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0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karen/Desktop/Thesis/Excel for submission/"/>
    </mc:Choice>
  </mc:AlternateContent>
  <xr:revisionPtr revIDLastSave="0" documentId="13_ncr:1_{F4EE7706-E8D3-8C49-94C1-CDEA98F78CB8}" xr6:coauthVersionLast="47" xr6:coauthVersionMax="47" xr10:uidLastSave="{00000000-0000-0000-0000-000000000000}"/>
  <bookViews>
    <workbookView xWindow="0" yWindow="580" windowWidth="25600" windowHeight="14260" xr2:uid="{00000000-000D-0000-FFFF-FFFF00000000}"/>
  </bookViews>
  <sheets>
    <sheet name="Information Sheet" sheetId="47" r:id="rId1"/>
    <sheet name="Bead Beating CeBER" sheetId="58" r:id="rId2"/>
    <sheet name="Bead Beating UTEX #1926" sheetId="59" r:id="rId3"/>
    <sheet name="Bead beating using DMSO" sheetId="64" r:id="rId4"/>
    <sheet name="Sonication CeBER" sheetId="86" r:id="rId5"/>
    <sheet name="Sonication UTEX #1926" sheetId="87" r:id="rId6"/>
    <sheet name="Freeze thawing CeBER" sheetId="65" r:id="rId7"/>
    <sheet name="Freeze thawing UTEX #1926" sheetId="67" r:id="rId8"/>
    <sheet name="Drying CeBER" sheetId="89" r:id="rId9"/>
    <sheet name="Drying UTEX #1926" sheetId="75" r:id="rId10"/>
    <sheet name="Buffer testing" sheetId="80" r:id="rId1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80" l="1"/>
  <c r="I9" i="80"/>
  <c r="J9" i="80" s="1"/>
  <c r="K9" i="80" s="1"/>
  <c r="I10" i="80"/>
  <c r="I17" i="80"/>
  <c r="I18" i="80"/>
  <c r="I19" i="80"/>
  <c r="P7" i="65"/>
  <c r="Q7" i="65"/>
  <c r="S12" i="87"/>
  <c r="S11" i="87"/>
  <c r="S6" i="87"/>
  <c r="T6" i="87" s="1"/>
  <c r="R12" i="87"/>
  <c r="R11" i="87"/>
  <c r="R6" i="87"/>
  <c r="P11" i="87"/>
  <c r="P12" i="87"/>
  <c r="P6" i="87"/>
  <c r="S5" i="87"/>
  <c r="S7" i="87"/>
  <c r="S8" i="87"/>
  <c r="S9" i="87"/>
  <c r="S10" i="87"/>
  <c r="S13" i="87"/>
  <c r="T4" i="87"/>
  <c r="S4" i="87"/>
  <c r="S5" i="86"/>
  <c r="S6" i="86"/>
  <c r="S7" i="86"/>
  <c r="S8" i="86"/>
  <c r="S9" i="86"/>
  <c r="S10" i="86"/>
  <c r="S11" i="86"/>
  <c r="S12" i="86"/>
  <c r="S13" i="86"/>
  <c r="S4" i="86"/>
  <c r="J17" i="80"/>
  <c r="K17" i="80" s="1"/>
  <c r="J18" i="80"/>
  <c r="K18" i="80" s="1"/>
  <c r="I14" i="80"/>
  <c r="J14" i="80" s="1"/>
  <c r="K14" i="80" s="1"/>
  <c r="I15" i="80"/>
  <c r="J15" i="80" s="1"/>
  <c r="K15" i="80" s="1"/>
  <c r="J8" i="80"/>
  <c r="K8" i="80" s="1"/>
  <c r="I5" i="80"/>
  <c r="J5" i="80" s="1"/>
  <c r="K5" i="80" s="1"/>
  <c r="I6" i="80"/>
  <c r="J6" i="80" s="1"/>
  <c r="K6" i="80" s="1"/>
  <c r="Q19" i="75"/>
  <c r="Q16" i="75"/>
  <c r="P19" i="75"/>
  <c r="P16" i="75"/>
  <c r="Q10" i="75"/>
  <c r="Q7" i="75"/>
  <c r="P10" i="75"/>
  <c r="P7" i="75"/>
  <c r="O15" i="75"/>
  <c r="O16" i="75"/>
  <c r="O17" i="75"/>
  <c r="O18" i="75"/>
  <c r="O19" i="75"/>
  <c r="O14" i="75"/>
  <c r="O6" i="75"/>
  <c r="O7" i="75"/>
  <c r="O8" i="75"/>
  <c r="O9" i="75"/>
  <c r="O10" i="75"/>
  <c r="O5" i="75"/>
  <c r="N6" i="75"/>
  <c r="N10" i="75"/>
  <c r="M16" i="75"/>
  <c r="N16" i="75" s="1"/>
  <c r="M15" i="75"/>
  <c r="N15" i="75" s="1"/>
  <c r="M14" i="75"/>
  <c r="N14" i="75" s="1"/>
  <c r="M8" i="75"/>
  <c r="N8" i="75" s="1"/>
  <c r="M5" i="75"/>
  <c r="N5" i="75" s="1"/>
  <c r="M6" i="75"/>
  <c r="L19" i="75"/>
  <c r="M19" i="75" s="1"/>
  <c r="N19" i="75" s="1"/>
  <c r="L18" i="75"/>
  <c r="M18" i="75" s="1"/>
  <c r="N18" i="75" s="1"/>
  <c r="L17" i="75"/>
  <c r="M17" i="75" s="1"/>
  <c r="N17" i="75" s="1"/>
  <c r="L8" i="75"/>
  <c r="L9" i="75"/>
  <c r="M9" i="75" s="1"/>
  <c r="N9" i="75" s="1"/>
  <c r="L10" i="75"/>
  <c r="M10" i="75" s="1"/>
  <c r="J10" i="75"/>
  <c r="I10" i="75"/>
  <c r="H10" i="75"/>
  <c r="J9" i="75"/>
  <c r="I9" i="75"/>
  <c r="H9" i="75"/>
  <c r="J8" i="75"/>
  <c r="I8" i="75"/>
  <c r="H8" i="75"/>
  <c r="M7" i="75"/>
  <c r="N7" i="75" s="1"/>
  <c r="J7" i="75"/>
  <c r="I7" i="75"/>
  <c r="H7" i="75"/>
  <c r="J6" i="75"/>
  <c r="I6" i="75"/>
  <c r="H6" i="75"/>
  <c r="J5" i="75"/>
  <c r="I5" i="75"/>
  <c r="H5" i="75"/>
  <c r="Q19" i="89"/>
  <c r="Q16" i="89"/>
  <c r="P19" i="89"/>
  <c r="P16" i="89"/>
  <c r="O15" i="89"/>
  <c r="O16" i="89"/>
  <c r="O17" i="89"/>
  <c r="O18" i="89"/>
  <c r="O19" i="89"/>
  <c r="O14" i="89"/>
  <c r="Q10" i="89"/>
  <c r="Q7" i="89"/>
  <c r="P10" i="89"/>
  <c r="P7" i="89"/>
  <c r="O6" i="89"/>
  <c r="O7" i="89"/>
  <c r="O8" i="89"/>
  <c r="O9" i="89"/>
  <c r="O10" i="89"/>
  <c r="O5" i="89"/>
  <c r="L19" i="89"/>
  <c r="M19" i="89" s="1"/>
  <c r="N19" i="89" s="1"/>
  <c r="N18" i="89"/>
  <c r="M18" i="89"/>
  <c r="M17" i="89"/>
  <c r="N17" i="89" s="1"/>
  <c r="M16" i="89"/>
  <c r="N16" i="89" s="1"/>
  <c r="M15" i="89"/>
  <c r="N15" i="89" s="1"/>
  <c r="M14" i="89"/>
  <c r="N14" i="89" s="1"/>
  <c r="M8" i="89"/>
  <c r="N8" i="89" s="1"/>
  <c r="M9" i="89"/>
  <c r="N9" i="89" s="1"/>
  <c r="M5" i="89"/>
  <c r="N5" i="89" s="1"/>
  <c r="M6" i="89"/>
  <c r="N6" i="89" s="1"/>
  <c r="J19" i="89"/>
  <c r="I19" i="89"/>
  <c r="H19" i="89"/>
  <c r="J18" i="89"/>
  <c r="I18" i="89"/>
  <c r="H18" i="89"/>
  <c r="J17" i="89"/>
  <c r="I17" i="89"/>
  <c r="H17" i="89"/>
  <c r="J16" i="89"/>
  <c r="I16" i="89"/>
  <c r="H16" i="89"/>
  <c r="J15" i="89"/>
  <c r="I15" i="89"/>
  <c r="H15" i="89"/>
  <c r="J14" i="89"/>
  <c r="I14" i="89"/>
  <c r="H14" i="89"/>
  <c r="L10" i="89"/>
  <c r="M10" i="89" s="1"/>
  <c r="N10" i="89" s="1"/>
  <c r="J10" i="89"/>
  <c r="I10" i="89"/>
  <c r="H10" i="89"/>
  <c r="J9" i="89"/>
  <c r="I9" i="89"/>
  <c r="H9" i="89"/>
  <c r="J8" i="89"/>
  <c r="I8" i="89"/>
  <c r="H8" i="89"/>
  <c r="M7" i="89"/>
  <c r="N7" i="89" s="1"/>
  <c r="J7" i="89"/>
  <c r="I7" i="89"/>
  <c r="H7" i="89"/>
  <c r="J6" i="89"/>
  <c r="I6" i="89"/>
  <c r="H6" i="89"/>
  <c r="J5" i="89"/>
  <c r="I5" i="89"/>
  <c r="H5" i="89"/>
  <c r="Q19" i="67"/>
  <c r="Q16" i="67"/>
  <c r="P19" i="67"/>
  <c r="P16" i="67"/>
  <c r="O15" i="67"/>
  <c r="O16" i="67"/>
  <c r="O17" i="67"/>
  <c r="O18" i="67"/>
  <c r="O19" i="67"/>
  <c r="O14" i="67"/>
  <c r="M18" i="67"/>
  <c r="N18" i="67" s="1"/>
  <c r="M17" i="67"/>
  <c r="N17" i="67" s="1"/>
  <c r="M15" i="67"/>
  <c r="N15" i="67" s="1"/>
  <c r="M14" i="67"/>
  <c r="N14" i="67" s="1"/>
  <c r="M8" i="67"/>
  <c r="N8" i="67" s="1"/>
  <c r="M9" i="67"/>
  <c r="N9" i="67" s="1"/>
  <c r="M5" i="67"/>
  <c r="N5" i="67" s="1"/>
  <c r="M6" i="67"/>
  <c r="N6" i="67" s="1"/>
  <c r="L16" i="67"/>
  <c r="L19" i="67" s="1"/>
  <c r="M19" i="67" s="1"/>
  <c r="N19" i="67" s="1"/>
  <c r="N18" i="65"/>
  <c r="N14" i="65"/>
  <c r="M18" i="65"/>
  <c r="M17" i="65"/>
  <c r="N17" i="65" s="1"/>
  <c r="M16" i="65"/>
  <c r="N16" i="65" s="1"/>
  <c r="M15" i="65"/>
  <c r="N15" i="65" s="1"/>
  <c r="M14" i="65"/>
  <c r="L16" i="65"/>
  <c r="L19" i="65" s="1"/>
  <c r="M19" i="65" s="1"/>
  <c r="N19" i="65" s="1"/>
  <c r="M8" i="65"/>
  <c r="N8" i="65" s="1"/>
  <c r="M9" i="65"/>
  <c r="N9" i="65" s="1"/>
  <c r="M5" i="65"/>
  <c r="N5" i="65" s="1"/>
  <c r="M6" i="65"/>
  <c r="N6" i="65" s="1"/>
  <c r="M4" i="86"/>
  <c r="M5" i="86"/>
  <c r="M6" i="86"/>
  <c r="M7" i="86"/>
  <c r="M8" i="86"/>
  <c r="M9" i="86"/>
  <c r="M10" i="86"/>
  <c r="M11" i="86"/>
  <c r="M12" i="86"/>
  <c r="M13" i="86"/>
  <c r="K7" i="75" l="1"/>
  <c r="K10" i="75"/>
  <c r="K5" i="75"/>
  <c r="K8" i="75"/>
  <c r="K6" i="75"/>
  <c r="K9" i="75"/>
  <c r="K16" i="89"/>
  <c r="K17" i="89"/>
  <c r="K10" i="89"/>
  <c r="K7" i="89"/>
  <c r="K19" i="89"/>
  <c r="K18" i="89"/>
  <c r="K6" i="89"/>
  <c r="K9" i="89"/>
  <c r="K15" i="89"/>
  <c r="K5" i="89"/>
  <c r="K8" i="89"/>
  <c r="K14" i="89"/>
  <c r="M16" i="67"/>
  <c r="N16" i="67" s="1"/>
  <c r="R10" i="75" l="1"/>
  <c r="R7" i="75"/>
  <c r="R16" i="89"/>
  <c r="R7" i="89"/>
  <c r="R19" i="89"/>
  <c r="R10" i="89"/>
  <c r="R9" i="59" l="1"/>
  <c r="R12" i="58"/>
  <c r="M5" i="87"/>
  <c r="N5" i="87" s="1"/>
  <c r="M6" i="87"/>
  <c r="N6" i="87" s="1"/>
  <c r="M7" i="87"/>
  <c r="N7" i="87" s="1"/>
  <c r="M8" i="87"/>
  <c r="N8" i="87" s="1"/>
  <c r="M9" i="87"/>
  <c r="N9" i="87" s="1"/>
  <c r="M10" i="87"/>
  <c r="N10" i="87" s="1"/>
  <c r="M11" i="87"/>
  <c r="N11" i="87" s="1"/>
  <c r="M12" i="87"/>
  <c r="N12" i="87" s="1"/>
  <c r="M13" i="87"/>
  <c r="N13" i="87" s="1"/>
  <c r="M4" i="87"/>
  <c r="N4" i="87" s="1"/>
  <c r="I8" i="87"/>
  <c r="O8" i="87" s="1"/>
  <c r="I7" i="87"/>
  <c r="O7" i="87" s="1"/>
  <c r="J6" i="87"/>
  <c r="K6" i="87"/>
  <c r="Q6" i="87" s="1"/>
  <c r="I6" i="87"/>
  <c r="O6" i="87" s="1"/>
  <c r="J5" i="87"/>
  <c r="P5" i="87" s="1"/>
  <c r="K5" i="87"/>
  <c r="Q5" i="87" s="1"/>
  <c r="I5" i="87"/>
  <c r="O5" i="87" s="1"/>
  <c r="I4" i="87"/>
  <c r="O4" i="87" s="1"/>
  <c r="N13" i="86"/>
  <c r="N12" i="86"/>
  <c r="N11" i="86"/>
  <c r="N10" i="86"/>
  <c r="N9" i="86"/>
  <c r="N8" i="86"/>
  <c r="N7" i="86"/>
  <c r="N6" i="86"/>
  <c r="N5" i="86"/>
  <c r="N4" i="86"/>
  <c r="R5" i="87" l="1"/>
  <c r="T5" i="87"/>
  <c r="K13" i="87"/>
  <c r="Q13" i="87" s="1"/>
  <c r="K4" i="87"/>
  <c r="Q4" i="87" s="1"/>
  <c r="K7" i="87"/>
  <c r="Q7" i="87" s="1"/>
  <c r="J8" i="87"/>
  <c r="P8" i="87" s="1"/>
  <c r="R8" i="87" s="1"/>
  <c r="J9" i="87"/>
  <c r="P9" i="87" s="1"/>
  <c r="K10" i="87"/>
  <c r="Q10" i="87" s="1"/>
  <c r="K11" i="87"/>
  <c r="Q11" i="87" s="1"/>
  <c r="I12" i="87"/>
  <c r="O12" i="87" s="1"/>
  <c r="I13" i="87"/>
  <c r="O13" i="87" s="1"/>
  <c r="R13" i="87" s="1"/>
  <c r="J13" i="87"/>
  <c r="P13" i="87" s="1"/>
  <c r="J4" i="87"/>
  <c r="P4" i="87" s="1"/>
  <c r="R4" i="87" s="1"/>
  <c r="K8" i="87"/>
  <c r="Q8" i="87" s="1"/>
  <c r="K9" i="87"/>
  <c r="Q9" i="87" s="1"/>
  <c r="I11" i="87"/>
  <c r="O11" i="87" s="1"/>
  <c r="J12" i="87"/>
  <c r="K13" i="86"/>
  <c r="Q13" i="86" s="1"/>
  <c r="K11" i="86"/>
  <c r="Q11" i="86" s="1"/>
  <c r="K4" i="86"/>
  <c r="Q4" i="86" s="1"/>
  <c r="J6" i="86"/>
  <c r="P6" i="86" s="1"/>
  <c r="I9" i="86"/>
  <c r="O9" i="86" s="1"/>
  <c r="K6" i="86"/>
  <c r="Q6" i="86" s="1"/>
  <c r="K7" i="86"/>
  <c r="Q7" i="86" s="1"/>
  <c r="J8" i="86"/>
  <c r="P8" i="86" s="1"/>
  <c r="J9" i="86"/>
  <c r="P9" i="86" s="1"/>
  <c r="I12" i="86"/>
  <c r="O12" i="86" s="1"/>
  <c r="I13" i="86"/>
  <c r="O13" i="86" s="1"/>
  <c r="J13" i="86"/>
  <c r="P13" i="86" s="1"/>
  <c r="J7" i="86"/>
  <c r="P7" i="86" s="1"/>
  <c r="I4" i="86"/>
  <c r="O4" i="86" s="1"/>
  <c r="R4" i="86" s="1"/>
  <c r="J4" i="86"/>
  <c r="P4" i="86" s="1"/>
  <c r="I5" i="86"/>
  <c r="O5" i="86" s="1"/>
  <c r="J5" i="86"/>
  <c r="P5" i="86" s="1"/>
  <c r="I6" i="86"/>
  <c r="O6" i="86" s="1"/>
  <c r="R6" i="86" s="1"/>
  <c r="I7" i="86"/>
  <c r="O7" i="86" s="1"/>
  <c r="K8" i="86"/>
  <c r="Q8" i="86" s="1"/>
  <c r="K9" i="86"/>
  <c r="Q9" i="86" s="1"/>
  <c r="I10" i="86"/>
  <c r="O10" i="86" s="1"/>
  <c r="J10" i="86"/>
  <c r="P10" i="86" s="1"/>
  <c r="I11" i="86"/>
  <c r="O11" i="86" s="1"/>
  <c r="J11" i="86"/>
  <c r="P11" i="86" s="1"/>
  <c r="J12" i="86"/>
  <c r="P12" i="86" s="1"/>
  <c r="K12" i="86"/>
  <c r="Q12" i="86" s="1"/>
  <c r="J19" i="75"/>
  <c r="I19" i="75"/>
  <c r="H19" i="75"/>
  <c r="J18" i="75"/>
  <c r="I18" i="75"/>
  <c r="H18" i="75"/>
  <c r="J17" i="75"/>
  <c r="I17" i="75"/>
  <c r="H17" i="75"/>
  <c r="J16" i="75"/>
  <c r="I16" i="75"/>
  <c r="H16" i="75"/>
  <c r="J15" i="75"/>
  <c r="I15" i="75"/>
  <c r="H15" i="75"/>
  <c r="J14" i="75"/>
  <c r="I14" i="75"/>
  <c r="H14" i="75"/>
  <c r="F19" i="80"/>
  <c r="G19" i="80"/>
  <c r="F15" i="80"/>
  <c r="G15" i="80"/>
  <c r="F16" i="80"/>
  <c r="G16" i="80"/>
  <c r="F17" i="80"/>
  <c r="G17" i="80"/>
  <c r="F18" i="80"/>
  <c r="G18" i="80"/>
  <c r="G14" i="80"/>
  <c r="F14" i="80"/>
  <c r="F6" i="80"/>
  <c r="G6" i="80"/>
  <c r="F7" i="80"/>
  <c r="G7" i="80"/>
  <c r="F8" i="80"/>
  <c r="G8" i="80"/>
  <c r="F9" i="80"/>
  <c r="G9" i="80"/>
  <c r="F10" i="80"/>
  <c r="G10" i="80"/>
  <c r="G5" i="80"/>
  <c r="F5" i="80"/>
  <c r="H5" i="80" s="1"/>
  <c r="L5" i="80" s="1"/>
  <c r="R9" i="86" l="1"/>
  <c r="R11" i="86"/>
  <c r="R7" i="86"/>
  <c r="R13" i="86"/>
  <c r="R12" i="86"/>
  <c r="T8" i="87"/>
  <c r="T13" i="87"/>
  <c r="T9" i="86"/>
  <c r="K5" i="86"/>
  <c r="I8" i="86"/>
  <c r="K10" i="86"/>
  <c r="I10" i="87"/>
  <c r="O10" i="87" s="1"/>
  <c r="J7" i="87"/>
  <c r="J11" i="87"/>
  <c r="I9" i="87"/>
  <c r="K12" i="87"/>
  <c r="J10" i="87"/>
  <c r="P10" i="87" s="1"/>
  <c r="T7" i="86"/>
  <c r="H19" i="67"/>
  <c r="I19" i="67"/>
  <c r="J19" i="67"/>
  <c r="H15" i="67"/>
  <c r="I15" i="67"/>
  <c r="J15" i="67"/>
  <c r="H16" i="67"/>
  <c r="I16" i="67"/>
  <c r="J16" i="67"/>
  <c r="H17" i="67"/>
  <c r="I17" i="67"/>
  <c r="J17" i="67"/>
  <c r="H18" i="67"/>
  <c r="I18" i="67"/>
  <c r="J18" i="67"/>
  <c r="I14" i="67"/>
  <c r="J14" i="67"/>
  <c r="H14" i="67"/>
  <c r="H10" i="67"/>
  <c r="I10" i="67"/>
  <c r="J10" i="67"/>
  <c r="H6" i="67"/>
  <c r="I6" i="67"/>
  <c r="J6" i="67"/>
  <c r="H7" i="67"/>
  <c r="I7" i="67"/>
  <c r="J7" i="67"/>
  <c r="H8" i="67"/>
  <c r="I8" i="67"/>
  <c r="J8" i="67"/>
  <c r="H9" i="67"/>
  <c r="I9" i="67"/>
  <c r="J9" i="67"/>
  <c r="I5" i="67"/>
  <c r="J5" i="67"/>
  <c r="H5" i="67"/>
  <c r="H5" i="65"/>
  <c r="I5" i="65"/>
  <c r="J5" i="65"/>
  <c r="H6" i="65"/>
  <c r="I6" i="65"/>
  <c r="J6" i="65"/>
  <c r="H19" i="65"/>
  <c r="I19" i="65"/>
  <c r="J19" i="65"/>
  <c r="H15" i="65"/>
  <c r="I15" i="65"/>
  <c r="J15" i="65"/>
  <c r="H16" i="65"/>
  <c r="I16" i="65"/>
  <c r="J16" i="65"/>
  <c r="H17" i="65"/>
  <c r="I17" i="65"/>
  <c r="J17" i="65"/>
  <c r="H18" i="65"/>
  <c r="I18" i="65"/>
  <c r="J18" i="65"/>
  <c r="I14" i="65"/>
  <c r="J14" i="65"/>
  <c r="H14" i="65"/>
  <c r="H10" i="65"/>
  <c r="I10" i="65"/>
  <c r="J10" i="65"/>
  <c r="H7" i="65"/>
  <c r="I7" i="65"/>
  <c r="J7" i="65"/>
  <c r="H8" i="65"/>
  <c r="I8" i="65"/>
  <c r="J8" i="65"/>
  <c r="H9" i="65"/>
  <c r="I9" i="65"/>
  <c r="J9" i="65"/>
  <c r="I15" i="64"/>
  <c r="J15" i="64"/>
  <c r="K15" i="64"/>
  <c r="I16" i="64"/>
  <c r="J16" i="64"/>
  <c r="K16" i="64"/>
  <c r="I17" i="64"/>
  <c r="J17" i="64"/>
  <c r="K17" i="64"/>
  <c r="I18" i="64"/>
  <c r="J18" i="64"/>
  <c r="K18" i="64"/>
  <c r="I19" i="64"/>
  <c r="J19" i="64"/>
  <c r="K19" i="64"/>
  <c r="J14" i="64"/>
  <c r="K14" i="64"/>
  <c r="I14" i="64"/>
  <c r="I6" i="64"/>
  <c r="J6" i="64"/>
  <c r="K6" i="64"/>
  <c r="I7" i="64"/>
  <c r="J7" i="64"/>
  <c r="K7" i="64"/>
  <c r="I8" i="64"/>
  <c r="J8" i="64"/>
  <c r="K8" i="64"/>
  <c r="I9" i="64"/>
  <c r="J9" i="64"/>
  <c r="K9" i="64"/>
  <c r="I10" i="64"/>
  <c r="J10" i="64"/>
  <c r="K10" i="64"/>
  <c r="J5" i="64"/>
  <c r="K5" i="64"/>
  <c r="I5" i="64"/>
  <c r="G6" i="59"/>
  <c r="H6" i="59"/>
  <c r="G7" i="59"/>
  <c r="H7" i="59"/>
  <c r="G8" i="59"/>
  <c r="H8" i="59"/>
  <c r="G9" i="59"/>
  <c r="H9" i="59"/>
  <c r="G10" i="59"/>
  <c r="H10" i="59"/>
  <c r="G11" i="59"/>
  <c r="H11" i="59"/>
  <c r="G12" i="59"/>
  <c r="H12" i="59"/>
  <c r="G13" i="59"/>
  <c r="H13" i="59"/>
  <c r="G14" i="59"/>
  <c r="H14" i="59"/>
  <c r="G15" i="59"/>
  <c r="H15" i="59"/>
  <c r="G16" i="59"/>
  <c r="H16" i="59"/>
  <c r="G17" i="59"/>
  <c r="H17" i="59"/>
  <c r="G18" i="59"/>
  <c r="H18" i="59"/>
  <c r="G19" i="59"/>
  <c r="H19" i="59"/>
  <c r="G20" i="59"/>
  <c r="H20" i="59"/>
  <c r="G21" i="59"/>
  <c r="H21" i="59"/>
  <c r="G22" i="59"/>
  <c r="H22" i="59"/>
  <c r="H5" i="59"/>
  <c r="G5" i="59"/>
  <c r="T7" i="87" l="1"/>
  <c r="P7" i="87"/>
  <c r="R7" i="87" s="1"/>
  <c r="T12" i="87"/>
  <c r="Q12" i="87"/>
  <c r="R10" i="87"/>
  <c r="T9" i="87"/>
  <c r="O9" i="87"/>
  <c r="R9" i="87" s="1"/>
  <c r="T11" i="87"/>
  <c r="Q10" i="86"/>
  <c r="R10" i="86" s="1"/>
  <c r="O8" i="86"/>
  <c r="R8" i="86" s="1"/>
  <c r="Q5" i="86"/>
  <c r="R5" i="86" s="1"/>
  <c r="K7" i="65"/>
  <c r="K6" i="65"/>
  <c r="O6" i="65" s="1"/>
  <c r="K9" i="65"/>
  <c r="O9" i="65" s="1"/>
  <c r="K10" i="65"/>
  <c r="K5" i="65"/>
  <c r="K8" i="65"/>
  <c r="T10" i="87"/>
  <c r="T12" i="86"/>
  <c r="T4" i="86"/>
  <c r="T5" i="86"/>
  <c r="T10" i="86"/>
  <c r="T11" i="86"/>
  <c r="T6" i="86"/>
  <c r="T13" i="86"/>
  <c r="O8" i="65" l="1"/>
  <c r="O5" i="65"/>
  <c r="T8" i="86"/>
  <c r="I16" i="80" l="1"/>
  <c r="I7" i="80"/>
  <c r="J7" i="80" s="1"/>
  <c r="K7" i="80" s="1"/>
  <c r="H19" i="80"/>
  <c r="H16" i="80"/>
  <c r="H15" i="80"/>
  <c r="L15" i="80" s="1"/>
  <c r="H7" i="80"/>
  <c r="L7" i="80" s="1"/>
  <c r="K14" i="75"/>
  <c r="J19" i="80" l="1"/>
  <c r="K19" i="80" s="1"/>
  <c r="L19" i="80" s="1"/>
  <c r="J16" i="80"/>
  <c r="K16" i="80" s="1"/>
  <c r="L16" i="80" s="1"/>
  <c r="J10" i="80"/>
  <c r="K10" i="80" s="1"/>
  <c r="H18" i="80"/>
  <c r="L18" i="80" s="1"/>
  <c r="H17" i="80"/>
  <c r="L17" i="80" s="1"/>
  <c r="H14" i="80"/>
  <c r="H10" i="80"/>
  <c r="H9" i="80"/>
  <c r="L9" i="80" s="1"/>
  <c r="H8" i="80"/>
  <c r="L8" i="80" s="1"/>
  <c r="H6" i="80"/>
  <c r="L6" i="80" s="1"/>
  <c r="K19" i="75"/>
  <c r="K18" i="75"/>
  <c r="K17" i="75"/>
  <c r="K16" i="75"/>
  <c r="K15" i="75"/>
  <c r="L7" i="67"/>
  <c r="K19" i="67"/>
  <c r="K15" i="67"/>
  <c r="K7" i="67"/>
  <c r="K5" i="67"/>
  <c r="O5" i="67" s="1"/>
  <c r="K19" i="65"/>
  <c r="O19" i="65" s="1"/>
  <c r="L7" i="65"/>
  <c r="L10" i="80" l="1"/>
  <c r="L14" i="80"/>
  <c r="N19" i="80"/>
  <c r="O19" i="80" s="1"/>
  <c r="M19" i="80"/>
  <c r="N7" i="80"/>
  <c r="O7" i="80" s="1"/>
  <c r="M7" i="80"/>
  <c r="N10" i="80"/>
  <c r="O10" i="80" s="1"/>
  <c r="M10" i="80"/>
  <c r="L10" i="67"/>
  <c r="M10" i="67" s="1"/>
  <c r="N10" i="67" s="1"/>
  <c r="M7" i="67"/>
  <c r="N7" i="67" s="1"/>
  <c r="O7" i="67" s="1"/>
  <c r="M7" i="65"/>
  <c r="N7" i="65" s="1"/>
  <c r="O7" i="65" s="1"/>
  <c r="R16" i="75"/>
  <c r="R19" i="75"/>
  <c r="K18" i="67"/>
  <c r="K17" i="67"/>
  <c r="K14" i="67"/>
  <c r="K16" i="67"/>
  <c r="K8" i="67"/>
  <c r="O8" i="67" s="1"/>
  <c r="K10" i="67"/>
  <c r="O10" i="67" s="1"/>
  <c r="K9" i="67"/>
  <c r="O9" i="67" s="1"/>
  <c r="K6" i="67"/>
  <c r="L10" i="65"/>
  <c r="M10" i="64"/>
  <c r="M19" i="64" s="1"/>
  <c r="N19" i="64" s="1"/>
  <c r="O19" i="64" s="1"/>
  <c r="M9" i="64"/>
  <c r="N9" i="64" s="1"/>
  <c r="O9" i="64" s="1"/>
  <c r="M8" i="64"/>
  <c r="M17" i="64" s="1"/>
  <c r="N17" i="64" s="1"/>
  <c r="O17" i="64" s="1"/>
  <c r="M7" i="64"/>
  <c r="M16" i="64" s="1"/>
  <c r="N16" i="64" s="1"/>
  <c r="O16" i="64" s="1"/>
  <c r="M6" i="64"/>
  <c r="N6" i="64" s="1"/>
  <c r="O6" i="64" s="1"/>
  <c r="M5" i="64"/>
  <c r="M14" i="64" s="1"/>
  <c r="N14" i="64" s="1"/>
  <c r="O14" i="64" s="1"/>
  <c r="L18" i="64"/>
  <c r="L17" i="64"/>
  <c r="L16" i="64"/>
  <c r="L14" i="64"/>
  <c r="L10" i="64"/>
  <c r="L9" i="64"/>
  <c r="L8" i="64"/>
  <c r="N7" i="64"/>
  <c r="O7" i="64" s="1"/>
  <c r="L7" i="64"/>
  <c r="L6" i="64"/>
  <c r="L5" i="64"/>
  <c r="N16" i="80" l="1"/>
  <c r="O16" i="80" s="1"/>
  <c r="M16" i="80"/>
  <c r="O6" i="67"/>
  <c r="Q10" i="67"/>
  <c r="P10" i="67"/>
  <c r="N8" i="64"/>
  <c r="O8" i="64" s="1"/>
  <c r="P8" i="64" s="1"/>
  <c r="P7" i="64"/>
  <c r="P9" i="64"/>
  <c r="M18" i="64"/>
  <c r="N18" i="64" s="1"/>
  <c r="O18" i="64" s="1"/>
  <c r="P18" i="64" s="1"/>
  <c r="P16" i="64"/>
  <c r="N5" i="64"/>
  <c r="O5" i="64" s="1"/>
  <c r="P5" i="64" s="1"/>
  <c r="P14" i="64"/>
  <c r="P6" i="64"/>
  <c r="N10" i="64"/>
  <c r="O10" i="64" s="1"/>
  <c r="P10" i="64" s="1"/>
  <c r="P17" i="64"/>
  <c r="M15" i="64"/>
  <c r="N15" i="64" s="1"/>
  <c r="O15" i="64" s="1"/>
  <c r="R16" i="67"/>
  <c r="R19" i="67"/>
  <c r="R10" i="67"/>
  <c r="M10" i="65"/>
  <c r="N10" i="65" s="1"/>
  <c r="O10" i="65" s="1"/>
  <c r="K18" i="65"/>
  <c r="O18" i="65" s="1"/>
  <c r="K17" i="65"/>
  <c r="O17" i="65" s="1"/>
  <c r="L19" i="64"/>
  <c r="P19" i="64" s="1"/>
  <c r="L15" i="64"/>
  <c r="J19" i="59"/>
  <c r="K19" i="59" s="1"/>
  <c r="L19" i="59" s="1"/>
  <c r="J18" i="59"/>
  <c r="K18" i="59" s="1"/>
  <c r="L18" i="59" s="1"/>
  <c r="J17" i="59"/>
  <c r="K17" i="59" s="1"/>
  <c r="L17" i="59" s="1"/>
  <c r="J13" i="59"/>
  <c r="K13" i="59" s="1"/>
  <c r="L13" i="59" s="1"/>
  <c r="J12" i="59"/>
  <c r="K12" i="59" s="1"/>
  <c r="L12" i="59" s="1"/>
  <c r="J11" i="59"/>
  <c r="K11" i="59" s="1"/>
  <c r="L11" i="59" s="1"/>
  <c r="J7" i="59"/>
  <c r="K7" i="59" s="1"/>
  <c r="L7" i="59" s="1"/>
  <c r="J6" i="59"/>
  <c r="K6" i="59" s="1"/>
  <c r="L6" i="59" s="1"/>
  <c r="J5" i="59"/>
  <c r="J22" i="58"/>
  <c r="K22" i="58" s="1"/>
  <c r="L22" i="58" s="1"/>
  <c r="J21" i="58"/>
  <c r="K21" i="58" s="1"/>
  <c r="L21" i="58" s="1"/>
  <c r="J20" i="58"/>
  <c r="K20" i="58" s="1"/>
  <c r="L20" i="58" s="1"/>
  <c r="J16" i="58"/>
  <c r="K16" i="58" s="1"/>
  <c r="L16" i="58" s="1"/>
  <c r="J15" i="58"/>
  <c r="K15" i="58" s="1"/>
  <c r="L15" i="58" s="1"/>
  <c r="J14" i="58"/>
  <c r="K14" i="58" s="1"/>
  <c r="L14" i="58" s="1"/>
  <c r="K11" i="58"/>
  <c r="L11" i="58" s="1"/>
  <c r="K12" i="58"/>
  <c r="L12" i="58" s="1"/>
  <c r="K13" i="58"/>
  <c r="L13" i="58" s="1"/>
  <c r="K17" i="58"/>
  <c r="L17" i="58" s="1"/>
  <c r="K18" i="58"/>
  <c r="L18" i="58" s="1"/>
  <c r="K19" i="58"/>
  <c r="L19" i="58" s="1"/>
  <c r="K23" i="58"/>
  <c r="L23" i="58" s="1"/>
  <c r="K24" i="58"/>
  <c r="L24" i="58" s="1"/>
  <c r="K25" i="58"/>
  <c r="L25" i="58" s="1"/>
  <c r="K22" i="59"/>
  <c r="L22" i="59" s="1"/>
  <c r="K21" i="59"/>
  <c r="L21" i="59" s="1"/>
  <c r="K20" i="59"/>
  <c r="L20" i="59" s="1"/>
  <c r="K16" i="59"/>
  <c r="L16" i="59" s="1"/>
  <c r="K15" i="59"/>
  <c r="L15" i="59" s="1"/>
  <c r="K14" i="59"/>
  <c r="L14" i="59" s="1"/>
  <c r="K10" i="59"/>
  <c r="L10" i="59" s="1"/>
  <c r="K9" i="59"/>
  <c r="L9" i="59" s="1"/>
  <c r="I9" i="59"/>
  <c r="K8" i="59"/>
  <c r="L8" i="59" s="1"/>
  <c r="I7" i="59"/>
  <c r="I6" i="59"/>
  <c r="J9" i="58"/>
  <c r="K9" i="58" s="1"/>
  <c r="L9" i="58" s="1"/>
  <c r="J10" i="58"/>
  <c r="K10" i="58" s="1"/>
  <c r="L10" i="58" s="1"/>
  <c r="J8" i="58"/>
  <c r="E7" i="58"/>
  <c r="C7" i="58"/>
  <c r="Q7" i="67" l="1"/>
  <c r="R7" i="67" s="1"/>
  <c r="P7" i="67"/>
  <c r="Q19" i="65"/>
  <c r="P19" i="65"/>
  <c r="Q10" i="65"/>
  <c r="P10" i="65"/>
  <c r="P15" i="64"/>
  <c r="Q16" i="64" s="1"/>
  <c r="M7" i="59"/>
  <c r="M9" i="59"/>
  <c r="M6" i="59"/>
  <c r="K5" i="59"/>
  <c r="L5" i="59" s="1"/>
  <c r="R8" i="59"/>
  <c r="F24" i="58"/>
  <c r="F20" i="58"/>
  <c r="E22" i="58"/>
  <c r="E19" i="58"/>
  <c r="E17" i="58"/>
  <c r="E15" i="58"/>
  <c r="E13" i="58"/>
  <c r="E11" i="58"/>
  <c r="E9" i="58"/>
  <c r="F23" i="58"/>
  <c r="E25" i="58"/>
  <c r="E21" i="58"/>
  <c r="F18" i="58"/>
  <c r="F16" i="58"/>
  <c r="F14" i="58"/>
  <c r="F12" i="58"/>
  <c r="F10" i="58"/>
  <c r="F8" i="58"/>
  <c r="F15" i="58"/>
  <c r="F9" i="58"/>
  <c r="F22" i="58"/>
  <c r="E24" i="58"/>
  <c r="E20" i="58"/>
  <c r="E18" i="58"/>
  <c r="E16" i="58"/>
  <c r="E14" i="58"/>
  <c r="E12" i="58"/>
  <c r="E10" i="58"/>
  <c r="E8" i="58"/>
  <c r="F25" i="58"/>
  <c r="F21" i="58"/>
  <c r="E23" i="58"/>
  <c r="F19" i="58"/>
  <c r="F17" i="58"/>
  <c r="F13" i="58"/>
  <c r="F11" i="58"/>
  <c r="R11" i="58"/>
  <c r="D16" i="58"/>
  <c r="D24" i="58"/>
  <c r="D20" i="58"/>
  <c r="C22" i="58"/>
  <c r="G22" i="58" s="1"/>
  <c r="C19" i="58"/>
  <c r="C17" i="58"/>
  <c r="D14" i="58"/>
  <c r="H14" i="58" s="1"/>
  <c r="D12" i="58"/>
  <c r="D10" i="58"/>
  <c r="D8" i="58"/>
  <c r="C13" i="58"/>
  <c r="G13" i="58" s="1"/>
  <c r="D23" i="58"/>
  <c r="C25" i="58"/>
  <c r="G25" i="58" s="1"/>
  <c r="C21" i="58"/>
  <c r="D18" i="58"/>
  <c r="H18" i="58" s="1"/>
  <c r="C16" i="58"/>
  <c r="G16" i="58" s="1"/>
  <c r="C14" i="58"/>
  <c r="C12" i="58"/>
  <c r="G12" i="58" s="1"/>
  <c r="C10" i="58"/>
  <c r="G10" i="58" s="1"/>
  <c r="C8" i="58"/>
  <c r="G8" i="58" s="1"/>
  <c r="D17" i="58"/>
  <c r="C11" i="58"/>
  <c r="D22" i="58"/>
  <c r="H22" i="58" s="1"/>
  <c r="C24" i="58"/>
  <c r="C20" i="58"/>
  <c r="G20" i="58" s="1"/>
  <c r="C18" i="58"/>
  <c r="D15" i="58"/>
  <c r="H15" i="58" s="1"/>
  <c r="D13" i="58"/>
  <c r="H13" i="58" s="1"/>
  <c r="D11" i="58"/>
  <c r="D9" i="58"/>
  <c r="D25" i="58"/>
  <c r="D21" i="58"/>
  <c r="H21" i="58" s="1"/>
  <c r="C23" i="58"/>
  <c r="D19" i="58"/>
  <c r="C15" i="58"/>
  <c r="C9" i="58"/>
  <c r="G9" i="58" s="1"/>
  <c r="K8" i="58"/>
  <c r="L8" i="58" s="1"/>
  <c r="R19" i="65"/>
  <c r="Q19" i="64"/>
  <c r="R10" i="64"/>
  <c r="S10" i="64" s="1"/>
  <c r="R7" i="64"/>
  <c r="S7" i="64" s="1"/>
  <c r="R19" i="64"/>
  <c r="S19" i="64" s="1"/>
  <c r="Q10" i="64"/>
  <c r="Q7" i="64"/>
  <c r="I8" i="59"/>
  <c r="M8" i="59" s="1"/>
  <c r="I10" i="59"/>
  <c r="M10" i="59" s="1"/>
  <c r="I5" i="59"/>
  <c r="I12" i="59"/>
  <c r="M12" i="59" s="1"/>
  <c r="I14" i="59"/>
  <c r="M14" i="59" s="1"/>
  <c r="I16" i="59"/>
  <c r="M16" i="59" s="1"/>
  <c r="I18" i="59"/>
  <c r="M18" i="59" s="1"/>
  <c r="R7" i="65" l="1"/>
  <c r="R16" i="64"/>
  <c r="S16" i="64" s="1"/>
  <c r="M5" i="59"/>
  <c r="O7" i="59" s="1"/>
  <c r="G21" i="58"/>
  <c r="H9" i="58"/>
  <c r="G11" i="58"/>
  <c r="I11" i="58" s="1"/>
  <c r="M11" i="58" s="1"/>
  <c r="G23" i="58"/>
  <c r="I23" i="58" s="1"/>
  <c r="M23" i="58" s="1"/>
  <c r="H11" i="58"/>
  <c r="G19" i="58"/>
  <c r="G18" i="58"/>
  <c r="H12" i="58"/>
  <c r="I12" i="58" s="1"/>
  <c r="M12" i="58" s="1"/>
  <c r="G24" i="58"/>
  <c r="H23" i="58"/>
  <c r="G15" i="58"/>
  <c r="H25" i="58"/>
  <c r="H19" i="58"/>
  <c r="H8" i="58"/>
  <c r="G17" i="58"/>
  <c r="H24" i="58"/>
  <c r="H20" i="58"/>
  <c r="H17" i="58"/>
  <c r="G14" i="58"/>
  <c r="H10" i="58"/>
  <c r="H16" i="58"/>
  <c r="K14" i="65"/>
  <c r="O14" i="65" s="1"/>
  <c r="K16" i="65"/>
  <c r="O16" i="65" s="1"/>
  <c r="K15" i="65"/>
  <c r="O15" i="65" s="1"/>
  <c r="I20" i="59"/>
  <c r="M20" i="59" s="1"/>
  <c r="N10" i="59"/>
  <c r="O10" i="59"/>
  <c r="P10" i="59" s="1"/>
  <c r="I22" i="59"/>
  <c r="M22" i="59" s="1"/>
  <c r="I21" i="59"/>
  <c r="M21" i="59" s="1"/>
  <c r="I19" i="59"/>
  <c r="M19" i="59" s="1"/>
  <c r="I17" i="59"/>
  <c r="M17" i="59" s="1"/>
  <c r="I15" i="59"/>
  <c r="I13" i="59"/>
  <c r="M13" i="59" s="1"/>
  <c r="I11" i="59"/>
  <c r="M11" i="59" s="1"/>
  <c r="P7" i="59"/>
  <c r="N7" i="59"/>
  <c r="I9" i="58"/>
  <c r="M9" i="58" s="1"/>
  <c r="I8" i="58"/>
  <c r="M8" i="58" s="1"/>
  <c r="P16" i="65" l="1"/>
  <c r="Q16" i="65"/>
  <c r="M15" i="59"/>
  <c r="N16" i="59" s="1"/>
  <c r="R10" i="59" s="1"/>
  <c r="R16" i="65"/>
  <c r="R10" i="65"/>
  <c r="N22" i="59"/>
  <c r="R11" i="59" s="1"/>
  <c r="O16" i="59"/>
  <c r="P16" i="59" s="1"/>
  <c r="O19" i="59"/>
  <c r="P19" i="59" s="1"/>
  <c r="N19" i="59"/>
  <c r="R7" i="59" s="1"/>
  <c r="O22" i="59"/>
  <c r="P22" i="59" s="1"/>
  <c r="O13" i="59"/>
  <c r="P13" i="59" s="1"/>
  <c r="N13" i="59"/>
  <c r="I24" i="58"/>
  <c r="M24" i="58" s="1"/>
  <c r="I18" i="58"/>
  <c r="M18" i="58" s="1"/>
  <c r="I15" i="58"/>
  <c r="M15" i="58" s="1"/>
  <c r="I10" i="58"/>
  <c r="I25" i="58"/>
  <c r="I21" i="58"/>
  <c r="M21" i="58" s="1"/>
  <c r="I20" i="58"/>
  <c r="M20" i="58" s="1"/>
  <c r="I13" i="58"/>
  <c r="I17" i="58"/>
  <c r="M17" i="58" s="1"/>
  <c r="I22" i="58"/>
  <c r="M22" i="58" s="1"/>
  <c r="I16" i="58"/>
  <c r="M16" i="58" s="1"/>
  <c r="I19" i="58"/>
  <c r="M19" i="58" s="1"/>
  <c r="I14" i="58"/>
  <c r="M14" i="58" s="1"/>
  <c r="M13" i="58" l="1"/>
  <c r="N13" i="58" s="1"/>
  <c r="N19" i="58"/>
  <c r="M10" i="58"/>
  <c r="O10" i="58" s="1"/>
  <c r="P10" i="58" s="1"/>
  <c r="M25" i="58"/>
  <c r="N25" i="58" s="1"/>
  <c r="N10" i="58"/>
  <c r="O19" i="58"/>
  <c r="P19" i="58" s="1"/>
  <c r="O22" i="58"/>
  <c r="P22" i="58" s="1"/>
  <c r="N16" i="58"/>
  <c r="O16" i="58"/>
  <c r="P16" i="58" s="1"/>
  <c r="N22" i="58"/>
  <c r="O25" i="58" l="1"/>
  <c r="P25" i="58" s="1"/>
  <c r="O13" i="58"/>
  <c r="P13" i="58" s="1"/>
  <c r="R10" i="58"/>
  <c r="R13" i="58"/>
  <c r="R16" i="58" s="1"/>
  <c r="R14" i="58"/>
</calcChain>
</file>

<file path=xl/sharedStrings.xml><?xml version="1.0" encoding="utf-8"?>
<sst xmlns="http://schemas.openxmlformats.org/spreadsheetml/2006/main" count="405" uniqueCount="86">
  <si>
    <t>Lab work by: Karen Ssekimpi</t>
  </si>
  <si>
    <t>all assays by Karen Ssekimpi</t>
  </si>
  <si>
    <t>Start date:</t>
  </si>
  <si>
    <t>End date:</t>
  </si>
  <si>
    <t>Table of Contents</t>
  </si>
  <si>
    <t>Sheet #</t>
  </si>
  <si>
    <t>Description</t>
  </si>
  <si>
    <t xml:space="preserve">Information Sheet </t>
  </si>
  <si>
    <t>Details experiments conducted</t>
  </si>
  <si>
    <t>Biomass concentration</t>
  </si>
  <si>
    <t>Amount of biomass</t>
  </si>
  <si>
    <t>nm</t>
  </si>
  <si>
    <t>mg/ml</t>
  </si>
  <si>
    <t>g/l</t>
  </si>
  <si>
    <t>g</t>
  </si>
  <si>
    <t>CeBER</t>
  </si>
  <si>
    <t>10s</t>
  </si>
  <si>
    <t>20s</t>
  </si>
  <si>
    <t>30s</t>
  </si>
  <si>
    <t>UTEX #1926</t>
  </si>
  <si>
    <t>Bead beating duration</t>
  </si>
  <si>
    <t>15 min</t>
  </si>
  <si>
    <t>20 min</t>
  </si>
  <si>
    <t>25 min</t>
  </si>
  <si>
    <t>5 min</t>
  </si>
  <si>
    <t>10 min</t>
  </si>
  <si>
    <t>Spirulina strain</t>
  </si>
  <si>
    <t>Phosphate Buffer</t>
  </si>
  <si>
    <t>DMSO</t>
  </si>
  <si>
    <t>Fresh samples</t>
  </si>
  <si>
    <t>Freeze thawed samples</t>
  </si>
  <si>
    <t>Dried samples</t>
  </si>
  <si>
    <t>Phosphate buffer</t>
  </si>
  <si>
    <t>Citrate buffer</t>
  </si>
  <si>
    <r>
      <t xml:space="preserve">The c-phycocyanin content of two </t>
    </r>
    <r>
      <rPr>
        <i/>
        <sz val="14"/>
        <rFont val="Arial"/>
        <family val="2"/>
      </rPr>
      <t>Spirulina</t>
    </r>
    <r>
      <rPr>
        <sz val="14"/>
        <rFont val="Arial"/>
        <family val="2"/>
      </rPr>
      <t xml:space="preserve"> cultures</t>
    </r>
  </si>
  <si>
    <t>Project Leader: A. Prof. Marijke Fagan-Endres, Prof. Sue Harrison, Dr Mariette Smart</t>
  </si>
  <si>
    <r>
      <rPr>
        <b/>
        <sz val="10"/>
        <color theme="1"/>
        <rFont val="Arial"/>
        <family val="2"/>
      </rPr>
      <t>Measurements:</t>
    </r>
    <r>
      <rPr>
        <sz val="10"/>
        <color theme="1"/>
        <rFont val="Arial"/>
        <family val="2"/>
      </rPr>
      <t xml:space="preserve"> Absorbance at 750, 620, and 650 nm</t>
    </r>
  </si>
  <si>
    <t>Samples from the two strains were taken and the cells were ruptured to extract the c-phycocyanin. Absorbances post-extraction were measured at 620 and 650 nm and, using the biomass absorbance at 750 nm, the specific concentrations of c-phycocyanin (mg c-phycocyanin/g biomass) were determined</t>
  </si>
  <si>
    <t>Bead beating CeBER</t>
  </si>
  <si>
    <t>Bead beating UTEX #1926</t>
  </si>
  <si>
    <t>Bead beating using DMSO</t>
  </si>
  <si>
    <t>Sonication CeBER</t>
  </si>
  <si>
    <t>Sonication UTEX #1926</t>
  </si>
  <si>
    <t>Specific concentration of c-phycocyanin determination using bead beating, CeBER strain</t>
  </si>
  <si>
    <t>Specific concentration of c-phycocyanin determination using bead beating, UTEX #1926 strain</t>
  </si>
  <si>
    <t>Specific concentration of c-phycocyanin determination using bead beating with DMSO, CeBER and UTEX #1926 strains</t>
  </si>
  <si>
    <t>Specific concentration of c-phycocyanin determination using sonication, CeBER strain</t>
  </si>
  <si>
    <t>Specific concentration of c-phycocyanin determination using sonication, UTEX #1926 strain</t>
  </si>
  <si>
    <t>Freeze thawing CeBER</t>
  </si>
  <si>
    <t>Freeze thawing UTEX #1926</t>
  </si>
  <si>
    <t>Drying CeBER</t>
  </si>
  <si>
    <t>Drying UTEX #1926</t>
  </si>
  <si>
    <t>Buffer testing</t>
  </si>
  <si>
    <t>Specific concentration of c-phycocyanin determination by sonication with drying, CeBER strain</t>
  </si>
  <si>
    <t>Specific concentration of c-phycocyanin determination by sonication with drying, UTEX #1926 strain</t>
  </si>
  <si>
    <t>Specific concentration of c-phycocyanin determination by sonication with freeze thawing, UTEX #1926 strain</t>
  </si>
  <si>
    <t>Specific concentration of c-phycocyanin determination by sonication with freeze thawing, CeBER strain</t>
  </si>
  <si>
    <t>Specific concentration of c-phycocyanin determination using sonication with different buffers, CeBER and UTEX #1926 strain</t>
  </si>
  <si>
    <t>OD at 750</t>
  </si>
  <si>
    <t>OD at 620</t>
  </si>
  <si>
    <t>OD at 650</t>
  </si>
  <si>
    <t>C-phycocyanin concentration</t>
  </si>
  <si>
    <t>Average CPC conc.</t>
  </si>
  <si>
    <t>C-phycocyanin (CPC) concentration</t>
  </si>
  <si>
    <t>Specific CPC concentration</t>
  </si>
  <si>
    <t>Average specific CPC concentration</t>
  </si>
  <si>
    <t>Average specific CPC conc.</t>
  </si>
  <si>
    <t>Standard deviation</t>
  </si>
  <si>
    <t>Standard error</t>
  </si>
  <si>
    <t>Samples without DMSO</t>
  </si>
  <si>
    <t>Samples with DMSO</t>
  </si>
  <si>
    <t>Specific c-phycocyanin concentration</t>
  </si>
  <si>
    <t>Sonication settings</t>
  </si>
  <si>
    <t>mg CPC/g biomass</t>
  </si>
  <si>
    <t>Testing different buffers with sonication on the UTEX #1926 strain of Spirulina for c-phycocyanin extraction 03 March 2021</t>
  </si>
  <si>
    <t>Testing drying with sonication at 40% on the CeBER strain of Spirulina for c-phycocyanin extraction 22 &amp; 23 February 2021.</t>
  </si>
  <si>
    <t>Testing drying with sonication at 40% on the UTEX #1926 strain of Spirulina for c-phycocyanin extraction 22 &amp; 23 February 2021.</t>
  </si>
  <si>
    <t>Testing the freeze thaw method with sonication on the UTEX #1926 strain of Spirulina for c-phycocyanin extraction 2 December 2020</t>
  </si>
  <si>
    <t>Testing the freeze thaw method with sonication on the CeBER strain of Spirulina for c-phycocyanin extraction 1 December 2020</t>
  </si>
  <si>
    <t>Testing different sonicator settings on the UTEX #1926 strain of Spirulina for Pc-phycocyaninextraction 6 September 2022</t>
  </si>
  <si>
    <t>Testing different sonicator settings on the CeBER strain of Spirulina for c-phycocyanin extraction 7 September 2022</t>
  </si>
  <si>
    <t>Testing the effect of using DMSO on both the CeBER and UTEX #1926 strains of Spirulina for c-phycocyanin extraction 24 November 2020</t>
  </si>
  <si>
    <t>Testing bead beating for different durations on the UTEX #1926 strain of Spirulina for c-phycocyanin extraction 19 November 2020</t>
  </si>
  <si>
    <t>Testing bead beating for different durations on the CeBER strain of Spirulina for c-phycocyanin extraction 19 November 2020</t>
  </si>
  <si>
    <r>
      <t xml:space="preserve">C-phycocyanin was extracted from two </t>
    </r>
    <r>
      <rPr>
        <i/>
        <sz val="11"/>
        <color theme="1"/>
        <rFont val="Arial"/>
        <family val="2"/>
      </rPr>
      <t>Spirulina</t>
    </r>
    <r>
      <rPr>
        <sz val="11"/>
        <color theme="1"/>
        <rFont val="Arial"/>
        <family val="2"/>
      </rPr>
      <t xml:space="preserve"> strains, a type strain obtained from the University of Texas culture collection (UTEX #1926) and a Centre for Bioprocess Engineering Research (CeBER) strain previously isolated from a local tannery wastewater dam, using different techniques, including bead beating, sonication, drying, and freeze thawing.</t>
    </r>
  </si>
  <si>
    <t>Average specific c-phycocyanin concentration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</si>
</sst>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"/>
    <numFmt numFmtId="165" formatCode="0.0000"/>
    <numFmt numFmtId="166" formatCode="0.000"/>
    <numFmt numFmtId="167" formatCode="[$-F800]dddd\,\ mmmm\ dd\,\ yyyy"/>
    <numFmt numFmtId="168" formatCode="0.000000"/>
    <numFmt numFmtId="169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14"/>
      <name val="Arial"/>
      <family val="2"/>
    </font>
    <font>
      <sz val="11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sz val="14"/>
      <name val="Arial"/>
      <family val="2"/>
    </font>
    <font>
      <i/>
      <sz val="11"/>
      <color theme="1"/>
      <name val="Arial"/>
      <family val="2"/>
    </font>
    <font>
      <i/>
      <sz val="12"/>
      <color theme="0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3B6A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1E8FF"/>
        <bgColor indexed="64"/>
      </patternFill>
    </fill>
    <fill>
      <patternFill patternType="solid">
        <fgColor theme="4" tint="0.7999816888943144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26">
    <xf numFmtId="0" fontId="0" fillId="0" borderId="0" xfId="0"/>
    <xf numFmtId="0" fontId="4" fillId="0" borderId="0" xfId="0" applyFont="1" applyAlignment="1">
      <alignment vertical="top"/>
    </xf>
    <xf numFmtId="0" fontId="5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4" borderId="0" xfId="0" applyFont="1" applyFill="1" applyAlignment="1">
      <alignment horizontal="left" vertical="top" wrapText="1"/>
    </xf>
    <xf numFmtId="0" fontId="9" fillId="4" borderId="0" xfId="0" applyFont="1" applyFill="1" applyAlignment="1">
      <alignment horizontal="center" vertical="top" wrapText="1"/>
    </xf>
    <xf numFmtId="167" fontId="9" fillId="4" borderId="0" xfId="0" applyNumberFormat="1" applyFont="1" applyFill="1" applyAlignment="1">
      <alignment horizontal="left" vertical="top" wrapText="1"/>
    </xf>
    <xf numFmtId="0" fontId="9" fillId="4" borderId="5" xfId="0" applyFont="1" applyFill="1" applyBorder="1" applyAlignment="1">
      <alignment horizontal="left" vertical="top" wrapText="1"/>
    </xf>
    <xf numFmtId="0" fontId="9" fillId="4" borderId="5" xfId="0" applyFont="1" applyFill="1" applyBorder="1" applyAlignment="1">
      <alignment horizontal="center" vertical="top" wrapText="1"/>
    </xf>
    <xf numFmtId="167" fontId="9" fillId="4" borderId="5" xfId="0" applyNumberFormat="1" applyFont="1" applyFill="1" applyBorder="1" applyAlignment="1">
      <alignment horizontal="left" vertical="top" wrapText="1"/>
    </xf>
    <xf numFmtId="0" fontId="11" fillId="3" borderId="5" xfId="0" applyFont="1" applyFill="1" applyBorder="1" applyAlignment="1">
      <alignment vertical="top" wrapText="1"/>
    </xf>
    <xf numFmtId="0" fontId="11" fillId="5" borderId="5" xfId="0" applyFont="1" applyFill="1" applyBorder="1" applyAlignment="1">
      <alignment horizontal="center" vertical="top" wrapText="1"/>
    </xf>
    <xf numFmtId="0" fontId="11" fillId="4" borderId="5" xfId="0" applyFont="1" applyFill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7" fillId="5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vertical="center" wrapText="1"/>
    </xf>
    <xf numFmtId="0" fontId="7" fillId="4" borderId="0" xfId="0" applyFont="1" applyFill="1" applyAlignment="1">
      <alignment vertical="center" wrapText="1"/>
    </xf>
    <xf numFmtId="49" fontId="7" fillId="3" borderId="0" xfId="0" applyNumberFormat="1" applyFont="1" applyFill="1" applyAlignment="1">
      <alignment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/>
    </xf>
    <xf numFmtId="166" fontId="7" fillId="0" borderId="0" xfId="0" applyNumberFormat="1" applyFont="1" applyAlignment="1">
      <alignment horizontal="right"/>
    </xf>
    <xf numFmtId="166" fontId="7" fillId="0" borderId="0" xfId="0" applyNumberFormat="1" applyFont="1"/>
    <xf numFmtId="164" fontId="7" fillId="0" borderId="0" xfId="0" applyNumberFormat="1" applyFont="1"/>
    <xf numFmtId="2" fontId="7" fillId="0" borderId="0" xfId="0" applyNumberFormat="1" applyFont="1"/>
    <xf numFmtId="0" fontId="15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9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/>
    </xf>
    <xf numFmtId="0" fontId="7" fillId="4" borderId="20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7" fillId="0" borderId="29" xfId="0" applyFont="1" applyBorder="1"/>
    <xf numFmtId="0" fontId="7" fillId="0" borderId="29" xfId="0" applyFont="1" applyBorder="1" applyAlignment="1">
      <alignment horizontal="right"/>
    </xf>
    <xf numFmtId="166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7" fillId="5" borderId="18" xfId="1" applyFont="1" applyFill="1" applyBorder="1" applyAlignment="1">
      <alignment vertical="center"/>
    </xf>
    <xf numFmtId="0" fontId="7" fillId="5" borderId="25" xfId="1" applyFont="1" applyFill="1" applyBorder="1" applyAlignment="1">
      <alignment horizontal="center" vertical="center"/>
    </xf>
    <xf numFmtId="0" fontId="7" fillId="5" borderId="34" xfId="1" applyFont="1" applyFill="1" applyBorder="1" applyAlignment="1">
      <alignment horizontal="center" vertical="center"/>
    </xf>
    <xf numFmtId="0" fontId="7" fillId="5" borderId="17" xfId="1" applyFont="1" applyFill="1" applyBorder="1" applyAlignment="1">
      <alignment horizontal="center" vertical="center"/>
    </xf>
    <xf numFmtId="0" fontId="7" fillId="5" borderId="17" xfId="1" applyFont="1" applyFill="1" applyBorder="1" applyAlignment="1">
      <alignment horizontal="center" vertical="center" wrapText="1"/>
    </xf>
    <xf numFmtId="0" fontId="7" fillId="5" borderId="10" xfId="1" applyFont="1" applyFill="1" applyBorder="1" applyAlignment="1">
      <alignment horizontal="center" vertical="center"/>
    </xf>
    <xf numFmtId="0" fontId="7" fillId="5" borderId="9" xfId="1" applyFont="1" applyFill="1" applyBorder="1" applyAlignment="1">
      <alignment horizontal="center" vertical="center"/>
    </xf>
    <xf numFmtId="166" fontId="7" fillId="0" borderId="0" xfId="1" applyNumberFormat="1" applyFont="1" applyAlignment="1">
      <alignment horizontal="center" vertical="center"/>
    </xf>
    <xf numFmtId="168" fontId="7" fillId="0" borderId="0" xfId="1" applyNumberFormat="1" applyFont="1" applyAlignment="1">
      <alignment horizontal="center" vertical="center"/>
    </xf>
    <xf numFmtId="2" fontId="7" fillId="0" borderId="0" xfId="1" applyNumberFormat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20" fontId="7" fillId="0" borderId="0" xfId="1" applyNumberFormat="1" applyFont="1" applyAlignment="1">
      <alignment vertical="center"/>
    </xf>
    <xf numFmtId="2" fontId="7" fillId="0" borderId="0" xfId="1" applyNumberFormat="1" applyFont="1" applyAlignment="1">
      <alignment horizontal="center" vertical="center" wrapText="1"/>
    </xf>
    <xf numFmtId="20" fontId="15" fillId="0" borderId="0" xfId="1" applyNumberFormat="1" applyFont="1" applyAlignment="1">
      <alignment vertical="center"/>
    </xf>
    <xf numFmtId="1" fontId="15" fillId="0" borderId="0" xfId="1" applyNumberFormat="1" applyFont="1" applyAlignment="1">
      <alignment vertical="center"/>
    </xf>
    <xf numFmtId="166" fontId="15" fillId="0" borderId="0" xfId="1" applyNumberFormat="1" applyFont="1" applyAlignment="1">
      <alignment horizontal="center" vertical="center"/>
    </xf>
    <xf numFmtId="9" fontId="16" fillId="0" borderId="0" xfId="1" applyNumberFormat="1" applyFont="1" applyAlignment="1">
      <alignment vertical="center"/>
    </xf>
    <xf numFmtId="0" fontId="16" fillId="0" borderId="0" xfId="1" applyFont="1" applyAlignment="1">
      <alignment vertical="center"/>
    </xf>
    <xf numFmtId="12" fontId="15" fillId="0" borderId="0" xfId="1" applyNumberFormat="1" applyFont="1" applyAlignment="1">
      <alignment vertical="center"/>
    </xf>
    <xf numFmtId="12" fontId="7" fillId="0" borderId="0" xfId="1" applyNumberFormat="1" applyFont="1" applyAlignment="1">
      <alignment vertical="center"/>
    </xf>
    <xf numFmtId="1" fontId="7" fillId="0" borderId="0" xfId="1" applyNumberFormat="1" applyFont="1" applyAlignment="1">
      <alignment vertical="center"/>
    </xf>
    <xf numFmtId="9" fontId="7" fillId="0" borderId="0" xfId="1" applyNumberFormat="1" applyFont="1" applyAlignment="1">
      <alignment vertical="center"/>
    </xf>
    <xf numFmtId="0" fontId="7" fillId="0" borderId="0" xfId="1" applyFont="1" applyAlignment="1">
      <alignment vertical="center" textRotation="255" wrapText="1"/>
    </xf>
    <xf numFmtId="0" fontId="15" fillId="0" borderId="0" xfId="1" applyFont="1" applyAlignment="1">
      <alignment vertical="center"/>
    </xf>
    <xf numFmtId="1" fontId="7" fillId="0" borderId="0" xfId="1" applyNumberFormat="1" applyFont="1" applyAlignment="1">
      <alignment horizontal="center" vertical="center"/>
    </xf>
    <xf numFmtId="12" fontId="7" fillId="0" borderId="0" xfId="1" applyNumberFormat="1" applyFont="1" applyAlignment="1">
      <alignment horizontal="center" vertical="center"/>
    </xf>
    <xf numFmtId="0" fontId="7" fillId="5" borderId="30" xfId="1" applyFont="1" applyFill="1" applyBorder="1" applyAlignment="1">
      <alignment vertical="center"/>
    </xf>
    <xf numFmtId="0" fontId="15" fillId="0" borderId="0" xfId="0" applyFont="1" applyAlignment="1">
      <alignment horizontal="right"/>
    </xf>
    <xf numFmtId="0" fontId="7" fillId="0" borderId="8" xfId="0" applyFont="1" applyBorder="1"/>
    <xf numFmtId="0" fontId="15" fillId="0" borderId="29" xfId="0" applyFont="1" applyBorder="1"/>
    <xf numFmtId="0" fontId="7" fillId="0" borderId="41" xfId="0" applyFont="1" applyBorder="1"/>
    <xf numFmtId="0" fontId="7" fillId="4" borderId="13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0" borderId="24" xfId="0" applyFont="1" applyBorder="1"/>
    <xf numFmtId="0" fontId="7" fillId="5" borderId="0" xfId="1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 wrapText="1"/>
    </xf>
    <xf numFmtId="0" fontId="9" fillId="5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 wrapText="1"/>
    </xf>
    <xf numFmtId="0" fontId="8" fillId="3" borderId="0" xfId="0" applyFont="1" applyFill="1" applyAlignment="1">
      <alignment horizontal="left" vertical="top" wrapText="1"/>
    </xf>
    <xf numFmtId="0" fontId="7" fillId="4" borderId="0" xfId="0" applyFont="1" applyFill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7" fillId="5" borderId="18" xfId="0" applyFont="1" applyFill="1" applyBorder="1" applyAlignment="1">
      <alignment horizontal="center" vertical="center"/>
    </xf>
    <xf numFmtId="0" fontId="7" fillId="5" borderId="25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left" vertical="center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7" fillId="4" borderId="26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4" borderId="23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 wrapText="1"/>
    </xf>
    <xf numFmtId="0" fontId="7" fillId="4" borderId="27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5" borderId="18" xfId="1" applyFont="1" applyFill="1" applyBorder="1" applyAlignment="1">
      <alignment horizontal="center" vertical="center"/>
    </xf>
    <xf numFmtId="0" fontId="7" fillId="5" borderId="25" xfId="1" applyFont="1" applyFill="1" applyBorder="1" applyAlignment="1">
      <alignment horizontal="center" vertical="center"/>
    </xf>
    <xf numFmtId="0" fontId="7" fillId="5" borderId="33" xfId="1" applyFont="1" applyFill="1" applyBorder="1" applyAlignment="1">
      <alignment horizontal="center" vertical="center"/>
    </xf>
    <xf numFmtId="0" fontId="7" fillId="5" borderId="34" xfId="1" applyFont="1" applyFill="1" applyBorder="1" applyAlignment="1">
      <alignment horizontal="center" vertical="center"/>
    </xf>
    <xf numFmtId="0" fontId="7" fillId="5" borderId="17" xfId="1" applyFont="1" applyFill="1" applyBorder="1" applyAlignment="1">
      <alignment horizontal="center" vertical="center" wrapText="1"/>
    </xf>
    <xf numFmtId="0" fontId="7" fillId="5" borderId="25" xfId="1" applyFont="1" applyFill="1" applyBorder="1" applyAlignment="1">
      <alignment horizontal="center" vertical="center" wrapText="1"/>
    </xf>
    <xf numFmtId="0" fontId="7" fillId="5" borderId="14" xfId="1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/>
    </xf>
    <xf numFmtId="0" fontId="7" fillId="4" borderId="32" xfId="0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/>
    </xf>
    <xf numFmtId="0" fontId="9" fillId="0" borderId="24" xfId="0" applyFont="1" applyBorder="1" applyAlignment="1">
      <alignment horizontal="center"/>
    </xf>
    <xf numFmtId="165" fontId="9" fillId="0" borderId="24" xfId="0" applyNumberFormat="1" applyFont="1" applyBorder="1" applyAlignment="1">
      <alignment horizontal="center"/>
    </xf>
    <xf numFmtId="165" fontId="9" fillId="0" borderId="0" xfId="0" applyNumberFormat="1" applyFont="1" applyAlignment="1">
      <alignment horizontal="center"/>
    </xf>
    <xf numFmtId="0" fontId="9" fillId="6" borderId="0" xfId="0" applyFont="1" applyFill="1"/>
    <xf numFmtId="0" fontId="9" fillId="0" borderId="7" xfId="0" applyFont="1" applyBorder="1"/>
    <xf numFmtId="165" fontId="9" fillId="0" borderId="26" xfId="0" applyNumberFormat="1" applyFont="1" applyBorder="1" applyAlignment="1">
      <alignment horizontal="center"/>
    </xf>
    <xf numFmtId="165" fontId="9" fillId="0" borderId="27" xfId="0" applyNumberFormat="1" applyFont="1" applyBorder="1" applyAlignment="1">
      <alignment horizontal="center"/>
    </xf>
    <xf numFmtId="165" fontId="9" fillId="0" borderId="18" xfId="0" applyNumberFormat="1" applyFont="1" applyBorder="1" applyAlignment="1">
      <alignment horizontal="center"/>
    </xf>
    <xf numFmtId="165" fontId="9" fillId="0" borderId="25" xfId="0" applyNumberFormat="1" applyFont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6" fontId="9" fillId="0" borderId="24" xfId="0" applyNumberFormat="1" applyFont="1" applyBorder="1" applyAlignment="1">
      <alignment horizontal="right"/>
    </xf>
    <xf numFmtId="166" fontId="9" fillId="0" borderId="0" xfId="0" applyNumberFormat="1" applyFont="1" applyAlignment="1">
      <alignment horizontal="right"/>
    </xf>
    <xf numFmtId="166" fontId="9" fillId="0" borderId="0" xfId="0" applyNumberFormat="1" applyFont="1"/>
    <xf numFmtId="164" fontId="9" fillId="0" borderId="0" xfId="0" applyNumberFormat="1" applyFont="1"/>
    <xf numFmtId="2" fontId="9" fillId="0" borderId="0" xfId="0" applyNumberFormat="1" applyFont="1"/>
    <xf numFmtId="2" fontId="9" fillId="6" borderId="0" xfId="0" applyNumberFormat="1" applyFont="1" applyFill="1"/>
    <xf numFmtId="2" fontId="9" fillId="0" borderId="7" xfId="0" applyNumberFormat="1" applyFont="1" applyBorder="1"/>
    <xf numFmtId="9" fontId="17" fillId="0" borderId="0" xfId="2" applyFont="1"/>
    <xf numFmtId="166" fontId="17" fillId="0" borderId="0" xfId="0" applyNumberFormat="1" applyFont="1"/>
    <xf numFmtId="169" fontId="17" fillId="0" borderId="0" xfId="2" applyNumberFormat="1" applyFont="1"/>
    <xf numFmtId="0" fontId="17" fillId="0" borderId="0" xfId="0" applyFont="1"/>
    <xf numFmtId="0" fontId="9" fillId="0" borderId="5" xfId="0" applyFont="1" applyBorder="1"/>
    <xf numFmtId="166" fontId="9" fillId="0" borderId="15" xfId="0" applyNumberFormat="1" applyFont="1" applyBorder="1" applyAlignment="1">
      <alignment horizontal="right"/>
    </xf>
    <xf numFmtId="166" fontId="9" fillId="0" borderId="5" xfId="0" applyNumberFormat="1" applyFont="1" applyBorder="1" applyAlignment="1">
      <alignment horizontal="right"/>
    </xf>
    <xf numFmtId="166" fontId="9" fillId="0" borderId="5" xfId="0" applyNumberFormat="1" applyFont="1" applyBorder="1"/>
    <xf numFmtId="164" fontId="9" fillId="0" borderId="5" xfId="0" applyNumberFormat="1" applyFont="1" applyBorder="1"/>
    <xf numFmtId="2" fontId="9" fillId="0" borderId="5" xfId="0" applyNumberFormat="1" applyFont="1" applyBorder="1"/>
    <xf numFmtId="2" fontId="9" fillId="6" borderId="5" xfId="0" applyNumberFormat="1" applyFont="1" applyFill="1" applyBorder="1"/>
    <xf numFmtId="2" fontId="9" fillId="0" borderId="4" xfId="0" applyNumberFormat="1" applyFont="1" applyBorder="1"/>
    <xf numFmtId="0" fontId="9" fillId="0" borderId="1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9" fontId="9" fillId="0" borderId="24" xfId="0" applyNumberFormat="1" applyFont="1" applyBorder="1" applyAlignment="1">
      <alignment horizontal="center" vertical="center"/>
    </xf>
    <xf numFmtId="166" fontId="18" fillId="0" borderId="24" xfId="0" applyNumberFormat="1" applyFont="1" applyBorder="1" applyAlignment="1">
      <alignment horizontal="right"/>
    </xf>
    <xf numFmtId="166" fontId="18" fillId="0" borderId="0" xfId="0" applyNumberFormat="1" applyFont="1" applyAlignment="1">
      <alignment horizontal="right"/>
    </xf>
    <xf numFmtId="166" fontId="18" fillId="0" borderId="0" xfId="0" applyNumberFormat="1" applyFont="1"/>
    <xf numFmtId="9" fontId="9" fillId="0" borderId="24" xfId="0" applyNumberFormat="1" applyFont="1" applyBorder="1" applyAlignment="1">
      <alignment horizontal="center" vertical="center" wrapText="1"/>
    </xf>
    <xf numFmtId="166" fontId="18" fillId="0" borderId="15" xfId="0" applyNumberFormat="1" applyFont="1" applyBorder="1" applyAlignment="1">
      <alignment horizontal="right"/>
    </xf>
    <xf numFmtId="166" fontId="18" fillId="0" borderId="5" xfId="0" applyNumberFormat="1" applyFont="1" applyBorder="1" applyAlignment="1">
      <alignment horizontal="right"/>
    </xf>
    <xf numFmtId="166" fontId="18" fillId="0" borderId="5" xfId="0" applyNumberFormat="1" applyFont="1" applyBorder="1"/>
    <xf numFmtId="0" fontId="9" fillId="0" borderId="24" xfId="0" applyFont="1" applyBorder="1"/>
    <xf numFmtId="9" fontId="9" fillId="0" borderId="35" xfId="1" applyNumberFormat="1" applyFont="1" applyBorder="1" applyAlignment="1">
      <alignment horizontal="center" vertical="center"/>
    </xf>
    <xf numFmtId="166" fontId="9" fillId="0" borderId="24" xfId="1" applyNumberFormat="1" applyFont="1" applyBorder="1" applyAlignment="1">
      <alignment horizontal="center" vertical="center"/>
    </xf>
    <xf numFmtId="166" fontId="9" fillId="0" borderId="0" xfId="1" applyNumberFormat="1" applyFont="1" applyAlignment="1">
      <alignment horizontal="center" vertical="center"/>
    </xf>
    <xf numFmtId="168" fontId="9" fillId="0" borderId="0" xfId="1" applyNumberFormat="1" applyFont="1" applyAlignment="1">
      <alignment horizontal="center" vertical="center"/>
    </xf>
    <xf numFmtId="2" fontId="9" fillId="0" borderId="0" xfId="1" applyNumberFormat="1" applyFont="1" applyAlignment="1">
      <alignment horizontal="center" vertical="center"/>
    </xf>
    <xf numFmtId="2" fontId="9" fillId="6" borderId="0" xfId="1" applyNumberFormat="1" applyFont="1" applyFill="1" applyAlignment="1">
      <alignment horizontal="center" vertical="center" wrapText="1"/>
    </xf>
    <xf numFmtId="2" fontId="9" fillId="0" borderId="7" xfId="1" applyNumberFormat="1" applyFont="1" applyBorder="1" applyAlignment="1">
      <alignment horizontal="center" vertical="center"/>
    </xf>
    <xf numFmtId="20" fontId="9" fillId="0" borderId="35" xfId="1" applyNumberFormat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166" fontId="9" fillId="0" borderId="26" xfId="1" applyNumberFormat="1" applyFont="1" applyBorder="1" applyAlignment="1">
      <alignment horizontal="center" vertical="center"/>
    </xf>
    <xf numFmtId="166" fontId="9" fillId="0" borderId="27" xfId="1" applyNumberFormat="1" applyFont="1" applyBorder="1" applyAlignment="1">
      <alignment horizontal="center" vertical="center"/>
    </xf>
    <xf numFmtId="166" fontId="9" fillId="0" borderId="0" xfId="0" applyNumberFormat="1" applyFont="1" applyAlignment="1">
      <alignment horizontal="center" vertical="center"/>
    </xf>
    <xf numFmtId="20" fontId="9" fillId="0" borderId="36" xfId="1" applyNumberFormat="1" applyFont="1" applyBorder="1" applyAlignment="1">
      <alignment horizontal="center" vertical="center"/>
    </xf>
    <xf numFmtId="0" fontId="9" fillId="0" borderId="37" xfId="1" applyFont="1" applyBorder="1" applyAlignment="1">
      <alignment horizontal="center" vertical="center"/>
    </xf>
    <xf numFmtId="166" fontId="9" fillId="0" borderId="18" xfId="1" applyNumberFormat="1" applyFont="1" applyBorder="1" applyAlignment="1">
      <alignment horizontal="center" vertical="center"/>
    </xf>
    <xf numFmtId="166" fontId="9" fillId="0" borderId="25" xfId="1" applyNumberFormat="1" applyFont="1" applyBorder="1" applyAlignment="1">
      <alignment horizontal="center" vertical="center"/>
    </xf>
    <xf numFmtId="0" fontId="9" fillId="0" borderId="35" xfId="1" applyFont="1" applyBorder="1" applyAlignment="1">
      <alignment horizontal="center" vertical="center"/>
    </xf>
    <xf numFmtId="0" fontId="9" fillId="0" borderId="8" xfId="0" applyFont="1" applyBorder="1"/>
    <xf numFmtId="0" fontId="9" fillId="0" borderId="38" xfId="1" applyFont="1" applyBorder="1" applyAlignment="1">
      <alignment horizontal="center" vertical="center"/>
    </xf>
    <xf numFmtId="166" fontId="9" fillId="0" borderId="15" xfId="1" applyNumberFormat="1" applyFont="1" applyBorder="1" applyAlignment="1">
      <alignment horizontal="center" vertical="center"/>
    </xf>
    <xf numFmtId="166" fontId="9" fillId="0" borderId="5" xfId="1" applyNumberFormat="1" applyFont="1" applyBorder="1" applyAlignment="1">
      <alignment horizontal="center" vertical="center"/>
    </xf>
    <xf numFmtId="166" fontId="9" fillId="0" borderId="5" xfId="0" applyNumberFormat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168" fontId="9" fillId="0" borderId="5" xfId="1" applyNumberFormat="1" applyFont="1" applyBorder="1" applyAlignment="1">
      <alignment horizontal="center" vertical="center"/>
    </xf>
    <xf numFmtId="2" fontId="9" fillId="0" borderId="5" xfId="1" applyNumberFormat="1" applyFont="1" applyBorder="1" applyAlignment="1">
      <alignment horizontal="center" vertical="center"/>
    </xf>
    <xf numFmtId="2" fontId="9" fillId="6" borderId="5" xfId="1" applyNumberFormat="1" applyFont="1" applyFill="1" applyBorder="1" applyAlignment="1">
      <alignment horizontal="center" vertical="center" wrapText="1"/>
    </xf>
    <xf numFmtId="2" fontId="9" fillId="0" borderId="4" xfId="1" applyNumberFormat="1" applyFont="1" applyBorder="1" applyAlignment="1">
      <alignment horizontal="center" vertical="center"/>
    </xf>
    <xf numFmtId="0" fontId="7" fillId="4" borderId="26" xfId="1" applyFont="1" applyFill="1" applyBorder="1" applyAlignment="1">
      <alignment horizontal="center" vertical="center" wrapText="1"/>
    </xf>
    <xf numFmtId="0" fontId="7" fillId="4" borderId="26" xfId="1" applyFont="1" applyFill="1" applyBorder="1" applyAlignment="1">
      <alignment horizontal="center" vertical="center"/>
    </xf>
    <xf numFmtId="0" fontId="7" fillId="4" borderId="27" xfId="1" applyFont="1" applyFill="1" applyBorder="1" applyAlignment="1">
      <alignment horizontal="center" vertical="center"/>
    </xf>
    <xf numFmtId="0" fontId="7" fillId="4" borderId="42" xfId="1" applyFont="1" applyFill="1" applyBorder="1" applyAlignment="1">
      <alignment horizontal="center" vertical="center"/>
    </xf>
    <xf numFmtId="0" fontId="7" fillId="4" borderId="43" xfId="1" applyFont="1" applyFill="1" applyBorder="1" applyAlignment="1">
      <alignment horizontal="center" vertical="center"/>
    </xf>
    <xf numFmtId="0" fontId="7" fillId="4" borderId="44" xfId="1" applyFont="1" applyFill="1" applyBorder="1" applyAlignment="1">
      <alignment horizontal="center" vertical="center"/>
    </xf>
    <xf numFmtId="0" fontId="7" fillId="4" borderId="22" xfId="1" applyFont="1" applyFill="1" applyBorder="1" applyAlignment="1">
      <alignment horizontal="center" vertical="center" wrapText="1"/>
    </xf>
    <xf numFmtId="0" fontId="7" fillId="4" borderId="22" xfId="1" applyFont="1" applyFill="1" applyBorder="1" applyAlignment="1">
      <alignment horizontal="center" vertical="center" wrapText="1"/>
    </xf>
    <xf numFmtId="0" fontId="7" fillId="4" borderId="27" xfId="1" applyFont="1" applyFill="1" applyBorder="1" applyAlignment="1">
      <alignment horizontal="center" vertical="center" wrapText="1"/>
    </xf>
    <xf numFmtId="0" fontId="7" fillId="4" borderId="23" xfId="1" applyFont="1" applyFill="1" applyBorder="1" applyAlignment="1">
      <alignment horizontal="center" vertical="center" wrapText="1"/>
    </xf>
    <xf numFmtId="0" fontId="7" fillId="4" borderId="21" xfId="1" applyFont="1" applyFill="1" applyBorder="1" applyAlignment="1">
      <alignment horizontal="center" vertical="center" wrapText="1"/>
    </xf>
    <xf numFmtId="0" fontId="7" fillId="4" borderId="20" xfId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left" vertical="center"/>
    </xf>
    <xf numFmtId="9" fontId="9" fillId="0" borderId="8" xfId="1" applyNumberFormat="1" applyFont="1" applyBorder="1" applyAlignment="1">
      <alignment horizontal="center" vertical="center"/>
    </xf>
    <xf numFmtId="20" fontId="9" fillId="0" borderId="8" xfId="1" applyNumberFormat="1" applyFont="1" applyBorder="1" applyAlignment="1">
      <alignment horizontal="center" vertical="center"/>
    </xf>
    <xf numFmtId="20" fontId="9" fillId="0" borderId="40" xfId="1" applyNumberFormat="1" applyFont="1" applyBorder="1" applyAlignment="1">
      <alignment horizontal="center" vertical="center"/>
    </xf>
    <xf numFmtId="0" fontId="9" fillId="0" borderId="39" xfId="1" applyFont="1" applyBorder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9" fillId="0" borderId="27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7" fillId="4" borderId="45" xfId="1" applyFont="1" applyFill="1" applyBorder="1" applyAlignment="1">
      <alignment vertical="center"/>
    </xf>
    <xf numFmtId="0" fontId="7" fillId="4" borderId="43" xfId="1" applyFont="1" applyFill="1" applyBorder="1" applyAlignment="1">
      <alignment horizontal="center" vertical="center"/>
    </xf>
    <xf numFmtId="0" fontId="9" fillId="0" borderId="6" xfId="0" applyFont="1" applyBorder="1"/>
    <xf numFmtId="2" fontId="9" fillId="7" borderId="0" xfId="0" applyNumberFormat="1" applyFont="1" applyFill="1"/>
    <xf numFmtId="2" fontId="9" fillId="7" borderId="5" xfId="0" applyNumberFormat="1" applyFont="1" applyFill="1" applyBorder="1"/>
    <xf numFmtId="0" fontId="9" fillId="0" borderId="4" xfId="0" applyFont="1" applyBorder="1"/>
    <xf numFmtId="0" fontId="11" fillId="0" borderId="15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4" xfId="0" applyFont="1" applyBorder="1" applyAlignment="1">
      <alignment horizontal="center"/>
    </xf>
  </cellXfs>
  <cellStyles count="3">
    <cellStyle name="Normal" xfId="0" builtinId="0"/>
    <cellStyle name="Normal 2" xfId="1" xr:uid="{BEF5F7DF-166A-4E4F-8261-F2C0B1297907}"/>
    <cellStyle name="Per cent" xfId="2" builtinId="5"/>
  </cellStyles>
  <dxfs count="0"/>
  <tableStyles count="0" defaultTableStyle="TableStyleMedium2" defaultPivotStyle="PivotStyleLight16"/>
  <colors>
    <mruColors>
      <color rgb="FFD9D9D9"/>
      <color rgb="FFE1E8FF"/>
      <color rgb="FF3B6AFF"/>
      <color rgb="FFABB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OD at 750 nm = 3.19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('Bead Beating CeBER'!$P$10,'Bead Beating CeBER'!$P$16,'Bead Beating CeBER'!$P$22)</c:f>
                <c:numCache>
                  <c:formatCode>General</c:formatCode>
                  <c:ptCount val="3"/>
                  <c:pt idx="0">
                    <c:v>1.5163871712590355</c:v>
                  </c:pt>
                  <c:pt idx="1">
                    <c:v>2.3446238123342527</c:v>
                  </c:pt>
                  <c:pt idx="2">
                    <c:v>0.35521710730195183</c:v>
                  </c:pt>
                </c:numCache>
              </c:numRef>
            </c:plus>
            <c:minus>
              <c:numRef>
                <c:f>('Bead Beating CeBER'!$P$10,'Bead Beating CeBER'!$P$16,'Bead Beating CeBER'!$P$22)</c:f>
                <c:numCache>
                  <c:formatCode>General</c:formatCode>
                  <c:ptCount val="3"/>
                  <c:pt idx="0">
                    <c:v>1.5163871712590355</c:v>
                  </c:pt>
                  <c:pt idx="1">
                    <c:v>2.3446238123342527</c:v>
                  </c:pt>
                  <c:pt idx="2">
                    <c:v>0.35521710730195183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('Bead Beating CeBER'!$N$10,'Bead Beating CeBER'!$N$16,'Bead Beating CeBER'!$N$22)</c:f>
              <c:numCache>
                <c:formatCode>0.00</c:formatCode>
                <c:ptCount val="3"/>
                <c:pt idx="0">
                  <c:v>41.253040426498323</c:v>
                </c:pt>
                <c:pt idx="1">
                  <c:v>42.658372627673998</c:v>
                </c:pt>
                <c:pt idx="2">
                  <c:v>42.7239562341151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'Bead Beating CeBER'!#REF!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1-D5A3-A147-981D-A1D98E030D63}"/>
            </c:ext>
          </c:extLst>
        </c:ser>
        <c:ser>
          <c:idx val="1"/>
          <c:order val="1"/>
          <c:tx>
            <c:v>OD at 750 nm = 0.531</c:v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('Bead Beating CeBER'!$P$13,'Bead Beating CeBER'!$P$19,'Bead Beating CeBER'!$P$25)</c:f>
                <c:numCache>
                  <c:formatCode>General</c:formatCode>
                  <c:ptCount val="3"/>
                  <c:pt idx="0">
                    <c:v>1.9234794012654068</c:v>
                  </c:pt>
                  <c:pt idx="1">
                    <c:v>3.0144478888610551</c:v>
                  </c:pt>
                  <c:pt idx="2">
                    <c:v>0.63321947712756055</c:v>
                  </c:pt>
                </c:numCache>
              </c:numRef>
            </c:plus>
            <c:minus>
              <c:numRef>
                <c:f>('Bead Beating CeBER'!$P$13,'Bead Beating CeBER'!$P$19,'Bead Beating CeBER'!$P$25)</c:f>
                <c:numCache>
                  <c:formatCode>General</c:formatCode>
                  <c:ptCount val="3"/>
                  <c:pt idx="0">
                    <c:v>1.9234794012654068</c:v>
                  </c:pt>
                  <c:pt idx="1">
                    <c:v>3.0144478888610551</c:v>
                  </c:pt>
                  <c:pt idx="2">
                    <c:v>0.63321947712756055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('Bead Beating CeBER'!$N$13,'Bead Beating CeBER'!$N$19,'Bead Beating CeBER'!$N$25)</c:f>
              <c:numCache>
                <c:formatCode>0.00</c:formatCode>
                <c:ptCount val="3"/>
                <c:pt idx="0">
                  <c:v>19.416816397012511</c:v>
                </c:pt>
                <c:pt idx="1">
                  <c:v>18.446656730761678</c:v>
                </c:pt>
                <c:pt idx="2">
                  <c:v>8.4422453663663237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'Bead Beating CeBER'!#REF!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2-D5A3-A147-981D-A1D98E030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6066992"/>
        <c:axId val="1173773408"/>
      </c:barChart>
      <c:catAx>
        <c:axId val="1126066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D9D9D9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73773408"/>
        <c:crosses val="autoZero"/>
        <c:auto val="1"/>
        <c:lblAlgn val="ctr"/>
        <c:lblOffset val="100"/>
        <c:noMultiLvlLbl val="0"/>
      </c:catAx>
      <c:valAx>
        <c:axId val="11737734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b="1"/>
                  <a:t>Specific</a:t>
                </a:r>
                <a:r>
                  <a:rPr lang="en-GB" b="1" baseline="0"/>
                  <a:t> concentration of c-phycocyanin</a:t>
                </a:r>
                <a:r>
                  <a:rPr lang="en-GB" b="1"/>
                  <a:t> (mg cPC.(g biomass)</a:t>
                </a:r>
                <a:r>
                  <a:rPr lang="en-GB" b="1" baseline="30000"/>
                  <a:t>-1</a:t>
                </a:r>
                <a:r>
                  <a:rPr lang="en-GB" b="1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26066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OD at 750 nm = 0.365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('Drying CeBER'!$R$7,'Drying CeBER'!$R$16)</c:f>
                <c:numCache>
                  <c:formatCode>General</c:formatCode>
                  <c:ptCount val="2"/>
                  <c:pt idx="0">
                    <c:v>0.59472232720915308</c:v>
                  </c:pt>
                  <c:pt idx="1">
                    <c:v>0.7116539916549276</c:v>
                  </c:pt>
                </c:numCache>
              </c:numRef>
            </c:plus>
            <c:minus>
              <c:numRef>
                <c:f>('Drying CeBER'!$R$7,'Drying CeBER'!$R$16)</c:f>
                <c:numCache>
                  <c:formatCode>General</c:formatCode>
                  <c:ptCount val="2"/>
                  <c:pt idx="0">
                    <c:v>0.59472232720915308</c:v>
                  </c:pt>
                  <c:pt idx="1">
                    <c:v>0.7116539916549276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'Drying CeBER'!$A$21:$A$22</c:f>
              <c:strCache>
                <c:ptCount val="2"/>
                <c:pt idx="0">
                  <c:v>Fresh samples</c:v>
                </c:pt>
                <c:pt idx="1">
                  <c:v>Dried samples</c:v>
                </c:pt>
              </c:strCache>
            </c:strRef>
          </c:cat>
          <c:val>
            <c:numRef>
              <c:f>('Drying CeBER'!$P$7,'Drying CeBER'!$P$16)</c:f>
              <c:numCache>
                <c:formatCode>0.00</c:formatCode>
                <c:ptCount val="2"/>
                <c:pt idx="0">
                  <c:v>22.332638409689256</c:v>
                </c:pt>
                <c:pt idx="1">
                  <c:v>17.384321503401203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EE-B64A-A787-AEF7EF48CA8A}"/>
            </c:ext>
          </c:extLst>
        </c:ser>
        <c:ser>
          <c:idx val="2"/>
          <c:order val="1"/>
          <c:tx>
            <c:v>OD at 750 nm = 0.091</c:v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('Drying CeBER'!$R$10,'Drying CeBER'!$R$19)</c:f>
                <c:numCache>
                  <c:formatCode>General</c:formatCode>
                  <c:ptCount val="2"/>
                  <c:pt idx="0">
                    <c:v>1.9383720076115694</c:v>
                  </c:pt>
                  <c:pt idx="1">
                    <c:v>2.4545175067083633</c:v>
                  </c:pt>
                </c:numCache>
              </c:numRef>
            </c:plus>
            <c:minus>
              <c:numRef>
                <c:f>('Drying CeBER'!$R$10,'Drying CeBER'!$R$19)</c:f>
                <c:numCache>
                  <c:formatCode>General</c:formatCode>
                  <c:ptCount val="2"/>
                  <c:pt idx="0">
                    <c:v>1.9383720076115694</c:v>
                  </c:pt>
                  <c:pt idx="1">
                    <c:v>2.4545175067083633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'Drying CeBER'!$A$21:$A$22</c:f>
              <c:strCache>
                <c:ptCount val="2"/>
                <c:pt idx="0">
                  <c:v>Fresh samples</c:v>
                </c:pt>
                <c:pt idx="1">
                  <c:v>Dried samples</c:v>
                </c:pt>
              </c:strCache>
            </c:strRef>
          </c:cat>
          <c:val>
            <c:numRef>
              <c:f>('Drying CeBER'!$P$10,'Drying CeBER'!$P$19)</c:f>
              <c:numCache>
                <c:formatCode>0.00</c:formatCode>
                <c:ptCount val="2"/>
                <c:pt idx="0">
                  <c:v>41.274539114276486</c:v>
                </c:pt>
                <c:pt idx="1">
                  <c:v>33.734052173198585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EE-B64A-A787-AEF7EF48CA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012299648"/>
        <c:axId val="1053979456"/>
      </c:barChart>
      <c:catAx>
        <c:axId val="101229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53979456"/>
        <c:crosses val="autoZero"/>
        <c:auto val="1"/>
        <c:lblAlgn val="ctr"/>
        <c:lblOffset val="100"/>
        <c:noMultiLvlLbl val="0"/>
      </c:catAx>
      <c:valAx>
        <c:axId val="10539794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b="1"/>
                  <a:t>Specific</a:t>
                </a:r>
                <a:r>
                  <a:rPr lang="en-GB" b="1" baseline="0"/>
                  <a:t> c-phycocyanin concentration</a:t>
                </a:r>
                <a:r>
                  <a:rPr lang="en-GB" b="1"/>
                  <a:t> (mg cPC.(g biomass)</a:t>
                </a:r>
                <a:r>
                  <a:rPr lang="en-GB" b="1" baseline="30000"/>
                  <a:t>-1</a:t>
                </a:r>
                <a:r>
                  <a:rPr lang="en-GB" b="1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in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12299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OD at 750 nm = 0.379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('Drying UTEX #1926'!$R$7,'Drying UTEX #1926'!$R$16)</c:f>
                <c:numCache>
                  <c:formatCode>General</c:formatCode>
                  <c:ptCount val="2"/>
                  <c:pt idx="0">
                    <c:v>0.78622950293762939</c:v>
                  </c:pt>
                  <c:pt idx="1">
                    <c:v>1.2202752112000927</c:v>
                  </c:pt>
                </c:numCache>
              </c:numRef>
            </c:plus>
            <c:minus>
              <c:numRef>
                <c:f>('Drying UTEX #1926'!$R$7,'Drying UTEX #1926'!$R$16)</c:f>
                <c:numCache>
                  <c:formatCode>General</c:formatCode>
                  <c:ptCount val="2"/>
                  <c:pt idx="0">
                    <c:v>0.78622950293762939</c:v>
                  </c:pt>
                  <c:pt idx="1">
                    <c:v>1.2202752112000927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'Drying UTEX #1926'!$A$21:$A$22</c:f>
              <c:strCache>
                <c:ptCount val="2"/>
                <c:pt idx="0">
                  <c:v>Fresh samples</c:v>
                </c:pt>
                <c:pt idx="1">
                  <c:v>Dried samples</c:v>
                </c:pt>
              </c:strCache>
            </c:strRef>
          </c:cat>
          <c:val>
            <c:numRef>
              <c:f>('Drying UTEX #1926'!$P$7,'Drying UTEX #1926'!$P$16)</c:f>
              <c:numCache>
                <c:formatCode>0.00</c:formatCode>
                <c:ptCount val="2"/>
                <c:pt idx="0">
                  <c:v>18.315744817201296</c:v>
                </c:pt>
                <c:pt idx="1">
                  <c:v>19.174714428903528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39-DB45-B749-43D7849150CD}"/>
            </c:ext>
          </c:extLst>
        </c:ser>
        <c:ser>
          <c:idx val="2"/>
          <c:order val="1"/>
          <c:tx>
            <c:v>OD at 750 nm = 0.095</c:v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('Drying UTEX #1926'!$R$10,'Drying UTEX #1926'!$R$19)</c:f>
                <c:numCache>
                  <c:formatCode>General</c:formatCode>
                  <c:ptCount val="2"/>
                  <c:pt idx="0">
                    <c:v>2.2885056068915945</c:v>
                  </c:pt>
                  <c:pt idx="1">
                    <c:v>1.7152322287516337</c:v>
                  </c:pt>
                </c:numCache>
              </c:numRef>
            </c:plus>
            <c:minus>
              <c:numRef>
                <c:f>('Drying UTEX #1926'!$R$10,'Drying UTEX #1926'!$R$19)</c:f>
                <c:numCache>
                  <c:formatCode>General</c:formatCode>
                  <c:ptCount val="2"/>
                  <c:pt idx="0">
                    <c:v>2.2885056068915945</c:v>
                  </c:pt>
                  <c:pt idx="1">
                    <c:v>1.7152322287516337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'Drying UTEX #1926'!$A$21:$A$22</c:f>
              <c:strCache>
                <c:ptCount val="2"/>
                <c:pt idx="0">
                  <c:v>Fresh samples</c:v>
                </c:pt>
                <c:pt idx="1">
                  <c:v>Dried samples</c:v>
                </c:pt>
              </c:strCache>
            </c:strRef>
          </c:cat>
          <c:val>
            <c:numRef>
              <c:f>('Drying UTEX #1926'!$P$10,'Drying UTEX #1926'!$P$19)</c:f>
              <c:numCache>
                <c:formatCode>0.00</c:formatCode>
                <c:ptCount val="2"/>
                <c:pt idx="0">
                  <c:v>31.246451901831676</c:v>
                </c:pt>
                <c:pt idx="1">
                  <c:v>31.082660807818041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39-DB45-B749-43D784915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012299648"/>
        <c:axId val="1053979456"/>
      </c:barChart>
      <c:catAx>
        <c:axId val="101229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53979456"/>
        <c:crosses val="autoZero"/>
        <c:auto val="1"/>
        <c:lblAlgn val="ctr"/>
        <c:lblOffset val="100"/>
        <c:noMultiLvlLbl val="0"/>
      </c:catAx>
      <c:valAx>
        <c:axId val="10539794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b="1"/>
                  <a:t>Specific</a:t>
                </a:r>
                <a:r>
                  <a:rPr lang="en-GB" b="1" baseline="0"/>
                  <a:t> c-phycocyanin concentration</a:t>
                </a:r>
                <a:r>
                  <a:rPr lang="en-GB" b="1"/>
                  <a:t> (mg cPC.(g biomass)</a:t>
                </a:r>
                <a:r>
                  <a:rPr lang="en-GB" b="1" baseline="30000"/>
                  <a:t>-1</a:t>
                </a:r>
                <a:r>
                  <a:rPr lang="en-GB" b="1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1"/>
        <c:majorTickMark val="in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12299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OD at 750 nm = 1.97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('Buffer testing'!$O$7,'Buffer testing'!$O$16)</c:f>
                <c:numCache>
                  <c:formatCode>General</c:formatCode>
                  <c:ptCount val="2"/>
                  <c:pt idx="0">
                    <c:v>0.4471641495011589</c:v>
                  </c:pt>
                  <c:pt idx="1">
                    <c:v>1.4170716809970678</c:v>
                  </c:pt>
                </c:numCache>
              </c:numRef>
            </c:plus>
            <c:minus>
              <c:numRef>
                <c:f>('Buffer testing'!$O$7,'Buffer testing'!$O$16)</c:f>
                <c:numCache>
                  <c:formatCode>General</c:formatCode>
                  <c:ptCount val="2"/>
                  <c:pt idx="0">
                    <c:v>0.4471641495011589</c:v>
                  </c:pt>
                  <c:pt idx="1">
                    <c:v>1.4170716809970678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'Buffer testing'!$Q$10:$Q$11</c:f>
              <c:strCache>
                <c:ptCount val="2"/>
                <c:pt idx="0">
                  <c:v>Phosphate buffer</c:v>
                </c:pt>
                <c:pt idx="1">
                  <c:v>Citrate buffer</c:v>
                </c:pt>
              </c:strCache>
            </c:strRef>
          </c:cat>
          <c:val>
            <c:numRef>
              <c:f>('Buffer testing'!$M$7,'Buffer testing'!$M$16)</c:f>
              <c:numCache>
                <c:formatCode>0.00</c:formatCode>
                <c:ptCount val="2"/>
                <c:pt idx="0">
                  <c:v>18.100549018292863</c:v>
                </c:pt>
                <c:pt idx="1">
                  <c:v>8.5305475105215489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2E-422D-B870-170AD76BEA99}"/>
            </c:ext>
          </c:extLst>
        </c:ser>
        <c:ser>
          <c:idx val="2"/>
          <c:order val="1"/>
          <c:tx>
            <c:v>OD at 750 nm = 0.492</c:v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('Buffer testing'!$O$10,'Buffer testing'!$O$19)</c:f>
                <c:numCache>
                  <c:formatCode>General</c:formatCode>
                  <c:ptCount val="2"/>
                  <c:pt idx="0">
                    <c:v>4.2828904450537282</c:v>
                  </c:pt>
                  <c:pt idx="1">
                    <c:v>1.0885113301694369</c:v>
                  </c:pt>
                </c:numCache>
              </c:numRef>
            </c:plus>
            <c:minus>
              <c:numRef>
                <c:f>('Buffer testing'!$O$10,'Buffer testing'!$O$19)</c:f>
                <c:numCache>
                  <c:formatCode>General</c:formatCode>
                  <c:ptCount val="2"/>
                  <c:pt idx="0">
                    <c:v>4.2828904450537282</c:v>
                  </c:pt>
                  <c:pt idx="1">
                    <c:v>1.0885113301694369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'Buffer testing'!$Q$10:$Q$11</c:f>
              <c:strCache>
                <c:ptCount val="2"/>
                <c:pt idx="0">
                  <c:v>Phosphate buffer</c:v>
                </c:pt>
                <c:pt idx="1">
                  <c:v>Citrate buffer</c:v>
                </c:pt>
              </c:strCache>
            </c:strRef>
          </c:cat>
          <c:val>
            <c:numRef>
              <c:f>('Buffer testing'!$M$10,'Buffer testing'!$M$19)</c:f>
              <c:numCache>
                <c:formatCode>0.00</c:formatCode>
                <c:ptCount val="2"/>
                <c:pt idx="0">
                  <c:v>50.834985143441337</c:v>
                </c:pt>
                <c:pt idx="1">
                  <c:v>28.174513692404275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2E-422D-B870-170AD76BEA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718850431"/>
        <c:axId val="1718850847"/>
      </c:barChart>
      <c:catAx>
        <c:axId val="1718850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18850847"/>
        <c:crosses val="autoZero"/>
        <c:auto val="1"/>
        <c:lblAlgn val="ctr"/>
        <c:lblOffset val="100"/>
        <c:noMultiLvlLbl val="0"/>
      </c:catAx>
      <c:valAx>
        <c:axId val="171885084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b="1"/>
                  <a:t>Specific</a:t>
                </a:r>
                <a:r>
                  <a:rPr lang="en-GB" b="1" baseline="0"/>
                  <a:t> c-phycocyanin concentration</a:t>
                </a:r>
                <a:r>
                  <a:rPr lang="en-GB" b="1"/>
                  <a:t> (mg cPC.(g biomass)</a:t>
                </a:r>
                <a:r>
                  <a:rPr lang="en-GB" b="1" baseline="30000"/>
                  <a:t>-1</a:t>
                </a:r>
                <a:r>
                  <a:rPr lang="en-GB" b="1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188504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OD at 750 nm = 2.96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('Bead Beating UTEX #1926'!$P$7,'Bead Beating UTEX #1926'!$P$13,'Bead Beating UTEX #1926'!$P$19)</c:f>
                <c:numCache>
                  <c:formatCode>General</c:formatCode>
                  <c:ptCount val="3"/>
                  <c:pt idx="0">
                    <c:v>2.042133894078427</c:v>
                  </c:pt>
                  <c:pt idx="1">
                    <c:v>1.320493982555121</c:v>
                  </c:pt>
                  <c:pt idx="2">
                    <c:v>0.91771397647390196</c:v>
                  </c:pt>
                </c:numCache>
              </c:numRef>
            </c:plus>
            <c:minus>
              <c:numRef>
                <c:f>('Bead Beating UTEX #1926'!$P$7,'Bead Beating UTEX #1926'!$P$13,'Bead Beating UTEX #1926'!$P$19)</c:f>
                <c:numCache>
                  <c:formatCode>General</c:formatCode>
                  <c:ptCount val="3"/>
                  <c:pt idx="0">
                    <c:v>2.042133894078427</c:v>
                  </c:pt>
                  <c:pt idx="1">
                    <c:v>1.320493982555121</c:v>
                  </c:pt>
                  <c:pt idx="2">
                    <c:v>0.91771397647390196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('Bead Beating UTEX #1926'!$N$7,'Bead Beating UTEX #1926'!$N$13,'Bead Beating UTEX #1926'!$N$19)</c:f>
              <c:numCache>
                <c:formatCode>0.00</c:formatCode>
                <c:ptCount val="3"/>
                <c:pt idx="0">
                  <c:v>37.10603521423198</c:v>
                </c:pt>
                <c:pt idx="1">
                  <c:v>36.942744402944044</c:v>
                </c:pt>
                <c:pt idx="2">
                  <c:v>39.365551103158388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'Bead Beating UTEX #1926'!#REF!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0ECB-BB43-9930-565DBAAF7E36}"/>
            </c:ext>
          </c:extLst>
        </c:ser>
        <c:ser>
          <c:idx val="1"/>
          <c:order val="1"/>
          <c:tx>
            <c:v>OD at 750 nm = 0.493</c:v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('Bead Beating UTEX #1926'!$P$10,'Bead Beating UTEX #1926'!$P$16,'Bead Beating UTEX #1926'!$P$22)</c:f>
                <c:numCache>
                  <c:formatCode>General</c:formatCode>
                  <c:ptCount val="3"/>
                  <c:pt idx="0">
                    <c:v>2.3090392120361343</c:v>
                  </c:pt>
                  <c:pt idx="1">
                    <c:v>2.2971600897391435</c:v>
                  </c:pt>
                  <c:pt idx="2">
                    <c:v>1.4583175749886685</c:v>
                  </c:pt>
                </c:numCache>
              </c:numRef>
            </c:plus>
            <c:minus>
              <c:numRef>
                <c:f>('Bead Beating UTEX #1926'!$P$10,'Bead Beating UTEX #1926'!$P$16,'Bead Beating UTEX #1926'!$P$22)</c:f>
                <c:numCache>
                  <c:formatCode>General</c:formatCode>
                  <c:ptCount val="3"/>
                  <c:pt idx="0">
                    <c:v>2.3090392120361343</c:v>
                  </c:pt>
                  <c:pt idx="1">
                    <c:v>2.2971600897391435</c:v>
                  </c:pt>
                  <c:pt idx="2">
                    <c:v>1.4583175749886685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('Bead Beating UTEX #1926'!$N$10,'Bead Beating UTEX #1926'!$N$16,'Bead Beating UTEX #1926'!$N$22)</c:f>
              <c:numCache>
                <c:formatCode>0.00</c:formatCode>
                <c:ptCount val="3"/>
                <c:pt idx="0">
                  <c:v>20.830633291986334</c:v>
                </c:pt>
                <c:pt idx="1">
                  <c:v>14.014498833640813</c:v>
                </c:pt>
                <c:pt idx="2">
                  <c:v>10.787677281383289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'Bead Beating UTEX #1926'!#REF!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0ECB-BB43-9930-565DBAAF7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86319216"/>
        <c:axId val="1186001840"/>
      </c:barChart>
      <c:catAx>
        <c:axId val="1186319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86001840"/>
        <c:crosses val="autoZero"/>
        <c:auto val="1"/>
        <c:lblAlgn val="ctr"/>
        <c:lblOffset val="100"/>
        <c:noMultiLvlLbl val="0"/>
      </c:catAx>
      <c:valAx>
        <c:axId val="11860018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b="1" baseline="0"/>
                  <a:t>Specific c-phycocyanin concentration (mg cPC.(g biomass)</a:t>
                </a:r>
                <a:r>
                  <a:rPr lang="en-GB" b="1" baseline="30000"/>
                  <a:t>-1</a:t>
                </a:r>
                <a:r>
                  <a:rPr lang="en-GB" b="1" baseline="0"/>
                  <a:t>)</a:t>
                </a:r>
                <a:endParaRPr lang="en-GB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86319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CeBER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('Bead beating using DMSO'!$S$7,'Bead beating using DMSO'!$S$16)</c:f>
                <c:numCache>
                  <c:formatCode>General</c:formatCode>
                  <c:ptCount val="2"/>
                  <c:pt idx="0">
                    <c:v>3.583170149796576</c:v>
                  </c:pt>
                  <c:pt idx="1">
                    <c:v>8.3505764810523395</c:v>
                  </c:pt>
                </c:numCache>
              </c:numRef>
            </c:plus>
            <c:minus>
              <c:numRef>
                <c:f>('Bead beating using DMSO'!$S$7,'Bead beating using DMSO'!$S$16)</c:f>
                <c:numCache>
                  <c:formatCode>General</c:formatCode>
                  <c:ptCount val="2"/>
                  <c:pt idx="0">
                    <c:v>3.583170149796576</c:v>
                  </c:pt>
                  <c:pt idx="1">
                    <c:v>8.3505764810523395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'Bead beating using DMSO'!$B$22:$B$23</c:f>
              <c:strCache>
                <c:ptCount val="2"/>
                <c:pt idx="0">
                  <c:v>Phosphate Buffer</c:v>
                </c:pt>
                <c:pt idx="1">
                  <c:v>DMSO</c:v>
                </c:pt>
              </c:strCache>
            </c:strRef>
          </c:cat>
          <c:val>
            <c:numRef>
              <c:f>('Bead beating using DMSO'!$Q$7,'Bead beating using DMSO'!$Q$16)</c:f>
              <c:numCache>
                <c:formatCode>0.00</c:formatCode>
                <c:ptCount val="2"/>
                <c:pt idx="0">
                  <c:v>93.472367277107267</c:v>
                </c:pt>
                <c:pt idx="1">
                  <c:v>4.5081768235955613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3E-244C-9B1A-5649D8BBE0D3}"/>
            </c:ext>
          </c:extLst>
        </c:ser>
        <c:ser>
          <c:idx val="1"/>
          <c:order val="1"/>
          <c:tx>
            <c:v>UTEX #1926</c:v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('Bead beating using DMSO'!$S$10,'Bead beating using DMSO'!$S$19)</c:f>
                <c:numCache>
                  <c:formatCode>General</c:formatCode>
                  <c:ptCount val="2"/>
                  <c:pt idx="0">
                    <c:v>5.0047830737115522</c:v>
                  </c:pt>
                  <c:pt idx="1">
                    <c:v>8.2330281524279627</c:v>
                  </c:pt>
                </c:numCache>
              </c:numRef>
            </c:plus>
            <c:minus>
              <c:numRef>
                <c:f>('Bead beating using DMSO'!$S$10,'Bead beating using DMSO'!$S$19)</c:f>
                <c:numCache>
                  <c:formatCode>General</c:formatCode>
                  <c:ptCount val="2"/>
                  <c:pt idx="0">
                    <c:v>5.0047830737115522</c:v>
                  </c:pt>
                  <c:pt idx="1">
                    <c:v>8.2330281524279627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'Bead beating using DMSO'!$B$22:$B$23</c:f>
              <c:strCache>
                <c:ptCount val="2"/>
                <c:pt idx="0">
                  <c:v>Phosphate Buffer</c:v>
                </c:pt>
                <c:pt idx="1">
                  <c:v>DMSO</c:v>
                </c:pt>
              </c:strCache>
            </c:strRef>
          </c:cat>
          <c:val>
            <c:numRef>
              <c:f>('Bead beating using DMSO'!$Q$10,'Bead beating using DMSO'!$Q$19)</c:f>
              <c:numCache>
                <c:formatCode>0.00</c:formatCode>
                <c:ptCount val="2"/>
                <c:pt idx="0">
                  <c:v>73.378486686672247</c:v>
                </c:pt>
                <c:pt idx="1">
                  <c:v>1.8619434750165489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3E-244C-9B1A-5649D8BBE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1937808"/>
        <c:axId val="1214446448"/>
      </c:barChart>
      <c:catAx>
        <c:axId val="1291937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14446448"/>
        <c:crosses val="autoZero"/>
        <c:auto val="1"/>
        <c:lblAlgn val="ctr"/>
        <c:lblOffset val="100"/>
        <c:noMultiLvlLbl val="0"/>
      </c:catAx>
      <c:valAx>
        <c:axId val="121444644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b="1" baseline="0"/>
                  <a:t>Specific c-phycocyanin concentration (mg cPC.(g biomass)</a:t>
                </a:r>
                <a:r>
                  <a:rPr lang="en-GB" b="1" baseline="30000"/>
                  <a:t>-1</a:t>
                </a:r>
                <a:r>
                  <a:rPr lang="en-GB" b="1" baseline="0"/>
                  <a:t>)</a:t>
                </a:r>
                <a:endParaRPr lang="en-GB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91937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OD at 750 nm = 0.808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('Sonication CeBER'!$T$4,'Sonication CeBER'!$T$6,'Sonication CeBER'!$T$8)</c:f>
                <c:numCache>
                  <c:formatCode>General</c:formatCode>
                  <c:ptCount val="3"/>
                  <c:pt idx="0">
                    <c:v>0.24133442843163652</c:v>
                  </c:pt>
                  <c:pt idx="1">
                    <c:v>0.47824457010965793</c:v>
                  </c:pt>
                  <c:pt idx="2">
                    <c:v>7.0227277978784794</c:v>
                  </c:pt>
                </c:numCache>
              </c:numRef>
            </c:plus>
            <c:minus>
              <c:numRef>
                <c:f>('Sonication CeBER'!$T$4,'Sonication CeBER'!$T$6,'Sonication CeBER'!$T$8)</c:f>
                <c:numCache>
                  <c:formatCode>General</c:formatCode>
                  <c:ptCount val="3"/>
                  <c:pt idx="0">
                    <c:v>0.24133442843163652</c:v>
                  </c:pt>
                  <c:pt idx="1">
                    <c:v>0.47824457010965793</c:v>
                  </c:pt>
                  <c:pt idx="2">
                    <c:v>7.0227277978784794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'Sonication CeBER'!$D$17:$D$19</c:f>
              <c:numCache>
                <c:formatCode>0%</c:formatCode>
                <c:ptCount val="3"/>
                <c:pt idx="0">
                  <c:v>0.2</c:v>
                </c:pt>
                <c:pt idx="1">
                  <c:v>0.3</c:v>
                </c:pt>
                <c:pt idx="2">
                  <c:v>0.4</c:v>
                </c:pt>
              </c:numCache>
            </c:numRef>
          </c:cat>
          <c:val>
            <c:numRef>
              <c:f>('Sonication CeBER'!$R$4,'Sonication CeBER'!$R$6,'Sonication CeBER'!$R$8)</c:f>
              <c:numCache>
                <c:formatCode>0.00</c:formatCode>
                <c:ptCount val="3"/>
                <c:pt idx="0">
                  <c:v>51.57634389555534</c:v>
                </c:pt>
                <c:pt idx="1">
                  <c:v>58.997131471875548</c:v>
                </c:pt>
                <c:pt idx="2">
                  <c:v>49.809644596028164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70-A440-B5F4-B2CCD109461E}"/>
            </c:ext>
          </c:extLst>
        </c:ser>
        <c:ser>
          <c:idx val="1"/>
          <c:order val="1"/>
          <c:tx>
            <c:v>OD at 750 nm = 0.202</c:v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('Sonication CeBER'!$T$5,'Sonication CeBER'!$T$7,'Sonication CeBER'!$T$9)</c:f>
                <c:numCache>
                  <c:formatCode>General</c:formatCode>
                  <c:ptCount val="3"/>
                  <c:pt idx="0">
                    <c:v>0.75454826950956311</c:v>
                  </c:pt>
                  <c:pt idx="1">
                    <c:v>0.90398836623746581</c:v>
                  </c:pt>
                  <c:pt idx="2">
                    <c:v>0.97239855098185846</c:v>
                  </c:pt>
                </c:numCache>
              </c:numRef>
            </c:plus>
            <c:minus>
              <c:numRef>
                <c:f>('Sonication CeBER'!$T$5,'Sonication CeBER'!$T$7,'Sonication CeBER'!$T$9)</c:f>
                <c:numCache>
                  <c:formatCode>General</c:formatCode>
                  <c:ptCount val="3"/>
                  <c:pt idx="0">
                    <c:v>0.75454826950956311</c:v>
                  </c:pt>
                  <c:pt idx="1">
                    <c:v>0.90398836623746581</c:v>
                  </c:pt>
                  <c:pt idx="2">
                    <c:v>0.97239855098185846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'Sonication CeBER'!$D$17:$D$19</c:f>
              <c:numCache>
                <c:formatCode>0%</c:formatCode>
                <c:ptCount val="3"/>
                <c:pt idx="0">
                  <c:v>0.2</c:v>
                </c:pt>
                <c:pt idx="1">
                  <c:v>0.3</c:v>
                </c:pt>
                <c:pt idx="2">
                  <c:v>0.4</c:v>
                </c:pt>
              </c:numCache>
            </c:numRef>
          </c:cat>
          <c:val>
            <c:numRef>
              <c:f>('Sonication CeBER'!$R$5,'Sonication CeBER'!$R$7,'Sonication CeBER'!$R$9)</c:f>
              <c:numCache>
                <c:formatCode>0.00</c:formatCode>
                <c:ptCount val="3"/>
                <c:pt idx="0">
                  <c:v>52.38081820070979</c:v>
                </c:pt>
                <c:pt idx="1">
                  <c:v>61.730934653070868</c:v>
                </c:pt>
                <c:pt idx="2">
                  <c:v>65.973398205724976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70-A440-B5F4-B2CCD10946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25595295"/>
        <c:axId val="207398927"/>
      </c:barChart>
      <c:catAx>
        <c:axId val="225595295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7398927"/>
        <c:crosses val="autoZero"/>
        <c:auto val="1"/>
        <c:lblAlgn val="ctr"/>
        <c:lblOffset val="100"/>
        <c:noMultiLvlLbl val="0"/>
      </c:catAx>
      <c:valAx>
        <c:axId val="20739892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b="1"/>
                  <a:t>Specific</a:t>
                </a:r>
                <a:r>
                  <a:rPr lang="en-GB" b="1" baseline="0"/>
                  <a:t> c-phycocyanin concentration</a:t>
                </a:r>
                <a:r>
                  <a:rPr lang="en-GB" b="1"/>
                  <a:t> (mg cPC.(g biomass)</a:t>
                </a:r>
                <a:r>
                  <a:rPr lang="en-GB" b="1" baseline="30000"/>
                  <a:t>-1</a:t>
                </a:r>
                <a:r>
                  <a:rPr lang="en-GB" b="1"/>
                  <a:t>)</a:t>
                </a:r>
              </a:p>
            </c:rich>
          </c:tx>
          <c:layout>
            <c:manualLayout>
              <c:xMode val="edge"/>
              <c:yMode val="edge"/>
              <c:x val="2.0806241872561769E-2"/>
              <c:y val="4.839309386529522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55952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OD at 750 nm = 0.808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('Sonication CeBER'!$T$8,'Sonication CeBER'!$T$10,'Sonication CeBER'!$T$12)</c:f>
                <c:numCache>
                  <c:formatCode>General</c:formatCode>
                  <c:ptCount val="3"/>
                  <c:pt idx="0">
                    <c:v>7.0227277978784794</c:v>
                  </c:pt>
                  <c:pt idx="1">
                    <c:v>6.3200460118978752</c:v>
                  </c:pt>
                  <c:pt idx="2">
                    <c:v>6.4385416022934248</c:v>
                  </c:pt>
                </c:numCache>
              </c:numRef>
            </c:plus>
            <c:minus>
              <c:numRef>
                <c:f>('Sonication CeBER'!$T$8,'Sonication CeBER'!$T$10,'Sonication CeBER'!$T$12)</c:f>
                <c:numCache>
                  <c:formatCode>General</c:formatCode>
                  <c:ptCount val="3"/>
                  <c:pt idx="0">
                    <c:v>7.0227277978784794</c:v>
                  </c:pt>
                  <c:pt idx="1">
                    <c:v>6.3200460118978752</c:v>
                  </c:pt>
                  <c:pt idx="2">
                    <c:v>6.4385416022934248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'Sonication CeBER'!$D$20:$D$22</c:f>
              <c:strCache>
                <c:ptCount val="3"/>
                <c:pt idx="0">
                  <c:v>10s</c:v>
                </c:pt>
                <c:pt idx="1">
                  <c:v>20s</c:v>
                </c:pt>
                <c:pt idx="2">
                  <c:v>30s</c:v>
                </c:pt>
              </c:strCache>
            </c:strRef>
          </c:cat>
          <c:val>
            <c:numRef>
              <c:f>('Sonication CeBER'!$R$8,'Sonication CeBER'!$R$10,'Sonication CeBER'!$R$12)</c:f>
              <c:numCache>
                <c:formatCode>0.00</c:formatCode>
                <c:ptCount val="3"/>
                <c:pt idx="0">
                  <c:v>49.809644596028164</c:v>
                </c:pt>
                <c:pt idx="1">
                  <c:v>63.785759352321499</c:v>
                </c:pt>
                <c:pt idx="2">
                  <c:v>61.825801906037192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B7-4047-AF0F-3992EB91C1C6}"/>
            </c:ext>
          </c:extLst>
        </c:ser>
        <c:ser>
          <c:idx val="1"/>
          <c:order val="1"/>
          <c:tx>
            <c:v>OD at 750 nm = 0.202</c:v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('Sonication CeBER'!$T$9,'Sonication CeBER'!$T$11,'Sonication CeBER'!$T$13)</c:f>
                <c:numCache>
                  <c:formatCode>General</c:formatCode>
                  <c:ptCount val="3"/>
                  <c:pt idx="0">
                    <c:v>0.97239855098185846</c:v>
                  </c:pt>
                  <c:pt idx="1">
                    <c:v>0.71227628833490619</c:v>
                  </c:pt>
                  <c:pt idx="2">
                    <c:v>4.9608504267548881</c:v>
                  </c:pt>
                </c:numCache>
              </c:numRef>
            </c:plus>
            <c:minus>
              <c:numRef>
                <c:f>('Sonication CeBER'!$T$9,'Sonication CeBER'!$T$11,'Sonication CeBER'!$T$13)</c:f>
                <c:numCache>
                  <c:formatCode>General</c:formatCode>
                  <c:ptCount val="3"/>
                  <c:pt idx="0">
                    <c:v>0.97239855098185846</c:v>
                  </c:pt>
                  <c:pt idx="1">
                    <c:v>0.71227628833490619</c:v>
                  </c:pt>
                  <c:pt idx="2">
                    <c:v>4.9608504267548881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'Sonication CeBER'!$D$20:$D$22</c:f>
              <c:strCache>
                <c:ptCount val="3"/>
                <c:pt idx="0">
                  <c:v>10s</c:v>
                </c:pt>
                <c:pt idx="1">
                  <c:v>20s</c:v>
                </c:pt>
                <c:pt idx="2">
                  <c:v>30s</c:v>
                </c:pt>
              </c:strCache>
            </c:strRef>
          </c:cat>
          <c:val>
            <c:numRef>
              <c:f>('Sonication CeBER'!$R$9,'Sonication CeBER'!$R$11,'Sonication CeBER'!$R$13)</c:f>
              <c:numCache>
                <c:formatCode>0.00</c:formatCode>
                <c:ptCount val="3"/>
                <c:pt idx="0">
                  <c:v>65.973398205724976</c:v>
                </c:pt>
                <c:pt idx="1">
                  <c:v>54.720515708153584</c:v>
                </c:pt>
                <c:pt idx="2">
                  <c:v>41.665697502810367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B7-4047-AF0F-3992EB91C1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2974591"/>
        <c:axId val="207207919"/>
      </c:barChart>
      <c:catAx>
        <c:axId val="1929745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7207919"/>
        <c:crosses val="autoZero"/>
        <c:auto val="1"/>
        <c:lblAlgn val="ctr"/>
        <c:lblOffset val="100"/>
        <c:noMultiLvlLbl val="0"/>
      </c:catAx>
      <c:valAx>
        <c:axId val="20720791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b="1"/>
                  <a:t>Specific</a:t>
                </a:r>
                <a:r>
                  <a:rPr lang="en-GB" b="1" baseline="0"/>
                  <a:t> c-phycocyanin concentration</a:t>
                </a:r>
                <a:r>
                  <a:rPr lang="en-GB" b="1"/>
                  <a:t> (mg cPC.(g biomass)</a:t>
                </a:r>
                <a:r>
                  <a:rPr lang="en-GB" b="1" baseline="30000"/>
                  <a:t>-1</a:t>
                </a:r>
                <a:r>
                  <a:rPr lang="en-GB" b="1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29745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OD at 750 nm = 1.16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('Sonication UTEX #1926'!$T$4,'Sonication UTEX #1926'!$T$6,'Sonication UTEX #1926'!$T$8)</c:f>
                <c:numCache>
                  <c:formatCode>General</c:formatCode>
                  <c:ptCount val="3"/>
                  <c:pt idx="0">
                    <c:v>0.34650693891798129</c:v>
                  </c:pt>
                  <c:pt idx="1">
                    <c:v>9.4662125751049757</c:v>
                  </c:pt>
                  <c:pt idx="2">
                    <c:v>0.82063487457023399</c:v>
                  </c:pt>
                </c:numCache>
              </c:numRef>
            </c:plus>
            <c:minus>
              <c:numRef>
                <c:f>('Sonication UTEX #1926'!$T$4,'Sonication UTEX #1926'!$T$6,'Sonication UTEX #1926'!$T$8)</c:f>
                <c:numCache>
                  <c:formatCode>General</c:formatCode>
                  <c:ptCount val="3"/>
                  <c:pt idx="0">
                    <c:v>0.34650693891798129</c:v>
                  </c:pt>
                  <c:pt idx="1">
                    <c:v>9.4662125751049757</c:v>
                  </c:pt>
                  <c:pt idx="2">
                    <c:v>0.82063487457023399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'Sonication UTEX #1926'!$C$18:$C$20</c:f>
              <c:numCache>
                <c:formatCode>0%</c:formatCode>
                <c:ptCount val="3"/>
                <c:pt idx="0">
                  <c:v>0.2</c:v>
                </c:pt>
                <c:pt idx="1">
                  <c:v>0.3</c:v>
                </c:pt>
                <c:pt idx="2">
                  <c:v>0.4</c:v>
                </c:pt>
              </c:numCache>
            </c:numRef>
          </c:cat>
          <c:val>
            <c:numRef>
              <c:f>('Sonication UTEX #1926'!$R$4,'Sonication UTEX #1926'!$R$6,'Sonication UTEX #1926'!$R$8)</c:f>
              <c:numCache>
                <c:formatCode>0.00</c:formatCode>
                <c:ptCount val="3"/>
                <c:pt idx="0">
                  <c:v>45.678732062355046</c:v>
                </c:pt>
                <c:pt idx="1">
                  <c:v>43.05961223611726</c:v>
                </c:pt>
                <c:pt idx="2">
                  <c:v>56.279755894777828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DB-E848-AD15-CAD456F5A71C}"/>
            </c:ext>
          </c:extLst>
        </c:ser>
        <c:ser>
          <c:idx val="1"/>
          <c:order val="1"/>
          <c:tx>
            <c:v>OD at 750 nm = 0.291</c:v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('Sonication UTEX #1926'!$T$5,'Sonication UTEX #1926'!$T$7,'Sonication UTEX #1926'!$T$9)</c:f>
                <c:numCache>
                  <c:formatCode>General</c:formatCode>
                  <c:ptCount val="3"/>
                  <c:pt idx="0">
                    <c:v>1.4434107107851406</c:v>
                  </c:pt>
                  <c:pt idx="1">
                    <c:v>0.60748275442458655</c:v>
                  </c:pt>
                  <c:pt idx="2">
                    <c:v>1.6543426431998141</c:v>
                  </c:pt>
                </c:numCache>
              </c:numRef>
            </c:plus>
            <c:minus>
              <c:numRef>
                <c:f>('Sonication UTEX #1926'!$T$5,'Sonication UTEX #1926'!$T$7,'Sonication UTEX #1926'!$T$9)</c:f>
                <c:numCache>
                  <c:formatCode>General</c:formatCode>
                  <c:ptCount val="3"/>
                  <c:pt idx="0">
                    <c:v>1.4434107107851406</c:v>
                  </c:pt>
                  <c:pt idx="1">
                    <c:v>0.60748275442458655</c:v>
                  </c:pt>
                  <c:pt idx="2">
                    <c:v>1.6543426431998141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'Sonication UTEX #1926'!$C$18:$C$20</c:f>
              <c:numCache>
                <c:formatCode>0%</c:formatCode>
                <c:ptCount val="3"/>
                <c:pt idx="0">
                  <c:v>0.2</c:v>
                </c:pt>
                <c:pt idx="1">
                  <c:v>0.3</c:v>
                </c:pt>
                <c:pt idx="2">
                  <c:v>0.4</c:v>
                </c:pt>
              </c:numCache>
            </c:numRef>
          </c:cat>
          <c:val>
            <c:numRef>
              <c:f>('Sonication UTEX #1926'!$R$5,'Sonication UTEX #1926'!$R$7,'Sonication UTEX #1926'!$R$9)</c:f>
              <c:numCache>
                <c:formatCode>0.00</c:formatCode>
                <c:ptCount val="3"/>
                <c:pt idx="0">
                  <c:v>54.633041417645494</c:v>
                </c:pt>
                <c:pt idx="1">
                  <c:v>61.463092782184553</c:v>
                </c:pt>
                <c:pt idx="2">
                  <c:v>68.842908747278855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DB-E848-AD15-CAD456F5A7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25595295"/>
        <c:axId val="207398927"/>
      </c:barChart>
      <c:catAx>
        <c:axId val="225595295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7398927"/>
        <c:crosses val="autoZero"/>
        <c:auto val="1"/>
        <c:lblAlgn val="ctr"/>
        <c:lblOffset val="100"/>
        <c:noMultiLvlLbl val="0"/>
      </c:catAx>
      <c:valAx>
        <c:axId val="20739892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b="1"/>
                  <a:t>Specific</a:t>
                </a:r>
                <a:r>
                  <a:rPr lang="en-GB" b="1" baseline="0"/>
                  <a:t> c-phycocyanin concentration</a:t>
                </a:r>
                <a:r>
                  <a:rPr lang="en-GB" b="1"/>
                  <a:t> (mg cPC.(g biomass)</a:t>
                </a:r>
                <a:r>
                  <a:rPr lang="en-GB" b="1" baseline="30000"/>
                  <a:t>-1</a:t>
                </a:r>
                <a:r>
                  <a:rPr lang="en-GB" b="1"/>
                  <a:t>)</a:t>
                </a:r>
              </a:p>
            </c:rich>
          </c:tx>
          <c:layout>
            <c:manualLayout>
              <c:xMode val="edge"/>
              <c:yMode val="edge"/>
              <c:x val="1.5604681404421327E-2"/>
              <c:y val="6.056347926083275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55952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OD at 750 nm = 1.16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('Sonication UTEX #1926'!$T$8,'Sonication UTEX #1926'!$T$10,'Sonication UTEX #1926'!$T$12)</c:f>
                <c:numCache>
                  <c:formatCode>General</c:formatCode>
                  <c:ptCount val="3"/>
                  <c:pt idx="0">
                    <c:v>0.82063487457023399</c:v>
                  </c:pt>
                  <c:pt idx="1">
                    <c:v>7.1794979534393724</c:v>
                  </c:pt>
                  <c:pt idx="2">
                    <c:v>1.0885061370687015</c:v>
                  </c:pt>
                </c:numCache>
              </c:numRef>
            </c:plus>
            <c:minus>
              <c:numRef>
                <c:f>('Sonication UTEX #1926'!$T$8,'Sonication UTEX #1926'!$T$10,'Sonication UTEX #1926'!$T$12)</c:f>
                <c:numCache>
                  <c:formatCode>General</c:formatCode>
                  <c:ptCount val="3"/>
                  <c:pt idx="0">
                    <c:v>0.82063487457023399</c:v>
                  </c:pt>
                  <c:pt idx="1">
                    <c:v>7.1794979534393724</c:v>
                  </c:pt>
                  <c:pt idx="2">
                    <c:v>1.0885061370687015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'Sonication UTEX #1926'!$C$21:$C$23</c:f>
              <c:strCache>
                <c:ptCount val="3"/>
                <c:pt idx="0">
                  <c:v>10s</c:v>
                </c:pt>
                <c:pt idx="1">
                  <c:v>20s</c:v>
                </c:pt>
                <c:pt idx="2">
                  <c:v>30s</c:v>
                </c:pt>
              </c:strCache>
            </c:strRef>
          </c:cat>
          <c:val>
            <c:numRef>
              <c:f>('Sonication UTEX #1926'!$R$8,'Sonication UTEX #1926'!$R$10,'Sonication UTEX #1926'!$R$12)</c:f>
              <c:numCache>
                <c:formatCode>0.00</c:formatCode>
                <c:ptCount val="3"/>
                <c:pt idx="0">
                  <c:v>56.279755894777828</c:v>
                </c:pt>
                <c:pt idx="1">
                  <c:v>51.978179522872949</c:v>
                </c:pt>
                <c:pt idx="2">
                  <c:v>64.685037599379712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79-1A44-872B-2F64124B5B77}"/>
            </c:ext>
          </c:extLst>
        </c:ser>
        <c:ser>
          <c:idx val="1"/>
          <c:order val="1"/>
          <c:tx>
            <c:v>OD at 750 nm = 0.291</c:v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('Sonication UTEX #1926'!$T$9,'Sonication UTEX #1926'!$T$11,'Sonication UTEX #1926'!$T$13)</c:f>
                <c:numCache>
                  <c:formatCode>General</c:formatCode>
                  <c:ptCount val="3"/>
                  <c:pt idx="0">
                    <c:v>1.6543426431998141</c:v>
                  </c:pt>
                  <c:pt idx="1">
                    <c:v>8.3163312992960492</c:v>
                  </c:pt>
                  <c:pt idx="2">
                    <c:v>0.95586914759828145</c:v>
                  </c:pt>
                </c:numCache>
              </c:numRef>
            </c:plus>
            <c:minus>
              <c:numRef>
                <c:f>('Sonication UTEX #1926'!$T$9,'Sonication UTEX #1926'!$T$11,'Sonication UTEX #1926'!$T$13)</c:f>
                <c:numCache>
                  <c:formatCode>General</c:formatCode>
                  <c:ptCount val="3"/>
                  <c:pt idx="0">
                    <c:v>1.6543426431998141</c:v>
                  </c:pt>
                  <c:pt idx="1">
                    <c:v>8.3163312992960492</c:v>
                  </c:pt>
                  <c:pt idx="2">
                    <c:v>0.95586914759828145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'Sonication UTEX #1926'!$C$21:$C$23</c:f>
              <c:strCache>
                <c:ptCount val="3"/>
                <c:pt idx="0">
                  <c:v>10s</c:v>
                </c:pt>
                <c:pt idx="1">
                  <c:v>20s</c:v>
                </c:pt>
                <c:pt idx="2">
                  <c:v>30s</c:v>
                </c:pt>
              </c:strCache>
            </c:strRef>
          </c:cat>
          <c:val>
            <c:numRef>
              <c:f>('Sonication UTEX #1926'!$R$9,'Sonication UTEX #1926'!$R$11,'Sonication UTEX #1926'!$R$13)</c:f>
              <c:numCache>
                <c:formatCode>0.00</c:formatCode>
                <c:ptCount val="3"/>
                <c:pt idx="0">
                  <c:v>68.842908747278855</c:v>
                </c:pt>
                <c:pt idx="1">
                  <c:v>55.087739485396959</c:v>
                </c:pt>
                <c:pt idx="2">
                  <c:v>26.466817512522187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79-1A44-872B-2F64124B5B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2974591"/>
        <c:axId val="207207919"/>
      </c:barChart>
      <c:catAx>
        <c:axId val="1929745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7207919"/>
        <c:crosses val="autoZero"/>
        <c:auto val="1"/>
        <c:lblAlgn val="ctr"/>
        <c:lblOffset val="100"/>
        <c:noMultiLvlLbl val="0"/>
      </c:catAx>
      <c:valAx>
        <c:axId val="20720791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b="1"/>
                  <a:t>Specific</a:t>
                </a:r>
                <a:r>
                  <a:rPr lang="en-GB" b="1" baseline="0"/>
                  <a:t> c-phycocyanin concentration</a:t>
                </a:r>
                <a:r>
                  <a:rPr lang="en-GB" b="1"/>
                  <a:t> (mg cPC.(g biomass)</a:t>
                </a:r>
                <a:r>
                  <a:rPr lang="en-GB" b="1" baseline="30000"/>
                  <a:t>-1</a:t>
                </a:r>
                <a:r>
                  <a:rPr lang="en-GB" b="1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29745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OD at 750 nm = 2.72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('Freeze thawing CeBER'!$R$7,'Freeze thawing CeBER'!$R$16)</c:f>
                <c:numCache>
                  <c:formatCode>General</c:formatCode>
                  <c:ptCount val="2"/>
                  <c:pt idx="0">
                    <c:v>10.026876143361928</c:v>
                  </c:pt>
                  <c:pt idx="1">
                    <c:v>7.1540798052991441</c:v>
                  </c:pt>
                </c:numCache>
              </c:numRef>
            </c:plus>
            <c:minus>
              <c:numRef>
                <c:f>('Freeze thawing CeBER'!$R$7,'Freeze thawing CeBER'!$R$16)</c:f>
                <c:numCache>
                  <c:formatCode>General</c:formatCode>
                  <c:ptCount val="2"/>
                  <c:pt idx="0">
                    <c:v>10.026876143361928</c:v>
                  </c:pt>
                  <c:pt idx="1">
                    <c:v>7.1540798052991441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'Freeze thawing CeBER'!$A$22:$A$23</c:f>
              <c:strCache>
                <c:ptCount val="2"/>
                <c:pt idx="0">
                  <c:v>Fresh samples</c:v>
                </c:pt>
                <c:pt idx="1">
                  <c:v>Freeze thawed samples</c:v>
                </c:pt>
              </c:strCache>
            </c:strRef>
          </c:cat>
          <c:val>
            <c:numRef>
              <c:f>('Freeze thawing CeBER'!$P$7,'Freeze thawing CeBER'!$P$16)</c:f>
              <c:numCache>
                <c:formatCode>0.00</c:formatCode>
                <c:ptCount val="2"/>
                <c:pt idx="0">
                  <c:v>96.280789355862225</c:v>
                </c:pt>
                <c:pt idx="1">
                  <c:v>54.910747503446181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51-E043-8CF0-54E6BFAF4F7C}"/>
            </c:ext>
          </c:extLst>
        </c:ser>
        <c:ser>
          <c:idx val="3"/>
          <c:order val="1"/>
          <c:tx>
            <c:v>OD at 750 nm = 0.340</c:v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('Freeze thawing CeBER'!$R$10,'Freeze thawing CeBER'!$R$19)</c:f>
                <c:numCache>
                  <c:formatCode>General</c:formatCode>
                  <c:ptCount val="2"/>
                  <c:pt idx="0">
                    <c:v>5.3996583251340668</c:v>
                  </c:pt>
                  <c:pt idx="1">
                    <c:v>5.7629819995217222</c:v>
                  </c:pt>
                </c:numCache>
              </c:numRef>
            </c:plus>
            <c:minus>
              <c:numRef>
                <c:f>('Freeze thawing CeBER'!$R$10,'Freeze thawing CeBER'!$R$19)</c:f>
                <c:numCache>
                  <c:formatCode>General</c:formatCode>
                  <c:ptCount val="2"/>
                  <c:pt idx="0">
                    <c:v>5.3996583251340668</c:v>
                  </c:pt>
                  <c:pt idx="1">
                    <c:v>5.7629819995217222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'Freeze thawing CeBER'!$A$22:$A$23</c:f>
              <c:strCache>
                <c:ptCount val="2"/>
                <c:pt idx="0">
                  <c:v>Fresh samples</c:v>
                </c:pt>
                <c:pt idx="1">
                  <c:v>Freeze thawed samples</c:v>
                </c:pt>
              </c:strCache>
            </c:strRef>
          </c:cat>
          <c:val>
            <c:numRef>
              <c:f>('Freeze thawing CeBER'!$P$10,'Freeze thawing CeBER'!$P$19)</c:f>
              <c:numCache>
                <c:formatCode>0.00</c:formatCode>
                <c:ptCount val="2"/>
                <c:pt idx="0">
                  <c:v>47.068879587956935</c:v>
                </c:pt>
                <c:pt idx="1">
                  <c:v>81.926994820429172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051-E043-8CF0-54E6BFAF4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9346016"/>
        <c:axId val="1169347456"/>
      </c:barChart>
      <c:catAx>
        <c:axId val="1169346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69347456"/>
        <c:crosses val="autoZero"/>
        <c:auto val="1"/>
        <c:lblAlgn val="ctr"/>
        <c:lblOffset val="100"/>
        <c:noMultiLvlLbl val="0"/>
      </c:catAx>
      <c:valAx>
        <c:axId val="116934745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b="1" baseline="0"/>
                  <a:t>Specific c-phycocyanin concentration (mg cPC.(g biomass)</a:t>
                </a:r>
                <a:r>
                  <a:rPr lang="en-GB" b="1" baseline="30000"/>
                  <a:t>-1</a:t>
                </a:r>
                <a:r>
                  <a:rPr lang="en-GB" b="1" baseline="0"/>
                  <a:t>)</a:t>
                </a:r>
                <a:endParaRPr lang="en-GB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169346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OD at 750 nm = 2.79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('Freeze thawing UTEX #1926'!$R$7,'Freeze thawing UTEX #1926'!$R$16)</c:f>
                <c:numCache>
                  <c:formatCode>General</c:formatCode>
                  <c:ptCount val="2"/>
                  <c:pt idx="0">
                    <c:v>6.0500447081432194</c:v>
                  </c:pt>
                  <c:pt idx="1">
                    <c:v>0.56171529454168023</c:v>
                  </c:pt>
                </c:numCache>
              </c:numRef>
            </c:plus>
            <c:minus>
              <c:numRef>
                <c:f>('Freeze thawing UTEX #1926'!$R$7,'Freeze thawing UTEX #1926'!$R$16)</c:f>
                <c:numCache>
                  <c:formatCode>General</c:formatCode>
                  <c:ptCount val="2"/>
                  <c:pt idx="0">
                    <c:v>6.0500447081432194</c:v>
                  </c:pt>
                  <c:pt idx="1">
                    <c:v>0.56171529454168023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'Freeze thawing UTEX #1926'!$A$21:$A$22</c:f>
              <c:strCache>
                <c:ptCount val="2"/>
                <c:pt idx="0">
                  <c:v>Fresh samples</c:v>
                </c:pt>
                <c:pt idx="1">
                  <c:v>Freeze thawed samples</c:v>
                </c:pt>
              </c:strCache>
            </c:strRef>
          </c:cat>
          <c:val>
            <c:numRef>
              <c:f>('Freeze thawing UTEX #1926'!$P$7,'Freeze thawing UTEX #1926'!$P$16)</c:f>
              <c:numCache>
                <c:formatCode>0.00</c:formatCode>
                <c:ptCount val="2"/>
                <c:pt idx="0">
                  <c:v>40.018833785700018</c:v>
                </c:pt>
                <c:pt idx="1">
                  <c:v>22.652600509493055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30-5B48-AAE5-E7262D991B12}"/>
            </c:ext>
          </c:extLst>
        </c:ser>
        <c:ser>
          <c:idx val="3"/>
          <c:order val="1"/>
          <c:tx>
            <c:v>OD at 750 nm = 0.349</c:v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('Freeze thawing UTEX #1926'!$R$10,'Freeze thawing UTEX #1926'!$R$19)</c:f>
                <c:numCache>
                  <c:formatCode>General</c:formatCode>
                  <c:ptCount val="2"/>
                  <c:pt idx="0">
                    <c:v>11.616855094390569</c:v>
                  </c:pt>
                  <c:pt idx="1">
                    <c:v>7.1997114693946154</c:v>
                  </c:pt>
                </c:numCache>
              </c:numRef>
            </c:plus>
            <c:minus>
              <c:numRef>
                <c:f>('Freeze thawing UTEX #1926'!$R$10,'Freeze thawing UTEX #1926'!$R$19)</c:f>
                <c:numCache>
                  <c:formatCode>General</c:formatCode>
                  <c:ptCount val="2"/>
                  <c:pt idx="0">
                    <c:v>11.616855094390569</c:v>
                  </c:pt>
                  <c:pt idx="1">
                    <c:v>7.1997114693946154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'Freeze thawing UTEX #1926'!$A$21:$A$22</c:f>
              <c:strCache>
                <c:ptCount val="2"/>
                <c:pt idx="0">
                  <c:v>Fresh samples</c:v>
                </c:pt>
                <c:pt idx="1">
                  <c:v>Freeze thawed samples</c:v>
                </c:pt>
              </c:strCache>
            </c:strRef>
          </c:cat>
          <c:val>
            <c:numRef>
              <c:f>('Freeze thawing UTEX #1926'!$P$10,'Freeze thawing UTEX #1926'!$P$19)</c:f>
              <c:numCache>
                <c:formatCode>0.00</c:formatCode>
                <c:ptCount val="2"/>
                <c:pt idx="0">
                  <c:v>64.154905503876236</c:v>
                </c:pt>
                <c:pt idx="1">
                  <c:v>33.082802899714892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30-5B48-AAE5-E7262D991B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64519616"/>
        <c:axId val="1287022816"/>
      </c:barChart>
      <c:catAx>
        <c:axId val="126451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87022816"/>
        <c:crosses val="autoZero"/>
        <c:auto val="1"/>
        <c:lblAlgn val="ctr"/>
        <c:lblOffset val="100"/>
        <c:noMultiLvlLbl val="0"/>
      </c:catAx>
      <c:valAx>
        <c:axId val="12870228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b="1" baseline="0"/>
                  <a:t>Specific c-phycocyanin concentration (mg cPC.(g biomass)</a:t>
                </a:r>
                <a:r>
                  <a:rPr lang="en-GB" b="1" baseline="30000"/>
                  <a:t>-1</a:t>
                </a:r>
                <a:r>
                  <a:rPr lang="en-GB" b="1" baseline="0"/>
                  <a:t>)</a:t>
                </a:r>
                <a:endParaRPr lang="en-GB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>
            <a:solidFill>
              <a:srgbClr val="D9D9D9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264519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296948</xdr:colOff>
      <xdr:row>2</xdr:row>
      <xdr:rowOff>376150</xdr:rowOff>
    </xdr:from>
    <xdr:to>
      <xdr:col>0</xdr:col>
      <xdr:colOff>4917440</xdr:colOff>
      <xdr:row>16</xdr:row>
      <xdr:rowOff>40640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1160B51-7C48-2851-E7AE-41AFC7E8BD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297329</xdr:colOff>
      <xdr:row>2</xdr:row>
      <xdr:rowOff>138578</xdr:rowOff>
    </xdr:from>
    <xdr:to>
      <xdr:col>0</xdr:col>
      <xdr:colOff>5092700</xdr:colOff>
      <xdr:row>13</xdr:row>
      <xdr:rowOff>38099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2A2AB06E-980F-46E0-A4A1-A923A820FC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197275</xdr:colOff>
      <xdr:row>2</xdr:row>
      <xdr:rowOff>463371</xdr:rowOff>
    </xdr:from>
    <xdr:to>
      <xdr:col>0</xdr:col>
      <xdr:colOff>5080000</xdr:colOff>
      <xdr:row>17</xdr:row>
      <xdr:rowOff>154609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6A731D3-3B17-49A4-2B98-64F7E42D38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283633</xdr:colOff>
      <xdr:row>2</xdr:row>
      <xdr:rowOff>538692</xdr:rowOff>
    </xdr:from>
    <xdr:to>
      <xdr:col>0</xdr:col>
      <xdr:colOff>5143501</xdr:colOff>
      <xdr:row>14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940410C-1644-C29E-3582-EC65DB953C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450850</xdr:colOff>
      <xdr:row>1</xdr:row>
      <xdr:rowOff>260350</xdr:rowOff>
    </xdr:from>
    <xdr:to>
      <xdr:col>0</xdr:col>
      <xdr:colOff>5334000</xdr:colOff>
      <xdr:row>16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4A4089-68A9-C146-AD9E-97675C9BD0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628650</xdr:colOff>
      <xdr:row>17</xdr:row>
      <xdr:rowOff>171450</xdr:rowOff>
    </xdr:from>
    <xdr:to>
      <xdr:col>0</xdr:col>
      <xdr:colOff>5283200</xdr:colOff>
      <xdr:row>34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18860B7-3CBF-F640-B02B-BA22E28DD9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450850</xdr:colOff>
      <xdr:row>1</xdr:row>
      <xdr:rowOff>260350</xdr:rowOff>
    </xdr:from>
    <xdr:to>
      <xdr:col>0</xdr:col>
      <xdr:colOff>5334000</xdr:colOff>
      <xdr:row>16</xdr:row>
      <xdr:rowOff>101600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E91E50-C271-CE4B-9B35-4962948DE8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17</xdr:row>
      <xdr:rowOff>146050</xdr:rowOff>
    </xdr:from>
    <xdr:to>
      <xdr:col>0</xdr:col>
      <xdr:colOff>5080000</xdr:colOff>
      <xdr:row>34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A053350-019A-DA40-ADD3-8EC70046C1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206934</xdr:colOff>
      <xdr:row>2</xdr:row>
      <xdr:rowOff>487083</xdr:rowOff>
    </xdr:from>
    <xdr:to>
      <xdr:col>0</xdr:col>
      <xdr:colOff>4940300</xdr:colOff>
      <xdr:row>15</xdr:row>
      <xdr:rowOff>25400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AE25555-0A12-99F3-D131-FA2F65E0DB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2</xdr:row>
      <xdr:rowOff>215062</xdr:rowOff>
    </xdr:from>
    <xdr:to>
      <xdr:col>0</xdr:col>
      <xdr:colOff>4912894</xdr:colOff>
      <xdr:row>13</xdr:row>
      <xdr:rowOff>122544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7B231F0-A0B1-658F-3C12-4CBBA5DA63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283882</xdr:colOff>
      <xdr:row>2</xdr:row>
      <xdr:rowOff>433293</xdr:rowOff>
    </xdr:from>
    <xdr:to>
      <xdr:col>0</xdr:col>
      <xdr:colOff>4990352</xdr:colOff>
      <xdr:row>15</xdr:row>
      <xdr:rowOff>119529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3B5048B-86AC-6245-9B46-7F43AA2821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280773</xdr:colOff>
      <xdr:row>2</xdr:row>
      <xdr:rowOff>169220</xdr:rowOff>
    </xdr:from>
    <xdr:to>
      <xdr:col>0</xdr:col>
      <xdr:colOff>4940301</xdr:colOff>
      <xdr:row>13</xdr:row>
      <xdr:rowOff>127000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2FFC3AD-BF6F-3846-BE50-76D27F0517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4AB4EE-9439-41F0-B29E-6C2181DC3AFC}">
  <dimension ref="A1:D23"/>
  <sheetViews>
    <sheetView tabSelected="1" workbookViewId="0">
      <selection activeCell="A6" sqref="A6:C6"/>
    </sheetView>
  </sheetViews>
  <sheetFormatPr baseColWidth="10" defaultColWidth="41.1640625" defaultRowHeight="14" x14ac:dyDescent="0.15"/>
  <cols>
    <col min="1" max="1" width="31" style="15" customWidth="1"/>
    <col min="2" max="2" width="9.5" style="16" customWidth="1"/>
    <col min="3" max="3" width="56.1640625" style="15" customWidth="1"/>
    <col min="4" max="4" width="41.1640625" style="1"/>
    <col min="5" max="16384" width="41.1640625" style="3"/>
  </cols>
  <sheetData>
    <row r="1" spans="1:4" s="2" customFormat="1" ht="18" customHeight="1" x14ac:dyDescent="0.2">
      <c r="A1" s="84" t="s">
        <v>34</v>
      </c>
      <c r="B1" s="84"/>
      <c r="C1" s="84"/>
      <c r="D1" s="1"/>
    </row>
    <row r="2" spans="1:4" ht="18" customHeight="1" x14ac:dyDescent="0.15">
      <c r="A2" s="84"/>
      <c r="B2" s="84"/>
      <c r="C2" s="84"/>
    </row>
    <row r="3" spans="1:4" ht="16" x14ac:dyDescent="0.15">
      <c r="A3" s="86" t="s">
        <v>0</v>
      </c>
      <c r="B3" s="86"/>
      <c r="C3" s="86"/>
    </row>
    <row r="4" spans="1:4" s="4" customFormat="1" x14ac:dyDescent="0.15">
      <c r="A4" s="87" t="s">
        <v>35</v>
      </c>
      <c r="B4" s="87"/>
      <c r="C4" s="87"/>
      <c r="D4" s="1"/>
    </row>
    <row r="5" spans="1:4" s="5" customFormat="1" ht="13" x14ac:dyDescent="0.15">
      <c r="A5" s="88" t="s">
        <v>1</v>
      </c>
      <c r="B5" s="88"/>
      <c r="C5" s="88"/>
      <c r="D5" s="1"/>
    </row>
    <row r="6" spans="1:4" ht="62" customHeight="1" x14ac:dyDescent="0.15">
      <c r="A6" s="89" t="s">
        <v>84</v>
      </c>
      <c r="B6" s="89"/>
      <c r="C6" s="89"/>
    </row>
    <row r="7" spans="1:4" ht="40.5" customHeight="1" x14ac:dyDescent="0.15">
      <c r="A7" s="85" t="s">
        <v>37</v>
      </c>
      <c r="B7" s="85"/>
      <c r="C7" s="85"/>
    </row>
    <row r="8" spans="1:4" x14ac:dyDescent="0.15">
      <c r="A8" s="85" t="s">
        <v>36</v>
      </c>
      <c r="B8" s="85"/>
      <c r="C8" s="85"/>
    </row>
    <row r="9" spans="1:4" x14ac:dyDescent="0.15">
      <c r="A9" s="6" t="s">
        <v>2</v>
      </c>
      <c r="B9" s="7"/>
      <c r="C9" s="8">
        <v>44154</v>
      </c>
    </row>
    <row r="10" spans="1:4" ht="15" thickBot="1" x14ac:dyDescent="0.2">
      <c r="A10" s="9" t="s">
        <v>3</v>
      </c>
      <c r="B10" s="10"/>
      <c r="C10" s="11">
        <v>44811</v>
      </c>
    </row>
    <row r="11" spans="1:4" s="5" customFormat="1" ht="16" customHeight="1" thickBot="1" x14ac:dyDescent="0.2">
      <c r="A11" s="90"/>
      <c r="B11" s="90"/>
      <c r="C11" s="90"/>
      <c r="D11" s="1"/>
    </row>
    <row r="12" spans="1:4" ht="18" thickBot="1" x14ac:dyDescent="0.2">
      <c r="A12" s="12" t="s">
        <v>4</v>
      </c>
      <c r="B12" s="13" t="s">
        <v>5</v>
      </c>
      <c r="C12" s="14" t="s">
        <v>6</v>
      </c>
    </row>
    <row r="13" spans="1:4" ht="15" x14ac:dyDescent="0.15">
      <c r="A13" s="18" t="s">
        <v>7</v>
      </c>
      <c r="B13" s="17">
        <v>1</v>
      </c>
      <c r="C13" s="19" t="s">
        <v>8</v>
      </c>
    </row>
    <row r="14" spans="1:4" ht="30" x14ac:dyDescent="0.15">
      <c r="A14" s="18" t="s">
        <v>38</v>
      </c>
      <c r="B14" s="17">
        <v>2</v>
      </c>
      <c r="C14" s="19" t="s">
        <v>43</v>
      </c>
    </row>
    <row r="15" spans="1:4" ht="30" x14ac:dyDescent="0.15">
      <c r="A15" s="18" t="s">
        <v>39</v>
      </c>
      <c r="B15" s="17">
        <v>3</v>
      </c>
      <c r="C15" s="19" t="s">
        <v>44</v>
      </c>
    </row>
    <row r="16" spans="1:4" ht="30" x14ac:dyDescent="0.15">
      <c r="A16" s="18" t="s">
        <v>40</v>
      </c>
      <c r="B16" s="17">
        <v>4</v>
      </c>
      <c r="C16" s="19" t="s">
        <v>45</v>
      </c>
    </row>
    <row r="17" spans="1:3" ht="30" x14ac:dyDescent="0.15">
      <c r="A17" s="20" t="s">
        <v>41</v>
      </c>
      <c r="B17" s="17">
        <v>5</v>
      </c>
      <c r="C17" s="19" t="s">
        <v>46</v>
      </c>
    </row>
    <row r="18" spans="1:3" ht="30" x14ac:dyDescent="0.15">
      <c r="A18" s="18" t="s">
        <v>42</v>
      </c>
      <c r="B18" s="17">
        <v>6</v>
      </c>
      <c r="C18" s="19" t="s">
        <v>47</v>
      </c>
    </row>
    <row r="19" spans="1:3" ht="30" x14ac:dyDescent="0.15">
      <c r="A19" s="18" t="s">
        <v>48</v>
      </c>
      <c r="B19" s="17">
        <v>7</v>
      </c>
      <c r="C19" s="19" t="s">
        <v>56</v>
      </c>
    </row>
    <row r="20" spans="1:3" ht="30" x14ac:dyDescent="0.15">
      <c r="A20" s="18" t="s">
        <v>49</v>
      </c>
      <c r="B20" s="17">
        <v>8</v>
      </c>
      <c r="C20" s="19" t="s">
        <v>55</v>
      </c>
    </row>
    <row r="21" spans="1:3" ht="31" thickBot="1" x14ac:dyDescent="0.2">
      <c r="A21" s="18" t="s">
        <v>50</v>
      </c>
      <c r="B21" s="17">
        <v>9</v>
      </c>
      <c r="C21" s="19" t="s">
        <v>53</v>
      </c>
    </row>
    <row r="22" spans="1:3" ht="30" x14ac:dyDescent="0.15">
      <c r="A22" s="18" t="s">
        <v>51</v>
      </c>
      <c r="B22" s="17">
        <v>10</v>
      </c>
      <c r="C22" s="19" t="s">
        <v>54</v>
      </c>
    </row>
    <row r="23" spans="1:3" ht="30" x14ac:dyDescent="0.15">
      <c r="A23" s="18" t="s">
        <v>52</v>
      </c>
      <c r="B23" s="17">
        <v>11</v>
      </c>
      <c r="C23" s="19" t="s">
        <v>57</v>
      </c>
    </row>
  </sheetData>
  <mergeCells count="8">
    <mergeCell ref="A11:C11"/>
    <mergeCell ref="A1:C2"/>
    <mergeCell ref="A7:C7"/>
    <mergeCell ref="A8:C8"/>
    <mergeCell ref="A3:C3"/>
    <mergeCell ref="A4:C4"/>
    <mergeCell ref="A5:C5"/>
    <mergeCell ref="A6:C6"/>
  </mergeCells>
  <pageMargins left="0.7" right="0.7" top="0.75" bottom="0.75" header="0.3" footer="0.3"/>
  <pageSetup paperSize="9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7F9C-C1B0-440A-81A9-509459BD9D5A}">
  <dimension ref="A1:R22"/>
  <sheetViews>
    <sheetView zoomScaleNormal="100" workbookViewId="0">
      <selection sqref="A1:R1"/>
    </sheetView>
  </sheetViews>
  <sheetFormatPr baseColWidth="10" defaultColWidth="8.83203125" defaultRowHeight="14" x14ac:dyDescent="0.15"/>
  <cols>
    <col min="1" max="1" width="71.83203125" style="3" customWidth="1"/>
    <col min="2" max="10" width="8.83203125" style="3"/>
    <col min="11" max="11" width="9.83203125" style="3" customWidth="1"/>
    <col min="12" max="12" width="8.83203125" style="3"/>
    <col min="13" max="13" width="12" style="3" customWidth="1"/>
    <col min="14" max="15" width="12.1640625" style="3" customWidth="1"/>
    <col min="16" max="16" width="11.1640625" style="3" customWidth="1"/>
    <col min="17" max="20" width="8.83203125" style="3"/>
    <col min="21" max="21" width="13.5" style="3" bestFit="1" customWidth="1"/>
    <col min="22" max="16384" width="8.83203125" style="3"/>
  </cols>
  <sheetData>
    <row r="1" spans="1:18" ht="17" thickBot="1" x14ac:dyDescent="0.2">
      <c r="A1" s="95" t="s">
        <v>76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</row>
    <row r="2" spans="1:18" ht="15" thickBot="1" x14ac:dyDescent="0.2">
      <c r="A2" s="43"/>
      <c r="B2" s="107" t="s">
        <v>29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8"/>
    </row>
    <row r="3" spans="1:18" ht="43" customHeight="1" x14ac:dyDescent="0.15">
      <c r="B3" s="99" t="s">
        <v>59</v>
      </c>
      <c r="C3" s="100"/>
      <c r="D3" s="109"/>
      <c r="E3" s="101" t="s">
        <v>60</v>
      </c>
      <c r="F3" s="100"/>
      <c r="G3" s="109"/>
      <c r="H3" s="110" t="s">
        <v>61</v>
      </c>
      <c r="I3" s="111"/>
      <c r="J3" s="112"/>
      <c r="K3" s="23" t="s">
        <v>62</v>
      </c>
      <c r="L3" s="24">
        <v>750</v>
      </c>
      <c r="M3" s="25" t="s">
        <v>9</v>
      </c>
      <c r="N3" s="25" t="s">
        <v>10</v>
      </c>
      <c r="O3" s="25" t="s">
        <v>64</v>
      </c>
      <c r="P3" s="25" t="s">
        <v>66</v>
      </c>
      <c r="Q3" s="25" t="s">
        <v>67</v>
      </c>
      <c r="R3" s="42" t="s">
        <v>68</v>
      </c>
    </row>
    <row r="4" spans="1:18" ht="30" x14ac:dyDescent="0.15">
      <c r="B4" s="91" t="s">
        <v>11</v>
      </c>
      <c r="C4" s="92"/>
      <c r="D4" s="94"/>
      <c r="E4" s="93" t="s">
        <v>11</v>
      </c>
      <c r="F4" s="92"/>
      <c r="G4" s="94"/>
      <c r="H4" s="93" t="s">
        <v>12</v>
      </c>
      <c r="I4" s="92"/>
      <c r="J4" s="94"/>
      <c r="K4" s="27" t="s">
        <v>12</v>
      </c>
      <c r="L4" s="28" t="s">
        <v>11</v>
      </c>
      <c r="M4" s="28" t="s">
        <v>13</v>
      </c>
      <c r="N4" s="28" t="s">
        <v>14</v>
      </c>
      <c r="O4" s="29" t="s">
        <v>73</v>
      </c>
      <c r="P4" s="29" t="s">
        <v>73</v>
      </c>
      <c r="Q4" s="28"/>
      <c r="R4" s="30"/>
    </row>
    <row r="5" spans="1:18" s="5" customFormat="1" ht="13" x14ac:dyDescent="0.15">
      <c r="B5" s="133">
        <v>9.2999999999999999E-2</v>
      </c>
      <c r="C5" s="134">
        <v>9.98E-2</v>
      </c>
      <c r="D5" s="134">
        <v>0.1065</v>
      </c>
      <c r="E5" s="134">
        <v>6.7000000000000004E-2</v>
      </c>
      <c r="F5" s="134">
        <v>7.1900000000000006E-2</v>
      </c>
      <c r="G5" s="134">
        <v>7.7499999999999999E-2</v>
      </c>
      <c r="H5" s="135">
        <f>(B5-(E5*0.605))/6.17</f>
        <v>8.5032414910858993E-3</v>
      </c>
      <c r="I5" s="135">
        <f t="shared" ref="I5:J10" si="0">(C5-(F5*0.605))/6.17</f>
        <v>9.1248784440842775E-3</v>
      </c>
      <c r="J5" s="135">
        <f t="shared" si="0"/>
        <v>9.661669367909239E-3</v>
      </c>
      <c r="K5" s="135">
        <f t="shared" ref="K5:K10" si="1">AVERAGE(H5:J5)</f>
        <v>9.0965964343598053E-3</v>
      </c>
      <c r="L5" s="135">
        <v>0.379</v>
      </c>
      <c r="M5" s="135">
        <f t="shared" ref="M5:M6" si="2">1.2596*L5</f>
        <v>0.47738840000000005</v>
      </c>
      <c r="N5" s="136">
        <f>M5*2/1000</f>
        <v>9.5477680000000012E-4</v>
      </c>
      <c r="O5" s="137">
        <f>K5*2/N5</f>
        <v>19.054917200249953</v>
      </c>
      <c r="P5" s="138"/>
      <c r="Q5" s="137"/>
      <c r="R5" s="139"/>
    </row>
    <row r="6" spans="1:18" s="5" customFormat="1" ht="13" x14ac:dyDescent="0.15">
      <c r="B6" s="133">
        <v>9.9099999999999994E-2</v>
      </c>
      <c r="C6" s="134">
        <v>0.1076</v>
      </c>
      <c r="D6" s="134">
        <v>8.09E-2</v>
      </c>
      <c r="E6" s="134">
        <v>6.8400000000000002E-2</v>
      </c>
      <c r="F6" s="134">
        <v>7.6200000000000004E-2</v>
      </c>
      <c r="G6" s="134">
        <v>5.11E-2</v>
      </c>
      <c r="H6" s="135">
        <f t="shared" ref="H6:H10" si="3">(B6-(E6*0.605))/6.17</f>
        <v>9.3546191247974048E-3</v>
      </c>
      <c r="I6" s="135">
        <f t="shared" si="0"/>
        <v>9.9674230145867099E-3</v>
      </c>
      <c r="J6" s="135">
        <f t="shared" si="0"/>
        <v>8.101215559157212E-3</v>
      </c>
      <c r="K6" s="135">
        <f t="shared" si="1"/>
        <v>9.1410858995137744E-3</v>
      </c>
      <c r="L6" s="135">
        <v>0.379</v>
      </c>
      <c r="M6" s="135">
        <f t="shared" si="2"/>
        <v>0.47738840000000005</v>
      </c>
      <c r="N6" s="136">
        <f t="shared" ref="N6:N10" si="4">M6*2/1000</f>
        <v>9.5477680000000012E-4</v>
      </c>
      <c r="O6" s="137">
        <f t="shared" ref="O6:O10" si="5">K6*2/N6</f>
        <v>19.148110635938732</v>
      </c>
      <c r="P6" s="138"/>
      <c r="Q6" s="137"/>
      <c r="R6" s="139"/>
    </row>
    <row r="7" spans="1:18" s="5" customFormat="1" ht="13" x14ac:dyDescent="0.15">
      <c r="B7" s="133">
        <v>9.69E-2</v>
      </c>
      <c r="C7" s="134">
        <v>7.6499999999999999E-2</v>
      </c>
      <c r="D7" s="134">
        <v>8.1100000000000005E-2</v>
      </c>
      <c r="E7" s="134">
        <v>7.0900000000000005E-2</v>
      </c>
      <c r="F7" s="134">
        <v>5.0700000000000002E-2</v>
      </c>
      <c r="G7" s="134">
        <v>5.45E-2</v>
      </c>
      <c r="H7" s="135">
        <f t="shared" si="3"/>
        <v>8.75291734197731E-3</v>
      </c>
      <c r="I7" s="135">
        <f t="shared" si="0"/>
        <v>7.4273095623987031E-3</v>
      </c>
      <c r="J7" s="135">
        <f t="shared" si="0"/>
        <v>7.8002431118314435E-3</v>
      </c>
      <c r="K7" s="135">
        <f t="shared" si="1"/>
        <v>7.9934900054024847E-3</v>
      </c>
      <c r="L7" s="135">
        <v>0.379</v>
      </c>
      <c r="M7" s="135">
        <f>1.2596*L7</f>
        <v>0.47738840000000005</v>
      </c>
      <c r="N7" s="136">
        <f t="shared" si="4"/>
        <v>9.5477680000000012E-4</v>
      </c>
      <c r="O7" s="137">
        <f t="shared" si="5"/>
        <v>16.744206615415212</v>
      </c>
      <c r="P7" s="138">
        <f>AVERAGE(O5:O7)</f>
        <v>18.315744817201296</v>
      </c>
      <c r="Q7" s="137">
        <f>STDEV(O5:O7)</f>
        <v>1.3617894454975978</v>
      </c>
      <c r="R7" s="139">
        <f>Q7/SQRT(3)</f>
        <v>0.78622950293762939</v>
      </c>
    </row>
    <row r="8" spans="1:18" s="5" customFormat="1" ht="13" x14ac:dyDescent="0.15">
      <c r="B8" s="133">
        <v>4.4499999999999998E-2</v>
      </c>
      <c r="C8" s="134">
        <v>4.9599999999999998E-2</v>
      </c>
      <c r="D8" s="134">
        <v>4.7300000000000002E-2</v>
      </c>
      <c r="E8" s="134">
        <v>3.6799999999999999E-2</v>
      </c>
      <c r="F8" s="134">
        <v>4.24E-2</v>
      </c>
      <c r="G8" s="134">
        <v>3.8699999999999998E-2</v>
      </c>
      <c r="H8" s="135">
        <f t="shared" si="3"/>
        <v>3.6038897893030794E-3</v>
      </c>
      <c r="I8" s="135">
        <f t="shared" si="0"/>
        <v>3.881361426256078E-3</v>
      </c>
      <c r="J8" s="135">
        <f t="shared" si="0"/>
        <v>3.8713938411669376E-3</v>
      </c>
      <c r="K8" s="135">
        <f t="shared" si="1"/>
        <v>3.7855483522420317E-3</v>
      </c>
      <c r="L8" s="135">
        <f t="shared" ref="L8:L9" si="6">L5/4</f>
        <v>9.4750000000000001E-2</v>
      </c>
      <c r="M8" s="135">
        <f t="shared" ref="M8:M9" si="7">1.2596*L8</f>
        <v>0.11934710000000001</v>
      </c>
      <c r="N8" s="136">
        <f t="shared" si="4"/>
        <v>2.3869420000000003E-4</v>
      </c>
      <c r="O8" s="137">
        <f t="shared" si="5"/>
        <v>31.718813043987087</v>
      </c>
      <c r="P8" s="138"/>
      <c r="Q8" s="137"/>
      <c r="R8" s="139"/>
    </row>
    <row r="9" spans="1:18" s="5" customFormat="1" ht="13" x14ac:dyDescent="0.15">
      <c r="B9" s="133">
        <v>5.0799999999999998E-2</v>
      </c>
      <c r="C9" s="134">
        <v>3.6799999999999999E-2</v>
      </c>
      <c r="D9" s="134">
        <v>2.8400000000000002E-2</v>
      </c>
      <c r="E9" s="134">
        <v>4.19E-2</v>
      </c>
      <c r="F9" s="134">
        <v>2.98E-2</v>
      </c>
      <c r="G9" s="134">
        <v>2.12E-2</v>
      </c>
      <c r="H9" s="135">
        <f t="shared" si="3"/>
        <v>4.1248784440842783E-3</v>
      </c>
      <c r="I9" s="135">
        <f t="shared" si="0"/>
        <v>3.0423014586709886E-3</v>
      </c>
      <c r="J9" s="135">
        <f t="shared" si="0"/>
        <v>2.524149108589952E-3</v>
      </c>
      <c r="K9" s="135">
        <f t="shared" si="1"/>
        <v>3.2304430037817396E-3</v>
      </c>
      <c r="L9" s="135">
        <f t="shared" si="6"/>
        <v>9.4750000000000001E-2</v>
      </c>
      <c r="M9" s="135">
        <f t="shared" si="7"/>
        <v>0.11934710000000001</v>
      </c>
      <c r="N9" s="136">
        <f t="shared" si="4"/>
        <v>2.3869420000000003E-4</v>
      </c>
      <c r="O9" s="137">
        <f t="shared" si="5"/>
        <v>27.067628821996841</v>
      </c>
      <c r="P9" s="138"/>
      <c r="Q9" s="137"/>
      <c r="R9" s="139"/>
    </row>
    <row r="10" spans="1:18" s="5" customFormat="1" thickBot="1" x14ac:dyDescent="0.2">
      <c r="B10" s="133">
        <v>5.3600000000000002E-2</v>
      </c>
      <c r="C10" s="134">
        <v>5.5100000000000003E-2</v>
      </c>
      <c r="D10" s="134">
        <v>5.1400000000000001E-2</v>
      </c>
      <c r="E10" s="134">
        <v>4.5499999999999999E-2</v>
      </c>
      <c r="F10" s="134">
        <v>4.7199999999999999E-2</v>
      </c>
      <c r="G10" s="134">
        <v>4.4299999999999999E-2</v>
      </c>
      <c r="H10" s="135">
        <f t="shared" si="3"/>
        <v>4.2256888168557541E-3</v>
      </c>
      <c r="I10" s="135">
        <f t="shared" si="0"/>
        <v>4.3021069692058354E-3</v>
      </c>
      <c r="J10" s="135">
        <f t="shared" si="0"/>
        <v>3.9867909238249597E-3</v>
      </c>
      <c r="K10" s="135">
        <f t="shared" si="1"/>
        <v>4.1715289032955164E-3</v>
      </c>
      <c r="L10" s="135">
        <f>L7/4</f>
        <v>9.4750000000000001E-2</v>
      </c>
      <c r="M10" s="135">
        <f>1.2596*L10</f>
        <v>0.11934710000000001</v>
      </c>
      <c r="N10" s="136">
        <f t="shared" si="4"/>
        <v>2.3869420000000003E-4</v>
      </c>
      <c r="O10" s="137">
        <f t="shared" si="5"/>
        <v>34.952913839511105</v>
      </c>
      <c r="P10" s="138">
        <f>AVERAGE(O8:O10)</f>
        <v>31.246451901831676</v>
      </c>
      <c r="Q10" s="137">
        <f>STDEV(O8:O10)</f>
        <v>3.9638079845424894</v>
      </c>
      <c r="R10" s="139">
        <f>Q10/SQRT(3)</f>
        <v>2.2885056068915945</v>
      </c>
    </row>
    <row r="11" spans="1:18" ht="15" thickBot="1" x14ac:dyDescent="0.2">
      <c r="B11" s="107" t="s">
        <v>31</v>
      </c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8"/>
    </row>
    <row r="12" spans="1:18" ht="40.5" customHeight="1" x14ac:dyDescent="0.15">
      <c r="B12" s="99" t="s">
        <v>59</v>
      </c>
      <c r="C12" s="100"/>
      <c r="D12" s="109"/>
      <c r="E12" s="101" t="s">
        <v>60</v>
      </c>
      <c r="F12" s="100"/>
      <c r="G12" s="109"/>
      <c r="H12" s="110" t="s">
        <v>61</v>
      </c>
      <c r="I12" s="111"/>
      <c r="J12" s="112"/>
      <c r="K12" s="23" t="s">
        <v>62</v>
      </c>
      <c r="L12" s="24">
        <v>750</v>
      </c>
      <c r="M12" s="25" t="s">
        <v>9</v>
      </c>
      <c r="N12" s="25" t="s">
        <v>10</v>
      </c>
      <c r="O12" s="25" t="s">
        <v>64</v>
      </c>
      <c r="P12" s="25" t="s">
        <v>66</v>
      </c>
      <c r="Q12" s="25" t="s">
        <v>67</v>
      </c>
      <c r="R12" s="42" t="s">
        <v>68</v>
      </c>
    </row>
    <row r="13" spans="1:18" ht="30" x14ac:dyDescent="0.15">
      <c r="B13" s="91" t="s">
        <v>11</v>
      </c>
      <c r="C13" s="92"/>
      <c r="D13" s="94"/>
      <c r="E13" s="93" t="s">
        <v>11</v>
      </c>
      <c r="F13" s="92"/>
      <c r="G13" s="94"/>
      <c r="H13" s="93" t="s">
        <v>12</v>
      </c>
      <c r="I13" s="92"/>
      <c r="J13" s="94"/>
      <c r="K13" s="27" t="s">
        <v>12</v>
      </c>
      <c r="L13" s="28" t="s">
        <v>11</v>
      </c>
      <c r="M13" s="28" t="s">
        <v>13</v>
      </c>
      <c r="N13" s="28" t="s">
        <v>14</v>
      </c>
      <c r="O13" s="29" t="s">
        <v>73</v>
      </c>
      <c r="P13" s="29" t="s">
        <v>73</v>
      </c>
      <c r="Q13" s="28"/>
      <c r="R13" s="30"/>
    </row>
    <row r="14" spans="1:18" s="5" customFormat="1" ht="13" x14ac:dyDescent="0.15">
      <c r="B14" s="133">
        <v>9.2600000000000002E-2</v>
      </c>
      <c r="C14" s="134">
        <v>0.41470000000000001</v>
      </c>
      <c r="D14" s="134">
        <v>0.1341</v>
      </c>
      <c r="E14" s="134">
        <v>7.8100000000000003E-2</v>
      </c>
      <c r="F14" s="134">
        <v>0.46439999999999998</v>
      </c>
      <c r="G14" s="134">
        <v>0.123</v>
      </c>
      <c r="H14" s="135">
        <f t="shared" ref="H14:H19" si="8">(B14-(E14*0.605))/6.17</f>
        <v>7.3500000000000006E-3</v>
      </c>
      <c r="I14" s="135">
        <f t="shared" ref="I14:I19" si="9">(C14-(F14*0.605))/6.17</f>
        <v>2.1675526742301464E-2</v>
      </c>
      <c r="J14" s="135">
        <f t="shared" ref="J14:J19" si="10">(D14-(G14*0.605))/6.17</f>
        <v>9.6734197730956248E-3</v>
      </c>
      <c r="K14" s="135">
        <f>AVERAGE(H14,J14)</f>
        <v>8.5117098865478136E-3</v>
      </c>
      <c r="L14" s="135">
        <v>0.379</v>
      </c>
      <c r="M14" s="135">
        <f t="shared" ref="M14:M15" si="11">1.2596*L14</f>
        <v>0.47738840000000005</v>
      </c>
      <c r="N14" s="136">
        <f>M14*2/1000</f>
        <v>9.5477680000000012E-4</v>
      </c>
      <c r="O14" s="137">
        <f>K14*2/N14</f>
        <v>17.829737560753074</v>
      </c>
      <c r="P14" s="138"/>
      <c r="Q14" s="137"/>
      <c r="R14" s="139"/>
    </row>
    <row r="15" spans="1:18" s="5" customFormat="1" ht="13" x14ac:dyDescent="0.15">
      <c r="B15" s="133">
        <v>0.12039999999999999</v>
      </c>
      <c r="C15" s="134">
        <v>0.11310000000000001</v>
      </c>
      <c r="D15" s="134">
        <v>0.1216</v>
      </c>
      <c r="E15" s="134">
        <v>9.2299999999999993E-2</v>
      </c>
      <c r="F15" s="134">
        <v>8.5699999999999998E-2</v>
      </c>
      <c r="G15" s="134">
        <v>9.3299999999999994E-2</v>
      </c>
      <c r="H15" s="135">
        <f t="shared" si="8"/>
        <v>1.0463290113452187E-2</v>
      </c>
      <c r="I15" s="135">
        <f t="shared" si="9"/>
        <v>9.9273095623987045E-3</v>
      </c>
      <c r="J15" s="135">
        <f t="shared" si="10"/>
        <v>1.05597244732577E-2</v>
      </c>
      <c r="K15" s="135">
        <f t="shared" ref="K15:K19" si="12">AVERAGE(H15:J15)</f>
        <v>1.031677471636953E-2</v>
      </c>
      <c r="L15" s="135">
        <v>0.379</v>
      </c>
      <c r="M15" s="135">
        <f t="shared" si="11"/>
        <v>0.47738840000000005</v>
      </c>
      <c r="N15" s="136">
        <f t="shared" ref="N15:N19" si="13">M15*2/1000</f>
        <v>9.5477680000000012E-4</v>
      </c>
      <c r="O15" s="137">
        <f t="shared" ref="O15:O19" si="14">K15*2/N15</f>
        <v>21.610861756107877</v>
      </c>
      <c r="P15" s="138"/>
      <c r="Q15" s="137"/>
      <c r="R15" s="139"/>
    </row>
    <row r="16" spans="1:18" s="5" customFormat="1" ht="13" x14ac:dyDescent="0.15">
      <c r="B16" s="133">
        <v>0.12189999999999999</v>
      </c>
      <c r="C16" s="134">
        <v>0.1004</v>
      </c>
      <c r="D16" s="134">
        <v>0.1003</v>
      </c>
      <c r="E16" s="134">
        <v>0.104</v>
      </c>
      <c r="F16" s="134">
        <v>8.2500000000000004E-2</v>
      </c>
      <c r="G16" s="134">
        <v>8.2600000000000007E-2</v>
      </c>
      <c r="H16" s="135">
        <f t="shared" si="8"/>
        <v>9.5591572123176673E-3</v>
      </c>
      <c r="I16" s="135">
        <f t="shared" si="9"/>
        <v>8.1827390599675861E-3</v>
      </c>
      <c r="J16" s="135">
        <f t="shared" si="10"/>
        <v>8.1567260940032405E-3</v>
      </c>
      <c r="K16" s="135">
        <f t="shared" si="12"/>
        <v>8.6328741220961652E-3</v>
      </c>
      <c r="L16" s="135">
        <v>0.379</v>
      </c>
      <c r="M16" s="135">
        <f>1.2596*L16</f>
        <v>0.47738840000000005</v>
      </c>
      <c r="N16" s="136">
        <f t="shared" si="13"/>
        <v>9.5477680000000012E-4</v>
      </c>
      <c r="O16" s="137">
        <f t="shared" si="14"/>
        <v>18.083543969849632</v>
      </c>
      <c r="P16" s="138">
        <f>AVERAGE(O14:O16)</f>
        <v>19.174714428903528</v>
      </c>
      <c r="Q16" s="137">
        <f>STDEV(O14:O16)</f>
        <v>2.1135786650154027</v>
      </c>
      <c r="R16" s="139">
        <f>Q16/SQRT(3)</f>
        <v>1.2202752112000927</v>
      </c>
    </row>
    <row r="17" spans="1:18" s="5" customFormat="1" ht="13" x14ac:dyDescent="0.15">
      <c r="B17" s="133">
        <v>5.33E-2</v>
      </c>
      <c r="C17" s="134">
        <v>5.2400000000000002E-2</v>
      </c>
      <c r="D17" s="134">
        <v>5.3900000000000003E-2</v>
      </c>
      <c r="E17" s="134">
        <v>4.87E-2</v>
      </c>
      <c r="F17" s="134">
        <v>4.8300000000000003E-2</v>
      </c>
      <c r="G17" s="134">
        <v>4.9599999999999998E-2</v>
      </c>
      <c r="H17" s="135">
        <f t="shared" si="8"/>
        <v>3.8632901134521879E-3</v>
      </c>
      <c r="I17" s="135">
        <f t="shared" si="9"/>
        <v>3.7566450567260942E-3</v>
      </c>
      <c r="J17" s="135">
        <f t="shared" si="10"/>
        <v>3.8722852512155601E-3</v>
      </c>
      <c r="K17" s="135">
        <f t="shared" si="12"/>
        <v>3.8307401404646143E-3</v>
      </c>
      <c r="L17" s="135">
        <f t="shared" ref="L17:L18" si="15">L14/4</f>
        <v>9.4750000000000001E-2</v>
      </c>
      <c r="M17" s="135">
        <f t="shared" ref="M17:M18" si="16">1.2596*L17</f>
        <v>0.11934710000000001</v>
      </c>
      <c r="N17" s="136">
        <f t="shared" si="13"/>
        <v>2.3869420000000003E-4</v>
      </c>
      <c r="O17" s="137">
        <f t="shared" si="14"/>
        <v>32.097471496706781</v>
      </c>
      <c r="P17" s="138"/>
      <c r="Q17" s="137"/>
      <c r="R17" s="139"/>
    </row>
    <row r="18" spans="1:18" s="5" customFormat="1" ht="13" x14ac:dyDescent="0.15">
      <c r="B18" s="133">
        <v>5.1299999999999998E-2</v>
      </c>
      <c r="C18" s="134">
        <v>3.9600000000000003E-2</v>
      </c>
      <c r="D18" s="134">
        <v>4.5999999999999999E-2</v>
      </c>
      <c r="E18" s="134">
        <v>4.6600000000000003E-2</v>
      </c>
      <c r="F18" s="134">
        <v>3.6299999999999999E-2</v>
      </c>
      <c r="G18" s="134">
        <v>4.2099999999999999E-2</v>
      </c>
      <c r="H18" s="135">
        <f t="shared" si="8"/>
        <v>3.7450567260940031E-3</v>
      </c>
      <c r="I18" s="135">
        <f t="shared" si="9"/>
        <v>2.8587520259319293E-3</v>
      </c>
      <c r="J18" s="135">
        <f t="shared" si="10"/>
        <v>3.3273095623987032E-3</v>
      </c>
      <c r="K18" s="135">
        <f t="shared" si="12"/>
        <v>3.3103727714748781E-3</v>
      </c>
      <c r="L18" s="135">
        <f t="shared" si="15"/>
        <v>9.4750000000000001E-2</v>
      </c>
      <c r="M18" s="135">
        <f t="shared" si="16"/>
        <v>0.11934710000000001</v>
      </c>
      <c r="N18" s="136">
        <f t="shared" si="13"/>
        <v>2.3869420000000003E-4</v>
      </c>
      <c r="O18" s="137">
        <f t="shared" si="14"/>
        <v>27.737354082963705</v>
      </c>
      <c r="P18" s="138"/>
      <c r="Q18" s="137"/>
      <c r="R18" s="139"/>
    </row>
    <row r="19" spans="1:18" s="5" customFormat="1" thickBot="1" x14ac:dyDescent="0.2">
      <c r="B19" s="145">
        <v>5.0099999999999999E-2</v>
      </c>
      <c r="C19" s="146">
        <v>5.6500000000000002E-2</v>
      </c>
      <c r="D19" s="146">
        <v>5.2699999999999997E-2</v>
      </c>
      <c r="E19" s="146">
        <v>4.4400000000000002E-2</v>
      </c>
      <c r="F19" s="146">
        <v>5.04E-2</v>
      </c>
      <c r="G19" s="146">
        <v>4.65E-2</v>
      </c>
      <c r="H19" s="147">
        <f t="shared" si="8"/>
        <v>3.766288492706645E-3</v>
      </c>
      <c r="I19" s="147">
        <f t="shared" si="9"/>
        <v>4.2152350081037281E-3</v>
      </c>
      <c r="J19" s="147">
        <f t="shared" si="10"/>
        <v>3.9817666126418152E-3</v>
      </c>
      <c r="K19" s="147">
        <f t="shared" si="12"/>
        <v>3.9877633711507291E-3</v>
      </c>
      <c r="L19" s="147">
        <f>L16/4</f>
        <v>9.4750000000000001E-2</v>
      </c>
      <c r="M19" s="147">
        <f>1.2596*L19</f>
        <v>0.11934710000000001</v>
      </c>
      <c r="N19" s="148">
        <f t="shared" si="13"/>
        <v>2.3869420000000003E-4</v>
      </c>
      <c r="O19" s="149">
        <f t="shared" si="14"/>
        <v>33.413156843783625</v>
      </c>
      <c r="P19" s="150">
        <f>AVERAGE(O17:O19)</f>
        <v>31.082660807818041</v>
      </c>
      <c r="Q19" s="149">
        <f>STDEV(O17:O19)</f>
        <v>2.9708693669774324</v>
      </c>
      <c r="R19" s="151">
        <f>Q19/SQRT(3)</f>
        <v>1.7152322287516337</v>
      </c>
    </row>
    <row r="20" spans="1:18" x14ac:dyDescent="0.15">
      <c r="A20" s="44"/>
      <c r="B20" s="41"/>
      <c r="E20" s="41"/>
    </row>
    <row r="21" spans="1:18" x14ac:dyDescent="0.15">
      <c r="A21" s="35" t="s">
        <v>29</v>
      </c>
      <c r="B21" s="41"/>
      <c r="E21" s="41"/>
    </row>
    <row r="22" spans="1:18" x14ac:dyDescent="0.15">
      <c r="A22" s="35" t="s">
        <v>31</v>
      </c>
    </row>
  </sheetData>
  <mergeCells count="15">
    <mergeCell ref="B11:R11"/>
    <mergeCell ref="B12:D12"/>
    <mergeCell ref="E12:G12"/>
    <mergeCell ref="H12:J12"/>
    <mergeCell ref="B13:D13"/>
    <mergeCell ref="E13:G13"/>
    <mergeCell ref="H13:J13"/>
    <mergeCell ref="B4:D4"/>
    <mergeCell ref="E4:G4"/>
    <mergeCell ref="H4:J4"/>
    <mergeCell ref="A1:R1"/>
    <mergeCell ref="B2:R2"/>
    <mergeCell ref="B3:D3"/>
    <mergeCell ref="E3:G3"/>
    <mergeCell ref="H3:J3"/>
  </mergeCells>
  <pageMargins left="0.7" right="0.7" top="0.75" bottom="0.75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DA067-D702-49BF-89DF-3E8C11855854}">
  <dimension ref="A1:Q47"/>
  <sheetViews>
    <sheetView zoomScaleNormal="100" workbookViewId="0">
      <selection sqref="A1:O1"/>
    </sheetView>
  </sheetViews>
  <sheetFormatPr baseColWidth="10" defaultColWidth="8.83203125" defaultRowHeight="14" x14ac:dyDescent="0.15"/>
  <cols>
    <col min="1" max="1" width="75" style="3" customWidth="1"/>
    <col min="2" max="9" width="8.83203125" style="3"/>
    <col min="10" max="12" width="12.5" style="3" customWidth="1"/>
    <col min="13" max="13" width="9.83203125" style="3" customWidth="1"/>
    <col min="14" max="16384" width="8.83203125" style="3"/>
  </cols>
  <sheetData>
    <row r="1" spans="1:17" ht="17" thickBot="1" x14ac:dyDescent="0.2">
      <c r="A1" s="206" t="s">
        <v>74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8"/>
    </row>
    <row r="2" spans="1:17" ht="17" thickBot="1" x14ac:dyDescent="0.25">
      <c r="B2" s="223" t="s">
        <v>32</v>
      </c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5"/>
    </row>
    <row r="3" spans="1:17" ht="53" customHeight="1" x14ac:dyDescent="0.15">
      <c r="B3" s="120" t="s">
        <v>59</v>
      </c>
      <c r="C3" s="121"/>
      <c r="D3" s="122" t="s">
        <v>60</v>
      </c>
      <c r="E3" s="121"/>
      <c r="F3" s="102" t="s">
        <v>61</v>
      </c>
      <c r="G3" s="103"/>
      <c r="H3" s="22" t="s">
        <v>62</v>
      </c>
      <c r="I3" s="79">
        <v>750</v>
      </c>
      <c r="J3" s="80" t="s">
        <v>9</v>
      </c>
      <c r="K3" s="80" t="s">
        <v>10</v>
      </c>
      <c r="L3" s="80" t="s">
        <v>64</v>
      </c>
      <c r="M3" s="80" t="s">
        <v>66</v>
      </c>
      <c r="N3" s="80" t="s">
        <v>67</v>
      </c>
      <c r="O3" s="81" t="s">
        <v>68</v>
      </c>
    </row>
    <row r="4" spans="1:17" ht="30" x14ac:dyDescent="0.15">
      <c r="B4" s="91" t="s">
        <v>11</v>
      </c>
      <c r="C4" s="92"/>
      <c r="D4" s="93" t="s">
        <v>11</v>
      </c>
      <c r="E4" s="92"/>
      <c r="F4" s="93" t="s">
        <v>12</v>
      </c>
      <c r="G4" s="94"/>
      <c r="H4" s="27" t="s">
        <v>12</v>
      </c>
      <c r="I4" s="28" t="s">
        <v>11</v>
      </c>
      <c r="J4" s="28" t="s">
        <v>13</v>
      </c>
      <c r="K4" s="28" t="s">
        <v>14</v>
      </c>
      <c r="L4" s="29" t="s">
        <v>73</v>
      </c>
      <c r="M4" s="29" t="s">
        <v>73</v>
      </c>
      <c r="N4" s="28"/>
      <c r="O4" s="30"/>
    </row>
    <row r="5" spans="1:17" s="5" customFormat="1" ht="13" x14ac:dyDescent="0.15">
      <c r="B5" s="133">
        <v>0.89390000000000003</v>
      </c>
      <c r="C5" s="134">
        <v>1.0478000000000001</v>
      </c>
      <c r="D5" s="134">
        <v>0.59</v>
      </c>
      <c r="E5" s="134">
        <v>0.73819999999999997</v>
      </c>
      <c r="F5" s="135">
        <f>((B5-(D5*0.605))*0.5)/6.17</f>
        <v>4.3512965964343599E-2</v>
      </c>
      <c r="G5" s="135">
        <f>((C5-(E5*0.605))*0.5)/6.17</f>
        <v>4.8718719611021075E-2</v>
      </c>
      <c r="H5" s="135">
        <f>AVERAGE(F5:G5)</f>
        <v>4.611584278768234E-2</v>
      </c>
      <c r="I5" s="135">
        <f t="shared" ref="I5:I6" si="0">3*0.656</f>
        <v>1.968</v>
      </c>
      <c r="J5" s="135">
        <f t="shared" ref="J5:J9" si="1">1.2596*I5</f>
        <v>2.4788928000000001</v>
      </c>
      <c r="K5" s="136">
        <f t="shared" ref="K5:K6" si="2">J5*0.5/1000</f>
        <v>1.2394464000000001E-3</v>
      </c>
      <c r="L5" s="137">
        <f t="shared" ref="L5:L10" si="3">H5*0.5/K5</f>
        <v>18.603403417720337</v>
      </c>
      <c r="M5" s="220"/>
      <c r="O5" s="127"/>
    </row>
    <row r="6" spans="1:17" s="5" customFormat="1" ht="13" x14ac:dyDescent="0.15">
      <c r="B6" s="133">
        <v>0.82289999999999996</v>
      </c>
      <c r="C6" s="134">
        <v>0.86050000000000004</v>
      </c>
      <c r="D6" s="134">
        <v>0.50329999999999997</v>
      </c>
      <c r="E6" s="134">
        <v>0.53900000000000003</v>
      </c>
      <c r="F6" s="135">
        <f t="shared" ref="F6:F10" si="4">((B6-(D6*0.605))*0.5)/6.17</f>
        <v>4.2010008103727715E-2</v>
      </c>
      <c r="G6" s="135">
        <f t="shared" ref="G6:G10" si="5">((C6-(E6*0.605))*0.5)/6.17</f>
        <v>4.3306726094003246E-2</v>
      </c>
      <c r="H6" s="135">
        <f t="shared" ref="H6:H10" si="6">AVERAGE(F6:G6)</f>
        <v>4.2658367098865481E-2</v>
      </c>
      <c r="I6" s="135">
        <f t="shared" si="0"/>
        <v>1.968</v>
      </c>
      <c r="J6" s="135">
        <f t="shared" si="1"/>
        <v>2.4788928000000001</v>
      </c>
      <c r="K6" s="136">
        <f t="shared" si="2"/>
        <v>1.2394464000000001E-3</v>
      </c>
      <c r="L6" s="137">
        <f t="shared" si="3"/>
        <v>17.208637299227089</v>
      </c>
      <c r="M6" s="220"/>
      <c r="O6" s="127"/>
      <c r="Q6" s="143" t="s">
        <v>24</v>
      </c>
    </row>
    <row r="7" spans="1:17" s="5" customFormat="1" ht="13" x14ac:dyDescent="0.15">
      <c r="B7" s="133">
        <v>0.98540000000000005</v>
      </c>
      <c r="C7" s="134">
        <v>0.95199999999999996</v>
      </c>
      <c r="D7" s="134">
        <v>0.67159999999999997</v>
      </c>
      <c r="E7" s="134">
        <v>0.66100000000000003</v>
      </c>
      <c r="F7" s="135">
        <f t="shared" si="4"/>
        <v>4.6927228525121566E-2</v>
      </c>
      <c r="G7" s="135">
        <f t="shared" si="5"/>
        <v>4.4740275526742306E-2</v>
      </c>
      <c r="H7" s="135">
        <f t="shared" si="6"/>
        <v>4.5833752025931936E-2</v>
      </c>
      <c r="I7" s="135">
        <f>3*0.656</f>
        <v>1.968</v>
      </c>
      <c r="J7" s="135">
        <f>1.2596*I7</f>
        <v>2.4788928000000001</v>
      </c>
      <c r="K7" s="136">
        <f>J7*0.5/1000</f>
        <v>1.2394464000000001E-3</v>
      </c>
      <c r="L7" s="137">
        <f t="shared" si="3"/>
        <v>18.489606337931164</v>
      </c>
      <c r="M7" s="220">
        <f>AVERAGE(L5:L7)</f>
        <v>18.100549018292863</v>
      </c>
      <c r="N7" s="137">
        <f>STDEV(L5:L7)</f>
        <v>0.77451102625933244</v>
      </c>
      <c r="O7" s="139">
        <f>N7/SQRT(3)</f>
        <v>0.4471641495011589</v>
      </c>
      <c r="Q7" s="143" t="s">
        <v>25</v>
      </c>
    </row>
    <row r="8" spans="1:17" s="5" customFormat="1" ht="13" x14ac:dyDescent="0.15">
      <c r="B8" s="133">
        <v>0.5464</v>
      </c>
      <c r="C8" s="134">
        <v>0.5071</v>
      </c>
      <c r="D8" s="134">
        <v>0.3478</v>
      </c>
      <c r="E8" s="134">
        <v>0.31859999999999999</v>
      </c>
      <c r="F8" s="135">
        <f t="shared" si="4"/>
        <v>2.7226985413290113E-2</v>
      </c>
      <c r="G8" s="135">
        <f t="shared" si="5"/>
        <v>2.5473824959481365E-2</v>
      </c>
      <c r="H8" s="135">
        <f t="shared" si="6"/>
        <v>2.6350405186385741E-2</v>
      </c>
      <c r="I8" s="135">
        <f t="shared" ref="I8:I9" si="7">3*0.656</f>
        <v>1.968</v>
      </c>
      <c r="J8" s="135">
        <f t="shared" si="1"/>
        <v>2.4788928000000001</v>
      </c>
      <c r="K8" s="136">
        <f>J8*0.125/1000</f>
        <v>3.0986160000000002E-4</v>
      </c>
      <c r="L8" s="137">
        <f t="shared" si="3"/>
        <v>42.519636486718163</v>
      </c>
      <c r="M8" s="220"/>
      <c r="N8" s="137"/>
      <c r="O8" s="139"/>
    </row>
    <row r="9" spans="1:17" s="5" customFormat="1" ht="13" x14ac:dyDescent="0.15">
      <c r="B9" s="133">
        <v>0.69020000000000004</v>
      </c>
      <c r="C9" s="134">
        <v>0.67490000000000006</v>
      </c>
      <c r="D9" s="134">
        <v>0.41370000000000001</v>
      </c>
      <c r="E9" s="134">
        <v>0.40739999999999998</v>
      </c>
      <c r="F9" s="135">
        <f t="shared" si="4"/>
        <v>3.56492301458671E-2</v>
      </c>
      <c r="G9" s="135">
        <f t="shared" si="5"/>
        <v>3.4718233387358195E-2</v>
      </c>
      <c r="H9" s="135">
        <f t="shared" si="6"/>
        <v>3.5183731766612644E-2</v>
      </c>
      <c r="I9" s="135">
        <f t="shared" si="7"/>
        <v>1.968</v>
      </c>
      <c r="J9" s="135">
        <f t="shared" si="1"/>
        <v>2.4788928000000001</v>
      </c>
      <c r="K9" s="136">
        <f>J9*0.125/1000</f>
        <v>3.0986160000000002E-4</v>
      </c>
      <c r="L9" s="137">
        <f t="shared" si="3"/>
        <v>56.773300994077097</v>
      </c>
      <c r="M9" s="220"/>
      <c r="N9" s="137"/>
      <c r="O9" s="139"/>
      <c r="Q9" s="143"/>
    </row>
    <row r="10" spans="1:17" s="5" customFormat="1" thickBot="1" x14ac:dyDescent="0.2">
      <c r="B10" s="145">
        <v>0.67010000000000003</v>
      </c>
      <c r="C10" s="146">
        <v>0.57869999999999999</v>
      </c>
      <c r="D10" s="146">
        <v>0.39829999999999999</v>
      </c>
      <c r="E10" s="146">
        <v>0.3206</v>
      </c>
      <c r="F10" s="135">
        <f t="shared" si="4"/>
        <v>3.4775405186385742E-2</v>
      </c>
      <c r="G10" s="135">
        <f t="shared" si="5"/>
        <v>3.1178038897893032E-2</v>
      </c>
      <c r="H10" s="147">
        <f t="shared" si="6"/>
        <v>3.2976722042139389E-2</v>
      </c>
      <c r="I10" s="147">
        <f>I7</f>
        <v>1.968</v>
      </c>
      <c r="J10" s="147">
        <f>1.2596*I10</f>
        <v>2.4788928000000001</v>
      </c>
      <c r="K10" s="148">
        <f>J10*0.125/1000</f>
        <v>3.0986160000000002E-4</v>
      </c>
      <c r="L10" s="137">
        <f t="shared" si="3"/>
        <v>53.212017949528736</v>
      </c>
      <c r="M10" s="221">
        <f>AVERAGE(L8:L10)</f>
        <v>50.834985143441337</v>
      </c>
      <c r="N10" s="149">
        <f>STDEV(L8:L10)</f>
        <v>7.4181838540843374</v>
      </c>
      <c r="O10" s="151">
        <f t="shared" ref="O10" si="8">N10/SQRT(3)</f>
        <v>4.2828904450537282</v>
      </c>
      <c r="Q10" s="143" t="s">
        <v>32</v>
      </c>
    </row>
    <row r="11" spans="1:17" ht="17" thickBot="1" x14ac:dyDescent="0.25">
      <c r="B11" s="96" t="s">
        <v>33</v>
      </c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8"/>
      <c r="Q11" s="35" t="s">
        <v>33</v>
      </c>
    </row>
    <row r="12" spans="1:17" ht="49" customHeight="1" x14ac:dyDescent="0.15">
      <c r="B12" s="120" t="s">
        <v>59</v>
      </c>
      <c r="C12" s="121"/>
      <c r="D12" s="122" t="s">
        <v>60</v>
      </c>
      <c r="E12" s="121"/>
      <c r="F12" s="102" t="s">
        <v>61</v>
      </c>
      <c r="G12" s="103"/>
      <c r="H12" s="22" t="s">
        <v>62</v>
      </c>
      <c r="I12" s="79">
        <v>750</v>
      </c>
      <c r="J12" s="80" t="s">
        <v>9</v>
      </c>
      <c r="K12" s="80" t="s">
        <v>10</v>
      </c>
      <c r="L12" s="80" t="s">
        <v>64</v>
      </c>
      <c r="M12" s="80" t="s">
        <v>66</v>
      </c>
      <c r="N12" s="80" t="s">
        <v>67</v>
      </c>
      <c r="O12" s="81" t="s">
        <v>68</v>
      </c>
    </row>
    <row r="13" spans="1:17" ht="30" x14ac:dyDescent="0.15">
      <c r="B13" s="91" t="s">
        <v>11</v>
      </c>
      <c r="C13" s="92"/>
      <c r="D13" s="93" t="s">
        <v>11</v>
      </c>
      <c r="E13" s="92"/>
      <c r="F13" s="93" t="s">
        <v>12</v>
      </c>
      <c r="G13" s="94"/>
      <c r="H13" s="27" t="s">
        <v>12</v>
      </c>
      <c r="I13" s="28" t="s">
        <v>11</v>
      </c>
      <c r="J13" s="28" t="s">
        <v>13</v>
      </c>
      <c r="K13" s="28" t="s">
        <v>14</v>
      </c>
      <c r="L13" s="29" t="s">
        <v>73</v>
      </c>
      <c r="M13" s="29" t="s">
        <v>73</v>
      </c>
      <c r="N13" s="28"/>
      <c r="O13" s="30"/>
    </row>
    <row r="14" spans="1:17" s="5" customFormat="1" ht="13" x14ac:dyDescent="0.15">
      <c r="B14" s="133">
        <v>0.38850000000000001</v>
      </c>
      <c r="C14" s="134">
        <v>0.39860000000000001</v>
      </c>
      <c r="D14" s="134">
        <v>0.33979999999999999</v>
      </c>
      <c r="E14" s="134">
        <v>0.35560000000000003</v>
      </c>
      <c r="F14" s="135">
        <f>((B14-(D14*0.605))*0.5)/6.17</f>
        <v>1.4823419773095627E-2</v>
      </c>
      <c r="G14" s="135">
        <f>((C14-(E14*0.605))*0.5)/6.17</f>
        <v>1.4867260940032413E-2</v>
      </c>
      <c r="H14" s="135">
        <f t="shared" ref="H14:H19" si="9">AVERAGE(F14:G14)</f>
        <v>1.484534035656402E-2</v>
      </c>
      <c r="I14" s="135">
        <f t="shared" ref="I14:I15" si="10">3*0.656</f>
        <v>1.968</v>
      </c>
      <c r="J14" s="135">
        <f t="shared" ref="J14:J15" si="11">1.2596*I14</f>
        <v>2.4788928000000001</v>
      </c>
      <c r="K14" s="136">
        <f t="shared" ref="K14:K15" si="12">J14*0.5/1000</f>
        <v>1.2394464000000001E-3</v>
      </c>
      <c r="L14" s="137">
        <f t="shared" ref="L14:L19" si="13">H14*0.5/K14</f>
        <v>5.9886980012060302</v>
      </c>
      <c r="M14" s="220"/>
      <c r="O14" s="127"/>
    </row>
    <row r="15" spans="1:17" s="5" customFormat="1" ht="13" x14ac:dyDescent="0.15">
      <c r="B15" s="133">
        <v>0.751</v>
      </c>
      <c r="C15" s="134">
        <v>0.80549999999999999</v>
      </c>
      <c r="D15" s="134">
        <v>0.70930000000000004</v>
      </c>
      <c r="E15" s="134">
        <v>0.76249999999999996</v>
      </c>
      <c r="F15" s="135">
        <f t="shared" ref="F15:F18" si="14">((B15-(D15*0.605))*0.5)/6.17</f>
        <v>2.6083752025931928E-2</v>
      </c>
      <c r="G15" s="135">
        <f t="shared" ref="G15:G18" si="15">((C15-(E15*0.605))*0.5)/6.17</f>
        <v>2.7892017828200975E-2</v>
      </c>
      <c r="H15" s="135">
        <f t="shared" si="9"/>
        <v>2.6987884927066452E-2</v>
      </c>
      <c r="I15" s="135">
        <f t="shared" si="10"/>
        <v>1.968</v>
      </c>
      <c r="J15" s="135">
        <f t="shared" si="11"/>
        <v>2.4788928000000001</v>
      </c>
      <c r="K15" s="136">
        <f t="shared" si="12"/>
        <v>1.2394464000000001E-3</v>
      </c>
      <c r="L15" s="137">
        <f t="shared" si="13"/>
        <v>10.887072215089919</v>
      </c>
      <c r="M15" s="220"/>
      <c r="O15" s="127"/>
    </row>
    <row r="16" spans="1:17" s="5" customFormat="1" ht="13" x14ac:dyDescent="0.15">
      <c r="B16" s="133">
        <v>0.5605</v>
      </c>
      <c r="C16" s="134">
        <v>0.80169999999999997</v>
      </c>
      <c r="D16" s="134">
        <v>0.53710000000000002</v>
      </c>
      <c r="E16" s="134">
        <v>0.83309999999999995</v>
      </c>
      <c r="F16" s="135">
        <f t="shared" si="14"/>
        <v>1.9088695299837925E-2</v>
      </c>
      <c r="G16" s="135">
        <f t="shared" si="15"/>
        <v>2.4122730956239877E-2</v>
      </c>
      <c r="H16" s="135">
        <f t="shared" si="9"/>
        <v>2.1605713128038901E-2</v>
      </c>
      <c r="I16" s="135">
        <f>3*0.656</f>
        <v>1.968</v>
      </c>
      <c r="J16" s="135">
        <f>1.2596*I16</f>
        <v>2.4788928000000001</v>
      </c>
      <c r="K16" s="136">
        <f>J16*0.5/1000</f>
        <v>1.2394464000000001E-3</v>
      </c>
      <c r="L16" s="137">
        <f t="shared" si="13"/>
        <v>8.7158723152686957</v>
      </c>
      <c r="M16" s="220">
        <f>AVERAGE(L14:L16)</f>
        <v>8.5305475105215489</v>
      </c>
      <c r="N16" s="137">
        <f>STDEV(L14:L16)</f>
        <v>2.4544401494539576</v>
      </c>
      <c r="O16" s="139">
        <f>N16/SQRT(3)</f>
        <v>1.4170716809970678</v>
      </c>
    </row>
    <row r="17" spans="1:15" s="5" customFormat="1" ht="13" x14ac:dyDescent="0.15">
      <c r="B17" s="133">
        <v>0.33029999999999998</v>
      </c>
      <c r="C17" s="134">
        <v>0.3276</v>
      </c>
      <c r="D17" s="134">
        <v>0.21160000000000001</v>
      </c>
      <c r="E17" s="134">
        <v>0.21260000000000001</v>
      </c>
      <c r="F17" s="135">
        <f t="shared" si="14"/>
        <v>1.6392382495948137E-2</v>
      </c>
      <c r="G17" s="135">
        <f t="shared" si="15"/>
        <v>1.6124554294975689E-2</v>
      </c>
      <c r="H17" s="135">
        <f t="shared" si="9"/>
        <v>1.6258468395461911E-2</v>
      </c>
      <c r="I17" s="135">
        <f t="shared" ref="I17:I18" si="16">3*0.656</f>
        <v>1.968</v>
      </c>
      <c r="J17" s="135">
        <f t="shared" ref="J17:J18" si="17">1.2596*I17</f>
        <v>2.4788928000000001</v>
      </c>
      <c r="K17" s="136">
        <f>J17*0.125/1000</f>
        <v>3.0986160000000002E-4</v>
      </c>
      <c r="L17" s="137">
        <f t="shared" si="13"/>
        <v>26.235048801564812</v>
      </c>
      <c r="M17" s="220"/>
      <c r="N17" s="137"/>
      <c r="O17" s="139"/>
    </row>
    <row r="18" spans="1:15" s="5" customFormat="1" ht="13" x14ac:dyDescent="0.15">
      <c r="B18" s="133">
        <v>0.36330000000000001</v>
      </c>
      <c r="C18" s="134">
        <v>0.39889999999999998</v>
      </c>
      <c r="D18" s="134">
        <v>0.23549999999999999</v>
      </c>
      <c r="E18" s="134">
        <v>0.26590000000000003</v>
      </c>
      <c r="F18" s="135">
        <f t="shared" si="14"/>
        <v>1.7894854132901136E-2</v>
      </c>
      <c r="G18" s="135">
        <f t="shared" si="15"/>
        <v>1.9289343598055102E-2</v>
      </c>
      <c r="H18" s="135">
        <f t="shared" si="9"/>
        <v>1.8592098865478121E-2</v>
      </c>
      <c r="I18" s="135">
        <f t="shared" si="16"/>
        <v>1.968</v>
      </c>
      <c r="J18" s="135">
        <f t="shared" si="17"/>
        <v>2.4788928000000001</v>
      </c>
      <c r="K18" s="136">
        <f>J18*0.125/1000</f>
        <v>3.0986160000000002E-4</v>
      </c>
      <c r="L18" s="137">
        <f t="shared" si="13"/>
        <v>30.000650073255478</v>
      </c>
      <c r="M18" s="220"/>
      <c r="N18" s="137"/>
      <c r="O18" s="139"/>
    </row>
    <row r="19" spans="1:15" s="5" customFormat="1" thickBot="1" x14ac:dyDescent="0.2">
      <c r="A19" s="222"/>
      <c r="B19" s="145">
        <v>0.36930000000000002</v>
      </c>
      <c r="C19" s="146">
        <v>0.34939999999999999</v>
      </c>
      <c r="D19" s="146">
        <v>0.24440000000000001</v>
      </c>
      <c r="E19" s="146">
        <v>0.22839999999999999</v>
      </c>
      <c r="F19" s="147">
        <f>((B19-(D19*0.605))*0.5)/6.17</f>
        <v>1.7944732576985416E-2</v>
      </c>
      <c r="G19" s="147">
        <f>((C19-(E19*0.605))*0.5)/6.17</f>
        <v>1.7116531604538087E-2</v>
      </c>
      <c r="H19" s="147">
        <f t="shared" si="9"/>
        <v>1.753063209076175E-2</v>
      </c>
      <c r="I19" s="147">
        <f>I16</f>
        <v>1.968</v>
      </c>
      <c r="J19" s="147">
        <f>1.2596*I19</f>
        <v>2.4788928000000001</v>
      </c>
      <c r="K19" s="148">
        <f>J19*0.125/1000</f>
        <v>3.0986160000000002E-4</v>
      </c>
      <c r="L19" s="149">
        <f t="shared" si="13"/>
        <v>28.287842202392532</v>
      </c>
      <c r="M19" s="221">
        <f>AVERAGE(L17:L19)</f>
        <v>28.174513692404275</v>
      </c>
      <c r="N19" s="149">
        <f>STDEV(L17:L19)</f>
        <v>1.885356928467846</v>
      </c>
      <c r="O19" s="151">
        <f t="shared" ref="O19" si="18">N19/SQRT(3)</f>
        <v>1.0885113301694369</v>
      </c>
    </row>
    <row r="20" spans="1:15" x14ac:dyDescent="0.15">
      <c r="B20" s="31"/>
      <c r="C20" s="31"/>
      <c r="D20" s="31"/>
      <c r="E20" s="31"/>
      <c r="F20" s="32"/>
      <c r="G20" s="32"/>
      <c r="H20" s="32"/>
      <c r="I20" s="32"/>
      <c r="J20" s="32"/>
      <c r="K20" s="33"/>
      <c r="L20" s="33"/>
      <c r="M20" s="34"/>
      <c r="N20" s="34"/>
      <c r="O20" s="34"/>
    </row>
    <row r="21" spans="1:15" x14ac:dyDescent="0.15">
      <c r="B21" s="31"/>
      <c r="C21" s="31"/>
      <c r="D21" s="31"/>
      <c r="E21" s="31"/>
      <c r="F21" s="32"/>
      <c r="G21" s="32"/>
      <c r="H21" s="32"/>
      <c r="I21" s="32"/>
      <c r="J21" s="32"/>
      <c r="K21" s="33"/>
      <c r="L21" s="33"/>
      <c r="M21" s="34"/>
      <c r="N21" s="34"/>
      <c r="O21" s="34"/>
    </row>
    <row r="22" spans="1:15" x14ac:dyDescent="0.15">
      <c r="B22" s="31"/>
      <c r="C22" s="31"/>
      <c r="D22" s="31"/>
      <c r="E22" s="31"/>
      <c r="F22" s="32"/>
      <c r="G22" s="32"/>
      <c r="H22" s="32"/>
      <c r="I22" s="32"/>
      <c r="J22" s="32"/>
      <c r="K22" s="33"/>
      <c r="L22" s="33"/>
      <c r="M22" s="34"/>
      <c r="N22" s="34"/>
      <c r="O22" s="34"/>
    </row>
    <row r="23" spans="1:15" x14ac:dyDescent="0.15">
      <c r="B23" s="31"/>
      <c r="C23" s="31"/>
      <c r="D23" s="31"/>
      <c r="E23" s="31"/>
      <c r="F23" s="32"/>
      <c r="G23" s="32"/>
      <c r="H23" s="32"/>
      <c r="I23" s="32"/>
      <c r="J23" s="32"/>
      <c r="K23" s="33"/>
      <c r="L23" s="33"/>
      <c r="M23" s="34"/>
      <c r="N23" s="34"/>
      <c r="O23" s="34"/>
    </row>
    <row r="24" spans="1:15" x14ac:dyDescent="0.15">
      <c r="B24" s="31"/>
      <c r="C24" s="31"/>
      <c r="D24" s="31"/>
      <c r="E24" s="31"/>
      <c r="F24" s="32"/>
      <c r="G24" s="32"/>
      <c r="H24" s="32"/>
      <c r="I24" s="32"/>
      <c r="J24" s="32"/>
      <c r="K24" s="33"/>
      <c r="L24" s="33"/>
      <c r="M24" s="34"/>
      <c r="N24" s="34"/>
      <c r="O24" s="34"/>
    </row>
    <row r="25" spans="1:15" x14ac:dyDescent="0.15">
      <c r="B25" s="31"/>
      <c r="C25" s="31"/>
      <c r="D25" s="31"/>
      <c r="E25" s="31"/>
      <c r="F25" s="32"/>
      <c r="G25" s="32"/>
      <c r="H25" s="32"/>
      <c r="I25" s="32"/>
      <c r="J25" s="32"/>
      <c r="K25" s="33"/>
      <c r="L25" s="33"/>
      <c r="M25" s="34"/>
      <c r="N25" s="34"/>
      <c r="O25" s="34"/>
    </row>
    <row r="26" spans="1:15" x14ac:dyDescent="0.15">
      <c r="B26" s="31"/>
      <c r="C26" s="31"/>
      <c r="D26" s="31"/>
      <c r="E26" s="31"/>
      <c r="F26" s="32"/>
      <c r="G26" s="32"/>
      <c r="H26" s="32"/>
      <c r="I26" s="32"/>
      <c r="J26" s="32"/>
      <c r="K26" s="33"/>
      <c r="L26" s="33"/>
      <c r="M26" s="34"/>
      <c r="N26" s="34"/>
      <c r="O26" s="34"/>
    </row>
    <row r="27" spans="1:15" x14ac:dyDescent="0.15">
      <c r="B27" s="31"/>
      <c r="C27" s="31"/>
      <c r="D27" s="31"/>
      <c r="E27" s="31"/>
      <c r="F27" s="32"/>
      <c r="G27" s="32"/>
      <c r="H27" s="32"/>
      <c r="I27" s="32"/>
      <c r="J27" s="32"/>
      <c r="K27" s="33"/>
      <c r="L27" s="33"/>
      <c r="M27" s="34"/>
      <c r="N27" s="34"/>
      <c r="O27" s="34"/>
    </row>
    <row r="28" spans="1:15" x14ac:dyDescent="0.15">
      <c r="B28" s="31"/>
      <c r="C28" s="31"/>
      <c r="D28" s="31"/>
      <c r="E28" s="31"/>
      <c r="F28" s="32"/>
      <c r="G28" s="32"/>
      <c r="H28" s="32"/>
      <c r="I28" s="32"/>
      <c r="J28" s="32"/>
      <c r="K28" s="33"/>
      <c r="L28" s="33"/>
      <c r="M28" s="34"/>
      <c r="N28" s="34"/>
      <c r="O28" s="34"/>
    </row>
    <row r="29" spans="1:15" x14ac:dyDescent="0.15">
      <c r="B29" s="31"/>
      <c r="C29" s="31"/>
      <c r="D29" s="31"/>
      <c r="E29" s="31"/>
      <c r="F29" s="32"/>
      <c r="G29" s="32"/>
      <c r="H29" s="32"/>
      <c r="I29" s="32"/>
      <c r="J29" s="32"/>
      <c r="K29" s="33"/>
      <c r="L29" s="33"/>
      <c r="M29" s="34"/>
      <c r="N29" s="34"/>
      <c r="O29" s="34"/>
    </row>
    <row r="30" spans="1:15" x14ac:dyDescent="0.15">
      <c r="B30" s="31"/>
      <c r="C30" s="31"/>
      <c r="D30" s="31"/>
      <c r="E30" s="31"/>
      <c r="F30" s="32"/>
      <c r="G30" s="32"/>
      <c r="H30" s="32"/>
      <c r="I30" s="32"/>
      <c r="J30" s="32"/>
      <c r="K30" s="33"/>
      <c r="L30" s="33"/>
      <c r="M30" s="34"/>
      <c r="N30" s="34"/>
      <c r="O30" s="34"/>
    </row>
    <row r="32" spans="1:15" x14ac:dyDescent="0.15">
      <c r="B32" s="37"/>
      <c r="C32" s="37"/>
      <c r="D32" s="37"/>
      <c r="E32" s="37"/>
      <c r="F32" s="38"/>
      <c r="G32" s="38"/>
      <c r="H32" s="39"/>
      <c r="I32" s="36"/>
      <c r="J32" s="39"/>
      <c r="K32" s="39"/>
      <c r="L32" s="39"/>
      <c r="M32" s="39"/>
      <c r="N32" s="36"/>
      <c r="O32" s="36"/>
    </row>
    <row r="33" spans="2:15" x14ac:dyDescent="0.15">
      <c r="B33" s="37"/>
      <c r="C33" s="37"/>
      <c r="D33" s="37"/>
      <c r="E33" s="37"/>
      <c r="F33" s="37"/>
      <c r="G33" s="37"/>
      <c r="H33" s="36"/>
      <c r="I33" s="36"/>
      <c r="J33" s="36"/>
      <c r="K33" s="36"/>
      <c r="L33" s="36"/>
      <c r="M33" s="39"/>
      <c r="N33" s="36"/>
      <c r="O33" s="36"/>
    </row>
    <row r="34" spans="2:15" x14ac:dyDescent="0.15">
      <c r="B34" s="31"/>
      <c r="C34" s="31"/>
      <c r="D34" s="31"/>
      <c r="E34" s="31"/>
      <c r="F34" s="32"/>
      <c r="G34" s="32"/>
      <c r="H34" s="32"/>
      <c r="J34" s="32"/>
      <c r="K34" s="33"/>
      <c r="L34" s="33"/>
      <c r="M34" s="34"/>
      <c r="N34" s="34"/>
      <c r="O34" s="34"/>
    </row>
    <row r="35" spans="2:15" x14ac:dyDescent="0.15">
      <c r="B35" s="31"/>
      <c r="C35" s="31"/>
      <c r="D35" s="31"/>
      <c r="E35" s="31"/>
      <c r="F35" s="32"/>
      <c r="G35" s="32"/>
      <c r="H35" s="32"/>
      <c r="J35" s="32"/>
      <c r="K35" s="33"/>
      <c r="L35" s="33"/>
      <c r="M35" s="34"/>
      <c r="N35" s="34"/>
      <c r="O35" s="34"/>
    </row>
    <row r="36" spans="2:15" x14ac:dyDescent="0.15">
      <c r="B36" s="31"/>
      <c r="C36" s="31"/>
      <c r="D36" s="31"/>
      <c r="E36" s="31"/>
      <c r="F36" s="32"/>
      <c r="G36" s="32"/>
      <c r="H36" s="32"/>
      <c r="I36" s="32"/>
      <c r="J36" s="32"/>
      <c r="K36" s="33"/>
      <c r="L36" s="33"/>
      <c r="M36" s="34"/>
      <c r="N36" s="34"/>
      <c r="O36" s="34"/>
    </row>
    <row r="37" spans="2:15" x14ac:dyDescent="0.15">
      <c r="B37" s="31"/>
      <c r="C37" s="31"/>
      <c r="D37" s="31"/>
      <c r="E37" s="31"/>
      <c r="F37" s="32"/>
      <c r="G37" s="32"/>
      <c r="H37" s="32"/>
      <c r="J37" s="32"/>
      <c r="K37" s="33"/>
      <c r="L37" s="33"/>
      <c r="M37" s="34"/>
      <c r="N37" s="34"/>
      <c r="O37" s="34"/>
    </row>
    <row r="38" spans="2:15" x14ac:dyDescent="0.15">
      <c r="B38" s="31"/>
      <c r="C38" s="31"/>
      <c r="D38" s="31"/>
      <c r="E38" s="31"/>
      <c r="F38" s="32"/>
      <c r="G38" s="32"/>
      <c r="H38" s="32"/>
      <c r="J38" s="32"/>
      <c r="K38" s="33"/>
      <c r="L38" s="33"/>
      <c r="M38" s="34"/>
      <c r="N38" s="34"/>
      <c r="O38" s="34"/>
    </row>
    <row r="39" spans="2:15" x14ac:dyDescent="0.15">
      <c r="B39" s="31"/>
      <c r="C39" s="31"/>
      <c r="D39" s="31"/>
      <c r="E39" s="31"/>
      <c r="F39" s="32"/>
      <c r="G39" s="32"/>
      <c r="H39" s="32"/>
      <c r="I39" s="32"/>
      <c r="J39" s="32"/>
      <c r="K39" s="33"/>
      <c r="L39" s="33"/>
      <c r="M39" s="34"/>
      <c r="N39" s="34"/>
      <c r="O39" s="34"/>
    </row>
    <row r="40" spans="2:15" x14ac:dyDescent="0.15">
      <c r="B40" s="31"/>
      <c r="C40" s="31"/>
      <c r="D40" s="31"/>
      <c r="E40" s="31"/>
      <c r="F40" s="32"/>
      <c r="G40" s="32"/>
      <c r="H40" s="32"/>
      <c r="J40" s="32"/>
      <c r="K40" s="33"/>
      <c r="L40" s="33"/>
      <c r="M40" s="34"/>
      <c r="N40" s="34"/>
      <c r="O40" s="34"/>
    </row>
    <row r="41" spans="2:15" x14ac:dyDescent="0.15">
      <c r="B41" s="31"/>
      <c r="C41" s="31"/>
      <c r="D41" s="31"/>
      <c r="E41" s="31"/>
      <c r="F41" s="32"/>
      <c r="G41" s="32"/>
      <c r="H41" s="32"/>
      <c r="J41" s="32"/>
      <c r="K41" s="33"/>
      <c r="L41" s="33"/>
      <c r="M41" s="34"/>
      <c r="N41" s="34"/>
      <c r="O41" s="34"/>
    </row>
    <row r="42" spans="2:15" x14ac:dyDescent="0.15">
      <c r="B42" s="31"/>
      <c r="C42" s="31"/>
      <c r="D42" s="31"/>
      <c r="E42" s="31"/>
      <c r="F42" s="32"/>
      <c r="G42" s="32"/>
      <c r="H42" s="32"/>
      <c r="J42" s="32"/>
      <c r="K42" s="33"/>
      <c r="L42" s="33"/>
      <c r="M42" s="34"/>
      <c r="N42" s="34"/>
      <c r="O42" s="34"/>
    </row>
    <row r="43" spans="2:15" x14ac:dyDescent="0.15">
      <c r="B43" s="31"/>
      <c r="C43" s="31"/>
      <c r="D43" s="31"/>
      <c r="E43" s="31"/>
      <c r="F43" s="32"/>
      <c r="G43" s="32"/>
      <c r="H43" s="32"/>
      <c r="J43" s="32"/>
      <c r="K43" s="33"/>
      <c r="L43" s="33"/>
      <c r="M43" s="34"/>
      <c r="N43" s="34"/>
      <c r="O43" s="34"/>
    </row>
    <row r="44" spans="2:15" x14ac:dyDescent="0.15">
      <c r="B44" s="31"/>
      <c r="C44" s="31"/>
      <c r="D44" s="31"/>
      <c r="E44" s="31"/>
      <c r="F44" s="32"/>
      <c r="G44" s="32"/>
      <c r="H44" s="32"/>
      <c r="J44" s="32"/>
      <c r="K44" s="33"/>
      <c r="L44" s="33"/>
      <c r="M44" s="34"/>
      <c r="N44" s="34"/>
      <c r="O44" s="34"/>
    </row>
    <row r="45" spans="2:15" x14ac:dyDescent="0.15">
      <c r="B45" s="31"/>
      <c r="C45" s="31"/>
      <c r="D45" s="31"/>
      <c r="E45" s="31"/>
      <c r="F45" s="32"/>
      <c r="G45" s="32"/>
      <c r="H45" s="32"/>
      <c r="J45" s="32"/>
      <c r="K45" s="33"/>
      <c r="L45" s="33"/>
      <c r="M45" s="34"/>
      <c r="N45" s="34"/>
      <c r="O45" s="34"/>
    </row>
    <row r="46" spans="2:15" x14ac:dyDescent="0.15">
      <c r="B46" s="41"/>
      <c r="D46" s="41"/>
    </row>
    <row r="47" spans="2:15" x14ac:dyDescent="0.15">
      <c r="B47" s="41"/>
      <c r="D47" s="41"/>
    </row>
  </sheetData>
  <mergeCells count="15">
    <mergeCell ref="B12:C12"/>
    <mergeCell ref="D12:E12"/>
    <mergeCell ref="F12:G12"/>
    <mergeCell ref="B13:C13"/>
    <mergeCell ref="D13:E13"/>
    <mergeCell ref="F13:G13"/>
    <mergeCell ref="B11:O11"/>
    <mergeCell ref="B4:C4"/>
    <mergeCell ref="D4:E4"/>
    <mergeCell ref="F4:G4"/>
    <mergeCell ref="A1:O1"/>
    <mergeCell ref="B3:C3"/>
    <mergeCell ref="D3:E3"/>
    <mergeCell ref="F3:G3"/>
    <mergeCell ref="B2:O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5C59B-FAFA-42A9-B5FF-E2C646BE27F8}">
  <dimension ref="A1:R42"/>
  <sheetViews>
    <sheetView zoomScaleNormal="100" workbookViewId="0">
      <selection sqref="A1:P1"/>
    </sheetView>
  </sheetViews>
  <sheetFormatPr baseColWidth="10" defaultColWidth="8.83203125" defaultRowHeight="14" x14ac:dyDescent="0.15"/>
  <cols>
    <col min="1" max="1" width="68.5" style="3" customWidth="1"/>
    <col min="2" max="2" width="9.83203125" style="3" bestFit="1" customWidth="1"/>
    <col min="3" max="10" width="8.83203125" style="3"/>
    <col min="11" max="11" width="12.83203125" style="3" customWidth="1"/>
    <col min="12" max="12" width="12.5" style="3" customWidth="1"/>
    <col min="13" max="13" width="12.33203125" style="3" customWidth="1"/>
    <col min="14" max="14" width="12" style="3" customWidth="1"/>
    <col min="15" max="16384" width="8.83203125" style="3"/>
  </cols>
  <sheetData>
    <row r="1" spans="1:18" ht="17" thickBot="1" x14ac:dyDescent="0.2">
      <c r="A1" s="95" t="s">
        <v>83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</row>
    <row r="2" spans="1:18" ht="17" thickBot="1" x14ac:dyDescent="0.25">
      <c r="A2" s="96" t="s">
        <v>15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8"/>
    </row>
    <row r="3" spans="1:18" ht="60" x14ac:dyDescent="0.15">
      <c r="B3" s="21" t="s">
        <v>20</v>
      </c>
      <c r="C3" s="99" t="s">
        <v>59</v>
      </c>
      <c r="D3" s="100"/>
      <c r="E3" s="101" t="s">
        <v>60</v>
      </c>
      <c r="F3" s="100"/>
      <c r="G3" s="102" t="s">
        <v>63</v>
      </c>
      <c r="H3" s="103"/>
      <c r="I3" s="23" t="s">
        <v>62</v>
      </c>
      <c r="J3" s="25" t="s">
        <v>58</v>
      </c>
      <c r="K3" s="25" t="s">
        <v>9</v>
      </c>
      <c r="L3" s="25" t="s">
        <v>10</v>
      </c>
      <c r="M3" s="25" t="s">
        <v>64</v>
      </c>
      <c r="N3" s="25" t="s">
        <v>65</v>
      </c>
      <c r="O3" s="25" t="s">
        <v>67</v>
      </c>
      <c r="P3" s="42" t="s">
        <v>68</v>
      </c>
    </row>
    <row r="4" spans="1:18" ht="30" x14ac:dyDescent="0.15">
      <c r="B4" s="26"/>
      <c r="C4" s="91" t="s">
        <v>11</v>
      </c>
      <c r="D4" s="92"/>
      <c r="E4" s="93" t="s">
        <v>11</v>
      </c>
      <c r="F4" s="92"/>
      <c r="G4" s="93" t="s">
        <v>12</v>
      </c>
      <c r="H4" s="94"/>
      <c r="I4" s="27" t="s">
        <v>12</v>
      </c>
      <c r="J4" s="28" t="s">
        <v>11</v>
      </c>
      <c r="K4" s="28" t="s">
        <v>13</v>
      </c>
      <c r="L4" s="28" t="s">
        <v>14</v>
      </c>
      <c r="M4" s="29" t="s">
        <v>73</v>
      </c>
      <c r="N4" s="29" t="s">
        <v>73</v>
      </c>
      <c r="O4" s="28"/>
      <c r="P4" s="30"/>
    </row>
    <row r="5" spans="1:18" s="5" customFormat="1" ht="13" x14ac:dyDescent="0.15">
      <c r="B5" s="123"/>
      <c r="C5" s="124">
        <v>4.0300000000000002E-2</v>
      </c>
      <c r="D5" s="125"/>
      <c r="E5" s="125">
        <v>3.8600000000000002E-2</v>
      </c>
      <c r="F5" s="125"/>
      <c r="N5" s="126"/>
      <c r="P5" s="127"/>
    </row>
    <row r="6" spans="1:18" s="5" customFormat="1" ht="13" x14ac:dyDescent="0.15">
      <c r="B6" s="123"/>
      <c r="C6" s="128">
        <v>4.19E-2</v>
      </c>
      <c r="D6" s="129"/>
      <c r="E6" s="129">
        <v>4.0399999999999998E-2</v>
      </c>
      <c r="F6" s="129"/>
      <c r="N6" s="126"/>
      <c r="P6" s="127"/>
    </row>
    <row r="7" spans="1:18" s="5" customFormat="1" ht="13" x14ac:dyDescent="0.15">
      <c r="B7" s="123"/>
      <c r="C7" s="130">
        <f>AVERAGE(C5:D6)</f>
        <v>4.1099999999999998E-2</v>
      </c>
      <c r="D7" s="131"/>
      <c r="E7" s="131">
        <f>AVERAGE(E5:F6)</f>
        <v>3.95E-2</v>
      </c>
      <c r="F7" s="131"/>
      <c r="N7" s="126"/>
      <c r="P7" s="127"/>
    </row>
    <row r="8" spans="1:18" s="5" customFormat="1" ht="13" x14ac:dyDescent="0.15">
      <c r="B8" s="132" t="s">
        <v>21</v>
      </c>
      <c r="C8" s="133">
        <f>2.4421-C7</f>
        <v>2.4009999999999998</v>
      </c>
      <c r="D8" s="134">
        <f>2.5675-C7</f>
        <v>2.5263999999999998</v>
      </c>
      <c r="E8" s="134">
        <f>1.1632-E7</f>
        <v>1.1236999999999999</v>
      </c>
      <c r="F8" s="134">
        <f>1.2131-E7</f>
        <v>1.1736</v>
      </c>
      <c r="G8" s="135">
        <f>(C8-(E8*0.605))/6.17</f>
        <v>0.27895648298217179</v>
      </c>
      <c r="H8" s="135">
        <f>(D8-(F8*0.605))/6.17</f>
        <v>0.29438768233387358</v>
      </c>
      <c r="I8" s="135">
        <f t="shared" ref="I8:I25" si="0">AVERAGE(G8:H8)</f>
        <v>0.28667208265802269</v>
      </c>
      <c r="J8" s="135">
        <f>6*0.537</f>
        <v>3.2220000000000004</v>
      </c>
      <c r="K8" s="135">
        <f>1.2334*J8</f>
        <v>3.9740148000000008</v>
      </c>
      <c r="L8" s="136">
        <f t="shared" ref="L8:L25" si="1">K8*2/1000</f>
        <v>7.9480296000000016E-3</v>
      </c>
      <c r="M8" s="137">
        <f>(I8*1.2)/L8</f>
        <v>43.281985158891096</v>
      </c>
      <c r="N8" s="126"/>
      <c r="P8" s="127"/>
    </row>
    <row r="9" spans="1:18" s="5" customFormat="1" ht="13" x14ac:dyDescent="0.15">
      <c r="B9" s="132"/>
      <c r="C9" s="133">
        <f>2.2623-C7</f>
        <v>2.2212000000000001</v>
      </c>
      <c r="D9" s="134">
        <f>2.3332-C7</f>
        <v>2.2921</v>
      </c>
      <c r="E9" s="134">
        <f>1.0934-E7</f>
        <v>1.0538999999999998</v>
      </c>
      <c r="F9" s="134">
        <f>1.1192-E7</f>
        <v>1.0796999999999999</v>
      </c>
      <c r="G9" s="135">
        <f t="shared" ref="G9:G25" si="2">(C9-(E9*0.605))/6.17</f>
        <v>0.25665972447325774</v>
      </c>
      <c r="H9" s="135">
        <f t="shared" ref="H9:H25" si="3">(D9-(F9*0.605))/6.17</f>
        <v>0.26562098865478123</v>
      </c>
      <c r="I9" s="135">
        <f t="shared" si="0"/>
        <v>0.26114035656401946</v>
      </c>
      <c r="J9" s="135">
        <f>6*0.553</f>
        <v>3.3180000000000005</v>
      </c>
      <c r="K9" s="135">
        <f t="shared" ref="K9:K25" si="4">1.2334*J9</f>
        <v>4.0924212000000004</v>
      </c>
      <c r="L9" s="136">
        <f t="shared" si="1"/>
        <v>8.1848424000000013E-3</v>
      </c>
      <c r="M9" s="137">
        <f t="shared" ref="M9:M24" si="5">(I9*1.2)/L9</f>
        <v>38.286433942432815</v>
      </c>
      <c r="N9" s="126"/>
      <c r="P9" s="127"/>
    </row>
    <row r="10" spans="1:18" s="5" customFormat="1" ht="13" x14ac:dyDescent="0.15">
      <c r="B10" s="132"/>
      <c r="C10" s="133">
        <f>2.3601-C7</f>
        <v>2.319</v>
      </c>
      <c r="D10" s="134">
        <f>2.5401-C7</f>
        <v>2.4989999999999997</v>
      </c>
      <c r="E10" s="134">
        <f>1.1384-E7</f>
        <v>1.0989</v>
      </c>
      <c r="F10" s="134">
        <f>1.2045-E7</f>
        <v>1.1649999999999998</v>
      </c>
      <c r="G10" s="135">
        <f t="shared" si="2"/>
        <v>0.26809813614262562</v>
      </c>
      <c r="H10" s="135">
        <f t="shared" si="3"/>
        <v>0.29079011345218797</v>
      </c>
      <c r="I10" s="135">
        <f t="shared" si="0"/>
        <v>0.27944412479740677</v>
      </c>
      <c r="J10" s="135">
        <f>6*0.537</f>
        <v>3.2220000000000004</v>
      </c>
      <c r="K10" s="135">
        <f t="shared" si="4"/>
        <v>3.9740148000000008</v>
      </c>
      <c r="L10" s="136">
        <f t="shared" si="1"/>
        <v>7.9480296000000016E-3</v>
      </c>
      <c r="M10" s="137">
        <f t="shared" si="5"/>
        <v>42.190702178171058</v>
      </c>
      <c r="N10" s="138">
        <f>AVERAGE(M8:M10)</f>
        <v>41.253040426498323</v>
      </c>
      <c r="O10" s="137">
        <f>STDEV(M8:M10)</f>
        <v>2.6264596245662979</v>
      </c>
      <c r="P10" s="139">
        <f>O10/SQRT(3)</f>
        <v>1.5163871712590355</v>
      </c>
      <c r="R10" s="140">
        <f>(N22-N10)/N10</f>
        <v>3.565593692997121E-2</v>
      </c>
    </row>
    <row r="11" spans="1:18" s="5" customFormat="1" ht="13" x14ac:dyDescent="0.15">
      <c r="B11" s="132"/>
      <c r="C11" s="133">
        <f>0.2703-C7</f>
        <v>0.22919999999999999</v>
      </c>
      <c r="D11" s="134">
        <f>0.2803-C7</f>
        <v>0.2392</v>
      </c>
      <c r="E11" s="134">
        <f>0.1626-E7</f>
        <v>0.12309999999999999</v>
      </c>
      <c r="F11" s="134">
        <f>0.1705-E7</f>
        <v>0.13100000000000001</v>
      </c>
      <c r="G11" s="135">
        <f t="shared" si="2"/>
        <v>2.5076904376012964E-2</v>
      </c>
      <c r="H11" s="135">
        <f t="shared" si="3"/>
        <v>2.5923014586709887E-2</v>
      </c>
      <c r="I11" s="135">
        <f t="shared" si="0"/>
        <v>2.5499959481361426E-2</v>
      </c>
      <c r="J11" s="135">
        <v>0.53700000000000003</v>
      </c>
      <c r="K11" s="135">
        <f t="shared" si="4"/>
        <v>0.66233580000000003</v>
      </c>
      <c r="L11" s="136">
        <f t="shared" si="1"/>
        <v>1.3246716000000001E-3</v>
      </c>
      <c r="M11" s="137">
        <f t="shared" si="5"/>
        <v>23.100028246724477</v>
      </c>
      <c r="N11" s="138"/>
      <c r="O11" s="137"/>
      <c r="P11" s="139"/>
      <c r="R11" s="141">
        <f>AVERAGE(J8:J10,J14:J16,J20:J22)</f>
        <v>3.1886666666666668</v>
      </c>
    </row>
    <row r="12" spans="1:18" s="5" customFormat="1" ht="13" x14ac:dyDescent="0.15">
      <c r="B12" s="132"/>
      <c r="C12" s="133">
        <f>0.2355-C7</f>
        <v>0.19439999999999999</v>
      </c>
      <c r="D12" s="134">
        <f>0.2382-C7</f>
        <v>0.1971</v>
      </c>
      <c r="E12" s="134">
        <f>0.1476-E7</f>
        <v>0.1081</v>
      </c>
      <c r="F12" s="134">
        <f>0.1487-E7</f>
        <v>0.10919999999999999</v>
      </c>
      <c r="G12" s="135">
        <f t="shared" si="2"/>
        <v>2.0907536466774714E-2</v>
      </c>
      <c r="H12" s="135">
        <f t="shared" si="3"/>
        <v>2.1237277147487844E-2</v>
      </c>
      <c r="I12" s="135">
        <f t="shared" si="0"/>
        <v>2.107240680713128E-2</v>
      </c>
      <c r="J12" s="135">
        <v>0.55300000000000005</v>
      </c>
      <c r="K12" s="135">
        <f t="shared" si="4"/>
        <v>0.68207020000000007</v>
      </c>
      <c r="L12" s="136">
        <f t="shared" si="1"/>
        <v>1.3641404000000002E-3</v>
      </c>
      <c r="M12" s="137">
        <f t="shared" si="5"/>
        <v>18.53686627018563</v>
      </c>
      <c r="N12" s="138"/>
      <c r="O12" s="137"/>
      <c r="P12" s="139"/>
      <c r="R12" s="141">
        <f>AVERAGE(J11:J13,J17:J19,J23:J25)</f>
        <v>0.5314444444444445</v>
      </c>
    </row>
    <row r="13" spans="1:18" s="5" customFormat="1" ht="13" x14ac:dyDescent="0.15">
      <c r="B13" s="132"/>
      <c r="C13" s="133">
        <f>0.2086-C7</f>
        <v>0.16750000000000001</v>
      </c>
      <c r="D13" s="134">
        <f>0.2148-C7</f>
        <v>0.17369999999999999</v>
      </c>
      <c r="E13" s="134">
        <f>0.1322-E7</f>
        <v>9.2700000000000005E-2</v>
      </c>
      <c r="F13" s="134">
        <f>0.1367-E7</f>
        <v>9.7199999999999981E-2</v>
      </c>
      <c r="G13" s="135">
        <f t="shared" si="2"/>
        <v>1.8057779578606159E-2</v>
      </c>
      <c r="H13" s="135">
        <f t="shared" si="3"/>
        <v>1.8621393841166938E-2</v>
      </c>
      <c r="I13" s="135">
        <f t="shared" si="0"/>
        <v>1.833958670988655E-2</v>
      </c>
      <c r="J13" s="135">
        <v>0.53700000000000003</v>
      </c>
      <c r="K13" s="135">
        <f t="shared" si="4"/>
        <v>0.66233580000000003</v>
      </c>
      <c r="L13" s="136">
        <f t="shared" si="1"/>
        <v>1.3246716000000001E-3</v>
      </c>
      <c r="M13" s="137">
        <f t="shared" si="5"/>
        <v>16.613554674127428</v>
      </c>
      <c r="N13" s="138">
        <f t="shared" ref="N13:N25" si="6">AVERAGE(M11:M13)</f>
        <v>19.416816397012511</v>
      </c>
      <c r="O13" s="137">
        <f t="shared" ref="O13:O25" si="7">STDEV(M11:M13)</f>
        <v>3.3315640503038484</v>
      </c>
      <c r="P13" s="139">
        <f t="shared" ref="P13:P25" si="8">O13/SQRT(3)</f>
        <v>1.9234794012654068</v>
      </c>
      <c r="R13" s="142">
        <f>(N13-N25)/N13</f>
        <v>0.56520960008329402</v>
      </c>
    </row>
    <row r="14" spans="1:18" s="5" customFormat="1" ht="13" x14ac:dyDescent="0.15">
      <c r="B14" s="132" t="s">
        <v>22</v>
      </c>
      <c r="C14" s="133">
        <f>2.3651-C7</f>
        <v>2.3239999999999998</v>
      </c>
      <c r="D14" s="134">
        <f>2.4216-C7</f>
        <v>2.3805000000000001</v>
      </c>
      <c r="E14" s="134">
        <f>1.2015-E7</f>
        <v>1.1619999999999999</v>
      </c>
      <c r="F14" s="134">
        <f>1.2276-E7</f>
        <v>1.1880999999999999</v>
      </c>
      <c r="G14" s="135">
        <f t="shared" si="2"/>
        <v>0.26272123176661261</v>
      </c>
      <c r="H14" s="135">
        <f t="shared" si="3"/>
        <v>0.26931920583468399</v>
      </c>
      <c r="I14" s="135">
        <f t="shared" si="0"/>
        <v>0.2660202188006483</v>
      </c>
      <c r="J14" s="135">
        <f>6*0.543</f>
        <v>3.258</v>
      </c>
      <c r="K14" s="135">
        <f t="shared" si="4"/>
        <v>4.0184172</v>
      </c>
      <c r="L14" s="136">
        <f t="shared" si="1"/>
        <v>8.0368343999999998E-3</v>
      </c>
      <c r="M14" s="137">
        <f t="shared" si="5"/>
        <v>39.720149336507163</v>
      </c>
      <c r="N14" s="138"/>
      <c r="O14" s="137"/>
      <c r="P14" s="139"/>
      <c r="R14" s="142">
        <f>(N13-N19)/N13</f>
        <v>4.9964919398429425E-2</v>
      </c>
    </row>
    <row r="15" spans="1:18" s="5" customFormat="1" ht="13" x14ac:dyDescent="0.15">
      <c r="B15" s="132"/>
      <c r="C15" s="133">
        <f>2.4003-C7</f>
        <v>2.3592</v>
      </c>
      <c r="D15" s="134">
        <f>2.4069-C7</f>
        <v>2.3657999999999997</v>
      </c>
      <c r="E15" s="134">
        <f>1.1766-E7</f>
        <v>1.1371</v>
      </c>
      <c r="F15" s="134">
        <f>1.1785-E7</f>
        <v>1.139</v>
      </c>
      <c r="G15" s="135">
        <f t="shared" si="2"/>
        <v>0.27086782820097244</v>
      </c>
      <c r="H15" s="135">
        <f t="shared" si="3"/>
        <v>0.27175121555915716</v>
      </c>
      <c r="I15" s="135">
        <f t="shared" si="0"/>
        <v>0.2713095218800648</v>
      </c>
      <c r="J15" s="135">
        <f>6*0.537</f>
        <v>3.2220000000000004</v>
      </c>
      <c r="K15" s="135">
        <f t="shared" si="4"/>
        <v>3.9740148000000008</v>
      </c>
      <c r="L15" s="136">
        <f t="shared" si="1"/>
        <v>7.9480296000000016E-3</v>
      </c>
      <c r="M15" s="137">
        <f t="shared" si="5"/>
        <v>40.962533186348189</v>
      </c>
      <c r="N15" s="138"/>
      <c r="O15" s="137"/>
      <c r="P15" s="139"/>
      <c r="R15" s="143"/>
    </row>
    <row r="16" spans="1:18" s="5" customFormat="1" ht="13" x14ac:dyDescent="0.15">
      <c r="B16" s="132"/>
      <c r="C16" s="133">
        <f>2.4615-C7</f>
        <v>2.4203999999999999</v>
      </c>
      <c r="D16" s="134">
        <f>2.5319-C7</f>
        <v>2.4907999999999997</v>
      </c>
      <c r="E16" s="134">
        <f>1.207-E7</f>
        <v>1.1675</v>
      </c>
      <c r="F16" s="134">
        <f>1.2313-E7</f>
        <v>1.1918</v>
      </c>
      <c r="G16" s="135">
        <f t="shared" si="2"/>
        <v>0.27780591572123176</v>
      </c>
      <c r="H16" s="135">
        <f t="shared" si="3"/>
        <v>0.28683322528363042</v>
      </c>
      <c r="I16" s="135">
        <f t="shared" si="0"/>
        <v>0.28231957050243106</v>
      </c>
      <c r="J16" s="135">
        <f>6*0.484</f>
        <v>2.9039999999999999</v>
      </c>
      <c r="K16" s="135">
        <f t="shared" si="4"/>
        <v>3.5817936000000001</v>
      </c>
      <c r="L16" s="136">
        <f t="shared" si="1"/>
        <v>7.1635872E-3</v>
      </c>
      <c r="M16" s="137">
        <f t="shared" si="5"/>
        <v>47.292435360166657</v>
      </c>
      <c r="N16" s="138">
        <f t="shared" si="6"/>
        <v>42.658372627673998</v>
      </c>
      <c r="O16" s="137">
        <f t="shared" si="7"/>
        <v>4.0610075675987618</v>
      </c>
      <c r="P16" s="139">
        <f t="shared" si="8"/>
        <v>2.3446238123342527</v>
      </c>
      <c r="R16" s="143">
        <f>R13*N13</f>
        <v>10.974571030646187</v>
      </c>
    </row>
    <row r="17" spans="1:18" s="5" customFormat="1" ht="13" x14ac:dyDescent="0.15">
      <c r="B17" s="132"/>
      <c r="C17" s="133">
        <f>0.151-C7</f>
        <v>0.1099</v>
      </c>
      <c r="D17" s="134">
        <f>0.1521-C7</f>
        <v>0.11100000000000002</v>
      </c>
      <c r="E17" s="134">
        <f>0.1114-E7</f>
        <v>7.1899999999999992E-2</v>
      </c>
      <c r="F17" s="134">
        <f>0.1125-E7</f>
        <v>7.3000000000000009E-2</v>
      </c>
      <c r="G17" s="135">
        <f t="shared" si="2"/>
        <v>1.0761831442463534E-2</v>
      </c>
      <c r="H17" s="135">
        <f t="shared" si="3"/>
        <v>1.0832252836304701E-2</v>
      </c>
      <c r="I17" s="135">
        <f t="shared" si="0"/>
        <v>1.0797042139384119E-2</v>
      </c>
      <c r="J17" s="135">
        <v>0.54300000000000004</v>
      </c>
      <c r="K17" s="135">
        <f t="shared" si="4"/>
        <v>0.66973620000000011</v>
      </c>
      <c r="L17" s="136">
        <f t="shared" si="1"/>
        <v>1.3394724000000003E-3</v>
      </c>
      <c r="M17" s="137">
        <f t="shared" si="5"/>
        <v>9.6728014457490428</v>
      </c>
      <c r="N17" s="138"/>
      <c r="O17" s="137"/>
      <c r="P17" s="139"/>
      <c r="R17" s="143"/>
    </row>
    <row r="18" spans="1:18" s="5" customFormat="1" ht="13" x14ac:dyDescent="0.15">
      <c r="B18" s="132"/>
      <c r="C18" s="133">
        <f>0.2559-C7</f>
        <v>0.21480000000000002</v>
      </c>
      <c r="D18" s="134">
        <f>0.2431-C7</f>
        <v>0.20200000000000001</v>
      </c>
      <c r="E18" s="134">
        <f>0.1685-E7</f>
        <v>0.129</v>
      </c>
      <c r="F18" s="134">
        <f>0.1556-E7</f>
        <v>0.11609999999999998</v>
      </c>
      <c r="G18" s="135">
        <f t="shared" si="2"/>
        <v>2.2164505672609403E-2</v>
      </c>
      <c r="H18" s="135">
        <f t="shared" si="3"/>
        <v>2.1354862236628854E-2</v>
      </c>
      <c r="I18" s="135">
        <f t="shared" si="0"/>
        <v>2.1759683954619129E-2</v>
      </c>
      <c r="J18" s="135">
        <v>0.53700000000000003</v>
      </c>
      <c r="K18" s="135">
        <f t="shared" si="4"/>
        <v>0.66233580000000003</v>
      </c>
      <c r="L18" s="136">
        <f t="shared" si="1"/>
        <v>1.3246716000000001E-3</v>
      </c>
      <c r="M18" s="137">
        <f t="shared" si="5"/>
        <v>19.711769124923453</v>
      </c>
      <c r="N18" s="138"/>
      <c r="O18" s="137"/>
      <c r="P18" s="139"/>
      <c r="R18" s="143"/>
    </row>
    <row r="19" spans="1:18" s="5" customFormat="1" ht="13" x14ac:dyDescent="0.15">
      <c r="B19" s="132"/>
      <c r="C19" s="133">
        <f>0.201-C7</f>
        <v>0.15990000000000001</v>
      </c>
      <c r="D19" s="134">
        <f>0.2146-C7</f>
        <v>0.17350000000000002</v>
      </c>
      <c r="E19" s="134">
        <f>0.1341-E7</f>
        <v>9.459999999999999E-2</v>
      </c>
      <c r="F19" s="134">
        <f>0.1473-E7</f>
        <v>0.10779999999999998</v>
      </c>
      <c r="G19" s="135">
        <f t="shared" si="2"/>
        <v>1.6639708265802272E-2</v>
      </c>
      <c r="H19" s="135">
        <f t="shared" si="3"/>
        <v>1.7549594813614268E-2</v>
      </c>
      <c r="I19" s="135">
        <f t="shared" si="0"/>
        <v>1.709465153970827E-2</v>
      </c>
      <c r="J19" s="135">
        <v>0.48399999999999999</v>
      </c>
      <c r="K19" s="135">
        <f t="shared" si="4"/>
        <v>0.59696559999999999</v>
      </c>
      <c r="L19" s="136">
        <f t="shared" si="1"/>
        <v>1.1939311999999999E-3</v>
      </c>
      <c r="M19" s="137">
        <f t="shared" si="5"/>
        <v>17.181544336599902</v>
      </c>
      <c r="N19" s="138">
        <f>AVERAGE(M18:M19)</f>
        <v>18.446656730761678</v>
      </c>
      <c r="O19" s="137">
        <f t="shared" si="7"/>
        <v>5.2211769002760873</v>
      </c>
      <c r="P19" s="139">
        <f t="shared" si="8"/>
        <v>3.0144478888610551</v>
      </c>
    </row>
    <row r="20" spans="1:18" s="5" customFormat="1" ht="13" x14ac:dyDescent="0.15">
      <c r="B20" s="104" t="s">
        <v>23</v>
      </c>
      <c r="C20" s="133">
        <f>2.4148-C7</f>
        <v>2.3736999999999999</v>
      </c>
      <c r="D20" s="134">
        <f>2.4665-C7</f>
        <v>2.4253999999999998</v>
      </c>
      <c r="E20" s="134">
        <f>1.1618-E7</f>
        <v>1.1222999999999999</v>
      </c>
      <c r="F20" s="134">
        <f>1.1802-E7</f>
        <v>1.1406999999999998</v>
      </c>
      <c r="G20" s="135">
        <f t="shared" si="2"/>
        <v>0.27466912479740679</v>
      </c>
      <c r="H20" s="135">
        <f t="shared" si="3"/>
        <v>0.28124416531604535</v>
      </c>
      <c r="I20" s="135">
        <f t="shared" si="0"/>
        <v>0.27795664505672607</v>
      </c>
      <c r="J20" s="135">
        <f>6*0.534</f>
        <v>3.2040000000000002</v>
      </c>
      <c r="K20" s="135">
        <f t="shared" si="4"/>
        <v>3.9518136000000004</v>
      </c>
      <c r="L20" s="136">
        <f t="shared" si="1"/>
        <v>7.9036272000000008E-3</v>
      </c>
      <c r="M20" s="137">
        <f t="shared" si="5"/>
        <v>42.201885998376959</v>
      </c>
      <c r="N20" s="138"/>
      <c r="O20" s="137"/>
      <c r="P20" s="139"/>
    </row>
    <row r="21" spans="1:18" s="5" customFormat="1" ht="13" x14ac:dyDescent="0.15">
      <c r="B21" s="104"/>
      <c r="C21" s="133">
        <f>2.4745-C7</f>
        <v>2.4333999999999998</v>
      </c>
      <c r="D21" s="134">
        <f>2.5335-C7</f>
        <v>2.4923999999999999</v>
      </c>
      <c r="E21" s="134">
        <f>1.192-E7</f>
        <v>1.1524999999999999</v>
      </c>
      <c r="F21" s="134">
        <f>1.22-E7</f>
        <v>1.1804999999999999</v>
      </c>
      <c r="G21" s="135">
        <f t="shared" si="2"/>
        <v>0.28138371150729335</v>
      </c>
      <c r="H21" s="135">
        <f t="shared" si="3"/>
        <v>0.28820056726094007</v>
      </c>
      <c r="I21" s="135">
        <f t="shared" si="0"/>
        <v>0.28479213938411674</v>
      </c>
      <c r="J21" s="135">
        <f>6*0.532</f>
        <v>3.1920000000000002</v>
      </c>
      <c r="K21" s="135">
        <f t="shared" si="4"/>
        <v>3.9370128000000002</v>
      </c>
      <c r="L21" s="136">
        <f t="shared" si="1"/>
        <v>7.8740256000000008E-3</v>
      </c>
      <c r="M21" s="137">
        <f t="shared" si="5"/>
        <v>43.40226773722199</v>
      </c>
      <c r="N21" s="138"/>
      <c r="O21" s="137"/>
      <c r="P21" s="139"/>
    </row>
    <row r="22" spans="1:18" s="5" customFormat="1" ht="13" x14ac:dyDescent="0.15">
      <c r="B22" s="104"/>
      <c r="C22" s="133">
        <f>2.3937-C7</f>
        <v>2.3525999999999998</v>
      </c>
      <c r="D22" s="134">
        <f>2.4459-C7</f>
        <v>2.4047999999999998</v>
      </c>
      <c r="E22" s="134">
        <f>1.144-E7</f>
        <v>1.1044999999999998</v>
      </c>
      <c r="F22" s="134">
        <f>1.1656-E7</f>
        <v>1.1260999999999999</v>
      </c>
      <c r="G22" s="135">
        <f t="shared" si="2"/>
        <v>0.27299473257698542</v>
      </c>
      <c r="H22" s="135">
        <f t="shared" si="3"/>
        <v>0.27933703403565641</v>
      </c>
      <c r="I22" s="135">
        <f t="shared" si="0"/>
        <v>0.27616588330632091</v>
      </c>
      <c r="J22" s="135">
        <f>6*0.526</f>
        <v>3.1560000000000001</v>
      </c>
      <c r="K22" s="135">
        <f t="shared" si="4"/>
        <v>3.8926104000000001</v>
      </c>
      <c r="L22" s="136">
        <f t="shared" si="1"/>
        <v>7.7852208000000001E-3</v>
      </c>
      <c r="M22" s="137">
        <f t="shared" si="5"/>
        <v>42.567714966746358</v>
      </c>
      <c r="N22" s="138">
        <f t="shared" si="6"/>
        <v>42.7239562341151</v>
      </c>
      <c r="O22" s="137">
        <f t="shared" si="7"/>
        <v>0.61525407756462613</v>
      </c>
      <c r="P22" s="139">
        <f t="shared" si="8"/>
        <v>0.35521710730195183</v>
      </c>
    </row>
    <row r="23" spans="1:18" s="5" customFormat="1" ht="13" x14ac:dyDescent="0.15">
      <c r="B23" s="104"/>
      <c r="C23" s="133">
        <f>0.1517-C7</f>
        <v>0.1106</v>
      </c>
      <c r="D23" s="134">
        <f>0.1551-C7</f>
        <v>0.11399999999999999</v>
      </c>
      <c r="E23" s="134">
        <f>0.1177-E7</f>
        <v>7.8199999999999992E-2</v>
      </c>
      <c r="F23" s="134">
        <f>0.1204-E7</f>
        <v>8.09E-2</v>
      </c>
      <c r="G23" s="135">
        <f t="shared" si="2"/>
        <v>1.0257536466774719E-2</v>
      </c>
      <c r="H23" s="135">
        <f t="shared" si="3"/>
        <v>1.0543841166936789E-2</v>
      </c>
      <c r="I23" s="135">
        <f t="shared" si="0"/>
        <v>1.0400688816855755E-2</v>
      </c>
      <c r="J23" s="135">
        <v>0.53400000000000003</v>
      </c>
      <c r="K23" s="135">
        <f t="shared" si="4"/>
        <v>0.6586356000000001</v>
      </c>
      <c r="L23" s="136">
        <f t="shared" si="1"/>
        <v>1.3172712000000001E-3</v>
      </c>
      <c r="M23" s="137">
        <f t="shared" si="5"/>
        <v>9.4747585616590602</v>
      </c>
      <c r="N23" s="138"/>
      <c r="O23" s="137"/>
      <c r="P23" s="139"/>
    </row>
    <row r="24" spans="1:18" s="5" customFormat="1" ht="13" x14ac:dyDescent="0.15">
      <c r="B24" s="104"/>
      <c r="C24" s="133">
        <f>0.1413-C7</f>
        <v>0.10020000000000001</v>
      </c>
      <c r="D24" s="134">
        <f>0.1395-C7</f>
        <v>9.8400000000000015E-2</v>
      </c>
      <c r="E24" s="134">
        <f>0.1094-E7</f>
        <v>6.989999999999999E-2</v>
      </c>
      <c r="F24" s="134">
        <f>0.1069-E7</f>
        <v>6.7399999999999988E-2</v>
      </c>
      <c r="G24" s="135">
        <f t="shared" si="2"/>
        <v>9.3858184764991932E-3</v>
      </c>
      <c r="H24" s="135">
        <f t="shared" si="3"/>
        <v>9.3392220421393869E-3</v>
      </c>
      <c r="I24" s="135">
        <f t="shared" si="0"/>
        <v>9.3625202593192909E-3</v>
      </c>
      <c r="J24" s="135">
        <v>0.53200000000000003</v>
      </c>
      <c r="K24" s="135">
        <f t="shared" si="4"/>
        <v>0.65616880000000011</v>
      </c>
      <c r="L24" s="136">
        <f t="shared" si="1"/>
        <v>1.3123376000000002E-3</v>
      </c>
      <c r="M24" s="137">
        <f t="shared" si="5"/>
        <v>8.5610778135009973</v>
      </c>
      <c r="N24" s="138"/>
      <c r="O24" s="137"/>
      <c r="P24" s="139"/>
    </row>
    <row r="25" spans="1:18" s="5" customFormat="1" thickBot="1" x14ac:dyDescent="0.2">
      <c r="A25" s="144"/>
      <c r="B25" s="105"/>
      <c r="C25" s="145">
        <f>0.1253-C7</f>
        <v>8.4199999999999997E-2</v>
      </c>
      <c r="D25" s="146">
        <f>0.1289-C7</f>
        <v>8.7799999999999989E-2</v>
      </c>
      <c r="E25" s="146">
        <f>0.0989-E7</f>
        <v>5.9400000000000001E-2</v>
      </c>
      <c r="F25" s="146">
        <f>0.1036-E7</f>
        <v>6.409999999999999E-2</v>
      </c>
      <c r="G25" s="147">
        <f t="shared" si="2"/>
        <v>7.8222042139384114E-3</v>
      </c>
      <c r="H25" s="147">
        <f t="shared" si="3"/>
        <v>7.9448136142625594E-3</v>
      </c>
      <c r="I25" s="147">
        <f t="shared" si="0"/>
        <v>7.8835089141004854E-3</v>
      </c>
      <c r="J25" s="147">
        <v>0.52600000000000002</v>
      </c>
      <c r="K25" s="147">
        <f t="shared" si="4"/>
        <v>0.64876840000000002</v>
      </c>
      <c r="L25" s="148">
        <f t="shared" si="1"/>
        <v>1.2975368E-3</v>
      </c>
      <c r="M25" s="149">
        <f>(I25*1.2)/L25</f>
        <v>7.2908997239389137</v>
      </c>
      <c r="N25" s="150">
        <f t="shared" si="6"/>
        <v>8.4422453663663237</v>
      </c>
      <c r="O25" s="149">
        <f t="shared" si="7"/>
        <v>1.0967683067271334</v>
      </c>
      <c r="P25" s="151">
        <f t="shared" si="8"/>
        <v>0.63321947712756055</v>
      </c>
    </row>
    <row r="27" spans="1:18" x14ac:dyDescent="0.15">
      <c r="B27" s="36"/>
      <c r="C27" s="37"/>
      <c r="D27" s="37"/>
      <c r="E27" s="37"/>
      <c r="F27" s="37"/>
      <c r="G27" s="38"/>
      <c r="H27" s="38"/>
      <c r="I27" s="39"/>
      <c r="J27" s="36"/>
      <c r="K27" s="39"/>
      <c r="L27" s="39"/>
      <c r="M27" s="39"/>
      <c r="N27" s="39"/>
      <c r="O27" s="36"/>
      <c r="P27" s="36"/>
    </row>
    <row r="28" spans="1:18" x14ac:dyDescent="0.15">
      <c r="B28" s="36"/>
      <c r="C28" s="37"/>
      <c r="D28" s="37"/>
      <c r="E28" s="37"/>
      <c r="F28" s="37"/>
      <c r="G28" s="37"/>
      <c r="H28" s="37"/>
      <c r="I28" s="36"/>
      <c r="J28" s="36"/>
      <c r="K28" s="36"/>
      <c r="L28" s="36"/>
      <c r="M28" s="39"/>
      <c r="N28" s="39"/>
      <c r="O28" s="36"/>
      <c r="P28" s="36"/>
    </row>
    <row r="29" spans="1:18" x14ac:dyDescent="0.15">
      <c r="B29" s="40"/>
      <c r="C29" s="31"/>
      <c r="D29" s="31"/>
      <c r="E29" s="31"/>
      <c r="F29" s="31"/>
      <c r="G29" s="32"/>
      <c r="H29" s="32"/>
      <c r="I29" s="32"/>
      <c r="K29" s="32"/>
      <c r="L29" s="33"/>
      <c r="M29" s="34"/>
      <c r="N29" s="34"/>
      <c r="O29" s="34"/>
      <c r="P29" s="34"/>
    </row>
    <row r="30" spans="1:18" x14ac:dyDescent="0.15">
      <c r="B30" s="40"/>
      <c r="C30" s="31"/>
      <c r="D30" s="31"/>
      <c r="E30" s="31"/>
      <c r="F30" s="31"/>
      <c r="G30" s="32"/>
      <c r="H30" s="32"/>
      <c r="I30" s="32"/>
      <c r="K30" s="32"/>
      <c r="L30" s="33"/>
      <c r="M30" s="34"/>
      <c r="N30" s="34"/>
      <c r="O30" s="34"/>
      <c r="P30" s="34"/>
    </row>
    <row r="31" spans="1:18" x14ac:dyDescent="0.15">
      <c r="B31" s="40"/>
      <c r="C31" s="31"/>
      <c r="D31" s="31"/>
      <c r="E31" s="31"/>
      <c r="F31" s="31"/>
      <c r="G31" s="32"/>
      <c r="H31" s="32"/>
      <c r="I31" s="32"/>
      <c r="J31" s="32"/>
      <c r="K31" s="32"/>
      <c r="L31" s="33"/>
      <c r="M31" s="34"/>
      <c r="N31" s="34"/>
      <c r="O31" s="34"/>
      <c r="P31" s="34"/>
    </row>
    <row r="32" spans="1:18" x14ac:dyDescent="0.15">
      <c r="B32" s="40"/>
      <c r="C32" s="31"/>
      <c r="D32" s="31"/>
      <c r="E32" s="31"/>
      <c r="F32" s="31"/>
      <c r="G32" s="32"/>
      <c r="H32" s="32"/>
      <c r="I32" s="32"/>
      <c r="K32" s="32"/>
      <c r="L32" s="33"/>
      <c r="M32" s="34"/>
      <c r="N32" s="34"/>
      <c r="O32" s="34"/>
      <c r="P32" s="34"/>
    </row>
    <row r="33" spans="2:16" x14ac:dyDescent="0.15">
      <c r="B33" s="40"/>
      <c r="C33" s="31"/>
      <c r="D33" s="31"/>
      <c r="E33" s="31"/>
      <c r="F33" s="31"/>
      <c r="G33" s="32"/>
      <c r="H33" s="32"/>
      <c r="I33" s="32"/>
      <c r="K33" s="32"/>
      <c r="L33" s="33"/>
      <c r="M33" s="34"/>
      <c r="N33" s="34"/>
      <c r="O33" s="34"/>
      <c r="P33" s="34"/>
    </row>
    <row r="34" spans="2:16" x14ac:dyDescent="0.15">
      <c r="B34" s="40"/>
      <c r="C34" s="31"/>
      <c r="D34" s="31"/>
      <c r="E34" s="31"/>
      <c r="F34" s="31"/>
      <c r="G34" s="32"/>
      <c r="H34" s="32"/>
      <c r="I34" s="32"/>
      <c r="J34" s="32"/>
      <c r="K34" s="32"/>
      <c r="L34" s="33"/>
      <c r="M34" s="34"/>
      <c r="N34" s="34"/>
      <c r="O34" s="34"/>
      <c r="P34" s="34"/>
    </row>
    <row r="35" spans="2:16" x14ac:dyDescent="0.15">
      <c r="B35" s="40"/>
      <c r="C35" s="31"/>
      <c r="D35" s="31"/>
      <c r="E35" s="31"/>
      <c r="F35" s="31"/>
      <c r="G35" s="32"/>
      <c r="H35" s="32"/>
      <c r="I35" s="32"/>
      <c r="K35" s="32"/>
      <c r="L35" s="33"/>
      <c r="M35" s="34"/>
      <c r="N35" s="34"/>
      <c r="O35" s="34"/>
      <c r="P35" s="34"/>
    </row>
    <row r="36" spans="2:16" x14ac:dyDescent="0.15">
      <c r="B36" s="40"/>
      <c r="C36" s="31"/>
      <c r="D36" s="31"/>
      <c r="E36" s="31"/>
      <c r="F36" s="31"/>
      <c r="G36" s="32"/>
      <c r="H36" s="32"/>
      <c r="I36" s="32"/>
      <c r="K36" s="32"/>
      <c r="L36" s="33"/>
      <c r="M36" s="34"/>
      <c r="N36" s="34"/>
      <c r="O36" s="34"/>
      <c r="P36" s="34"/>
    </row>
    <row r="37" spans="2:16" x14ac:dyDescent="0.15">
      <c r="B37" s="40"/>
      <c r="C37" s="31"/>
      <c r="D37" s="31"/>
      <c r="E37" s="31"/>
      <c r="F37" s="31"/>
      <c r="G37" s="32"/>
      <c r="H37" s="32"/>
      <c r="I37" s="32"/>
      <c r="K37" s="32"/>
      <c r="L37" s="33"/>
      <c r="M37" s="34"/>
      <c r="N37" s="34"/>
      <c r="O37" s="34"/>
      <c r="P37" s="34"/>
    </row>
    <row r="38" spans="2:16" x14ac:dyDescent="0.15">
      <c r="B38" s="40"/>
      <c r="C38" s="31"/>
      <c r="D38" s="31"/>
      <c r="E38" s="31"/>
      <c r="F38" s="31"/>
      <c r="G38" s="32"/>
      <c r="H38" s="32"/>
      <c r="I38" s="32"/>
      <c r="K38" s="32"/>
      <c r="L38" s="33"/>
      <c r="M38" s="34"/>
      <c r="N38" s="34"/>
      <c r="O38" s="34"/>
      <c r="P38" s="34"/>
    </row>
    <row r="39" spans="2:16" x14ac:dyDescent="0.15">
      <c r="B39" s="40"/>
      <c r="C39" s="31"/>
      <c r="D39" s="31"/>
      <c r="E39" s="31"/>
      <c r="F39" s="31"/>
      <c r="G39" s="32"/>
      <c r="H39" s="32"/>
      <c r="I39" s="32"/>
      <c r="K39" s="32"/>
      <c r="L39" s="33"/>
      <c r="M39" s="34"/>
      <c r="N39" s="34"/>
      <c r="O39" s="34"/>
      <c r="P39" s="34"/>
    </row>
    <row r="40" spans="2:16" x14ac:dyDescent="0.15">
      <c r="B40" s="40"/>
      <c r="C40" s="31"/>
      <c r="D40" s="31"/>
      <c r="E40" s="31"/>
      <c r="F40" s="31"/>
      <c r="G40" s="32"/>
      <c r="H40" s="32"/>
      <c r="I40" s="32"/>
      <c r="K40" s="32"/>
      <c r="L40" s="33"/>
      <c r="M40" s="34"/>
      <c r="N40" s="34"/>
      <c r="O40" s="34"/>
      <c r="P40" s="34"/>
    </row>
    <row r="41" spans="2:16" x14ac:dyDescent="0.15">
      <c r="C41" s="41"/>
      <c r="E41" s="41"/>
    </row>
    <row r="42" spans="2:16" x14ac:dyDescent="0.15">
      <c r="C42" s="41"/>
      <c r="E42" s="41"/>
    </row>
  </sheetData>
  <mergeCells count="18">
    <mergeCell ref="B20:B25"/>
    <mergeCell ref="B8:B13"/>
    <mergeCell ref="B14:B19"/>
    <mergeCell ref="B5:B7"/>
    <mergeCell ref="C6:D6"/>
    <mergeCell ref="E6:F6"/>
    <mergeCell ref="C7:D7"/>
    <mergeCell ref="E7:F7"/>
    <mergeCell ref="E5:F5"/>
    <mergeCell ref="C5:D5"/>
    <mergeCell ref="C4:D4"/>
    <mergeCell ref="E4:F4"/>
    <mergeCell ref="G4:H4"/>
    <mergeCell ref="A1:P1"/>
    <mergeCell ref="A2:P2"/>
    <mergeCell ref="C3:D3"/>
    <mergeCell ref="E3:F3"/>
    <mergeCell ref="G3:H3"/>
  </mergeCells>
  <pageMargins left="0.7" right="0.7" top="0.75" bottom="0.75" header="0.3" footer="0.3"/>
  <ignoredErrors>
    <ignoredError sqref="J9" formula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A8124-3D47-40AE-BBF6-BC77003A672B}">
  <dimension ref="A1:R39"/>
  <sheetViews>
    <sheetView zoomScaleNormal="100" workbookViewId="0">
      <selection sqref="A1:P1"/>
    </sheetView>
  </sheetViews>
  <sheetFormatPr baseColWidth="10" defaultColWidth="8.83203125" defaultRowHeight="14" x14ac:dyDescent="0.15"/>
  <cols>
    <col min="1" max="1" width="69.5" style="3" customWidth="1"/>
    <col min="2" max="2" width="9.83203125" style="3" bestFit="1" customWidth="1"/>
    <col min="3" max="9" width="8.83203125" style="3"/>
    <col min="10" max="10" width="9.33203125" style="3" customWidth="1"/>
    <col min="11" max="11" width="12" style="3" customWidth="1"/>
    <col min="12" max="12" width="12.5" style="3" customWidth="1"/>
    <col min="13" max="13" width="13.1640625" style="3" customWidth="1"/>
    <col min="14" max="14" width="11.5" style="3" customWidth="1"/>
    <col min="15" max="16384" width="8.83203125" style="3"/>
  </cols>
  <sheetData>
    <row r="1" spans="1:18" ht="17" thickBot="1" x14ac:dyDescent="0.2">
      <c r="A1" s="95" t="s">
        <v>82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</row>
    <row r="2" spans="1:18" ht="17" thickBot="1" x14ac:dyDescent="0.25">
      <c r="A2" s="96" t="s">
        <v>19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8"/>
    </row>
    <row r="3" spans="1:18" ht="45" x14ac:dyDescent="0.15">
      <c r="B3" s="21" t="s">
        <v>20</v>
      </c>
      <c r="C3" s="99" t="s">
        <v>59</v>
      </c>
      <c r="D3" s="100"/>
      <c r="E3" s="101" t="s">
        <v>60</v>
      </c>
      <c r="F3" s="100"/>
      <c r="G3" s="102" t="s">
        <v>61</v>
      </c>
      <c r="H3" s="103"/>
      <c r="I3" s="23" t="s">
        <v>62</v>
      </c>
      <c r="J3" s="25" t="s">
        <v>58</v>
      </c>
      <c r="K3" s="25" t="s">
        <v>9</v>
      </c>
      <c r="L3" s="25" t="s">
        <v>10</v>
      </c>
      <c r="M3" s="25" t="s">
        <v>64</v>
      </c>
      <c r="N3" s="25" t="s">
        <v>66</v>
      </c>
      <c r="O3" s="25" t="s">
        <v>67</v>
      </c>
      <c r="P3" s="42" t="s">
        <v>68</v>
      </c>
    </row>
    <row r="4" spans="1:18" ht="30" x14ac:dyDescent="0.15">
      <c r="B4" s="26"/>
      <c r="C4" s="91" t="s">
        <v>11</v>
      </c>
      <c r="D4" s="92"/>
      <c r="E4" s="93" t="s">
        <v>11</v>
      </c>
      <c r="F4" s="92"/>
      <c r="G4" s="93" t="s">
        <v>12</v>
      </c>
      <c r="H4" s="94"/>
      <c r="I4" s="27" t="s">
        <v>12</v>
      </c>
      <c r="J4" s="28" t="s">
        <v>11</v>
      </c>
      <c r="K4" s="28" t="s">
        <v>13</v>
      </c>
      <c r="L4" s="28" t="s">
        <v>14</v>
      </c>
      <c r="M4" s="29" t="s">
        <v>73</v>
      </c>
      <c r="N4" s="29" t="s">
        <v>73</v>
      </c>
      <c r="O4" s="28"/>
      <c r="P4" s="30"/>
    </row>
    <row r="5" spans="1:18" s="5" customFormat="1" ht="13" x14ac:dyDescent="0.15">
      <c r="B5" s="132" t="s">
        <v>21</v>
      </c>
      <c r="C5" s="133">
        <v>2.0596000000000001</v>
      </c>
      <c r="D5" s="134">
        <v>2.1225000000000001</v>
      </c>
      <c r="E5" s="134">
        <v>0.99609999999999999</v>
      </c>
      <c r="F5" s="134">
        <v>1.0225</v>
      </c>
      <c r="G5" s="135">
        <f>(C5-(E5*0.605))/6.17</f>
        <v>0.23613606158833064</v>
      </c>
      <c r="H5" s="135">
        <f>(D5-(F5*0.605))/6.17</f>
        <v>0.24374189627228526</v>
      </c>
      <c r="I5" s="135">
        <f t="shared" ref="I5:I22" si="0">AVERAGE(G5:H5)</f>
        <v>0.23993897893030797</v>
      </c>
      <c r="J5" s="135">
        <f>6*0.512</f>
        <v>3.0720000000000001</v>
      </c>
      <c r="K5" s="135">
        <f>1.2596*J5</f>
        <v>3.8694912000000001</v>
      </c>
      <c r="L5" s="136">
        <f t="shared" ref="L5:L22" si="1">K5*2/1000</f>
        <v>7.7389824000000003E-3</v>
      </c>
      <c r="M5" s="137">
        <f t="shared" ref="M5:M22" si="2">I5*1.2/L5</f>
        <v>37.204733107594294</v>
      </c>
      <c r="N5" s="126"/>
      <c r="P5" s="127"/>
    </row>
    <row r="6" spans="1:18" s="5" customFormat="1" ht="13" x14ac:dyDescent="0.15">
      <c r="B6" s="132"/>
      <c r="C6" s="133">
        <v>2.052</v>
      </c>
      <c r="D6" s="134">
        <v>2.1718999999999999</v>
      </c>
      <c r="E6" s="134">
        <v>0.98750000000000004</v>
      </c>
      <c r="F6" s="134">
        <v>1.0404</v>
      </c>
      <c r="G6" s="135">
        <f t="shared" ref="G6:G22" si="3">(C6-(E6*0.605))/6.17</f>
        <v>0.2357475688816856</v>
      </c>
      <c r="H6" s="135">
        <f t="shared" ref="H6:H22" si="4">(D6-(F6*0.605))/6.17</f>
        <v>0.2499931928687196</v>
      </c>
      <c r="I6" s="135">
        <f t="shared" si="0"/>
        <v>0.2428703808752026</v>
      </c>
      <c r="J6" s="135">
        <f>6*0.475</f>
        <v>2.8499999999999996</v>
      </c>
      <c r="K6" s="135">
        <f t="shared" ref="K6:K22" si="5">1.2596*J6</f>
        <v>3.5898599999999998</v>
      </c>
      <c r="L6" s="136">
        <f t="shared" si="1"/>
        <v>7.1797199999999997E-3</v>
      </c>
      <c r="M6" s="137">
        <f t="shared" si="2"/>
        <v>40.592733010513385</v>
      </c>
      <c r="N6" s="126"/>
      <c r="P6" s="127"/>
      <c r="R6" s="143"/>
    </row>
    <row r="7" spans="1:18" s="5" customFormat="1" ht="13" x14ac:dyDescent="0.15">
      <c r="B7" s="132"/>
      <c r="C7" s="133">
        <v>1.8165</v>
      </c>
      <c r="D7" s="134">
        <v>1.8792</v>
      </c>
      <c r="E7" s="134">
        <v>0.8891</v>
      </c>
      <c r="F7" s="134">
        <v>0.92210000000000003</v>
      </c>
      <c r="G7" s="135">
        <f t="shared" si="3"/>
        <v>0.20722763371150732</v>
      </c>
      <c r="H7" s="135">
        <f t="shared" si="4"/>
        <v>0.21415388978930308</v>
      </c>
      <c r="I7" s="135">
        <f t="shared" si="0"/>
        <v>0.21069076175040519</v>
      </c>
      <c r="J7" s="135">
        <f>6*0.499</f>
        <v>2.9939999999999998</v>
      </c>
      <c r="K7" s="135">
        <f t="shared" si="5"/>
        <v>3.7712423999999998</v>
      </c>
      <c r="L7" s="136">
        <f t="shared" si="1"/>
        <v>7.5424847999999997E-3</v>
      </c>
      <c r="M7" s="137">
        <f t="shared" si="2"/>
        <v>33.520639524588262</v>
      </c>
      <c r="N7" s="138">
        <f>AVERAGE(M5:M7)</f>
        <v>37.10603521423198</v>
      </c>
      <c r="O7" s="137">
        <f>STDEV(M5:M7)</f>
        <v>3.5370796604023154</v>
      </c>
      <c r="P7" s="139">
        <f>O7/SQRT(3)</f>
        <v>2.042133894078427</v>
      </c>
      <c r="R7" s="143">
        <f>(N19-N7)/N7*100</f>
        <v>6.0893487430847193</v>
      </c>
    </row>
    <row r="8" spans="1:18" s="5" customFormat="1" ht="13" x14ac:dyDescent="0.15">
      <c r="B8" s="132"/>
      <c r="C8" s="133">
        <v>0.1978</v>
      </c>
      <c r="D8" s="134">
        <v>0.20399999999999999</v>
      </c>
      <c r="E8" s="134">
        <v>0.12520000000000001</v>
      </c>
      <c r="F8" s="134">
        <v>0.1303</v>
      </c>
      <c r="G8" s="135">
        <f t="shared" si="3"/>
        <v>1.9781847649918961E-2</v>
      </c>
      <c r="H8" s="135">
        <f t="shared" si="4"/>
        <v>2.0286628849270662E-2</v>
      </c>
      <c r="I8" s="135">
        <f t="shared" si="0"/>
        <v>2.0034238249594813E-2</v>
      </c>
      <c r="J8" s="135">
        <v>0.51200000000000001</v>
      </c>
      <c r="K8" s="135">
        <f t="shared" si="5"/>
        <v>0.64491520000000002</v>
      </c>
      <c r="L8" s="136">
        <f t="shared" si="1"/>
        <v>1.2898304E-3</v>
      </c>
      <c r="M8" s="137">
        <f t="shared" si="2"/>
        <v>18.638951213674122</v>
      </c>
      <c r="N8" s="138"/>
      <c r="O8" s="137"/>
      <c r="P8" s="139"/>
      <c r="R8" s="141">
        <f>AVERAGE(J5:J7,J11:J13,J17:J19)</f>
        <v>2.9586666666666668</v>
      </c>
    </row>
    <row r="9" spans="1:18" s="5" customFormat="1" ht="13" x14ac:dyDescent="0.15">
      <c r="B9" s="132"/>
      <c r="C9" s="133">
        <v>0.24510000000000001</v>
      </c>
      <c r="D9" s="134">
        <v>0.2485</v>
      </c>
      <c r="E9" s="134">
        <v>0.14749999999999999</v>
      </c>
      <c r="F9" s="134">
        <v>0.15079999999999999</v>
      </c>
      <c r="G9" s="135">
        <f t="shared" si="3"/>
        <v>2.5261345218800652E-2</v>
      </c>
      <c r="H9" s="135">
        <f t="shared" si="4"/>
        <v>2.5488816855753649E-2</v>
      </c>
      <c r="I9" s="135">
        <f t="shared" si="0"/>
        <v>2.5375081037277151E-2</v>
      </c>
      <c r="J9" s="135">
        <v>0.47499999999999998</v>
      </c>
      <c r="K9" s="135">
        <f t="shared" si="5"/>
        <v>0.59831000000000001</v>
      </c>
      <c r="L9" s="136">
        <f t="shared" si="1"/>
        <v>1.19662E-3</v>
      </c>
      <c r="M9" s="137">
        <f t="shared" si="2"/>
        <v>25.446756066865486</v>
      </c>
      <c r="N9" s="138"/>
      <c r="O9" s="137"/>
      <c r="P9" s="139"/>
      <c r="R9" s="141">
        <f>AVERAGE(J8:J10,J14:J16,J20:J22)</f>
        <v>0.49311111111111106</v>
      </c>
    </row>
    <row r="10" spans="1:18" s="5" customFormat="1" ht="13" x14ac:dyDescent="0.15">
      <c r="B10" s="132"/>
      <c r="C10" s="133">
        <v>0.19350000000000001</v>
      </c>
      <c r="D10" s="134">
        <v>0.19489999999999999</v>
      </c>
      <c r="E10" s="134">
        <v>0.12509999999999999</v>
      </c>
      <c r="F10" s="134">
        <v>0.1236</v>
      </c>
      <c r="G10" s="135">
        <f t="shared" si="3"/>
        <v>1.9094732576985417E-2</v>
      </c>
      <c r="H10" s="135">
        <f t="shared" si="4"/>
        <v>1.9468719611021069E-2</v>
      </c>
      <c r="I10" s="135">
        <f t="shared" si="0"/>
        <v>1.9281726094003242E-2</v>
      </c>
      <c r="J10" s="135">
        <v>0.499</v>
      </c>
      <c r="K10" s="135">
        <f t="shared" si="5"/>
        <v>0.6285404</v>
      </c>
      <c r="L10" s="136">
        <f t="shared" si="1"/>
        <v>1.2570808000000001E-3</v>
      </c>
      <c r="M10" s="137">
        <f t="shared" si="2"/>
        <v>18.406192595419395</v>
      </c>
      <c r="N10" s="138">
        <f t="shared" ref="N10:N22" si="6">AVERAGE(M8:M10)</f>
        <v>20.830633291986334</v>
      </c>
      <c r="O10" s="137">
        <f t="shared" ref="O10:O22" si="7">STDEV(M8:M10)</f>
        <v>3.9993732319153903</v>
      </c>
      <c r="P10" s="139">
        <f t="shared" ref="P10:P22" si="8">O10/SQRT(3)</f>
        <v>2.3090392120361343</v>
      </c>
      <c r="R10" s="142">
        <f>(N10-N16)/N16</f>
        <v>0.48636305438078692</v>
      </c>
    </row>
    <row r="11" spans="1:18" s="5" customFormat="1" ht="13" x14ac:dyDescent="0.15">
      <c r="B11" s="132" t="s">
        <v>22</v>
      </c>
      <c r="C11" s="133">
        <v>1.9256</v>
      </c>
      <c r="D11" s="134">
        <v>1.9635</v>
      </c>
      <c r="E11" s="134">
        <v>0.9405</v>
      </c>
      <c r="F11" s="134">
        <v>0.95440000000000003</v>
      </c>
      <c r="G11" s="135">
        <f t="shared" si="3"/>
        <v>0.21986993517017828</v>
      </c>
      <c r="H11" s="135">
        <f t="shared" si="4"/>
        <v>0.22464959481361427</v>
      </c>
      <c r="I11" s="135">
        <f t="shared" si="0"/>
        <v>0.22225976499189626</v>
      </c>
      <c r="J11" s="135">
        <f>6*0.478</f>
        <v>2.8679999999999999</v>
      </c>
      <c r="K11" s="135">
        <f t="shared" si="5"/>
        <v>3.6125327999999999</v>
      </c>
      <c r="L11" s="136">
        <f t="shared" si="1"/>
        <v>7.2250655999999995E-3</v>
      </c>
      <c r="M11" s="137">
        <f t="shared" si="2"/>
        <v>36.914781505966602</v>
      </c>
      <c r="N11" s="138"/>
      <c r="O11" s="137"/>
      <c r="P11" s="139"/>
      <c r="R11" s="142">
        <f>(N10-N22)/N22</f>
        <v>0.93096555900263744</v>
      </c>
    </row>
    <row r="12" spans="1:18" s="5" customFormat="1" ht="13" x14ac:dyDescent="0.15">
      <c r="B12" s="132"/>
      <c r="C12" s="133">
        <v>2.0632000000000001</v>
      </c>
      <c r="D12" s="134">
        <v>2.1659999999999999</v>
      </c>
      <c r="E12" s="134">
        <v>0.98740000000000006</v>
      </c>
      <c r="F12" s="134">
        <v>1.0324</v>
      </c>
      <c r="G12" s="135">
        <f t="shared" si="3"/>
        <v>0.23757260940032418</v>
      </c>
      <c r="H12" s="135">
        <f t="shared" si="4"/>
        <v>0.24982139384116694</v>
      </c>
      <c r="I12" s="135">
        <f t="shared" si="0"/>
        <v>0.24369700162074556</v>
      </c>
      <c r="J12" s="135">
        <f>6*0.493</f>
        <v>2.9580000000000002</v>
      </c>
      <c r="K12" s="135">
        <f t="shared" si="5"/>
        <v>3.7258968000000006</v>
      </c>
      <c r="L12" s="136">
        <f t="shared" si="1"/>
        <v>7.451793600000001E-3</v>
      </c>
      <c r="M12" s="137">
        <f t="shared" si="2"/>
        <v>39.243760313610224</v>
      </c>
      <c r="N12" s="138"/>
      <c r="O12" s="137"/>
      <c r="P12" s="139"/>
      <c r="R12" s="143"/>
    </row>
    <row r="13" spans="1:18" s="5" customFormat="1" ht="13" x14ac:dyDescent="0.15">
      <c r="B13" s="132"/>
      <c r="C13" s="133">
        <v>1.8709</v>
      </c>
      <c r="D13" s="134">
        <v>1.9397</v>
      </c>
      <c r="E13" s="134">
        <v>0.90710000000000002</v>
      </c>
      <c r="F13" s="134">
        <v>0.93779999999999997</v>
      </c>
      <c r="G13" s="135">
        <f t="shared" si="3"/>
        <v>0.21427949756888168</v>
      </c>
      <c r="H13" s="135">
        <f t="shared" si="4"/>
        <v>0.22241993517017827</v>
      </c>
      <c r="I13" s="135">
        <f t="shared" si="0"/>
        <v>0.21834971636952999</v>
      </c>
      <c r="J13" s="135">
        <f>6*0.5</f>
        <v>3</v>
      </c>
      <c r="K13" s="135">
        <f t="shared" si="5"/>
        <v>3.7788000000000004</v>
      </c>
      <c r="L13" s="136">
        <f t="shared" si="1"/>
        <v>7.5576000000000011E-3</v>
      </c>
      <c r="M13" s="137">
        <f t="shared" si="2"/>
        <v>34.669691389255313</v>
      </c>
      <c r="N13" s="138">
        <f t="shared" si="6"/>
        <v>36.942744402944044</v>
      </c>
      <c r="O13" s="137">
        <f t="shared" si="7"/>
        <v>2.2871626688744402</v>
      </c>
      <c r="P13" s="139">
        <f t="shared" si="8"/>
        <v>1.320493982555121</v>
      </c>
    </row>
    <row r="14" spans="1:18" s="5" customFormat="1" ht="13" x14ac:dyDescent="0.15">
      <c r="B14" s="132"/>
      <c r="C14" s="133">
        <v>0.12859999999999999</v>
      </c>
      <c r="D14" s="134">
        <v>0.1225</v>
      </c>
      <c r="E14" s="134">
        <v>9.6500000000000002E-2</v>
      </c>
      <c r="F14" s="134">
        <v>9.0200000000000002E-2</v>
      </c>
      <c r="G14" s="135">
        <f t="shared" si="3"/>
        <v>1.1380470016207454E-2</v>
      </c>
      <c r="H14" s="135">
        <f t="shared" si="4"/>
        <v>1.1009562398703402E-2</v>
      </c>
      <c r="I14" s="135">
        <f t="shared" si="0"/>
        <v>1.1195016207455428E-2</v>
      </c>
      <c r="J14" s="135">
        <v>0.47799999999999998</v>
      </c>
      <c r="K14" s="135">
        <f t="shared" si="5"/>
        <v>0.60208879999999998</v>
      </c>
      <c r="L14" s="136">
        <f t="shared" si="1"/>
        <v>1.2041776000000001E-3</v>
      </c>
      <c r="M14" s="137">
        <f t="shared" si="2"/>
        <v>11.156177833690407</v>
      </c>
      <c r="N14" s="138"/>
      <c r="O14" s="137"/>
      <c r="P14" s="139"/>
    </row>
    <row r="15" spans="1:18" s="5" customFormat="1" ht="13" x14ac:dyDescent="0.15">
      <c r="B15" s="132"/>
      <c r="C15" s="133">
        <v>0.22109999999999999</v>
      </c>
      <c r="D15" s="134">
        <v>0.1777</v>
      </c>
      <c r="E15" s="134">
        <v>0.15720000000000001</v>
      </c>
      <c r="F15" s="134">
        <v>0.11020000000000001</v>
      </c>
      <c r="G15" s="135">
        <f t="shared" si="3"/>
        <v>2.0420421393841166E-2</v>
      </c>
      <c r="H15" s="135">
        <f t="shared" si="4"/>
        <v>1.7994975688816854E-2</v>
      </c>
      <c r="I15" s="135">
        <f t="shared" si="0"/>
        <v>1.9207698541329012E-2</v>
      </c>
      <c r="J15" s="135">
        <v>0.49299999999999999</v>
      </c>
      <c r="K15" s="135">
        <f t="shared" si="5"/>
        <v>0.62098280000000006</v>
      </c>
      <c r="L15" s="136">
        <f t="shared" si="1"/>
        <v>1.2419656E-3</v>
      </c>
      <c r="M15" s="137">
        <f t="shared" si="2"/>
        <v>18.558676866408227</v>
      </c>
      <c r="N15" s="138"/>
      <c r="O15" s="137"/>
      <c r="P15" s="139"/>
    </row>
    <row r="16" spans="1:18" s="5" customFormat="1" ht="13" x14ac:dyDescent="0.15">
      <c r="B16" s="132"/>
      <c r="C16" s="133">
        <v>0.1386</v>
      </c>
      <c r="D16" s="134">
        <v>0.14069999999999999</v>
      </c>
      <c r="E16" s="134">
        <v>9.7900000000000001E-2</v>
      </c>
      <c r="F16" s="134">
        <v>9.98E-2</v>
      </c>
      <c r="G16" s="135">
        <f t="shared" si="3"/>
        <v>1.2863938411669371E-2</v>
      </c>
      <c r="H16" s="135">
        <f t="shared" si="4"/>
        <v>1.3017990275526742E-2</v>
      </c>
      <c r="I16" s="135">
        <f t="shared" si="0"/>
        <v>1.2940964343598056E-2</v>
      </c>
      <c r="J16" s="135">
        <v>0.5</v>
      </c>
      <c r="K16" s="135">
        <f t="shared" si="5"/>
        <v>0.62980000000000003</v>
      </c>
      <c r="L16" s="136">
        <f t="shared" si="1"/>
        <v>1.2596E-3</v>
      </c>
      <c r="M16" s="137">
        <f t="shared" si="2"/>
        <v>12.328641800823805</v>
      </c>
      <c r="N16" s="138">
        <f t="shared" si="6"/>
        <v>14.014498833640813</v>
      </c>
      <c r="O16" s="137">
        <f t="shared" si="7"/>
        <v>3.9787979885476776</v>
      </c>
      <c r="P16" s="139">
        <f t="shared" si="8"/>
        <v>2.2971600897391435</v>
      </c>
    </row>
    <row r="17" spans="1:16" s="5" customFormat="1" ht="13" x14ac:dyDescent="0.15">
      <c r="B17" s="132" t="s">
        <v>23</v>
      </c>
      <c r="C17" s="133">
        <v>2.0013999999999998</v>
      </c>
      <c r="D17" s="134">
        <v>2.0758000000000001</v>
      </c>
      <c r="E17" s="134">
        <v>0.96240000000000003</v>
      </c>
      <c r="F17" s="134">
        <v>0.9929</v>
      </c>
      <c r="G17" s="135">
        <f t="shared" si="3"/>
        <v>0.23000777957860613</v>
      </c>
      <c r="H17" s="135">
        <f t="shared" si="4"/>
        <v>0.23907544570502434</v>
      </c>
      <c r="I17" s="135">
        <f t="shared" si="0"/>
        <v>0.23454161264181522</v>
      </c>
      <c r="J17" s="135">
        <f>6*0.492</f>
        <v>2.952</v>
      </c>
      <c r="K17" s="135">
        <f t="shared" si="5"/>
        <v>3.7183392</v>
      </c>
      <c r="L17" s="136">
        <f t="shared" si="1"/>
        <v>7.4366783999999997E-3</v>
      </c>
      <c r="M17" s="137">
        <f t="shared" si="2"/>
        <v>37.846188853639049</v>
      </c>
      <c r="N17" s="138"/>
      <c r="O17" s="137"/>
      <c r="P17" s="139"/>
    </row>
    <row r="18" spans="1:16" s="5" customFormat="1" ht="13" x14ac:dyDescent="0.15">
      <c r="B18" s="132"/>
      <c r="C18" s="133">
        <v>2.0901999999999998</v>
      </c>
      <c r="D18" s="134">
        <v>2.1635</v>
      </c>
      <c r="E18" s="134">
        <v>1.0139</v>
      </c>
      <c r="F18" s="134">
        <v>1.0477000000000001</v>
      </c>
      <c r="G18" s="135">
        <f t="shared" si="3"/>
        <v>0.23935016207455428</v>
      </c>
      <c r="H18" s="135">
        <f t="shared" si="4"/>
        <v>0.24791596434359803</v>
      </c>
      <c r="I18" s="135">
        <f t="shared" si="0"/>
        <v>0.24363306320907616</v>
      </c>
      <c r="J18" s="135">
        <f>6*0.493</f>
        <v>2.9580000000000002</v>
      </c>
      <c r="K18" s="135">
        <f t="shared" si="5"/>
        <v>3.7258968000000006</v>
      </c>
      <c r="L18" s="136">
        <f t="shared" si="1"/>
        <v>7.451793600000001E-3</v>
      </c>
      <c r="M18" s="137">
        <f t="shared" si="2"/>
        <v>39.233463987903711</v>
      </c>
      <c r="N18" s="138"/>
      <c r="O18" s="137"/>
      <c r="P18" s="139"/>
    </row>
    <row r="19" spans="1:16" s="5" customFormat="1" ht="13" x14ac:dyDescent="0.15">
      <c r="B19" s="132"/>
      <c r="C19" s="133">
        <v>2.2046000000000001</v>
      </c>
      <c r="D19" s="134">
        <v>2.302</v>
      </c>
      <c r="E19" s="134">
        <v>1.0943000000000001</v>
      </c>
      <c r="F19" s="134">
        <v>1.1277999999999999</v>
      </c>
      <c r="G19" s="135">
        <f t="shared" si="3"/>
        <v>0.25000786061588331</v>
      </c>
      <c r="H19" s="135">
        <f t="shared" si="4"/>
        <v>0.26250907617504055</v>
      </c>
      <c r="I19" s="135">
        <f t="shared" si="0"/>
        <v>0.25625846839546196</v>
      </c>
      <c r="J19" s="135">
        <f>6*0.496</f>
        <v>2.976</v>
      </c>
      <c r="K19" s="135">
        <f t="shared" si="5"/>
        <v>3.7485696000000002</v>
      </c>
      <c r="L19" s="136">
        <f t="shared" si="1"/>
        <v>7.4971392E-3</v>
      </c>
      <c r="M19" s="137">
        <f t="shared" si="2"/>
        <v>41.017000467932398</v>
      </c>
      <c r="N19" s="138">
        <f t="shared" si="6"/>
        <v>39.365551103158388</v>
      </c>
      <c r="O19" s="137">
        <f t="shared" si="7"/>
        <v>1.5895272340688675</v>
      </c>
      <c r="P19" s="139">
        <f t="shared" si="8"/>
        <v>0.91771397647390196</v>
      </c>
    </row>
    <row r="20" spans="1:16" s="5" customFormat="1" ht="13" x14ac:dyDescent="0.15">
      <c r="B20" s="132"/>
      <c r="C20" s="133">
        <v>0.17499999999999999</v>
      </c>
      <c r="D20" s="134">
        <v>0.14929999999999999</v>
      </c>
      <c r="E20" s="134">
        <v>0.13719999999999999</v>
      </c>
      <c r="F20" s="134">
        <v>0.1104</v>
      </c>
      <c r="G20" s="135">
        <f t="shared" si="3"/>
        <v>1.4909886547811993E-2</v>
      </c>
      <c r="H20" s="135">
        <f t="shared" si="4"/>
        <v>1.3372447325769855E-2</v>
      </c>
      <c r="I20" s="135">
        <f t="shared" si="0"/>
        <v>1.4141166936790923E-2</v>
      </c>
      <c r="J20" s="135">
        <v>0.49199999999999999</v>
      </c>
      <c r="K20" s="135">
        <f t="shared" si="5"/>
        <v>0.61972320000000003</v>
      </c>
      <c r="L20" s="136">
        <f t="shared" si="1"/>
        <v>1.2394464000000001E-3</v>
      </c>
      <c r="M20" s="137">
        <f t="shared" si="2"/>
        <v>13.691112680749329</v>
      </c>
      <c r="N20" s="138"/>
      <c r="O20" s="137"/>
      <c r="P20" s="139"/>
    </row>
    <row r="21" spans="1:16" s="5" customFormat="1" ht="13" x14ac:dyDescent="0.15">
      <c r="B21" s="132"/>
      <c r="C21" s="133">
        <v>0.1142</v>
      </c>
      <c r="D21" s="134">
        <v>0.11219999999999999</v>
      </c>
      <c r="E21" s="134">
        <v>9.1899999999999996E-2</v>
      </c>
      <c r="F21" s="134">
        <v>9.0300000000000005E-2</v>
      </c>
      <c r="G21" s="135">
        <f t="shared" si="3"/>
        <v>9.4976499189627223E-3</v>
      </c>
      <c r="H21" s="135">
        <f t="shared" si="4"/>
        <v>9.3303889789303068E-3</v>
      </c>
      <c r="I21" s="135">
        <f t="shared" si="0"/>
        <v>9.4140194489465145E-3</v>
      </c>
      <c r="J21" s="135">
        <v>0.49299999999999999</v>
      </c>
      <c r="K21" s="135">
        <f t="shared" si="5"/>
        <v>0.62098280000000006</v>
      </c>
      <c r="L21" s="136">
        <f t="shared" si="1"/>
        <v>1.2419656E-3</v>
      </c>
      <c r="M21" s="137">
        <f t="shared" si="2"/>
        <v>9.0959228973296984</v>
      </c>
      <c r="N21" s="138"/>
      <c r="O21" s="137"/>
      <c r="P21" s="139"/>
    </row>
    <row r="22" spans="1:16" s="5" customFormat="1" thickBot="1" x14ac:dyDescent="0.2">
      <c r="A22" s="144"/>
      <c r="B22" s="152"/>
      <c r="C22" s="145">
        <v>0.1149</v>
      </c>
      <c r="D22" s="146">
        <v>0.11650000000000001</v>
      </c>
      <c r="E22" s="146">
        <v>8.9099999999999999E-2</v>
      </c>
      <c r="F22" s="146">
        <v>0.09</v>
      </c>
      <c r="G22" s="147">
        <f t="shared" si="3"/>
        <v>9.8856564019448954E-3</v>
      </c>
      <c r="H22" s="147">
        <f t="shared" si="4"/>
        <v>1.0056726094003243E-2</v>
      </c>
      <c r="I22" s="147">
        <f t="shared" si="0"/>
        <v>9.9711912479740691E-3</v>
      </c>
      <c r="J22" s="147">
        <v>0.496</v>
      </c>
      <c r="K22" s="147">
        <f t="shared" si="5"/>
        <v>0.62476160000000003</v>
      </c>
      <c r="L22" s="148">
        <f t="shared" si="1"/>
        <v>1.2495232000000001E-3</v>
      </c>
      <c r="M22" s="149">
        <f t="shared" si="2"/>
        <v>9.5759962660708364</v>
      </c>
      <c r="N22" s="150">
        <f t="shared" si="6"/>
        <v>10.787677281383289</v>
      </c>
      <c r="O22" s="149">
        <f t="shared" si="7"/>
        <v>2.5258801334510101</v>
      </c>
      <c r="P22" s="151">
        <f t="shared" si="8"/>
        <v>1.4583175749886685</v>
      </c>
    </row>
    <row r="23" spans="1:16" s="5" customFormat="1" ht="13" x14ac:dyDescent="0.15"/>
    <row r="24" spans="1:16" s="5" customFormat="1" ht="13" x14ac:dyDescent="0.15">
      <c r="B24" s="153"/>
      <c r="C24" s="154"/>
      <c r="D24" s="154"/>
      <c r="E24" s="154"/>
      <c r="F24" s="154"/>
      <c r="G24" s="155"/>
      <c r="H24" s="155"/>
      <c r="I24" s="156"/>
      <c r="J24" s="153"/>
      <c r="K24" s="156"/>
      <c r="L24" s="156"/>
      <c r="M24" s="156"/>
      <c r="N24" s="156"/>
      <c r="O24" s="153"/>
      <c r="P24" s="153"/>
    </row>
    <row r="25" spans="1:16" x14ac:dyDescent="0.15">
      <c r="B25" s="36"/>
      <c r="C25" s="37"/>
      <c r="D25" s="37"/>
      <c r="E25" s="37"/>
      <c r="F25" s="37"/>
      <c r="G25" s="37"/>
      <c r="H25" s="37"/>
      <c r="I25" s="36"/>
      <c r="J25" s="36"/>
      <c r="K25" s="36"/>
      <c r="L25" s="36"/>
      <c r="M25" s="39"/>
      <c r="N25" s="39"/>
      <c r="O25" s="36"/>
      <c r="P25" s="36"/>
    </row>
    <row r="26" spans="1:16" x14ac:dyDescent="0.15">
      <c r="B26" s="40"/>
      <c r="C26" s="31"/>
      <c r="D26" s="31"/>
      <c r="E26" s="31"/>
      <c r="F26" s="31"/>
      <c r="G26" s="32"/>
      <c r="H26" s="32"/>
      <c r="I26" s="32"/>
      <c r="K26" s="32"/>
      <c r="L26" s="33"/>
      <c r="M26" s="34"/>
      <c r="N26" s="34"/>
      <c r="O26" s="34"/>
      <c r="P26" s="34"/>
    </row>
    <row r="27" spans="1:16" x14ac:dyDescent="0.15">
      <c r="B27" s="40"/>
      <c r="C27" s="31"/>
      <c r="D27" s="31"/>
      <c r="E27" s="31"/>
      <c r="F27" s="31"/>
      <c r="G27" s="32"/>
      <c r="H27" s="32"/>
      <c r="I27" s="32"/>
      <c r="K27" s="32"/>
      <c r="L27" s="33"/>
      <c r="M27" s="34"/>
      <c r="N27" s="34"/>
      <c r="O27" s="34"/>
      <c r="P27" s="34"/>
    </row>
    <row r="28" spans="1:16" x14ac:dyDescent="0.15">
      <c r="B28" s="40"/>
      <c r="C28" s="31"/>
      <c r="D28" s="31"/>
      <c r="E28" s="31"/>
      <c r="F28" s="31"/>
      <c r="G28" s="32"/>
      <c r="H28" s="32"/>
      <c r="I28" s="32"/>
      <c r="J28" s="32"/>
      <c r="K28" s="32"/>
      <c r="L28" s="33"/>
      <c r="M28" s="34"/>
      <c r="N28" s="34"/>
      <c r="O28" s="34"/>
      <c r="P28" s="34"/>
    </row>
    <row r="29" spans="1:16" x14ac:dyDescent="0.15">
      <c r="B29" s="40"/>
      <c r="C29" s="31"/>
      <c r="D29" s="31"/>
      <c r="E29" s="31"/>
      <c r="F29" s="31"/>
      <c r="G29" s="32"/>
      <c r="H29" s="32"/>
      <c r="I29" s="32"/>
      <c r="K29" s="32"/>
      <c r="L29" s="33"/>
      <c r="M29" s="34"/>
      <c r="N29" s="34"/>
      <c r="O29" s="34"/>
      <c r="P29" s="34"/>
    </row>
    <row r="30" spans="1:16" x14ac:dyDescent="0.15">
      <c r="B30" s="40"/>
      <c r="C30" s="31"/>
      <c r="D30" s="31"/>
      <c r="E30" s="31"/>
      <c r="F30" s="31"/>
      <c r="G30" s="32"/>
      <c r="H30" s="32"/>
      <c r="I30" s="32"/>
      <c r="K30" s="32"/>
      <c r="L30" s="33"/>
      <c r="M30" s="34"/>
      <c r="N30" s="34"/>
      <c r="O30" s="34"/>
      <c r="P30" s="34"/>
    </row>
    <row r="31" spans="1:16" x14ac:dyDescent="0.15">
      <c r="B31" s="40"/>
      <c r="C31" s="31"/>
      <c r="D31" s="31"/>
      <c r="E31" s="31"/>
      <c r="F31" s="31"/>
      <c r="G31" s="32"/>
      <c r="H31" s="32"/>
      <c r="I31" s="32"/>
      <c r="J31" s="32"/>
      <c r="K31" s="32"/>
      <c r="L31" s="33"/>
      <c r="M31" s="34"/>
      <c r="N31" s="34"/>
      <c r="O31" s="34"/>
      <c r="P31" s="34"/>
    </row>
    <row r="32" spans="1:16" x14ac:dyDescent="0.15">
      <c r="B32" s="40"/>
      <c r="C32" s="31"/>
      <c r="D32" s="31"/>
      <c r="E32" s="31"/>
      <c r="F32" s="31"/>
      <c r="G32" s="32"/>
      <c r="H32" s="32"/>
      <c r="I32" s="32"/>
      <c r="K32" s="32"/>
      <c r="L32" s="33"/>
      <c r="M32" s="34"/>
      <c r="N32" s="34"/>
      <c r="O32" s="34"/>
      <c r="P32" s="34"/>
    </row>
    <row r="33" spans="2:16" x14ac:dyDescent="0.15">
      <c r="B33" s="40"/>
      <c r="C33" s="31"/>
      <c r="D33" s="31"/>
      <c r="E33" s="31"/>
      <c r="F33" s="31"/>
      <c r="G33" s="32"/>
      <c r="H33" s="32"/>
      <c r="I33" s="32"/>
      <c r="K33" s="32"/>
      <c r="L33" s="33"/>
      <c r="M33" s="34"/>
      <c r="N33" s="34"/>
      <c r="O33" s="34"/>
      <c r="P33" s="34"/>
    </row>
    <row r="34" spans="2:16" x14ac:dyDescent="0.15">
      <c r="B34" s="40"/>
      <c r="C34" s="31"/>
      <c r="D34" s="31"/>
      <c r="E34" s="31"/>
      <c r="F34" s="31"/>
      <c r="G34" s="32"/>
      <c r="H34" s="32"/>
      <c r="I34" s="32"/>
      <c r="K34" s="32"/>
      <c r="L34" s="33"/>
      <c r="M34" s="34"/>
      <c r="N34" s="34"/>
      <c r="O34" s="34"/>
      <c r="P34" s="34"/>
    </row>
    <row r="35" spans="2:16" x14ac:dyDescent="0.15">
      <c r="B35" s="40"/>
      <c r="C35" s="31"/>
      <c r="D35" s="31"/>
      <c r="E35" s="31"/>
      <c r="F35" s="31"/>
      <c r="G35" s="32"/>
      <c r="H35" s="32"/>
      <c r="I35" s="32"/>
      <c r="K35" s="32"/>
      <c r="L35" s="33"/>
      <c r="M35" s="34"/>
      <c r="N35" s="34"/>
      <c r="O35" s="34"/>
      <c r="P35" s="34"/>
    </row>
    <row r="36" spans="2:16" x14ac:dyDescent="0.15">
      <c r="B36" s="40"/>
      <c r="C36" s="31"/>
      <c r="D36" s="31"/>
      <c r="E36" s="31"/>
      <c r="F36" s="31"/>
      <c r="G36" s="32"/>
      <c r="H36" s="32"/>
      <c r="I36" s="32"/>
      <c r="K36" s="32"/>
      <c r="L36" s="33"/>
      <c r="M36" s="34"/>
      <c r="N36" s="34"/>
      <c r="O36" s="34"/>
      <c r="P36" s="34"/>
    </row>
    <row r="37" spans="2:16" x14ac:dyDescent="0.15">
      <c r="B37" s="40"/>
      <c r="C37" s="31"/>
      <c r="D37" s="31"/>
      <c r="E37" s="31"/>
      <c r="F37" s="31"/>
      <c r="G37" s="32"/>
      <c r="H37" s="32"/>
      <c r="I37" s="32"/>
      <c r="K37" s="32"/>
      <c r="L37" s="33"/>
      <c r="M37" s="34"/>
      <c r="N37" s="34"/>
      <c r="O37" s="34"/>
      <c r="P37" s="34"/>
    </row>
    <row r="38" spans="2:16" x14ac:dyDescent="0.15">
      <c r="C38" s="41"/>
      <c r="E38" s="41"/>
    </row>
    <row r="39" spans="2:16" x14ac:dyDescent="0.15">
      <c r="C39" s="41"/>
      <c r="E39" s="41"/>
    </row>
  </sheetData>
  <mergeCells count="11">
    <mergeCell ref="B17:B22"/>
    <mergeCell ref="B5:B10"/>
    <mergeCell ref="B11:B16"/>
    <mergeCell ref="C4:D4"/>
    <mergeCell ref="E4:F4"/>
    <mergeCell ref="G4:H4"/>
    <mergeCell ref="A1:P1"/>
    <mergeCell ref="A2:P2"/>
    <mergeCell ref="C3:D3"/>
    <mergeCell ref="E3:F3"/>
    <mergeCell ref="G3:H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55637-F1BF-4C69-B9ED-530D9BD387D0}">
  <dimension ref="A1:S24"/>
  <sheetViews>
    <sheetView zoomScaleNormal="100" workbookViewId="0">
      <selection sqref="A1:S1"/>
    </sheetView>
  </sheetViews>
  <sheetFormatPr baseColWidth="10" defaultColWidth="8.83203125" defaultRowHeight="14" x14ac:dyDescent="0.15"/>
  <cols>
    <col min="1" max="1" width="74.1640625" style="3" customWidth="1"/>
    <col min="2" max="2" width="9.83203125" style="3" bestFit="1" customWidth="1"/>
    <col min="3" max="8" width="9.6640625" style="3" bestFit="1" customWidth="1"/>
    <col min="9" max="13" width="8.83203125" style="3"/>
    <col min="14" max="14" width="13" style="3" customWidth="1"/>
    <col min="15" max="15" width="8.83203125" style="3"/>
    <col min="16" max="17" width="12.1640625" style="3" customWidth="1"/>
    <col min="18" max="20" width="8.83203125" style="3"/>
    <col min="21" max="21" width="12.1640625" style="3" customWidth="1"/>
    <col min="22" max="16384" width="8.83203125" style="3"/>
  </cols>
  <sheetData>
    <row r="1" spans="1:19" ht="17" thickBot="1" x14ac:dyDescent="0.2">
      <c r="A1" s="95" t="s">
        <v>81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</row>
    <row r="2" spans="1:19" ht="15" thickBot="1" x14ac:dyDescent="0.2">
      <c r="A2" s="43"/>
      <c r="B2" s="107" t="s">
        <v>69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8"/>
    </row>
    <row r="3" spans="1:19" ht="45" x14ac:dyDescent="0.15">
      <c r="B3" s="21" t="s">
        <v>26</v>
      </c>
      <c r="C3" s="99" t="s">
        <v>59</v>
      </c>
      <c r="D3" s="100"/>
      <c r="E3" s="109"/>
      <c r="F3" s="101" t="s">
        <v>60</v>
      </c>
      <c r="G3" s="100"/>
      <c r="H3" s="109"/>
      <c r="I3" s="110" t="s">
        <v>61</v>
      </c>
      <c r="J3" s="111"/>
      <c r="K3" s="112"/>
      <c r="L3" s="23" t="s">
        <v>62</v>
      </c>
      <c r="M3" s="25" t="s">
        <v>58</v>
      </c>
      <c r="N3" s="25" t="s">
        <v>9</v>
      </c>
      <c r="O3" s="25" t="s">
        <v>10</v>
      </c>
      <c r="P3" s="25" t="s">
        <v>64</v>
      </c>
      <c r="Q3" s="25" t="s">
        <v>65</v>
      </c>
      <c r="R3" s="25" t="s">
        <v>67</v>
      </c>
      <c r="S3" s="42" t="s">
        <v>68</v>
      </c>
    </row>
    <row r="4" spans="1:19" ht="30" x14ac:dyDescent="0.15">
      <c r="B4" s="26"/>
      <c r="C4" s="91" t="s">
        <v>11</v>
      </c>
      <c r="D4" s="92"/>
      <c r="E4" s="94"/>
      <c r="F4" s="93" t="s">
        <v>11</v>
      </c>
      <c r="G4" s="92"/>
      <c r="H4" s="94"/>
      <c r="I4" s="93" t="s">
        <v>12</v>
      </c>
      <c r="J4" s="92"/>
      <c r="K4" s="94"/>
      <c r="L4" s="27" t="s">
        <v>12</v>
      </c>
      <c r="M4" s="28" t="s">
        <v>11</v>
      </c>
      <c r="N4" s="28" t="s">
        <v>13</v>
      </c>
      <c r="O4" s="28" t="s">
        <v>14</v>
      </c>
      <c r="P4" s="29" t="s">
        <v>73</v>
      </c>
      <c r="Q4" s="29" t="s">
        <v>73</v>
      </c>
      <c r="R4" s="28"/>
      <c r="S4" s="30"/>
    </row>
    <row r="5" spans="1:19" s="5" customFormat="1" ht="13" x14ac:dyDescent="0.15">
      <c r="B5" s="132" t="s">
        <v>15</v>
      </c>
      <c r="C5" s="133">
        <v>4.2380000000000004</v>
      </c>
      <c r="D5" s="134">
        <v>4.7662000000000004</v>
      </c>
      <c r="E5" s="134">
        <v>4.5096999999999996</v>
      </c>
      <c r="F5" s="134">
        <v>1.7185999999999999</v>
      </c>
      <c r="G5" s="134">
        <v>1.8231999999999999</v>
      </c>
      <c r="H5" s="134">
        <v>1.7768999999999999</v>
      </c>
      <c r="I5" s="135">
        <f>(C5-(F5*0.605))/6.17</f>
        <v>0.51835445705024319</v>
      </c>
      <c r="J5" s="135">
        <f t="shared" ref="J5:K5" si="0">(D5-(G5*0.605))/6.17</f>
        <v>0.59370567260940044</v>
      </c>
      <c r="K5" s="135">
        <f t="shared" si="0"/>
        <v>0.55667350081037281</v>
      </c>
      <c r="L5" s="135">
        <f t="shared" ref="L5:L10" si="1">AVERAGE(I5:K5)</f>
        <v>0.55624454349000541</v>
      </c>
      <c r="M5" s="135">
        <f>6*0.453</f>
        <v>2.718</v>
      </c>
      <c r="N5" s="135">
        <f>1.2596*M5</f>
        <v>3.4235928000000002</v>
      </c>
      <c r="O5" s="136">
        <f t="shared" ref="O5:O10" si="2">N5*2/1000</f>
        <v>6.8471856000000006E-3</v>
      </c>
      <c r="P5" s="137">
        <f t="shared" ref="P5:P10" si="3">L5*1.2/O5</f>
        <v>97.484352138491246</v>
      </c>
      <c r="Q5" s="126"/>
      <c r="S5" s="127"/>
    </row>
    <row r="6" spans="1:19" s="5" customFormat="1" ht="13" x14ac:dyDescent="0.15">
      <c r="B6" s="132"/>
      <c r="C6" s="133">
        <v>4.2888000000000002</v>
      </c>
      <c r="D6" s="134">
        <v>4.5206</v>
      </c>
      <c r="E6" s="134">
        <v>4.6176000000000004</v>
      </c>
      <c r="F6" s="134">
        <v>1.7344999999999999</v>
      </c>
      <c r="G6" s="134">
        <v>1.7748999999999999</v>
      </c>
      <c r="H6" s="134">
        <v>1.8185</v>
      </c>
      <c r="I6" s="135">
        <f t="shared" ref="I6:I10" si="4">(C6-(F6*0.605))/6.17</f>
        <v>0.52502876823338751</v>
      </c>
      <c r="J6" s="135">
        <f t="shared" ref="J6:J10" si="5">(D6-(G6*0.605))/6.17</f>
        <v>0.5586362236628849</v>
      </c>
      <c r="K6" s="135">
        <f t="shared" ref="K6:K10" si="6">(E6-(H6*0.605))/6.17</f>
        <v>0.57008225283630476</v>
      </c>
      <c r="L6" s="135">
        <f t="shared" si="1"/>
        <v>0.55124908157752572</v>
      </c>
      <c r="M6" s="135">
        <f>6*0.453</f>
        <v>2.718</v>
      </c>
      <c r="N6" s="135">
        <f t="shared" ref="N6:N10" si="7">1.2596*M6</f>
        <v>3.4235928000000002</v>
      </c>
      <c r="O6" s="136">
        <f t="shared" si="2"/>
        <v>6.8471856000000006E-3</v>
      </c>
      <c r="P6" s="137">
        <f t="shared" si="3"/>
        <v>96.608875023488594</v>
      </c>
      <c r="Q6" s="126"/>
      <c r="S6" s="127"/>
    </row>
    <row r="7" spans="1:19" s="5" customFormat="1" ht="13" x14ac:dyDescent="0.15">
      <c r="B7" s="132"/>
      <c r="C7" s="133">
        <v>3.7262</v>
      </c>
      <c r="D7" s="134">
        <v>4.2305999999999999</v>
      </c>
      <c r="E7" s="134">
        <v>4.0620000000000003</v>
      </c>
      <c r="F7" s="134">
        <v>1.5216000000000001</v>
      </c>
      <c r="G7" s="134">
        <v>1.6492</v>
      </c>
      <c r="H7" s="134">
        <v>1.625</v>
      </c>
      <c r="I7" s="135">
        <f t="shared" si="4"/>
        <v>0.45472155591572128</v>
      </c>
      <c r="J7" s="135">
        <f t="shared" si="5"/>
        <v>0.52396012965964345</v>
      </c>
      <c r="K7" s="135">
        <f t="shared" si="6"/>
        <v>0.49900729335494326</v>
      </c>
      <c r="L7" s="135">
        <f t="shared" si="1"/>
        <v>0.49256299297676936</v>
      </c>
      <c r="M7" s="135">
        <f>6*0.453</f>
        <v>2.718</v>
      </c>
      <c r="N7" s="135">
        <f t="shared" si="7"/>
        <v>3.4235928000000002</v>
      </c>
      <c r="O7" s="136">
        <f t="shared" si="2"/>
        <v>6.8471856000000006E-3</v>
      </c>
      <c r="P7" s="137">
        <f t="shared" si="3"/>
        <v>86.323874669341976</v>
      </c>
      <c r="Q7" s="138">
        <f>AVERAGE(P5:P7)</f>
        <v>93.472367277107267</v>
      </c>
      <c r="R7" s="137">
        <f>STDEV(P5:P7)</f>
        <v>6.2062327516118545</v>
      </c>
      <c r="S7" s="139">
        <f>R7/SQRT(3)</f>
        <v>3.583170149796576</v>
      </c>
    </row>
    <row r="8" spans="1:19" s="5" customFormat="1" ht="13" x14ac:dyDescent="0.15">
      <c r="B8" s="157" t="s">
        <v>19</v>
      </c>
      <c r="C8" s="133">
        <v>3.1463999999999999</v>
      </c>
      <c r="D8" s="134">
        <v>3.161</v>
      </c>
      <c r="E8" s="134">
        <v>3.2812999999999999</v>
      </c>
      <c r="F8" s="134">
        <v>1.3429</v>
      </c>
      <c r="G8" s="134">
        <v>1.3755999999999999</v>
      </c>
      <c r="H8" s="134">
        <v>1.3891</v>
      </c>
      <c r="I8" s="135">
        <f t="shared" si="4"/>
        <v>0.3782731766612642</v>
      </c>
      <c r="J8" s="135">
        <f t="shared" si="5"/>
        <v>0.37743306320907621</v>
      </c>
      <c r="K8" s="135">
        <f t="shared" si="6"/>
        <v>0.39560688816855749</v>
      </c>
      <c r="L8" s="135">
        <f t="shared" si="1"/>
        <v>0.38377104267963263</v>
      </c>
      <c r="M8" s="135">
        <f>6*0.465</f>
        <v>2.79</v>
      </c>
      <c r="N8" s="135">
        <f t="shared" si="7"/>
        <v>3.5142840000000004</v>
      </c>
      <c r="O8" s="136">
        <f t="shared" si="2"/>
        <v>7.0285680000000007E-3</v>
      </c>
      <c r="P8" s="137">
        <f t="shared" si="3"/>
        <v>65.521917297457904</v>
      </c>
      <c r="Q8" s="138"/>
      <c r="R8" s="137"/>
      <c r="S8" s="139"/>
    </row>
    <row r="9" spans="1:19" s="5" customFormat="1" ht="13" x14ac:dyDescent="0.15">
      <c r="B9" s="157"/>
      <c r="C9" s="133">
        <v>3.7425000000000002</v>
      </c>
      <c r="D9" s="134">
        <v>4.2043999999999997</v>
      </c>
      <c r="E9" s="134">
        <v>4.0244999999999997</v>
      </c>
      <c r="F9" s="134">
        <v>1.6015999999999999</v>
      </c>
      <c r="G9" s="134">
        <v>1.6977</v>
      </c>
      <c r="H9" s="134">
        <v>1.6722999999999999</v>
      </c>
      <c r="I9" s="135">
        <f t="shared" si="4"/>
        <v>0.44951896272285258</v>
      </c>
      <c r="J9" s="135">
        <f t="shared" si="5"/>
        <v>0.51495810372771478</v>
      </c>
      <c r="K9" s="135">
        <f t="shared" si="6"/>
        <v>0.48829149108589948</v>
      </c>
      <c r="L9" s="135">
        <f t="shared" si="1"/>
        <v>0.48425618584548896</v>
      </c>
      <c r="M9" s="135">
        <f>6*0.465</f>
        <v>2.79</v>
      </c>
      <c r="N9" s="135">
        <f t="shared" si="7"/>
        <v>3.5142840000000004</v>
      </c>
      <c r="O9" s="136">
        <f t="shared" si="2"/>
        <v>7.0285680000000007E-3</v>
      </c>
      <c r="P9" s="137">
        <f t="shared" si="3"/>
        <v>82.67792571894968</v>
      </c>
      <c r="Q9" s="138"/>
      <c r="R9" s="137"/>
      <c r="S9" s="139"/>
    </row>
    <row r="10" spans="1:19" s="5" customFormat="1" thickBot="1" x14ac:dyDescent="0.2">
      <c r="B10" s="157"/>
      <c r="C10" s="145">
        <v>3.4529000000000001</v>
      </c>
      <c r="D10" s="146">
        <v>3.4881000000000002</v>
      </c>
      <c r="E10" s="146">
        <v>3.4658000000000002</v>
      </c>
      <c r="F10" s="146">
        <v>1.4367000000000001</v>
      </c>
      <c r="G10" s="146">
        <v>1.4428000000000001</v>
      </c>
      <c r="H10" s="146">
        <v>1.431</v>
      </c>
      <c r="I10" s="147">
        <f t="shared" si="4"/>
        <v>0.41875145867098873</v>
      </c>
      <c r="J10" s="147">
        <f t="shared" si="5"/>
        <v>0.42385834683954621</v>
      </c>
      <c r="K10" s="147">
        <f t="shared" si="6"/>
        <v>0.42140113452188011</v>
      </c>
      <c r="L10" s="147">
        <f t="shared" si="1"/>
        <v>0.42133698001080494</v>
      </c>
      <c r="M10" s="147">
        <f>6*0.465</f>
        <v>2.79</v>
      </c>
      <c r="N10" s="147">
        <f t="shared" si="7"/>
        <v>3.5142840000000004</v>
      </c>
      <c r="O10" s="136">
        <f t="shared" si="2"/>
        <v>7.0285680000000007E-3</v>
      </c>
      <c r="P10" s="137">
        <f t="shared" si="3"/>
        <v>71.935617043609156</v>
      </c>
      <c r="Q10" s="138">
        <f t="shared" ref="Q10" si="8">AVERAGE(P8:P10)</f>
        <v>73.378486686672247</v>
      </c>
      <c r="R10" s="137">
        <f t="shared" ref="R10" si="9">STDEV(P8:P10)</f>
        <v>8.6685385645291415</v>
      </c>
      <c r="S10" s="139">
        <f t="shared" ref="S10" si="10">R10/SQRT(3)</f>
        <v>5.0047830737115522</v>
      </c>
    </row>
    <row r="11" spans="1:19" ht="15" thickBot="1" x14ac:dyDescent="0.2">
      <c r="B11" s="106" t="s">
        <v>70</v>
      </c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8"/>
    </row>
    <row r="12" spans="1:19" ht="45" x14ac:dyDescent="0.15">
      <c r="B12" s="21" t="s">
        <v>26</v>
      </c>
      <c r="C12" s="99" t="s">
        <v>59</v>
      </c>
      <c r="D12" s="100"/>
      <c r="E12" s="109"/>
      <c r="F12" s="101" t="s">
        <v>60</v>
      </c>
      <c r="G12" s="100"/>
      <c r="H12" s="109"/>
      <c r="I12" s="110" t="s">
        <v>61</v>
      </c>
      <c r="J12" s="111"/>
      <c r="K12" s="112"/>
      <c r="L12" s="23" t="s">
        <v>62</v>
      </c>
      <c r="M12" s="25" t="s">
        <v>58</v>
      </c>
      <c r="N12" s="25" t="s">
        <v>9</v>
      </c>
      <c r="O12" s="25" t="s">
        <v>10</v>
      </c>
      <c r="P12" s="25" t="s">
        <v>64</v>
      </c>
      <c r="Q12" s="25" t="s">
        <v>65</v>
      </c>
      <c r="R12" s="25" t="s">
        <v>67</v>
      </c>
      <c r="S12" s="42" t="s">
        <v>68</v>
      </c>
    </row>
    <row r="13" spans="1:19" ht="30" x14ac:dyDescent="0.15">
      <c r="B13" s="26"/>
      <c r="C13" s="91" t="s">
        <v>11</v>
      </c>
      <c r="D13" s="92"/>
      <c r="E13" s="94"/>
      <c r="F13" s="93" t="s">
        <v>11</v>
      </c>
      <c r="G13" s="92"/>
      <c r="H13" s="94"/>
      <c r="I13" s="93" t="s">
        <v>12</v>
      </c>
      <c r="J13" s="92"/>
      <c r="K13" s="94"/>
      <c r="L13" s="27" t="s">
        <v>12</v>
      </c>
      <c r="M13" s="28" t="s">
        <v>11</v>
      </c>
      <c r="N13" s="28" t="s">
        <v>13</v>
      </c>
      <c r="O13" s="28" t="s">
        <v>14</v>
      </c>
      <c r="P13" s="29" t="s">
        <v>73</v>
      </c>
      <c r="Q13" s="29" t="s">
        <v>73</v>
      </c>
      <c r="R13" s="28"/>
      <c r="S13" s="30"/>
    </row>
    <row r="14" spans="1:19" s="5" customFormat="1" ht="13" x14ac:dyDescent="0.15">
      <c r="B14" s="158" t="s">
        <v>15</v>
      </c>
      <c r="C14" s="159">
        <v>0.80206666666666671</v>
      </c>
      <c r="D14" s="160">
        <v>0.88949999999999996</v>
      </c>
      <c r="E14" s="160">
        <v>5.5860000000000003</v>
      </c>
      <c r="F14" s="160">
        <v>1.9146999999999998</v>
      </c>
      <c r="G14" s="160">
        <v>1.9549000000000001</v>
      </c>
      <c r="H14" s="160">
        <v>5.9523999999999999</v>
      </c>
      <c r="I14" s="161">
        <f>(C14-(F14*0.605))/6.17</f>
        <v>-5.7751512695840057E-2</v>
      </c>
      <c r="J14" s="161">
        <f t="shared" ref="J14:K14" si="11">(D14-(G14*0.605))/6.17</f>
        <v>-4.7522609400324177E-2</v>
      </c>
      <c r="K14" s="161">
        <f t="shared" si="11"/>
        <v>0.32168525121555924</v>
      </c>
      <c r="L14" s="161">
        <f t="shared" ref="L14:L19" si="12">AVERAGE(I14:K14)</f>
        <v>7.2137043039798329E-2</v>
      </c>
      <c r="M14" s="135">
        <f t="shared" ref="M14:M19" si="13">M5</f>
        <v>2.718</v>
      </c>
      <c r="N14" s="135">
        <f>1.2596*M14</f>
        <v>3.4235928000000002</v>
      </c>
      <c r="O14" s="136">
        <f t="shared" ref="O14:O19" si="14">N14*2/1000</f>
        <v>6.8471856000000006E-3</v>
      </c>
      <c r="P14" s="137">
        <f t="shared" ref="P14:P19" si="15">L14*1.2/O14</f>
        <v>12.642340474567826</v>
      </c>
      <c r="Q14" s="138"/>
      <c r="R14" s="137"/>
      <c r="S14" s="139"/>
    </row>
    <row r="15" spans="1:19" s="5" customFormat="1" ht="13" x14ac:dyDescent="0.15">
      <c r="B15" s="158"/>
      <c r="C15" s="159">
        <v>0.91459999999999997</v>
      </c>
      <c r="D15" s="160">
        <v>0.94950000000000001</v>
      </c>
      <c r="E15" s="160">
        <v>0.95020000000000004</v>
      </c>
      <c r="F15" s="160">
        <v>2.2014999999999998</v>
      </c>
      <c r="G15" s="160">
        <v>2.2945000000000002</v>
      </c>
      <c r="H15" s="160">
        <v>2.2839999999999998</v>
      </c>
      <c r="I15" s="161">
        <f t="shared" ref="I15:I19" si="16">(C15-(F15*0.605))/6.17</f>
        <v>-6.7634927066450537E-2</v>
      </c>
      <c r="J15" s="161">
        <f t="shared" ref="J15:J19" si="17">(D15-(G15*0.605))/6.17</f>
        <v>-7.1097649918962724E-2</v>
      </c>
      <c r="K15" s="161">
        <f t="shared" ref="K15:K19" si="18">(E15-(H15*0.605))/6.17</f>
        <v>-6.9954619124797376E-2</v>
      </c>
      <c r="L15" s="161">
        <f t="shared" si="12"/>
        <v>-6.9562398703403541E-2</v>
      </c>
      <c r="M15" s="135">
        <f t="shared" si="13"/>
        <v>2.718</v>
      </c>
      <c r="N15" s="135">
        <f t="shared" ref="N15:N19" si="19">1.2596*M15</f>
        <v>3.4235928000000002</v>
      </c>
      <c r="O15" s="136">
        <f t="shared" si="14"/>
        <v>6.8471856000000006E-3</v>
      </c>
      <c r="P15" s="137">
        <f t="shared" si="15"/>
        <v>-12.191122502080889</v>
      </c>
      <c r="Q15" s="138"/>
      <c r="R15" s="137"/>
      <c r="S15" s="139"/>
    </row>
    <row r="16" spans="1:19" s="5" customFormat="1" ht="13" x14ac:dyDescent="0.15">
      <c r="B16" s="158"/>
      <c r="C16" s="159">
        <v>0.82269999999999999</v>
      </c>
      <c r="D16" s="160">
        <v>0.85229999999999995</v>
      </c>
      <c r="E16" s="160">
        <v>5.9523999999999999</v>
      </c>
      <c r="F16" s="160">
        <v>2.17</v>
      </c>
      <c r="G16" s="160">
        <v>2.2025999999999999</v>
      </c>
      <c r="H16" s="160">
        <v>5.9523999999999999</v>
      </c>
      <c r="I16" s="161">
        <f t="shared" si="16"/>
        <v>-7.9440842787682306E-2</v>
      </c>
      <c r="J16" s="161">
        <f t="shared" si="17"/>
        <v>-7.7840032414910831E-2</v>
      </c>
      <c r="K16" s="161">
        <f t="shared" si="18"/>
        <v>0.38106936790923829</v>
      </c>
      <c r="L16" s="161">
        <f t="shared" si="12"/>
        <v>7.4596164235548379E-2</v>
      </c>
      <c r="M16" s="135">
        <f t="shared" si="13"/>
        <v>2.718</v>
      </c>
      <c r="N16" s="135">
        <f t="shared" si="19"/>
        <v>3.4235928000000002</v>
      </c>
      <c r="O16" s="136">
        <f t="shared" si="14"/>
        <v>6.8471856000000006E-3</v>
      </c>
      <c r="P16" s="137">
        <f t="shared" si="15"/>
        <v>13.073312498299746</v>
      </c>
      <c r="Q16" s="138">
        <f>AVERAGE(P14:P16)</f>
        <v>4.5081768235955613</v>
      </c>
      <c r="R16" s="137">
        <f>STDEV(P14:P16)</f>
        <v>14.463622737672377</v>
      </c>
      <c r="S16" s="139">
        <f>R16/SQRT(3)</f>
        <v>8.3505764810523395</v>
      </c>
    </row>
    <row r="17" spans="1:19" s="5" customFormat="1" ht="13" x14ac:dyDescent="0.15">
      <c r="B17" s="162" t="s">
        <v>19</v>
      </c>
      <c r="C17" s="159">
        <v>0.77090000000000003</v>
      </c>
      <c r="D17" s="160">
        <v>0.81230000000000002</v>
      </c>
      <c r="E17" s="160">
        <v>0.8367</v>
      </c>
      <c r="F17" s="160">
        <v>1.8179000000000001</v>
      </c>
      <c r="G17" s="160">
        <v>1.9486000000000001</v>
      </c>
      <c r="H17" s="160">
        <v>1.9172</v>
      </c>
      <c r="I17" s="161">
        <f t="shared" si="16"/>
        <v>-5.3311102106969203E-2</v>
      </c>
      <c r="J17" s="161">
        <f t="shared" si="17"/>
        <v>-5.9417017828200976E-2</v>
      </c>
      <c r="K17" s="161">
        <f t="shared" si="18"/>
        <v>-5.2383468395461895E-2</v>
      </c>
      <c r="L17" s="161">
        <f t="shared" si="12"/>
        <v>-5.5037196110210691E-2</v>
      </c>
      <c r="M17" s="135">
        <f t="shared" si="13"/>
        <v>2.79</v>
      </c>
      <c r="N17" s="135">
        <f t="shared" si="19"/>
        <v>3.5142840000000004</v>
      </c>
      <c r="O17" s="136">
        <f t="shared" si="14"/>
        <v>7.0285680000000007E-3</v>
      </c>
      <c r="P17" s="137">
        <f t="shared" si="15"/>
        <v>-9.3965990415476988</v>
      </c>
      <c r="Q17" s="138"/>
      <c r="R17" s="137"/>
      <c r="S17" s="139"/>
    </row>
    <row r="18" spans="1:19" s="5" customFormat="1" ht="13" x14ac:dyDescent="0.15">
      <c r="B18" s="162"/>
      <c r="C18" s="159">
        <v>0.61329999999999996</v>
      </c>
      <c r="D18" s="160">
        <v>0.6552</v>
      </c>
      <c r="E18" s="160">
        <v>0.67269999999999996</v>
      </c>
      <c r="F18" s="160">
        <v>1.1866000000000001</v>
      </c>
      <c r="G18" s="160">
        <v>1.2629999999999999</v>
      </c>
      <c r="H18" s="160">
        <v>1.2813000000000001</v>
      </c>
      <c r="I18" s="161">
        <f t="shared" si="16"/>
        <v>-1.6951863857374402E-2</v>
      </c>
      <c r="J18" s="161">
        <f t="shared" si="17"/>
        <v>-1.7652350081037257E-2</v>
      </c>
      <c r="K18" s="161">
        <f t="shared" si="18"/>
        <v>-1.6610453808752031E-2</v>
      </c>
      <c r="L18" s="161">
        <f t="shared" si="12"/>
        <v>-1.7071555915721234E-2</v>
      </c>
      <c r="M18" s="135">
        <f t="shared" si="13"/>
        <v>2.79</v>
      </c>
      <c r="N18" s="135">
        <f t="shared" si="19"/>
        <v>3.5142840000000004</v>
      </c>
      <c r="O18" s="136">
        <f t="shared" si="14"/>
        <v>7.0285680000000007E-3</v>
      </c>
      <c r="P18" s="137">
        <f t="shared" si="15"/>
        <v>-2.9146573098340198</v>
      </c>
      <c r="Q18" s="138"/>
      <c r="R18" s="137"/>
      <c r="S18" s="139"/>
    </row>
    <row r="19" spans="1:19" s="5" customFormat="1" thickBot="1" x14ac:dyDescent="0.2">
      <c r="B19" s="162"/>
      <c r="C19" s="163">
        <v>0.78610000000000002</v>
      </c>
      <c r="D19" s="164">
        <v>5.9523999999999999</v>
      </c>
      <c r="E19" s="164">
        <v>0.84230000000000005</v>
      </c>
      <c r="F19" s="164">
        <v>1.6398999999999999</v>
      </c>
      <c r="G19" s="164">
        <v>5.9523999999999999</v>
      </c>
      <c r="H19" s="164">
        <v>1.7307999999999999</v>
      </c>
      <c r="I19" s="165">
        <f t="shared" si="16"/>
        <v>-3.3393760129659632E-2</v>
      </c>
      <c r="J19" s="165">
        <f t="shared" si="17"/>
        <v>0.38106936790923829</v>
      </c>
      <c r="K19" s="165">
        <f t="shared" si="18"/>
        <v>-3.3198379254457046E-2</v>
      </c>
      <c r="L19" s="165">
        <f t="shared" si="12"/>
        <v>0.1048257428417072</v>
      </c>
      <c r="M19" s="135">
        <f t="shared" si="13"/>
        <v>2.79</v>
      </c>
      <c r="N19" s="135">
        <f t="shared" si="19"/>
        <v>3.5142840000000004</v>
      </c>
      <c r="O19" s="136">
        <f t="shared" si="14"/>
        <v>7.0285680000000007E-3</v>
      </c>
      <c r="P19" s="137">
        <f t="shared" si="15"/>
        <v>17.897086776431365</v>
      </c>
      <c r="Q19" s="138">
        <f t="shared" ref="Q19" si="20">AVERAGE(P17:P19)</f>
        <v>1.8619434750165489</v>
      </c>
      <c r="R19" s="137">
        <f t="shared" ref="R19" si="21">STDEV(P17:P19)</f>
        <v>14.260023060150154</v>
      </c>
      <c r="S19" s="139">
        <f t="shared" ref="S19" si="22">R19/SQRT(3)</f>
        <v>8.2330281524279627</v>
      </c>
    </row>
    <row r="20" spans="1:19" x14ac:dyDescent="0.15">
      <c r="A20" s="44"/>
      <c r="B20" s="44"/>
      <c r="C20" s="45"/>
      <c r="D20" s="44"/>
      <c r="E20" s="44"/>
      <c r="F20" s="45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</row>
    <row r="21" spans="1:19" x14ac:dyDescent="0.15">
      <c r="C21" s="41"/>
      <c r="F21" s="41"/>
    </row>
    <row r="22" spans="1:19" x14ac:dyDescent="0.15">
      <c r="A22" s="35"/>
      <c r="B22" s="35" t="s">
        <v>27</v>
      </c>
    </row>
    <row r="23" spans="1:19" x14ac:dyDescent="0.15">
      <c r="A23" s="35"/>
      <c r="B23" s="35" t="s">
        <v>28</v>
      </c>
    </row>
    <row r="24" spans="1:19" x14ac:dyDescent="0.15">
      <c r="A24" s="35"/>
      <c r="B24" s="35"/>
    </row>
  </sheetData>
  <mergeCells count="19">
    <mergeCell ref="A1:S1"/>
    <mergeCell ref="B2:S2"/>
    <mergeCell ref="C3:E3"/>
    <mergeCell ref="F3:H3"/>
    <mergeCell ref="I3:K3"/>
    <mergeCell ref="B5:B7"/>
    <mergeCell ref="B8:B10"/>
    <mergeCell ref="C4:E4"/>
    <mergeCell ref="F4:H4"/>
    <mergeCell ref="I4:K4"/>
    <mergeCell ref="B14:B16"/>
    <mergeCell ref="B17:B19"/>
    <mergeCell ref="B11:S11"/>
    <mergeCell ref="C13:E13"/>
    <mergeCell ref="F13:H13"/>
    <mergeCell ref="I13:K13"/>
    <mergeCell ref="C12:E12"/>
    <mergeCell ref="F12:H12"/>
    <mergeCell ref="I12:K1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8A857-81B3-D44F-B42F-5D6993DA58A3}">
  <dimension ref="A1:T35"/>
  <sheetViews>
    <sheetView zoomScaleNormal="100" workbookViewId="0">
      <selection sqref="A1:T1"/>
    </sheetView>
  </sheetViews>
  <sheetFormatPr baseColWidth="10" defaultColWidth="11.5" defaultRowHeight="14" x14ac:dyDescent="0.15"/>
  <cols>
    <col min="1" max="1" width="77.33203125" style="3" customWidth="1"/>
    <col min="2" max="12" width="11.5" style="3"/>
    <col min="13" max="13" width="12" style="3" customWidth="1"/>
    <col min="14" max="14" width="11.5" style="3"/>
    <col min="15" max="15" width="12.5" style="3" customWidth="1"/>
    <col min="16" max="17" width="11.5" style="3"/>
    <col min="18" max="18" width="13.5" style="3" customWidth="1"/>
    <col min="19" max="16384" width="11.5" style="3"/>
  </cols>
  <sheetData>
    <row r="1" spans="1:20" ht="17" thickBot="1" x14ac:dyDescent="0.2">
      <c r="A1" s="206" t="s">
        <v>80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8"/>
    </row>
    <row r="2" spans="1:20" ht="60" x14ac:dyDescent="0.15">
      <c r="A2" s="82"/>
      <c r="B2" s="194" t="s">
        <v>72</v>
      </c>
      <c r="C2" s="195" t="s">
        <v>59</v>
      </c>
      <c r="D2" s="196"/>
      <c r="E2" s="197"/>
      <c r="F2" s="196" t="s">
        <v>60</v>
      </c>
      <c r="G2" s="196"/>
      <c r="H2" s="196"/>
      <c r="I2" s="198" t="s">
        <v>61</v>
      </c>
      <c r="J2" s="196"/>
      <c r="K2" s="197"/>
      <c r="L2" s="199" t="s">
        <v>58</v>
      </c>
      <c r="M2" s="200" t="s">
        <v>9</v>
      </c>
      <c r="N2" s="200" t="s">
        <v>10</v>
      </c>
      <c r="O2" s="201" t="s">
        <v>71</v>
      </c>
      <c r="P2" s="202"/>
      <c r="Q2" s="203"/>
      <c r="R2" s="200" t="s">
        <v>85</v>
      </c>
      <c r="S2" s="204" t="s">
        <v>67</v>
      </c>
      <c r="T2" s="205" t="s">
        <v>68</v>
      </c>
    </row>
    <row r="3" spans="1:20" ht="30" x14ac:dyDescent="0.15">
      <c r="A3" s="82"/>
      <c r="B3" s="48"/>
      <c r="C3" s="113" t="s">
        <v>11</v>
      </c>
      <c r="D3" s="114"/>
      <c r="E3" s="115"/>
      <c r="F3" s="114" t="s">
        <v>11</v>
      </c>
      <c r="G3" s="114"/>
      <c r="H3" s="114"/>
      <c r="I3" s="116" t="s">
        <v>12</v>
      </c>
      <c r="J3" s="114"/>
      <c r="K3" s="115"/>
      <c r="L3" s="83" t="s">
        <v>11</v>
      </c>
      <c r="M3" s="49" t="s">
        <v>13</v>
      </c>
      <c r="N3" s="51" t="s">
        <v>14</v>
      </c>
      <c r="O3" s="117" t="s">
        <v>73</v>
      </c>
      <c r="P3" s="118"/>
      <c r="Q3" s="119"/>
      <c r="R3" s="52" t="s">
        <v>73</v>
      </c>
      <c r="S3" s="53"/>
      <c r="T3" s="54"/>
    </row>
    <row r="4" spans="1:20" s="5" customFormat="1" ht="15" customHeight="1" x14ac:dyDescent="0.15">
      <c r="A4" s="166"/>
      <c r="B4" s="167">
        <v>0.2</v>
      </c>
      <c r="C4" s="168">
        <v>0.52</v>
      </c>
      <c r="D4" s="169">
        <v>0.52</v>
      </c>
      <c r="E4" s="169">
        <v>0.51400000000000001</v>
      </c>
      <c r="F4" s="169">
        <v>0.33500000000000002</v>
      </c>
      <c r="G4" s="169">
        <v>0.33200000000000002</v>
      </c>
      <c r="H4" s="169">
        <v>0.32900000000000001</v>
      </c>
      <c r="I4" s="169">
        <f t="shared" ref="I4:J13" si="0">(C4-(0.605*F4))/6.17</f>
        <v>5.1430307941653167E-2</v>
      </c>
      <c r="J4" s="169">
        <f>(D4-(0.605*G4))/6.17</f>
        <v>5.1724473257698536E-2</v>
      </c>
      <c r="K4" s="169">
        <f t="shared" ref="K4:K13" si="1">(E4-(0.605*H4))/6.17</f>
        <v>5.104619124797407E-2</v>
      </c>
      <c r="L4" s="169">
        <v>0.80800000000000005</v>
      </c>
      <c r="M4" s="169">
        <f t="shared" ref="M4:M13" si="2">1.2334*L4</f>
        <v>0.99658720000000012</v>
      </c>
      <c r="N4" s="170">
        <f t="shared" ref="N4:N13" si="3">M4*2/1000</f>
        <v>1.9931744E-3</v>
      </c>
      <c r="O4" s="171">
        <f t="shared" ref="O4:O13" si="4">(I4*2)/N4</f>
        <v>51.606430367210379</v>
      </c>
      <c r="P4" s="171">
        <f t="shared" ref="P4:P13" si="5">(J4*2)/N4</f>
        <v>51.901603048582736</v>
      </c>
      <c r="Q4" s="171">
        <f t="shared" ref="Q4:Q13" si="6">(K4*2)/N4</f>
        <v>51.220998270872904</v>
      </c>
      <c r="R4" s="172">
        <f>AVERAGE(O4:Q4)</f>
        <v>51.57634389555534</v>
      </c>
      <c r="S4" s="171">
        <f>STDEV(O4:Q4)</f>
        <v>0.34129842175557945</v>
      </c>
      <c r="T4" s="173">
        <f>S4/SQRT(2)</f>
        <v>0.24133442843163652</v>
      </c>
    </row>
    <row r="5" spans="1:20" s="5" customFormat="1" ht="13" x14ac:dyDescent="0.15">
      <c r="A5" s="166"/>
      <c r="B5" s="174"/>
      <c r="C5" s="168">
        <v>0.13200000000000001</v>
      </c>
      <c r="D5" s="169">
        <v>0.126</v>
      </c>
      <c r="E5" s="169">
        <v>0.13300000000000001</v>
      </c>
      <c r="F5" s="169">
        <v>8.3000000000000004E-2</v>
      </c>
      <c r="G5" s="169">
        <v>7.9000000000000001E-2</v>
      </c>
      <c r="H5" s="169">
        <v>8.5000000000000006E-2</v>
      </c>
      <c r="I5" s="169">
        <f t="shared" si="0"/>
        <v>1.3255267423014586E-2</v>
      </c>
      <c r="J5" s="169">
        <f>(D5-(0.605*G5))/6.17</f>
        <v>1.2675040518638573E-2</v>
      </c>
      <c r="K5" s="169">
        <f t="shared" si="1"/>
        <v>1.3221231766612643E-2</v>
      </c>
      <c r="L5" s="175">
        <v>0.20200000000000001</v>
      </c>
      <c r="M5" s="169">
        <f t="shared" si="2"/>
        <v>0.24914680000000003</v>
      </c>
      <c r="N5" s="170">
        <f t="shared" si="3"/>
        <v>4.9829360000000001E-4</v>
      </c>
      <c r="O5" s="171">
        <f t="shared" si="4"/>
        <v>53.202639660692356</v>
      </c>
      <c r="P5" s="171">
        <f t="shared" si="5"/>
        <v>50.873784125016151</v>
      </c>
      <c r="Q5" s="171">
        <f t="shared" si="6"/>
        <v>53.066030816420856</v>
      </c>
      <c r="R5" s="172">
        <f t="shared" ref="R5:R13" si="7">AVERAGE(O5:Q5)</f>
        <v>52.38081820070979</v>
      </c>
      <c r="S5" s="171">
        <f t="shared" ref="S5:S13" si="8">STDEV(O5:Q5)</f>
        <v>1.3069159395537375</v>
      </c>
      <c r="T5" s="173">
        <f t="shared" ref="T5:T13" si="9">S5/SQRT(3)</f>
        <v>0.75454826950956311</v>
      </c>
    </row>
    <row r="6" spans="1:20" s="5" customFormat="1" ht="13" x14ac:dyDescent="0.15">
      <c r="A6" s="166"/>
      <c r="B6" s="167">
        <v>0.3</v>
      </c>
      <c r="C6" s="176">
        <v>0.59199999999999997</v>
      </c>
      <c r="D6" s="177">
        <v>0.61099999999999999</v>
      </c>
      <c r="E6" s="177">
        <v>0.59799999999999998</v>
      </c>
      <c r="F6" s="177">
        <v>0.38600000000000001</v>
      </c>
      <c r="G6" s="169">
        <v>0.40100000000000002</v>
      </c>
      <c r="H6" s="169">
        <v>0.39100000000000001</v>
      </c>
      <c r="I6" s="169">
        <f t="shared" si="0"/>
        <v>5.8098865478119932E-2</v>
      </c>
      <c r="J6" s="169">
        <f t="shared" si="0"/>
        <v>5.9707455429497562E-2</v>
      </c>
      <c r="K6" s="169">
        <f t="shared" si="1"/>
        <v>5.8581037277147481E-2</v>
      </c>
      <c r="L6" s="169">
        <v>0.80800000000000005</v>
      </c>
      <c r="M6" s="169">
        <f t="shared" si="2"/>
        <v>0.99658720000000012</v>
      </c>
      <c r="N6" s="170">
        <f t="shared" si="3"/>
        <v>1.9931744E-3</v>
      </c>
      <c r="O6" s="171">
        <f t="shared" si="4"/>
        <v>58.297824292866629</v>
      </c>
      <c r="P6" s="171">
        <f t="shared" si="5"/>
        <v>59.911922839765111</v>
      </c>
      <c r="Q6" s="171">
        <f t="shared" si="6"/>
        <v>58.781647282994882</v>
      </c>
      <c r="R6" s="172">
        <f t="shared" si="7"/>
        <v>58.997131471875548</v>
      </c>
      <c r="S6" s="171">
        <f t="shared" si="8"/>
        <v>0.82834389387386353</v>
      </c>
      <c r="T6" s="173">
        <f t="shared" si="9"/>
        <v>0.47824457010965793</v>
      </c>
    </row>
    <row r="7" spans="1:20" s="5" customFormat="1" ht="13" x14ac:dyDescent="0.15">
      <c r="A7" s="166"/>
      <c r="B7" s="174"/>
      <c r="C7" s="168">
        <v>0.161</v>
      </c>
      <c r="D7" s="169">
        <v>0.152</v>
      </c>
      <c r="E7" s="178">
        <v>0.155</v>
      </c>
      <c r="F7" s="178">
        <v>0.105</v>
      </c>
      <c r="G7" s="178">
        <v>9.8000000000000004E-2</v>
      </c>
      <c r="H7" s="169">
        <v>0.1</v>
      </c>
      <c r="I7" s="169">
        <f t="shared" si="0"/>
        <v>1.5798217179902756E-2</v>
      </c>
      <c r="J7" s="169">
        <f t="shared" si="0"/>
        <v>1.5025931928687194E-2</v>
      </c>
      <c r="K7" s="169">
        <f t="shared" si="1"/>
        <v>1.5316045380875203E-2</v>
      </c>
      <c r="L7" s="175">
        <v>0.20200000000000001</v>
      </c>
      <c r="M7" s="169">
        <f t="shared" si="2"/>
        <v>0.24914680000000003</v>
      </c>
      <c r="N7" s="170">
        <f t="shared" si="3"/>
        <v>4.9829360000000001E-4</v>
      </c>
      <c r="O7" s="171">
        <f t="shared" si="4"/>
        <v>63.409271882692273</v>
      </c>
      <c r="P7" s="171">
        <f t="shared" si="5"/>
        <v>60.309552154341112</v>
      </c>
      <c r="Q7" s="171">
        <f t="shared" si="6"/>
        <v>61.473979922179225</v>
      </c>
      <c r="R7" s="172">
        <f t="shared" si="7"/>
        <v>61.730934653070868</v>
      </c>
      <c r="S7" s="171">
        <f t="shared" si="8"/>
        <v>1.5657537797744725</v>
      </c>
      <c r="T7" s="173">
        <f t="shared" si="9"/>
        <v>0.90398836623746581</v>
      </c>
    </row>
    <row r="8" spans="1:20" s="5" customFormat="1" ht="13" x14ac:dyDescent="0.15">
      <c r="A8" s="166"/>
      <c r="B8" s="167">
        <v>0.4</v>
      </c>
      <c r="C8" s="168">
        <v>0.438</v>
      </c>
      <c r="D8" s="169">
        <v>0.65900000000000003</v>
      </c>
      <c r="E8" s="178">
        <v>0.39900000000000002</v>
      </c>
      <c r="F8" s="178">
        <v>0.26900000000000002</v>
      </c>
      <c r="G8" s="178">
        <v>0.442</v>
      </c>
      <c r="H8" s="169">
        <v>0.24299999999999999</v>
      </c>
      <c r="I8" s="169">
        <f t="shared" si="0"/>
        <v>4.4611831442463536E-2</v>
      </c>
      <c r="J8" s="169">
        <f t="shared" si="0"/>
        <v>6.3466774716369537E-2</v>
      </c>
      <c r="K8" s="169">
        <f t="shared" si="1"/>
        <v>4.084035656401945E-2</v>
      </c>
      <c r="L8" s="169">
        <v>0.80800000000000005</v>
      </c>
      <c r="M8" s="169">
        <f t="shared" si="2"/>
        <v>0.99658720000000012</v>
      </c>
      <c r="N8" s="170">
        <f t="shared" si="3"/>
        <v>1.9931744E-3</v>
      </c>
      <c r="O8" s="171">
        <f t="shared" si="4"/>
        <v>44.764604083278947</v>
      </c>
      <c r="P8" s="171">
        <f t="shared" si="5"/>
        <v>63.684115867000436</v>
      </c>
      <c r="Q8" s="171">
        <f t="shared" si="6"/>
        <v>40.98021383780511</v>
      </c>
      <c r="R8" s="172">
        <f t="shared" si="7"/>
        <v>49.809644596028164</v>
      </c>
      <c r="S8" s="171">
        <f t="shared" si="8"/>
        <v>12.163721353651823</v>
      </c>
      <c r="T8" s="173">
        <f t="shared" si="9"/>
        <v>7.0227277978784794</v>
      </c>
    </row>
    <row r="9" spans="1:20" s="5" customFormat="1" ht="13" x14ac:dyDescent="0.15">
      <c r="A9" s="166"/>
      <c r="B9" s="179"/>
      <c r="C9" s="168">
        <v>0.16600000000000001</v>
      </c>
      <c r="D9" s="169">
        <v>0.16700000000000001</v>
      </c>
      <c r="E9" s="178">
        <v>0.183</v>
      </c>
      <c r="F9" s="169">
        <v>0.11</v>
      </c>
      <c r="G9" s="169">
        <v>0.11</v>
      </c>
      <c r="H9" s="169">
        <v>0.13</v>
      </c>
      <c r="I9" s="169">
        <f t="shared" si="0"/>
        <v>1.6118314424635335E-2</v>
      </c>
      <c r="J9" s="169">
        <f t="shared" si="0"/>
        <v>1.6280388978930312E-2</v>
      </c>
      <c r="K9" s="169">
        <f t="shared" si="1"/>
        <v>1.6912479740680712E-2</v>
      </c>
      <c r="L9" s="175">
        <v>0.20200000000000001</v>
      </c>
      <c r="M9" s="169">
        <f t="shared" si="2"/>
        <v>0.24914680000000003</v>
      </c>
      <c r="N9" s="170">
        <f t="shared" si="3"/>
        <v>4.9829360000000001E-4</v>
      </c>
      <c r="O9" s="171">
        <f t="shared" si="4"/>
        <v>64.694045537150529</v>
      </c>
      <c r="P9" s="171">
        <f t="shared" si="5"/>
        <v>65.344563843205336</v>
      </c>
      <c r="Q9" s="171">
        <f t="shared" si="6"/>
        <v>67.881585236819063</v>
      </c>
      <c r="R9" s="172">
        <f t="shared" si="7"/>
        <v>65.973398205724976</v>
      </c>
      <c r="S9" s="171">
        <f t="shared" si="8"/>
        <v>1.684243695506934</v>
      </c>
      <c r="T9" s="173">
        <f t="shared" si="9"/>
        <v>0.97239855098185846</v>
      </c>
    </row>
    <row r="10" spans="1:20" s="5" customFormat="1" ht="13" x14ac:dyDescent="0.15">
      <c r="A10" s="166"/>
      <c r="B10" s="180" t="s">
        <v>17</v>
      </c>
      <c r="C10" s="181">
        <v>0.66800000000000004</v>
      </c>
      <c r="D10" s="169">
        <v>0.70499999999999996</v>
      </c>
      <c r="E10" s="178">
        <v>0.5</v>
      </c>
      <c r="F10" s="182">
        <v>0.436</v>
      </c>
      <c r="G10" s="182">
        <v>0.41699999999999998</v>
      </c>
      <c r="H10" s="182">
        <v>0.29799999999999999</v>
      </c>
      <c r="I10" s="169">
        <f t="shared" si="0"/>
        <v>6.5513776337115082E-2</v>
      </c>
      <c r="J10" s="169">
        <f t="shared" si="0"/>
        <v>7.3373581847649916E-2</v>
      </c>
      <c r="K10" s="169">
        <f t="shared" si="1"/>
        <v>5.1816855753646689E-2</v>
      </c>
      <c r="L10" s="169">
        <v>0.80800000000000005</v>
      </c>
      <c r="M10" s="169">
        <f t="shared" si="2"/>
        <v>0.99658720000000012</v>
      </c>
      <c r="N10" s="170">
        <f t="shared" si="3"/>
        <v>1.9931744E-3</v>
      </c>
      <c r="O10" s="171">
        <f t="shared" si="4"/>
        <v>65.738127418368492</v>
      </c>
      <c r="P10" s="171">
        <f t="shared" si="5"/>
        <v>73.624848731400434</v>
      </c>
      <c r="Q10" s="171">
        <f t="shared" si="6"/>
        <v>51.994301907195563</v>
      </c>
      <c r="R10" s="172">
        <f t="shared" si="7"/>
        <v>63.785759352321499</v>
      </c>
      <c r="S10" s="171">
        <f t="shared" si="8"/>
        <v>10.946640798780177</v>
      </c>
      <c r="T10" s="173">
        <f t="shared" si="9"/>
        <v>6.3200460118978752</v>
      </c>
    </row>
    <row r="11" spans="1:20" s="5" customFormat="1" ht="13" x14ac:dyDescent="0.15">
      <c r="A11" s="166"/>
      <c r="B11" s="183"/>
      <c r="C11" s="168">
        <v>0.13300000000000001</v>
      </c>
      <c r="D11" s="169">
        <v>0.13200000000000001</v>
      </c>
      <c r="E11" s="178">
        <v>0.13800000000000001</v>
      </c>
      <c r="F11" s="169">
        <v>8.4000000000000005E-2</v>
      </c>
      <c r="G11" s="169">
        <v>7.9000000000000001E-2</v>
      </c>
      <c r="H11" s="169">
        <v>8.5999999999999993E-2</v>
      </c>
      <c r="I11" s="169">
        <f t="shared" si="0"/>
        <v>1.3319286871961102E-2</v>
      </c>
      <c r="J11" s="169">
        <f t="shared" si="0"/>
        <v>1.3647487844408428E-2</v>
      </c>
      <c r="K11" s="169">
        <f t="shared" si="1"/>
        <v>1.3933549432739063E-2</v>
      </c>
      <c r="L11" s="175">
        <v>0.20200000000000001</v>
      </c>
      <c r="M11" s="169">
        <f t="shared" si="2"/>
        <v>0.24914680000000003</v>
      </c>
      <c r="N11" s="170">
        <f t="shared" si="3"/>
        <v>4.9829360000000001E-4</v>
      </c>
      <c r="O11" s="171">
        <f t="shared" si="4"/>
        <v>53.459594391584005</v>
      </c>
      <c r="P11" s="171">
        <f t="shared" si="5"/>
        <v>54.776893961344989</v>
      </c>
      <c r="Q11" s="171">
        <f t="shared" si="6"/>
        <v>55.925058771531738</v>
      </c>
      <c r="R11" s="172">
        <f t="shared" si="7"/>
        <v>54.720515708153584</v>
      </c>
      <c r="S11" s="171">
        <f t="shared" si="8"/>
        <v>1.2336987204226366</v>
      </c>
      <c r="T11" s="173">
        <f t="shared" si="9"/>
        <v>0.71227628833490619</v>
      </c>
    </row>
    <row r="12" spans="1:20" s="5" customFormat="1" ht="13" x14ac:dyDescent="0.15">
      <c r="A12" s="166"/>
      <c r="B12" s="183" t="s">
        <v>18</v>
      </c>
      <c r="C12" s="176">
        <v>0.49</v>
      </c>
      <c r="D12" s="169">
        <v>0.57999999999999996</v>
      </c>
      <c r="E12" s="178">
        <v>0.71299999999999997</v>
      </c>
      <c r="F12" s="177">
        <v>0.29299999999999998</v>
      </c>
      <c r="G12" s="177">
        <v>0.33400000000000002</v>
      </c>
      <c r="H12" s="177">
        <v>0.435</v>
      </c>
      <c r="I12" s="169">
        <f t="shared" si="0"/>
        <v>5.0686385737439221E-2</v>
      </c>
      <c r="J12" s="169">
        <f t="shared" si="0"/>
        <v>6.1252836304700159E-2</v>
      </c>
      <c r="K12" s="169">
        <f t="shared" si="1"/>
        <v>7.2905186385737439E-2</v>
      </c>
      <c r="L12" s="169">
        <v>0.80800000000000005</v>
      </c>
      <c r="M12" s="169">
        <f t="shared" si="2"/>
        <v>0.99658720000000012</v>
      </c>
      <c r="N12" s="170">
        <f t="shared" si="3"/>
        <v>1.9931744E-3</v>
      </c>
      <c r="O12" s="171">
        <f t="shared" si="4"/>
        <v>50.859960611012482</v>
      </c>
      <c r="P12" s="171">
        <f t="shared" si="5"/>
        <v>61.462595851823259</v>
      </c>
      <c r="Q12" s="171">
        <f t="shared" si="6"/>
        <v>73.154849255275849</v>
      </c>
      <c r="R12" s="172">
        <f t="shared" si="7"/>
        <v>61.825801906037192</v>
      </c>
      <c r="S12" s="171">
        <f t="shared" si="8"/>
        <v>11.151881181818139</v>
      </c>
      <c r="T12" s="173">
        <f t="shared" si="9"/>
        <v>6.4385416022934248</v>
      </c>
    </row>
    <row r="13" spans="1:20" s="5" customFormat="1" thickBot="1" x14ac:dyDescent="0.2">
      <c r="A13" s="184"/>
      <c r="B13" s="185"/>
      <c r="C13" s="186">
        <v>0.109</v>
      </c>
      <c r="D13" s="187">
        <v>7.8E-2</v>
      </c>
      <c r="E13" s="188">
        <v>0.108</v>
      </c>
      <c r="F13" s="187">
        <v>6.5000000000000002E-2</v>
      </c>
      <c r="G13" s="187">
        <v>4.8000000000000001E-2</v>
      </c>
      <c r="H13" s="187">
        <v>5.7000000000000002E-2</v>
      </c>
      <c r="I13" s="187">
        <f t="shared" si="0"/>
        <v>1.1292544570502432E-2</v>
      </c>
      <c r="J13" s="187">
        <f t="shared" si="0"/>
        <v>7.9351701782820108E-3</v>
      </c>
      <c r="K13" s="187">
        <f t="shared" si="1"/>
        <v>1.1914910858995138E-2</v>
      </c>
      <c r="L13" s="189">
        <v>0.20200000000000001</v>
      </c>
      <c r="M13" s="187">
        <f t="shared" si="2"/>
        <v>0.24914680000000003</v>
      </c>
      <c r="N13" s="190">
        <f t="shared" si="3"/>
        <v>4.9829360000000001E-4</v>
      </c>
      <c r="O13" s="191">
        <f t="shared" si="4"/>
        <v>45.324862974368649</v>
      </c>
      <c r="P13" s="191">
        <f t="shared" si="5"/>
        <v>31.849376264443336</v>
      </c>
      <c r="Q13" s="191">
        <f t="shared" si="6"/>
        <v>47.82285326961911</v>
      </c>
      <c r="R13" s="192">
        <f t="shared" si="7"/>
        <v>41.665697502810367</v>
      </c>
      <c r="S13" s="191">
        <f t="shared" si="8"/>
        <v>8.5924449878892126</v>
      </c>
      <c r="T13" s="193">
        <f t="shared" si="9"/>
        <v>4.9608504267548881</v>
      </c>
    </row>
    <row r="14" spans="1:20" x14ac:dyDescent="0.15">
      <c r="B14" s="59"/>
      <c r="C14" s="55"/>
      <c r="D14" s="55"/>
      <c r="E14" s="47"/>
      <c r="F14" s="55"/>
      <c r="G14" s="55"/>
      <c r="H14" s="55"/>
      <c r="I14" s="55"/>
      <c r="J14" s="55"/>
      <c r="K14" s="55"/>
      <c r="L14" s="58"/>
      <c r="M14" s="55"/>
      <c r="N14" s="56"/>
      <c r="O14" s="56"/>
      <c r="P14" s="56"/>
      <c r="Q14" s="56"/>
      <c r="R14" s="60"/>
      <c r="S14" s="57"/>
      <c r="T14" s="57"/>
    </row>
    <row r="15" spans="1:20" x14ac:dyDescent="0.15">
      <c r="B15" s="59"/>
      <c r="C15" s="55"/>
      <c r="D15" s="55"/>
      <c r="E15" s="47"/>
      <c r="F15" s="55"/>
      <c r="G15" s="55"/>
      <c r="H15" s="55"/>
      <c r="I15" s="55"/>
      <c r="J15" s="55"/>
      <c r="K15" s="55"/>
      <c r="L15" s="58"/>
      <c r="M15" s="55"/>
      <c r="N15" s="56"/>
      <c r="O15" s="56"/>
      <c r="P15" s="56"/>
      <c r="Q15" s="56"/>
      <c r="R15" s="60"/>
      <c r="S15" s="57"/>
      <c r="T15" s="57"/>
    </row>
    <row r="16" spans="1:20" x14ac:dyDescent="0.15">
      <c r="C16" s="61"/>
      <c r="D16" s="62"/>
      <c r="E16" s="63"/>
      <c r="F16" s="55"/>
      <c r="G16" s="47"/>
      <c r="H16" s="55"/>
      <c r="I16" s="55"/>
      <c r="J16" s="55"/>
      <c r="K16" s="55"/>
    </row>
    <row r="17" spans="2:11" x14ac:dyDescent="0.15">
      <c r="C17" s="61"/>
      <c r="D17" s="64">
        <v>0.2</v>
      </c>
      <c r="E17" s="63"/>
      <c r="F17" s="55"/>
      <c r="G17" s="47"/>
      <c r="H17" s="55"/>
      <c r="I17" s="55"/>
      <c r="J17" s="55"/>
      <c r="K17" s="55"/>
    </row>
    <row r="18" spans="2:11" x14ac:dyDescent="0.15">
      <c r="C18" s="61"/>
      <c r="D18" s="64">
        <v>0.3</v>
      </c>
      <c r="E18" s="63"/>
      <c r="F18" s="55"/>
      <c r="G18" s="47"/>
      <c r="H18" s="55"/>
      <c r="I18" s="55"/>
      <c r="J18" s="55"/>
      <c r="K18" s="55"/>
    </row>
    <row r="19" spans="2:11" x14ac:dyDescent="0.15">
      <c r="C19" s="61"/>
      <c r="D19" s="64">
        <v>0.4</v>
      </c>
      <c r="E19" s="63"/>
      <c r="F19" s="55"/>
      <c r="G19" s="46"/>
      <c r="H19" s="55"/>
      <c r="I19" s="55"/>
      <c r="J19" s="55"/>
      <c r="K19" s="55"/>
    </row>
    <row r="20" spans="2:11" x14ac:dyDescent="0.15">
      <c r="C20" s="61"/>
      <c r="D20" s="65" t="s">
        <v>16</v>
      </c>
      <c r="E20" s="63"/>
      <c r="F20" s="55"/>
      <c r="G20" s="55"/>
      <c r="H20" s="55"/>
      <c r="I20" s="55"/>
      <c r="J20" s="55"/>
      <c r="K20" s="55"/>
    </row>
    <row r="21" spans="2:11" x14ac:dyDescent="0.15">
      <c r="C21" s="61"/>
      <c r="D21" s="65" t="s">
        <v>17</v>
      </c>
      <c r="E21" s="63"/>
      <c r="F21" s="55"/>
      <c r="G21" s="55"/>
      <c r="H21" s="55"/>
      <c r="I21" s="55"/>
      <c r="J21" s="55"/>
      <c r="K21" s="55"/>
    </row>
    <row r="22" spans="2:11" x14ac:dyDescent="0.15">
      <c r="C22" s="61"/>
      <c r="D22" s="62" t="s">
        <v>18</v>
      </c>
      <c r="E22" s="63"/>
      <c r="F22" s="55"/>
      <c r="G22" s="55"/>
      <c r="H22" s="55"/>
      <c r="I22" s="55"/>
      <c r="J22" s="55"/>
      <c r="K22" s="55"/>
    </row>
    <row r="23" spans="2:11" x14ac:dyDescent="0.15">
      <c r="C23" s="61"/>
      <c r="D23" s="66"/>
      <c r="E23" s="63"/>
      <c r="F23" s="55"/>
      <c r="G23" s="55"/>
      <c r="H23" s="55"/>
      <c r="I23" s="55"/>
      <c r="J23" s="55"/>
      <c r="K23" s="55"/>
    </row>
    <row r="24" spans="2:11" x14ac:dyDescent="0.15">
      <c r="C24" s="59"/>
      <c r="D24" s="67"/>
      <c r="E24" s="55"/>
      <c r="F24" s="55"/>
      <c r="G24" s="55"/>
      <c r="H24" s="55"/>
      <c r="I24" s="55"/>
      <c r="J24" s="55"/>
      <c r="K24" s="55"/>
    </row>
    <row r="25" spans="2:11" x14ac:dyDescent="0.15">
      <c r="C25" s="59"/>
      <c r="D25" s="67"/>
      <c r="E25" s="55"/>
      <c r="F25" s="55"/>
      <c r="G25" s="55"/>
      <c r="H25" s="55"/>
      <c r="I25" s="55"/>
      <c r="J25" s="55"/>
      <c r="K25" s="55"/>
    </row>
    <row r="26" spans="2:11" x14ac:dyDescent="0.15">
      <c r="C26" s="59"/>
      <c r="D26" s="68"/>
      <c r="E26" s="55"/>
      <c r="F26" s="55"/>
      <c r="G26" s="55"/>
      <c r="H26" s="55"/>
      <c r="I26" s="55"/>
      <c r="J26" s="55"/>
      <c r="K26" s="55"/>
    </row>
    <row r="27" spans="2:11" x14ac:dyDescent="0.15">
      <c r="C27" s="59"/>
      <c r="D27" s="68"/>
      <c r="E27" s="55"/>
      <c r="F27" s="55"/>
      <c r="G27" s="55"/>
      <c r="H27" s="55"/>
      <c r="I27" s="55"/>
      <c r="J27" s="55"/>
      <c r="K27" s="55"/>
    </row>
    <row r="28" spans="2:11" x14ac:dyDescent="0.15">
      <c r="C28" s="59"/>
      <c r="D28" s="68"/>
      <c r="E28" s="55"/>
      <c r="F28" s="55"/>
      <c r="G28" s="55"/>
      <c r="H28" s="55"/>
      <c r="I28" s="55"/>
      <c r="J28" s="55"/>
      <c r="K28" s="55"/>
    </row>
    <row r="29" spans="2:11" x14ac:dyDescent="0.15">
      <c r="C29" s="59"/>
      <c r="D29" s="67"/>
      <c r="E29" s="55"/>
      <c r="F29" s="55"/>
      <c r="G29" s="55"/>
      <c r="H29" s="55"/>
      <c r="I29" s="55"/>
      <c r="J29" s="55"/>
      <c r="K29" s="55"/>
    </row>
    <row r="30" spans="2:11" x14ac:dyDescent="0.15">
      <c r="C30" s="59"/>
      <c r="D30" s="67"/>
      <c r="E30" s="55"/>
      <c r="F30" s="55"/>
      <c r="G30" s="55"/>
      <c r="H30" s="55"/>
      <c r="I30" s="55"/>
      <c r="J30" s="55"/>
      <c r="K30" s="55"/>
    </row>
    <row r="31" spans="2:11" x14ac:dyDescent="0.15">
      <c r="C31" s="59"/>
      <c r="D31" s="67"/>
      <c r="E31" s="55"/>
      <c r="F31" s="55"/>
      <c r="G31" s="55"/>
      <c r="H31" s="55"/>
      <c r="I31" s="55"/>
      <c r="J31" s="55"/>
      <c r="K31" s="55"/>
    </row>
    <row r="32" spans="2:11" x14ac:dyDescent="0.15">
      <c r="B32" s="69"/>
      <c r="C32" s="55"/>
      <c r="D32" s="55"/>
      <c r="E32" s="55"/>
      <c r="F32" s="55"/>
      <c r="G32" s="55"/>
      <c r="H32" s="55"/>
      <c r="I32" s="55"/>
      <c r="J32" s="55"/>
      <c r="K32" s="55"/>
    </row>
    <row r="33" spans="2:11" x14ac:dyDescent="0.15">
      <c r="B33" s="69"/>
      <c r="C33" s="55"/>
      <c r="D33" s="55"/>
      <c r="E33" s="55"/>
      <c r="F33" s="55"/>
      <c r="G33" s="55"/>
      <c r="H33" s="55"/>
      <c r="I33" s="55"/>
      <c r="J33" s="55"/>
      <c r="K33" s="55"/>
    </row>
    <row r="34" spans="2:11" x14ac:dyDescent="0.15">
      <c r="B34" s="69"/>
      <c r="C34" s="55"/>
      <c r="D34" s="55"/>
      <c r="E34" s="55"/>
      <c r="F34" s="55"/>
      <c r="G34" s="55"/>
      <c r="H34" s="55"/>
      <c r="I34" s="55"/>
      <c r="J34" s="55"/>
      <c r="K34" s="55"/>
    </row>
    <row r="35" spans="2:11" x14ac:dyDescent="0.15">
      <c r="B35" s="69"/>
      <c r="C35" s="55"/>
      <c r="D35" s="55"/>
      <c r="E35" s="55"/>
      <c r="F35" s="55"/>
      <c r="G35" s="55"/>
      <c r="H35" s="55"/>
      <c r="I35" s="55"/>
      <c r="J35" s="55"/>
      <c r="K35" s="55"/>
    </row>
  </sheetData>
  <mergeCells count="14">
    <mergeCell ref="B12:B13"/>
    <mergeCell ref="B4:B5"/>
    <mergeCell ref="B6:B7"/>
    <mergeCell ref="B8:B9"/>
    <mergeCell ref="B10:B11"/>
    <mergeCell ref="C3:E3"/>
    <mergeCell ref="F3:H3"/>
    <mergeCell ref="I3:K3"/>
    <mergeCell ref="A1:T1"/>
    <mergeCell ref="C2:E2"/>
    <mergeCell ref="F2:H2"/>
    <mergeCell ref="I2:K2"/>
    <mergeCell ref="O2:Q2"/>
    <mergeCell ref="O3:Q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B57A1-D5A4-1143-B2A2-2F5E62F3615E}">
  <dimension ref="A1:T35"/>
  <sheetViews>
    <sheetView zoomScaleNormal="100" workbookViewId="0">
      <selection sqref="A1:T1"/>
    </sheetView>
  </sheetViews>
  <sheetFormatPr baseColWidth="10" defaultColWidth="11.5" defaultRowHeight="14" x14ac:dyDescent="0.15"/>
  <cols>
    <col min="1" max="1" width="78.33203125" style="3" customWidth="1"/>
    <col min="2" max="12" width="11.5" style="3"/>
    <col min="13" max="13" width="12.1640625" style="3" customWidth="1"/>
    <col min="14" max="14" width="11.5" style="3"/>
    <col min="15" max="15" width="12.33203125" style="3" customWidth="1"/>
    <col min="16" max="17" width="11.5" style="3"/>
    <col min="18" max="18" width="12.33203125" style="3" customWidth="1"/>
    <col min="19" max="16384" width="11.5" style="3"/>
  </cols>
  <sheetData>
    <row r="1" spans="1:20" ht="17" thickBot="1" x14ac:dyDescent="0.2">
      <c r="A1" s="206" t="s">
        <v>79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8"/>
    </row>
    <row r="2" spans="1:20" ht="61" customHeight="1" x14ac:dyDescent="0.15">
      <c r="B2" s="217"/>
      <c r="C2" s="196" t="s">
        <v>59</v>
      </c>
      <c r="D2" s="196"/>
      <c r="E2" s="197"/>
      <c r="F2" s="196" t="s">
        <v>60</v>
      </c>
      <c r="G2" s="196"/>
      <c r="H2" s="196"/>
      <c r="I2" s="198" t="s">
        <v>61</v>
      </c>
      <c r="J2" s="196"/>
      <c r="K2" s="197"/>
      <c r="L2" s="218" t="s">
        <v>58</v>
      </c>
      <c r="M2" s="200" t="s">
        <v>9</v>
      </c>
      <c r="N2" s="200" t="s">
        <v>10</v>
      </c>
      <c r="O2" s="201" t="s">
        <v>71</v>
      </c>
      <c r="P2" s="202"/>
      <c r="Q2" s="203"/>
      <c r="R2" s="200" t="s">
        <v>85</v>
      </c>
      <c r="S2" s="204" t="s">
        <v>67</v>
      </c>
      <c r="T2" s="205" t="s">
        <v>68</v>
      </c>
    </row>
    <row r="3" spans="1:20" ht="25" customHeight="1" x14ac:dyDescent="0.15">
      <c r="B3" s="74"/>
      <c r="C3" s="114" t="s">
        <v>11</v>
      </c>
      <c r="D3" s="114"/>
      <c r="E3" s="115"/>
      <c r="F3" s="114" t="s">
        <v>11</v>
      </c>
      <c r="G3" s="114"/>
      <c r="H3" s="114"/>
      <c r="I3" s="116" t="s">
        <v>12</v>
      </c>
      <c r="J3" s="114"/>
      <c r="K3" s="115"/>
      <c r="L3" s="50" t="s">
        <v>11</v>
      </c>
      <c r="M3" s="51" t="s">
        <v>13</v>
      </c>
      <c r="N3" s="51" t="s">
        <v>14</v>
      </c>
      <c r="O3" s="117" t="s">
        <v>73</v>
      </c>
      <c r="P3" s="118"/>
      <c r="Q3" s="119"/>
      <c r="R3" s="52" t="s">
        <v>73</v>
      </c>
      <c r="S3" s="53"/>
      <c r="T3" s="54"/>
    </row>
    <row r="4" spans="1:20" s="5" customFormat="1" ht="15" customHeight="1" x14ac:dyDescent="0.15">
      <c r="B4" s="209">
        <v>0.2</v>
      </c>
      <c r="C4" s="169">
        <v>0.34200000000000003</v>
      </c>
      <c r="D4" s="169">
        <v>0.33900000000000002</v>
      </c>
      <c r="E4" s="169">
        <v>0.34599999999999997</v>
      </c>
      <c r="F4" s="169">
        <v>0.221</v>
      </c>
      <c r="G4" s="169">
        <v>0.224</v>
      </c>
      <c r="H4" s="169">
        <v>0.22800000000000001</v>
      </c>
      <c r="I4" s="169">
        <f>(C4-(0.605*F4))/6.17</f>
        <v>3.3759319286871967E-2</v>
      </c>
      <c r="J4" s="169">
        <f>(D4-(0.605*G4))/6.17</f>
        <v>3.2978930307941655E-2</v>
      </c>
      <c r="K4" s="169">
        <f t="shared" ref="K4:K13" si="0">(E4-(0.605*H4))/6.17</f>
        <v>3.3721231766612639E-2</v>
      </c>
      <c r="L4" s="169">
        <v>1.1639999999999999</v>
      </c>
      <c r="M4" s="169">
        <f>1.2596*L4</f>
        <v>1.4661743999999999</v>
      </c>
      <c r="N4" s="170">
        <f t="shared" ref="N4:N13" si="1">M4*1/1000</f>
        <v>1.4661743999999999E-3</v>
      </c>
      <c r="O4" s="171">
        <f t="shared" ref="O4:O13" si="2">(I4*2)/N4</f>
        <v>46.050891745036566</v>
      </c>
      <c r="P4" s="171">
        <f t="shared" ref="P4:P10" si="3">(J4*2)/N4</f>
        <v>44.986367662594105</v>
      </c>
      <c r="Q4" s="171">
        <f t="shared" ref="Q4:Q13" si="4">(K4*2)/N4</f>
        <v>45.99893677943448</v>
      </c>
      <c r="R4" s="172">
        <f>AVERAGE(O4:Q4)</f>
        <v>45.678732062355046</v>
      </c>
      <c r="S4" s="171">
        <f>STDEV(O4:Q4)</f>
        <v>0.60016762338110907</v>
      </c>
      <c r="T4" s="173">
        <f>S4/SQRT(3)</f>
        <v>0.34650693891798129</v>
      </c>
    </row>
    <row r="5" spans="1:20" s="5" customFormat="1" ht="13" x14ac:dyDescent="0.15">
      <c r="B5" s="210"/>
      <c r="C5" s="178">
        <v>9.1999999999999998E-2</v>
      </c>
      <c r="D5" s="178">
        <v>0.1</v>
      </c>
      <c r="E5" s="178">
        <v>9.8000000000000004E-2</v>
      </c>
      <c r="F5" s="178">
        <v>5.5E-2</v>
      </c>
      <c r="G5" s="178">
        <v>5.8999999999999997E-2</v>
      </c>
      <c r="H5" s="178">
        <v>5.8999999999999997E-2</v>
      </c>
      <c r="I5" s="169">
        <f>(C5-(0.605*F5))/6.17</f>
        <v>9.5178282009724478E-3</v>
      </c>
      <c r="J5" s="169">
        <f>(D5-(0.605*G5))/6.17</f>
        <v>1.0422204213938411E-2</v>
      </c>
      <c r="K5" s="169">
        <f t="shared" si="0"/>
        <v>1.0098055105348461E-2</v>
      </c>
      <c r="L5" s="169">
        <v>0.29099999999999998</v>
      </c>
      <c r="M5" s="169">
        <f t="shared" ref="M5:M13" si="5">1.2596*L5</f>
        <v>0.36654359999999997</v>
      </c>
      <c r="N5" s="170">
        <f t="shared" si="1"/>
        <v>3.6654359999999998E-4</v>
      </c>
      <c r="O5" s="171">
        <f t="shared" si="2"/>
        <v>51.93285710607114</v>
      </c>
      <c r="P5" s="171">
        <f t="shared" si="3"/>
        <v>56.867473413467934</v>
      </c>
      <c r="Q5" s="171">
        <f t="shared" si="4"/>
        <v>55.0987937333974</v>
      </c>
      <c r="R5" s="172">
        <f t="shared" ref="R5:R13" si="6">AVERAGE(O5:Q5)</f>
        <v>54.633041417645494</v>
      </c>
      <c r="S5" s="171">
        <f t="shared" ref="S5:S13" si="7">STDEV(O5:Q5)</f>
        <v>2.5000606872689697</v>
      </c>
      <c r="T5" s="173">
        <f t="shared" ref="T5:T12" si="8">S5/SQRT(3)</f>
        <v>1.4434107107851406</v>
      </c>
    </row>
    <row r="6" spans="1:20" s="5" customFormat="1" ht="13" x14ac:dyDescent="0.15">
      <c r="B6" s="209">
        <v>0.3</v>
      </c>
      <c r="C6" s="169">
        <v>0.224</v>
      </c>
      <c r="D6" s="169">
        <v>8.6999999999999994E-2</v>
      </c>
      <c r="E6" s="169">
        <v>0.41599999999999998</v>
      </c>
      <c r="F6" s="169">
        <v>0.13500000000000001</v>
      </c>
      <c r="G6" s="169">
        <v>6.0999999999999999E-2</v>
      </c>
      <c r="H6" s="169">
        <v>0.27900000000000003</v>
      </c>
      <c r="I6" s="169">
        <f>(C6-(0.605*F6))/6.17</f>
        <v>2.3067260940032416E-2</v>
      </c>
      <c r="J6" s="169">
        <f t="shared" ref="J6" si="9">(D6-(0.605*G6))/6.17</f>
        <v>8.1191247974068056E-3</v>
      </c>
      <c r="K6" s="169">
        <f t="shared" si="0"/>
        <v>4.0065640194489466E-2</v>
      </c>
      <c r="L6" s="169">
        <v>1.1639999999999999</v>
      </c>
      <c r="M6" s="169">
        <f t="shared" si="5"/>
        <v>1.4661743999999999</v>
      </c>
      <c r="N6" s="170">
        <f t="shared" si="1"/>
        <v>1.4661743999999999E-3</v>
      </c>
      <c r="O6" s="171">
        <f t="shared" si="2"/>
        <v>31.465916933254896</v>
      </c>
      <c r="P6" s="171">
        <f t="shared" si="3"/>
        <v>11.07525107164169</v>
      </c>
      <c r="Q6" s="171">
        <f t="shared" si="4"/>
        <v>54.653307538979632</v>
      </c>
      <c r="R6" s="172">
        <f>AVERAGE(O6,Q6)</f>
        <v>43.05961223611726</v>
      </c>
      <c r="S6" s="171">
        <f>STDEV(O6,Q6)</f>
        <v>16.395961135329234</v>
      </c>
      <c r="T6" s="173">
        <f>S6/SQRT(3)</f>
        <v>9.4662125751049757</v>
      </c>
    </row>
    <row r="7" spans="1:20" s="5" customFormat="1" ht="13" x14ac:dyDescent="0.15">
      <c r="B7" s="210"/>
      <c r="C7" s="169">
        <v>0.11</v>
      </c>
      <c r="D7" s="169">
        <v>0.11600000000000001</v>
      </c>
      <c r="E7" s="178">
        <v>0.115</v>
      </c>
      <c r="F7" s="178">
        <v>6.9000000000000006E-2</v>
      </c>
      <c r="G7" s="178">
        <v>7.4999999999999997E-2</v>
      </c>
      <c r="H7" s="169">
        <v>7.4999999999999997E-2</v>
      </c>
      <c r="I7" s="169">
        <f>(C7-(0.605*F7))/6.17</f>
        <v>1.1062398703403566E-2</v>
      </c>
      <c r="J7" s="169">
        <f t="shared" ref="I7:J13" si="10">(D7-(0.605*G7))/6.17</f>
        <v>1.1446515397082659E-2</v>
      </c>
      <c r="K7" s="169">
        <f t="shared" si="0"/>
        <v>1.1284440842787683E-2</v>
      </c>
      <c r="L7" s="182">
        <v>0.29099999999999998</v>
      </c>
      <c r="M7" s="169">
        <f t="shared" si="5"/>
        <v>0.36654359999999997</v>
      </c>
      <c r="N7" s="170">
        <f t="shared" si="1"/>
        <v>3.6654359999999998E-4</v>
      </c>
      <c r="O7" s="171">
        <f t="shared" si="2"/>
        <v>60.360615781607244</v>
      </c>
      <c r="P7" s="171">
        <f t="shared" si="3"/>
        <v>62.456501202490834</v>
      </c>
      <c r="Q7" s="171">
        <f t="shared" si="4"/>
        <v>61.572161362455567</v>
      </c>
      <c r="R7" s="172">
        <f t="shared" si="6"/>
        <v>61.463092782184553</v>
      </c>
      <c r="S7" s="171">
        <f t="shared" si="7"/>
        <v>1.0521909953852711</v>
      </c>
      <c r="T7" s="173">
        <f t="shared" si="8"/>
        <v>0.60748275442458655</v>
      </c>
    </row>
    <row r="8" spans="1:20" s="5" customFormat="1" ht="13" x14ac:dyDescent="0.15">
      <c r="B8" s="209">
        <v>0.4</v>
      </c>
      <c r="C8" s="177">
        <v>0.42699999999999999</v>
      </c>
      <c r="D8" s="177">
        <v>0.435</v>
      </c>
      <c r="E8" s="177">
        <v>0.44800000000000001</v>
      </c>
      <c r="F8" s="177">
        <v>0.29399999999999998</v>
      </c>
      <c r="G8" s="169">
        <v>0.30099999999999999</v>
      </c>
      <c r="H8" s="169">
        <v>0.308</v>
      </c>
      <c r="I8" s="169">
        <f>(C8-(0.605*F8))/6.17</f>
        <v>4.0377633711507294E-2</v>
      </c>
      <c r="J8" s="169">
        <f t="shared" si="10"/>
        <v>4.0987844408427877E-2</v>
      </c>
      <c r="K8" s="169">
        <f t="shared" si="0"/>
        <v>4.2408427876823342E-2</v>
      </c>
      <c r="L8" s="169">
        <v>1.1639999999999999</v>
      </c>
      <c r="M8" s="169">
        <f t="shared" si="5"/>
        <v>1.4661743999999999</v>
      </c>
      <c r="N8" s="170">
        <f t="shared" si="1"/>
        <v>1.4661743999999999E-3</v>
      </c>
      <c r="O8" s="171">
        <f t="shared" si="2"/>
        <v>55.0788960869966</v>
      </c>
      <c r="P8" s="171">
        <f t="shared" si="3"/>
        <v>55.911280961429803</v>
      </c>
      <c r="Q8" s="171">
        <f t="shared" si="4"/>
        <v>57.849090635907082</v>
      </c>
      <c r="R8" s="172">
        <f t="shared" si="6"/>
        <v>56.279755894777828</v>
      </c>
      <c r="S8" s="171">
        <f t="shared" si="7"/>
        <v>1.421381297218558</v>
      </c>
      <c r="T8" s="173">
        <f t="shared" si="8"/>
        <v>0.82063487457023399</v>
      </c>
    </row>
    <row r="9" spans="1:20" s="5" customFormat="1" ht="13" x14ac:dyDescent="0.15">
      <c r="B9" s="211"/>
      <c r="C9" s="169">
        <v>0.125</v>
      </c>
      <c r="D9" s="169">
        <v>0.122</v>
      </c>
      <c r="E9" s="178">
        <v>0.13900000000000001</v>
      </c>
      <c r="F9" s="169">
        <v>0.08</v>
      </c>
      <c r="G9" s="169">
        <v>7.6999999999999999E-2</v>
      </c>
      <c r="H9" s="169">
        <v>9.5000000000000001E-2</v>
      </c>
      <c r="I9" s="169">
        <f t="shared" si="10"/>
        <v>1.2414910858995138E-2</v>
      </c>
      <c r="J9" s="169">
        <f t="shared" si="10"/>
        <v>1.2222852512155592E-2</v>
      </c>
      <c r="K9" s="169">
        <f t="shared" si="0"/>
        <v>1.3213128038897895E-2</v>
      </c>
      <c r="L9" s="169">
        <v>0.29099999999999998</v>
      </c>
      <c r="M9" s="169">
        <f t="shared" si="5"/>
        <v>0.36654359999999997</v>
      </c>
      <c r="N9" s="170">
        <f t="shared" si="1"/>
        <v>3.6654359999999998E-4</v>
      </c>
      <c r="O9" s="171">
        <f t="shared" si="2"/>
        <v>67.74043174670156</v>
      </c>
      <c r="P9" s="171">
        <f t="shared" si="3"/>
        <v>66.692489036259758</v>
      </c>
      <c r="Q9" s="171">
        <f t="shared" si="4"/>
        <v>72.095805458875262</v>
      </c>
      <c r="R9" s="172">
        <f t="shared" si="6"/>
        <v>68.842908747278855</v>
      </c>
      <c r="S9" s="171">
        <f t="shared" si="7"/>
        <v>2.8654055111498686</v>
      </c>
      <c r="T9" s="173">
        <f t="shared" si="8"/>
        <v>1.6543426431998141</v>
      </c>
    </row>
    <row r="10" spans="1:20" s="5" customFormat="1" ht="13" x14ac:dyDescent="0.15">
      <c r="B10" s="212" t="s">
        <v>17</v>
      </c>
      <c r="C10" s="182">
        <v>0.3</v>
      </c>
      <c r="D10" s="169">
        <v>0.32800000000000001</v>
      </c>
      <c r="E10" s="178">
        <v>0.499</v>
      </c>
      <c r="F10" s="182">
        <v>0.17399999999999999</v>
      </c>
      <c r="G10" s="182">
        <v>0.193</v>
      </c>
      <c r="H10" s="182">
        <v>0.33</v>
      </c>
      <c r="I10" s="169">
        <f t="shared" si="10"/>
        <v>3.1560777957860615E-2</v>
      </c>
      <c r="J10" s="169">
        <f t="shared" si="10"/>
        <v>3.4235818476499189E-2</v>
      </c>
      <c r="K10" s="169">
        <f t="shared" si="0"/>
        <v>4.8517017828200976E-2</v>
      </c>
      <c r="L10" s="213">
        <v>1.1639999999999999</v>
      </c>
      <c r="M10" s="169">
        <f t="shared" si="5"/>
        <v>1.4661743999999999</v>
      </c>
      <c r="N10" s="170">
        <f t="shared" si="1"/>
        <v>1.4661743999999999E-3</v>
      </c>
      <c r="O10" s="171">
        <f t="shared" si="2"/>
        <v>43.051874262516954</v>
      </c>
      <c r="P10" s="171">
        <f t="shared" si="3"/>
        <v>46.700881527462478</v>
      </c>
      <c r="Q10" s="171">
        <f t="shared" si="4"/>
        <v>66.181782778639402</v>
      </c>
      <c r="R10" s="172">
        <f t="shared" si="6"/>
        <v>51.978179522872949</v>
      </c>
      <c r="S10" s="171">
        <f t="shared" si="7"/>
        <v>12.435255228193766</v>
      </c>
      <c r="T10" s="173">
        <f t="shared" si="8"/>
        <v>7.1794979534393724</v>
      </c>
    </row>
    <row r="11" spans="1:20" s="5" customFormat="1" ht="13" x14ac:dyDescent="0.15">
      <c r="B11" s="214"/>
      <c r="C11" s="169">
        <v>0.121</v>
      </c>
      <c r="D11" s="169">
        <v>5.5E-2</v>
      </c>
      <c r="E11" s="178">
        <v>7.8E-2</v>
      </c>
      <c r="F11" s="169">
        <v>7.8E-2</v>
      </c>
      <c r="G11" s="169">
        <v>3.4000000000000002E-2</v>
      </c>
      <c r="H11" s="169">
        <v>4.4999999999999998E-2</v>
      </c>
      <c r="I11" s="169">
        <f t="shared" si="10"/>
        <v>1.1962722852512157E-2</v>
      </c>
      <c r="J11" s="169">
        <f t="shared" si="10"/>
        <v>5.5802269043760131E-3</v>
      </c>
      <c r="K11" s="169">
        <f t="shared" si="0"/>
        <v>8.2293354943273906E-3</v>
      </c>
      <c r="L11" s="175">
        <v>0.29099999999999998</v>
      </c>
      <c r="M11" s="169">
        <f t="shared" si="5"/>
        <v>0.36654359999999997</v>
      </c>
      <c r="N11" s="170">
        <f t="shared" si="1"/>
        <v>3.6654359999999998E-4</v>
      </c>
      <c r="O11" s="171">
        <f t="shared" si="2"/>
        <v>65.273123593003163</v>
      </c>
      <c r="P11" s="171">
        <f t="shared" ref="P11:P12" si="11">(J11*2)/N11</f>
        <v>30.44782069241429</v>
      </c>
      <c r="Q11" s="171">
        <f t="shared" si="4"/>
        <v>44.902355377790755</v>
      </c>
      <c r="R11" s="172">
        <f>AVERAGE(O11,Q11)</f>
        <v>55.087739485396959</v>
      </c>
      <c r="S11" s="171">
        <f>STDEV(O11,Q11)</f>
        <v>14.404308342956051</v>
      </c>
      <c r="T11" s="173">
        <f t="shared" si="8"/>
        <v>8.3163312992960492</v>
      </c>
    </row>
    <row r="12" spans="1:20" s="5" customFormat="1" ht="13" x14ac:dyDescent="0.15">
      <c r="B12" s="214" t="s">
        <v>18</v>
      </c>
      <c r="C12" s="177">
        <v>0.49099999999999999</v>
      </c>
      <c r="D12" s="169">
        <v>0.22700000000000001</v>
      </c>
      <c r="E12" s="178">
        <v>0.46200000000000002</v>
      </c>
      <c r="F12" s="177">
        <v>0.318</v>
      </c>
      <c r="G12" s="177">
        <v>0.16400000000000001</v>
      </c>
      <c r="H12" s="177">
        <v>0.28999999999999998</v>
      </c>
      <c r="I12" s="169">
        <f t="shared" si="10"/>
        <v>4.8397082658022686E-2</v>
      </c>
      <c r="J12" s="169">
        <f t="shared" si="10"/>
        <v>2.0709886547811994E-2</v>
      </c>
      <c r="K12" s="169">
        <f t="shared" si="0"/>
        <v>4.6442463533225287E-2</v>
      </c>
      <c r="L12" s="215">
        <v>1.1639999999999999</v>
      </c>
      <c r="M12" s="169">
        <f t="shared" si="5"/>
        <v>1.4661743999999999</v>
      </c>
      <c r="N12" s="170">
        <f t="shared" si="1"/>
        <v>1.4661743999999999E-3</v>
      </c>
      <c r="O12" s="171">
        <f t="shared" si="2"/>
        <v>66.018179908232867</v>
      </c>
      <c r="P12" s="171">
        <f t="shared" si="11"/>
        <v>28.25023618992665</v>
      </c>
      <c r="Q12" s="171">
        <f t="shared" si="4"/>
        <v>63.351895290526542</v>
      </c>
      <c r="R12" s="172">
        <f>AVERAGE(O12,Q12)</f>
        <v>64.685037599379712</v>
      </c>
      <c r="S12" s="171">
        <f>STDEV(O12,Q12)</f>
        <v>1.8853479337535235</v>
      </c>
      <c r="T12" s="173">
        <f t="shared" si="8"/>
        <v>1.0885061370687015</v>
      </c>
    </row>
    <row r="13" spans="1:20" s="5" customFormat="1" thickBot="1" x14ac:dyDescent="0.2">
      <c r="B13" s="216"/>
      <c r="C13" s="187">
        <v>4.2000000000000003E-2</v>
      </c>
      <c r="D13" s="187">
        <v>5.1999999999999998E-2</v>
      </c>
      <c r="E13" s="188">
        <v>4.5999999999999999E-2</v>
      </c>
      <c r="F13" s="187">
        <v>2.1000000000000001E-2</v>
      </c>
      <c r="G13" s="187">
        <v>3.3000000000000002E-2</v>
      </c>
      <c r="H13" s="187">
        <v>2.9000000000000001E-2</v>
      </c>
      <c r="I13" s="187">
        <f t="shared" si="10"/>
        <v>4.7479740680713128E-3</v>
      </c>
      <c r="J13" s="187">
        <f t="shared" si="10"/>
        <v>5.1920583468395452E-3</v>
      </c>
      <c r="K13" s="187">
        <f t="shared" si="0"/>
        <v>4.6118314424635331E-3</v>
      </c>
      <c r="L13" s="189">
        <v>0.29099999999999998</v>
      </c>
      <c r="M13" s="187">
        <f t="shared" si="5"/>
        <v>0.36654359999999997</v>
      </c>
      <c r="N13" s="190">
        <f t="shared" si="1"/>
        <v>3.6654359999999998E-4</v>
      </c>
      <c r="O13" s="191">
        <f t="shared" si="2"/>
        <v>25.906735613833188</v>
      </c>
      <c r="P13" s="191">
        <f>(J13*2)/N13</f>
        <v>28.329826775529817</v>
      </c>
      <c r="Q13" s="191">
        <f t="shared" si="4"/>
        <v>25.16389014820356</v>
      </c>
      <c r="R13" s="192">
        <f t="shared" si="6"/>
        <v>26.466817512522187</v>
      </c>
      <c r="S13" s="191">
        <f t="shared" si="7"/>
        <v>1.6556139290277776</v>
      </c>
      <c r="T13" s="193">
        <f>S13/SQRT(3)</f>
        <v>0.95586914759828145</v>
      </c>
    </row>
    <row r="14" spans="1:20" x14ac:dyDescent="0.15">
      <c r="B14" s="59"/>
      <c r="C14" s="55"/>
      <c r="D14" s="55"/>
      <c r="E14" s="47"/>
      <c r="F14" s="55"/>
      <c r="G14" s="55"/>
      <c r="H14" s="55"/>
      <c r="I14" s="55"/>
      <c r="J14" s="55"/>
      <c r="K14" s="55"/>
      <c r="L14" s="58"/>
      <c r="M14" s="55"/>
      <c r="N14" s="56"/>
      <c r="O14" s="56"/>
      <c r="P14" s="56"/>
      <c r="Q14" s="56"/>
      <c r="R14" s="60"/>
      <c r="S14" s="57"/>
      <c r="T14" s="57"/>
    </row>
    <row r="15" spans="1:20" x14ac:dyDescent="0.15">
      <c r="C15" s="70"/>
      <c r="D15" s="61"/>
      <c r="E15" s="47"/>
      <c r="F15" s="55"/>
      <c r="G15" s="55"/>
      <c r="H15" s="55"/>
      <c r="I15" s="55"/>
      <c r="J15" s="55"/>
      <c r="K15" s="55"/>
      <c r="L15" s="58"/>
      <c r="M15" s="55"/>
      <c r="N15" s="56"/>
      <c r="O15" s="56"/>
      <c r="P15" s="56"/>
      <c r="Q15" s="56"/>
      <c r="R15" s="60"/>
      <c r="S15" s="57"/>
      <c r="T15" s="57"/>
    </row>
    <row r="16" spans="1:20" x14ac:dyDescent="0.15">
      <c r="C16" s="62"/>
      <c r="D16" s="61"/>
      <c r="E16" s="47"/>
      <c r="F16" s="55"/>
      <c r="G16" s="55"/>
      <c r="H16" s="55"/>
      <c r="I16" s="55"/>
      <c r="J16" s="55"/>
      <c r="K16" s="55"/>
    </row>
    <row r="17" spans="3:11" x14ac:dyDescent="0.15">
      <c r="C17" s="62"/>
      <c r="D17" s="61"/>
      <c r="E17" s="47"/>
      <c r="F17" s="55"/>
      <c r="G17" s="55"/>
      <c r="H17" s="55"/>
      <c r="I17" s="55"/>
      <c r="J17" s="55"/>
      <c r="K17" s="55"/>
    </row>
    <row r="18" spans="3:11" x14ac:dyDescent="0.15">
      <c r="C18" s="64">
        <v>0.2</v>
      </c>
      <c r="D18" s="61"/>
      <c r="E18" s="47"/>
      <c r="F18" s="55"/>
      <c r="G18" s="55"/>
      <c r="H18" s="55"/>
      <c r="I18" s="55"/>
      <c r="J18" s="55"/>
      <c r="K18" s="55"/>
    </row>
    <row r="19" spans="3:11" x14ac:dyDescent="0.15">
      <c r="C19" s="64">
        <v>0.3</v>
      </c>
      <c r="D19" s="61"/>
      <c r="E19" s="46"/>
      <c r="F19" s="55"/>
      <c r="G19" s="55"/>
      <c r="H19" s="55"/>
      <c r="I19" s="55"/>
      <c r="J19" s="55"/>
      <c r="K19" s="55"/>
    </row>
    <row r="20" spans="3:11" x14ac:dyDescent="0.15">
      <c r="C20" s="64">
        <v>0.4</v>
      </c>
      <c r="D20" s="61"/>
      <c r="E20" s="55"/>
      <c r="F20" s="55"/>
      <c r="G20" s="55"/>
      <c r="H20" s="55"/>
      <c r="I20" s="55"/>
      <c r="J20" s="55"/>
      <c r="K20" s="55"/>
    </row>
    <row r="21" spans="3:11" x14ac:dyDescent="0.15">
      <c r="C21" s="65" t="s">
        <v>16</v>
      </c>
      <c r="D21" s="61"/>
      <c r="E21" s="55"/>
      <c r="F21" s="55"/>
      <c r="G21" s="55"/>
      <c r="H21" s="55"/>
      <c r="I21" s="55"/>
      <c r="J21" s="55"/>
      <c r="K21" s="55"/>
    </row>
    <row r="22" spans="3:11" x14ac:dyDescent="0.15">
      <c r="C22" s="65" t="s">
        <v>17</v>
      </c>
      <c r="D22" s="61"/>
      <c r="E22" s="55"/>
      <c r="F22" s="55"/>
      <c r="G22" s="55"/>
      <c r="H22" s="55"/>
      <c r="I22" s="55"/>
      <c r="J22" s="55"/>
      <c r="K22" s="55"/>
    </row>
    <row r="23" spans="3:11" x14ac:dyDescent="0.15">
      <c r="C23" s="71" t="s">
        <v>18</v>
      </c>
      <c r="D23" s="61"/>
      <c r="E23" s="55"/>
      <c r="F23" s="55"/>
      <c r="G23" s="55"/>
      <c r="H23" s="55"/>
      <c r="I23" s="55"/>
      <c r="J23" s="55"/>
      <c r="K23" s="55"/>
    </row>
    <row r="24" spans="3:11" x14ac:dyDescent="0.15">
      <c r="C24" s="66"/>
      <c r="D24" s="61"/>
      <c r="E24" s="55"/>
      <c r="F24" s="55"/>
      <c r="G24" s="55"/>
      <c r="H24" s="55"/>
      <c r="I24" s="55"/>
      <c r="J24" s="55"/>
      <c r="K24" s="55"/>
    </row>
    <row r="25" spans="3:11" x14ac:dyDescent="0.15">
      <c r="C25" s="66"/>
      <c r="D25" s="59"/>
      <c r="E25" s="55"/>
      <c r="F25" s="55"/>
      <c r="G25" s="55"/>
      <c r="H25" s="55"/>
      <c r="I25" s="55"/>
      <c r="J25" s="55"/>
      <c r="K25" s="55"/>
    </row>
    <row r="26" spans="3:11" x14ac:dyDescent="0.15">
      <c r="C26" s="67"/>
      <c r="D26" s="59"/>
      <c r="E26" s="55"/>
      <c r="F26" s="55"/>
      <c r="G26" s="55"/>
      <c r="H26" s="55"/>
      <c r="I26" s="55"/>
      <c r="J26" s="55"/>
      <c r="K26" s="55"/>
    </row>
    <row r="27" spans="3:11" x14ac:dyDescent="0.15">
      <c r="C27" s="68"/>
      <c r="D27" s="59"/>
      <c r="E27" s="55"/>
      <c r="F27" s="55"/>
      <c r="G27" s="55"/>
      <c r="H27" s="55"/>
      <c r="I27" s="55"/>
      <c r="J27" s="55"/>
      <c r="K27" s="55"/>
    </row>
    <row r="28" spans="3:11" x14ac:dyDescent="0.15">
      <c r="C28" s="68"/>
      <c r="D28" s="59"/>
      <c r="E28" s="55"/>
      <c r="F28" s="55"/>
      <c r="G28" s="55"/>
      <c r="H28" s="55"/>
      <c r="I28" s="55"/>
      <c r="J28" s="55"/>
      <c r="K28" s="55"/>
    </row>
    <row r="29" spans="3:11" x14ac:dyDescent="0.15">
      <c r="C29" s="68"/>
      <c r="D29" s="59"/>
      <c r="E29" s="55"/>
      <c r="F29" s="55"/>
      <c r="G29" s="55"/>
      <c r="H29" s="55"/>
      <c r="I29" s="55"/>
      <c r="J29" s="55"/>
      <c r="K29" s="55"/>
    </row>
    <row r="30" spans="3:11" x14ac:dyDescent="0.15">
      <c r="C30" s="67"/>
      <c r="D30" s="59"/>
      <c r="E30" s="55"/>
      <c r="F30" s="55"/>
      <c r="G30" s="55"/>
      <c r="H30" s="55"/>
      <c r="I30" s="55"/>
      <c r="J30" s="55"/>
      <c r="K30" s="55"/>
    </row>
    <row r="31" spans="3:11" x14ac:dyDescent="0.15">
      <c r="C31" s="67"/>
      <c r="D31" s="59"/>
      <c r="E31" s="55"/>
      <c r="F31" s="55"/>
      <c r="G31" s="55"/>
      <c r="H31" s="55"/>
      <c r="I31" s="55"/>
      <c r="J31" s="55"/>
      <c r="K31" s="55"/>
    </row>
    <row r="32" spans="3:11" x14ac:dyDescent="0.15">
      <c r="C32" s="67"/>
      <c r="D32" s="69"/>
      <c r="E32" s="55"/>
      <c r="F32" s="55"/>
      <c r="G32" s="55"/>
      <c r="H32" s="55"/>
      <c r="I32" s="55"/>
      <c r="J32" s="55"/>
      <c r="K32" s="55"/>
    </row>
    <row r="33" spans="3:11" x14ac:dyDescent="0.15">
      <c r="C33" s="72"/>
      <c r="D33" s="69"/>
      <c r="E33" s="55"/>
      <c r="F33" s="55"/>
      <c r="G33" s="55"/>
      <c r="H33" s="55"/>
      <c r="I33" s="55"/>
      <c r="J33" s="55"/>
      <c r="K33" s="55"/>
    </row>
    <row r="34" spans="3:11" x14ac:dyDescent="0.15">
      <c r="C34" s="73"/>
      <c r="D34" s="69"/>
      <c r="E34" s="55"/>
      <c r="F34" s="55"/>
      <c r="G34" s="55"/>
      <c r="H34" s="55"/>
      <c r="I34" s="55"/>
      <c r="J34" s="55"/>
      <c r="K34" s="55"/>
    </row>
    <row r="35" spans="3:11" x14ac:dyDescent="0.15">
      <c r="C35" s="70"/>
      <c r="D35" s="69"/>
      <c r="E35" s="55"/>
      <c r="F35" s="55"/>
      <c r="G35" s="55"/>
      <c r="H35" s="55"/>
      <c r="I35" s="55"/>
      <c r="J35" s="55"/>
      <c r="K35" s="55"/>
    </row>
  </sheetData>
  <mergeCells count="14">
    <mergeCell ref="B12:B13"/>
    <mergeCell ref="B4:B5"/>
    <mergeCell ref="B6:B7"/>
    <mergeCell ref="B8:B9"/>
    <mergeCell ref="B10:B11"/>
    <mergeCell ref="C3:E3"/>
    <mergeCell ref="F3:H3"/>
    <mergeCell ref="I3:K3"/>
    <mergeCell ref="A1:T1"/>
    <mergeCell ref="C2:E2"/>
    <mergeCell ref="F2:H2"/>
    <mergeCell ref="I2:K2"/>
    <mergeCell ref="O2:Q2"/>
    <mergeCell ref="O3:Q3"/>
  </mergeCells>
  <phoneticPr fontId="2" type="noConversion"/>
  <pageMargins left="0.7" right="0.7" top="0.75" bottom="0.75" header="0.3" footer="0.3"/>
  <ignoredErrors>
    <ignoredError sqref="R6:S6" formula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78C31-1012-46B5-A39E-06EB76EECEFC}">
  <dimension ref="A1:R25"/>
  <sheetViews>
    <sheetView zoomScaleNormal="100" workbookViewId="0">
      <selection sqref="A1:R1"/>
    </sheetView>
  </sheetViews>
  <sheetFormatPr baseColWidth="10" defaultColWidth="8.83203125" defaultRowHeight="14" x14ac:dyDescent="0.15"/>
  <cols>
    <col min="1" max="1" width="72" style="3" customWidth="1"/>
    <col min="2" max="12" width="8.83203125" style="3"/>
    <col min="13" max="13" width="12.33203125" style="3" customWidth="1"/>
    <col min="14" max="14" width="8.83203125" style="3"/>
    <col min="15" max="15" width="12.6640625" style="3" customWidth="1"/>
    <col min="16" max="16" width="10" style="3" customWidth="1"/>
    <col min="17" max="20" width="8.83203125" style="3"/>
    <col min="21" max="21" width="13.5" style="3" bestFit="1" customWidth="1"/>
    <col min="22" max="16384" width="8.83203125" style="3"/>
  </cols>
  <sheetData>
    <row r="1" spans="1:18" ht="17" thickBot="1" x14ac:dyDescent="0.2">
      <c r="A1" s="95" t="s">
        <v>78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</row>
    <row r="2" spans="1:18" ht="15" thickBot="1" x14ac:dyDescent="0.2">
      <c r="A2" s="43"/>
      <c r="B2" s="107" t="s">
        <v>29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8"/>
    </row>
    <row r="3" spans="1:18" ht="45" x14ac:dyDescent="0.15">
      <c r="B3" s="99" t="s">
        <v>59</v>
      </c>
      <c r="C3" s="100"/>
      <c r="D3" s="109"/>
      <c r="E3" s="101" t="s">
        <v>60</v>
      </c>
      <c r="F3" s="100"/>
      <c r="G3" s="109"/>
      <c r="H3" s="110" t="s">
        <v>61</v>
      </c>
      <c r="I3" s="111"/>
      <c r="J3" s="112"/>
      <c r="K3" s="23" t="s">
        <v>62</v>
      </c>
      <c r="L3" s="25" t="s">
        <v>58</v>
      </c>
      <c r="M3" s="25" t="s">
        <v>9</v>
      </c>
      <c r="N3" s="25" t="s">
        <v>10</v>
      </c>
      <c r="O3" s="25" t="s">
        <v>71</v>
      </c>
      <c r="P3" s="25" t="s">
        <v>66</v>
      </c>
      <c r="Q3" s="25" t="s">
        <v>67</v>
      </c>
      <c r="R3" s="42" t="s">
        <v>68</v>
      </c>
    </row>
    <row r="4" spans="1:18" ht="30" x14ac:dyDescent="0.15">
      <c r="B4" s="91" t="s">
        <v>11</v>
      </c>
      <c r="C4" s="92"/>
      <c r="D4" s="94"/>
      <c r="E4" s="93" t="s">
        <v>11</v>
      </c>
      <c r="F4" s="92"/>
      <c r="G4" s="94"/>
      <c r="H4" s="93" t="s">
        <v>12</v>
      </c>
      <c r="I4" s="92"/>
      <c r="J4" s="94"/>
      <c r="K4" s="27" t="s">
        <v>12</v>
      </c>
      <c r="L4" s="28" t="s">
        <v>11</v>
      </c>
      <c r="M4" s="28" t="s">
        <v>13</v>
      </c>
      <c r="N4" s="28" t="s">
        <v>14</v>
      </c>
      <c r="O4" s="29" t="s">
        <v>73</v>
      </c>
      <c r="P4" s="29" t="s">
        <v>73</v>
      </c>
      <c r="Q4" s="28"/>
      <c r="R4" s="30"/>
    </row>
    <row r="5" spans="1:18" s="5" customFormat="1" ht="13" x14ac:dyDescent="0.15">
      <c r="B5" s="133">
        <v>2.7067000000000001</v>
      </c>
      <c r="C5" s="134">
        <v>2.7791999999999999</v>
      </c>
      <c r="D5" s="134">
        <v>2.9466999999999999</v>
      </c>
      <c r="E5" s="134">
        <v>1.4513</v>
      </c>
      <c r="F5" s="134">
        <v>1.4752000000000001</v>
      </c>
      <c r="G5" s="134">
        <v>1.5432999999999999</v>
      </c>
      <c r="H5" s="135">
        <f>(B5-(E5*0.605))/6.17</f>
        <v>0.29637982171799032</v>
      </c>
      <c r="I5" s="135">
        <f t="shared" ref="I5:J5" si="0">(C5-(F5*0.605))/6.17</f>
        <v>0.30578670988654783</v>
      </c>
      <c r="J5" s="135">
        <f t="shared" si="0"/>
        <v>0.32625664505672608</v>
      </c>
      <c r="K5" s="135">
        <f>AVERAGE(H5:J5)</f>
        <v>0.30947439222042145</v>
      </c>
      <c r="L5" s="135">
        <v>2.718</v>
      </c>
      <c r="M5" s="135">
        <f t="shared" ref="M5:M10" si="1">1.2334*L5</f>
        <v>3.3523812</v>
      </c>
      <c r="N5" s="136">
        <f t="shared" ref="N5:N6" si="2">M5*2/1000</f>
        <v>6.7047623999999997E-3</v>
      </c>
      <c r="O5" s="137">
        <f t="shared" ref="O5:O10" si="3">K5*2/N5</f>
        <v>92.314797678862249</v>
      </c>
      <c r="P5" s="138"/>
      <c r="R5" s="127"/>
    </row>
    <row r="6" spans="1:18" s="5" customFormat="1" ht="13" x14ac:dyDescent="0.15">
      <c r="B6" s="133">
        <v>3.2364999999999999</v>
      </c>
      <c r="C6" s="134">
        <v>3.6457000000000002</v>
      </c>
      <c r="D6" s="134">
        <v>3.4628999999999999</v>
      </c>
      <c r="E6" s="134">
        <v>1.6681999999999999</v>
      </c>
      <c r="F6" s="134">
        <v>1.8266</v>
      </c>
      <c r="G6" s="134">
        <v>1.7799</v>
      </c>
      <c r="H6" s="135">
        <f t="shared" ref="H6:H9" si="4">(B6-(E6*0.605))/6.17</f>
        <v>0.36097876823338737</v>
      </c>
      <c r="I6" s="135">
        <f t="shared" ref="I6:I10" si="5">(C6-(F6*0.605))/6.17</f>
        <v>0.41176774716369541</v>
      </c>
      <c r="J6" s="135">
        <f t="shared" ref="J6:J10" si="6">(D6-(G6*0.605))/6.17</f>
        <v>0.38671969205834689</v>
      </c>
      <c r="K6" s="135">
        <f t="shared" ref="K6:K10" si="7">AVERAGE(H6:J6)</f>
        <v>0.38648873581847654</v>
      </c>
      <c r="L6" s="135">
        <v>2.718</v>
      </c>
      <c r="M6" s="135">
        <f t="shared" si="1"/>
        <v>3.3523812</v>
      </c>
      <c r="N6" s="136">
        <f t="shared" si="2"/>
        <v>6.7047623999999997E-3</v>
      </c>
      <c r="O6" s="137">
        <f t="shared" si="3"/>
        <v>115.28782461209261</v>
      </c>
      <c r="P6" s="138"/>
      <c r="R6" s="127"/>
    </row>
    <row r="7" spans="1:18" s="5" customFormat="1" ht="13" x14ac:dyDescent="0.15">
      <c r="B7" s="133">
        <v>2.4506000000000001</v>
      </c>
      <c r="C7" s="134">
        <v>2.5207999999999999</v>
      </c>
      <c r="D7" s="134">
        <v>2.5047999999999999</v>
      </c>
      <c r="E7" s="134">
        <v>1.3179000000000001</v>
      </c>
      <c r="F7" s="134">
        <v>1.3765000000000001</v>
      </c>
      <c r="G7" s="134">
        <v>1.3305</v>
      </c>
      <c r="H7" s="135">
        <f t="shared" si="4"/>
        <v>0.26795307941653163</v>
      </c>
      <c r="I7" s="135">
        <f t="shared" si="5"/>
        <v>0.2735846839546191</v>
      </c>
      <c r="J7" s="135">
        <f t="shared" si="6"/>
        <v>0.27550202593192868</v>
      </c>
      <c r="K7" s="135">
        <f t="shared" si="7"/>
        <v>0.27234659643435982</v>
      </c>
      <c r="L7" s="135">
        <f t="shared" ref="L7" si="8">6*0.453</f>
        <v>2.718</v>
      </c>
      <c r="M7" s="135">
        <f t="shared" si="1"/>
        <v>3.3523812</v>
      </c>
      <c r="N7" s="136">
        <f>M7*2/1000</f>
        <v>6.7047623999999997E-3</v>
      </c>
      <c r="O7" s="137">
        <f t="shared" si="3"/>
        <v>81.239745776631793</v>
      </c>
      <c r="P7" s="138">
        <f>AVERAGE(O5:O7)</f>
        <v>96.280789355862225</v>
      </c>
      <c r="Q7" s="137">
        <f>STDEV(O5:O7)</f>
        <v>17.367058921503137</v>
      </c>
      <c r="R7" s="139">
        <f>Q7/SQRT(3)</f>
        <v>10.026876143361928</v>
      </c>
    </row>
    <row r="8" spans="1:18" s="5" customFormat="1" ht="13" x14ac:dyDescent="0.15">
      <c r="B8" s="133">
        <v>0.1709</v>
      </c>
      <c r="C8" s="134">
        <v>0.1658</v>
      </c>
      <c r="D8" s="134">
        <v>0.16839999999999999</v>
      </c>
      <c r="E8" s="134">
        <v>0.1139</v>
      </c>
      <c r="F8" s="134">
        <v>0.1065</v>
      </c>
      <c r="G8" s="134">
        <v>0.11020000000000001</v>
      </c>
      <c r="H8" s="135">
        <f t="shared" si="4"/>
        <v>1.6530064829821719E-2</v>
      </c>
      <c r="I8" s="135">
        <f t="shared" si="5"/>
        <v>1.6429092382495951E-2</v>
      </c>
      <c r="J8" s="135">
        <f t="shared" si="6"/>
        <v>1.6487682333873578E-2</v>
      </c>
      <c r="K8" s="135">
        <f t="shared" si="7"/>
        <v>1.6482279848730415E-2</v>
      </c>
      <c r="L8" s="135">
        <v>0.34</v>
      </c>
      <c r="M8" s="135">
        <f t="shared" si="1"/>
        <v>0.41935600000000006</v>
      </c>
      <c r="N8" s="136">
        <f t="shared" ref="N8:N9" si="9">M8*2/1000</f>
        <v>8.3871200000000014E-4</v>
      </c>
      <c r="O8" s="137">
        <f t="shared" si="3"/>
        <v>39.303789259556112</v>
      </c>
      <c r="P8" s="138"/>
      <c r="Q8" s="137"/>
      <c r="R8" s="139"/>
    </row>
    <row r="9" spans="1:18" s="5" customFormat="1" ht="13" x14ac:dyDescent="0.15">
      <c r="B9" s="133">
        <v>0.19670000000000001</v>
      </c>
      <c r="C9" s="134">
        <v>0.18279999999999999</v>
      </c>
      <c r="D9" s="134">
        <v>0.18740000000000001</v>
      </c>
      <c r="E9" s="134">
        <v>0.1305</v>
      </c>
      <c r="F9" s="134">
        <v>0.1164</v>
      </c>
      <c r="G9" s="134">
        <v>0.1198</v>
      </c>
      <c r="H9" s="135">
        <f t="shared" si="4"/>
        <v>1.9083873581847655E-2</v>
      </c>
      <c r="I9" s="135">
        <f t="shared" si="5"/>
        <v>1.8213614262560778E-2</v>
      </c>
      <c r="J9" s="135">
        <f t="shared" si="6"/>
        <v>1.8625769854132904E-2</v>
      </c>
      <c r="K9" s="135">
        <f t="shared" si="7"/>
        <v>1.8641085899513781E-2</v>
      </c>
      <c r="L9" s="135">
        <v>0.34</v>
      </c>
      <c r="M9" s="135">
        <f t="shared" si="1"/>
        <v>0.41935600000000006</v>
      </c>
      <c r="N9" s="136">
        <f t="shared" si="9"/>
        <v>8.3871200000000014E-4</v>
      </c>
      <c r="O9" s="137">
        <f t="shared" si="3"/>
        <v>44.451697124910048</v>
      </c>
      <c r="P9" s="138"/>
      <c r="Q9" s="137"/>
      <c r="R9" s="139"/>
    </row>
    <row r="10" spans="1:18" s="5" customFormat="1" thickBot="1" x14ac:dyDescent="0.2">
      <c r="B10" s="145">
        <v>0.23669999999999999</v>
      </c>
      <c r="C10" s="146">
        <v>0.23980000000000001</v>
      </c>
      <c r="D10" s="146">
        <v>0.23</v>
      </c>
      <c r="E10" s="146">
        <v>0.14449999999999999</v>
      </c>
      <c r="F10" s="146">
        <v>0.14760000000000001</v>
      </c>
      <c r="G10" s="146">
        <v>0.1391</v>
      </c>
      <c r="H10" s="147">
        <f>(B10-(E10*0.605))/6.17</f>
        <v>2.4194084278768235E-2</v>
      </c>
      <c r="I10" s="147">
        <f t="shared" si="5"/>
        <v>2.4392544570502436E-2</v>
      </c>
      <c r="J10" s="147">
        <f t="shared" si="6"/>
        <v>2.3637682333873585E-2</v>
      </c>
      <c r="K10" s="135">
        <f t="shared" si="7"/>
        <v>2.4074770394381422E-2</v>
      </c>
      <c r="L10" s="135">
        <f>L7/8</f>
        <v>0.33975</v>
      </c>
      <c r="M10" s="135">
        <f t="shared" si="1"/>
        <v>0.41904764999999999</v>
      </c>
      <c r="N10" s="136">
        <f>M10*2/1000</f>
        <v>8.3809529999999996E-4</v>
      </c>
      <c r="O10" s="137">
        <f t="shared" si="3"/>
        <v>57.45115237940464</v>
      </c>
      <c r="P10" s="138">
        <f>AVERAGE(O8:O10)</f>
        <v>47.068879587956935</v>
      </c>
      <c r="Q10" s="137">
        <f>STDEV(O8:O10)</f>
        <v>9.3524825626444716</v>
      </c>
      <c r="R10" s="139">
        <f t="shared" ref="R10" si="10">Q10/SQRT(3)</f>
        <v>5.3996583251340668</v>
      </c>
    </row>
    <row r="11" spans="1:18" ht="15" thickBot="1" x14ac:dyDescent="0.2">
      <c r="B11" s="106" t="s">
        <v>30</v>
      </c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8"/>
    </row>
    <row r="12" spans="1:18" ht="45" x14ac:dyDescent="0.15">
      <c r="B12" s="99" t="s">
        <v>59</v>
      </c>
      <c r="C12" s="100"/>
      <c r="D12" s="109"/>
      <c r="E12" s="101" t="s">
        <v>60</v>
      </c>
      <c r="F12" s="100"/>
      <c r="G12" s="109"/>
      <c r="H12" s="110" t="s">
        <v>61</v>
      </c>
      <c r="I12" s="111"/>
      <c r="J12" s="112"/>
      <c r="K12" s="23" t="s">
        <v>62</v>
      </c>
      <c r="L12" s="25" t="s">
        <v>58</v>
      </c>
      <c r="M12" s="25" t="s">
        <v>9</v>
      </c>
      <c r="N12" s="25" t="s">
        <v>10</v>
      </c>
      <c r="O12" s="25" t="s">
        <v>71</v>
      </c>
      <c r="P12" s="25" t="s">
        <v>66</v>
      </c>
      <c r="Q12" s="25" t="s">
        <v>67</v>
      </c>
      <c r="R12" s="42" t="s">
        <v>68</v>
      </c>
    </row>
    <row r="13" spans="1:18" ht="30" x14ac:dyDescent="0.15">
      <c r="B13" s="91" t="s">
        <v>11</v>
      </c>
      <c r="C13" s="92"/>
      <c r="D13" s="94"/>
      <c r="E13" s="93" t="s">
        <v>11</v>
      </c>
      <c r="F13" s="92"/>
      <c r="G13" s="94"/>
      <c r="H13" s="93" t="s">
        <v>12</v>
      </c>
      <c r="I13" s="92"/>
      <c r="J13" s="94"/>
      <c r="K13" s="27" t="s">
        <v>12</v>
      </c>
      <c r="L13" s="28" t="s">
        <v>11</v>
      </c>
      <c r="M13" s="28" t="s">
        <v>13</v>
      </c>
      <c r="N13" s="28" t="s">
        <v>14</v>
      </c>
      <c r="O13" s="29" t="s">
        <v>73</v>
      </c>
      <c r="P13" s="29" t="s">
        <v>73</v>
      </c>
      <c r="Q13" s="28"/>
      <c r="R13" s="30"/>
    </row>
    <row r="14" spans="1:18" s="5" customFormat="1" ht="13" x14ac:dyDescent="0.15">
      <c r="B14" s="133">
        <v>1.381</v>
      </c>
      <c r="C14" s="134">
        <v>1.3649</v>
      </c>
      <c r="D14" s="134">
        <v>1.4129</v>
      </c>
      <c r="E14" s="134">
        <v>0.87690000000000001</v>
      </c>
      <c r="F14" s="134">
        <v>0.86329999999999996</v>
      </c>
      <c r="G14" s="134">
        <v>0.90269999999999995</v>
      </c>
      <c r="H14" s="135">
        <f>(B14-(E14*0.605))/6.17</f>
        <v>0.13784043760129661</v>
      </c>
      <c r="I14" s="135">
        <f t="shared" ref="I14:J14" si="11">(C14-(F14*0.605))/6.17</f>
        <v>0.13656458670988655</v>
      </c>
      <c r="J14" s="135">
        <f t="shared" si="11"/>
        <v>0.14048079416531606</v>
      </c>
      <c r="K14" s="135">
        <f>AVERAGE(H14:J14)</f>
        <v>0.13829527282549975</v>
      </c>
      <c r="L14" s="135">
        <v>2.718</v>
      </c>
      <c r="M14" s="135">
        <f t="shared" ref="M14:M19" si="12">1.2334*L14</f>
        <v>3.3523812</v>
      </c>
      <c r="N14" s="136">
        <f t="shared" ref="N14:N15" si="13">M14*2/1000</f>
        <v>6.7047623999999997E-3</v>
      </c>
      <c r="O14" s="137">
        <f t="shared" ref="O14:O19" si="14">K14*2/N14</f>
        <v>41.252848221884719</v>
      </c>
      <c r="P14" s="138"/>
      <c r="Q14" s="137"/>
      <c r="R14" s="139"/>
    </row>
    <row r="15" spans="1:18" s="5" customFormat="1" ht="13" x14ac:dyDescent="0.15">
      <c r="B15" s="133">
        <v>1.7885</v>
      </c>
      <c r="C15" s="134">
        <v>1.8851</v>
      </c>
      <c r="D15" s="134">
        <v>1.7964</v>
      </c>
      <c r="E15" s="134">
        <v>1.0124</v>
      </c>
      <c r="F15" s="134">
        <v>1.0616000000000001</v>
      </c>
      <c r="G15" s="134">
        <v>1.0137</v>
      </c>
      <c r="H15" s="135">
        <f t="shared" ref="H15:H18" si="15">(B15-(E15*0.605))/6.17</f>
        <v>0.1905993517017828</v>
      </c>
      <c r="I15" s="135">
        <f t="shared" ref="I15:I19" si="16">(C15-(F15*0.605))/6.17</f>
        <v>0.20143144246353323</v>
      </c>
      <c r="J15" s="135">
        <f t="shared" ref="J15:J19" si="17">(D15-(G15*0.605))/6.17</f>
        <v>0.19175226904376011</v>
      </c>
      <c r="K15" s="135">
        <f t="shared" ref="K15:K18" si="18">AVERAGE(H15:J15)</f>
        <v>0.19459435440302539</v>
      </c>
      <c r="L15" s="135">
        <v>2.718</v>
      </c>
      <c r="M15" s="135">
        <f t="shared" si="12"/>
        <v>3.3523812</v>
      </c>
      <c r="N15" s="136">
        <f t="shared" si="13"/>
        <v>6.7047623999999997E-3</v>
      </c>
      <c r="O15" s="137">
        <f t="shared" si="14"/>
        <v>58.046607111096257</v>
      </c>
      <c r="P15" s="138"/>
      <c r="Q15" s="137"/>
      <c r="R15" s="139"/>
    </row>
    <row r="16" spans="1:18" s="5" customFormat="1" ht="13" x14ac:dyDescent="0.15">
      <c r="B16" s="133">
        <v>2.0053000000000001</v>
      </c>
      <c r="C16" s="134">
        <v>2.2042000000000002</v>
      </c>
      <c r="D16" s="134">
        <v>2.0634999999999999</v>
      </c>
      <c r="E16" s="134">
        <v>1.1635</v>
      </c>
      <c r="F16" s="134">
        <v>1.2918000000000001</v>
      </c>
      <c r="G16" s="134">
        <v>1.2020999999999999</v>
      </c>
      <c r="H16" s="135">
        <f t="shared" si="15"/>
        <v>0.21092098865478123</v>
      </c>
      <c r="I16" s="135">
        <f t="shared" si="16"/>
        <v>0.23057714748784444</v>
      </c>
      <c r="J16" s="135">
        <f t="shared" si="17"/>
        <v>0.21656880064829823</v>
      </c>
      <c r="K16" s="135">
        <f t="shared" si="18"/>
        <v>0.21935564559697462</v>
      </c>
      <c r="L16" s="135">
        <f t="shared" ref="L16" si="19">6*0.453</f>
        <v>2.718</v>
      </c>
      <c r="M16" s="135">
        <f t="shared" si="12"/>
        <v>3.3523812</v>
      </c>
      <c r="N16" s="136">
        <f>M16*2/1000</f>
        <v>6.7047623999999997E-3</v>
      </c>
      <c r="O16" s="137">
        <f t="shared" si="14"/>
        <v>65.432787177357582</v>
      </c>
      <c r="P16" s="138">
        <f>AVERAGE(O14:O16)</f>
        <v>54.910747503446181</v>
      </c>
      <c r="Q16" s="137">
        <f>STDEV(O14:O16)</f>
        <v>12.391229704180578</v>
      </c>
      <c r="R16" s="139">
        <f>Q16/SQRT(3)</f>
        <v>7.1540798052991441</v>
      </c>
    </row>
    <row r="17" spans="1:18" s="5" customFormat="1" ht="13" x14ac:dyDescent="0.15">
      <c r="B17" s="133">
        <v>0.27900000000000003</v>
      </c>
      <c r="C17" s="134">
        <v>0.28349999999999997</v>
      </c>
      <c r="D17" s="134">
        <v>0.28860000000000002</v>
      </c>
      <c r="E17" s="134">
        <v>0.16339999999999999</v>
      </c>
      <c r="F17" s="134">
        <v>0.1661</v>
      </c>
      <c r="G17" s="134">
        <v>0.1721</v>
      </c>
      <c r="H17" s="135">
        <f t="shared" si="15"/>
        <v>2.9196596434359814E-2</v>
      </c>
      <c r="I17" s="135">
        <f t="shared" si="16"/>
        <v>2.9661183144246352E-2</v>
      </c>
      <c r="J17" s="135">
        <f t="shared" si="17"/>
        <v>2.989943273905997E-2</v>
      </c>
      <c r="K17" s="135">
        <f t="shared" si="18"/>
        <v>2.9585737439222045E-2</v>
      </c>
      <c r="L17" s="135">
        <v>0.34</v>
      </c>
      <c r="M17" s="135">
        <f t="shared" si="12"/>
        <v>0.41935600000000006</v>
      </c>
      <c r="N17" s="136">
        <f t="shared" ref="N17:N18" si="20">M17*2/1000</f>
        <v>8.3871200000000014E-4</v>
      </c>
      <c r="O17" s="137">
        <f t="shared" si="14"/>
        <v>70.550409292396054</v>
      </c>
      <c r="P17" s="138"/>
      <c r="Q17" s="137"/>
      <c r="R17" s="139"/>
    </row>
    <row r="18" spans="1:18" s="5" customFormat="1" ht="13" x14ac:dyDescent="0.15">
      <c r="B18" s="133">
        <v>0.37180000000000002</v>
      </c>
      <c r="C18" s="134">
        <v>0.35639999999999999</v>
      </c>
      <c r="D18" s="134">
        <v>0.3508</v>
      </c>
      <c r="E18" s="134">
        <v>0.24149999999999999</v>
      </c>
      <c r="F18" s="134">
        <v>0.2213</v>
      </c>
      <c r="G18" s="134">
        <v>0.21709999999999999</v>
      </c>
      <c r="H18" s="135">
        <f t="shared" si="15"/>
        <v>3.6579011345218806E-2</v>
      </c>
      <c r="I18" s="135">
        <f t="shared" si="16"/>
        <v>3.6063776337115071E-2</v>
      </c>
      <c r="J18" s="135">
        <f t="shared" si="17"/>
        <v>3.5567990275526748E-2</v>
      </c>
      <c r="K18" s="135">
        <f t="shared" si="18"/>
        <v>3.6070259319286875E-2</v>
      </c>
      <c r="L18" s="135">
        <v>0.34</v>
      </c>
      <c r="M18" s="135">
        <f t="shared" si="12"/>
        <v>0.41935600000000006</v>
      </c>
      <c r="N18" s="136">
        <f t="shared" si="20"/>
        <v>8.3871200000000014E-4</v>
      </c>
      <c r="O18" s="137">
        <f t="shared" si="14"/>
        <v>86.01345710872593</v>
      </c>
      <c r="P18" s="138"/>
      <c r="Q18" s="137"/>
      <c r="R18" s="139"/>
    </row>
    <row r="19" spans="1:18" s="5" customFormat="1" thickBot="1" x14ac:dyDescent="0.2">
      <c r="B19" s="145">
        <v>0.36109999999999998</v>
      </c>
      <c r="C19" s="146">
        <v>0.37540000000000001</v>
      </c>
      <c r="D19" s="146">
        <v>3.4971000000000001</v>
      </c>
      <c r="E19" s="146">
        <v>0.22040000000000001</v>
      </c>
      <c r="F19" s="146">
        <v>0.2344</v>
      </c>
      <c r="G19" s="146">
        <v>3.347</v>
      </c>
      <c r="H19" s="147">
        <f>(B19-(E19*0.605))/6.17</f>
        <v>3.6913776337115067E-2</v>
      </c>
      <c r="I19" s="147">
        <f t="shared" si="16"/>
        <v>3.7858670988654787E-2</v>
      </c>
      <c r="J19" s="147">
        <f t="shared" si="17"/>
        <v>0.23860048622366295</v>
      </c>
      <c r="K19" s="147">
        <f>AVERAGE(H19:I19)</f>
        <v>3.7386223662884924E-2</v>
      </c>
      <c r="L19" s="147">
        <f>L16/8</f>
        <v>0.33975</v>
      </c>
      <c r="M19" s="147">
        <f t="shared" si="12"/>
        <v>0.41904764999999999</v>
      </c>
      <c r="N19" s="148">
        <f>M19*2/1000</f>
        <v>8.3809529999999996E-4</v>
      </c>
      <c r="O19" s="149">
        <f t="shared" si="14"/>
        <v>89.217118060165532</v>
      </c>
      <c r="P19" s="150">
        <f>AVERAGE(O17:O19)</f>
        <v>81.926994820429172</v>
      </c>
      <c r="Q19" s="149">
        <f>STDEV(O17:O19)</f>
        <v>9.9817776262765019</v>
      </c>
      <c r="R19" s="151">
        <f t="shared" ref="R19" si="21">Q19/SQRT(3)</f>
        <v>5.7629819995217222</v>
      </c>
    </row>
    <row r="20" spans="1:18" x14ac:dyDescent="0.15">
      <c r="A20" s="44"/>
      <c r="B20" s="75"/>
      <c r="C20" s="35"/>
      <c r="D20" s="35"/>
      <c r="E20" s="41"/>
    </row>
    <row r="21" spans="1:18" x14ac:dyDescent="0.15">
      <c r="B21" s="75"/>
      <c r="C21" s="35"/>
      <c r="D21" s="35"/>
      <c r="E21" s="41"/>
    </row>
    <row r="22" spans="1:18" x14ac:dyDescent="0.15">
      <c r="A22" s="35" t="s">
        <v>29</v>
      </c>
      <c r="C22" s="35"/>
      <c r="D22" s="35"/>
    </row>
    <row r="23" spans="1:18" x14ac:dyDescent="0.15">
      <c r="A23" s="35" t="s">
        <v>30</v>
      </c>
      <c r="C23" s="35"/>
      <c r="D23" s="35"/>
    </row>
    <row r="24" spans="1:18" x14ac:dyDescent="0.15">
      <c r="B24" s="35"/>
      <c r="C24" s="35"/>
      <c r="D24" s="35"/>
    </row>
    <row r="25" spans="1:18" x14ac:dyDescent="0.15">
      <c r="B25" s="35"/>
      <c r="C25" s="35"/>
      <c r="D25" s="35"/>
    </row>
  </sheetData>
  <mergeCells count="15">
    <mergeCell ref="A1:R1"/>
    <mergeCell ref="B3:D3"/>
    <mergeCell ref="E3:G3"/>
    <mergeCell ref="H3:J3"/>
    <mergeCell ref="B13:D13"/>
    <mergeCell ref="E13:G13"/>
    <mergeCell ref="B2:R2"/>
    <mergeCell ref="B11:R11"/>
    <mergeCell ref="H13:J13"/>
    <mergeCell ref="B12:D12"/>
    <mergeCell ref="E12:G12"/>
    <mergeCell ref="H12:J12"/>
    <mergeCell ref="B4:D4"/>
    <mergeCell ref="E4:G4"/>
    <mergeCell ref="H4:J4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3D903A-6215-4DC4-8B64-445327758A22}">
  <dimension ref="A1:R23"/>
  <sheetViews>
    <sheetView zoomScaleNormal="100" workbookViewId="0">
      <selection sqref="A1:R1"/>
    </sheetView>
  </sheetViews>
  <sheetFormatPr baseColWidth="10" defaultColWidth="8.83203125" defaultRowHeight="14" x14ac:dyDescent="0.15"/>
  <cols>
    <col min="1" max="1" width="70.6640625" style="3" customWidth="1"/>
    <col min="2" max="10" width="8.83203125" style="3"/>
    <col min="11" max="11" width="9.5" style="3" customWidth="1"/>
    <col min="12" max="12" width="8.83203125" style="3"/>
    <col min="13" max="13" width="12.5" style="3" customWidth="1"/>
    <col min="14" max="14" width="8.83203125" style="3"/>
    <col min="15" max="15" width="12.5" style="3" customWidth="1"/>
    <col min="16" max="16" width="12.83203125" style="3" customWidth="1"/>
    <col min="17" max="20" width="8.83203125" style="3"/>
    <col min="21" max="21" width="13.5" style="3" bestFit="1" customWidth="1"/>
    <col min="22" max="16384" width="8.83203125" style="3"/>
  </cols>
  <sheetData>
    <row r="1" spans="1:18" ht="17" thickBot="1" x14ac:dyDescent="0.2">
      <c r="A1" s="95" t="s">
        <v>77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</row>
    <row r="2" spans="1:18" ht="15" thickBot="1" x14ac:dyDescent="0.2">
      <c r="A2" s="43"/>
      <c r="B2" s="107" t="s">
        <v>29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8"/>
    </row>
    <row r="3" spans="1:18" ht="45" x14ac:dyDescent="0.15">
      <c r="B3" s="99" t="s">
        <v>59</v>
      </c>
      <c r="C3" s="100"/>
      <c r="D3" s="109"/>
      <c r="E3" s="101" t="s">
        <v>60</v>
      </c>
      <c r="F3" s="100"/>
      <c r="G3" s="109"/>
      <c r="H3" s="110" t="s">
        <v>61</v>
      </c>
      <c r="I3" s="111"/>
      <c r="J3" s="112"/>
      <c r="K3" s="23" t="s">
        <v>62</v>
      </c>
      <c r="L3" s="25" t="s">
        <v>58</v>
      </c>
      <c r="M3" s="25" t="s">
        <v>9</v>
      </c>
      <c r="N3" s="25" t="s">
        <v>10</v>
      </c>
      <c r="O3" s="25" t="s">
        <v>64</v>
      </c>
      <c r="P3" s="25" t="s">
        <v>66</v>
      </c>
      <c r="Q3" s="25" t="s">
        <v>67</v>
      </c>
      <c r="R3" s="42" t="s">
        <v>68</v>
      </c>
    </row>
    <row r="4" spans="1:18" ht="30" x14ac:dyDescent="0.15">
      <c r="B4" s="91" t="s">
        <v>11</v>
      </c>
      <c r="C4" s="92"/>
      <c r="D4" s="94"/>
      <c r="E4" s="93" t="s">
        <v>11</v>
      </c>
      <c r="F4" s="92"/>
      <c r="G4" s="94"/>
      <c r="H4" s="93" t="s">
        <v>12</v>
      </c>
      <c r="I4" s="92"/>
      <c r="J4" s="94"/>
      <c r="K4" s="27" t="s">
        <v>12</v>
      </c>
      <c r="L4" s="28" t="s">
        <v>11</v>
      </c>
      <c r="M4" s="28" t="s">
        <v>13</v>
      </c>
      <c r="N4" s="28" t="s">
        <v>14</v>
      </c>
      <c r="O4" s="29" t="s">
        <v>73</v>
      </c>
      <c r="P4" s="29" t="s">
        <v>73</v>
      </c>
      <c r="Q4" s="28"/>
      <c r="R4" s="30"/>
    </row>
    <row r="5" spans="1:18" s="5" customFormat="1" ht="13" x14ac:dyDescent="0.15">
      <c r="B5" s="133">
        <v>1.22</v>
      </c>
      <c r="C5" s="134">
        <v>1.2253000000000001</v>
      </c>
      <c r="D5" s="134">
        <v>1.2161</v>
      </c>
      <c r="E5" s="134">
        <v>0.64600000000000002</v>
      </c>
      <c r="F5" s="134">
        <v>0.6492</v>
      </c>
      <c r="G5" s="134">
        <v>0.64610000000000001</v>
      </c>
      <c r="H5" s="135">
        <f>(B5-(E5*0.605))/6.17</f>
        <v>0.13438735818476499</v>
      </c>
      <c r="I5" s="135">
        <f t="shared" ref="I5:J5" si="0">(C5-(F5*0.605))/6.17</f>
        <v>0.13493257698541331</v>
      </c>
      <c r="J5" s="135">
        <f t="shared" si="0"/>
        <v>0.13374546191247974</v>
      </c>
      <c r="K5" s="135">
        <f>AVERAGE(H5:J5)</f>
        <v>0.134355132360886</v>
      </c>
      <c r="L5" s="135">
        <v>2.79</v>
      </c>
      <c r="M5" s="135">
        <f t="shared" ref="M5:M6" si="1">1.2596*L5</f>
        <v>3.5142840000000004</v>
      </c>
      <c r="N5" s="136">
        <f t="shared" ref="N5:N6" si="2">M5*2/1000</f>
        <v>7.0285680000000007E-3</v>
      </c>
      <c r="O5" s="136">
        <f t="shared" ref="O5:O10" si="3">K5*2/N5</f>
        <v>38.231153873985711</v>
      </c>
      <c r="P5" s="138"/>
      <c r="R5" s="127"/>
    </row>
    <row r="6" spans="1:18" s="5" customFormat="1" ht="13" x14ac:dyDescent="0.15">
      <c r="B6" s="133">
        <v>1.6153</v>
      </c>
      <c r="C6" s="134">
        <v>1.669</v>
      </c>
      <c r="D6" s="134">
        <v>1.6247</v>
      </c>
      <c r="E6" s="134">
        <v>0.85550000000000004</v>
      </c>
      <c r="F6" s="134">
        <v>0.88200000000000001</v>
      </c>
      <c r="G6" s="134">
        <v>0.86329999999999996</v>
      </c>
      <c r="H6" s="135">
        <f t="shared" ref="H6:H9" si="4">(B6-(E6*0.605))/6.17</f>
        <v>0.17791288492706644</v>
      </c>
      <c r="I6" s="135">
        <f t="shared" ref="I6:I10" si="5">(C6-(F6*0.605))/6.17</f>
        <v>0.18401782820097246</v>
      </c>
      <c r="J6" s="135">
        <f t="shared" ref="J6:J10" si="6">(D6-(G6*0.605))/6.17</f>
        <v>0.17867155591572126</v>
      </c>
      <c r="K6" s="135">
        <f t="shared" ref="K6:K10" si="7">AVERAGE(H6:J6)</f>
        <v>0.18020075634792007</v>
      </c>
      <c r="L6" s="135">
        <v>2.79</v>
      </c>
      <c r="M6" s="135">
        <f t="shared" si="1"/>
        <v>3.5142840000000004</v>
      </c>
      <c r="N6" s="136">
        <f t="shared" si="2"/>
        <v>7.0285680000000007E-3</v>
      </c>
      <c r="O6" s="136">
        <f t="shared" si="3"/>
        <v>51.276662998186843</v>
      </c>
      <c r="P6" s="138"/>
      <c r="R6" s="127"/>
    </row>
    <row r="7" spans="1:18" s="5" customFormat="1" ht="13" x14ac:dyDescent="0.15">
      <c r="B7" s="133">
        <v>0.97899999999999998</v>
      </c>
      <c r="C7" s="134">
        <v>0.99060000000000004</v>
      </c>
      <c r="D7" s="134">
        <v>0.97909999999999997</v>
      </c>
      <c r="E7" s="134">
        <v>0.5272</v>
      </c>
      <c r="F7" s="134">
        <v>0.53420000000000001</v>
      </c>
      <c r="G7" s="134">
        <v>0.52790000000000004</v>
      </c>
      <c r="H7" s="135">
        <f t="shared" si="4"/>
        <v>0.10697633711507293</v>
      </c>
      <c r="I7" s="135">
        <f t="shared" si="5"/>
        <v>0.10817001620745544</v>
      </c>
      <c r="J7" s="135">
        <f t="shared" si="6"/>
        <v>0.10692390599675849</v>
      </c>
      <c r="K7" s="135">
        <f t="shared" si="7"/>
        <v>0.10735675310642895</v>
      </c>
      <c r="L7" s="135">
        <f>6*0.465</f>
        <v>2.79</v>
      </c>
      <c r="M7" s="135">
        <f>1.2596*L7</f>
        <v>3.5142840000000004</v>
      </c>
      <c r="N7" s="136">
        <f>M7*2/1000</f>
        <v>7.0285680000000007E-3</v>
      </c>
      <c r="O7" s="136">
        <f t="shared" si="3"/>
        <v>30.548684484927495</v>
      </c>
      <c r="P7" s="138">
        <f>AVERAGE(O5:O7)</f>
        <v>40.018833785700018</v>
      </c>
      <c r="Q7" s="137">
        <f>STDEV(O5:O7)</f>
        <v>10.478984822567275</v>
      </c>
      <c r="R7" s="139">
        <f>Q7/SQRT(3)</f>
        <v>6.0500447081432194</v>
      </c>
    </row>
    <row r="8" spans="1:18" s="5" customFormat="1" ht="13" x14ac:dyDescent="0.15">
      <c r="B8" s="133">
        <v>0.36799999999999999</v>
      </c>
      <c r="C8" s="134">
        <v>0.37509999999999999</v>
      </c>
      <c r="D8" s="134">
        <v>0.37140000000000001</v>
      </c>
      <c r="E8" s="134">
        <v>0.22919999999999999</v>
      </c>
      <c r="F8" s="134">
        <v>0.23350000000000001</v>
      </c>
      <c r="G8" s="134">
        <v>0.23089999999999999</v>
      </c>
      <c r="H8" s="135">
        <f t="shared" si="4"/>
        <v>3.7169205834683958E-2</v>
      </c>
      <c r="I8" s="135">
        <f t="shared" si="5"/>
        <v>3.7898298217179903E-2</v>
      </c>
      <c r="J8" s="135">
        <f t="shared" si="6"/>
        <v>3.7553565640194492E-2</v>
      </c>
      <c r="K8" s="135">
        <f t="shared" si="7"/>
        <v>3.7540356564019446E-2</v>
      </c>
      <c r="L8" s="135">
        <v>0.34899999999999998</v>
      </c>
      <c r="M8" s="135">
        <f t="shared" ref="M8:M9" si="8">1.2596*L8</f>
        <v>0.4396004</v>
      </c>
      <c r="N8" s="136">
        <f t="shared" ref="N8:N9" si="9">M8*2/1000</f>
        <v>8.7920079999999996E-4</v>
      </c>
      <c r="O8" s="136">
        <f t="shared" si="3"/>
        <v>85.396547782985294</v>
      </c>
      <c r="P8" s="138"/>
      <c r="Q8" s="137"/>
      <c r="R8" s="139"/>
    </row>
    <row r="9" spans="1:18" s="5" customFormat="1" ht="13" x14ac:dyDescent="0.15">
      <c r="B9" s="133">
        <v>0.19989999999999999</v>
      </c>
      <c r="C9" s="134">
        <v>0.20069999999999999</v>
      </c>
      <c r="D9" s="134">
        <v>0.20130000000000001</v>
      </c>
      <c r="E9" s="134">
        <v>0.12759999999999999</v>
      </c>
      <c r="F9" s="134">
        <v>0.1283</v>
      </c>
      <c r="G9" s="134">
        <v>0.12859999999999999</v>
      </c>
      <c r="H9" s="135">
        <f t="shared" si="4"/>
        <v>1.9886871961102108E-2</v>
      </c>
      <c r="I9" s="135">
        <f t="shared" si="5"/>
        <v>1.9947893030794164E-2</v>
      </c>
      <c r="J9" s="135">
        <f t="shared" si="6"/>
        <v>2.0015721231766613E-2</v>
      </c>
      <c r="K9" s="135">
        <f t="shared" si="7"/>
        <v>1.9950162074554294E-2</v>
      </c>
      <c r="L9" s="135">
        <v>0.34899999999999998</v>
      </c>
      <c r="M9" s="135">
        <f t="shared" si="8"/>
        <v>0.4396004</v>
      </c>
      <c r="N9" s="136">
        <f t="shared" si="9"/>
        <v>8.7920079999999996E-4</v>
      </c>
      <c r="O9" s="136">
        <f t="shared" si="3"/>
        <v>45.382492997172648</v>
      </c>
      <c r="P9" s="138"/>
      <c r="Q9" s="137"/>
      <c r="R9" s="139"/>
    </row>
    <row r="10" spans="1:18" s="5" customFormat="1" thickBot="1" x14ac:dyDescent="0.2">
      <c r="B10" s="145">
        <v>0.2671</v>
      </c>
      <c r="C10" s="146">
        <v>0.26790000000000003</v>
      </c>
      <c r="D10" s="146">
        <v>0.2646</v>
      </c>
      <c r="E10" s="146">
        <v>0.16420000000000001</v>
      </c>
      <c r="F10" s="146">
        <v>0.16539999999999999</v>
      </c>
      <c r="G10" s="146">
        <v>0.16300000000000001</v>
      </c>
      <c r="H10" s="147">
        <f>(B10-(E10*0.605))/6.17</f>
        <v>2.7189465153970825E-2</v>
      </c>
      <c r="I10" s="147">
        <f t="shared" si="5"/>
        <v>2.7201458670988662E-2</v>
      </c>
      <c r="J10" s="147">
        <f t="shared" si="6"/>
        <v>2.6901944894651537E-2</v>
      </c>
      <c r="K10" s="135">
        <f t="shared" si="7"/>
        <v>2.709762290653701E-2</v>
      </c>
      <c r="L10" s="135">
        <f>L7/8</f>
        <v>0.34875</v>
      </c>
      <c r="M10" s="135">
        <f>1.2596*L10</f>
        <v>0.43928550000000005</v>
      </c>
      <c r="N10" s="136">
        <f>M10*2/1000</f>
        <v>8.7857100000000008E-4</v>
      </c>
      <c r="O10" s="136">
        <f t="shared" si="3"/>
        <v>61.685675731470781</v>
      </c>
      <c r="P10" s="138">
        <f>AVERAGE(O8:O10)</f>
        <v>64.154905503876236</v>
      </c>
      <c r="Q10" s="137">
        <f>STDEV(O8:O10)</f>
        <v>20.120983247649811</v>
      </c>
      <c r="R10" s="139">
        <f t="shared" ref="R10" si="10">Q10/SQRT(3)</f>
        <v>11.616855094390569</v>
      </c>
    </row>
    <row r="11" spans="1:18" ht="15" thickBot="1" x14ac:dyDescent="0.2">
      <c r="B11" s="107" t="s">
        <v>30</v>
      </c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8"/>
    </row>
    <row r="12" spans="1:18" ht="45" x14ac:dyDescent="0.15">
      <c r="B12" s="99" t="s">
        <v>59</v>
      </c>
      <c r="C12" s="100"/>
      <c r="D12" s="109"/>
      <c r="E12" s="101" t="s">
        <v>60</v>
      </c>
      <c r="F12" s="100"/>
      <c r="G12" s="109"/>
      <c r="H12" s="110" t="s">
        <v>61</v>
      </c>
      <c r="I12" s="111"/>
      <c r="J12" s="112"/>
      <c r="K12" s="23" t="s">
        <v>62</v>
      </c>
      <c r="L12" s="25" t="s">
        <v>58</v>
      </c>
      <c r="M12" s="25" t="s">
        <v>9</v>
      </c>
      <c r="N12" s="25" t="s">
        <v>10</v>
      </c>
      <c r="O12" s="25" t="s">
        <v>64</v>
      </c>
      <c r="P12" s="25" t="s">
        <v>66</v>
      </c>
      <c r="Q12" s="25" t="s">
        <v>67</v>
      </c>
      <c r="R12" s="42" t="s">
        <v>68</v>
      </c>
    </row>
    <row r="13" spans="1:18" ht="30" x14ac:dyDescent="0.15">
      <c r="B13" s="91" t="s">
        <v>11</v>
      </c>
      <c r="C13" s="92"/>
      <c r="D13" s="94"/>
      <c r="E13" s="93" t="s">
        <v>11</v>
      </c>
      <c r="F13" s="92"/>
      <c r="G13" s="94"/>
      <c r="H13" s="93" t="s">
        <v>12</v>
      </c>
      <c r="I13" s="92"/>
      <c r="J13" s="94"/>
      <c r="K13" s="27" t="s">
        <v>12</v>
      </c>
      <c r="L13" s="28" t="s">
        <v>11</v>
      </c>
      <c r="M13" s="28" t="s">
        <v>13</v>
      </c>
      <c r="N13" s="28" t="s">
        <v>14</v>
      </c>
      <c r="O13" s="29" t="s">
        <v>73</v>
      </c>
      <c r="P13" s="29" t="s">
        <v>73</v>
      </c>
      <c r="Q13" s="28"/>
      <c r="R13" s="30"/>
    </row>
    <row r="14" spans="1:18" s="5" customFormat="1" ht="13" x14ac:dyDescent="0.15">
      <c r="B14" s="133">
        <v>0.97070000000000001</v>
      </c>
      <c r="C14" s="134">
        <v>1.0150999999999999</v>
      </c>
      <c r="D14" s="134">
        <v>1.0419</v>
      </c>
      <c r="E14" s="134">
        <v>0.79559999999999997</v>
      </c>
      <c r="F14" s="134">
        <v>0.82909999999999995</v>
      </c>
      <c r="G14" s="134">
        <v>0.85399999999999998</v>
      </c>
      <c r="H14" s="135">
        <f>(B14-(E14*0.605))/6.17</f>
        <v>7.9313128038897895E-2</v>
      </c>
      <c r="I14" s="135">
        <f t="shared" ref="I14:J14" si="11">(C14-(F14*0.605))/6.17</f>
        <v>8.3224392220421384E-2</v>
      </c>
      <c r="J14" s="135">
        <f t="shared" si="11"/>
        <v>8.51264181523501E-2</v>
      </c>
      <c r="K14" s="135">
        <f>AVERAGE(H14:J14)</f>
        <v>8.2554646137223131E-2</v>
      </c>
      <c r="L14" s="135">
        <v>2.79</v>
      </c>
      <c r="M14" s="135">
        <f t="shared" ref="M14:M15" si="12">1.2596*L14</f>
        <v>3.5142840000000004</v>
      </c>
      <c r="N14" s="136">
        <f t="shared" ref="N14:N15" si="13">M14*2/1000</f>
        <v>7.0285680000000007E-3</v>
      </c>
      <c r="O14" s="136">
        <f>K14*2/N14</f>
        <v>23.491170929049311</v>
      </c>
      <c r="P14" s="138"/>
      <c r="Q14" s="137"/>
      <c r="R14" s="139"/>
    </row>
    <row r="15" spans="1:18" s="5" customFormat="1" ht="13" x14ac:dyDescent="0.15">
      <c r="B15" s="133">
        <v>0.96930000000000005</v>
      </c>
      <c r="C15" s="134">
        <v>1.0044</v>
      </c>
      <c r="D15" s="134">
        <v>1.0031000000000001</v>
      </c>
      <c r="E15" s="134">
        <v>0.80230000000000001</v>
      </c>
      <c r="F15" s="134">
        <v>0.82969999999999999</v>
      </c>
      <c r="G15" s="134">
        <v>0.82820000000000005</v>
      </c>
      <c r="H15" s="135">
        <f t="shared" ref="H15:H18" si="14">(B15-(E15*0.605))/6.17</f>
        <v>7.8429254457050263E-2</v>
      </c>
      <c r="I15" s="135">
        <f t="shared" ref="I15:I19" si="15">(C15-(F15*0.605))/6.17</f>
        <v>8.143136142625608E-2</v>
      </c>
      <c r="J15" s="135">
        <f t="shared" ref="J15:J19" si="16">(D15-(G15*0.605))/6.17</f>
        <v>8.1367747163695325E-2</v>
      </c>
      <c r="K15" s="135">
        <f t="shared" ref="K15:K18" si="17">AVERAGE(H15:J15)</f>
        <v>8.0409454349000556E-2</v>
      </c>
      <c r="L15" s="135">
        <v>2.79</v>
      </c>
      <c r="M15" s="135">
        <f t="shared" si="12"/>
        <v>3.5142840000000004</v>
      </c>
      <c r="N15" s="136">
        <f t="shared" si="13"/>
        <v>7.0285680000000007E-3</v>
      </c>
      <c r="O15" s="136">
        <f t="shared" ref="O15:O19" si="18">K15*2/N15</f>
        <v>22.880750203740092</v>
      </c>
      <c r="P15" s="138"/>
      <c r="Q15" s="137"/>
      <c r="R15" s="139"/>
    </row>
    <row r="16" spans="1:18" s="5" customFormat="1" ht="13" x14ac:dyDescent="0.15">
      <c r="B16" s="133">
        <v>0.87629999999999997</v>
      </c>
      <c r="C16" s="134">
        <v>0.93010000000000004</v>
      </c>
      <c r="D16" s="134">
        <v>0.90110000000000001</v>
      </c>
      <c r="E16" s="134">
        <v>0.69830000000000003</v>
      </c>
      <c r="F16" s="134">
        <v>0.74550000000000005</v>
      </c>
      <c r="G16" s="134">
        <v>0.71050000000000002</v>
      </c>
      <c r="H16" s="135">
        <f t="shared" si="14"/>
        <v>7.355405186385737E-2</v>
      </c>
      <c r="I16" s="135">
        <f t="shared" si="15"/>
        <v>7.7645461912479743E-2</v>
      </c>
      <c r="J16" s="135">
        <f t="shared" si="16"/>
        <v>7.6377228525121549E-2</v>
      </c>
      <c r="K16" s="135">
        <f t="shared" si="17"/>
        <v>7.5858914100486216E-2</v>
      </c>
      <c r="L16" s="135">
        <f>6*0.465</f>
        <v>2.79</v>
      </c>
      <c r="M16" s="135">
        <f>1.2596*L16</f>
        <v>3.5142840000000004</v>
      </c>
      <c r="N16" s="136">
        <f>M16*2/1000</f>
        <v>7.0285680000000007E-3</v>
      </c>
      <c r="O16" s="136">
        <f t="shared" si="18"/>
        <v>21.585880395689763</v>
      </c>
      <c r="P16" s="138">
        <f>AVERAGE(O14:O16)</f>
        <v>22.652600509493055</v>
      </c>
      <c r="Q16" s="137">
        <f>STDEV(O14:O16)</f>
        <v>0.972919429534707</v>
      </c>
      <c r="R16" s="139">
        <f>Q16/SQRT(3)</f>
        <v>0.56171529454168023</v>
      </c>
    </row>
    <row r="17" spans="1:18" s="5" customFormat="1" ht="13" x14ac:dyDescent="0.15">
      <c r="B17" s="133">
        <v>0.22109999999999999</v>
      </c>
      <c r="C17" s="134">
        <v>0.2324</v>
      </c>
      <c r="D17" s="134">
        <v>0.2276</v>
      </c>
      <c r="E17" s="134">
        <v>0.1777</v>
      </c>
      <c r="F17" s="134">
        <v>0.18679999999999999</v>
      </c>
      <c r="G17" s="134">
        <v>0.18210000000000001</v>
      </c>
      <c r="H17" s="135">
        <f t="shared" si="14"/>
        <v>1.8410291734197729E-2</v>
      </c>
      <c r="I17" s="135">
        <f t="shared" si="15"/>
        <v>1.9349432739059969E-2</v>
      </c>
      <c r="J17" s="135">
        <f t="shared" si="16"/>
        <v>1.9032333873581848E-2</v>
      </c>
      <c r="K17" s="135">
        <f t="shared" si="17"/>
        <v>1.8930686115613184E-2</v>
      </c>
      <c r="L17" s="135">
        <v>0.34899999999999998</v>
      </c>
      <c r="M17" s="135">
        <f t="shared" ref="M17:M18" si="19">1.2596*L17</f>
        <v>0.4396004</v>
      </c>
      <c r="N17" s="136">
        <f t="shared" ref="N17:N18" si="20">M17*2/1000</f>
        <v>8.7920079999999996E-4</v>
      </c>
      <c r="O17" s="136">
        <f t="shared" si="18"/>
        <v>43.063396019687843</v>
      </c>
      <c r="P17" s="138"/>
      <c r="Q17" s="137"/>
      <c r="R17" s="139"/>
    </row>
    <row r="18" spans="1:18" s="5" customFormat="1" ht="13" x14ac:dyDescent="0.15">
      <c r="B18" s="133">
        <v>0.1019</v>
      </c>
      <c r="C18" s="134">
        <v>9.9000000000000005E-2</v>
      </c>
      <c r="D18" s="134">
        <v>9.8900000000000002E-2</v>
      </c>
      <c r="E18" s="134">
        <v>8.1699999999999995E-2</v>
      </c>
      <c r="F18" s="134">
        <v>7.8299999999999995E-2</v>
      </c>
      <c r="G18" s="134">
        <v>7.8600000000000003E-2</v>
      </c>
      <c r="H18" s="135">
        <f t="shared" si="14"/>
        <v>8.5042949756888187E-3</v>
      </c>
      <c r="I18" s="135">
        <f t="shared" si="15"/>
        <v>8.367666126418153E-3</v>
      </c>
      <c r="J18" s="135">
        <f t="shared" si="16"/>
        <v>8.3220421393841171E-3</v>
      </c>
      <c r="K18" s="135">
        <f t="shared" si="17"/>
        <v>8.3980010804970296E-3</v>
      </c>
      <c r="L18" s="135">
        <v>0.34899999999999998</v>
      </c>
      <c r="M18" s="135">
        <f t="shared" si="19"/>
        <v>0.4396004</v>
      </c>
      <c r="N18" s="136">
        <f t="shared" si="20"/>
        <v>8.7920079999999996E-4</v>
      </c>
      <c r="O18" s="136">
        <f t="shared" si="18"/>
        <v>19.10371573933288</v>
      </c>
      <c r="P18" s="138"/>
      <c r="Q18" s="137"/>
      <c r="R18" s="139"/>
    </row>
    <row r="19" spans="1:18" s="5" customFormat="1" thickBot="1" x14ac:dyDescent="0.2">
      <c r="B19" s="145">
        <v>0.20019999999999999</v>
      </c>
      <c r="C19" s="146">
        <v>0.20180000000000001</v>
      </c>
      <c r="D19" s="146">
        <v>0.2051</v>
      </c>
      <c r="E19" s="146">
        <v>0.16650000000000001</v>
      </c>
      <c r="F19" s="146">
        <v>0.16769999999999999</v>
      </c>
      <c r="G19" s="146">
        <v>0.1709</v>
      </c>
      <c r="H19" s="147">
        <f>(B19-(E19*0.605))/6.17</f>
        <v>1.6121150729335492E-2</v>
      </c>
      <c r="I19" s="147">
        <f t="shared" si="15"/>
        <v>1.6262803889789304E-2</v>
      </c>
      <c r="J19" s="147">
        <f t="shared" si="16"/>
        <v>1.648387358184765E-2</v>
      </c>
      <c r="K19" s="147">
        <f>AVERAGE(H19:J19)</f>
        <v>1.6289276066990818E-2</v>
      </c>
      <c r="L19" s="147">
        <f>L16/8</f>
        <v>0.34875</v>
      </c>
      <c r="M19" s="147">
        <f>1.2596*L19</f>
        <v>0.43928550000000005</v>
      </c>
      <c r="N19" s="148">
        <f>M19*2/1000</f>
        <v>8.7857100000000008E-4</v>
      </c>
      <c r="O19" s="148">
        <f t="shared" si="18"/>
        <v>37.081296940123941</v>
      </c>
      <c r="P19" s="150">
        <f>AVERAGE(O17:O19)</f>
        <v>33.082802899714892</v>
      </c>
      <c r="Q19" s="149">
        <f>STDEV(O17:O19)</f>
        <v>12.47026606482785</v>
      </c>
      <c r="R19" s="151">
        <f t="shared" ref="R19" si="21">Q19/SQRT(3)</f>
        <v>7.1997114693946154</v>
      </c>
    </row>
    <row r="20" spans="1:18" x14ac:dyDescent="0.15">
      <c r="A20" s="77"/>
      <c r="B20" s="41"/>
      <c r="E20" s="41"/>
    </row>
    <row r="21" spans="1:18" x14ac:dyDescent="0.15">
      <c r="A21" s="75" t="s">
        <v>29</v>
      </c>
      <c r="E21" s="41"/>
    </row>
    <row r="22" spans="1:18" x14ac:dyDescent="0.15">
      <c r="A22" s="35" t="s">
        <v>30</v>
      </c>
    </row>
    <row r="23" spans="1:18" x14ac:dyDescent="0.15">
      <c r="A23" s="35"/>
    </row>
  </sheetData>
  <mergeCells count="15">
    <mergeCell ref="B4:D4"/>
    <mergeCell ref="E4:G4"/>
    <mergeCell ref="H4:J4"/>
    <mergeCell ref="A1:R1"/>
    <mergeCell ref="B2:R2"/>
    <mergeCell ref="B3:D3"/>
    <mergeCell ref="E3:G3"/>
    <mergeCell ref="H3:J3"/>
    <mergeCell ref="B11:R11"/>
    <mergeCell ref="B12:D12"/>
    <mergeCell ref="E12:G12"/>
    <mergeCell ref="H12:J12"/>
    <mergeCell ref="B13:D13"/>
    <mergeCell ref="E13:G13"/>
    <mergeCell ref="H13:J13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AB343-0D8E-BC49-8F22-F7AF082D5372}">
  <dimension ref="A1:R22"/>
  <sheetViews>
    <sheetView zoomScaleNormal="100" workbookViewId="0">
      <selection sqref="A1:R1"/>
    </sheetView>
  </sheetViews>
  <sheetFormatPr baseColWidth="10" defaultColWidth="8.83203125" defaultRowHeight="14" x14ac:dyDescent="0.15"/>
  <cols>
    <col min="1" max="1" width="72.83203125" style="3" customWidth="1"/>
    <col min="2" max="10" width="8.83203125" style="3"/>
    <col min="11" max="11" width="9.83203125" style="3" customWidth="1"/>
    <col min="12" max="12" width="8.83203125" style="3"/>
    <col min="13" max="13" width="12" style="3" customWidth="1"/>
    <col min="14" max="14" width="12.1640625" style="3" customWidth="1"/>
    <col min="15" max="15" width="12.6640625" style="3" customWidth="1"/>
    <col min="16" max="16" width="9.83203125" style="3" customWidth="1"/>
    <col min="17" max="20" width="8.83203125" style="3"/>
    <col min="21" max="21" width="13.5" style="3" bestFit="1" customWidth="1"/>
    <col min="22" max="16384" width="8.83203125" style="3"/>
  </cols>
  <sheetData>
    <row r="1" spans="1:18" ht="17" thickBot="1" x14ac:dyDescent="0.2">
      <c r="A1" s="95" t="s">
        <v>75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</row>
    <row r="2" spans="1:18" ht="15" thickBot="1" x14ac:dyDescent="0.2">
      <c r="A2" s="43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8"/>
    </row>
    <row r="3" spans="1:18" ht="58" customHeight="1" x14ac:dyDescent="0.15">
      <c r="A3" s="78"/>
      <c r="B3" s="100" t="s">
        <v>59</v>
      </c>
      <c r="C3" s="100"/>
      <c r="D3" s="109"/>
      <c r="E3" s="101" t="s">
        <v>60</v>
      </c>
      <c r="F3" s="100"/>
      <c r="G3" s="109"/>
      <c r="H3" s="110" t="s">
        <v>61</v>
      </c>
      <c r="I3" s="111"/>
      <c r="J3" s="112"/>
      <c r="K3" s="23" t="s">
        <v>62</v>
      </c>
      <c r="L3" s="24">
        <v>750</v>
      </c>
      <c r="M3" s="25" t="s">
        <v>9</v>
      </c>
      <c r="N3" s="25" t="s">
        <v>10</v>
      </c>
      <c r="O3" s="25" t="s">
        <v>71</v>
      </c>
      <c r="P3" s="25" t="s">
        <v>66</v>
      </c>
      <c r="Q3" s="25" t="s">
        <v>67</v>
      </c>
      <c r="R3" s="42" t="s">
        <v>68</v>
      </c>
    </row>
    <row r="4" spans="1:18" ht="30" x14ac:dyDescent="0.15">
      <c r="A4" s="76"/>
      <c r="B4" s="92" t="s">
        <v>11</v>
      </c>
      <c r="C4" s="92"/>
      <c r="D4" s="94"/>
      <c r="E4" s="93" t="s">
        <v>11</v>
      </c>
      <c r="F4" s="92"/>
      <c r="G4" s="94"/>
      <c r="H4" s="93" t="s">
        <v>12</v>
      </c>
      <c r="I4" s="92"/>
      <c r="J4" s="94"/>
      <c r="K4" s="27" t="s">
        <v>12</v>
      </c>
      <c r="L4" s="28" t="s">
        <v>11</v>
      </c>
      <c r="M4" s="28" t="s">
        <v>13</v>
      </c>
      <c r="N4" s="28" t="s">
        <v>14</v>
      </c>
      <c r="O4" s="29" t="s">
        <v>73</v>
      </c>
      <c r="P4" s="29" t="s">
        <v>73</v>
      </c>
      <c r="Q4" s="28"/>
      <c r="R4" s="30"/>
    </row>
    <row r="5" spans="1:18" s="5" customFormat="1" ht="13" x14ac:dyDescent="0.15">
      <c r="A5" s="184"/>
      <c r="B5" s="134">
        <v>0.13239999999999999</v>
      </c>
      <c r="C5" s="134">
        <v>0.1074</v>
      </c>
      <c r="D5" s="134">
        <v>0.1115</v>
      </c>
      <c r="E5" s="134">
        <v>0.1007</v>
      </c>
      <c r="F5" s="134">
        <v>7.7200000000000005E-2</v>
      </c>
      <c r="G5" s="134">
        <v>8.1100000000000005E-2</v>
      </c>
      <c r="H5" s="135">
        <f>(B5-(E5*0.605))/6.17</f>
        <v>1.158452188006483E-2</v>
      </c>
      <c r="I5" s="135">
        <f t="shared" ref="I5:J10" si="0">(C5-(F5*0.605))/6.17</f>
        <v>9.8369529983792538E-3</v>
      </c>
      <c r="J5" s="135">
        <f t="shared" si="0"/>
        <v>1.011904376012966E-2</v>
      </c>
      <c r="K5" s="135">
        <f t="shared" ref="K5:K10" si="1">AVERAGE(H5:J5)</f>
        <v>1.0513506212857916E-2</v>
      </c>
      <c r="L5" s="135">
        <v>0.36499999999999999</v>
      </c>
      <c r="M5" s="135">
        <f t="shared" ref="M5:M6" si="2">1.2334*L5</f>
        <v>0.45019100000000001</v>
      </c>
      <c r="N5" s="136">
        <f>M5*2/1000</f>
        <v>9.0038200000000003E-4</v>
      </c>
      <c r="O5" s="137">
        <f>K5*2/N5</f>
        <v>23.353434903980567</v>
      </c>
      <c r="P5" s="138"/>
      <c r="R5" s="127"/>
    </row>
    <row r="6" spans="1:18" s="5" customFormat="1" ht="13" x14ac:dyDescent="0.15">
      <c r="A6" s="184"/>
      <c r="B6" s="134">
        <v>0.10929999999999999</v>
      </c>
      <c r="C6" s="134">
        <v>0.1071</v>
      </c>
      <c r="D6" s="134">
        <v>0.10630000000000001</v>
      </c>
      <c r="E6" s="134">
        <v>8.1900000000000001E-2</v>
      </c>
      <c r="F6" s="134">
        <v>7.9299999999999995E-2</v>
      </c>
      <c r="G6" s="134">
        <v>7.8899999999999998E-2</v>
      </c>
      <c r="H6" s="135">
        <f t="shared" ref="H6:H10" si="3">(B6-(E6*0.605))/6.17</f>
        <v>9.6840356564019455E-3</v>
      </c>
      <c r="I6" s="135">
        <f t="shared" si="0"/>
        <v>9.582414910858995E-3</v>
      </c>
      <c r="J6" s="135">
        <f t="shared" si="0"/>
        <v>9.4919773095624004E-3</v>
      </c>
      <c r="K6" s="135">
        <f t="shared" si="1"/>
        <v>9.5861426256077797E-3</v>
      </c>
      <c r="L6" s="135">
        <v>0.36499999999999999</v>
      </c>
      <c r="M6" s="135">
        <f t="shared" si="2"/>
        <v>0.45019100000000001</v>
      </c>
      <c r="N6" s="136">
        <f t="shared" ref="N6:N10" si="4">M6*2/1000</f>
        <v>9.0038200000000003E-4</v>
      </c>
      <c r="O6" s="137">
        <f t="shared" ref="O6:O10" si="5">K6*2/N6</f>
        <v>21.293501259704836</v>
      </c>
      <c r="P6" s="138"/>
      <c r="R6" s="127"/>
    </row>
    <row r="7" spans="1:18" s="5" customFormat="1" ht="13" x14ac:dyDescent="0.15">
      <c r="A7" s="184"/>
      <c r="B7" s="134">
        <v>0.1434</v>
      </c>
      <c r="C7" s="134">
        <v>0.1019</v>
      </c>
      <c r="D7" s="134">
        <v>0.1017</v>
      </c>
      <c r="E7" s="134">
        <v>0.1166</v>
      </c>
      <c r="F7" s="134">
        <v>7.4200000000000002E-2</v>
      </c>
      <c r="G7" s="134">
        <v>7.4899999999999994E-2</v>
      </c>
      <c r="H7" s="135">
        <f t="shared" si="3"/>
        <v>1.1808265802269045E-2</v>
      </c>
      <c r="I7" s="135">
        <f t="shared" si="0"/>
        <v>9.2397082658022701E-3</v>
      </c>
      <c r="J7" s="135">
        <f t="shared" si="0"/>
        <v>9.138654781199353E-3</v>
      </c>
      <c r="K7" s="135">
        <f t="shared" si="1"/>
        <v>1.0062209616423555E-2</v>
      </c>
      <c r="L7" s="135">
        <v>0.36499999999999999</v>
      </c>
      <c r="M7" s="135">
        <f>1.2334*L7</f>
        <v>0.45019100000000001</v>
      </c>
      <c r="N7" s="136">
        <f t="shared" si="4"/>
        <v>9.0038200000000003E-4</v>
      </c>
      <c r="O7" s="137">
        <f t="shared" si="5"/>
        <v>22.350979065382372</v>
      </c>
      <c r="P7" s="138">
        <f>AVERAGE(O5:O7)</f>
        <v>22.332638409689256</v>
      </c>
      <c r="Q7" s="137">
        <f>STDEV(O5:O7)</f>
        <v>1.0300892871218557</v>
      </c>
      <c r="R7" s="139">
        <f>Q7/SQRT(3)</f>
        <v>0.59472232720915308</v>
      </c>
    </row>
    <row r="8" spans="1:18" s="5" customFormat="1" ht="13" x14ac:dyDescent="0.15">
      <c r="A8" s="184"/>
      <c r="B8" s="134">
        <v>6.4500000000000002E-2</v>
      </c>
      <c r="C8" s="134">
        <v>6.3100000000000003E-2</v>
      </c>
      <c r="D8" s="134">
        <v>6.3799999999999996E-2</v>
      </c>
      <c r="E8" s="134">
        <v>5.5100000000000003E-2</v>
      </c>
      <c r="F8" s="134">
        <v>5.3699999999999998E-2</v>
      </c>
      <c r="G8" s="134">
        <v>5.4199999999999998E-2</v>
      </c>
      <c r="H8" s="135">
        <f t="shared" si="3"/>
        <v>5.0509724473257692E-3</v>
      </c>
      <c r="I8" s="135">
        <f t="shared" si="0"/>
        <v>4.9613452188006493E-3</v>
      </c>
      <c r="J8" s="135">
        <f t="shared" si="0"/>
        <v>5.0257698541329001E-3</v>
      </c>
      <c r="K8" s="135">
        <f t="shared" si="1"/>
        <v>5.012695840086439E-3</v>
      </c>
      <c r="L8" s="135">
        <v>9.0999999999999998E-2</v>
      </c>
      <c r="M8" s="135">
        <f t="shared" ref="M8:M9" si="6">1.2334*L8</f>
        <v>0.1122394</v>
      </c>
      <c r="N8" s="136">
        <f t="shared" si="4"/>
        <v>2.2447880000000002E-4</v>
      </c>
      <c r="O8" s="137">
        <f t="shared" si="5"/>
        <v>44.660750503712947</v>
      </c>
      <c r="P8" s="138"/>
      <c r="Q8" s="137"/>
      <c r="R8" s="139"/>
    </row>
    <row r="9" spans="1:18" s="5" customFormat="1" ht="13" x14ac:dyDescent="0.15">
      <c r="A9" s="184"/>
      <c r="B9" s="134">
        <v>6.25E-2</v>
      </c>
      <c r="C9" s="134">
        <v>6.3399999999999998E-2</v>
      </c>
      <c r="D9" s="134">
        <v>5.5500000000000001E-2</v>
      </c>
      <c r="E9" s="134">
        <v>5.45E-2</v>
      </c>
      <c r="F9" s="134">
        <v>5.5899999999999998E-2</v>
      </c>
      <c r="G9" s="134">
        <v>4.7899999999999998E-2</v>
      </c>
      <c r="H9" s="135">
        <f t="shared" si="3"/>
        <v>4.7856564019448941E-3</v>
      </c>
      <c r="I9" s="135">
        <f t="shared" si="0"/>
        <v>4.7942463533225286E-3</v>
      </c>
      <c r="J9" s="135">
        <f t="shared" si="0"/>
        <v>4.2982982171799033E-3</v>
      </c>
      <c r="K9" s="135">
        <f t="shared" si="1"/>
        <v>4.6260669908157756E-3</v>
      </c>
      <c r="L9" s="135">
        <v>9.0999999999999998E-2</v>
      </c>
      <c r="M9" s="135">
        <f t="shared" si="6"/>
        <v>0.1122394</v>
      </c>
      <c r="N9" s="136">
        <f t="shared" si="4"/>
        <v>2.2447880000000002E-4</v>
      </c>
      <c r="O9" s="137">
        <f t="shared" si="5"/>
        <v>41.216070210779598</v>
      </c>
      <c r="P9" s="138"/>
      <c r="Q9" s="137"/>
      <c r="R9" s="139"/>
    </row>
    <row r="10" spans="1:18" s="5" customFormat="1" thickBot="1" x14ac:dyDescent="0.2">
      <c r="A10" s="184"/>
      <c r="B10" s="134">
        <v>5.9700000000000003E-2</v>
      </c>
      <c r="C10" s="134">
        <v>5.1400000000000001E-2</v>
      </c>
      <c r="D10" s="134">
        <v>5.3499999999999999E-2</v>
      </c>
      <c r="E10" s="134">
        <v>5.1999999999999998E-2</v>
      </c>
      <c r="F10" s="134">
        <v>4.3400000000000001E-2</v>
      </c>
      <c r="G10" s="134">
        <v>4.5999999999999999E-2</v>
      </c>
      <c r="H10" s="135">
        <f t="shared" si="3"/>
        <v>4.5769854132901152E-3</v>
      </c>
      <c r="I10" s="135">
        <f t="shared" si="0"/>
        <v>4.0750405186385742E-3</v>
      </c>
      <c r="J10" s="135">
        <f t="shared" si="0"/>
        <v>4.160453808752026E-3</v>
      </c>
      <c r="K10" s="135">
        <f t="shared" si="1"/>
        <v>4.2708265802269057E-3</v>
      </c>
      <c r="L10" s="135">
        <f>L7/4</f>
        <v>9.1249999999999998E-2</v>
      </c>
      <c r="M10" s="135">
        <f>1.2334*L10</f>
        <v>0.11254775</v>
      </c>
      <c r="N10" s="136">
        <f t="shared" si="4"/>
        <v>2.2509550000000001E-4</v>
      </c>
      <c r="O10" s="137">
        <f t="shared" si="5"/>
        <v>37.946796628336912</v>
      </c>
      <c r="P10" s="138">
        <f>AVERAGE(O8:O10)</f>
        <v>41.274539114276486</v>
      </c>
      <c r="Q10" s="137">
        <f>STDEV(O8:O10)</f>
        <v>3.3573588011525244</v>
      </c>
      <c r="R10" s="139">
        <f>Q10/SQRT(3)</f>
        <v>1.9383720076115694</v>
      </c>
    </row>
    <row r="11" spans="1:18" ht="15" thickBot="1" x14ac:dyDescent="0.2">
      <c r="A11" s="76"/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8"/>
    </row>
    <row r="12" spans="1:18" ht="40.5" customHeight="1" x14ac:dyDescent="0.15">
      <c r="A12" s="76"/>
      <c r="B12" s="100" t="s">
        <v>59</v>
      </c>
      <c r="C12" s="100"/>
      <c r="D12" s="109"/>
      <c r="E12" s="101" t="s">
        <v>60</v>
      </c>
      <c r="F12" s="100"/>
      <c r="G12" s="109"/>
      <c r="H12" s="110" t="s">
        <v>61</v>
      </c>
      <c r="I12" s="111"/>
      <c r="J12" s="112"/>
      <c r="K12" s="23" t="s">
        <v>62</v>
      </c>
      <c r="L12" s="79">
        <v>750</v>
      </c>
      <c r="M12" s="80" t="s">
        <v>9</v>
      </c>
      <c r="N12" s="25" t="s">
        <v>10</v>
      </c>
      <c r="O12" s="25" t="s">
        <v>71</v>
      </c>
      <c r="P12" s="25" t="s">
        <v>66</v>
      </c>
      <c r="Q12" s="25" t="s">
        <v>67</v>
      </c>
      <c r="R12" s="42" t="s">
        <v>68</v>
      </c>
    </row>
    <row r="13" spans="1:18" ht="30" x14ac:dyDescent="0.15">
      <c r="A13" s="76"/>
      <c r="B13" s="92" t="s">
        <v>11</v>
      </c>
      <c r="C13" s="92"/>
      <c r="D13" s="94"/>
      <c r="E13" s="93" t="s">
        <v>11</v>
      </c>
      <c r="F13" s="92"/>
      <c r="G13" s="94"/>
      <c r="H13" s="93" t="s">
        <v>12</v>
      </c>
      <c r="I13" s="92"/>
      <c r="J13" s="94"/>
      <c r="K13" s="27" t="s">
        <v>12</v>
      </c>
      <c r="L13" s="28" t="s">
        <v>11</v>
      </c>
      <c r="M13" s="28" t="s">
        <v>13</v>
      </c>
      <c r="N13" s="28" t="s">
        <v>14</v>
      </c>
      <c r="O13" s="29" t="s">
        <v>73</v>
      </c>
      <c r="P13" s="29" t="s">
        <v>73</v>
      </c>
      <c r="Q13" s="28"/>
      <c r="R13" s="30"/>
    </row>
    <row r="14" spans="1:18" s="5" customFormat="1" ht="13" x14ac:dyDescent="0.15">
      <c r="A14" s="184"/>
      <c r="B14" s="134">
        <v>9.0800000000000006E-2</v>
      </c>
      <c r="C14" s="134">
        <v>7.0300000000000001E-2</v>
      </c>
      <c r="D14" s="134">
        <v>9.5299999999999996E-2</v>
      </c>
      <c r="E14" s="134">
        <v>7.1800000000000003E-2</v>
      </c>
      <c r="F14" s="134">
        <v>5.1900000000000002E-2</v>
      </c>
      <c r="G14" s="134">
        <v>7.51E-2</v>
      </c>
      <c r="H14" s="135">
        <f t="shared" ref="H14:J19" si="7">(B14-(E14*0.605))/6.17</f>
        <v>7.6760129659643453E-3</v>
      </c>
      <c r="I14" s="135">
        <f t="shared" si="7"/>
        <v>6.3047811993517024E-3</v>
      </c>
      <c r="J14" s="135">
        <f t="shared" si="7"/>
        <v>8.0817666126418147E-3</v>
      </c>
      <c r="K14" s="135">
        <f t="shared" ref="K14:K19" si="8">AVERAGE(H14:J14)</f>
        <v>7.3541869259859532E-3</v>
      </c>
      <c r="L14" s="135">
        <v>0.36499999999999999</v>
      </c>
      <c r="M14" s="135">
        <f t="shared" ref="M14:M15" si="9">1.2334*L14</f>
        <v>0.45019100000000001</v>
      </c>
      <c r="N14" s="136">
        <f>M14*2/1000</f>
        <v>9.0038200000000003E-4</v>
      </c>
      <c r="O14" s="137">
        <f>K14*2/N14</f>
        <v>16.335704014487082</v>
      </c>
      <c r="P14" s="138"/>
      <c r="R14" s="127"/>
    </row>
    <row r="15" spans="1:18" s="5" customFormat="1" ht="13" x14ac:dyDescent="0.15">
      <c r="A15" s="184"/>
      <c r="B15" s="134">
        <v>9.9500000000000005E-2</v>
      </c>
      <c r="C15" s="134">
        <v>9.9699999999999997E-2</v>
      </c>
      <c r="D15" s="134">
        <v>9.5100000000000004E-2</v>
      </c>
      <c r="E15" s="134">
        <v>7.6999999999999999E-2</v>
      </c>
      <c r="F15" s="134">
        <v>7.7600000000000002E-2</v>
      </c>
      <c r="G15" s="134">
        <v>7.3700000000000002E-2</v>
      </c>
      <c r="H15" s="135">
        <f t="shared" si="7"/>
        <v>8.5761750405186389E-3</v>
      </c>
      <c r="I15" s="135">
        <f t="shared" si="7"/>
        <v>8.5497568881685582E-3</v>
      </c>
      <c r="J15" s="135">
        <f t="shared" si="7"/>
        <v>8.1866288492706656E-3</v>
      </c>
      <c r="K15" s="135">
        <f t="shared" si="8"/>
        <v>8.437520259319287E-3</v>
      </c>
      <c r="L15" s="135">
        <v>0.36499999999999999</v>
      </c>
      <c r="M15" s="135">
        <f t="shared" si="9"/>
        <v>0.45019100000000001</v>
      </c>
      <c r="N15" s="136">
        <f t="shared" ref="N15:N19" si="10">M15*2/1000</f>
        <v>9.0038200000000003E-4</v>
      </c>
      <c r="O15" s="137">
        <f t="shared" ref="O15:O19" si="11">K15*2/N15</f>
        <v>18.742090044712771</v>
      </c>
      <c r="P15" s="138"/>
      <c r="R15" s="127"/>
    </row>
    <row r="16" spans="1:18" s="5" customFormat="1" ht="13" x14ac:dyDescent="0.15">
      <c r="A16" s="184"/>
      <c r="B16" s="134">
        <v>8.8300000000000003E-2</v>
      </c>
      <c r="C16" s="134">
        <v>8.6999999999999994E-2</v>
      </c>
      <c r="D16" s="134">
        <v>8.4599999999999995E-2</v>
      </c>
      <c r="E16" s="134">
        <v>6.6000000000000003E-2</v>
      </c>
      <c r="F16" s="134">
        <v>6.5500000000000003E-2</v>
      </c>
      <c r="G16" s="134">
        <v>6.2899999999999998E-2</v>
      </c>
      <c r="H16" s="135">
        <f t="shared" si="7"/>
        <v>7.8395461912479751E-3</v>
      </c>
      <c r="I16" s="135">
        <f t="shared" si="7"/>
        <v>7.6778768233387341E-3</v>
      </c>
      <c r="J16" s="135">
        <f t="shared" si="7"/>
        <v>7.5438411669367907E-3</v>
      </c>
      <c r="K16" s="135">
        <f t="shared" si="8"/>
        <v>7.687088060507833E-3</v>
      </c>
      <c r="L16" s="135">
        <v>0.36499999999999999</v>
      </c>
      <c r="M16" s="135">
        <f>1.2334*L16</f>
        <v>0.45019100000000001</v>
      </c>
      <c r="N16" s="136">
        <f t="shared" si="10"/>
        <v>9.0038200000000003E-4</v>
      </c>
      <c r="O16" s="137">
        <f t="shared" si="11"/>
        <v>17.075170451003757</v>
      </c>
      <c r="P16" s="138">
        <f>AVERAGE(O14:O16)</f>
        <v>17.384321503401203</v>
      </c>
      <c r="Q16" s="137">
        <f>STDEV(O14:O16)</f>
        <v>1.2326208709555324</v>
      </c>
      <c r="R16" s="139">
        <f>Q16/SQRT(3)</f>
        <v>0.7116539916549276</v>
      </c>
    </row>
    <row r="17" spans="1:18" s="5" customFormat="1" ht="13" x14ac:dyDescent="0.15">
      <c r="A17" s="184"/>
      <c r="B17" s="134">
        <v>0.06</v>
      </c>
      <c r="C17" s="134">
        <v>5.79E-2</v>
      </c>
      <c r="D17" s="134">
        <v>5.2200000000000003E-2</v>
      </c>
      <c r="E17" s="134">
        <v>5.3600000000000002E-2</v>
      </c>
      <c r="F17" s="134">
        <v>5.1499999999999997E-2</v>
      </c>
      <c r="G17" s="134">
        <v>4.5900000000000003E-2</v>
      </c>
      <c r="H17" s="135">
        <f t="shared" si="7"/>
        <v>4.46871961102107E-3</v>
      </c>
      <c r="I17" s="135">
        <f t="shared" si="7"/>
        <v>4.3342787682333879E-3</v>
      </c>
      <c r="J17" s="135">
        <f t="shared" si="7"/>
        <v>3.9595623987034034E-3</v>
      </c>
      <c r="K17" s="135">
        <f t="shared" si="8"/>
        <v>4.2541869259859538E-3</v>
      </c>
      <c r="L17" s="135">
        <v>9.0999999999999998E-2</v>
      </c>
      <c r="M17" s="135">
        <f t="shared" ref="M17:M18" si="12">1.2334*L17</f>
        <v>0.1122394</v>
      </c>
      <c r="N17" s="136">
        <f t="shared" si="10"/>
        <v>2.2447880000000002E-4</v>
      </c>
      <c r="O17" s="137">
        <f t="shared" si="11"/>
        <v>37.902794615669308</v>
      </c>
      <c r="P17" s="138"/>
      <c r="Q17" s="137"/>
      <c r="R17" s="139"/>
    </row>
    <row r="18" spans="1:18" s="5" customFormat="1" ht="13" x14ac:dyDescent="0.15">
      <c r="A18" s="184"/>
      <c r="B18" s="134">
        <v>5.9200000000000003E-2</v>
      </c>
      <c r="C18" s="134">
        <v>4.8399999999999999E-2</v>
      </c>
      <c r="D18" s="134">
        <v>4.0500000000000001E-2</v>
      </c>
      <c r="E18" s="134">
        <v>5.21E-2</v>
      </c>
      <c r="F18" s="134">
        <v>4.2000000000000003E-2</v>
      </c>
      <c r="G18" s="134">
        <v>3.4299999999999997E-2</v>
      </c>
      <c r="H18" s="135">
        <f t="shared" si="7"/>
        <v>4.4861426256077802E-3</v>
      </c>
      <c r="I18" s="135">
        <f t="shared" si="7"/>
        <v>3.7260940032414905E-3</v>
      </c>
      <c r="J18" s="135">
        <f t="shared" si="7"/>
        <v>3.2007293354943279E-3</v>
      </c>
      <c r="K18" s="135">
        <f t="shared" si="8"/>
        <v>3.8043219881145327E-3</v>
      </c>
      <c r="L18" s="135">
        <v>9.0999999999999998E-2</v>
      </c>
      <c r="M18" s="135">
        <f t="shared" si="12"/>
        <v>0.1122394</v>
      </c>
      <c r="N18" s="136">
        <f t="shared" si="10"/>
        <v>2.2447880000000002E-4</v>
      </c>
      <c r="O18" s="137">
        <f t="shared" si="11"/>
        <v>33.894710664120907</v>
      </c>
      <c r="P18" s="138"/>
      <c r="Q18" s="137"/>
      <c r="R18" s="139"/>
    </row>
    <row r="19" spans="1:18" s="5" customFormat="1" thickBot="1" x14ac:dyDescent="0.2">
      <c r="A19" s="219"/>
      <c r="B19" s="146">
        <v>5.1900000000000002E-2</v>
      </c>
      <c r="C19" s="146">
        <v>4.6800000000000001E-2</v>
      </c>
      <c r="D19" s="146">
        <v>2.8199999999999999E-2</v>
      </c>
      <c r="E19" s="146">
        <v>4.5400000000000003E-2</v>
      </c>
      <c r="F19" s="146">
        <v>4.0599999999999997E-2</v>
      </c>
      <c r="G19" s="146">
        <v>2.2499999999999999E-2</v>
      </c>
      <c r="H19" s="147">
        <f t="shared" si="7"/>
        <v>3.9599675850891412E-3</v>
      </c>
      <c r="I19" s="147">
        <f t="shared" si="7"/>
        <v>3.604051863857375E-3</v>
      </c>
      <c r="J19" s="147">
        <f t="shared" si="7"/>
        <v>2.3642625607779577E-3</v>
      </c>
      <c r="K19" s="147">
        <f t="shared" si="8"/>
        <v>3.3094273365748251E-3</v>
      </c>
      <c r="L19" s="147">
        <f>L16/4</f>
        <v>9.1249999999999998E-2</v>
      </c>
      <c r="M19" s="147">
        <f>1.2334*L19</f>
        <v>0.11254775</v>
      </c>
      <c r="N19" s="148">
        <f t="shared" si="10"/>
        <v>2.2509550000000001E-4</v>
      </c>
      <c r="O19" s="149">
        <f t="shared" si="11"/>
        <v>29.404651239805549</v>
      </c>
      <c r="P19" s="150">
        <f>AVERAGE(O17:O19)</f>
        <v>33.734052173198585</v>
      </c>
      <c r="Q19" s="149">
        <f>STDEV(O17:O19)</f>
        <v>4.2513490296861676</v>
      </c>
      <c r="R19" s="151">
        <f>Q19/SQRT(3)</f>
        <v>2.4545175067083633</v>
      </c>
    </row>
    <row r="20" spans="1:18" x14ac:dyDescent="0.15">
      <c r="R20" s="34"/>
    </row>
    <row r="21" spans="1:18" x14ac:dyDescent="0.15">
      <c r="A21" s="35" t="s">
        <v>29</v>
      </c>
    </row>
    <row r="22" spans="1:18" x14ac:dyDescent="0.15">
      <c r="A22" s="35" t="s">
        <v>31</v>
      </c>
    </row>
  </sheetData>
  <mergeCells count="15">
    <mergeCell ref="B11:R11"/>
    <mergeCell ref="B12:D12"/>
    <mergeCell ref="E12:G12"/>
    <mergeCell ref="H12:J12"/>
    <mergeCell ref="B13:D13"/>
    <mergeCell ref="E13:G13"/>
    <mergeCell ref="H13:J13"/>
    <mergeCell ref="B4:D4"/>
    <mergeCell ref="E4:G4"/>
    <mergeCell ref="H4:J4"/>
    <mergeCell ref="A1:R1"/>
    <mergeCell ref="B2:R2"/>
    <mergeCell ref="B3:D3"/>
    <mergeCell ref="E3:G3"/>
    <mergeCell ref="H3:J3"/>
  </mergeCells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8755E3B35AFD46855982A7C7E7BE1A" ma:contentTypeVersion="4" ma:contentTypeDescription="Create a new document." ma:contentTypeScope="" ma:versionID="3a788baaba5feb909dd4132bb981cf1b">
  <xsd:schema xmlns:xsd="http://www.w3.org/2001/XMLSchema" xmlns:xs="http://www.w3.org/2001/XMLSchema" xmlns:p="http://schemas.microsoft.com/office/2006/metadata/properties" xmlns:ns2="bb877b61-73df-4c71-aa42-e1c67dd7a708" targetNamespace="http://schemas.microsoft.com/office/2006/metadata/properties" ma:root="true" ma:fieldsID="7491248f6f5b838387a9d36578de4401" ns2:_="">
    <xsd:import namespace="bb877b61-73df-4c71-aa42-e1c67dd7a7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877b61-73df-4c71-aa42-e1c67dd7a7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8BD096F-E1BE-42C3-9E36-92EC8291088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7D4BCC2-FA74-4B2C-A61D-6E9168D2AE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877b61-73df-4c71-aa42-e1c67dd7a7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0E80B8-CCAF-4B51-BB97-1F97210DD552}">
  <ds:schemaRefs>
    <ds:schemaRef ds:uri="http://purl.org/dc/dcmitype/"/>
    <ds:schemaRef ds:uri="http://purl.org/dc/terms/"/>
    <ds:schemaRef ds:uri="http://purl.org/dc/elements/1.1/"/>
    <ds:schemaRef ds:uri="bb877b61-73df-4c71-aa42-e1c67dd7a708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Information Sheet</vt:lpstr>
      <vt:lpstr>Bead Beating CeBER</vt:lpstr>
      <vt:lpstr>Bead Beating UTEX #1926</vt:lpstr>
      <vt:lpstr>Bead beating using DMSO</vt:lpstr>
      <vt:lpstr>Sonication CeBER</vt:lpstr>
      <vt:lpstr>Sonication UTEX #1926</vt:lpstr>
      <vt:lpstr>Freeze thawing CeBER</vt:lpstr>
      <vt:lpstr>Freeze thawing UTEX #1926</vt:lpstr>
      <vt:lpstr>Drying CeBER</vt:lpstr>
      <vt:lpstr>Drying UTEX #1926</vt:lpstr>
      <vt:lpstr>Buffer testing</vt:lpstr>
    </vt:vector>
  </TitlesOfParts>
  <Manager/>
  <Company>University of Cape Town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user1</dc:creator>
  <cp:keywords/>
  <dc:description/>
  <cp:lastModifiedBy>Karen Ssekimpi</cp:lastModifiedBy>
  <cp:revision/>
  <dcterms:created xsi:type="dcterms:W3CDTF">2020-10-10T08:15:10Z</dcterms:created>
  <dcterms:modified xsi:type="dcterms:W3CDTF">2023-04-01T13:55:59Z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0x010100DB8755E3B35AFD46855982A7C7E7BE1A</vt:lpwstr>
  </property>
</Properties>
</file>