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en/Desktop/Thesis/Excel for submission/"/>
    </mc:Choice>
  </mc:AlternateContent>
  <xr:revisionPtr revIDLastSave="0" documentId="13_ncr:1_{9B414E25-11E7-0B46-B7EB-1592C7288F5D}" xr6:coauthVersionLast="47" xr6:coauthVersionMax="47" xr10:uidLastSave="{00000000-0000-0000-0000-000000000000}"/>
  <bookViews>
    <workbookView xWindow="0" yWindow="500" windowWidth="25600" windowHeight="14260" xr2:uid="{F9D752F7-EAF5-454E-ABDE-E1F2F1E07967}"/>
  </bookViews>
  <sheets>
    <sheet name="Information Sheet" sheetId="7" r:id="rId1"/>
    <sheet name="Spirulina growth standard curve" sheetId="8" r:id="rId2"/>
    <sheet name="Nitrate standard curve" sheetId="11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1" l="1"/>
  <c r="E8" i="11"/>
  <c r="C7" i="11"/>
  <c r="E6" i="11"/>
  <c r="C6" i="11"/>
  <c r="E5" i="11"/>
  <c r="C5" i="11"/>
  <c r="G4" i="11"/>
  <c r="H4" i="11" s="1"/>
  <c r="F4" i="11"/>
  <c r="D8" i="11" s="1"/>
  <c r="D5" i="11" l="1"/>
  <c r="G5" i="11" s="1"/>
  <c r="H5" i="11" s="1"/>
  <c r="D7" i="11"/>
  <c r="G7" i="11" s="1"/>
  <c r="H7" i="11" s="1"/>
  <c r="D9" i="11"/>
  <c r="E9" i="11"/>
  <c r="F9" i="11" s="1"/>
  <c r="E7" i="11"/>
  <c r="C8" i="11"/>
  <c r="D6" i="11"/>
  <c r="G6" i="11" s="1"/>
  <c r="H6" i="11" s="1"/>
  <c r="P22" i="8"/>
  <c r="G8" i="11" l="1"/>
  <c r="H8" i="11" s="1"/>
  <c r="F8" i="11"/>
  <c r="F5" i="11"/>
  <c r="F7" i="11"/>
  <c r="G9" i="11"/>
  <c r="H9" i="11" s="1"/>
  <c r="F6" i="11"/>
  <c r="O31" i="8"/>
  <c r="M31" i="8"/>
  <c r="P31" i="8" s="1"/>
  <c r="K31" i="8"/>
  <c r="O30" i="8"/>
  <c r="M30" i="8"/>
  <c r="P30" i="8" s="1"/>
  <c r="K30" i="8"/>
  <c r="O29" i="8"/>
  <c r="M29" i="8"/>
  <c r="P29" i="8" s="1"/>
  <c r="Q31" i="8" s="1"/>
  <c r="K29" i="8"/>
  <c r="O28" i="8"/>
  <c r="P28" i="8" s="1"/>
  <c r="M28" i="8"/>
  <c r="K28" i="8"/>
  <c r="O27" i="8"/>
  <c r="P27" i="8" s="1"/>
  <c r="M27" i="8"/>
  <c r="K27" i="8"/>
  <c r="O26" i="8"/>
  <c r="P26" i="8" s="1"/>
  <c r="Q28" i="8" s="1"/>
  <c r="M26" i="8"/>
  <c r="K26" i="8"/>
  <c r="O25" i="8"/>
  <c r="M25" i="8"/>
  <c r="P25" i="8" s="1"/>
  <c r="K25" i="8"/>
  <c r="O24" i="8"/>
  <c r="M24" i="8"/>
  <c r="P24" i="8" s="1"/>
  <c r="K24" i="8"/>
  <c r="O23" i="8"/>
  <c r="M23" i="8"/>
  <c r="P23" i="8" s="1"/>
  <c r="Q25" i="8" s="1"/>
  <c r="K23" i="8"/>
  <c r="O22" i="8"/>
  <c r="M22" i="8"/>
  <c r="K22" i="8"/>
  <c r="O21" i="8"/>
  <c r="P21" i="8" s="1"/>
  <c r="M21" i="8"/>
  <c r="K21" i="8"/>
  <c r="O20" i="8"/>
  <c r="P20" i="8" s="1"/>
  <c r="Q22" i="8" s="1"/>
  <c r="M20" i="8"/>
  <c r="K20" i="8"/>
  <c r="Y31" i="8"/>
  <c r="X31" i="8"/>
  <c r="W31" i="8"/>
  <c r="V31" i="8"/>
  <c r="Z31" i="8" s="1"/>
  <c r="Y28" i="8"/>
  <c r="X28" i="8"/>
  <c r="W28" i="8"/>
  <c r="V28" i="8"/>
  <c r="Z28" i="8" s="1"/>
  <c r="Y25" i="8"/>
  <c r="X25" i="8"/>
  <c r="W25" i="8"/>
  <c r="V25" i="8"/>
  <c r="Z25" i="8" s="1"/>
  <c r="Y22" i="8"/>
  <c r="X22" i="8"/>
  <c r="W22" i="8"/>
  <c r="V22" i="8"/>
  <c r="Z22" i="8" s="1"/>
  <c r="Y16" i="8"/>
  <c r="Y13" i="8"/>
  <c r="Y10" i="8"/>
  <c r="Y7" i="8"/>
  <c r="X16" i="8"/>
  <c r="X13" i="8"/>
  <c r="X10" i="8"/>
  <c r="X7" i="8"/>
  <c r="W16" i="8"/>
  <c r="W13" i="8"/>
  <c r="W10" i="8"/>
  <c r="W7" i="8"/>
  <c r="V16" i="8"/>
  <c r="V13" i="8"/>
  <c r="V10" i="8"/>
  <c r="V7" i="8"/>
  <c r="Z7" i="8"/>
  <c r="Z16" i="8" l="1"/>
  <c r="Z10" i="8"/>
  <c r="Z13" i="8"/>
  <c r="O16" i="8" l="1"/>
  <c r="M16" i="8"/>
  <c r="K16" i="8"/>
  <c r="O15" i="8"/>
  <c r="M15" i="8"/>
  <c r="K15" i="8"/>
  <c r="O14" i="8"/>
  <c r="M14" i="8"/>
  <c r="K14" i="8"/>
  <c r="N13" i="8"/>
  <c r="O13" i="8" s="1"/>
  <c r="M13" i="8"/>
  <c r="K13" i="8"/>
  <c r="N12" i="8"/>
  <c r="O12" i="8" s="1"/>
  <c r="M12" i="8"/>
  <c r="K12" i="8"/>
  <c r="O11" i="8"/>
  <c r="M11" i="8"/>
  <c r="K11" i="8"/>
  <c r="O10" i="8"/>
  <c r="M10" i="8"/>
  <c r="K10" i="8"/>
  <c r="O9" i="8"/>
  <c r="M9" i="8"/>
  <c r="K9" i="8"/>
  <c r="O8" i="8"/>
  <c r="M8" i="8"/>
  <c r="K8" i="8"/>
  <c r="O7" i="8"/>
  <c r="M7" i="8"/>
  <c r="K7" i="8"/>
  <c r="O6" i="8"/>
  <c r="M6" i="8"/>
  <c r="K6" i="8"/>
  <c r="O5" i="8"/>
  <c r="M5" i="8"/>
  <c r="K5" i="8"/>
  <c r="P13" i="8" l="1"/>
  <c r="P6" i="8"/>
  <c r="P9" i="8"/>
  <c r="P11" i="8"/>
  <c r="P12" i="8"/>
  <c r="Q13" i="8" s="1"/>
  <c r="P15" i="8"/>
  <c r="P5" i="8"/>
  <c r="P7" i="8"/>
  <c r="P8" i="8"/>
  <c r="P10" i="8"/>
  <c r="P14" i="8"/>
  <c r="P16" i="8"/>
  <c r="Q7" i="8" l="1"/>
  <c r="Q10" i="8"/>
  <c r="Q16" i="8"/>
</calcChain>
</file>

<file path=xl/sharedStrings.xml><?xml version="1.0" encoding="utf-8"?>
<sst xmlns="http://schemas.openxmlformats.org/spreadsheetml/2006/main" count="88" uniqueCount="51">
  <si>
    <t>Lab work by: Karen Ssekimpi</t>
  </si>
  <si>
    <t>Project Leader: Dr Mariette Smart, Prof. Sue Harrison, Dr Marijke Fagan-Endres</t>
  </si>
  <si>
    <t>all assays by Karen Ssekimpi</t>
  </si>
  <si>
    <t>The two Spirulina strains, CeBER and UTEX #1926, were grown at room temperature under different conditions. These conditions include fluorescent light, coloured different LEDs, and an additional nitrogen source.</t>
  </si>
  <si>
    <t>Samples from the two starins were taken daily and the absorbance at 750 nm was measured to determine the biomass concentraion (g/L)</t>
  </si>
  <si>
    <t>Start date:</t>
  </si>
  <si>
    <t>End date:</t>
  </si>
  <si>
    <t>Table of Contents</t>
  </si>
  <si>
    <t>Sheet #</t>
  </si>
  <si>
    <t>Description</t>
  </si>
  <si>
    <t xml:space="preserve">Information Sheet </t>
  </si>
  <si>
    <t>Details experiments conducted</t>
  </si>
  <si>
    <t>Standard curves for the two strains grown</t>
  </si>
  <si>
    <t>Spirulina (CeBER and UTEX #1926 strain) standard curve generation 06 October 2020</t>
  </si>
  <si>
    <t>CeBER strain</t>
  </si>
  <si>
    <t>Dilution</t>
  </si>
  <si>
    <t>Mass of boat</t>
  </si>
  <si>
    <t>Mass of filters</t>
  </si>
  <si>
    <t>Total weight</t>
  </si>
  <si>
    <t>Filtered volume</t>
  </si>
  <si>
    <t>Dried weight</t>
  </si>
  <si>
    <t>Biomass weight</t>
  </si>
  <si>
    <t>Concentration</t>
  </si>
  <si>
    <t>Average concentration</t>
  </si>
  <si>
    <t>OD readings (measured)</t>
  </si>
  <si>
    <t>OD readings (adjusted)</t>
  </si>
  <si>
    <t>Average OD readings</t>
  </si>
  <si>
    <t>g</t>
  </si>
  <si>
    <t>mL</t>
  </si>
  <si>
    <t>L</t>
  </si>
  <si>
    <t>g/L</t>
  </si>
  <si>
    <t>1x dilution</t>
  </si>
  <si>
    <t>2x dilution</t>
  </si>
  <si>
    <t>3x dilution</t>
  </si>
  <si>
    <t>6x dilution</t>
  </si>
  <si>
    <t>Neat</t>
  </si>
  <si>
    <t>75/25</t>
  </si>
  <si>
    <t>50/50</t>
  </si>
  <si>
    <t>25/75</t>
  </si>
  <si>
    <t>UTEX #1926 strain</t>
  </si>
  <si>
    <t>Nitrate Assay standard curve generation 31 March 2021</t>
  </si>
  <si>
    <t>Amount of N</t>
  </si>
  <si>
    <t>OD (410 nm) readings</t>
  </si>
  <si>
    <t>Average</t>
  </si>
  <si>
    <t>Std Dev</t>
  </si>
  <si>
    <t>Error</t>
  </si>
  <si>
    <t>µg</t>
  </si>
  <si>
    <t>Nitrate standard curve</t>
  </si>
  <si>
    <t>Spirulina growth standard curve</t>
  </si>
  <si>
    <r>
      <rPr>
        <b/>
        <sz val="10"/>
        <color theme="1"/>
        <rFont val="Arial"/>
        <family val="2"/>
      </rPr>
      <t>Daily measurements:</t>
    </r>
    <r>
      <rPr>
        <sz val="10"/>
        <color theme="1"/>
        <rFont val="Arial"/>
        <family val="2"/>
      </rPr>
      <t xml:space="preserve"> Absorbance at 750 nm</t>
    </r>
  </si>
  <si>
    <r>
      <t xml:space="preserve">The biomass growth of two </t>
    </r>
    <r>
      <rPr>
        <i/>
        <sz val="14"/>
        <rFont val="Arial"/>
        <family val="2"/>
      </rPr>
      <t>Spirulina</t>
    </r>
    <r>
      <rPr>
        <sz val="14"/>
        <rFont val="Arial"/>
        <family val="2"/>
      </rPr>
      <t xml:space="preserve"> cultures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</si>
</sst>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  <font>
      <sz val="14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2"/>
      <color theme="0"/>
      <name val="Arial"/>
      <family val="2"/>
    </font>
    <font>
      <i/>
      <sz val="12"/>
      <color theme="1"/>
      <name val="Arial"/>
      <family val="2"/>
    </font>
    <font>
      <i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339933"/>
        <bgColor indexed="64"/>
      </patternFill>
    </fill>
    <fill>
      <patternFill patternType="solid">
        <fgColor rgb="FFCAEEC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center" vertical="top" wrapText="1"/>
    </xf>
    <xf numFmtId="165" fontId="7" fillId="3" borderId="0" xfId="0" applyNumberFormat="1" applyFont="1" applyFill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center" vertical="top" wrapText="1"/>
    </xf>
    <xf numFmtId="165" fontId="7" fillId="3" borderId="3" xfId="0" applyNumberFormat="1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 wrapText="1"/>
    </xf>
    <xf numFmtId="0" fontId="9" fillId="2" borderId="3" xfId="0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5" fillId="4" borderId="0" xfId="0" applyFont="1" applyFill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/>
    </xf>
    <xf numFmtId="2" fontId="5" fillId="8" borderId="19" xfId="0" applyNumberFormat="1" applyFont="1" applyFill="1" applyBorder="1" applyAlignment="1">
      <alignment horizontal="center" vertical="center"/>
    </xf>
    <xf numFmtId="0" fontId="5" fillId="8" borderId="20" xfId="0" applyFont="1" applyFill="1" applyBorder="1"/>
    <xf numFmtId="0" fontId="7" fillId="0" borderId="9" xfId="0" applyFont="1" applyBorder="1"/>
    <xf numFmtId="1" fontId="7" fillId="0" borderId="0" xfId="0" applyNumberFormat="1" applyFont="1"/>
    <xf numFmtId="2" fontId="7" fillId="0" borderId="0" xfId="0" applyNumberFormat="1" applyFont="1"/>
    <xf numFmtId="0" fontId="7" fillId="6" borderId="10" xfId="0" applyFont="1" applyFill="1" applyBorder="1"/>
    <xf numFmtId="2" fontId="7" fillId="6" borderId="10" xfId="0" applyNumberFormat="1" applyFont="1" applyFill="1" applyBorder="1"/>
    <xf numFmtId="164" fontId="7" fillId="6" borderId="10" xfId="0" applyNumberFormat="1" applyFont="1" applyFill="1" applyBorder="1"/>
    <xf numFmtId="0" fontId="7" fillId="0" borderId="25" xfId="0" applyFont="1" applyBorder="1"/>
    <xf numFmtId="0" fontId="7" fillId="0" borderId="1" xfId="0" applyFont="1" applyBorder="1"/>
    <xf numFmtId="1" fontId="7" fillId="0" borderId="1" xfId="0" applyNumberFormat="1" applyFont="1" applyBorder="1"/>
    <xf numFmtId="2" fontId="7" fillId="0" borderId="1" xfId="0" applyNumberFormat="1" applyFont="1" applyBorder="1"/>
    <xf numFmtId="0" fontId="7" fillId="6" borderId="26" xfId="0" applyFont="1" applyFill="1" applyBorder="1"/>
    <xf numFmtId="2" fontId="7" fillId="6" borderId="26" xfId="0" applyNumberFormat="1" applyFont="1" applyFill="1" applyBorder="1"/>
    <xf numFmtId="2" fontId="5" fillId="0" borderId="0" xfId="0" applyNumberFormat="1" applyFont="1"/>
    <xf numFmtId="0" fontId="7" fillId="0" borderId="28" xfId="0" applyFont="1" applyBorder="1"/>
    <xf numFmtId="0" fontId="7" fillId="0" borderId="2" xfId="0" applyFont="1" applyBorder="1"/>
    <xf numFmtId="1" fontId="7" fillId="0" borderId="2" xfId="0" applyNumberFormat="1" applyFont="1" applyBorder="1"/>
    <xf numFmtId="2" fontId="7" fillId="0" borderId="2" xfId="0" applyNumberFormat="1" applyFont="1" applyBorder="1"/>
    <xf numFmtId="2" fontId="7" fillId="6" borderId="29" xfId="0" applyNumberFormat="1" applyFont="1" applyFill="1" applyBorder="1"/>
    <xf numFmtId="164" fontId="7" fillId="0" borderId="2" xfId="0" applyNumberFormat="1" applyFont="1" applyBorder="1"/>
    <xf numFmtId="164" fontId="7" fillId="6" borderId="29" xfId="0" applyNumberFormat="1" applyFont="1" applyFill="1" applyBorder="1"/>
    <xf numFmtId="164" fontId="5" fillId="0" borderId="0" xfId="0" applyNumberFormat="1" applyFont="1"/>
    <xf numFmtId="0" fontId="7" fillId="0" borderId="11" xfId="0" applyFont="1" applyBorder="1"/>
    <xf numFmtId="0" fontId="7" fillId="0" borderId="3" xfId="0" applyFont="1" applyBorder="1"/>
    <xf numFmtId="164" fontId="7" fillId="0" borderId="3" xfId="0" applyNumberFormat="1" applyFont="1" applyBorder="1"/>
    <xf numFmtId="164" fontId="7" fillId="6" borderId="12" xfId="0" applyNumberFormat="1" applyFont="1" applyFill="1" applyBorder="1"/>
    <xf numFmtId="164" fontId="7" fillId="0" borderId="0" xfId="0" applyNumberFormat="1" applyFont="1"/>
    <xf numFmtId="164" fontId="7" fillId="0" borderId="1" xfId="0" applyNumberFormat="1" applyFont="1" applyBorder="1"/>
    <xf numFmtId="164" fontId="7" fillId="6" borderId="26" xfId="0" applyNumberFormat="1" applyFont="1" applyFill="1" applyBorder="1"/>
    <xf numFmtId="0" fontId="5" fillId="0" borderId="3" xfId="0" applyFont="1" applyBorder="1"/>
    <xf numFmtId="0" fontId="5" fillId="0" borderId="12" xfId="0" applyFont="1" applyBorder="1"/>
    <xf numFmtId="2" fontId="7" fillId="0" borderId="3" xfId="0" applyNumberFormat="1" applyFont="1" applyBorder="1"/>
    <xf numFmtId="2" fontId="7" fillId="6" borderId="12" xfId="0" applyNumberFormat="1" applyFont="1" applyFill="1" applyBorder="1"/>
    <xf numFmtId="164" fontId="7" fillId="0" borderId="11" xfId="0" applyNumberFormat="1" applyFont="1" applyBorder="1"/>
    <xf numFmtId="0" fontId="5" fillId="10" borderId="7" xfId="0" applyFont="1" applyFill="1" applyBorder="1" applyAlignment="1">
      <alignment horizontal="center" vertical="center" wrapText="1"/>
    </xf>
    <xf numFmtId="0" fontId="5" fillId="10" borderId="33" xfId="0" applyFont="1" applyFill="1" applyBorder="1" applyAlignment="1">
      <alignment horizontal="center" vertical="center"/>
    </xf>
    <xf numFmtId="0" fontId="5" fillId="10" borderId="3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0" fontId="5" fillId="11" borderId="19" xfId="0" applyFont="1" applyFill="1" applyBorder="1" applyAlignment="1">
      <alignment horizontal="center" vertical="center"/>
    </xf>
    <xf numFmtId="0" fontId="5" fillId="11" borderId="20" xfId="0" applyFont="1" applyFill="1" applyBorder="1" applyAlignment="1">
      <alignment horizontal="center" vertical="center"/>
    </xf>
    <xf numFmtId="2" fontId="7" fillId="0" borderId="10" xfId="0" applyNumberFormat="1" applyFont="1" applyBorder="1"/>
    <xf numFmtId="2" fontId="7" fillId="0" borderId="3" xfId="0" applyNumberFormat="1" applyFont="1" applyBorder="1" applyAlignment="1">
      <alignment horizontal="right"/>
    </xf>
    <xf numFmtId="2" fontId="7" fillId="12" borderId="3" xfId="0" applyNumberFormat="1" applyFont="1" applyFill="1" applyBorder="1" applyAlignment="1">
      <alignment horizontal="right"/>
    </xf>
    <xf numFmtId="2" fontId="7" fillId="0" borderId="12" xfId="0" applyNumberFormat="1" applyFont="1" applyBorder="1"/>
    <xf numFmtId="2" fontId="7" fillId="0" borderId="7" xfId="0" applyNumberFormat="1" applyFont="1" applyBorder="1" applyAlignment="1">
      <alignment horizontal="right"/>
    </xf>
    <xf numFmtId="2" fontId="7" fillId="0" borderId="8" xfId="0" applyNumberFormat="1" applyFont="1" applyBorder="1" applyAlignment="1">
      <alignment horizontal="right"/>
    </xf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2" fontId="7" fillId="0" borderId="0" xfId="0" applyNumberFormat="1" applyFont="1" applyAlignment="1">
      <alignment horizontal="right"/>
    </xf>
    <xf numFmtId="2" fontId="7" fillId="12" borderId="0" xfId="0" applyNumberFormat="1" applyFont="1" applyFill="1" applyAlignment="1">
      <alignment horizontal="right"/>
    </xf>
    <xf numFmtId="0" fontId="5" fillId="0" borderId="10" xfId="0" applyFont="1" applyBorder="1"/>
    <xf numFmtId="0" fontId="5" fillId="0" borderId="11" xfId="0" applyFont="1" applyBorder="1"/>
    <xf numFmtId="2" fontId="7" fillId="0" borderId="9" xfId="0" applyNumberFormat="1" applyFont="1" applyBorder="1"/>
    <xf numFmtId="2" fontId="7" fillId="0" borderId="25" xfId="0" applyNumberFormat="1" applyFont="1" applyBorder="1"/>
    <xf numFmtId="2" fontId="7" fillId="0" borderId="28" xfId="0" applyNumberFormat="1" applyFont="1" applyBorder="1"/>
    <xf numFmtId="2" fontId="7" fillId="0" borderId="11" xfId="0" applyNumberFormat="1" applyFont="1" applyBorder="1"/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10" fillId="5" borderId="0" xfId="0" applyFont="1" applyFill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/>
    </xf>
    <xf numFmtId="0" fontId="5" fillId="8" borderId="21" xfId="0" applyFont="1" applyFill="1" applyBorder="1" applyAlignment="1">
      <alignment horizontal="center"/>
    </xf>
    <xf numFmtId="0" fontId="5" fillId="8" borderId="22" xfId="0" applyFont="1" applyFill="1" applyBorder="1" applyAlignment="1">
      <alignment horizontal="center"/>
    </xf>
    <xf numFmtId="0" fontId="5" fillId="8" borderId="23" xfId="0" applyFont="1" applyFill="1" applyBorder="1" applyAlignment="1">
      <alignment horizontal="center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left" vertical="center"/>
    </xf>
    <xf numFmtId="0" fontId="11" fillId="9" borderId="4" xfId="0" applyFont="1" applyFill="1" applyBorder="1" applyAlignment="1">
      <alignment horizontal="left" vertical="center"/>
    </xf>
    <xf numFmtId="0" fontId="11" fillId="9" borderId="6" xfId="0" applyFont="1" applyFill="1" applyBorder="1" applyAlignment="1">
      <alignment horizontal="left" vertical="center"/>
    </xf>
    <xf numFmtId="0" fontId="5" fillId="10" borderId="32" xfId="0" applyFont="1" applyFill="1" applyBorder="1" applyAlignment="1">
      <alignment horizontal="center" vertical="center"/>
    </xf>
    <xf numFmtId="0" fontId="5" fillId="10" borderId="3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33"/>
      <color rgb="FFCAEECA"/>
      <color rgb="FFAEE4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9005249343832019E-2"/>
                  <c:y val="-6.06481481481481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('Spirulina growth standard curve'!$Z$7,'Spirulina growth standard curve'!$Z$10,'Spirulina growth standard curve'!$Z$13,'Spirulina growth standard curve'!$Z$16)</c:f>
              <c:numCache>
                <c:formatCode>0.000</c:formatCode>
                <c:ptCount val="4"/>
                <c:pt idx="0">
                  <c:v>1.0507500000000001</c:v>
                </c:pt>
                <c:pt idx="1">
                  <c:v>0.77400000000000002</c:v>
                </c:pt>
                <c:pt idx="2">
                  <c:v>0.51924999999999999</c:v>
                </c:pt>
                <c:pt idx="3">
                  <c:v>0.24174999999999999</c:v>
                </c:pt>
              </c:numCache>
            </c:numRef>
          </c:xVal>
          <c:yVal>
            <c:numRef>
              <c:f>('Spirulina growth standard curve'!$Q$7,'Spirulina growth standard curve'!$Q$10,'Spirulina growth standard curve'!$Q$13,'Spirulina growth standard curve'!$Q$16)</c:f>
              <c:numCache>
                <c:formatCode>0.00</c:formatCode>
                <c:ptCount val="4"/>
                <c:pt idx="0">
                  <c:v>1.2972222222222227</c:v>
                </c:pt>
                <c:pt idx="1">
                  <c:v>0.89309241483154567</c:v>
                </c:pt>
                <c:pt idx="2">
                  <c:v>0.72072336265884562</c:v>
                </c:pt>
                <c:pt idx="3">
                  <c:v>0.31786875725900121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B4-4823-9C3E-A99FE42DA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443696"/>
        <c:axId val="402087280"/>
      </c:scatterChart>
      <c:valAx>
        <c:axId val="8704436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Absorbance</a:t>
                </a:r>
                <a:r>
                  <a:rPr lang="en-ZA" b="1" baseline="0"/>
                  <a:t> at 750 nm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0.36226348280929732"/>
              <c:y val="0.895507766433254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087280"/>
        <c:crosses val="autoZero"/>
        <c:crossBetween val="midCat"/>
      </c:valAx>
      <c:valAx>
        <c:axId val="4020872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Biomass concentration (g.L</a:t>
                </a:r>
                <a:r>
                  <a:rPr lang="en-ZA" b="1" baseline="30000"/>
                  <a:t>-1</a:t>
                </a:r>
                <a:r>
                  <a:rPr lang="en-ZA" b="1"/>
                  <a:t>)</a:t>
                </a:r>
              </a:p>
            </c:rich>
          </c:tx>
          <c:layout>
            <c:manualLayout>
              <c:xMode val="edge"/>
              <c:yMode val="edge"/>
              <c:x val="1.9834144968377963E-2"/>
              <c:y val="8.145101535624571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7044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4.7491032370953631E-2"/>
                  <c:y val="-3.74999999999999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('Spirulina growth standard curve'!$Z$22,'Spirulina growth standard curve'!$Z$25,'Spirulina growth standard curve'!$Z$28,'Spirulina growth standard curve'!$Z$31)</c:f>
              <c:numCache>
                <c:formatCode>0.000</c:formatCode>
                <c:ptCount val="4"/>
                <c:pt idx="0">
                  <c:v>1.0485</c:v>
                </c:pt>
                <c:pt idx="1">
                  <c:v>0.70799999999999996</c:v>
                </c:pt>
                <c:pt idx="2">
                  <c:v>0.51149999999999995</c:v>
                </c:pt>
                <c:pt idx="3">
                  <c:v>0.23049999999999998</c:v>
                </c:pt>
              </c:numCache>
            </c:numRef>
          </c:xVal>
          <c:yVal>
            <c:numRef>
              <c:f>('Spirulina growth standard curve'!$Q$22,'Spirulina growth standard curve'!$Q$25,'Spirulina growth standard curve'!$Q$28,'Spirulina growth standard curve'!$Q$31)</c:f>
              <c:numCache>
                <c:formatCode>0.00</c:formatCode>
                <c:ptCount val="4"/>
                <c:pt idx="0">
                  <c:v>1.2999999999999998</c:v>
                </c:pt>
                <c:pt idx="1">
                  <c:v>0.95666666666666622</c:v>
                </c:pt>
                <c:pt idx="2">
                  <c:v>0.59333333333333371</c:v>
                </c:pt>
                <c:pt idx="3">
                  <c:v>0.29833333333333328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D1-4FBE-B433-2BBDBA5E8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333440"/>
        <c:axId val="402096848"/>
      </c:scatterChart>
      <c:valAx>
        <c:axId val="999333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Absorbance</a:t>
                </a:r>
                <a:r>
                  <a:rPr lang="en-ZA" b="1" baseline="0"/>
                  <a:t> at 750 nm</a:t>
                </a:r>
                <a:endParaRPr lang="en-ZA" b="1"/>
              </a:p>
            </c:rich>
          </c:tx>
          <c:layout>
            <c:manualLayout>
              <c:xMode val="edge"/>
              <c:yMode val="edge"/>
              <c:x val="0.36091367110150774"/>
              <c:y val="0.89618862940980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096848"/>
        <c:crosses val="autoZero"/>
        <c:crossBetween val="midCat"/>
      </c:valAx>
      <c:valAx>
        <c:axId val="402096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Biomass concentration (g.L</a:t>
                </a:r>
                <a:r>
                  <a:rPr lang="en-ZA" b="1" baseline="30000"/>
                  <a:t>-1</a:t>
                </a:r>
                <a:r>
                  <a:rPr lang="en-ZA" b="1"/>
                  <a:t>)</a:t>
                </a:r>
              </a:p>
            </c:rich>
          </c:tx>
          <c:layout>
            <c:manualLayout>
              <c:xMode val="edge"/>
              <c:yMode val="edge"/>
              <c:x val="1.9834144968377963E-2"/>
              <c:y val="8.1250180675139269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999333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9784776902887138E-2"/>
                  <c:y val="-1.893518518518520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'Nitrate standard curve'!$F$4:$F$9</c:f>
              <c:numCache>
                <c:formatCode>0.00</c:formatCode>
                <c:ptCount val="6"/>
                <c:pt idx="0">
                  <c:v>9.633333333333334E-2</c:v>
                </c:pt>
                <c:pt idx="1">
                  <c:v>0.23</c:v>
                </c:pt>
                <c:pt idx="2">
                  <c:v>0.48366666666666663</c:v>
                </c:pt>
                <c:pt idx="3">
                  <c:v>0.71599999999999986</c:v>
                </c:pt>
                <c:pt idx="4">
                  <c:v>0.94966666666666677</c:v>
                </c:pt>
                <c:pt idx="5">
                  <c:v>1.2369999999999999</c:v>
                </c:pt>
              </c:numCache>
            </c:numRef>
          </c:xVal>
          <c:yVal>
            <c:numRef>
              <c:f>'Nitrate standard curve'!$B$4:$B$9</c:f>
              <c:numCache>
                <c:formatCode>0.00</c:formatCode>
                <c:ptCount val="6"/>
                <c:pt idx="0">
                  <c:v>0</c:v>
                </c:pt>
                <c:pt idx="1">
                  <c:v>1.25</c:v>
                </c:pt>
                <c:pt idx="2">
                  <c:v>2.5</c:v>
                </c:pt>
                <c:pt idx="3">
                  <c:v>3.75</c:v>
                </c:pt>
                <c:pt idx="4">
                  <c:v>5</c:v>
                </c:pt>
                <c:pt idx="5">
                  <c:v>6.25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BE-044F-8CA8-1817F1EDB8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9982559"/>
        <c:axId val="1399985471"/>
      </c:scatterChart>
      <c:valAx>
        <c:axId val="1399982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Absorbance at</a:t>
                </a:r>
                <a:r>
                  <a:rPr lang="en-ZA" b="1" baseline="0"/>
                  <a:t> </a:t>
                </a:r>
                <a:r>
                  <a:rPr lang="en-ZA" b="1"/>
                  <a:t>410 nm</a:t>
                </a:r>
              </a:p>
            </c:rich>
          </c:tx>
          <c:layout>
            <c:manualLayout>
              <c:xMode val="edge"/>
              <c:yMode val="edge"/>
              <c:x val="0.37846266234613318"/>
              <c:y val="0.892510025074391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99985471"/>
        <c:crosses val="autoZero"/>
        <c:crossBetween val="midCat"/>
      </c:valAx>
      <c:valAx>
        <c:axId val="13999854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b="1"/>
                  <a:t>Amount of N (µg)</a:t>
                </a:r>
              </a:p>
            </c:rich>
          </c:tx>
          <c:layout>
            <c:manualLayout>
              <c:xMode val="edge"/>
              <c:yMode val="edge"/>
              <c:x val="1.5904572564612324E-2"/>
              <c:y val="0.23751844923426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99982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64141</xdr:colOff>
      <xdr:row>2</xdr:row>
      <xdr:rowOff>36254</xdr:rowOff>
    </xdr:from>
    <xdr:to>
      <xdr:col>6</xdr:col>
      <xdr:colOff>1026261</xdr:colOff>
      <xdr:row>16</xdr:row>
      <xdr:rowOff>25655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F40C9F-9FB5-46B6-8A1C-E24958FAB3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17</xdr:row>
      <xdr:rowOff>52387</xdr:rowOff>
    </xdr:from>
    <xdr:to>
      <xdr:col>6</xdr:col>
      <xdr:colOff>942975</xdr:colOff>
      <xdr:row>30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79E6E80-B4B7-4072-87B3-6721C0961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</xdr:row>
      <xdr:rowOff>109536</xdr:rowOff>
    </xdr:from>
    <xdr:to>
      <xdr:col>0</xdr:col>
      <xdr:colOff>5105400</xdr:colOff>
      <xdr:row>15</xdr:row>
      <xdr:rowOff>180974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064667-5E02-EE4E-908E-251B5A7998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327D2-D1C4-4A7E-BAEA-B6D4FBFF5BDB}">
  <dimension ref="A1:D17"/>
  <sheetViews>
    <sheetView tabSelected="1" workbookViewId="0">
      <selection sqref="A1:C1"/>
    </sheetView>
  </sheetViews>
  <sheetFormatPr baseColWidth="10" defaultColWidth="41.1640625" defaultRowHeight="14" x14ac:dyDescent="0.15"/>
  <cols>
    <col min="1" max="1" width="31" style="20" customWidth="1"/>
    <col min="2" max="2" width="9.5" style="21" customWidth="1"/>
    <col min="3" max="3" width="56.1640625" style="20" customWidth="1"/>
    <col min="4" max="4" width="41.1640625" style="1"/>
    <col min="5" max="16384" width="41.1640625" style="3"/>
  </cols>
  <sheetData>
    <row r="1" spans="1:4" s="2" customFormat="1" ht="16" x14ac:dyDescent="0.2">
      <c r="A1" s="92"/>
      <c r="B1" s="92"/>
      <c r="C1" s="92"/>
      <c r="D1" s="1"/>
    </row>
    <row r="2" spans="1:4" ht="18" x14ac:dyDescent="0.15">
      <c r="A2" s="93" t="s">
        <v>50</v>
      </c>
      <c r="B2" s="93"/>
      <c r="C2" s="93"/>
    </row>
    <row r="3" spans="1:4" ht="16" x14ac:dyDescent="0.15">
      <c r="A3" s="92" t="s">
        <v>0</v>
      </c>
      <c r="B3" s="92"/>
      <c r="C3" s="92"/>
    </row>
    <row r="4" spans="1:4" s="4" customFormat="1" x14ac:dyDescent="0.15">
      <c r="A4" s="94" t="s">
        <v>1</v>
      </c>
      <c r="B4" s="94"/>
      <c r="C4" s="94"/>
      <c r="D4" s="1"/>
    </row>
    <row r="5" spans="1:4" s="5" customFormat="1" ht="13" x14ac:dyDescent="0.15">
      <c r="A5" s="95" t="s">
        <v>2</v>
      </c>
      <c r="B5" s="95"/>
      <c r="C5" s="95"/>
      <c r="D5" s="1"/>
    </row>
    <row r="6" spans="1:4" ht="33" customHeight="1" x14ac:dyDescent="0.15">
      <c r="A6" s="96" t="s">
        <v>3</v>
      </c>
      <c r="B6" s="96"/>
      <c r="C6" s="96"/>
    </row>
    <row r="7" spans="1:4" ht="40.5" customHeight="1" x14ac:dyDescent="0.15">
      <c r="A7" s="91" t="s">
        <v>4</v>
      </c>
      <c r="B7" s="91"/>
      <c r="C7" s="91"/>
    </row>
    <row r="8" spans="1:4" x14ac:dyDescent="0.15">
      <c r="A8" s="91" t="s">
        <v>49</v>
      </c>
      <c r="B8" s="91"/>
      <c r="C8" s="91"/>
    </row>
    <row r="9" spans="1:4" x14ac:dyDescent="0.15">
      <c r="A9" s="6" t="s">
        <v>5</v>
      </c>
      <c r="B9" s="7"/>
      <c r="C9" s="8">
        <v>44110</v>
      </c>
    </row>
    <row r="10" spans="1:4" ht="15" thickBot="1" x14ac:dyDescent="0.2">
      <c r="A10" s="9" t="s">
        <v>6</v>
      </c>
      <c r="B10" s="10"/>
      <c r="C10" s="11">
        <v>44286</v>
      </c>
    </row>
    <row r="11" spans="1:4" s="5" customFormat="1" thickBot="1" x14ac:dyDescent="0.2">
      <c r="A11" s="12"/>
      <c r="B11" s="13"/>
      <c r="C11" s="12"/>
      <c r="D11" s="1"/>
    </row>
    <row r="12" spans="1:4" ht="18" thickBot="1" x14ac:dyDescent="0.2">
      <c r="A12" s="14" t="s">
        <v>7</v>
      </c>
      <c r="B12" s="15" t="s">
        <v>8</v>
      </c>
      <c r="C12" s="16" t="s">
        <v>9</v>
      </c>
    </row>
    <row r="13" spans="1:4" ht="15" x14ac:dyDescent="0.15">
      <c r="A13" s="17" t="s">
        <v>10</v>
      </c>
      <c r="B13" s="18">
        <v>1</v>
      </c>
      <c r="C13" s="19" t="s">
        <v>11</v>
      </c>
    </row>
    <row r="14" spans="1:4" ht="15" x14ac:dyDescent="0.15">
      <c r="A14" s="17" t="s">
        <v>48</v>
      </c>
      <c r="B14" s="18">
        <v>2</v>
      </c>
      <c r="C14" s="19" t="s">
        <v>12</v>
      </c>
    </row>
    <row r="15" spans="1:4" ht="15" x14ac:dyDescent="0.15">
      <c r="A15" s="17" t="s">
        <v>47</v>
      </c>
      <c r="B15" s="18">
        <v>3</v>
      </c>
      <c r="C15" s="19" t="s">
        <v>47</v>
      </c>
    </row>
    <row r="17" spans="1:1" x14ac:dyDescent="0.15">
      <c r="A17" s="90"/>
    </row>
  </sheetData>
  <mergeCells count="8">
    <mergeCell ref="A7:C7"/>
    <mergeCell ref="A8:C8"/>
    <mergeCell ref="A1:C1"/>
    <mergeCell ref="A2:C2"/>
    <mergeCell ref="A3:C3"/>
    <mergeCell ref="A4:C4"/>
    <mergeCell ref="A5:C5"/>
    <mergeCell ref="A6:C6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6244A-CF1F-412D-A4FB-39C62BC73E90}">
  <dimension ref="A1:AK31"/>
  <sheetViews>
    <sheetView zoomScale="99" workbookViewId="0">
      <selection sqref="A1:Z1"/>
    </sheetView>
  </sheetViews>
  <sheetFormatPr baseColWidth="10" defaultColWidth="8.83203125" defaultRowHeight="14" x14ac:dyDescent="0.15"/>
  <cols>
    <col min="1" max="6" width="8.83203125" style="3"/>
    <col min="7" max="7" width="15" style="3" bestFit="1" customWidth="1"/>
    <col min="8" max="8" width="10.33203125" style="3" bestFit="1" customWidth="1"/>
    <col min="9" max="9" width="9.1640625" style="3" customWidth="1"/>
    <col min="10" max="10" width="7.83203125" style="3" bestFit="1" customWidth="1"/>
    <col min="11" max="15" width="8.83203125" style="3"/>
    <col min="16" max="16" width="13.33203125" style="3" customWidth="1"/>
    <col min="17" max="17" width="12.83203125" style="3" customWidth="1"/>
    <col min="18" max="21" width="9.5" style="3" bestFit="1" customWidth="1"/>
    <col min="22" max="25" width="8.83203125" style="3"/>
    <col min="26" max="26" width="13.1640625" style="3" customWidth="1"/>
    <col min="27" max="16384" width="8.83203125" style="3"/>
  </cols>
  <sheetData>
    <row r="1" spans="1:37" ht="17" thickBot="1" x14ac:dyDescent="0.2">
      <c r="A1" s="97" t="s">
        <v>13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</row>
    <row r="2" spans="1:37" ht="17" thickBot="1" x14ac:dyDescent="0.2">
      <c r="A2" s="98" t="s">
        <v>14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100"/>
    </row>
    <row r="3" spans="1:37" ht="30" x14ac:dyDescent="0.15">
      <c r="H3" s="22" t="s">
        <v>15</v>
      </c>
      <c r="I3" s="23" t="s">
        <v>16</v>
      </c>
      <c r="J3" s="24" t="s">
        <v>17</v>
      </c>
      <c r="K3" s="24" t="s">
        <v>18</v>
      </c>
      <c r="L3" s="24" t="s">
        <v>19</v>
      </c>
      <c r="M3" s="24" t="s">
        <v>19</v>
      </c>
      <c r="N3" s="24" t="s">
        <v>20</v>
      </c>
      <c r="O3" s="24" t="s">
        <v>21</v>
      </c>
      <c r="P3" s="24" t="s">
        <v>22</v>
      </c>
      <c r="Q3" s="25" t="s">
        <v>23</v>
      </c>
      <c r="R3" s="101" t="s">
        <v>24</v>
      </c>
      <c r="S3" s="102"/>
      <c r="T3" s="102"/>
      <c r="U3" s="102"/>
      <c r="V3" s="103" t="s">
        <v>25</v>
      </c>
      <c r="W3" s="103"/>
      <c r="X3" s="103"/>
      <c r="Y3" s="103"/>
      <c r="Z3" s="25" t="s">
        <v>26</v>
      </c>
    </row>
    <row r="4" spans="1:37" ht="15" x14ac:dyDescent="0.15">
      <c r="H4" s="26"/>
      <c r="I4" s="27" t="s">
        <v>27</v>
      </c>
      <c r="J4" s="28" t="s">
        <v>27</v>
      </c>
      <c r="K4" s="28" t="s">
        <v>27</v>
      </c>
      <c r="L4" s="28" t="s">
        <v>28</v>
      </c>
      <c r="M4" s="28" t="s">
        <v>29</v>
      </c>
      <c r="N4" s="28" t="s">
        <v>27</v>
      </c>
      <c r="O4" s="28" t="s">
        <v>27</v>
      </c>
      <c r="P4" s="28" t="s">
        <v>30</v>
      </c>
      <c r="Q4" s="29" t="s">
        <v>30</v>
      </c>
      <c r="R4" s="30" t="s">
        <v>31</v>
      </c>
      <c r="S4" s="31" t="s">
        <v>32</v>
      </c>
      <c r="T4" s="31" t="s">
        <v>33</v>
      </c>
      <c r="U4" s="31" t="s">
        <v>34</v>
      </c>
      <c r="V4" s="104"/>
      <c r="W4" s="105"/>
      <c r="X4" s="105"/>
      <c r="Y4" s="106"/>
      <c r="Z4" s="32"/>
    </row>
    <row r="5" spans="1:37" x14ac:dyDescent="0.15">
      <c r="H5" s="109" t="s">
        <v>35</v>
      </c>
      <c r="I5" s="86">
        <v>0.77049999999999996</v>
      </c>
      <c r="J5" s="35">
        <v>7.7299999999999994E-2</v>
      </c>
      <c r="K5" s="35">
        <f>I5+J5</f>
        <v>0.8478</v>
      </c>
      <c r="L5" s="34">
        <v>10</v>
      </c>
      <c r="M5" s="58">
        <f>L5/1000</f>
        <v>0.01</v>
      </c>
      <c r="N5" s="58">
        <v>9.1200000000000003E-2</v>
      </c>
      <c r="O5" s="58">
        <f t="shared" ref="O5:O16" si="0">N5-J5</f>
        <v>1.390000000000001E-2</v>
      </c>
      <c r="P5" s="35">
        <f>O5/M5</f>
        <v>1.390000000000001</v>
      </c>
      <c r="Q5" s="36"/>
      <c r="R5" s="33"/>
      <c r="S5" s="5"/>
      <c r="T5" s="5"/>
      <c r="U5" s="5"/>
      <c r="V5" s="5"/>
      <c r="W5" s="5"/>
      <c r="X5" s="5"/>
      <c r="Y5" s="5"/>
      <c r="Z5" s="36"/>
    </row>
    <row r="6" spans="1:37" x14ac:dyDescent="0.15">
      <c r="H6" s="109"/>
      <c r="I6" s="86">
        <v>0.63759999999999994</v>
      </c>
      <c r="J6" s="35">
        <v>7.7499999999999999E-2</v>
      </c>
      <c r="K6" s="35">
        <f t="shared" ref="K6:K16" si="1">I6+J6</f>
        <v>0.71509999999999996</v>
      </c>
      <c r="L6" s="34">
        <v>12</v>
      </c>
      <c r="M6" s="58">
        <f t="shared" ref="M6:M16" si="2">L6/1000</f>
        <v>1.2E-2</v>
      </c>
      <c r="N6" s="58">
        <v>9.1200000000000003E-2</v>
      </c>
      <c r="O6" s="58">
        <f t="shared" si="0"/>
        <v>1.3700000000000004E-2</v>
      </c>
      <c r="P6" s="35">
        <f t="shared" ref="P6:P16" si="3">O6/M6</f>
        <v>1.1416666666666671</v>
      </c>
      <c r="Q6" s="36"/>
      <c r="R6" s="33"/>
      <c r="S6" s="5"/>
      <c r="T6" s="5"/>
      <c r="U6" s="5"/>
      <c r="V6" s="5"/>
      <c r="W6" s="5"/>
      <c r="X6" s="5"/>
      <c r="Y6" s="5"/>
      <c r="Z6" s="36"/>
    </row>
    <row r="7" spans="1:37" x14ac:dyDescent="0.15">
      <c r="H7" s="109"/>
      <c r="I7" s="86">
        <v>0.80840000000000001</v>
      </c>
      <c r="J7" s="35">
        <v>7.7200000000000005E-2</v>
      </c>
      <c r="K7" s="35">
        <f t="shared" si="1"/>
        <v>0.88560000000000005</v>
      </c>
      <c r="L7" s="34">
        <v>10</v>
      </c>
      <c r="M7" s="58">
        <f t="shared" si="2"/>
        <v>0.01</v>
      </c>
      <c r="N7" s="58">
        <v>9.0800000000000006E-2</v>
      </c>
      <c r="O7" s="58">
        <f t="shared" si="0"/>
        <v>1.3600000000000001E-2</v>
      </c>
      <c r="P7" s="35">
        <f t="shared" si="3"/>
        <v>1.36</v>
      </c>
      <c r="Q7" s="37">
        <f>SUM(P5:P7)/3</f>
        <v>1.2972222222222227</v>
      </c>
      <c r="R7" s="33">
        <v>0.98599999999999999</v>
      </c>
      <c r="S7" s="5">
        <v>0.52100000000000002</v>
      </c>
      <c r="T7" s="5">
        <v>0.35699999999999998</v>
      </c>
      <c r="U7" s="5">
        <v>0.184</v>
      </c>
      <c r="V7" s="5">
        <f>1*R7</f>
        <v>0.98599999999999999</v>
      </c>
      <c r="W7" s="5">
        <f>2*S7</f>
        <v>1.042</v>
      </c>
      <c r="X7" s="5">
        <f>3*T7</f>
        <v>1.071</v>
      </c>
      <c r="Y7" s="5">
        <f>6*U7</f>
        <v>1.1040000000000001</v>
      </c>
      <c r="Z7" s="38">
        <f>AVERAGE(V7:Y7)</f>
        <v>1.0507500000000001</v>
      </c>
    </row>
    <row r="8" spans="1:37" x14ac:dyDescent="0.15">
      <c r="H8" s="110" t="s">
        <v>36</v>
      </c>
      <c r="I8" s="87">
        <v>0.60289999999999999</v>
      </c>
      <c r="J8" s="42">
        <v>7.7399999999999997E-2</v>
      </c>
      <c r="K8" s="42">
        <f t="shared" si="1"/>
        <v>0.68030000000000002</v>
      </c>
      <c r="L8" s="41">
        <v>11.5</v>
      </c>
      <c r="M8" s="59">
        <f t="shared" si="2"/>
        <v>1.15E-2</v>
      </c>
      <c r="N8" s="59">
        <v>8.7900000000000006E-2</v>
      </c>
      <c r="O8" s="59">
        <f t="shared" si="0"/>
        <v>1.0500000000000009E-2</v>
      </c>
      <c r="P8" s="42">
        <f t="shared" si="3"/>
        <v>0.9130434782608704</v>
      </c>
      <c r="Q8" s="43"/>
      <c r="R8" s="39"/>
      <c r="S8" s="40"/>
      <c r="T8" s="40"/>
      <c r="U8" s="40"/>
      <c r="V8" s="40"/>
      <c r="W8" s="40"/>
      <c r="X8" s="40"/>
      <c r="Y8" s="40"/>
      <c r="Z8" s="44"/>
      <c r="AB8" s="45"/>
    </row>
    <row r="9" spans="1:37" x14ac:dyDescent="0.15">
      <c r="H9" s="109"/>
      <c r="I9" s="86">
        <v>0.59330000000000005</v>
      </c>
      <c r="J9" s="35">
        <v>7.7799999999999994E-2</v>
      </c>
      <c r="K9" s="35">
        <f t="shared" si="1"/>
        <v>0.67110000000000003</v>
      </c>
      <c r="L9" s="34">
        <v>11</v>
      </c>
      <c r="M9" s="58">
        <f t="shared" si="2"/>
        <v>1.0999999999999999E-2</v>
      </c>
      <c r="N9" s="58">
        <v>8.7800000000000003E-2</v>
      </c>
      <c r="O9" s="58">
        <f t="shared" si="0"/>
        <v>1.0000000000000009E-2</v>
      </c>
      <c r="P9" s="35">
        <f t="shared" si="3"/>
        <v>0.90909090909090995</v>
      </c>
      <c r="Q9" s="36"/>
      <c r="R9" s="33"/>
      <c r="S9" s="5"/>
      <c r="T9" s="5"/>
      <c r="U9" s="5"/>
      <c r="V9" s="5"/>
      <c r="W9" s="5"/>
      <c r="X9" s="5"/>
      <c r="Y9" s="5"/>
      <c r="Z9" s="37"/>
      <c r="AB9" s="45"/>
    </row>
    <row r="10" spans="1:37" x14ac:dyDescent="0.15">
      <c r="H10" s="111"/>
      <c r="I10" s="88">
        <v>0.68440000000000001</v>
      </c>
      <c r="J10" s="49">
        <v>7.7700000000000005E-2</v>
      </c>
      <c r="K10" s="49">
        <f t="shared" si="1"/>
        <v>0.7621</v>
      </c>
      <c r="L10" s="48">
        <v>10.5</v>
      </c>
      <c r="M10" s="51">
        <f t="shared" si="2"/>
        <v>1.0500000000000001E-2</v>
      </c>
      <c r="N10" s="51">
        <v>8.6699999999999999E-2</v>
      </c>
      <c r="O10" s="51">
        <f t="shared" si="0"/>
        <v>8.9999999999999941E-3</v>
      </c>
      <c r="P10" s="49">
        <f t="shared" si="3"/>
        <v>0.85714285714285654</v>
      </c>
      <c r="Q10" s="50">
        <f>SUM(P8:P10)/3</f>
        <v>0.89309241483154567</v>
      </c>
      <c r="R10" s="46">
        <v>0.746</v>
      </c>
      <c r="S10" s="47">
        <v>0.39500000000000002</v>
      </c>
      <c r="T10" s="51">
        <v>0.25</v>
      </c>
      <c r="U10" s="47">
        <v>0.13500000000000001</v>
      </c>
      <c r="V10" s="47">
        <f>1*R10</f>
        <v>0.746</v>
      </c>
      <c r="W10" s="51">
        <f>2*S10</f>
        <v>0.79</v>
      </c>
      <c r="X10" s="51">
        <f>3*T10</f>
        <v>0.75</v>
      </c>
      <c r="Y10" s="51">
        <f>6*U10</f>
        <v>0.81</v>
      </c>
      <c r="Z10" s="52">
        <f t="shared" ref="Z10:Z16" si="4">AVERAGE(V10:Y10)</f>
        <v>0.77400000000000002</v>
      </c>
      <c r="AB10" s="45"/>
    </row>
    <row r="11" spans="1:37" x14ac:dyDescent="0.15">
      <c r="H11" s="110" t="s">
        <v>37</v>
      </c>
      <c r="I11" s="87">
        <v>1.0236000000000001</v>
      </c>
      <c r="J11" s="42">
        <v>7.7100000000000002E-2</v>
      </c>
      <c r="K11" s="42">
        <f t="shared" si="1"/>
        <v>1.1007</v>
      </c>
      <c r="L11" s="41">
        <v>15.5</v>
      </c>
      <c r="M11" s="59">
        <f t="shared" si="2"/>
        <v>1.55E-2</v>
      </c>
      <c r="N11" s="59">
        <v>8.6800000000000002E-2</v>
      </c>
      <c r="O11" s="59">
        <f t="shared" si="0"/>
        <v>9.7000000000000003E-3</v>
      </c>
      <c r="P11" s="42">
        <f t="shared" si="3"/>
        <v>0.62580645161290327</v>
      </c>
      <c r="Q11" s="43"/>
      <c r="R11" s="39"/>
      <c r="S11" s="40"/>
      <c r="T11" s="40"/>
      <c r="U11" s="40"/>
      <c r="V11" s="40"/>
      <c r="W11" s="40"/>
      <c r="X11" s="40"/>
      <c r="Y11" s="40"/>
      <c r="Z11" s="44"/>
      <c r="AH11" s="45"/>
      <c r="AJ11" s="53"/>
      <c r="AK11" s="53"/>
    </row>
    <row r="12" spans="1:37" x14ac:dyDescent="0.15">
      <c r="H12" s="109"/>
      <c r="I12" s="86">
        <v>0.67090000000000005</v>
      </c>
      <c r="J12" s="35">
        <v>7.6899999999999996E-2</v>
      </c>
      <c r="K12" s="35">
        <f t="shared" si="1"/>
        <v>0.74780000000000002</v>
      </c>
      <c r="L12" s="34">
        <v>15</v>
      </c>
      <c r="M12" s="58">
        <f t="shared" si="2"/>
        <v>1.4999999999999999E-2</v>
      </c>
      <c r="N12" s="58">
        <f>0.7593-I12</f>
        <v>8.8399999999999923E-2</v>
      </c>
      <c r="O12" s="58">
        <f t="shared" si="0"/>
        <v>1.1499999999999927E-2</v>
      </c>
      <c r="P12" s="35">
        <f t="shared" si="3"/>
        <v>0.76666666666666183</v>
      </c>
      <c r="Q12" s="36"/>
      <c r="R12" s="33"/>
      <c r="S12" s="5"/>
      <c r="T12" s="5"/>
      <c r="U12" s="5"/>
      <c r="V12" s="5"/>
      <c r="W12" s="5"/>
      <c r="X12" s="5"/>
      <c r="Y12" s="5"/>
      <c r="Z12" s="37"/>
    </row>
    <row r="13" spans="1:37" x14ac:dyDescent="0.15">
      <c r="H13" s="111"/>
      <c r="I13" s="88">
        <v>0.62480000000000002</v>
      </c>
      <c r="J13" s="49">
        <v>7.6799999999999993E-2</v>
      </c>
      <c r="K13" s="49">
        <f t="shared" si="1"/>
        <v>0.7016</v>
      </c>
      <c r="L13" s="48">
        <v>16.5</v>
      </c>
      <c r="M13" s="51">
        <f t="shared" si="2"/>
        <v>1.6500000000000001E-2</v>
      </c>
      <c r="N13" s="51">
        <f>0.7143-I13</f>
        <v>8.9500000000000024E-2</v>
      </c>
      <c r="O13" s="51">
        <f t="shared" si="0"/>
        <v>1.2700000000000031E-2</v>
      </c>
      <c r="P13" s="49">
        <f t="shared" si="3"/>
        <v>0.76969696969697154</v>
      </c>
      <c r="Q13" s="50">
        <f>SUM(P11:P13)/3</f>
        <v>0.72072336265884562</v>
      </c>
      <c r="R13" s="46">
        <v>0.496</v>
      </c>
      <c r="S13" s="51">
        <v>0.27</v>
      </c>
      <c r="T13" s="47">
        <v>0.16700000000000001</v>
      </c>
      <c r="U13" s="51">
        <v>0.09</v>
      </c>
      <c r="V13" s="47">
        <f>1*R13</f>
        <v>0.496</v>
      </c>
      <c r="W13" s="47">
        <f>2*S13</f>
        <v>0.54</v>
      </c>
      <c r="X13" s="47">
        <f>3*T13</f>
        <v>0.501</v>
      </c>
      <c r="Y13" s="51">
        <f>6*U13</f>
        <v>0.54</v>
      </c>
      <c r="Z13" s="52">
        <f t="shared" si="4"/>
        <v>0.51924999999999999</v>
      </c>
    </row>
    <row r="14" spans="1:37" x14ac:dyDescent="0.15">
      <c r="H14" s="107" t="s">
        <v>38</v>
      </c>
      <c r="I14" s="86">
        <v>0.58240000000000003</v>
      </c>
      <c r="J14" s="35">
        <v>7.7399999999999997E-2</v>
      </c>
      <c r="K14" s="35">
        <f t="shared" si="1"/>
        <v>0.65980000000000005</v>
      </c>
      <c r="L14" s="34">
        <v>21</v>
      </c>
      <c r="M14" s="58">
        <f t="shared" si="2"/>
        <v>2.1000000000000001E-2</v>
      </c>
      <c r="N14" s="58">
        <v>8.2799999999999999E-2</v>
      </c>
      <c r="O14" s="58">
        <f t="shared" si="0"/>
        <v>5.400000000000002E-3</v>
      </c>
      <c r="P14" s="35">
        <f t="shared" si="3"/>
        <v>0.25714285714285723</v>
      </c>
      <c r="Q14" s="36"/>
      <c r="R14" s="33"/>
      <c r="S14" s="5"/>
      <c r="T14" s="5"/>
      <c r="U14" s="5"/>
      <c r="V14" s="5"/>
      <c r="W14" s="5"/>
      <c r="X14" s="5"/>
      <c r="Y14" s="5"/>
      <c r="Z14" s="37"/>
    </row>
    <row r="15" spans="1:37" x14ac:dyDescent="0.15">
      <c r="H15" s="107"/>
      <c r="I15" s="86">
        <v>0.64339999999999997</v>
      </c>
      <c r="J15" s="35">
        <v>7.7399999999999997E-2</v>
      </c>
      <c r="K15" s="35">
        <f t="shared" si="1"/>
        <v>0.7208</v>
      </c>
      <c r="L15" s="34">
        <v>20</v>
      </c>
      <c r="M15" s="58">
        <f t="shared" si="2"/>
        <v>0.02</v>
      </c>
      <c r="N15" s="58">
        <v>8.4500000000000006E-2</v>
      </c>
      <c r="O15" s="58">
        <f t="shared" si="0"/>
        <v>7.1000000000000091E-3</v>
      </c>
      <c r="P15" s="35">
        <f t="shared" si="3"/>
        <v>0.35500000000000043</v>
      </c>
      <c r="Q15" s="36"/>
      <c r="R15" s="33"/>
      <c r="S15" s="5"/>
      <c r="T15" s="5"/>
      <c r="U15" s="5"/>
      <c r="V15" s="5"/>
      <c r="W15" s="5"/>
      <c r="X15" s="5"/>
      <c r="Y15" s="5"/>
      <c r="Z15" s="37"/>
    </row>
    <row r="16" spans="1:37" ht="15" thickBot="1" x14ac:dyDescent="0.2">
      <c r="H16" s="108"/>
      <c r="I16" s="86">
        <v>0.9093</v>
      </c>
      <c r="J16" s="35">
        <v>7.7200000000000005E-2</v>
      </c>
      <c r="K16" s="35">
        <f t="shared" si="1"/>
        <v>0.98650000000000004</v>
      </c>
      <c r="L16" s="34">
        <v>20.5</v>
      </c>
      <c r="M16" s="58">
        <f t="shared" si="2"/>
        <v>2.0500000000000001E-2</v>
      </c>
      <c r="N16" s="58">
        <v>8.4199999999999997E-2</v>
      </c>
      <c r="O16" s="58">
        <f t="shared" si="0"/>
        <v>6.9999999999999923E-3</v>
      </c>
      <c r="P16" s="35">
        <f t="shared" si="3"/>
        <v>0.34146341463414598</v>
      </c>
      <c r="Q16" s="37">
        <f>SUM(P14:P16)/3</f>
        <v>0.31786875725900121</v>
      </c>
      <c r="R16" s="54">
        <v>0.23799999999999999</v>
      </c>
      <c r="S16" s="55">
        <v>0.123</v>
      </c>
      <c r="T16" s="55">
        <v>8.1000000000000003E-2</v>
      </c>
      <c r="U16" s="56">
        <v>0.04</v>
      </c>
      <c r="V16" s="55">
        <f>1*R16</f>
        <v>0.23799999999999999</v>
      </c>
      <c r="W16" s="55">
        <f>2*S16</f>
        <v>0.246</v>
      </c>
      <c r="X16" s="55">
        <f>3*T16</f>
        <v>0.24299999999999999</v>
      </c>
      <c r="Y16" s="56">
        <f>6*U16</f>
        <v>0.24</v>
      </c>
      <c r="Z16" s="57">
        <f t="shared" si="4"/>
        <v>0.24174999999999999</v>
      </c>
    </row>
    <row r="17" spans="1:28" ht="17" thickBot="1" x14ac:dyDescent="0.2">
      <c r="A17" s="98" t="s">
        <v>39</v>
      </c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100"/>
    </row>
    <row r="18" spans="1:28" ht="30" x14ac:dyDescent="0.15">
      <c r="H18" s="22" t="s">
        <v>15</v>
      </c>
      <c r="I18" s="23" t="s">
        <v>16</v>
      </c>
      <c r="J18" s="24" t="s">
        <v>17</v>
      </c>
      <c r="K18" s="24" t="s">
        <v>18</v>
      </c>
      <c r="L18" s="24" t="s">
        <v>19</v>
      </c>
      <c r="M18" s="24" t="s">
        <v>19</v>
      </c>
      <c r="N18" s="24" t="s">
        <v>20</v>
      </c>
      <c r="O18" s="24" t="s">
        <v>21</v>
      </c>
      <c r="P18" s="24" t="s">
        <v>22</v>
      </c>
      <c r="Q18" s="25" t="s">
        <v>23</v>
      </c>
      <c r="R18" s="101" t="s">
        <v>24</v>
      </c>
      <c r="S18" s="102"/>
      <c r="T18" s="102"/>
      <c r="U18" s="102"/>
      <c r="V18" s="103" t="s">
        <v>25</v>
      </c>
      <c r="W18" s="103"/>
      <c r="X18" s="103"/>
      <c r="Y18" s="103"/>
      <c r="Z18" s="25" t="s">
        <v>26</v>
      </c>
    </row>
    <row r="19" spans="1:28" ht="15" x14ac:dyDescent="0.15">
      <c r="H19" s="26"/>
      <c r="I19" s="27" t="s">
        <v>27</v>
      </c>
      <c r="J19" s="28" t="s">
        <v>27</v>
      </c>
      <c r="K19" s="28" t="s">
        <v>27</v>
      </c>
      <c r="L19" s="28" t="s">
        <v>28</v>
      </c>
      <c r="M19" s="28" t="s">
        <v>29</v>
      </c>
      <c r="N19" s="28" t="s">
        <v>27</v>
      </c>
      <c r="O19" s="28" t="s">
        <v>27</v>
      </c>
      <c r="P19" s="28" t="s">
        <v>30</v>
      </c>
      <c r="Q19" s="29" t="s">
        <v>30</v>
      </c>
      <c r="R19" s="30" t="s">
        <v>31</v>
      </c>
      <c r="S19" s="31" t="s">
        <v>32</v>
      </c>
      <c r="T19" s="31" t="s">
        <v>33</v>
      </c>
      <c r="U19" s="31" t="s">
        <v>34</v>
      </c>
      <c r="V19" s="104"/>
      <c r="W19" s="105"/>
      <c r="X19" s="105"/>
      <c r="Y19" s="106"/>
      <c r="Z19" s="32"/>
    </row>
    <row r="20" spans="1:28" x14ac:dyDescent="0.15">
      <c r="H20" s="109" t="s">
        <v>35</v>
      </c>
      <c r="I20" s="86">
        <v>0.75539999999999996</v>
      </c>
      <c r="J20" s="35">
        <v>7.7100000000000002E-2</v>
      </c>
      <c r="K20" s="35">
        <f>I20+J20</f>
        <v>0.83250000000000002</v>
      </c>
      <c r="L20" s="5">
        <v>10</v>
      </c>
      <c r="M20" s="58">
        <f>L20/1000</f>
        <v>0.01</v>
      </c>
      <c r="N20" s="58">
        <v>9.0399999999999994E-2</v>
      </c>
      <c r="O20" s="58">
        <f t="shared" ref="O20:O31" si="5">N20-J20</f>
        <v>1.3299999999999992E-2</v>
      </c>
      <c r="P20" s="35">
        <f>O20/M20</f>
        <v>1.3299999999999992</v>
      </c>
      <c r="Q20" s="36"/>
      <c r="R20" s="33"/>
      <c r="S20" s="5"/>
      <c r="T20" s="5"/>
      <c r="U20" s="5"/>
      <c r="V20" s="5"/>
      <c r="W20" s="5"/>
      <c r="X20" s="5"/>
      <c r="Y20" s="5"/>
      <c r="Z20" s="36"/>
    </row>
    <row r="21" spans="1:28" x14ac:dyDescent="0.15">
      <c r="H21" s="109"/>
      <c r="I21" s="86">
        <v>0.56279999999999997</v>
      </c>
      <c r="J21" s="35">
        <v>7.7899999999999997E-2</v>
      </c>
      <c r="K21" s="35">
        <f t="shared" ref="K21:K31" si="6">I21+J21</f>
        <v>0.64069999999999994</v>
      </c>
      <c r="L21" s="5">
        <v>10</v>
      </c>
      <c r="M21" s="58">
        <f t="shared" ref="M21:M31" si="7">L21/1000</f>
        <v>0.01</v>
      </c>
      <c r="N21" s="58">
        <v>9.0300000000000005E-2</v>
      </c>
      <c r="O21" s="58">
        <f t="shared" si="5"/>
        <v>1.2400000000000008E-2</v>
      </c>
      <c r="P21" s="35">
        <f t="shared" ref="P21:P31" si="8">O21/M21</f>
        <v>1.2400000000000009</v>
      </c>
      <c r="Q21" s="36"/>
      <c r="R21" s="33"/>
      <c r="S21" s="5"/>
      <c r="T21" s="5"/>
      <c r="U21" s="5"/>
      <c r="V21" s="5"/>
      <c r="W21" s="5"/>
      <c r="X21" s="5"/>
      <c r="Y21" s="5"/>
      <c r="Z21" s="36"/>
    </row>
    <row r="22" spans="1:28" x14ac:dyDescent="0.15">
      <c r="H22" s="109"/>
      <c r="I22" s="86">
        <v>0.6492</v>
      </c>
      <c r="J22" s="35">
        <v>7.7700000000000005E-2</v>
      </c>
      <c r="K22" s="35">
        <f t="shared" si="6"/>
        <v>0.72689999999999999</v>
      </c>
      <c r="L22" s="5">
        <v>10</v>
      </c>
      <c r="M22" s="58">
        <f t="shared" si="7"/>
        <v>0.01</v>
      </c>
      <c r="N22" s="58">
        <v>9.0999999999999998E-2</v>
      </c>
      <c r="O22" s="58">
        <f t="shared" si="5"/>
        <v>1.3299999999999992E-2</v>
      </c>
      <c r="P22" s="35">
        <f>O22/M22</f>
        <v>1.3299999999999992</v>
      </c>
      <c r="Q22" s="37">
        <f>SUM(P20:P22)/3</f>
        <v>1.2999999999999998</v>
      </c>
      <c r="R22" s="33">
        <v>1.006</v>
      </c>
      <c r="S22" s="5">
        <v>0.54100000000000004</v>
      </c>
      <c r="T22" s="5">
        <v>0.378</v>
      </c>
      <c r="U22" s="5">
        <v>0.16200000000000001</v>
      </c>
      <c r="V22" s="5">
        <f>1*R22</f>
        <v>1.006</v>
      </c>
      <c r="W22" s="5">
        <f>2*S22</f>
        <v>1.0820000000000001</v>
      </c>
      <c r="X22" s="5">
        <f>3*T22</f>
        <v>1.1339999999999999</v>
      </c>
      <c r="Y22" s="5">
        <f>6*U22</f>
        <v>0.97199999999999998</v>
      </c>
      <c r="Z22" s="38">
        <f>AVERAGE(V22:Y22)</f>
        <v>1.0485</v>
      </c>
    </row>
    <row r="23" spans="1:28" x14ac:dyDescent="0.15">
      <c r="H23" s="110" t="s">
        <v>36</v>
      </c>
      <c r="I23" s="87">
        <v>0.74070000000000003</v>
      </c>
      <c r="J23" s="42">
        <v>7.7399999999999997E-2</v>
      </c>
      <c r="K23" s="42">
        <f t="shared" si="6"/>
        <v>0.81810000000000005</v>
      </c>
      <c r="L23" s="40">
        <v>10</v>
      </c>
      <c r="M23" s="59">
        <f t="shared" si="7"/>
        <v>0.01</v>
      </c>
      <c r="N23" s="59">
        <v>8.72E-2</v>
      </c>
      <c r="O23" s="59">
        <f t="shared" si="5"/>
        <v>9.8000000000000032E-3</v>
      </c>
      <c r="P23" s="42">
        <f t="shared" si="8"/>
        <v>0.98000000000000032</v>
      </c>
      <c r="Q23" s="43"/>
      <c r="R23" s="39"/>
      <c r="S23" s="40"/>
      <c r="T23" s="40"/>
      <c r="U23" s="40"/>
      <c r="V23" s="40"/>
      <c r="W23" s="40"/>
      <c r="X23" s="40"/>
      <c r="Y23" s="40"/>
      <c r="Z23" s="60"/>
    </row>
    <row r="24" spans="1:28" x14ac:dyDescent="0.15">
      <c r="H24" s="109"/>
      <c r="I24" s="86">
        <v>0.73819999999999997</v>
      </c>
      <c r="J24" s="35">
        <v>7.7700000000000005E-2</v>
      </c>
      <c r="K24" s="35">
        <f t="shared" si="6"/>
        <v>0.81589999999999996</v>
      </c>
      <c r="L24" s="5">
        <v>10</v>
      </c>
      <c r="M24" s="58">
        <f t="shared" si="7"/>
        <v>0.01</v>
      </c>
      <c r="N24" s="58">
        <v>8.72E-2</v>
      </c>
      <c r="O24" s="58">
        <f t="shared" si="5"/>
        <v>9.4999999999999946E-3</v>
      </c>
      <c r="P24" s="35">
        <f t="shared" si="8"/>
        <v>0.9499999999999994</v>
      </c>
      <c r="Q24" s="36"/>
      <c r="R24" s="33"/>
      <c r="S24" s="5"/>
      <c r="T24" s="5"/>
      <c r="U24" s="5"/>
      <c r="V24" s="5"/>
      <c r="W24" s="5"/>
      <c r="X24" s="5"/>
      <c r="Y24" s="5"/>
      <c r="Z24" s="38"/>
      <c r="AB24" s="45"/>
    </row>
    <row r="25" spans="1:28" x14ac:dyDescent="0.15">
      <c r="H25" s="111"/>
      <c r="I25" s="88">
        <v>0.63919999999999999</v>
      </c>
      <c r="J25" s="49">
        <v>7.7700000000000005E-2</v>
      </c>
      <c r="K25" s="49">
        <f t="shared" si="6"/>
        <v>0.71689999999999998</v>
      </c>
      <c r="L25" s="47">
        <v>10</v>
      </c>
      <c r="M25" s="51">
        <f t="shared" si="7"/>
        <v>0.01</v>
      </c>
      <c r="N25" s="51">
        <v>8.7099999999999997E-2</v>
      </c>
      <c r="O25" s="51">
        <f t="shared" si="5"/>
        <v>9.3999999999999917E-3</v>
      </c>
      <c r="P25" s="49">
        <f t="shared" si="8"/>
        <v>0.93999999999999917</v>
      </c>
      <c r="Q25" s="50">
        <f>SUM(P23:P25)/3</f>
        <v>0.95666666666666622</v>
      </c>
      <c r="R25" s="46">
        <v>0.50700000000000001</v>
      </c>
      <c r="S25" s="47">
        <v>0.33600000000000002</v>
      </c>
      <c r="T25" s="47">
        <v>0.27900000000000003</v>
      </c>
      <c r="U25" s="47">
        <v>0.13600000000000001</v>
      </c>
      <c r="V25" s="47">
        <f>1*R25</f>
        <v>0.50700000000000001</v>
      </c>
      <c r="W25" s="47">
        <f>2*S25</f>
        <v>0.67200000000000004</v>
      </c>
      <c r="X25" s="47">
        <f>3*T25</f>
        <v>0.83700000000000008</v>
      </c>
      <c r="Y25" s="47">
        <f>6*U25</f>
        <v>0.81600000000000006</v>
      </c>
      <c r="Z25" s="52">
        <f t="shared" ref="Z25" si="9">AVERAGE(V25:Y25)</f>
        <v>0.70799999999999996</v>
      </c>
      <c r="AB25" s="45"/>
    </row>
    <row r="26" spans="1:28" x14ac:dyDescent="0.15">
      <c r="H26" s="110" t="s">
        <v>37</v>
      </c>
      <c r="I26" s="87">
        <v>0.66639999999999999</v>
      </c>
      <c r="J26" s="42">
        <v>7.7899999999999997E-2</v>
      </c>
      <c r="K26" s="42">
        <f t="shared" si="6"/>
        <v>0.74429999999999996</v>
      </c>
      <c r="L26" s="40">
        <v>15</v>
      </c>
      <c r="M26" s="40">
        <f t="shared" si="7"/>
        <v>1.4999999999999999E-2</v>
      </c>
      <c r="N26" s="59">
        <v>8.6400000000000005E-2</v>
      </c>
      <c r="O26" s="59">
        <f t="shared" si="5"/>
        <v>8.5000000000000075E-3</v>
      </c>
      <c r="P26" s="42">
        <f t="shared" si="8"/>
        <v>0.56666666666666721</v>
      </c>
      <c r="Q26" s="43"/>
      <c r="R26" s="39"/>
      <c r="S26" s="40"/>
      <c r="T26" s="40"/>
      <c r="U26" s="40"/>
      <c r="V26" s="40"/>
      <c r="W26" s="40"/>
      <c r="X26" s="40"/>
      <c r="Y26" s="40"/>
      <c r="Z26" s="60"/>
      <c r="AB26" s="45"/>
    </row>
    <row r="27" spans="1:28" x14ac:dyDescent="0.15">
      <c r="H27" s="109"/>
      <c r="I27" s="86">
        <v>0.77310000000000001</v>
      </c>
      <c r="J27" s="35">
        <v>7.7799999999999994E-2</v>
      </c>
      <c r="K27" s="35">
        <f t="shared" si="6"/>
        <v>0.85089999999999999</v>
      </c>
      <c r="L27" s="5">
        <v>15</v>
      </c>
      <c r="M27" s="5">
        <f t="shared" si="7"/>
        <v>1.4999999999999999E-2</v>
      </c>
      <c r="N27" s="58">
        <v>8.7099999999999997E-2</v>
      </c>
      <c r="O27" s="58">
        <f t="shared" si="5"/>
        <v>9.3000000000000027E-3</v>
      </c>
      <c r="P27" s="35">
        <f t="shared" si="8"/>
        <v>0.62000000000000022</v>
      </c>
      <c r="Q27" s="36"/>
      <c r="R27" s="33"/>
      <c r="S27" s="5"/>
      <c r="T27" s="5"/>
      <c r="U27" s="5"/>
      <c r="V27" s="5"/>
      <c r="W27" s="5"/>
      <c r="X27" s="5"/>
      <c r="Y27" s="5"/>
      <c r="Z27" s="38"/>
    </row>
    <row r="28" spans="1:28" x14ac:dyDescent="0.15">
      <c r="H28" s="111"/>
      <c r="I28" s="88">
        <v>0.76480000000000004</v>
      </c>
      <c r="J28" s="49">
        <v>7.7799999999999994E-2</v>
      </c>
      <c r="K28" s="49">
        <f t="shared" si="6"/>
        <v>0.84260000000000002</v>
      </c>
      <c r="L28" s="47">
        <v>15</v>
      </c>
      <c r="M28" s="47">
        <f t="shared" si="7"/>
        <v>1.4999999999999999E-2</v>
      </c>
      <c r="N28" s="51">
        <v>8.6699999999999999E-2</v>
      </c>
      <c r="O28" s="51">
        <f t="shared" si="5"/>
        <v>8.9000000000000051E-3</v>
      </c>
      <c r="P28" s="49">
        <f t="shared" si="8"/>
        <v>0.59333333333333371</v>
      </c>
      <c r="Q28" s="50">
        <f>SUM(P26:P28)/3</f>
        <v>0.59333333333333371</v>
      </c>
      <c r="R28" s="46">
        <v>0.47699999999999998</v>
      </c>
      <c r="S28" s="47">
        <v>0.26400000000000001</v>
      </c>
      <c r="T28" s="47">
        <v>0.17299999999999999</v>
      </c>
      <c r="U28" s="47">
        <v>8.6999999999999994E-2</v>
      </c>
      <c r="V28" s="47">
        <f>1*R28</f>
        <v>0.47699999999999998</v>
      </c>
      <c r="W28" s="47">
        <f>2*S28</f>
        <v>0.52800000000000002</v>
      </c>
      <c r="X28" s="47">
        <f>3*T28</f>
        <v>0.51899999999999991</v>
      </c>
      <c r="Y28" s="47">
        <f>6*U28</f>
        <v>0.52200000000000002</v>
      </c>
      <c r="Z28" s="52">
        <f t="shared" ref="Z28" si="10">AVERAGE(V28:Y28)</f>
        <v>0.51149999999999995</v>
      </c>
    </row>
    <row r="29" spans="1:28" x14ac:dyDescent="0.15">
      <c r="H29" s="109" t="s">
        <v>38</v>
      </c>
      <c r="I29" s="86">
        <v>0.7389</v>
      </c>
      <c r="J29" s="35">
        <v>7.7799999999999994E-2</v>
      </c>
      <c r="K29" s="35">
        <f t="shared" si="6"/>
        <v>0.81669999999999998</v>
      </c>
      <c r="L29" s="5">
        <v>20</v>
      </c>
      <c r="M29" s="58">
        <f t="shared" si="7"/>
        <v>0.02</v>
      </c>
      <c r="N29" s="58">
        <v>8.3799999999999999E-2</v>
      </c>
      <c r="O29" s="58">
        <f t="shared" si="5"/>
        <v>6.0000000000000053E-3</v>
      </c>
      <c r="P29" s="35">
        <f t="shared" si="8"/>
        <v>0.30000000000000027</v>
      </c>
      <c r="Q29" s="36"/>
      <c r="R29" s="33"/>
      <c r="S29" s="5"/>
      <c r="T29" s="5"/>
      <c r="U29" s="5"/>
      <c r="V29" s="5"/>
      <c r="W29" s="5"/>
      <c r="X29" s="5"/>
      <c r="Y29" s="5"/>
      <c r="Z29" s="38"/>
    </row>
    <row r="30" spans="1:28" x14ac:dyDescent="0.15">
      <c r="H30" s="109"/>
      <c r="I30" s="86">
        <v>0.76980000000000004</v>
      </c>
      <c r="J30" s="35">
        <v>7.7600000000000002E-2</v>
      </c>
      <c r="K30" s="35">
        <f t="shared" si="6"/>
        <v>0.84740000000000004</v>
      </c>
      <c r="L30" s="5">
        <v>20</v>
      </c>
      <c r="M30" s="58">
        <f t="shared" si="7"/>
        <v>0.02</v>
      </c>
      <c r="N30" s="58">
        <v>8.3799999999999999E-2</v>
      </c>
      <c r="O30" s="58">
        <f t="shared" si="5"/>
        <v>6.1999999999999972E-3</v>
      </c>
      <c r="P30" s="35">
        <f t="shared" si="8"/>
        <v>0.30999999999999983</v>
      </c>
      <c r="Q30" s="36"/>
      <c r="R30" s="33"/>
      <c r="S30" s="5"/>
      <c r="T30" s="5"/>
      <c r="U30" s="5"/>
      <c r="V30" s="5"/>
      <c r="W30" s="5"/>
      <c r="X30" s="5"/>
      <c r="Y30" s="5"/>
      <c r="Z30" s="38"/>
    </row>
    <row r="31" spans="1:28" ht="15" thickBot="1" x14ac:dyDescent="0.2">
      <c r="A31" s="61"/>
      <c r="B31" s="61"/>
      <c r="C31" s="61"/>
      <c r="D31" s="61"/>
      <c r="E31" s="61"/>
      <c r="F31" s="61"/>
      <c r="G31" s="62"/>
      <c r="H31" s="112"/>
      <c r="I31" s="89">
        <v>0.74460000000000004</v>
      </c>
      <c r="J31" s="63">
        <v>7.7700000000000005E-2</v>
      </c>
      <c r="K31" s="63">
        <f t="shared" si="6"/>
        <v>0.82230000000000003</v>
      </c>
      <c r="L31" s="55">
        <v>20</v>
      </c>
      <c r="M31" s="56">
        <f t="shared" si="7"/>
        <v>0.02</v>
      </c>
      <c r="N31" s="56">
        <v>8.3400000000000002E-2</v>
      </c>
      <c r="O31" s="56">
        <f t="shared" si="5"/>
        <v>5.6999999999999967E-3</v>
      </c>
      <c r="P31" s="63">
        <f t="shared" si="8"/>
        <v>0.28499999999999981</v>
      </c>
      <c r="Q31" s="64">
        <f>SUM(P29:P31)/3</f>
        <v>0.29833333333333328</v>
      </c>
      <c r="R31" s="65">
        <v>0.21</v>
      </c>
      <c r="S31" s="55">
        <v>0.125</v>
      </c>
      <c r="T31" s="55">
        <v>7.5999999999999998E-2</v>
      </c>
      <c r="U31" s="55">
        <v>3.9E-2</v>
      </c>
      <c r="V31" s="56">
        <f>1*R31</f>
        <v>0.21</v>
      </c>
      <c r="W31" s="56">
        <f>2*S31</f>
        <v>0.25</v>
      </c>
      <c r="X31" s="55">
        <f>3*T31</f>
        <v>0.22799999999999998</v>
      </c>
      <c r="Y31" s="55">
        <f>6*U31</f>
        <v>0.23399999999999999</v>
      </c>
      <c r="Z31" s="57">
        <f t="shared" ref="Z31" si="11">AVERAGE(V31:Y31)</f>
        <v>0.23049999999999998</v>
      </c>
    </row>
  </sheetData>
  <mergeCells count="17">
    <mergeCell ref="H20:H22"/>
    <mergeCell ref="H23:H25"/>
    <mergeCell ref="H26:H28"/>
    <mergeCell ref="H29:H31"/>
    <mergeCell ref="A17:Z17"/>
    <mergeCell ref="V19:Y19"/>
    <mergeCell ref="A1:Z1"/>
    <mergeCell ref="A2:Z2"/>
    <mergeCell ref="R18:U18"/>
    <mergeCell ref="V18:Y18"/>
    <mergeCell ref="V4:Y4"/>
    <mergeCell ref="H14:H16"/>
    <mergeCell ref="R3:U3"/>
    <mergeCell ref="V3:Y3"/>
    <mergeCell ref="H5:H7"/>
    <mergeCell ref="H8:H10"/>
    <mergeCell ref="H11:H1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DC865-1048-6644-B9B5-65612E7D054F}">
  <dimension ref="A1:H17"/>
  <sheetViews>
    <sheetView workbookViewId="0">
      <selection sqref="A1:H1"/>
    </sheetView>
  </sheetViews>
  <sheetFormatPr baseColWidth="10" defaultColWidth="9.1640625" defaultRowHeight="14" x14ac:dyDescent="0.15"/>
  <cols>
    <col min="1" max="1" width="81.1640625" style="3" customWidth="1"/>
    <col min="2" max="16384" width="9.1640625" style="3"/>
  </cols>
  <sheetData>
    <row r="1" spans="1:8" ht="17" thickBot="1" x14ac:dyDescent="0.2">
      <c r="A1" s="113" t="s">
        <v>40</v>
      </c>
      <c r="B1" s="114"/>
      <c r="C1" s="114"/>
      <c r="D1" s="114"/>
      <c r="E1" s="114"/>
      <c r="F1" s="114"/>
      <c r="G1" s="114"/>
      <c r="H1" s="115"/>
    </row>
    <row r="2" spans="1:8" ht="30" x14ac:dyDescent="0.15">
      <c r="A2" s="80"/>
      <c r="B2" s="66" t="s">
        <v>41</v>
      </c>
      <c r="C2" s="116" t="s">
        <v>42</v>
      </c>
      <c r="D2" s="117"/>
      <c r="E2" s="117"/>
      <c r="F2" s="67" t="s">
        <v>43</v>
      </c>
      <c r="G2" s="67" t="s">
        <v>44</v>
      </c>
      <c r="H2" s="68" t="s">
        <v>45</v>
      </c>
    </row>
    <row r="3" spans="1:8" s="69" customFormat="1" x14ac:dyDescent="0.2">
      <c r="A3" s="81"/>
      <c r="B3" s="70" t="s">
        <v>46</v>
      </c>
      <c r="C3" s="71">
        <v>1</v>
      </c>
      <c r="D3" s="72">
        <v>2</v>
      </c>
      <c r="E3" s="72">
        <v>3</v>
      </c>
      <c r="F3" s="72"/>
      <c r="G3" s="72"/>
      <c r="H3" s="73"/>
    </row>
    <row r="4" spans="1:8" x14ac:dyDescent="0.15">
      <c r="A4" s="80"/>
      <c r="B4" s="78">
        <v>0</v>
      </c>
      <c r="C4" s="82">
        <v>0.10100000000000001</v>
      </c>
      <c r="D4" s="82">
        <v>0.106</v>
      </c>
      <c r="E4" s="82">
        <v>8.2000000000000003E-2</v>
      </c>
      <c r="F4" s="83">
        <f>SUM(C4:E4)/3</f>
        <v>9.633333333333334E-2</v>
      </c>
      <c r="G4" s="35">
        <f t="shared" ref="G4:G9" si="0">STDEV(C4:E4)</f>
        <v>1.2662279942148255E-2</v>
      </c>
      <c r="H4" s="74">
        <f t="shared" ref="H4:H9" si="1">G4/SQRT(3)</f>
        <v>7.3105707331536946E-3</v>
      </c>
    </row>
    <row r="5" spans="1:8" x14ac:dyDescent="0.15">
      <c r="A5" s="80"/>
      <c r="B5" s="78">
        <v>1.25</v>
      </c>
      <c r="C5" s="82">
        <f>0.323-F4</f>
        <v>0.22666666666666668</v>
      </c>
      <c r="D5" s="82">
        <f>0.333-F4</f>
        <v>0.23666666666666669</v>
      </c>
      <c r="E5" s="82">
        <f>0.323-F4</f>
        <v>0.22666666666666668</v>
      </c>
      <c r="F5" s="83">
        <f t="shared" ref="F5:F9" si="2">SUM(C5:E5)/3</f>
        <v>0.23</v>
      </c>
      <c r="G5" s="35">
        <f t="shared" si="0"/>
        <v>5.7735026918962632E-3</v>
      </c>
      <c r="H5" s="74">
        <f t="shared" si="1"/>
        <v>3.3333333333333366E-3</v>
      </c>
    </row>
    <row r="6" spans="1:8" x14ac:dyDescent="0.15">
      <c r="A6" s="80"/>
      <c r="B6" s="78">
        <v>2.5</v>
      </c>
      <c r="C6" s="82">
        <f>0.595-F4</f>
        <v>0.49866666666666665</v>
      </c>
      <c r="D6" s="82">
        <f>0.57-F4</f>
        <v>0.47366666666666662</v>
      </c>
      <c r="E6" s="82">
        <f>0.575-F4</f>
        <v>0.47866666666666663</v>
      </c>
      <c r="F6" s="83">
        <f t="shared" si="2"/>
        <v>0.48366666666666663</v>
      </c>
      <c r="G6" s="35">
        <f t="shared" si="0"/>
        <v>1.3228756555322966E-2</v>
      </c>
      <c r="H6" s="74">
        <f t="shared" si="1"/>
        <v>7.637626158259741E-3</v>
      </c>
    </row>
    <row r="7" spans="1:8" x14ac:dyDescent="0.15">
      <c r="A7" s="80"/>
      <c r="B7" s="78">
        <v>3.75</v>
      </c>
      <c r="C7" s="82">
        <f>0.792-F4</f>
        <v>0.69566666666666666</v>
      </c>
      <c r="D7" s="82">
        <f>0.801-F4</f>
        <v>0.70466666666666666</v>
      </c>
      <c r="E7" s="82">
        <f>0.844-F4</f>
        <v>0.74766666666666659</v>
      </c>
      <c r="F7" s="83">
        <f t="shared" si="2"/>
        <v>0.71599999999999986</v>
      </c>
      <c r="G7" s="35">
        <f t="shared" si="0"/>
        <v>2.7790885796126243E-2</v>
      </c>
      <c r="H7" s="74">
        <f t="shared" si="1"/>
        <v>1.6045075395411633E-2</v>
      </c>
    </row>
    <row r="8" spans="1:8" x14ac:dyDescent="0.15">
      <c r="A8" s="80"/>
      <c r="B8" s="78">
        <v>5</v>
      </c>
      <c r="C8" s="82">
        <f>0.997-F4</f>
        <v>0.90066666666666662</v>
      </c>
      <c r="D8" s="82">
        <f>1.067-F4</f>
        <v>0.97066666666666657</v>
      </c>
      <c r="E8" s="82">
        <f>1.074-F4</f>
        <v>0.97766666666666668</v>
      </c>
      <c r="F8" s="83">
        <f t="shared" si="2"/>
        <v>0.94966666666666677</v>
      </c>
      <c r="G8" s="35">
        <f t="shared" si="0"/>
        <v>4.257933771208755E-2</v>
      </c>
      <c r="H8" s="74">
        <f t="shared" si="1"/>
        <v>2.4583192089989731E-2</v>
      </c>
    </row>
    <row r="9" spans="1:8" ht="15" thickBot="1" x14ac:dyDescent="0.2">
      <c r="A9" s="80"/>
      <c r="B9" s="79">
        <v>6.25</v>
      </c>
      <c r="C9" s="75">
        <f>1.36-F4</f>
        <v>1.2636666666666667</v>
      </c>
      <c r="D9" s="75">
        <f>1.31-F4</f>
        <v>1.2136666666666667</v>
      </c>
      <c r="E9" s="75">
        <f>1.33-F4</f>
        <v>1.2336666666666667</v>
      </c>
      <c r="F9" s="76">
        <f t="shared" si="2"/>
        <v>1.2369999999999999</v>
      </c>
      <c r="G9" s="63">
        <f t="shared" si="0"/>
        <v>2.5166114784235857E-2</v>
      </c>
      <c r="H9" s="77">
        <f t="shared" si="1"/>
        <v>1.4529663145135593E-2</v>
      </c>
    </row>
    <row r="10" spans="1:8" x14ac:dyDescent="0.15">
      <c r="A10" s="80"/>
      <c r="B10" s="45"/>
      <c r="H10" s="84"/>
    </row>
    <row r="11" spans="1:8" x14ac:dyDescent="0.15">
      <c r="A11" s="80"/>
      <c r="H11" s="84"/>
    </row>
    <row r="12" spans="1:8" x14ac:dyDescent="0.15">
      <c r="A12" s="80"/>
      <c r="H12" s="84"/>
    </row>
    <row r="13" spans="1:8" x14ac:dyDescent="0.15">
      <c r="A13" s="80"/>
      <c r="H13" s="84"/>
    </row>
    <row r="14" spans="1:8" x14ac:dyDescent="0.15">
      <c r="A14" s="80"/>
      <c r="H14" s="84"/>
    </row>
    <row r="15" spans="1:8" x14ac:dyDescent="0.15">
      <c r="A15" s="80"/>
      <c r="H15" s="84"/>
    </row>
    <row r="16" spans="1:8" x14ac:dyDescent="0.15">
      <c r="A16" s="80"/>
      <c r="H16" s="84"/>
    </row>
    <row r="17" spans="1:8" ht="15" thickBot="1" x14ac:dyDescent="0.2">
      <c r="A17" s="85"/>
      <c r="B17" s="61"/>
      <c r="C17" s="61"/>
      <c r="D17" s="61"/>
      <c r="E17" s="61"/>
      <c r="F17" s="61"/>
      <c r="G17" s="61"/>
      <c r="H17" s="62"/>
    </row>
  </sheetData>
  <mergeCells count="2">
    <mergeCell ref="A1:H1"/>
    <mergeCell ref="C2:E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8755E3B35AFD46855982A7C7E7BE1A" ma:contentTypeVersion="4" ma:contentTypeDescription="Create a new document." ma:contentTypeScope="" ma:versionID="3a788baaba5feb909dd4132bb981cf1b">
  <xsd:schema xmlns:xsd="http://www.w3.org/2001/XMLSchema" xmlns:xs="http://www.w3.org/2001/XMLSchema" xmlns:p="http://schemas.microsoft.com/office/2006/metadata/properties" xmlns:ns2="bb877b61-73df-4c71-aa42-e1c67dd7a708" targetNamespace="http://schemas.microsoft.com/office/2006/metadata/properties" ma:root="true" ma:fieldsID="7491248f6f5b838387a9d36578de4401" ns2:_="">
    <xsd:import namespace="bb877b61-73df-4c71-aa42-e1c67dd7a7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77b61-73df-4c71-aa42-e1c67dd7a7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AB536F-E95B-4E98-82BD-0AE4727BF0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77b61-73df-4c71-aa42-e1c67dd7a7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F1B8E1-290C-47E2-812E-D9BC9C9FBF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C80049-1B45-474D-9D4D-913D49700B36}">
  <ds:schemaRefs>
    <ds:schemaRef ds:uri="http://schemas.microsoft.com/office/2006/documentManagement/types"/>
    <ds:schemaRef ds:uri="bb877b61-73df-4c71-aa42-e1c67dd7a708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Information Sheet</vt:lpstr>
      <vt:lpstr>Spirulina growth standard curve</vt:lpstr>
      <vt:lpstr>Nitrate standard curve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Karen Ssekimpi</dc:creator>
  <cp:keywords/>
  <dc:description/>
  <cp:lastModifiedBy>Karen Ssekimpi</cp:lastModifiedBy>
  <cp:revision/>
  <dcterms:created xsi:type="dcterms:W3CDTF">2020-10-06T16:33:12Z</dcterms:created>
  <dcterms:modified xsi:type="dcterms:W3CDTF">2023-04-01T13:56:53Z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0x010100DB8755E3B35AFD46855982A7C7E7BE1A</vt:lpwstr>
  </property>
</Properties>
</file>