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ren/Desktop/Thesis/Excel for submission/"/>
    </mc:Choice>
  </mc:AlternateContent>
  <xr:revisionPtr revIDLastSave="0" documentId="13_ncr:1_{58E50135-068A-6C4E-8BB5-2485B68D7BD9}" xr6:coauthVersionLast="47" xr6:coauthVersionMax="47" xr10:uidLastSave="{00000000-0000-0000-0000-000000000000}"/>
  <bookViews>
    <workbookView xWindow="0" yWindow="500" windowWidth="25600" windowHeight="14320" xr2:uid="{00000000-000D-0000-FFFF-FFFF00000000}"/>
  </bookViews>
  <sheets>
    <sheet name="Information Sheet" sheetId="6" r:id="rId1"/>
    <sheet name="Growth curves" sheetId="7" r:id="rId2"/>
    <sheet name="C-phycocyanin" sheetId="8" r:id="rId3"/>
    <sheet name="Nitrate content" sheetId="9" r:id="rId4"/>
  </sheets>
  <externalReferences>
    <externalReference r:id="rId5"/>
  </externalReferenc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6" i="9" l="1"/>
  <c r="S35" i="9"/>
  <c r="S34" i="9"/>
  <c r="R36" i="9"/>
  <c r="R35" i="9"/>
  <c r="R34" i="9"/>
  <c r="Q41" i="9"/>
  <c r="Q40" i="9"/>
  <c r="Q39" i="9"/>
  <c r="Q38" i="9"/>
  <c r="Q37" i="9"/>
  <c r="Q36" i="9"/>
  <c r="Q35" i="9"/>
  <c r="Q34" i="9"/>
  <c r="O38" i="9"/>
  <c r="O40" i="9"/>
  <c r="O36" i="9"/>
  <c r="N38" i="9"/>
  <c r="N40" i="9"/>
  <c r="N36" i="9"/>
  <c r="M38" i="9"/>
  <c r="M40" i="9"/>
  <c r="M36" i="9"/>
  <c r="D35" i="9"/>
  <c r="H31" i="9"/>
  <c r="I31" i="9" s="1"/>
  <c r="J31" i="9" s="1"/>
  <c r="K31" i="9" s="1"/>
  <c r="L31" i="9" s="1"/>
  <c r="H30" i="9"/>
  <c r="I30" i="9" s="1"/>
  <c r="J30" i="9" s="1"/>
  <c r="K30" i="9" s="1"/>
  <c r="L30" i="9" s="1"/>
  <c r="H29" i="9"/>
  <c r="I29" i="9" s="1"/>
  <c r="J29" i="9" s="1"/>
  <c r="K29" i="9" s="1"/>
  <c r="L29" i="9" s="1"/>
  <c r="H28" i="9"/>
  <c r="I28" i="9" s="1"/>
  <c r="J28" i="9" s="1"/>
  <c r="K28" i="9" s="1"/>
  <c r="L28" i="9" s="1"/>
  <c r="H27" i="9"/>
  <c r="I27" i="9" s="1"/>
  <c r="J27" i="9" s="1"/>
  <c r="K27" i="9" s="1"/>
  <c r="L27" i="9" s="1"/>
  <c r="H26" i="9"/>
  <c r="I26" i="9" s="1"/>
  <c r="J26" i="9" s="1"/>
  <c r="K26" i="9" s="1"/>
  <c r="L26" i="9" s="1"/>
  <c r="H25" i="9"/>
  <c r="I25" i="9" s="1"/>
  <c r="J25" i="9" s="1"/>
  <c r="K25" i="9" s="1"/>
  <c r="L25" i="9" s="1"/>
  <c r="H24" i="9"/>
  <c r="I24" i="9" s="1"/>
  <c r="J24" i="9" s="1"/>
  <c r="K24" i="9" s="1"/>
  <c r="L24" i="9" s="1"/>
  <c r="H23" i="9"/>
  <c r="I23" i="9" s="1"/>
  <c r="J23" i="9" s="1"/>
  <c r="K23" i="9" s="1"/>
  <c r="L23" i="9" s="1"/>
  <c r="H22" i="9"/>
  <c r="I22" i="9" s="1"/>
  <c r="J22" i="9" s="1"/>
  <c r="K22" i="9" s="1"/>
  <c r="L22" i="9" s="1"/>
  <c r="H21" i="9"/>
  <c r="I21" i="9" s="1"/>
  <c r="J21" i="9" s="1"/>
  <c r="K21" i="9" s="1"/>
  <c r="L21" i="9" s="1"/>
  <c r="H20" i="9"/>
  <c r="I20" i="9" s="1"/>
  <c r="J20" i="9" s="1"/>
  <c r="K20" i="9" s="1"/>
  <c r="L20" i="9" s="1"/>
  <c r="H19" i="9"/>
  <c r="I19" i="9" s="1"/>
  <c r="J19" i="9" s="1"/>
  <c r="K19" i="9" s="1"/>
  <c r="L19" i="9" s="1"/>
  <c r="H18" i="9"/>
  <c r="I18" i="9" s="1"/>
  <c r="J18" i="9" s="1"/>
  <c r="K18" i="9" s="1"/>
  <c r="L18" i="9" s="1"/>
  <c r="H17" i="9"/>
  <c r="I17" i="9" s="1"/>
  <c r="J17" i="9" s="1"/>
  <c r="K17" i="9" s="1"/>
  <c r="L17" i="9" s="1"/>
  <c r="D17" i="9"/>
  <c r="D20" i="9" s="1"/>
  <c r="D23" i="9" s="1"/>
  <c r="D26" i="9" s="1"/>
  <c r="H16" i="9"/>
  <c r="I16" i="9" s="1"/>
  <c r="J16" i="9" s="1"/>
  <c r="K16" i="9" s="1"/>
  <c r="L16" i="9" s="1"/>
  <c r="H15" i="9"/>
  <c r="I15" i="9" s="1"/>
  <c r="J15" i="9" s="1"/>
  <c r="K15" i="9" s="1"/>
  <c r="L15" i="9" s="1"/>
  <c r="H14" i="9"/>
  <c r="I14" i="9" s="1"/>
  <c r="J14" i="9" s="1"/>
  <c r="K14" i="9" s="1"/>
  <c r="L14" i="9" s="1"/>
  <c r="H13" i="9"/>
  <c r="I13" i="9" s="1"/>
  <c r="J13" i="9" s="1"/>
  <c r="K13" i="9" s="1"/>
  <c r="L13" i="9" s="1"/>
  <c r="H12" i="9"/>
  <c r="I12" i="9" s="1"/>
  <c r="J12" i="9" s="1"/>
  <c r="K12" i="9" s="1"/>
  <c r="L12" i="9" s="1"/>
  <c r="H11" i="9"/>
  <c r="I11" i="9" s="1"/>
  <c r="J11" i="9" s="1"/>
  <c r="K11" i="9" s="1"/>
  <c r="L11" i="9" s="1"/>
  <c r="H10" i="9"/>
  <c r="I10" i="9" s="1"/>
  <c r="J10" i="9" s="1"/>
  <c r="K10" i="9" s="1"/>
  <c r="L10" i="9" s="1"/>
  <c r="H9" i="9"/>
  <c r="I9" i="9" s="1"/>
  <c r="J9" i="9" s="1"/>
  <c r="K9" i="9" s="1"/>
  <c r="L9" i="9" s="1"/>
  <c r="H8" i="9"/>
  <c r="I8" i="9" s="1"/>
  <c r="J8" i="9" s="1"/>
  <c r="K8" i="9" s="1"/>
  <c r="L8" i="9" s="1"/>
  <c r="D8" i="9"/>
  <c r="D11" i="9" s="1"/>
  <c r="H7" i="9"/>
  <c r="I7" i="9" s="1"/>
  <c r="J7" i="9" s="1"/>
  <c r="K7" i="9" s="1"/>
  <c r="L7" i="9" s="1"/>
  <c r="H6" i="9"/>
  <c r="I6" i="9" s="1"/>
  <c r="J6" i="9" s="1"/>
  <c r="K6" i="9" s="1"/>
  <c r="L6" i="9" s="1"/>
  <c r="H5" i="9"/>
  <c r="I5" i="9" s="1"/>
  <c r="J5" i="9" s="1"/>
  <c r="K5" i="9" s="1"/>
  <c r="L5" i="9" s="1"/>
  <c r="D5" i="9"/>
  <c r="T61" i="8"/>
  <c r="T58" i="8"/>
  <c r="T60" i="8"/>
  <c r="T59" i="8"/>
  <c r="K75" i="8"/>
  <c r="K74" i="8"/>
  <c r="K73" i="8"/>
  <c r="K72" i="8"/>
  <c r="K67" i="8"/>
  <c r="I75" i="8"/>
  <c r="I74" i="8"/>
  <c r="I73" i="8"/>
  <c r="I72" i="8"/>
  <c r="I71" i="8"/>
  <c r="K71" i="8" s="1"/>
  <c r="I70" i="8"/>
  <c r="I69" i="8"/>
  <c r="K69" i="8" s="1"/>
  <c r="I68" i="8"/>
  <c r="S59" i="8"/>
  <c r="S61" i="8"/>
  <c r="S63" i="8"/>
  <c r="S65" i="8"/>
  <c r="S57" i="8"/>
  <c r="R59" i="8"/>
  <c r="R61" i="8"/>
  <c r="R63" i="8"/>
  <c r="R65" i="8"/>
  <c r="R57" i="8"/>
  <c r="O59" i="8"/>
  <c r="O61" i="8"/>
  <c r="O63" i="8"/>
  <c r="O65" i="8"/>
  <c r="O57" i="8"/>
  <c r="N59" i="8"/>
  <c r="N61" i="8"/>
  <c r="N63" i="8"/>
  <c r="N65" i="8"/>
  <c r="N57" i="8"/>
  <c r="X64" i="8"/>
  <c r="X63" i="8"/>
  <c r="X62" i="8"/>
  <c r="X61" i="8"/>
  <c r="X60" i="8"/>
  <c r="X59" i="8"/>
  <c r="X58" i="8"/>
  <c r="X57" i="8"/>
  <c r="X56" i="8"/>
  <c r="X55" i="8"/>
  <c r="Q59" i="8"/>
  <c r="Q61" i="8"/>
  <c r="Q63" i="8"/>
  <c r="Q65" i="8"/>
  <c r="Q57" i="8"/>
  <c r="M59" i="8"/>
  <c r="M61" i="8"/>
  <c r="M63" i="8"/>
  <c r="M65" i="8"/>
  <c r="M57" i="8"/>
  <c r="K70" i="8"/>
  <c r="K68" i="8"/>
  <c r="K66" i="8"/>
  <c r="K65" i="8"/>
  <c r="K64" i="8"/>
  <c r="K63" i="8"/>
  <c r="K62" i="8"/>
  <c r="I67" i="8"/>
  <c r="I66" i="8"/>
  <c r="I65" i="8"/>
  <c r="I64" i="8"/>
  <c r="I63" i="8"/>
  <c r="I62" i="8"/>
  <c r="I61" i="8"/>
  <c r="I60" i="8"/>
  <c r="I59" i="8"/>
  <c r="I58" i="8"/>
  <c r="I57" i="8"/>
  <c r="I56" i="8"/>
  <c r="D60" i="8"/>
  <c r="D62" i="8" s="1"/>
  <c r="D64" i="8" s="1"/>
  <c r="D56" i="8"/>
  <c r="N25" i="9" l="1"/>
  <c r="O25" i="9" s="1"/>
  <c r="M25" i="9"/>
  <c r="M28" i="9"/>
  <c r="N28" i="9"/>
  <c r="O28" i="9" s="1"/>
  <c r="N31" i="9"/>
  <c r="O31" i="9" s="1"/>
  <c r="M31" i="9"/>
  <c r="N10" i="9"/>
  <c r="O10" i="9" s="1"/>
  <c r="M10" i="9"/>
  <c r="N13" i="9"/>
  <c r="O13" i="9" s="1"/>
  <c r="M13" i="9"/>
  <c r="M16" i="9"/>
  <c r="N16" i="9"/>
  <c r="O16" i="9" s="1"/>
  <c r="M7" i="9"/>
  <c r="N7" i="9"/>
  <c r="O7" i="9" s="1"/>
  <c r="N19" i="9"/>
  <c r="O19" i="9" s="1"/>
  <c r="M19" i="9"/>
  <c r="N22" i="9"/>
  <c r="O22" i="9" s="1"/>
  <c r="M22" i="9"/>
  <c r="J52" i="8"/>
  <c r="K52" i="8" s="1"/>
  <c r="H52" i="8"/>
  <c r="J51" i="8"/>
  <c r="K51" i="8" s="1"/>
  <c r="H51" i="8"/>
  <c r="J50" i="8"/>
  <c r="K50" i="8" s="1"/>
  <c r="H50" i="8"/>
  <c r="J49" i="8"/>
  <c r="K49" i="8" s="1"/>
  <c r="H49" i="8"/>
  <c r="J48" i="8"/>
  <c r="K48" i="8" s="1"/>
  <c r="H48" i="8"/>
  <c r="J47" i="8"/>
  <c r="K47" i="8" s="1"/>
  <c r="H47" i="8"/>
  <c r="J46" i="8"/>
  <c r="K46" i="8" s="1"/>
  <c r="H46" i="8"/>
  <c r="J45" i="8"/>
  <c r="K45" i="8" s="1"/>
  <c r="H45" i="8"/>
  <c r="J44" i="8"/>
  <c r="K44" i="8" s="1"/>
  <c r="H44" i="8"/>
  <c r="D44" i="8"/>
  <c r="J43" i="8"/>
  <c r="K43" i="8" s="1"/>
  <c r="H43" i="8"/>
  <c r="J42" i="8"/>
  <c r="K42" i="8" s="1"/>
  <c r="H42" i="8"/>
  <c r="J41" i="8"/>
  <c r="K41" i="8" s="1"/>
  <c r="H41" i="8"/>
  <c r="D41" i="8"/>
  <c r="J40" i="8"/>
  <c r="K40" i="8" s="1"/>
  <c r="H40" i="8"/>
  <c r="J39" i="8"/>
  <c r="K39" i="8" s="1"/>
  <c r="H39" i="8"/>
  <c r="J38" i="8"/>
  <c r="K38" i="8" s="1"/>
  <c r="H38" i="8"/>
  <c r="J37" i="8"/>
  <c r="K37" i="8" s="1"/>
  <c r="H37" i="8"/>
  <c r="J36" i="8"/>
  <c r="K36" i="8" s="1"/>
  <c r="H36" i="8"/>
  <c r="J35" i="8"/>
  <c r="K35" i="8" s="1"/>
  <c r="H35" i="8"/>
  <c r="J34" i="8"/>
  <c r="K34" i="8" s="1"/>
  <c r="H34" i="8"/>
  <c r="J33" i="8"/>
  <c r="K33" i="8" s="1"/>
  <c r="H33" i="8"/>
  <c r="J32" i="8"/>
  <c r="K32" i="8" s="1"/>
  <c r="H32" i="8"/>
  <c r="J31" i="8"/>
  <c r="K31" i="8" s="1"/>
  <c r="H31" i="8"/>
  <c r="J30" i="8"/>
  <c r="K30" i="8" s="1"/>
  <c r="H30" i="8"/>
  <c r="J29" i="8"/>
  <c r="K29" i="8" s="1"/>
  <c r="H29" i="8"/>
  <c r="J28" i="8"/>
  <c r="K28" i="8" s="1"/>
  <c r="H28" i="8"/>
  <c r="J27" i="8"/>
  <c r="K27" i="8" s="1"/>
  <c r="H27" i="8"/>
  <c r="J26" i="8"/>
  <c r="K26" i="8" s="1"/>
  <c r="H26" i="8"/>
  <c r="K25" i="8"/>
  <c r="J25" i="8"/>
  <c r="H25" i="8"/>
  <c r="K24" i="8"/>
  <c r="J24" i="8"/>
  <c r="H24" i="8"/>
  <c r="K23" i="8"/>
  <c r="J23" i="8"/>
  <c r="H23" i="8"/>
  <c r="K22" i="8"/>
  <c r="J22" i="8"/>
  <c r="H22" i="8"/>
  <c r="K21" i="8"/>
  <c r="J21" i="8"/>
  <c r="H21" i="8"/>
  <c r="K20" i="8"/>
  <c r="J20" i="8"/>
  <c r="H20" i="8"/>
  <c r="K19" i="8"/>
  <c r="J19" i="8"/>
  <c r="H19" i="8"/>
  <c r="K18" i="8"/>
  <c r="J18" i="8"/>
  <c r="H18" i="8"/>
  <c r="K17" i="8"/>
  <c r="J17" i="8"/>
  <c r="H17" i="8"/>
  <c r="K16" i="8"/>
  <c r="J16" i="8"/>
  <c r="H16" i="8"/>
  <c r="K15" i="8"/>
  <c r="J15" i="8"/>
  <c r="H15" i="8"/>
  <c r="K14" i="8"/>
  <c r="J14" i="8"/>
  <c r="H14" i="8"/>
  <c r="J13" i="8"/>
  <c r="K13" i="8" s="1"/>
  <c r="H13" i="8"/>
  <c r="J12" i="8"/>
  <c r="K12" i="8" s="1"/>
  <c r="H12" i="8"/>
  <c r="J11" i="8"/>
  <c r="K11" i="8" s="1"/>
  <c r="H11" i="8"/>
  <c r="J10" i="8"/>
  <c r="K10" i="8" s="1"/>
  <c r="H10" i="8"/>
  <c r="J9" i="8"/>
  <c r="K9" i="8" s="1"/>
  <c r="H9" i="8"/>
  <c r="J8" i="8"/>
  <c r="K8" i="8" s="1"/>
  <c r="H8" i="8"/>
  <c r="J7" i="8"/>
  <c r="K7" i="8" s="1"/>
  <c r="H7" i="8"/>
  <c r="J6" i="8"/>
  <c r="K6" i="8" s="1"/>
  <c r="H6" i="8"/>
  <c r="J5" i="8"/>
  <c r="K5" i="8" s="1"/>
  <c r="H5" i="8"/>
  <c r="D5" i="8"/>
  <c r="F44" i="7"/>
  <c r="I44" i="7" s="1"/>
  <c r="G44" i="7"/>
  <c r="G43" i="7"/>
  <c r="J43" i="7" s="1"/>
  <c r="O43" i="7" s="1"/>
  <c r="F43" i="7"/>
  <c r="I43" i="7" s="1"/>
  <c r="N43" i="7" s="1"/>
  <c r="J44" i="7"/>
  <c r="O44" i="7" s="1"/>
  <c r="F42" i="7"/>
  <c r="I42" i="7"/>
  <c r="G42" i="7"/>
  <c r="J42" i="7" s="1"/>
  <c r="G41" i="7"/>
  <c r="J41" i="7" s="1"/>
  <c r="F41" i="7"/>
  <c r="I41" i="7" s="1"/>
  <c r="N41" i="7" s="1"/>
  <c r="I38" i="7"/>
  <c r="N38" i="7" s="1"/>
  <c r="D32" i="7"/>
  <c r="D33" i="7" s="1"/>
  <c r="D34" i="7" s="1"/>
  <c r="D35" i="7" s="1"/>
  <c r="D36" i="7" s="1"/>
  <c r="D37" i="7" s="1"/>
  <c r="D38" i="7" s="1"/>
  <c r="D39" i="7" s="1"/>
  <c r="D40" i="7" s="1"/>
  <c r="D41" i="7" s="1"/>
  <c r="D42" i="7" s="1"/>
  <c r="D43" i="7" s="1"/>
  <c r="D44" i="7" s="1"/>
  <c r="D30" i="7"/>
  <c r="D31" i="7" s="1"/>
  <c r="H25" i="7"/>
  <c r="K25" i="7" s="1"/>
  <c r="G25" i="7"/>
  <c r="J25" i="7" s="1"/>
  <c r="F25" i="7"/>
  <c r="I25" i="7" s="1"/>
  <c r="H24" i="7"/>
  <c r="K24" i="7" s="1"/>
  <c r="P24" i="7" s="1"/>
  <c r="G24" i="7"/>
  <c r="J24" i="7" s="1"/>
  <c r="F24" i="7"/>
  <c r="I24" i="7" s="1"/>
  <c r="H23" i="7"/>
  <c r="K23" i="7" s="1"/>
  <c r="P23" i="7" s="1"/>
  <c r="G23" i="7"/>
  <c r="J23" i="7" s="1"/>
  <c r="F23" i="7"/>
  <c r="I23" i="7" s="1"/>
  <c r="H22" i="7"/>
  <c r="K22" i="7" s="1"/>
  <c r="P22" i="7" s="1"/>
  <c r="G22" i="7"/>
  <c r="J22" i="7" s="1"/>
  <c r="F22" i="7"/>
  <c r="I22" i="7" s="1"/>
  <c r="H21" i="7"/>
  <c r="K21" i="7" s="1"/>
  <c r="P21" i="7" s="1"/>
  <c r="G21" i="7"/>
  <c r="J21" i="7" s="1"/>
  <c r="F21" i="7"/>
  <c r="I21" i="7" s="1"/>
  <c r="H20" i="7"/>
  <c r="K20" i="7" s="1"/>
  <c r="P20" i="7" s="1"/>
  <c r="G20" i="7"/>
  <c r="J20" i="7" s="1"/>
  <c r="F20" i="7"/>
  <c r="I20" i="7" s="1"/>
  <c r="H19" i="7"/>
  <c r="K19" i="7" s="1"/>
  <c r="P19" i="7" s="1"/>
  <c r="G19" i="7"/>
  <c r="J19" i="7" s="1"/>
  <c r="F19" i="7"/>
  <c r="I19" i="7" s="1"/>
  <c r="H18" i="7"/>
  <c r="K18" i="7" s="1"/>
  <c r="P18" i="7" s="1"/>
  <c r="G18" i="7"/>
  <c r="J18" i="7" s="1"/>
  <c r="F18" i="7"/>
  <c r="I18" i="7" s="1"/>
  <c r="H17" i="7"/>
  <c r="K17" i="7" s="1"/>
  <c r="P17" i="7" s="1"/>
  <c r="G17" i="7"/>
  <c r="J17" i="7" s="1"/>
  <c r="F17" i="7"/>
  <c r="I17" i="7" s="1"/>
  <c r="H16" i="7"/>
  <c r="K16" i="7" s="1"/>
  <c r="P16" i="7" s="1"/>
  <c r="G16" i="7"/>
  <c r="J16" i="7" s="1"/>
  <c r="F16" i="7"/>
  <c r="I16" i="7" s="1"/>
  <c r="J15" i="7"/>
  <c r="O15" i="7" s="1"/>
  <c r="H15" i="7"/>
  <c r="K15" i="7" s="1"/>
  <c r="P15" i="7" s="1"/>
  <c r="F15" i="7"/>
  <c r="I15" i="7" s="1"/>
  <c r="K14" i="7"/>
  <c r="P14" i="7" s="1"/>
  <c r="J14" i="7"/>
  <c r="O14" i="7" s="1"/>
  <c r="I14" i="7"/>
  <c r="K13" i="7"/>
  <c r="P13" i="7" s="1"/>
  <c r="J13" i="7"/>
  <c r="O13" i="7" s="1"/>
  <c r="I13" i="7"/>
  <c r="K12" i="7"/>
  <c r="J12" i="7"/>
  <c r="I12" i="7"/>
  <c r="K11" i="7"/>
  <c r="J11" i="7"/>
  <c r="O11" i="7" s="1"/>
  <c r="I11" i="7"/>
  <c r="N11" i="7" s="1"/>
  <c r="K10" i="7"/>
  <c r="P10" i="7" s="1"/>
  <c r="J10" i="7"/>
  <c r="I10" i="7"/>
  <c r="N10" i="7" s="1"/>
  <c r="K9" i="7"/>
  <c r="J9" i="7"/>
  <c r="O9" i="7" s="1"/>
  <c r="I9" i="7"/>
  <c r="K8" i="7"/>
  <c r="P8" i="7" s="1"/>
  <c r="J8" i="7"/>
  <c r="I8" i="7"/>
  <c r="K7" i="7"/>
  <c r="P7" i="7" s="1"/>
  <c r="J7" i="7"/>
  <c r="O7" i="7" s="1"/>
  <c r="I7" i="7"/>
  <c r="K6" i="7"/>
  <c r="P6" i="7" s="1"/>
  <c r="J6" i="7"/>
  <c r="I6" i="7"/>
  <c r="D6" i="7"/>
  <c r="D7" i="7" s="1"/>
  <c r="K5" i="7"/>
  <c r="P5" i="7" s="1"/>
  <c r="J5" i="7"/>
  <c r="O5" i="7" s="1"/>
  <c r="I5" i="7"/>
  <c r="H50" i="9"/>
  <c r="I50" i="9" s="1"/>
  <c r="J50" i="9" s="1"/>
  <c r="K50" i="9" s="1"/>
  <c r="L50" i="9" s="1"/>
  <c r="H49" i="9"/>
  <c r="I49" i="9" s="1"/>
  <c r="J49" i="9" s="1"/>
  <c r="K49" i="9" s="1"/>
  <c r="L49" i="9" s="1"/>
  <c r="H48" i="9"/>
  <c r="I48" i="9" s="1"/>
  <c r="J48" i="9" s="1"/>
  <c r="K48" i="9" s="1"/>
  <c r="L48" i="9" s="1"/>
  <c r="H47" i="9"/>
  <c r="I47" i="9" s="1"/>
  <c r="J47" i="9" s="1"/>
  <c r="K47" i="9" s="1"/>
  <c r="L47" i="9" s="1"/>
  <c r="H46" i="9"/>
  <c r="I46" i="9" s="1"/>
  <c r="J46" i="9" s="1"/>
  <c r="K46" i="9" s="1"/>
  <c r="L46" i="9" s="1"/>
  <c r="H45" i="9"/>
  <c r="I45" i="9" s="1"/>
  <c r="J45" i="9" s="1"/>
  <c r="K45" i="9" s="1"/>
  <c r="L45" i="9" s="1"/>
  <c r="H44" i="9"/>
  <c r="I44" i="9" s="1"/>
  <c r="J44" i="9" s="1"/>
  <c r="K44" i="9" s="1"/>
  <c r="L44" i="9" s="1"/>
  <c r="H43" i="9"/>
  <c r="I43" i="9" s="1"/>
  <c r="J43" i="9" s="1"/>
  <c r="K43" i="9" s="1"/>
  <c r="L43" i="9" s="1"/>
  <c r="H42" i="9"/>
  <c r="I42" i="9" s="1"/>
  <c r="J42" i="9" s="1"/>
  <c r="K42" i="9" s="1"/>
  <c r="L42" i="9" s="1"/>
  <c r="H41" i="9"/>
  <c r="I41" i="9" s="1"/>
  <c r="J41" i="9" s="1"/>
  <c r="K41" i="9" s="1"/>
  <c r="L41" i="9" s="1"/>
  <c r="H40" i="9"/>
  <c r="I40" i="9" s="1"/>
  <c r="J40" i="9" s="1"/>
  <c r="K40" i="9" s="1"/>
  <c r="L40" i="9" s="1"/>
  <c r="H39" i="9"/>
  <c r="I39" i="9" s="1"/>
  <c r="J39" i="9" s="1"/>
  <c r="K39" i="9" s="1"/>
  <c r="L39" i="9" s="1"/>
  <c r="H38" i="9"/>
  <c r="I38" i="9" s="1"/>
  <c r="J38" i="9" s="1"/>
  <c r="K38" i="9" s="1"/>
  <c r="L38" i="9" s="1"/>
  <c r="H37" i="9"/>
  <c r="I37" i="9" s="1"/>
  <c r="J37" i="9" s="1"/>
  <c r="K37" i="9" s="1"/>
  <c r="L37" i="9" s="1"/>
  <c r="H36" i="9"/>
  <c r="I36" i="9" s="1"/>
  <c r="J36" i="9" s="1"/>
  <c r="K36" i="9" s="1"/>
  <c r="L36" i="9" s="1"/>
  <c r="H35" i="9"/>
  <c r="I35" i="9" s="1"/>
  <c r="J35" i="9" s="1"/>
  <c r="K35" i="9" s="1"/>
  <c r="L35" i="9" s="1"/>
  <c r="S33" i="9"/>
  <c r="R33" i="9"/>
  <c r="Q12" i="9"/>
  <c r="Q8" i="9"/>
  <c r="Q6" i="9"/>
  <c r="Q7" i="9"/>
  <c r="Q5" i="9"/>
  <c r="S3" i="9"/>
  <c r="R3" i="9"/>
  <c r="Q3" i="9"/>
  <c r="J75" i="8"/>
  <c r="H75" i="8"/>
  <c r="J74" i="8"/>
  <c r="H74" i="8"/>
  <c r="J73" i="8"/>
  <c r="H73" i="8"/>
  <c r="J72" i="8"/>
  <c r="H72" i="8"/>
  <c r="J71" i="8"/>
  <c r="H71" i="8"/>
  <c r="J70" i="8"/>
  <c r="H70" i="8"/>
  <c r="J69" i="8"/>
  <c r="H69" i="8"/>
  <c r="J68" i="8"/>
  <c r="H68" i="8"/>
  <c r="J67" i="8"/>
  <c r="H67" i="8"/>
  <c r="J66" i="8"/>
  <c r="H66" i="8"/>
  <c r="J65" i="8"/>
  <c r="H65" i="8"/>
  <c r="J64" i="8"/>
  <c r="H64" i="8"/>
  <c r="J63" i="8"/>
  <c r="H63" i="8"/>
  <c r="J62" i="8"/>
  <c r="H62" i="8"/>
  <c r="J61" i="8"/>
  <c r="K61" i="8" s="1"/>
  <c r="H61" i="8"/>
  <c r="J60" i="8"/>
  <c r="K60" i="8" s="1"/>
  <c r="H60" i="8"/>
  <c r="J59" i="8"/>
  <c r="K59" i="8" s="1"/>
  <c r="H59" i="8"/>
  <c r="J58" i="8"/>
  <c r="K58" i="8" s="1"/>
  <c r="H58" i="8"/>
  <c r="J57" i="8"/>
  <c r="K57" i="8" s="1"/>
  <c r="H57" i="8"/>
  <c r="J56" i="8"/>
  <c r="K56" i="8" s="1"/>
  <c r="H56" i="8"/>
  <c r="AA54" i="8"/>
  <c r="Y54" i="8"/>
  <c r="AA4" i="8"/>
  <c r="Y4" i="8"/>
  <c r="J40" i="7"/>
  <c r="M40" i="7" s="1"/>
  <c r="I40" i="7"/>
  <c r="J39" i="7"/>
  <c r="O39" i="7" s="1"/>
  <c r="I39" i="7"/>
  <c r="N39" i="7" s="1"/>
  <c r="J38" i="7"/>
  <c r="O38" i="7" s="1"/>
  <c r="J37" i="7"/>
  <c r="O37" i="7" s="1"/>
  <c r="I37" i="7"/>
  <c r="M37" i="7" s="1"/>
  <c r="J36" i="7"/>
  <c r="O36" i="7" s="1"/>
  <c r="I36" i="7"/>
  <c r="N36" i="7" s="1"/>
  <c r="J35" i="7"/>
  <c r="O35" i="7" s="1"/>
  <c r="I35" i="7"/>
  <c r="N35" i="7" s="1"/>
  <c r="J34" i="7"/>
  <c r="O34" i="7" s="1"/>
  <c r="I34" i="7"/>
  <c r="N34" i="7" s="1"/>
  <c r="J33" i="7"/>
  <c r="O33" i="7" s="1"/>
  <c r="I33" i="7"/>
  <c r="M33" i="7" s="1"/>
  <c r="J32" i="7"/>
  <c r="O32" i="7" s="1"/>
  <c r="I32" i="7"/>
  <c r="N32" i="7" s="1"/>
  <c r="J31" i="7"/>
  <c r="O31" i="7" s="1"/>
  <c r="I31" i="7"/>
  <c r="N31" i="7" s="1"/>
  <c r="J30" i="7"/>
  <c r="O30" i="7" s="1"/>
  <c r="I30" i="7"/>
  <c r="M30" i="7" s="1"/>
  <c r="J29" i="7"/>
  <c r="O29" i="7" s="1"/>
  <c r="I29" i="7"/>
  <c r="N29" i="7" s="1"/>
  <c r="N50" i="9" l="1"/>
  <c r="O50" i="9" s="1"/>
  <c r="S41" i="9" s="1"/>
  <c r="M50" i="9"/>
  <c r="R41" i="9" s="1"/>
  <c r="N48" i="9"/>
  <c r="O48" i="9" s="1"/>
  <c r="S40" i="9" s="1"/>
  <c r="M48" i="9"/>
  <c r="R40" i="9" s="1"/>
  <c r="N46" i="9"/>
  <c r="O46" i="9" s="1"/>
  <c r="S39" i="9" s="1"/>
  <c r="M46" i="9"/>
  <c r="R39" i="9" s="1"/>
  <c r="M44" i="9"/>
  <c r="R38" i="9" s="1"/>
  <c r="N44" i="9"/>
  <c r="O44" i="9" s="1"/>
  <c r="S38" i="9" s="1"/>
  <c r="N42" i="9"/>
  <c r="O42" i="9" s="1"/>
  <c r="S37" i="9" s="1"/>
  <c r="M42" i="9"/>
  <c r="R37" i="9" s="1"/>
  <c r="L70" i="8"/>
  <c r="L74" i="8"/>
  <c r="L56" i="8"/>
  <c r="P56" i="8" s="1"/>
  <c r="L48" i="8"/>
  <c r="L9" i="8"/>
  <c r="P9" i="8" s="1"/>
  <c r="L59" i="8"/>
  <c r="P59" i="8" s="1"/>
  <c r="L69" i="8"/>
  <c r="P69" i="8" s="1"/>
  <c r="L73" i="8"/>
  <c r="P73" i="8" s="1"/>
  <c r="L20" i="8"/>
  <c r="L49" i="8"/>
  <c r="P49" i="8" s="1"/>
  <c r="L15" i="8"/>
  <c r="P15" i="8" s="1"/>
  <c r="L19" i="8"/>
  <c r="P19" i="8" s="1"/>
  <c r="L60" i="8"/>
  <c r="P60" i="8" s="1"/>
  <c r="L5" i="8"/>
  <c r="P5" i="8" s="1"/>
  <c r="L11" i="8"/>
  <c r="L13" i="8"/>
  <c r="P13" i="8" s="1"/>
  <c r="L18" i="8"/>
  <c r="P18" i="8" s="1"/>
  <c r="L26" i="8"/>
  <c r="P26" i="8" s="1"/>
  <c r="L30" i="8"/>
  <c r="P30" i="8" s="1"/>
  <c r="L32" i="8"/>
  <c r="P32" i="8" s="1"/>
  <c r="L62" i="8"/>
  <c r="P62" i="8" s="1"/>
  <c r="L72" i="8"/>
  <c r="L6" i="8"/>
  <c r="P6" i="8" s="1"/>
  <c r="L8" i="8"/>
  <c r="P8" i="8" s="1"/>
  <c r="L17" i="8"/>
  <c r="P17" i="8" s="1"/>
  <c r="L21" i="8"/>
  <c r="P21" i="8" s="1"/>
  <c r="L23" i="8"/>
  <c r="P23" i="8" s="1"/>
  <c r="L25" i="8"/>
  <c r="P25" i="8" s="1"/>
  <c r="L45" i="8"/>
  <c r="P45" i="8" s="1"/>
  <c r="L57" i="8"/>
  <c r="P57" i="8" s="1"/>
  <c r="L61" i="8"/>
  <c r="P61" i="8" s="1"/>
  <c r="L65" i="8"/>
  <c r="P65" i="8" s="1"/>
  <c r="L67" i="8"/>
  <c r="L68" i="8"/>
  <c r="L12" i="8"/>
  <c r="P12" i="8" s="1"/>
  <c r="L27" i="8"/>
  <c r="P27" i="8" s="1"/>
  <c r="L38" i="8"/>
  <c r="L40" i="8"/>
  <c r="P40" i="8" s="1"/>
  <c r="L66" i="8"/>
  <c r="P66" i="8" s="1"/>
  <c r="L71" i="8"/>
  <c r="L75" i="8"/>
  <c r="P75" i="8" s="1"/>
  <c r="L33" i="8"/>
  <c r="P33" i="8" s="1"/>
  <c r="L63" i="8"/>
  <c r="P63" i="8" s="1"/>
  <c r="L64" i="8"/>
  <c r="P64" i="8" s="1"/>
  <c r="L29" i="8"/>
  <c r="L43" i="8"/>
  <c r="P43" i="8" s="1"/>
  <c r="L44" i="8"/>
  <c r="L46" i="8"/>
  <c r="P46" i="8" s="1"/>
  <c r="L16" i="8"/>
  <c r="P16" i="8" s="1"/>
  <c r="L24" i="8"/>
  <c r="P24" i="8" s="1"/>
  <c r="L35" i="8"/>
  <c r="L50" i="8"/>
  <c r="L52" i="8"/>
  <c r="P52" i="8" s="1"/>
  <c r="L14" i="8"/>
  <c r="P14" i="8" s="1"/>
  <c r="L22" i="8"/>
  <c r="P22" i="8" s="1"/>
  <c r="L34" i="8"/>
  <c r="P34" i="8" s="1"/>
  <c r="P20" i="8"/>
  <c r="L36" i="8"/>
  <c r="P36" i="8" s="1"/>
  <c r="L41" i="8"/>
  <c r="L51" i="8"/>
  <c r="P51" i="8" s="1"/>
  <c r="L37" i="8"/>
  <c r="P37" i="8" s="1"/>
  <c r="L42" i="8"/>
  <c r="P42" i="8" s="1"/>
  <c r="L7" i="8"/>
  <c r="P7" i="8" s="1"/>
  <c r="L10" i="8"/>
  <c r="P10" i="8" s="1"/>
  <c r="L28" i="8"/>
  <c r="P28" i="8" s="1"/>
  <c r="L31" i="8"/>
  <c r="P31" i="8" s="1"/>
  <c r="L39" i="8"/>
  <c r="P39" i="8" s="1"/>
  <c r="L47" i="8"/>
  <c r="D47" i="8"/>
  <c r="N44" i="7"/>
  <c r="M44" i="7"/>
  <c r="M31" i="7"/>
  <c r="M29" i="7"/>
  <c r="M35" i="7"/>
  <c r="M43" i="7"/>
  <c r="M32" i="7"/>
  <c r="M34" i="7"/>
  <c r="N42" i="7"/>
  <c r="M42" i="7"/>
  <c r="M41" i="7"/>
  <c r="M39" i="7"/>
  <c r="M38" i="7"/>
  <c r="M36" i="7"/>
  <c r="L12" i="7"/>
  <c r="M14" i="7"/>
  <c r="L8" i="7"/>
  <c r="L29" i="7"/>
  <c r="M10" i="7"/>
  <c r="X7" i="7"/>
  <c r="Y6" i="7"/>
  <c r="M9" i="7"/>
  <c r="L5" i="7"/>
  <c r="M6" i="7"/>
  <c r="Z6" i="7"/>
  <c r="P12" i="7"/>
  <c r="N14" i="7"/>
  <c r="Q14" i="7" s="1"/>
  <c r="U6" i="7"/>
  <c r="N6" i="7"/>
  <c r="M12" i="7"/>
  <c r="N12" i="7"/>
  <c r="D8" i="7"/>
  <c r="D9" i="7" s="1"/>
  <c r="X9" i="7" s="1"/>
  <c r="Y7" i="7"/>
  <c r="U7" i="7"/>
  <c r="M5" i="7"/>
  <c r="M7" i="7"/>
  <c r="N5" i="7"/>
  <c r="S6" i="7" s="1"/>
  <c r="O6" i="7"/>
  <c r="T6" i="7" s="1"/>
  <c r="N7" i="7"/>
  <c r="Z7" i="7"/>
  <c r="M8" i="7"/>
  <c r="L9" i="7"/>
  <c r="N9" i="7"/>
  <c r="O17" i="7"/>
  <c r="O21" i="7"/>
  <c r="L22" i="7"/>
  <c r="N22" i="7"/>
  <c r="M22" i="7"/>
  <c r="L23" i="7"/>
  <c r="N23" i="7"/>
  <c r="M23" i="7"/>
  <c r="L24" i="7"/>
  <c r="N24" i="7"/>
  <c r="M24" i="7"/>
  <c r="L25" i="7"/>
  <c r="N25" i="7"/>
  <c r="M25" i="7"/>
  <c r="O16" i="7"/>
  <c r="O20" i="7"/>
  <c r="L6" i="7"/>
  <c r="X6" i="7"/>
  <c r="N8" i="7"/>
  <c r="L15" i="7"/>
  <c r="N15" i="7"/>
  <c r="M15" i="7"/>
  <c r="O18" i="7"/>
  <c r="O22" i="7"/>
  <c r="O23" i="7"/>
  <c r="O24" i="7"/>
  <c r="O25" i="7"/>
  <c r="L7" i="7"/>
  <c r="O8" i="7"/>
  <c r="P9" i="7"/>
  <c r="O10" i="7"/>
  <c r="L10" i="7"/>
  <c r="O19" i="7"/>
  <c r="P25" i="7"/>
  <c r="M13" i="7"/>
  <c r="L14" i="7"/>
  <c r="M16" i="7"/>
  <c r="M17" i="7"/>
  <c r="M19" i="7"/>
  <c r="M20" i="7"/>
  <c r="M21" i="7"/>
  <c r="L11" i="7"/>
  <c r="P11" i="7"/>
  <c r="Q11" i="7" s="1"/>
  <c r="O12" i="7"/>
  <c r="N13" i="7"/>
  <c r="N16" i="7"/>
  <c r="N17" i="7"/>
  <c r="N18" i="7"/>
  <c r="N19" i="7"/>
  <c r="N20" i="7"/>
  <c r="N21" i="7"/>
  <c r="M11" i="7"/>
  <c r="L13" i="7"/>
  <c r="L16" i="7"/>
  <c r="L17" i="7"/>
  <c r="L18" i="7"/>
  <c r="L19" i="7"/>
  <c r="L20" i="7"/>
  <c r="L21" i="7"/>
  <c r="T31" i="7"/>
  <c r="X31" i="7"/>
  <c r="L38" i="7"/>
  <c r="L39" i="7"/>
  <c r="Y30" i="7"/>
  <c r="L34" i="7"/>
  <c r="T30" i="7"/>
  <c r="L31" i="7"/>
  <c r="S4" i="9"/>
  <c r="R4" i="9"/>
  <c r="Q9" i="9"/>
  <c r="R12" i="9"/>
  <c r="S12" i="9"/>
  <c r="R10" i="9"/>
  <c r="S10" i="9"/>
  <c r="S5" i="9"/>
  <c r="R5" i="9"/>
  <c r="S6" i="9"/>
  <c r="R6" i="9"/>
  <c r="R7" i="9"/>
  <c r="S7" i="9"/>
  <c r="S9" i="9"/>
  <c r="R9" i="9"/>
  <c r="R11" i="9"/>
  <c r="S11" i="9"/>
  <c r="S8" i="9"/>
  <c r="R8" i="9"/>
  <c r="L58" i="8"/>
  <c r="P58" i="8" s="1"/>
  <c r="X30" i="7"/>
  <c r="L30" i="7"/>
  <c r="N30" i="7"/>
  <c r="S31" i="7" s="1"/>
  <c r="R36" i="7"/>
  <c r="Q36" i="7"/>
  <c r="O40" i="7"/>
  <c r="N33" i="7"/>
  <c r="L33" i="7"/>
  <c r="R31" i="7"/>
  <c r="Q31" i="7"/>
  <c r="Q35" i="7"/>
  <c r="R35" i="7"/>
  <c r="R29" i="7"/>
  <c r="Q29" i="7"/>
  <c r="L32" i="7"/>
  <c r="L36" i="7"/>
  <c r="S32" i="7"/>
  <c r="N37" i="7"/>
  <c r="L37" i="7"/>
  <c r="Y31" i="7"/>
  <c r="R34" i="7"/>
  <c r="Q34" i="7"/>
  <c r="R38" i="7"/>
  <c r="Q38" i="7"/>
  <c r="O41" i="7"/>
  <c r="O42" i="7"/>
  <c r="N40" i="7"/>
  <c r="L40" i="7"/>
  <c r="Q43" i="7"/>
  <c r="Q44" i="7"/>
  <c r="L41" i="7"/>
  <c r="L42" i="7"/>
  <c r="L43" i="7"/>
  <c r="L44" i="7"/>
  <c r="L35" i="7"/>
  <c r="P67" i="8" l="1"/>
  <c r="N67" i="8"/>
  <c r="O67" i="8" s="1"/>
  <c r="M67" i="8"/>
  <c r="P74" i="8"/>
  <c r="N75" i="8"/>
  <c r="O75" i="8" s="1"/>
  <c r="M75" i="8"/>
  <c r="P72" i="8"/>
  <c r="M73" i="8"/>
  <c r="N73" i="8"/>
  <c r="O73" i="8" s="1"/>
  <c r="P70" i="8"/>
  <c r="N71" i="8"/>
  <c r="O71" i="8" s="1"/>
  <c r="M71" i="8"/>
  <c r="P68" i="8"/>
  <c r="N69" i="8"/>
  <c r="O69" i="8" s="1"/>
  <c r="M69" i="8"/>
  <c r="M52" i="8"/>
  <c r="M37" i="8"/>
  <c r="M31" i="8"/>
  <c r="N40" i="8"/>
  <c r="O40" i="8" s="1"/>
  <c r="T72" i="8"/>
  <c r="P71" i="8"/>
  <c r="N52" i="8"/>
  <c r="O52" i="8" s="1"/>
  <c r="R46" i="8"/>
  <c r="S46" i="8" s="1"/>
  <c r="N22" i="8"/>
  <c r="O22" i="8" s="1"/>
  <c r="N19" i="8"/>
  <c r="O19" i="8" s="1"/>
  <c r="N13" i="8"/>
  <c r="O13" i="8" s="1"/>
  <c r="M19" i="8"/>
  <c r="Y9" i="8" s="1"/>
  <c r="T64" i="8"/>
  <c r="N31" i="8"/>
  <c r="O31" i="8" s="1"/>
  <c r="M46" i="8"/>
  <c r="T24" i="8"/>
  <c r="T67" i="8"/>
  <c r="T21" i="8"/>
  <c r="T27" i="8"/>
  <c r="T30" i="8"/>
  <c r="P11" i="8"/>
  <c r="R13" i="8" s="1"/>
  <c r="S13" i="8" s="1"/>
  <c r="M16" i="8"/>
  <c r="Y8" i="8" s="1"/>
  <c r="P38" i="8"/>
  <c r="R40" i="8" s="1"/>
  <c r="S40" i="8" s="1"/>
  <c r="N34" i="8"/>
  <c r="O34" i="8" s="1"/>
  <c r="T36" i="8"/>
  <c r="M13" i="8"/>
  <c r="Y7" i="8" s="1"/>
  <c r="T18" i="8"/>
  <c r="T66" i="8"/>
  <c r="T68" i="8"/>
  <c r="T39" i="8"/>
  <c r="N16" i="8"/>
  <c r="O16" i="8" s="1"/>
  <c r="T63" i="8"/>
  <c r="T9" i="8"/>
  <c r="M25" i="8"/>
  <c r="Y11" i="8" s="1"/>
  <c r="N10" i="8"/>
  <c r="O10" i="8" s="1"/>
  <c r="T69" i="8"/>
  <c r="T42" i="8"/>
  <c r="M34" i="8"/>
  <c r="T44" i="8"/>
  <c r="T49" i="8"/>
  <c r="M28" i="8"/>
  <c r="Y12" i="8" s="1"/>
  <c r="T73" i="8"/>
  <c r="N25" i="8"/>
  <c r="O25" i="8" s="1"/>
  <c r="M40" i="8"/>
  <c r="N28" i="8"/>
  <c r="O28" i="8" s="1"/>
  <c r="N37" i="8"/>
  <c r="O37" i="8" s="1"/>
  <c r="P29" i="8"/>
  <c r="Q31" i="8" s="1"/>
  <c r="T45" i="8"/>
  <c r="T15" i="8"/>
  <c r="T33" i="8"/>
  <c r="T75" i="8"/>
  <c r="T31" i="8"/>
  <c r="P35" i="8"/>
  <c r="Q37" i="8" s="1"/>
  <c r="M22" i="8"/>
  <c r="Y10" i="8" s="1"/>
  <c r="T12" i="8"/>
  <c r="T40" i="8"/>
  <c r="T19" i="8"/>
  <c r="T25" i="8"/>
  <c r="T46" i="8"/>
  <c r="T28" i="8"/>
  <c r="T10" i="8"/>
  <c r="P50" i="8"/>
  <c r="Q52" i="8" s="1"/>
  <c r="T37" i="8"/>
  <c r="N46" i="8"/>
  <c r="O46" i="8" s="1"/>
  <c r="T34" i="8"/>
  <c r="M10" i="8"/>
  <c r="Y6" i="8" s="1"/>
  <c r="Q46" i="8"/>
  <c r="T22" i="8"/>
  <c r="T16" i="8"/>
  <c r="T43" i="8"/>
  <c r="T13" i="8"/>
  <c r="Q25" i="8"/>
  <c r="AA11" i="8" s="1"/>
  <c r="R25" i="8"/>
  <c r="S25" i="8" s="1"/>
  <c r="T23" i="8"/>
  <c r="R7" i="8"/>
  <c r="S7" i="8" s="1"/>
  <c r="Q7" i="8"/>
  <c r="AA5" i="8" s="1"/>
  <c r="N49" i="8"/>
  <c r="O49" i="8" s="1"/>
  <c r="P47" i="8"/>
  <c r="M49" i="8"/>
  <c r="R22" i="8"/>
  <c r="S22" i="8" s="1"/>
  <c r="T20" i="8"/>
  <c r="Q22" i="8"/>
  <c r="AA10" i="8" s="1"/>
  <c r="Q19" i="8"/>
  <c r="AA9" i="8" s="1"/>
  <c r="R19" i="8"/>
  <c r="S19" i="8" s="1"/>
  <c r="T17" i="8"/>
  <c r="R16" i="8"/>
  <c r="S16" i="8" s="1"/>
  <c r="T14" i="8"/>
  <c r="Q16" i="8"/>
  <c r="AA8" i="8" s="1"/>
  <c r="R28" i="8"/>
  <c r="S28" i="8" s="1"/>
  <c r="T26" i="8"/>
  <c r="Q28" i="8"/>
  <c r="AA12" i="8" s="1"/>
  <c r="R10" i="8"/>
  <c r="S10" i="8" s="1"/>
  <c r="T8" i="8"/>
  <c r="Q10" i="8"/>
  <c r="AA6" i="8" s="1"/>
  <c r="P41" i="8"/>
  <c r="N43" i="8"/>
  <c r="O43" i="8" s="1"/>
  <c r="M43" i="8"/>
  <c r="M7" i="8"/>
  <c r="Y5" i="8" s="1"/>
  <c r="T48" i="8"/>
  <c r="D50" i="8"/>
  <c r="T52" i="8" s="1"/>
  <c r="R34" i="8"/>
  <c r="S34" i="8" s="1"/>
  <c r="T32" i="8"/>
  <c r="Q34" i="8"/>
  <c r="N7" i="8"/>
  <c r="O7" i="8" s="1"/>
  <c r="U8" i="7"/>
  <c r="U9" i="7"/>
  <c r="Q12" i="7"/>
  <c r="T8" i="7"/>
  <c r="Q42" i="7"/>
  <c r="R43" i="7"/>
  <c r="Q41" i="7"/>
  <c r="R42" i="7"/>
  <c r="AA31" i="7"/>
  <c r="Y8" i="7"/>
  <c r="Q6" i="7"/>
  <c r="R14" i="7"/>
  <c r="T32" i="7"/>
  <c r="AB7" i="7"/>
  <c r="T7" i="7"/>
  <c r="R19" i="7"/>
  <c r="Q19" i="7"/>
  <c r="S8" i="7"/>
  <c r="R8" i="7"/>
  <c r="Q8" i="7"/>
  <c r="R15" i="7"/>
  <c r="Q15" i="7"/>
  <c r="R25" i="7"/>
  <c r="Q25" i="7"/>
  <c r="R24" i="7"/>
  <c r="Q24" i="7"/>
  <c r="R23" i="7"/>
  <c r="Q23" i="7"/>
  <c r="R22" i="7"/>
  <c r="Q22" i="7"/>
  <c r="T9" i="7"/>
  <c r="R6" i="7"/>
  <c r="AA7" i="7"/>
  <c r="R21" i="7"/>
  <c r="Q21" i="7"/>
  <c r="V6" i="7"/>
  <c r="W6" i="7"/>
  <c r="R18" i="7"/>
  <c r="Q18" i="7"/>
  <c r="R16" i="7"/>
  <c r="Q16" i="7"/>
  <c r="R12" i="7"/>
  <c r="AB6" i="7"/>
  <c r="AA6" i="7"/>
  <c r="Q10" i="7"/>
  <c r="R9" i="7"/>
  <c r="S9" i="7"/>
  <c r="Q9" i="7"/>
  <c r="Q5" i="7"/>
  <c r="R5" i="7"/>
  <c r="D10" i="7"/>
  <c r="U10" i="7" s="1"/>
  <c r="Y9" i="7"/>
  <c r="R17" i="7"/>
  <c r="Q17" i="7"/>
  <c r="R20" i="7"/>
  <c r="Q20" i="7"/>
  <c r="R13" i="7"/>
  <c r="Q13" i="7"/>
  <c r="R11" i="7"/>
  <c r="Z9" i="7"/>
  <c r="AA9" i="7" s="1"/>
  <c r="R10" i="7"/>
  <c r="Q7" i="7"/>
  <c r="S7" i="7"/>
  <c r="R7" i="7"/>
  <c r="Z8" i="7"/>
  <c r="X8" i="7"/>
  <c r="R41" i="7"/>
  <c r="Q11" i="9"/>
  <c r="Q10" i="9"/>
  <c r="T62" i="8"/>
  <c r="T70" i="8"/>
  <c r="T74" i="8"/>
  <c r="T65" i="8"/>
  <c r="AB31" i="7"/>
  <c r="S30" i="7"/>
  <c r="R30" i="7"/>
  <c r="Q30" i="7"/>
  <c r="R39" i="7"/>
  <c r="R37" i="7"/>
  <c r="Q37" i="7"/>
  <c r="Y32" i="7"/>
  <c r="X32" i="7"/>
  <c r="R33" i="7"/>
  <c r="Q33" i="7"/>
  <c r="Q39" i="7"/>
  <c r="Q32" i="7"/>
  <c r="AB30" i="7"/>
  <c r="AA30" i="7"/>
  <c r="R40" i="7"/>
  <c r="Q40" i="7"/>
  <c r="R44" i="7"/>
  <c r="W31" i="7"/>
  <c r="V31" i="7"/>
  <c r="R32" i="7"/>
  <c r="R67" i="8" l="1"/>
  <c r="S67" i="8" s="1"/>
  <c r="Q67" i="8"/>
  <c r="R75" i="8"/>
  <c r="S75" i="8" s="1"/>
  <c r="Q75" i="8"/>
  <c r="R73" i="8"/>
  <c r="S73" i="8" s="1"/>
  <c r="Q73" i="8"/>
  <c r="R71" i="8"/>
  <c r="S71" i="8" s="1"/>
  <c r="Q71" i="8"/>
  <c r="R69" i="8"/>
  <c r="S69" i="8" s="1"/>
  <c r="Q69" i="8"/>
  <c r="T71" i="8"/>
  <c r="T11" i="8"/>
  <c r="R52" i="8"/>
  <c r="S52" i="8" s="1"/>
  <c r="T38" i="8"/>
  <c r="V40" i="8" s="1"/>
  <c r="Q40" i="8"/>
  <c r="R31" i="8"/>
  <c r="S31" i="8" s="1"/>
  <c r="R37" i="8"/>
  <c r="S37" i="8" s="1"/>
  <c r="V46" i="8"/>
  <c r="T29" i="8"/>
  <c r="V31" i="8" s="1"/>
  <c r="Q13" i="8"/>
  <c r="AA7" i="8" s="1"/>
  <c r="T35" i="8"/>
  <c r="V37" i="8" s="1"/>
  <c r="U46" i="8"/>
  <c r="V10" i="8"/>
  <c r="U10" i="8"/>
  <c r="T41" i="8"/>
  <c r="R43" i="8"/>
  <c r="S43" i="8" s="1"/>
  <c r="Q43" i="8"/>
  <c r="V16" i="8"/>
  <c r="U16" i="8"/>
  <c r="U25" i="8"/>
  <c r="V25" i="8"/>
  <c r="U13" i="8"/>
  <c r="V13" i="8"/>
  <c r="V34" i="8"/>
  <c r="U34" i="8"/>
  <c r="T51" i="8"/>
  <c r="T50" i="8"/>
  <c r="V28" i="8"/>
  <c r="U28" i="8"/>
  <c r="T47" i="8"/>
  <c r="R49" i="8"/>
  <c r="S49" i="8" s="1"/>
  <c r="Q49" i="8"/>
  <c r="U19" i="8"/>
  <c r="V19" i="8"/>
  <c r="V22" i="8"/>
  <c r="U22" i="8"/>
  <c r="W32" i="7"/>
  <c r="AB9" i="7"/>
  <c r="W7" i="7"/>
  <c r="V7" i="7"/>
  <c r="V9" i="7"/>
  <c r="W9" i="7"/>
  <c r="AA8" i="7"/>
  <c r="AB8" i="7"/>
  <c r="Z10" i="7"/>
  <c r="D11" i="7"/>
  <c r="X10" i="7"/>
  <c r="Y10" i="7"/>
  <c r="S10" i="7"/>
  <c r="T10" i="7"/>
  <c r="W8" i="7"/>
  <c r="V8" i="7"/>
  <c r="Y33" i="7"/>
  <c r="X33" i="7"/>
  <c r="T33" i="7"/>
  <c r="W30" i="7"/>
  <c r="V30" i="7"/>
  <c r="S33" i="7"/>
  <c r="AB32" i="7"/>
  <c r="AA32" i="7"/>
  <c r="V32" i="7"/>
  <c r="U40" i="8" l="1"/>
  <c r="U31" i="8"/>
  <c r="U37" i="8"/>
  <c r="V49" i="8"/>
  <c r="U49" i="8"/>
  <c r="V52" i="8"/>
  <c r="U52" i="8"/>
  <c r="V43" i="8"/>
  <c r="U43" i="8"/>
  <c r="D12" i="7"/>
  <c r="Y11" i="7"/>
  <c r="X11" i="7"/>
  <c r="Z11" i="7"/>
  <c r="S11" i="7"/>
  <c r="T11" i="7"/>
  <c r="U11" i="7"/>
  <c r="W10" i="7"/>
  <c r="V10" i="7"/>
  <c r="AA10" i="7"/>
  <c r="AB10" i="7"/>
  <c r="W33" i="7"/>
  <c r="V33" i="7"/>
  <c r="AA33" i="7"/>
  <c r="AB33" i="7"/>
  <c r="X34" i="7"/>
  <c r="T34" i="7"/>
  <c r="Y34" i="7"/>
  <c r="S34" i="7"/>
  <c r="AB11" i="7" l="1"/>
  <c r="AA11" i="7"/>
  <c r="V11" i="7"/>
  <c r="W11" i="7"/>
  <c r="D13" i="7"/>
  <c r="X12" i="7"/>
  <c r="Z12" i="7"/>
  <c r="Y12" i="7"/>
  <c r="S12" i="7"/>
  <c r="U12" i="7"/>
  <c r="T12" i="7"/>
  <c r="S35" i="7"/>
  <c r="X35" i="7"/>
  <c r="Y35" i="7"/>
  <c r="T35" i="7"/>
  <c r="V34" i="7"/>
  <c r="W34" i="7"/>
  <c r="AA34" i="7"/>
  <c r="AB34" i="7"/>
  <c r="AB12" i="7" l="1"/>
  <c r="AA12" i="7"/>
  <c r="W12" i="7"/>
  <c r="V12" i="7"/>
  <c r="D14" i="7"/>
  <c r="U13" i="7"/>
  <c r="X13" i="7"/>
  <c r="Z13" i="7"/>
  <c r="Y13" i="7"/>
  <c r="T13" i="7"/>
  <c r="S13" i="7"/>
  <c r="X36" i="7"/>
  <c r="T36" i="7"/>
  <c r="Y36" i="7"/>
  <c r="S36" i="7"/>
  <c r="AB35" i="7"/>
  <c r="AA35" i="7"/>
  <c r="W35" i="7"/>
  <c r="V35" i="7"/>
  <c r="AB13" i="7" l="1"/>
  <c r="AA13" i="7"/>
  <c r="W13" i="7"/>
  <c r="V13" i="7"/>
  <c r="Z14" i="7"/>
  <c r="D15" i="7"/>
  <c r="U14" i="7"/>
  <c r="X14" i="7"/>
  <c r="T14" i="7"/>
  <c r="Y14" i="7"/>
  <c r="S14" i="7"/>
  <c r="W36" i="7"/>
  <c r="V36" i="7"/>
  <c r="AB36" i="7"/>
  <c r="AA36" i="7"/>
  <c r="Y37" i="7"/>
  <c r="X37" i="7"/>
  <c r="T37" i="7"/>
  <c r="S37" i="7"/>
  <c r="AA14" i="7" l="1"/>
  <c r="AB14" i="7"/>
  <c r="W14" i="7"/>
  <c r="V14" i="7"/>
  <c r="D16" i="7"/>
  <c r="X15" i="7"/>
  <c r="T15" i="7"/>
  <c r="Z15" i="7"/>
  <c r="U15" i="7"/>
  <c r="Y15" i="7"/>
  <c r="S15" i="7"/>
  <c r="W37" i="7"/>
  <c r="V37" i="7"/>
  <c r="X38" i="7"/>
  <c r="T38" i="7"/>
  <c r="Y38" i="7"/>
  <c r="S38" i="7"/>
  <c r="AA37" i="7"/>
  <c r="AB37" i="7"/>
  <c r="W15" i="7" l="1"/>
  <c r="V15" i="7"/>
  <c r="AB15" i="7"/>
  <c r="AA15" i="7"/>
  <c r="D18" i="7"/>
  <c r="D17" i="7"/>
  <c r="X16" i="7"/>
  <c r="U16" i="7"/>
  <c r="Z16" i="7"/>
  <c r="Y16" i="7"/>
  <c r="S16" i="7"/>
  <c r="T16" i="7"/>
  <c r="AA38" i="7"/>
  <c r="AB38" i="7"/>
  <c r="V38" i="7"/>
  <c r="W38" i="7"/>
  <c r="Y39" i="7"/>
  <c r="X39" i="7"/>
  <c r="S39" i="7"/>
  <c r="T39" i="7"/>
  <c r="W16" i="7" l="1"/>
  <c r="V16" i="7"/>
  <c r="AB16" i="7"/>
  <c r="AA16" i="7"/>
  <c r="Z17" i="7"/>
  <c r="U17" i="7"/>
  <c r="X17" i="7"/>
  <c r="Y17" i="7"/>
  <c r="T17" i="7"/>
  <c r="S17" i="7"/>
  <c r="D22" i="7"/>
  <c r="D19" i="7"/>
  <c r="U18" i="7"/>
  <c r="X18" i="7"/>
  <c r="Y18" i="7"/>
  <c r="Z18" i="7"/>
  <c r="S18" i="7"/>
  <c r="T18" i="7"/>
  <c r="Y40" i="7"/>
  <c r="X40" i="7"/>
  <c r="T40" i="7"/>
  <c r="S40" i="7"/>
  <c r="W39" i="7"/>
  <c r="V39" i="7"/>
  <c r="AA39" i="7"/>
  <c r="AB39" i="7"/>
  <c r="D20" i="7" l="1"/>
  <c r="U19" i="7"/>
  <c r="Y19" i="7"/>
  <c r="Z19" i="7"/>
  <c r="X19" i="7"/>
  <c r="S19" i="7"/>
  <c r="T19" i="7"/>
  <c r="D23" i="7"/>
  <c r="X22" i="7"/>
  <c r="Z22" i="7"/>
  <c r="Y22" i="7"/>
  <c r="AB17" i="7"/>
  <c r="AA17" i="7"/>
  <c r="W18" i="7"/>
  <c r="V18" i="7"/>
  <c r="AB18" i="7"/>
  <c r="AA18" i="7"/>
  <c r="W17" i="7"/>
  <c r="V17" i="7"/>
  <c r="Y41" i="7"/>
  <c r="X41" i="7"/>
  <c r="T41" i="7"/>
  <c r="S41" i="7"/>
  <c r="AA40" i="7"/>
  <c r="AB40" i="7"/>
  <c r="S42" i="7"/>
  <c r="Y42" i="7"/>
  <c r="X42" i="7"/>
  <c r="T42" i="7"/>
  <c r="W40" i="7"/>
  <c r="V40" i="7"/>
  <c r="D24" i="7" l="1"/>
  <c r="X23" i="7"/>
  <c r="Y23" i="7"/>
  <c r="U23" i="7"/>
  <c r="Z23" i="7"/>
  <c r="S23" i="7"/>
  <c r="T23" i="7"/>
  <c r="AB22" i="7"/>
  <c r="AA22" i="7"/>
  <c r="W19" i="7"/>
  <c r="V19" i="7"/>
  <c r="AB19" i="7"/>
  <c r="AA19" i="7"/>
  <c r="D21" i="7"/>
  <c r="X20" i="7"/>
  <c r="U20" i="7"/>
  <c r="Y20" i="7"/>
  <c r="Z20" i="7"/>
  <c r="T20" i="7"/>
  <c r="S20" i="7"/>
  <c r="W41" i="7"/>
  <c r="V41" i="7"/>
  <c r="AA41" i="7"/>
  <c r="AB41" i="7"/>
  <c r="AA42" i="7"/>
  <c r="AB42" i="7"/>
  <c r="Y43" i="7"/>
  <c r="S43" i="7"/>
  <c r="X43" i="7"/>
  <c r="T43" i="7"/>
  <c r="W42" i="7"/>
  <c r="V42" i="7"/>
  <c r="W20" i="7" l="1"/>
  <c r="V20" i="7"/>
  <c r="AB20" i="7"/>
  <c r="AA20" i="7"/>
  <c r="Z21" i="7"/>
  <c r="Y21" i="7"/>
  <c r="X21" i="7"/>
  <c r="U21" i="7"/>
  <c r="S21" i="7"/>
  <c r="T21" i="7"/>
  <c r="U22" i="7"/>
  <c r="S22" i="7"/>
  <c r="T22" i="7"/>
  <c r="W23" i="7"/>
  <c r="V23" i="7"/>
  <c r="AB23" i="7"/>
  <c r="AA23" i="7"/>
  <c r="D25" i="7"/>
  <c r="X24" i="7"/>
  <c r="U24" i="7"/>
  <c r="Y24" i="7"/>
  <c r="Z24" i="7"/>
  <c r="T24" i="7"/>
  <c r="S24" i="7"/>
  <c r="W43" i="7"/>
  <c r="V43" i="7"/>
  <c r="Y44" i="7"/>
  <c r="X44" i="7"/>
  <c r="S44" i="7"/>
  <c r="T44" i="7"/>
  <c r="AA43" i="7"/>
  <c r="AB43" i="7"/>
  <c r="W22" i="7" l="1"/>
  <c r="V22" i="7"/>
  <c r="X25" i="7"/>
  <c r="Z25" i="7"/>
  <c r="Y25" i="7"/>
  <c r="T25" i="7"/>
  <c r="U25" i="7"/>
  <c r="S25" i="7"/>
  <c r="W24" i="7"/>
  <c r="V24" i="7"/>
  <c r="AB24" i="7"/>
  <c r="AA24" i="7"/>
  <c r="AB21" i="7"/>
  <c r="AA21" i="7"/>
  <c r="W21" i="7"/>
  <c r="V21" i="7"/>
  <c r="W44" i="7"/>
  <c r="V44" i="7"/>
  <c r="AA44" i="7"/>
  <c r="AB44" i="7"/>
  <c r="W25" i="7" l="1"/>
  <c r="V25" i="7"/>
  <c r="AB25" i="7"/>
  <c r="AA25" i="7"/>
</calcChain>
</file>

<file path=xl/sharedStrings.xml><?xml version="1.0" encoding="utf-8"?>
<sst xmlns="http://schemas.openxmlformats.org/spreadsheetml/2006/main" count="377" uniqueCount="107">
  <si>
    <t>Date</t>
  </si>
  <si>
    <t>Time</t>
  </si>
  <si>
    <t>Hours</t>
  </si>
  <si>
    <t>Days</t>
  </si>
  <si>
    <t>Average biomass concentration</t>
  </si>
  <si>
    <t>Average Ln of biomass concentration</t>
  </si>
  <si>
    <t>Growth rate</t>
  </si>
  <si>
    <t>g/L</t>
  </si>
  <si>
    <t>Biomass concentration</t>
  </si>
  <si>
    <t>Amount of biomass</t>
  </si>
  <si>
    <t>Error</t>
  </si>
  <si>
    <t>nm</t>
  </si>
  <si>
    <t>mg/ml</t>
  </si>
  <si>
    <t>g/l</t>
  </si>
  <si>
    <t>g</t>
  </si>
  <si>
    <t>Day</t>
  </si>
  <si>
    <t>N concentration</t>
  </si>
  <si>
    <t>µg</t>
  </si>
  <si>
    <t>mol/l</t>
  </si>
  <si>
    <t>14/09/2022</t>
  </si>
  <si>
    <t>15/09/2022</t>
  </si>
  <si>
    <t>16/09/2022</t>
  </si>
  <si>
    <t>17/09/2022</t>
  </si>
  <si>
    <t>19/09/2022</t>
  </si>
  <si>
    <t>21/09/2022</t>
  </si>
  <si>
    <t>23/09/2022</t>
  </si>
  <si>
    <t>26/09/2022</t>
  </si>
  <si>
    <t>27/09/2022</t>
  </si>
  <si>
    <t>28/09/2022</t>
  </si>
  <si>
    <t>29/09/2022</t>
  </si>
  <si>
    <t>30/09/2022</t>
  </si>
  <si>
    <t>01/10/2022</t>
  </si>
  <si>
    <t>02/10/2022</t>
  </si>
  <si>
    <t>Lab work by: Karen Ssekimpi</t>
  </si>
  <si>
    <t>Project Leader: A. Prof. Marijke Fagan-Endres, Prof. Sue Harrison, Dr Mariette Smart</t>
  </si>
  <si>
    <t>all assays by Karen Ssekimpi</t>
  </si>
  <si>
    <r>
      <t xml:space="preserve">The two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strains, a type strain obtained from the University of Texas culture collection (UTEX #1926) and a Centre for Bioprocess Engineering Research (CeBER) strain previously isolated from a local tannery wastewater dam, were grown at room temperature under different conditions. These conditions include fluorescent light, different coloured LEDs, and an additional nitrogen source.</t>
    </r>
  </si>
  <si>
    <r>
      <rPr>
        <b/>
        <sz val="10"/>
        <color theme="1"/>
        <rFont val="Arial"/>
        <family val="2"/>
      </rPr>
      <t>Daily measurements:</t>
    </r>
    <r>
      <rPr>
        <sz val="10"/>
        <color theme="1"/>
        <rFont val="Arial"/>
        <family val="2"/>
      </rPr>
      <t xml:space="preserve"> Absorbance at 750 nm for biomass concentration, 620 and 650 nm for c-phycocyanin determination, and 410 nm for nitrate determination</t>
    </r>
  </si>
  <si>
    <t>Start date:</t>
  </si>
  <si>
    <t>End date:</t>
  </si>
  <si>
    <t>Table of Contents</t>
  </si>
  <si>
    <t>Sheet #</t>
  </si>
  <si>
    <t>Description</t>
  </si>
  <si>
    <t xml:space="preserve">Information Sheet </t>
  </si>
  <si>
    <t>Details experiments conducted</t>
  </si>
  <si>
    <t>CeBER strain Spirulina growth curves</t>
  </si>
  <si>
    <t>Absorbance at 750</t>
  </si>
  <si>
    <t>Standard error</t>
  </si>
  <si>
    <t>Ln of biomass concentration</t>
  </si>
  <si>
    <t>Average growth rate</t>
  </si>
  <si>
    <t>Biomass productivity</t>
  </si>
  <si>
    <t>Average biomass productivity</t>
  </si>
  <si>
    <t>/h</t>
  </si>
  <si>
    <t>g/L.h</t>
  </si>
  <si>
    <t>30/05/2022</t>
  </si>
  <si>
    <t>31/05/2022</t>
  </si>
  <si>
    <t>01/06/2022</t>
  </si>
  <si>
    <t>02/06/2022</t>
  </si>
  <si>
    <t>03/06/2022</t>
  </si>
  <si>
    <t>04/06/2022</t>
  </si>
  <si>
    <t>06/06/2022</t>
  </si>
  <si>
    <t>07/06/2022</t>
  </si>
  <si>
    <t>08/06/2022</t>
  </si>
  <si>
    <t>09/06/2022</t>
  </si>
  <si>
    <t>10/06/2022</t>
  </si>
  <si>
    <t>11/06/2022</t>
  </si>
  <si>
    <t>12/06/2022</t>
  </si>
  <si>
    <t>13/06/2022</t>
  </si>
  <si>
    <t>14/06/2022</t>
  </si>
  <si>
    <t>15/06/2022</t>
  </si>
  <si>
    <t>16/06/2022</t>
  </si>
  <si>
    <t>Red light</t>
  </si>
  <si>
    <t>Sandard error</t>
  </si>
  <si>
    <t>17/06/2022</t>
  </si>
  <si>
    <t>40 µmol/m^2.s</t>
  </si>
  <si>
    <t>60 µmol/m^2.s</t>
  </si>
  <si>
    <t>80 µmol/m^2.s</t>
  </si>
  <si>
    <t>Phycocyanin content from CeBER Spirulina</t>
  </si>
  <si>
    <t>C-phycocyanin concentration</t>
  </si>
  <si>
    <t>OD at 750</t>
  </si>
  <si>
    <t>Specific CPC conc.</t>
  </si>
  <si>
    <t>Average specific CPC conc.</t>
  </si>
  <si>
    <t>Standard deviation</t>
  </si>
  <si>
    <t>Total CPC</t>
  </si>
  <si>
    <t>Average total CPC</t>
  </si>
  <si>
    <t>CPC productivity</t>
  </si>
  <si>
    <t>Average CPC productivity</t>
  </si>
  <si>
    <t>Data extracted for plots</t>
  </si>
  <si>
    <t>mg CPC/g biomass</t>
  </si>
  <si>
    <t>mg CPC/L</t>
  </si>
  <si>
    <t>mg CPC/L.h</t>
  </si>
  <si>
    <t>Airlift 1</t>
  </si>
  <si>
    <t>Airlift 2</t>
  </si>
  <si>
    <t>Airlift 3</t>
  </si>
  <si>
    <t>Nitrate content determination for the CeBER Spirulina strain</t>
  </si>
  <si>
    <t>N content</t>
  </si>
  <si>
    <r>
      <t>NO</t>
    </r>
    <r>
      <rPr>
        <vertAlign val="sub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concentration</t>
    </r>
  </si>
  <si>
    <r>
      <t>Average NO</t>
    </r>
    <r>
      <rPr>
        <vertAlign val="sub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concentration</t>
    </r>
  </si>
  <si>
    <t>Switch</t>
  </si>
  <si>
    <t>Growth curves</t>
  </si>
  <si>
    <t>C-phycocyanin</t>
  </si>
  <si>
    <t>Nitrate content</t>
  </si>
  <si>
    <r>
      <t xml:space="preserve">The biomass, c-phycocyanin, and nitrate content of the CeBER </t>
    </r>
    <r>
      <rPr>
        <i/>
        <sz val="14"/>
        <rFont val="Arial"/>
        <family val="2"/>
      </rPr>
      <t>Spirulina</t>
    </r>
    <r>
      <rPr>
        <sz val="14"/>
        <rFont val="Arial"/>
        <family val="2"/>
      </rPr>
      <t xml:space="preserve"> strain grown in red at 90 µmol/m^2.s, with a switch to blue light at 110 µmol/m^2.s in ALRs.</t>
    </r>
  </si>
  <si>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was grown in red at 90 µmol/m^2.s, with a switch to blue light at 110 µmol/m^2.s in ALRs.</t>
    </r>
  </si>
  <si>
    <r>
      <t xml:space="preserve">Details growth data achieved when growing the CeBER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 in red at 90 µmol/m^2.s, with a switch to blue light at 110 µmol/m^2.s in ALRs.</t>
    </r>
  </si>
  <si>
    <r>
      <t xml:space="preserve">Details c-phycocyanin data achieved when growing the CeBER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 in red at 90 µmol/m^2.s, with a switch to blue light at 110 µmol/m^2.s in ALRs.</t>
    </r>
  </si>
  <si>
    <r>
      <t xml:space="preserve">Details nitrate data achieved when growing the CeBER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 in red at 90 µmol/m^2.s, with a switch to blue light at 110 µmol/m^2.s in ALRs.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</si>
</sst>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F400]h:mm:ss\ AM/PM"/>
    <numFmt numFmtId="165" formatCode="0.000"/>
    <numFmt numFmtId="167" formatCode="[$-F800]dddd\,\ mmmm\ dd\,\ yyyy"/>
    <numFmt numFmtId="168" formatCode="0.000000"/>
    <numFmt numFmtId="169" formatCode="0.0000"/>
    <numFmt numFmtId="170" formatCode="0.0"/>
  </numFmts>
  <fonts count="23">
    <font>
      <sz val="11"/>
      <color theme="1"/>
      <name val="Calibri"/>
      <family val="2"/>
      <scheme val="minor"/>
    </font>
    <font>
      <sz val="11"/>
      <color theme="1"/>
      <name val="ArialMT"/>
      <family val="2"/>
    </font>
    <font>
      <sz val="11"/>
      <color theme="1"/>
      <name val="ArialMT"/>
      <family val="2"/>
    </font>
    <font>
      <sz val="11"/>
      <color theme="1"/>
      <name val="Calibri"/>
      <family val="2"/>
      <scheme val="minor"/>
    </font>
    <font>
      <sz val="14"/>
      <name val="Arial"/>
      <family val="2"/>
    </font>
    <font>
      <i/>
      <sz val="14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i/>
      <sz val="11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0"/>
      <name val="Arial"/>
      <family val="2"/>
    </font>
    <font>
      <b/>
      <sz val="11"/>
      <color theme="1"/>
      <name val="Arial"/>
      <family val="2"/>
    </font>
    <font>
      <sz val="10"/>
      <color rgb="FF000000"/>
      <name val="Arial"/>
      <family val="2"/>
    </font>
    <font>
      <sz val="11"/>
      <color theme="0"/>
      <name val="Arial"/>
      <family val="2"/>
    </font>
    <font>
      <sz val="10"/>
      <name val="Arial"/>
      <family val="2"/>
    </font>
    <font>
      <i/>
      <sz val="12"/>
      <color theme="1"/>
      <name val="Arial"/>
      <family val="2"/>
    </font>
    <font>
      <vertAlign val="subscript"/>
      <sz val="10"/>
      <color theme="1"/>
      <name val="Arial"/>
      <family val="2"/>
    </font>
    <font>
      <sz val="11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33993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AEECA"/>
        <bgColor indexed="64"/>
      </patternFill>
    </fill>
    <fill>
      <patternFill patternType="solid">
        <fgColor rgb="FF3B6A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1E8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256">
    <xf numFmtId="0" fontId="0" fillId="0" borderId="0" xfId="0"/>
    <xf numFmtId="0" fontId="4" fillId="12" borderId="0" xfId="1" applyFont="1" applyFill="1" applyAlignment="1">
      <alignment horizontal="left" vertical="center" wrapText="1"/>
    </xf>
    <xf numFmtId="0" fontId="6" fillId="0" borderId="0" xfId="1" applyFont="1" applyAlignment="1">
      <alignment vertical="top"/>
    </xf>
    <xf numFmtId="0" fontId="7" fillId="0" borderId="0" xfId="1" applyFont="1"/>
    <xf numFmtId="0" fontId="8" fillId="0" borderId="0" xfId="1" applyFont="1"/>
    <xf numFmtId="0" fontId="9" fillId="12" borderId="0" xfId="1" applyFont="1" applyFill="1" applyAlignment="1">
      <alignment horizontal="left" vertical="top" wrapText="1"/>
    </xf>
    <xf numFmtId="0" fontId="8" fillId="12" borderId="0" xfId="1" applyFont="1" applyFill="1" applyAlignment="1">
      <alignment horizontal="left" vertical="top" wrapText="1"/>
    </xf>
    <xf numFmtId="0" fontId="10" fillId="0" borderId="0" xfId="1" applyFont="1"/>
    <xf numFmtId="0" fontId="10" fillId="12" borderId="0" xfId="1" applyFont="1" applyFill="1" applyAlignment="1">
      <alignment horizontal="left" vertical="top" wrapText="1"/>
    </xf>
    <xf numFmtId="0" fontId="11" fillId="0" borderId="0" xfId="1" applyFont="1"/>
    <xf numFmtId="0" fontId="8" fillId="7" borderId="0" xfId="1" applyFont="1" applyFill="1" applyAlignment="1">
      <alignment horizontal="left" vertical="top" wrapText="1"/>
    </xf>
    <xf numFmtId="0" fontId="8" fillId="8" borderId="0" xfId="1" applyFont="1" applyFill="1" applyAlignment="1">
      <alignment horizontal="left" vertical="top" wrapText="1"/>
    </xf>
    <xf numFmtId="0" fontId="11" fillId="8" borderId="0" xfId="1" applyFont="1" applyFill="1" applyAlignment="1">
      <alignment horizontal="left" vertical="top" wrapText="1"/>
    </xf>
    <xf numFmtId="0" fontId="11" fillId="7" borderId="0" xfId="1" applyFont="1" applyFill="1" applyAlignment="1">
      <alignment horizontal="left" vertical="top" wrapText="1"/>
    </xf>
    <xf numFmtId="0" fontId="11" fillId="7" borderId="0" xfId="1" applyFont="1" applyFill="1" applyAlignment="1">
      <alignment horizontal="center" vertical="top" wrapText="1"/>
    </xf>
    <xf numFmtId="167" fontId="11" fillId="7" borderId="0" xfId="1" applyNumberFormat="1" applyFont="1" applyFill="1" applyAlignment="1">
      <alignment horizontal="left" vertical="top" wrapText="1"/>
    </xf>
    <xf numFmtId="0" fontId="11" fillId="7" borderId="18" xfId="1" applyFont="1" applyFill="1" applyBorder="1" applyAlignment="1">
      <alignment horizontal="left" vertical="top" wrapText="1"/>
    </xf>
    <xf numFmtId="0" fontId="11" fillId="7" borderId="18" xfId="1" applyFont="1" applyFill="1" applyBorder="1" applyAlignment="1">
      <alignment horizontal="center" vertical="top" wrapText="1"/>
    </xf>
    <xf numFmtId="167" fontId="11" fillId="7" borderId="18" xfId="1" applyNumberFormat="1" applyFont="1" applyFill="1" applyBorder="1" applyAlignment="1">
      <alignment horizontal="left" vertical="top" wrapText="1"/>
    </xf>
    <xf numFmtId="0" fontId="11" fillId="0" borderId="2" xfId="1" applyFont="1" applyBorder="1" applyAlignment="1">
      <alignment horizontal="left" vertical="top" wrapText="1"/>
    </xf>
    <xf numFmtId="0" fontId="11" fillId="0" borderId="2" xfId="1" applyFont="1" applyBorder="1" applyAlignment="1">
      <alignment horizontal="center" vertical="top" wrapText="1"/>
    </xf>
    <xf numFmtId="0" fontId="14" fillId="12" borderId="18" xfId="1" applyFont="1" applyFill="1" applyBorder="1" applyAlignment="1">
      <alignment vertical="top" wrapText="1"/>
    </xf>
    <xf numFmtId="0" fontId="14" fillId="8" borderId="18" xfId="1" applyFont="1" applyFill="1" applyBorder="1" applyAlignment="1">
      <alignment horizontal="center" vertical="top" wrapText="1"/>
    </xf>
    <xf numFmtId="0" fontId="14" fillId="7" borderId="18" xfId="1" applyFont="1" applyFill="1" applyBorder="1" applyAlignment="1">
      <alignment vertical="top" wrapText="1"/>
    </xf>
    <xf numFmtId="0" fontId="8" fillId="12" borderId="0" xfId="1" applyFont="1" applyFill="1" applyAlignment="1">
      <alignment vertical="top" wrapText="1"/>
    </xf>
    <xf numFmtId="0" fontId="8" fillId="8" borderId="0" xfId="1" applyFont="1" applyFill="1" applyAlignment="1">
      <alignment horizontal="center" vertical="top" wrapText="1"/>
    </xf>
    <xf numFmtId="0" fontId="8" fillId="7" borderId="0" xfId="1" applyFont="1" applyFill="1" applyAlignment="1">
      <alignment vertical="top" wrapText="1"/>
    </xf>
    <xf numFmtId="0" fontId="8" fillId="0" borderId="0" xfId="1" applyFont="1" applyAlignment="1">
      <alignment horizontal="left" vertical="top" wrapText="1"/>
    </xf>
    <xf numFmtId="0" fontId="8" fillId="0" borderId="0" xfId="1" applyFont="1" applyAlignment="1">
      <alignment vertical="top" wrapText="1"/>
    </xf>
    <xf numFmtId="0" fontId="8" fillId="0" borderId="0" xfId="1" applyFont="1" applyAlignment="1">
      <alignment horizontal="center" vertical="top" wrapText="1"/>
    </xf>
    <xf numFmtId="0" fontId="15" fillId="2" borderId="1" xfId="1" applyFont="1" applyFill="1" applyBorder="1" applyAlignment="1">
      <alignment horizontal="left" vertical="center" wrapText="1"/>
    </xf>
    <xf numFmtId="0" fontId="15" fillId="2" borderId="2" xfId="1" applyFont="1" applyFill="1" applyBorder="1" applyAlignment="1">
      <alignment horizontal="left" vertical="center" wrapText="1"/>
    </xf>
    <xf numFmtId="0" fontId="15" fillId="2" borderId="3" xfId="1" applyFont="1" applyFill="1" applyBorder="1" applyAlignment="1">
      <alignment horizontal="left" vertical="center" wrapText="1"/>
    </xf>
    <xf numFmtId="0" fontId="8" fillId="0" borderId="15" xfId="1" applyFont="1" applyBorder="1"/>
    <xf numFmtId="0" fontId="8" fillId="3" borderId="4" xfId="1" applyFont="1" applyFill="1" applyBorder="1" applyAlignment="1">
      <alignment horizontal="center" vertical="center"/>
    </xf>
    <xf numFmtId="0" fontId="8" fillId="3" borderId="5" xfId="1" applyFont="1" applyFill="1" applyBorder="1" applyAlignment="1">
      <alignment horizontal="center" vertical="center"/>
    </xf>
    <xf numFmtId="0" fontId="8" fillId="3" borderId="6" xfId="1" applyFont="1" applyFill="1" applyBorder="1" applyAlignment="1">
      <alignment horizontal="center" vertical="center"/>
    </xf>
    <xf numFmtId="0" fontId="8" fillId="3" borderId="7" xfId="1" applyFont="1" applyFill="1" applyBorder="1" applyAlignment="1">
      <alignment horizontal="center" vertical="center"/>
    </xf>
    <xf numFmtId="0" fontId="8" fillId="3" borderId="20" xfId="1" applyFont="1" applyFill="1" applyBorder="1" applyAlignment="1">
      <alignment horizontal="center" vertical="center"/>
    </xf>
    <xf numFmtId="0" fontId="8" fillId="3" borderId="5" xfId="1" applyFont="1" applyFill="1" applyBorder="1" applyAlignment="1">
      <alignment horizontal="center" vertical="center"/>
    </xf>
    <xf numFmtId="0" fontId="8" fillId="3" borderId="9" xfId="1" applyFont="1" applyFill="1" applyBorder="1" applyAlignment="1">
      <alignment horizontal="center" vertical="center"/>
    </xf>
    <xf numFmtId="0" fontId="8" fillId="3" borderId="8" xfId="1" applyFont="1" applyFill="1" applyBorder="1" applyAlignment="1">
      <alignment horizontal="center" vertical="center"/>
    </xf>
    <xf numFmtId="0" fontId="8" fillId="3" borderId="6" xfId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8" fillId="3" borderId="37" xfId="1" applyFont="1" applyFill="1" applyBorder="1" applyAlignment="1">
      <alignment horizontal="center" vertical="center" wrapText="1"/>
    </xf>
    <xf numFmtId="1" fontId="17" fillId="0" borderId="0" xfId="3" applyNumberFormat="1" applyFont="1"/>
    <xf numFmtId="0" fontId="8" fillId="0" borderId="0" xfId="3" applyFont="1"/>
    <xf numFmtId="0" fontId="8" fillId="4" borderId="10" xfId="1" applyFont="1" applyFill="1" applyBorder="1"/>
    <xf numFmtId="0" fontId="8" fillId="4" borderId="12" xfId="1" applyFont="1" applyFill="1" applyBorder="1"/>
    <xf numFmtId="0" fontId="8" fillId="4" borderId="13" xfId="1" applyFont="1" applyFill="1" applyBorder="1"/>
    <xf numFmtId="0" fontId="8" fillId="4" borderId="21" xfId="1" applyFont="1" applyFill="1" applyBorder="1" applyAlignment="1">
      <alignment horizontal="center" vertical="center"/>
    </xf>
    <xf numFmtId="0" fontId="8" fillId="4" borderId="11" xfId="1" applyFont="1" applyFill="1" applyBorder="1" applyAlignment="1">
      <alignment horizontal="center" vertical="center"/>
    </xf>
    <xf numFmtId="0" fontId="8" fillId="4" borderId="22" xfId="1" applyFont="1" applyFill="1" applyBorder="1" applyAlignment="1">
      <alignment horizontal="center" vertical="center"/>
    </xf>
    <xf numFmtId="0" fontId="8" fillId="4" borderId="14" xfId="1" applyFont="1" applyFill="1" applyBorder="1" applyAlignment="1">
      <alignment horizontal="center" vertical="center"/>
    </xf>
    <xf numFmtId="0" fontId="8" fillId="4" borderId="12" xfId="1" applyFont="1" applyFill="1" applyBorder="1" applyAlignment="1">
      <alignment horizontal="center" vertical="center"/>
    </xf>
    <xf numFmtId="0" fontId="8" fillId="4" borderId="14" xfId="1" applyFont="1" applyFill="1" applyBorder="1" applyAlignment="1">
      <alignment horizontal="center" vertical="center"/>
    </xf>
    <xf numFmtId="0" fontId="8" fillId="4" borderId="14" xfId="1" applyFont="1" applyFill="1" applyBorder="1" applyAlignment="1">
      <alignment horizontal="center"/>
    </xf>
    <xf numFmtId="0" fontId="8" fillId="4" borderId="11" xfId="1" applyFont="1" applyFill="1" applyBorder="1" applyAlignment="1">
      <alignment horizontal="center"/>
    </xf>
    <xf numFmtId="0" fontId="8" fillId="4" borderId="22" xfId="1" applyFont="1" applyFill="1" applyBorder="1" applyAlignment="1">
      <alignment horizontal="center"/>
    </xf>
    <xf numFmtId="0" fontId="8" fillId="4" borderId="12" xfId="1" applyFont="1" applyFill="1" applyBorder="1" applyAlignment="1">
      <alignment horizontal="center"/>
    </xf>
    <xf numFmtId="0" fontId="8" fillId="4" borderId="26" xfId="1" applyFont="1" applyFill="1" applyBorder="1"/>
    <xf numFmtId="0" fontId="11" fillId="0" borderId="15" xfId="1" applyFont="1" applyBorder="1"/>
    <xf numFmtId="14" fontId="11" fillId="0" borderId="15" xfId="1" applyNumberFormat="1" applyFont="1" applyBorder="1" applyAlignment="1">
      <alignment horizontal="left"/>
    </xf>
    <xf numFmtId="164" fontId="11" fillId="0" borderId="0" xfId="1" applyNumberFormat="1" applyFont="1"/>
    <xf numFmtId="0" fontId="11" fillId="0" borderId="16" xfId="1" applyFont="1" applyBorder="1" applyAlignment="1">
      <alignment horizontal="right"/>
    </xf>
    <xf numFmtId="165" fontId="11" fillId="0" borderId="0" xfId="1" applyNumberFormat="1" applyFont="1"/>
    <xf numFmtId="165" fontId="11" fillId="5" borderId="0" xfId="1" applyNumberFormat="1" applyFont="1" applyFill="1"/>
    <xf numFmtId="0" fontId="11" fillId="0" borderId="16" xfId="1" applyFont="1" applyBorder="1"/>
    <xf numFmtId="1" fontId="11" fillId="0" borderId="0" xfId="1" applyNumberFormat="1" applyFont="1"/>
    <xf numFmtId="165" fontId="11" fillId="0" borderId="16" xfId="1" applyNumberFormat="1" applyFont="1" applyBorder="1"/>
    <xf numFmtId="167" fontId="11" fillId="0" borderId="15" xfId="1" applyNumberFormat="1" applyFont="1" applyBorder="1" applyAlignment="1">
      <alignment horizontal="left"/>
    </xf>
    <xf numFmtId="167" fontId="11" fillId="0" borderId="15" xfId="1" applyNumberFormat="1" applyFont="1" applyBorder="1"/>
    <xf numFmtId="1" fontId="8" fillId="0" borderId="0" xfId="3" applyNumberFormat="1" applyFont="1"/>
    <xf numFmtId="0" fontId="11" fillId="0" borderId="19" xfId="1" applyFont="1" applyBorder="1"/>
    <xf numFmtId="0" fontId="16" fillId="0" borderId="1" xfId="1" applyFont="1" applyBorder="1" applyAlignment="1">
      <alignment horizontal="center"/>
    </xf>
    <xf numFmtId="0" fontId="16" fillId="0" borderId="2" xfId="1" applyFont="1" applyBorder="1" applyAlignment="1">
      <alignment horizontal="center"/>
    </xf>
    <xf numFmtId="0" fontId="16" fillId="0" borderId="3" xfId="1" applyFont="1" applyBorder="1" applyAlignment="1">
      <alignment horizontal="center"/>
    </xf>
    <xf numFmtId="0" fontId="8" fillId="3" borderId="38" xfId="1" applyFont="1" applyFill="1" applyBorder="1" applyAlignment="1">
      <alignment horizontal="center" vertical="center" wrapText="1"/>
    </xf>
    <xf numFmtId="0" fontId="8" fillId="3" borderId="28" xfId="1" applyFont="1" applyFill="1" applyBorder="1" applyAlignment="1">
      <alignment horizontal="center" vertical="center" wrapText="1"/>
    </xf>
    <xf numFmtId="0" fontId="8" fillId="4" borderId="11" xfId="1" applyFont="1" applyFill="1" applyBorder="1" applyAlignment="1">
      <alignment horizontal="center" vertical="center"/>
    </xf>
    <xf numFmtId="0" fontId="8" fillId="4" borderId="39" xfId="1" applyFont="1" applyFill="1" applyBorder="1" applyAlignment="1">
      <alignment horizontal="center" vertical="center"/>
    </xf>
    <xf numFmtId="165" fontId="11" fillId="0" borderId="0" xfId="1" applyNumberFormat="1" applyFont="1" applyAlignment="1">
      <alignment horizontal="center"/>
    </xf>
    <xf numFmtId="165" fontId="11" fillId="5" borderId="0" xfId="1" applyNumberFormat="1" applyFont="1" applyFill="1" applyAlignment="1">
      <alignment horizontal="center"/>
    </xf>
    <xf numFmtId="165" fontId="11" fillId="0" borderId="16" xfId="1" applyNumberFormat="1" applyFont="1" applyBorder="1" applyAlignment="1">
      <alignment horizontal="center"/>
    </xf>
    <xf numFmtId="0" fontId="11" fillId="0" borderId="0" xfId="1" applyFont="1" applyAlignment="1">
      <alignment horizontal="center"/>
    </xf>
    <xf numFmtId="164" fontId="11" fillId="0" borderId="18" xfId="1" applyNumberFormat="1" applyFont="1" applyBorder="1"/>
    <xf numFmtId="1" fontId="11" fillId="0" borderId="18" xfId="1" applyNumberFormat="1" applyFont="1" applyBorder="1"/>
    <xf numFmtId="165" fontId="11" fillId="0" borderId="18" xfId="1" applyNumberFormat="1" applyFont="1" applyBorder="1"/>
    <xf numFmtId="165" fontId="11" fillId="5" borderId="18" xfId="1" applyNumberFormat="1" applyFont="1" applyFill="1" applyBorder="1"/>
    <xf numFmtId="165" fontId="11" fillId="0" borderId="19" xfId="1" applyNumberFormat="1" applyFont="1" applyBorder="1"/>
    <xf numFmtId="0" fontId="18" fillId="0" borderId="0" xfId="1" applyFont="1"/>
    <xf numFmtId="0" fontId="15" fillId="6" borderId="1" xfId="1" applyFont="1" applyFill="1" applyBorder="1" applyAlignment="1">
      <alignment horizontal="left" vertical="center"/>
    </xf>
    <xf numFmtId="0" fontId="15" fillId="6" borderId="2" xfId="1" applyFont="1" applyFill="1" applyBorder="1" applyAlignment="1">
      <alignment horizontal="left" vertical="center"/>
    </xf>
    <xf numFmtId="0" fontId="15" fillId="6" borderId="3" xfId="1" applyFont="1" applyFill="1" applyBorder="1" applyAlignment="1">
      <alignment horizontal="left" vertical="center"/>
    </xf>
    <xf numFmtId="0" fontId="11" fillId="0" borderId="0" xfId="1" applyFont="1" applyAlignment="1">
      <alignment horizontal="center" vertical="center"/>
    </xf>
    <xf numFmtId="0" fontId="13" fillId="0" borderId="15" xfId="1" applyFont="1" applyBorder="1" applyAlignment="1">
      <alignment vertical="center"/>
    </xf>
    <xf numFmtId="0" fontId="11" fillId="0" borderId="15" xfId="1" applyFont="1" applyBorder="1" applyAlignment="1">
      <alignment horizontal="center" vertical="center"/>
    </xf>
    <xf numFmtId="0" fontId="11" fillId="7" borderId="33" xfId="1" applyFont="1" applyFill="1" applyBorder="1" applyAlignment="1">
      <alignment horizontal="center" vertical="center"/>
    </xf>
    <xf numFmtId="0" fontId="11" fillId="7" borderId="24" xfId="1" applyFont="1" applyFill="1" applyBorder="1" applyAlignment="1">
      <alignment horizontal="center" vertical="center"/>
    </xf>
    <xf numFmtId="0" fontId="11" fillId="7" borderId="36" xfId="1" applyFont="1" applyFill="1" applyBorder="1" applyAlignment="1">
      <alignment horizontal="center" vertical="center"/>
    </xf>
    <xf numFmtId="0" fontId="11" fillId="7" borderId="27" xfId="1" applyFont="1" applyFill="1" applyBorder="1" applyAlignment="1">
      <alignment horizontal="center" vertical="center"/>
    </xf>
    <xf numFmtId="0" fontId="11" fillId="7" borderId="23" xfId="1" applyFont="1" applyFill="1" applyBorder="1" applyAlignment="1">
      <alignment horizontal="center" vertical="center"/>
    </xf>
    <xf numFmtId="0" fontId="11" fillId="7" borderId="34" xfId="1" applyFont="1" applyFill="1" applyBorder="1" applyAlignment="1">
      <alignment horizontal="center" vertical="center"/>
    </xf>
    <xf numFmtId="0" fontId="11" fillId="7" borderId="34" xfId="1" applyFont="1" applyFill="1" applyBorder="1" applyAlignment="1">
      <alignment horizontal="center" vertical="center" wrapText="1"/>
    </xf>
    <xf numFmtId="0" fontId="11" fillId="7" borderId="36" xfId="1" applyFont="1" applyFill="1" applyBorder="1" applyAlignment="1">
      <alignment horizontal="center" vertical="center" wrapText="1"/>
    </xf>
    <xf numFmtId="0" fontId="11" fillId="7" borderId="6" xfId="1" applyFont="1" applyFill="1" applyBorder="1" applyAlignment="1">
      <alignment horizontal="center" vertical="center" wrapText="1"/>
    </xf>
    <xf numFmtId="0" fontId="11" fillId="7" borderId="35" xfId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8" borderId="10" xfId="1" applyFont="1" applyFill="1" applyBorder="1" applyAlignment="1">
      <alignment horizontal="center" vertical="center"/>
    </xf>
    <xf numFmtId="0" fontId="11" fillId="8" borderId="11" xfId="1" applyFont="1" applyFill="1" applyBorder="1" applyAlignment="1">
      <alignment horizontal="center" vertical="center"/>
    </xf>
    <xf numFmtId="0" fontId="11" fillId="8" borderId="14" xfId="1" applyFont="1" applyFill="1" applyBorder="1" applyAlignment="1">
      <alignment horizontal="center" vertical="center"/>
    </xf>
    <xf numFmtId="0" fontId="11" fillId="8" borderId="30" xfId="1" applyFont="1" applyFill="1" applyBorder="1" applyAlignment="1">
      <alignment horizontal="center" vertical="center"/>
    </xf>
    <xf numFmtId="0" fontId="11" fillId="8" borderId="21" xfId="1" applyFont="1" applyFill="1" applyBorder="1" applyAlignment="1">
      <alignment horizontal="center" vertical="center"/>
    </xf>
    <xf numFmtId="0" fontId="11" fillId="8" borderId="12" xfId="1" applyFont="1" applyFill="1" applyBorder="1" applyAlignment="1">
      <alignment horizontal="center" vertical="center"/>
    </xf>
    <xf numFmtId="0" fontId="11" fillId="8" borderId="12" xfId="1" applyFont="1" applyFill="1" applyBorder="1" applyAlignment="1">
      <alignment horizontal="center" vertical="center" wrapText="1"/>
    </xf>
    <xf numFmtId="0" fontId="11" fillId="8" borderId="13" xfId="1" applyFont="1" applyFill="1" applyBorder="1" applyAlignment="1">
      <alignment horizontal="center" vertical="center"/>
    </xf>
    <xf numFmtId="0" fontId="11" fillId="0" borderId="0" xfId="1" applyFont="1" applyAlignment="1">
      <alignment horizontal="center" vertical="center" wrapText="1"/>
    </xf>
    <xf numFmtId="0" fontId="11" fillId="0" borderId="40" xfId="1" applyFont="1" applyBorder="1" applyAlignment="1">
      <alignment horizontal="center" vertical="center"/>
    </xf>
    <xf numFmtId="20" fontId="11" fillId="0" borderId="28" xfId="1" applyNumberFormat="1" applyFont="1" applyBorder="1" applyAlignment="1">
      <alignment horizontal="center" vertical="center"/>
    </xf>
    <xf numFmtId="1" fontId="11" fillId="0" borderId="29" xfId="1" applyNumberFormat="1" applyFont="1" applyBorder="1" applyAlignment="1">
      <alignment horizontal="center" vertical="center"/>
    </xf>
    <xf numFmtId="0" fontId="11" fillId="0" borderId="31" xfId="1" applyFont="1" applyBorder="1" applyAlignment="1">
      <alignment horizontal="center" vertical="center"/>
    </xf>
    <xf numFmtId="165" fontId="11" fillId="0" borderId="15" xfId="1" applyNumberFormat="1" applyFont="1" applyBorder="1" applyAlignment="1">
      <alignment horizontal="center" vertical="center"/>
    </xf>
    <xf numFmtId="165" fontId="11" fillId="0" borderId="0" xfId="1" applyNumberFormat="1" applyFont="1" applyAlignment="1">
      <alignment horizontal="center" vertical="center"/>
    </xf>
    <xf numFmtId="168" fontId="11" fillId="0" borderId="0" xfId="1" applyNumberFormat="1" applyFont="1" applyAlignment="1">
      <alignment horizontal="center" vertical="center"/>
    </xf>
    <xf numFmtId="2" fontId="11" fillId="0" borderId="0" xfId="1" applyNumberFormat="1" applyFont="1" applyAlignment="1">
      <alignment horizontal="center" vertical="center" wrapText="1"/>
    </xf>
    <xf numFmtId="0" fontId="11" fillId="9" borderId="0" xfId="1" applyFont="1" applyFill="1" applyAlignment="1">
      <alignment horizontal="center" vertical="center"/>
    </xf>
    <xf numFmtId="2" fontId="11" fillId="0" borderId="0" xfId="1" applyNumberFormat="1" applyFont="1" applyAlignment="1">
      <alignment horizontal="center" vertical="center"/>
    </xf>
    <xf numFmtId="0" fontId="11" fillId="0" borderId="16" xfId="1" applyFont="1" applyBorder="1" applyAlignment="1">
      <alignment horizontal="center" vertical="center"/>
    </xf>
    <xf numFmtId="1" fontId="11" fillId="0" borderId="0" xfId="1" applyNumberFormat="1" applyFont="1" applyAlignment="1">
      <alignment horizontal="center" vertical="center"/>
    </xf>
    <xf numFmtId="0" fontId="11" fillId="0" borderId="15" xfId="1" applyFont="1" applyBorder="1" applyAlignment="1">
      <alignment horizontal="center" vertical="center"/>
    </xf>
    <xf numFmtId="20" fontId="11" fillId="0" borderId="0" xfId="1" applyNumberFormat="1" applyFont="1" applyAlignment="1">
      <alignment horizontal="center" vertical="center"/>
    </xf>
    <xf numFmtId="1" fontId="11" fillId="0" borderId="16" xfId="1" applyNumberFormat="1" applyFont="1" applyBorder="1" applyAlignment="1">
      <alignment horizontal="center" vertical="center"/>
    </xf>
    <xf numFmtId="0" fontId="11" fillId="0" borderId="23" xfId="1" applyFont="1" applyBorder="1" applyAlignment="1">
      <alignment horizontal="center" vertical="center"/>
    </xf>
    <xf numFmtId="20" fontId="11" fillId="0" borderId="24" xfId="1" applyNumberFormat="1" applyFont="1" applyBorder="1" applyAlignment="1">
      <alignment horizontal="center" vertical="center"/>
    </xf>
    <xf numFmtId="1" fontId="11" fillId="0" borderId="25" xfId="1" applyNumberFormat="1" applyFont="1" applyBorder="1" applyAlignment="1">
      <alignment horizontal="center" vertical="center"/>
    </xf>
    <xf numFmtId="0" fontId="11" fillId="0" borderId="32" xfId="1" applyFont="1" applyBorder="1" applyAlignment="1">
      <alignment horizontal="center" vertical="center"/>
    </xf>
    <xf numFmtId="165" fontId="11" fillId="0" borderId="23" xfId="1" applyNumberFormat="1" applyFont="1" applyBorder="1" applyAlignment="1">
      <alignment horizontal="center" vertical="center"/>
    </xf>
    <xf numFmtId="165" fontId="11" fillId="0" borderId="24" xfId="1" applyNumberFormat="1" applyFont="1" applyBorder="1" applyAlignment="1">
      <alignment horizontal="center" vertical="center"/>
    </xf>
    <xf numFmtId="168" fontId="11" fillId="0" borderId="24" xfId="1" applyNumberFormat="1" applyFont="1" applyBorder="1" applyAlignment="1">
      <alignment horizontal="center" vertical="center"/>
    </xf>
    <xf numFmtId="2" fontId="11" fillId="9" borderId="24" xfId="1" applyNumberFormat="1" applyFont="1" applyFill="1" applyBorder="1" applyAlignment="1">
      <alignment horizontal="center" vertical="center"/>
    </xf>
    <xf numFmtId="2" fontId="11" fillId="0" borderId="24" xfId="1" applyNumberFormat="1" applyFont="1" applyBorder="1" applyAlignment="1">
      <alignment horizontal="center" vertical="center"/>
    </xf>
    <xf numFmtId="0" fontId="11" fillId="0" borderId="24" xfId="1" applyFont="1" applyBorder="1" applyAlignment="1">
      <alignment horizontal="center" vertical="center"/>
    </xf>
    <xf numFmtId="0" fontId="11" fillId="9" borderId="24" xfId="1" applyFont="1" applyFill="1" applyBorder="1" applyAlignment="1">
      <alignment horizontal="center" vertical="center"/>
    </xf>
    <xf numFmtId="0" fontId="11" fillId="0" borderId="25" xfId="1" applyFont="1" applyBorder="1" applyAlignment="1">
      <alignment horizontal="center" vertical="center"/>
    </xf>
    <xf numFmtId="0" fontId="11" fillId="0" borderId="21" xfId="1" applyFont="1" applyBorder="1" applyAlignment="1">
      <alignment horizontal="center" vertical="center"/>
    </xf>
    <xf numFmtId="20" fontId="11" fillId="0" borderId="11" xfId="1" applyNumberFormat="1" applyFont="1" applyBorder="1" applyAlignment="1">
      <alignment horizontal="center" vertical="center"/>
    </xf>
    <xf numFmtId="1" fontId="11" fillId="0" borderId="26" xfId="1" applyNumberFormat="1" applyFont="1" applyBorder="1" applyAlignment="1">
      <alignment horizontal="center" vertical="center"/>
    </xf>
    <xf numFmtId="2" fontId="11" fillId="9" borderId="0" xfId="1" applyNumberFormat="1" applyFont="1" applyFill="1" applyAlignment="1">
      <alignment horizontal="center" vertical="center"/>
    </xf>
    <xf numFmtId="169" fontId="11" fillId="0" borderId="25" xfId="1" applyNumberFormat="1" applyFont="1" applyBorder="1" applyAlignment="1">
      <alignment horizontal="center" vertical="center"/>
    </xf>
    <xf numFmtId="165" fontId="11" fillId="0" borderId="21" xfId="1" applyNumberFormat="1" applyFont="1" applyBorder="1" applyAlignment="1">
      <alignment horizontal="center" vertical="center"/>
    </xf>
    <xf numFmtId="165" fontId="11" fillId="0" borderId="11" xfId="1" applyNumberFormat="1" applyFont="1" applyBorder="1" applyAlignment="1">
      <alignment horizontal="center" vertical="center"/>
    </xf>
    <xf numFmtId="168" fontId="11" fillId="0" borderId="11" xfId="1" applyNumberFormat="1" applyFont="1" applyBorder="1" applyAlignment="1">
      <alignment horizontal="center" vertical="center"/>
    </xf>
    <xf numFmtId="169" fontId="11" fillId="0" borderId="16" xfId="1" applyNumberFormat="1" applyFont="1" applyBorder="1" applyAlignment="1">
      <alignment horizontal="center" vertical="center"/>
    </xf>
    <xf numFmtId="0" fontId="11" fillId="0" borderId="11" xfId="1" applyFont="1" applyBorder="1" applyAlignment="1">
      <alignment horizontal="center" vertical="center"/>
    </xf>
    <xf numFmtId="0" fontId="11" fillId="0" borderId="17" xfId="1" applyFont="1" applyBorder="1" applyAlignment="1">
      <alignment horizontal="center" vertical="center"/>
    </xf>
    <xf numFmtId="20" fontId="11" fillId="0" borderId="18" xfId="1" applyNumberFormat="1" applyFont="1" applyBorder="1" applyAlignment="1">
      <alignment horizontal="center" vertical="center"/>
    </xf>
    <xf numFmtId="1" fontId="11" fillId="0" borderId="19" xfId="1" applyNumberFormat="1" applyFont="1" applyBorder="1" applyAlignment="1">
      <alignment horizontal="center" vertical="center"/>
    </xf>
    <xf numFmtId="0" fontId="16" fillId="0" borderId="1" xfId="1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/>
    </xf>
    <xf numFmtId="0" fontId="16" fillId="0" borderId="3" xfId="1" applyFont="1" applyBorder="1" applyAlignment="1">
      <alignment horizontal="center" vertical="center"/>
    </xf>
    <xf numFmtId="170" fontId="19" fillId="0" borderId="0" xfId="1" applyNumberFormat="1" applyFont="1"/>
    <xf numFmtId="2" fontId="11" fillId="0" borderId="24" xfId="1" applyNumberFormat="1" applyFont="1" applyBorder="1" applyAlignment="1">
      <alignment horizontal="center" vertical="center" wrapText="1"/>
    </xf>
    <xf numFmtId="2" fontId="11" fillId="0" borderId="11" xfId="1" applyNumberFormat="1" applyFont="1" applyBorder="1" applyAlignment="1">
      <alignment horizontal="center" vertical="center" wrapText="1"/>
    </xf>
    <xf numFmtId="2" fontId="11" fillId="0" borderId="0" xfId="1" applyNumberFormat="1" applyFont="1" applyAlignment="1">
      <alignment horizontal="center"/>
    </xf>
    <xf numFmtId="170" fontId="11" fillId="0" borderId="0" xfId="1" applyNumberFormat="1" applyFont="1"/>
    <xf numFmtId="164" fontId="11" fillId="0" borderId="24" xfId="1" applyNumberFormat="1" applyFont="1" applyBorder="1" applyAlignment="1">
      <alignment horizontal="center" vertical="center"/>
    </xf>
    <xf numFmtId="164" fontId="11" fillId="0" borderId="11" xfId="1" applyNumberFormat="1" applyFont="1" applyBorder="1" applyAlignment="1">
      <alignment horizontal="center" vertical="center"/>
    </xf>
    <xf numFmtId="167" fontId="11" fillId="0" borderId="21" xfId="1" applyNumberFormat="1" applyFont="1" applyBorder="1" applyAlignment="1">
      <alignment horizontal="center" vertical="center"/>
    </xf>
    <xf numFmtId="167" fontId="11" fillId="0" borderId="15" xfId="1" applyNumberFormat="1" applyFont="1" applyBorder="1" applyAlignment="1">
      <alignment horizontal="center" vertical="center"/>
    </xf>
    <xf numFmtId="167" fontId="11" fillId="0" borderId="23" xfId="1" applyNumberFormat="1" applyFont="1" applyBorder="1" applyAlignment="1">
      <alignment horizontal="center" vertical="center"/>
    </xf>
    <xf numFmtId="0" fontId="11" fillId="0" borderId="19" xfId="1" applyFont="1" applyBorder="1" applyAlignment="1">
      <alignment horizontal="center" vertical="center"/>
    </xf>
    <xf numFmtId="164" fontId="11" fillId="0" borderId="18" xfId="1" applyNumberFormat="1" applyFont="1" applyBorder="1" applyAlignment="1">
      <alignment horizontal="center" vertical="center"/>
    </xf>
    <xf numFmtId="0" fontId="11" fillId="0" borderId="41" xfId="1" applyFont="1" applyBorder="1" applyAlignment="1">
      <alignment horizontal="center" vertical="center"/>
    </xf>
    <xf numFmtId="165" fontId="11" fillId="0" borderId="17" xfId="1" applyNumberFormat="1" applyFont="1" applyBorder="1" applyAlignment="1">
      <alignment horizontal="center" vertical="center"/>
    </xf>
    <xf numFmtId="165" fontId="11" fillId="0" borderId="18" xfId="1" applyNumberFormat="1" applyFont="1" applyBorder="1" applyAlignment="1">
      <alignment horizontal="center" vertical="center"/>
    </xf>
    <xf numFmtId="168" fontId="11" fillId="0" borderId="18" xfId="1" applyNumberFormat="1" applyFont="1" applyBorder="1" applyAlignment="1">
      <alignment horizontal="center" vertical="center"/>
    </xf>
    <xf numFmtId="2" fontId="11" fillId="0" borderId="18" xfId="1" applyNumberFormat="1" applyFont="1" applyBorder="1" applyAlignment="1">
      <alignment horizontal="center" vertical="center" wrapText="1"/>
    </xf>
    <xf numFmtId="2" fontId="11" fillId="9" borderId="18" xfId="1" applyNumberFormat="1" applyFont="1" applyFill="1" applyBorder="1" applyAlignment="1">
      <alignment horizontal="center" vertical="center"/>
    </xf>
    <xf numFmtId="0" fontId="11" fillId="0" borderId="18" xfId="1" applyFont="1" applyBorder="1" applyAlignment="1">
      <alignment horizontal="center" vertical="center"/>
    </xf>
    <xf numFmtId="2" fontId="11" fillId="0" borderId="18" xfId="1" applyNumberFormat="1" applyFont="1" applyBorder="1" applyAlignment="1">
      <alignment horizontal="center" vertical="center"/>
    </xf>
    <xf numFmtId="0" fontId="20" fillId="10" borderId="1" xfId="1" applyFont="1" applyFill="1" applyBorder="1" applyAlignment="1">
      <alignment horizontal="left" vertical="center"/>
    </xf>
    <xf numFmtId="0" fontId="20" fillId="10" borderId="2" xfId="1" applyFont="1" applyFill="1" applyBorder="1" applyAlignment="1">
      <alignment horizontal="left" vertical="center"/>
    </xf>
    <xf numFmtId="0" fontId="20" fillId="10" borderId="3" xfId="1" applyFont="1" applyFill="1" applyBorder="1" applyAlignment="1">
      <alignment horizontal="left" vertical="center"/>
    </xf>
    <xf numFmtId="0" fontId="13" fillId="0" borderId="40" xfId="1" applyFont="1" applyBorder="1" applyAlignment="1">
      <alignment vertical="center"/>
    </xf>
    <xf numFmtId="0" fontId="14" fillId="0" borderId="1" xfId="1" applyFont="1" applyBorder="1" applyAlignment="1">
      <alignment horizontal="center" vertical="center"/>
    </xf>
    <xf numFmtId="0" fontId="14" fillId="0" borderId="2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11" fillId="0" borderId="0" xfId="1" applyFont="1" applyAlignment="1">
      <alignment horizontal="center"/>
    </xf>
    <xf numFmtId="0" fontId="11" fillId="7" borderId="4" xfId="1" applyFont="1" applyFill="1" applyBorder="1" applyAlignment="1">
      <alignment horizontal="center" vertical="center" wrapText="1"/>
    </xf>
    <xf numFmtId="0" fontId="11" fillId="7" borderId="8" xfId="1" applyFont="1" applyFill="1" applyBorder="1" applyAlignment="1">
      <alignment horizontal="center" vertical="center" wrapText="1"/>
    </xf>
    <xf numFmtId="0" fontId="11" fillId="7" borderId="27" xfId="1" applyFont="1" applyFill="1" applyBorder="1" applyAlignment="1">
      <alignment horizontal="center" vertical="center" wrapText="1"/>
    </xf>
    <xf numFmtId="0" fontId="11" fillId="7" borderId="9" xfId="1" applyFont="1" applyFill="1" applyBorder="1" applyAlignment="1">
      <alignment horizontal="center" vertical="center"/>
    </xf>
    <xf numFmtId="0" fontId="11" fillId="7" borderId="7" xfId="1" applyFont="1" applyFill="1" applyBorder="1" applyAlignment="1">
      <alignment horizontal="center" vertical="center" wrapText="1"/>
    </xf>
    <xf numFmtId="0" fontId="22" fillId="0" borderId="0" xfId="1" applyFont="1"/>
    <xf numFmtId="167" fontId="11" fillId="8" borderId="15" xfId="1" applyNumberFormat="1" applyFont="1" applyFill="1" applyBorder="1"/>
    <xf numFmtId="164" fontId="11" fillId="8" borderId="0" xfId="1" applyNumberFormat="1" applyFont="1" applyFill="1"/>
    <xf numFmtId="0" fontId="11" fillId="8" borderId="0" xfId="1" applyFont="1" applyFill="1"/>
    <xf numFmtId="0" fontId="11" fillId="8" borderId="31" xfId="1" applyFont="1" applyFill="1" applyBorder="1"/>
    <xf numFmtId="1" fontId="11" fillId="0" borderId="11" xfId="1" applyNumberFormat="1" applyFont="1" applyBorder="1" applyAlignment="1">
      <alignment horizontal="center" vertical="center"/>
    </xf>
    <xf numFmtId="0" fontId="11" fillId="0" borderId="26" xfId="1" applyFont="1" applyBorder="1" applyAlignment="1">
      <alignment horizontal="center" vertical="center"/>
    </xf>
    <xf numFmtId="0" fontId="11" fillId="11" borderId="0" xfId="1" applyFont="1" applyFill="1" applyAlignment="1">
      <alignment horizontal="center" vertical="center"/>
    </xf>
    <xf numFmtId="0" fontId="17" fillId="0" borderId="0" xfId="1" applyFont="1"/>
    <xf numFmtId="1" fontId="11" fillId="0" borderId="0" xfId="1" applyNumberFormat="1" applyFont="1" applyAlignment="1">
      <alignment horizontal="center" vertical="center"/>
    </xf>
    <xf numFmtId="0" fontId="11" fillId="0" borderId="16" xfId="1" applyFont="1" applyBorder="1" applyAlignment="1">
      <alignment horizontal="center" vertical="center"/>
    </xf>
    <xf numFmtId="1" fontId="11" fillId="0" borderId="24" xfId="1" applyNumberFormat="1" applyFont="1" applyBorder="1" applyAlignment="1">
      <alignment horizontal="center" vertical="center"/>
    </xf>
    <xf numFmtId="0" fontId="11" fillId="0" borderId="25" xfId="1" applyFont="1" applyBorder="1" applyAlignment="1">
      <alignment horizontal="center" vertical="center"/>
    </xf>
    <xf numFmtId="165" fontId="11" fillId="11" borderId="0" xfId="1" applyNumberFormat="1" applyFont="1" applyFill="1" applyAlignment="1">
      <alignment horizontal="center" vertical="center"/>
    </xf>
    <xf numFmtId="165" fontId="11" fillId="0" borderId="16" xfId="1" applyNumberFormat="1" applyFont="1" applyBorder="1" applyAlignment="1">
      <alignment horizontal="center" vertical="center"/>
    </xf>
    <xf numFmtId="165" fontId="11" fillId="11" borderId="11" xfId="1" applyNumberFormat="1" applyFont="1" applyFill="1" applyBorder="1" applyAlignment="1">
      <alignment horizontal="center" vertical="center"/>
    </xf>
    <xf numFmtId="165" fontId="11" fillId="0" borderId="26" xfId="1" applyNumberFormat="1" applyFont="1" applyBorder="1" applyAlignment="1">
      <alignment horizontal="center" vertical="center"/>
    </xf>
    <xf numFmtId="165" fontId="11" fillId="11" borderId="24" xfId="1" applyNumberFormat="1" applyFont="1" applyFill="1" applyBorder="1" applyAlignment="1">
      <alignment horizontal="center" vertical="center"/>
    </xf>
    <xf numFmtId="165" fontId="11" fillId="0" borderId="25" xfId="1" applyNumberFormat="1" applyFont="1" applyBorder="1" applyAlignment="1">
      <alignment horizontal="center" vertical="center"/>
    </xf>
    <xf numFmtId="0" fontId="17" fillId="0" borderId="21" xfId="3" applyFont="1" applyBorder="1" applyAlignment="1">
      <alignment horizontal="center" vertical="center"/>
    </xf>
    <xf numFmtId="20" fontId="17" fillId="0" borderId="11" xfId="3" applyNumberFormat="1" applyFont="1" applyBorder="1" applyAlignment="1">
      <alignment horizontal="center" vertical="center"/>
    </xf>
    <xf numFmtId="1" fontId="17" fillId="0" borderId="0" xfId="3" applyNumberFormat="1" applyFont="1" applyAlignment="1">
      <alignment horizontal="center" vertical="center"/>
    </xf>
    <xf numFmtId="0" fontId="11" fillId="11" borderId="11" xfId="1" applyFont="1" applyFill="1" applyBorder="1" applyAlignment="1">
      <alignment horizontal="center" vertical="center"/>
    </xf>
    <xf numFmtId="0" fontId="11" fillId="0" borderId="26" xfId="1" applyFont="1" applyBorder="1" applyAlignment="1">
      <alignment horizontal="center" vertical="center"/>
    </xf>
    <xf numFmtId="0" fontId="17" fillId="0" borderId="15" xfId="3" applyFont="1" applyBorder="1" applyAlignment="1">
      <alignment horizontal="center" vertical="center"/>
    </xf>
    <xf numFmtId="20" fontId="17" fillId="0" borderId="0" xfId="3" applyNumberFormat="1" applyFont="1" applyAlignment="1">
      <alignment horizontal="center" vertical="center"/>
    </xf>
    <xf numFmtId="1" fontId="11" fillId="0" borderId="18" xfId="1" applyNumberFormat="1" applyFont="1" applyBorder="1" applyAlignment="1">
      <alignment horizontal="center" vertical="center"/>
    </xf>
    <xf numFmtId="0" fontId="11" fillId="0" borderId="19" xfId="1" applyFont="1" applyBorder="1" applyAlignment="1">
      <alignment horizontal="center" vertical="center"/>
    </xf>
    <xf numFmtId="165" fontId="11" fillId="11" borderId="18" xfId="1" applyNumberFormat="1" applyFont="1" applyFill="1" applyBorder="1" applyAlignment="1">
      <alignment horizontal="center" vertical="center"/>
    </xf>
    <xf numFmtId="165" fontId="11" fillId="0" borderId="19" xfId="1" applyNumberFormat="1" applyFont="1" applyBorder="1" applyAlignment="1">
      <alignment horizontal="center" vertical="center"/>
    </xf>
    <xf numFmtId="0" fontId="11" fillId="8" borderId="0" xfId="1" applyFont="1" applyFill="1" applyAlignment="1">
      <alignment horizontal="center" vertical="center"/>
    </xf>
    <xf numFmtId="0" fontId="8" fillId="3" borderId="42" xfId="1" applyFon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/>
    </xf>
    <xf numFmtId="0" fontId="8" fillId="4" borderId="43" xfId="1" applyFont="1" applyFill="1" applyBorder="1" applyAlignment="1">
      <alignment horizontal="center" vertical="center"/>
    </xf>
    <xf numFmtId="164" fontId="11" fillId="0" borderId="0" xfId="1" applyNumberFormat="1" applyFont="1" applyBorder="1"/>
    <xf numFmtId="0" fontId="11" fillId="0" borderId="0" xfId="1" applyFont="1" applyBorder="1"/>
    <xf numFmtId="165" fontId="11" fillId="0" borderId="0" xfId="1" applyNumberFormat="1" applyFont="1" applyBorder="1"/>
    <xf numFmtId="165" fontId="11" fillId="5" borderId="0" xfId="1" applyNumberFormat="1" applyFont="1" applyFill="1" applyBorder="1"/>
    <xf numFmtId="165" fontId="11" fillId="0" borderId="0" xfId="1" applyNumberFormat="1" applyFont="1" applyBorder="1" applyAlignment="1">
      <alignment horizontal="center"/>
    </xf>
    <xf numFmtId="165" fontId="11" fillId="5" borderId="0" xfId="1" applyNumberFormat="1" applyFont="1" applyFill="1" applyBorder="1" applyAlignment="1">
      <alignment horizontal="center"/>
    </xf>
    <xf numFmtId="1" fontId="11" fillId="0" borderId="0" xfId="1" applyNumberFormat="1" applyFont="1" applyBorder="1"/>
    <xf numFmtId="167" fontId="11" fillId="0" borderId="17" xfId="1" applyNumberFormat="1" applyFont="1" applyBorder="1"/>
    <xf numFmtId="165" fontId="11" fillId="0" borderId="0" xfId="1" applyNumberFormat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168" fontId="11" fillId="0" borderId="0" xfId="1" applyNumberFormat="1" applyFont="1" applyBorder="1" applyAlignment="1">
      <alignment horizontal="center" vertical="center"/>
    </xf>
    <xf numFmtId="2" fontId="11" fillId="0" borderId="0" xfId="1" applyNumberFormat="1" applyFont="1" applyBorder="1" applyAlignment="1">
      <alignment horizontal="center" vertical="center" wrapText="1"/>
    </xf>
    <xf numFmtId="0" fontId="11" fillId="9" borderId="0" xfId="1" applyFont="1" applyFill="1" applyBorder="1" applyAlignment="1">
      <alignment horizontal="center" vertical="center"/>
    </xf>
    <xf numFmtId="2" fontId="11" fillId="0" borderId="0" xfId="1" applyNumberFormat="1" applyFont="1" applyBorder="1" applyAlignment="1">
      <alignment horizontal="center" vertical="center"/>
    </xf>
    <xf numFmtId="2" fontId="11" fillId="9" borderId="0" xfId="1" applyNumberFormat="1" applyFont="1" applyFill="1" applyBorder="1" applyAlignment="1">
      <alignment horizontal="center" vertical="center"/>
    </xf>
    <xf numFmtId="169" fontId="11" fillId="0" borderId="19" xfId="1" applyNumberFormat="1" applyFont="1" applyBorder="1" applyAlignment="1">
      <alignment horizontal="center" vertical="center"/>
    </xf>
    <xf numFmtId="170" fontId="11" fillId="0" borderId="0" xfId="1" applyNumberFormat="1" applyFont="1" applyAlignment="1">
      <alignment horizontal="center" vertical="center"/>
    </xf>
    <xf numFmtId="164" fontId="11" fillId="8" borderId="0" xfId="1" applyNumberFormat="1" applyFont="1" applyFill="1" applyBorder="1"/>
    <xf numFmtId="0" fontId="11" fillId="8" borderId="0" xfId="1" applyFont="1" applyFill="1" applyBorder="1"/>
    <xf numFmtId="0" fontId="11" fillId="8" borderId="0" xfId="1" applyFont="1" applyFill="1" applyBorder="1" applyAlignment="1">
      <alignment horizontal="center" vertical="center"/>
    </xf>
    <xf numFmtId="0" fontId="11" fillId="11" borderId="0" xfId="1" applyFont="1" applyFill="1" applyBorder="1" applyAlignment="1">
      <alignment horizontal="center" vertical="center"/>
    </xf>
    <xf numFmtId="1" fontId="11" fillId="0" borderId="0" xfId="1" applyNumberFormat="1" applyFont="1" applyBorder="1" applyAlignment="1">
      <alignment horizontal="center" vertical="center"/>
    </xf>
    <xf numFmtId="165" fontId="11" fillId="11" borderId="0" xfId="1" applyNumberFormat="1" applyFont="1" applyFill="1" applyBorder="1" applyAlignment="1">
      <alignment horizontal="center" vertical="center"/>
    </xf>
    <xf numFmtId="1" fontId="17" fillId="0" borderId="16" xfId="0" applyNumberFormat="1" applyFont="1" applyBorder="1" applyAlignment="1">
      <alignment horizontal="center" vertical="center"/>
    </xf>
    <xf numFmtId="1" fontId="17" fillId="0" borderId="25" xfId="0" applyNumberFormat="1" applyFont="1" applyBorder="1" applyAlignment="1">
      <alignment horizontal="center" vertical="center"/>
    </xf>
    <xf numFmtId="164" fontId="11" fillId="0" borderId="0" xfId="1" applyNumberFormat="1" applyFont="1" applyBorder="1" applyAlignment="1">
      <alignment horizontal="center" vertical="center"/>
    </xf>
    <xf numFmtId="167" fontId="11" fillId="0" borderId="17" xfId="1" applyNumberFormat="1" applyFont="1" applyBorder="1" applyAlignment="1">
      <alignment horizontal="center" vertical="center"/>
    </xf>
    <xf numFmtId="170" fontId="11" fillId="0" borderId="0" xfId="0" applyNumberFormat="1" applyFont="1"/>
    <xf numFmtId="0" fontId="11" fillId="0" borderId="0" xfId="0" applyFont="1"/>
  </cellXfs>
  <cellStyles count="4">
    <cellStyle name="Normal" xfId="0" builtinId="0"/>
    <cellStyle name="Normal 2" xfId="1" xr:uid="{FF66289D-DFBF-3645-9EF5-B5A274247095}"/>
    <cellStyle name="Normal 3" xfId="2" xr:uid="{A5CB3D42-FC7C-F945-8295-AD26951B55D1}"/>
    <cellStyle name="Normal 4" xfId="3" xr:uid="{2E9E8C61-0158-344C-AE30-21AA41DA6BB4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curves'!$B$2:$AB$2</c:f>
              <c:strCache>
                <c:ptCount val="1"/>
                <c:pt idx="0">
                  <c:v>Red light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curves'!$R$5:$R$23</c:f>
                <c:numCache>
                  <c:formatCode>General</c:formatCode>
                  <c:ptCount val="19"/>
                  <c:pt idx="0">
                    <c:v>1.7097764795850196E-2</c:v>
                  </c:pt>
                  <c:pt idx="1">
                    <c:v>9.1829761587912825E-2</c:v>
                  </c:pt>
                  <c:pt idx="2">
                    <c:v>9.790503380338024E-3</c:v>
                  </c:pt>
                  <c:pt idx="3">
                    <c:v>5.2540834483214324E-2</c:v>
                  </c:pt>
                  <c:pt idx="4">
                    <c:v>2.7908783317323552E-2</c:v>
                  </c:pt>
                  <c:pt idx="5">
                    <c:v>0.14700061412831744</c:v>
                  </c:pt>
                  <c:pt idx="6">
                    <c:v>2.8363620156107282E-2</c:v>
                  </c:pt>
                  <c:pt idx="7">
                    <c:v>1.3996196732025542E-2</c:v>
                  </c:pt>
                  <c:pt idx="8">
                    <c:v>6.4105199908001523E-2</c:v>
                  </c:pt>
                  <c:pt idx="9">
                    <c:v>1.5430605419111039E-2</c:v>
                  </c:pt>
                  <c:pt idx="10">
                    <c:v>3.6354785183928054E-2</c:v>
                  </c:pt>
                  <c:pt idx="11">
                    <c:v>3.5723213524622911E-2</c:v>
                  </c:pt>
                  <c:pt idx="12">
                    <c:v>2.1539643233385117E-2</c:v>
                  </c:pt>
                  <c:pt idx="13">
                    <c:v>0.1902733460016485</c:v>
                  </c:pt>
                  <c:pt idx="14">
                    <c:v>4.8154712989009286E-2</c:v>
                  </c:pt>
                  <c:pt idx="15">
                    <c:v>8.5667349434526644E-3</c:v>
                  </c:pt>
                  <c:pt idx="16">
                    <c:v>6.2561966766096202E-3</c:v>
                  </c:pt>
                  <c:pt idx="17">
                    <c:v>1.5640366146608256E-2</c:v>
                  </c:pt>
                  <c:pt idx="18">
                    <c:v>2.2444373356195646E-2</c:v>
                  </c:pt>
                </c:numCache>
              </c:numRef>
            </c:plus>
            <c:minus>
              <c:numRef>
                <c:f>'Growth curves'!$R$5:$R$23</c:f>
                <c:numCache>
                  <c:formatCode>General</c:formatCode>
                  <c:ptCount val="19"/>
                  <c:pt idx="0">
                    <c:v>1.7097764795850196E-2</c:v>
                  </c:pt>
                  <c:pt idx="1">
                    <c:v>9.1829761587912825E-2</c:v>
                  </c:pt>
                  <c:pt idx="2">
                    <c:v>9.790503380338024E-3</c:v>
                  </c:pt>
                  <c:pt idx="3">
                    <c:v>5.2540834483214324E-2</c:v>
                  </c:pt>
                  <c:pt idx="4">
                    <c:v>2.7908783317323552E-2</c:v>
                  </c:pt>
                  <c:pt idx="5">
                    <c:v>0.14700061412831744</c:v>
                  </c:pt>
                  <c:pt idx="6">
                    <c:v>2.8363620156107282E-2</c:v>
                  </c:pt>
                  <c:pt idx="7">
                    <c:v>1.3996196732025542E-2</c:v>
                  </c:pt>
                  <c:pt idx="8">
                    <c:v>6.4105199908001523E-2</c:v>
                  </c:pt>
                  <c:pt idx="9">
                    <c:v>1.5430605419111039E-2</c:v>
                  </c:pt>
                  <c:pt idx="10">
                    <c:v>3.6354785183928054E-2</c:v>
                  </c:pt>
                  <c:pt idx="11">
                    <c:v>3.5723213524622911E-2</c:v>
                  </c:pt>
                  <c:pt idx="12">
                    <c:v>2.1539643233385117E-2</c:v>
                  </c:pt>
                  <c:pt idx="13">
                    <c:v>0.1902733460016485</c:v>
                  </c:pt>
                  <c:pt idx="14">
                    <c:v>4.8154712989009286E-2</c:v>
                  </c:pt>
                  <c:pt idx="15">
                    <c:v>8.5667349434526644E-3</c:v>
                  </c:pt>
                  <c:pt idx="16">
                    <c:v>6.2561966766096202E-3</c:v>
                  </c:pt>
                  <c:pt idx="17">
                    <c:v>1.5640366146608256E-2</c:v>
                  </c:pt>
                  <c:pt idx="18">
                    <c:v>2.2444373356195646E-2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curves'!$D$5:$D$25</c:f>
              <c:numCache>
                <c:formatCode>0</c:formatCode>
                <c:ptCount val="21"/>
                <c:pt idx="0" formatCode="General">
                  <c:v>0</c:v>
                </c:pt>
                <c:pt idx="1">
                  <c:v>2.5833333333333335</c:v>
                </c:pt>
                <c:pt idx="2">
                  <c:v>6.0333333333333332</c:v>
                </c:pt>
                <c:pt idx="3">
                  <c:v>19.899999999999999</c:v>
                </c:pt>
                <c:pt idx="4">
                  <c:v>23.366666666666667</c:v>
                </c:pt>
                <c:pt idx="5">
                  <c:v>45.3</c:v>
                </c:pt>
                <c:pt idx="6">
                  <c:v>69.8</c:v>
                </c:pt>
                <c:pt idx="7">
                  <c:v>92.86666666666666</c:v>
                </c:pt>
                <c:pt idx="8">
                  <c:v>117.14999999999999</c:v>
                </c:pt>
                <c:pt idx="9">
                  <c:v>164.66666666666666</c:v>
                </c:pt>
                <c:pt idx="10">
                  <c:v>188.68333333333334</c:v>
                </c:pt>
                <c:pt idx="11">
                  <c:v>212.98333333333335</c:v>
                </c:pt>
                <c:pt idx="12">
                  <c:v>236.98333333333335</c:v>
                </c:pt>
                <c:pt idx="13">
                  <c:v>260.95000000000005</c:v>
                </c:pt>
                <c:pt idx="14">
                  <c:v>284.95000000000005</c:v>
                </c:pt>
                <c:pt idx="15">
                  <c:v>308.95000000000005</c:v>
                </c:pt>
                <c:pt idx="16">
                  <c:v>332.95000000000005</c:v>
                </c:pt>
                <c:pt idx="17">
                  <c:v>356.50000000000006</c:v>
                </c:pt>
                <c:pt idx="18">
                  <c:v>381.43333333333339</c:v>
                </c:pt>
                <c:pt idx="19">
                  <c:v>405.43333333333339</c:v>
                </c:pt>
                <c:pt idx="20">
                  <c:v>429.43333333333339</c:v>
                </c:pt>
              </c:numCache>
            </c:numRef>
          </c:xVal>
          <c:yVal>
            <c:numRef>
              <c:f>'Growth curves'!$Q$5:$Q$25</c:f>
              <c:numCache>
                <c:formatCode>0.000</c:formatCode>
                <c:ptCount val="21"/>
                <c:pt idx="0">
                  <c:v>-1.927586717420686</c:v>
                </c:pt>
                <c:pt idx="1">
                  <c:v>-1.7767954493613889</c:v>
                </c:pt>
                <c:pt idx="2">
                  <c:v>-1.6963697739173085</c:v>
                </c:pt>
                <c:pt idx="3">
                  <c:v>-1.3616349636637863</c:v>
                </c:pt>
                <c:pt idx="4">
                  <c:v>-1.2520185661179652</c:v>
                </c:pt>
                <c:pt idx="5">
                  <c:v>-0.9980204963569469</c:v>
                </c:pt>
                <c:pt idx="6">
                  <c:v>-0.66569213991806142</c:v>
                </c:pt>
                <c:pt idx="7">
                  <c:v>-0.29736592996507366</c:v>
                </c:pt>
                <c:pt idx="8">
                  <c:v>-6.6215608244769256E-2</c:v>
                </c:pt>
                <c:pt idx="9">
                  <c:v>0.47087578807709668</c:v>
                </c:pt>
                <c:pt idx="10">
                  <c:v>0.62673686413176644</c:v>
                </c:pt>
                <c:pt idx="11">
                  <c:v>0.72808325152880071</c:v>
                </c:pt>
                <c:pt idx="12">
                  <c:v>0.83987227479761828</c:v>
                </c:pt>
                <c:pt idx="13">
                  <c:v>0.95075977475742091</c:v>
                </c:pt>
                <c:pt idx="14">
                  <c:v>1.0950522391587216</c:v>
                </c:pt>
                <c:pt idx="15">
                  <c:v>1.2014703917167726</c:v>
                </c:pt>
                <c:pt idx="16">
                  <c:v>1.2716838284029388</c:v>
                </c:pt>
                <c:pt idx="17">
                  <c:v>1.3529044316846672</c:v>
                </c:pt>
                <c:pt idx="18">
                  <c:v>1.4228016816043667</c:v>
                </c:pt>
                <c:pt idx="19">
                  <c:v>1.4350823941580206</c:v>
                </c:pt>
                <c:pt idx="20">
                  <c:v>1.4387919659769601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8D-E948-A4F4-A117D17DE852}"/>
            </c:ext>
          </c:extLst>
        </c:ser>
        <c:ser>
          <c:idx val="1"/>
          <c:order val="1"/>
          <c:tx>
            <c:strRef>
              <c:f>'Growth curves'!$B$26:$AB$26</c:f>
              <c:strCache>
                <c:ptCount val="1"/>
                <c:pt idx="0">
                  <c:v>Switch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curves'!$R$29:$R$44</c:f>
                <c:numCache>
                  <c:formatCode>General</c:formatCode>
                  <c:ptCount val="16"/>
                  <c:pt idx="0">
                    <c:v>2.8732839959489154E-2</c:v>
                  </c:pt>
                  <c:pt idx="1">
                    <c:v>3.2791203641204351E-3</c:v>
                  </c:pt>
                  <c:pt idx="2">
                    <c:v>2.0289804723085902E-2</c:v>
                  </c:pt>
                  <c:pt idx="3">
                    <c:v>2.1267740367922582E-2</c:v>
                  </c:pt>
                  <c:pt idx="4">
                    <c:v>3.1366709033853371E-2</c:v>
                  </c:pt>
                  <c:pt idx="5">
                    <c:v>2.7166225526220542E-2</c:v>
                  </c:pt>
                  <c:pt idx="6">
                    <c:v>9.5501030954004418E-3</c:v>
                  </c:pt>
                  <c:pt idx="7">
                    <c:v>5.1471860083336263E-2</c:v>
                  </c:pt>
                  <c:pt idx="8">
                    <c:v>5.2621345992458291E-3</c:v>
                  </c:pt>
                  <c:pt idx="9">
                    <c:v>3.8667488394752794E-3</c:v>
                  </c:pt>
                  <c:pt idx="10">
                    <c:v>1.5666483049777451E-2</c:v>
                  </c:pt>
                  <c:pt idx="11">
                    <c:v>9.3887523200133771E-3</c:v>
                  </c:pt>
                  <c:pt idx="12">
                    <c:v>1.9563893950309694E-2</c:v>
                  </c:pt>
                  <c:pt idx="13">
                    <c:v>1.0930348978209707E-3</c:v>
                  </c:pt>
                  <c:pt idx="14">
                    <c:v>5.4073411775020933E-3</c:v>
                  </c:pt>
                  <c:pt idx="15">
                    <c:v>1.5978427069015615E-3</c:v>
                  </c:pt>
                </c:numCache>
              </c:numRef>
            </c:plus>
            <c:minus>
              <c:numRef>
                <c:f>'Growth curves'!$R$29:$R$44</c:f>
                <c:numCache>
                  <c:formatCode>General</c:formatCode>
                  <c:ptCount val="16"/>
                  <c:pt idx="0">
                    <c:v>2.8732839959489154E-2</c:v>
                  </c:pt>
                  <c:pt idx="1">
                    <c:v>3.2791203641204351E-3</c:v>
                  </c:pt>
                  <c:pt idx="2">
                    <c:v>2.0289804723085902E-2</c:v>
                  </c:pt>
                  <c:pt idx="3">
                    <c:v>2.1267740367922582E-2</c:v>
                  </c:pt>
                  <c:pt idx="4">
                    <c:v>3.1366709033853371E-2</c:v>
                  </c:pt>
                  <c:pt idx="5">
                    <c:v>2.7166225526220542E-2</c:v>
                  </c:pt>
                  <c:pt idx="6">
                    <c:v>9.5501030954004418E-3</c:v>
                  </c:pt>
                  <c:pt idx="7">
                    <c:v>5.1471860083336263E-2</c:v>
                  </c:pt>
                  <c:pt idx="8">
                    <c:v>5.2621345992458291E-3</c:v>
                  </c:pt>
                  <c:pt idx="9">
                    <c:v>3.8667488394752794E-3</c:v>
                  </c:pt>
                  <c:pt idx="10">
                    <c:v>1.5666483049777451E-2</c:v>
                  </c:pt>
                  <c:pt idx="11">
                    <c:v>9.3887523200133771E-3</c:v>
                  </c:pt>
                  <c:pt idx="12">
                    <c:v>1.9563893950309694E-2</c:v>
                  </c:pt>
                  <c:pt idx="13">
                    <c:v>1.0930348978209707E-3</c:v>
                  </c:pt>
                  <c:pt idx="14">
                    <c:v>5.4073411775020933E-3</c:v>
                  </c:pt>
                  <c:pt idx="15">
                    <c:v>1.5978427069015615E-3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curves'!$D$29:$D$44</c:f>
              <c:numCache>
                <c:formatCode>0</c:formatCode>
                <c:ptCount val="16"/>
                <c:pt idx="0" formatCode="General">
                  <c:v>0</c:v>
                </c:pt>
                <c:pt idx="1">
                  <c:v>4.5333333333333332</c:v>
                </c:pt>
                <c:pt idx="2">
                  <c:v>7.9833333333333334</c:v>
                </c:pt>
                <c:pt idx="3">
                  <c:v>22.85</c:v>
                </c:pt>
                <c:pt idx="4">
                  <c:v>46.166666666666671</c:v>
                </c:pt>
                <c:pt idx="5">
                  <c:v>69.800000000000011</c:v>
                </c:pt>
                <c:pt idx="6">
                  <c:v>119.75000000000001</c:v>
                </c:pt>
                <c:pt idx="7">
                  <c:v>191.25</c:v>
                </c:pt>
                <c:pt idx="8">
                  <c:v>239.25</c:v>
                </c:pt>
                <c:pt idx="9">
                  <c:v>311.25</c:v>
                </c:pt>
                <c:pt idx="10">
                  <c:v>335</c:v>
                </c:pt>
                <c:pt idx="11">
                  <c:v>359.16666666666669</c:v>
                </c:pt>
                <c:pt idx="12">
                  <c:v>383</c:v>
                </c:pt>
                <c:pt idx="13">
                  <c:v>402.16666666666669</c:v>
                </c:pt>
                <c:pt idx="14">
                  <c:v>431.16666666666669</c:v>
                </c:pt>
                <c:pt idx="15">
                  <c:v>455.75</c:v>
                </c:pt>
              </c:numCache>
            </c:numRef>
          </c:xVal>
          <c:yVal>
            <c:numRef>
              <c:f>'Growth curves'!$Q$29:$Q$44</c:f>
              <c:numCache>
                <c:formatCode>0.000</c:formatCode>
                <c:ptCount val="16"/>
                <c:pt idx="0">
                  <c:v>-2.0984421055581457</c:v>
                </c:pt>
                <c:pt idx="1">
                  <c:v>-1.8736830439532126</c:v>
                </c:pt>
                <c:pt idx="2">
                  <c:v>-1.6168850557824372</c:v>
                </c:pt>
                <c:pt idx="3">
                  <c:v>-1.440824522610594</c:v>
                </c:pt>
                <c:pt idx="4">
                  <c:v>-0.99660399924929166</c:v>
                </c:pt>
                <c:pt idx="5">
                  <c:v>-0.58706675666954156</c:v>
                </c:pt>
                <c:pt idx="6">
                  <c:v>-0.17009117957656478</c:v>
                </c:pt>
                <c:pt idx="7">
                  <c:v>0.57069437766153319</c:v>
                </c:pt>
                <c:pt idx="8">
                  <c:v>0.83140499502848741</c:v>
                </c:pt>
                <c:pt idx="9">
                  <c:v>1.1803528750887649</c:v>
                </c:pt>
                <c:pt idx="10">
                  <c:v>1.2162702474526492</c:v>
                </c:pt>
                <c:pt idx="11">
                  <c:v>1.2487476706627278</c:v>
                </c:pt>
                <c:pt idx="12">
                  <c:v>1.2817558649073955</c:v>
                </c:pt>
                <c:pt idx="13">
                  <c:v>1.3043779548021281</c:v>
                </c:pt>
                <c:pt idx="14">
                  <c:v>1.3150094856183754</c:v>
                </c:pt>
                <c:pt idx="15">
                  <c:v>1.3301464492001132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8D-E948-A4F4-A117D17DE8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967840"/>
        <c:axId val="1020632992"/>
      </c:scatterChart>
      <c:valAx>
        <c:axId val="1141967840"/>
        <c:scaling>
          <c:orientation val="minMax"/>
          <c:max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0632992"/>
        <c:crosses val="autoZero"/>
        <c:crossBetween val="midCat"/>
        <c:majorUnit val="50"/>
      </c:valAx>
      <c:valAx>
        <c:axId val="1020632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ln</a:t>
                </a:r>
                <a:r>
                  <a:rPr lang="en-ZA" baseline="0"/>
                  <a:t> biomass concentration </a:t>
                </a:r>
                <a:r>
                  <a:rPr lang="en-ZA"/>
                  <a:t>(g.L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2145563575386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41967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curves'!$B$2:$AB$2</c:f>
              <c:strCache>
                <c:ptCount val="1"/>
                <c:pt idx="0">
                  <c:v>Red light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curves'!$M$5:$M$23</c:f>
                <c:numCache>
                  <c:formatCode>General</c:formatCode>
                  <c:ptCount val="19"/>
                  <c:pt idx="0">
                    <c:v>2.4668000000000008E-3</c:v>
                  </c:pt>
                  <c:pt idx="1">
                    <c:v>1.5800576649533288E-2</c:v>
                  </c:pt>
                  <c:pt idx="2">
                    <c:v>1.7920886523210245E-3</c:v>
                  </c:pt>
                  <c:pt idx="3">
                    <c:v>1.3740713229588123E-2</c:v>
                  </c:pt>
                  <c:pt idx="4">
                    <c:v>7.9296525657391315E-3</c:v>
                  </c:pt>
                  <c:pt idx="5">
                    <c:v>5.8792066666666816E-2</c:v>
                  </c:pt>
                  <c:pt idx="6">
                    <c:v>1.4401408542685425E-2</c:v>
                  </c:pt>
                  <c:pt idx="7">
                    <c:v>1.0425290750435278E-2</c:v>
                  </c:pt>
                  <c:pt idx="8">
                    <c:v>6.180552508603096E-2</c:v>
                  </c:pt>
                  <c:pt idx="9">
                    <c:v>2.4527127199717325E-2</c:v>
                  </c:pt>
                  <c:pt idx="10">
                    <c:v>6.7169675075322899E-2</c:v>
                  </c:pt>
                  <c:pt idx="11">
                    <c:v>7.4282134371178171E-2</c:v>
                  </c:pt>
                  <c:pt idx="12">
                    <c:v>5.0016528699132048E-2</c:v>
                  </c:pt>
                  <c:pt idx="13">
                    <c:v>5.5E-2</c:v>
                  </c:pt>
                  <c:pt idx="14">
                    <c:v>0.14616931992422746</c:v>
                  </c:pt>
                  <c:pt idx="15">
                    <c:v>2.8484152880739404E-2</c:v>
                  </c:pt>
                  <c:pt idx="16">
                    <c:v>2.2246834580527067E-2</c:v>
                  </c:pt>
                  <c:pt idx="17">
                    <c:v>6.0042360179830209E-2</c:v>
                  </c:pt>
                  <c:pt idx="18">
                    <c:v>9.2093866666666496E-2</c:v>
                  </c:pt>
                </c:numCache>
              </c:numRef>
            </c:plus>
            <c:minus>
              <c:numRef>
                <c:f>'Growth curves'!$M$5:$M$23</c:f>
                <c:numCache>
                  <c:formatCode>General</c:formatCode>
                  <c:ptCount val="19"/>
                  <c:pt idx="0">
                    <c:v>2.4668000000000008E-3</c:v>
                  </c:pt>
                  <c:pt idx="1">
                    <c:v>1.5800576649533288E-2</c:v>
                  </c:pt>
                  <c:pt idx="2">
                    <c:v>1.7920886523210245E-3</c:v>
                  </c:pt>
                  <c:pt idx="3">
                    <c:v>1.3740713229588123E-2</c:v>
                  </c:pt>
                  <c:pt idx="4">
                    <c:v>7.9296525657391315E-3</c:v>
                  </c:pt>
                  <c:pt idx="5">
                    <c:v>5.8792066666666816E-2</c:v>
                  </c:pt>
                  <c:pt idx="6">
                    <c:v>1.4401408542685425E-2</c:v>
                  </c:pt>
                  <c:pt idx="7">
                    <c:v>1.0425290750435278E-2</c:v>
                  </c:pt>
                  <c:pt idx="8">
                    <c:v>6.180552508603096E-2</c:v>
                  </c:pt>
                  <c:pt idx="9">
                    <c:v>2.4527127199717325E-2</c:v>
                  </c:pt>
                  <c:pt idx="10">
                    <c:v>6.7169675075322899E-2</c:v>
                  </c:pt>
                  <c:pt idx="11">
                    <c:v>7.4282134371178171E-2</c:v>
                  </c:pt>
                  <c:pt idx="12">
                    <c:v>5.0016528699132048E-2</c:v>
                  </c:pt>
                  <c:pt idx="13">
                    <c:v>5.5E-2</c:v>
                  </c:pt>
                  <c:pt idx="14">
                    <c:v>0.14616931992422746</c:v>
                  </c:pt>
                  <c:pt idx="15">
                    <c:v>2.8484152880739404E-2</c:v>
                  </c:pt>
                  <c:pt idx="16">
                    <c:v>2.2246834580527067E-2</c:v>
                  </c:pt>
                  <c:pt idx="17">
                    <c:v>6.0042360179830209E-2</c:v>
                  </c:pt>
                  <c:pt idx="18">
                    <c:v>9.2093866666666496E-2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curves'!$D$5:$D$25</c:f>
              <c:numCache>
                <c:formatCode>0</c:formatCode>
                <c:ptCount val="21"/>
                <c:pt idx="0" formatCode="General">
                  <c:v>0</c:v>
                </c:pt>
                <c:pt idx="1">
                  <c:v>2.5833333333333335</c:v>
                </c:pt>
                <c:pt idx="2">
                  <c:v>6.0333333333333332</c:v>
                </c:pt>
                <c:pt idx="3">
                  <c:v>19.899999999999999</c:v>
                </c:pt>
                <c:pt idx="4">
                  <c:v>23.366666666666667</c:v>
                </c:pt>
                <c:pt idx="5">
                  <c:v>45.3</c:v>
                </c:pt>
                <c:pt idx="6">
                  <c:v>69.8</c:v>
                </c:pt>
                <c:pt idx="7">
                  <c:v>92.86666666666666</c:v>
                </c:pt>
                <c:pt idx="8">
                  <c:v>117.14999999999999</c:v>
                </c:pt>
                <c:pt idx="9">
                  <c:v>164.66666666666666</c:v>
                </c:pt>
                <c:pt idx="10">
                  <c:v>188.68333333333334</c:v>
                </c:pt>
                <c:pt idx="11">
                  <c:v>212.98333333333335</c:v>
                </c:pt>
                <c:pt idx="12">
                  <c:v>236.98333333333335</c:v>
                </c:pt>
                <c:pt idx="13">
                  <c:v>260.95000000000005</c:v>
                </c:pt>
                <c:pt idx="14">
                  <c:v>284.95000000000005</c:v>
                </c:pt>
                <c:pt idx="15">
                  <c:v>308.95000000000005</c:v>
                </c:pt>
                <c:pt idx="16">
                  <c:v>332.95000000000005</c:v>
                </c:pt>
                <c:pt idx="17">
                  <c:v>356.50000000000006</c:v>
                </c:pt>
                <c:pt idx="18">
                  <c:v>381.43333333333339</c:v>
                </c:pt>
                <c:pt idx="19">
                  <c:v>405.43333333333339</c:v>
                </c:pt>
                <c:pt idx="20">
                  <c:v>429.43333333333339</c:v>
                </c:pt>
              </c:numCache>
            </c:numRef>
          </c:xVal>
          <c:yVal>
            <c:numRef>
              <c:f>'Growth curves'!$L$5:$L$25</c:f>
              <c:numCache>
                <c:formatCode>0.000</c:formatCode>
                <c:ptCount val="21"/>
                <c:pt idx="0">
                  <c:v>0.14554120000000001</c:v>
                </c:pt>
                <c:pt idx="1">
                  <c:v>0.17062033333333337</c:v>
                </c:pt>
                <c:pt idx="2">
                  <c:v>0.18336546666666667</c:v>
                </c:pt>
                <c:pt idx="3">
                  <c:v>0.25695833333333334</c:v>
                </c:pt>
                <c:pt idx="4">
                  <c:v>0.28614880000000004</c:v>
                </c:pt>
                <c:pt idx="5">
                  <c:v>0.37700926666666668</c:v>
                </c:pt>
                <c:pt idx="6">
                  <c:v>0.51432779999999989</c:v>
                </c:pt>
                <c:pt idx="7">
                  <c:v>0.74291793333333345</c:v>
                </c:pt>
                <c:pt idx="8">
                  <c:v>0.93985079999999999</c:v>
                </c:pt>
                <c:pt idx="9">
                  <c:v>1.6017754666666668</c:v>
                </c:pt>
                <c:pt idx="10">
                  <c:v>1.8739457333333334</c:v>
                </c:pt>
                <c:pt idx="11">
                  <c:v>2.0737565333333339</c:v>
                </c:pt>
                <c:pt idx="12">
                  <c:v>2.3171474666666669</c:v>
                </c:pt>
                <c:pt idx="13">
                  <c:v>2.6789448</c:v>
                </c:pt>
                <c:pt idx="14">
                  <c:v>2.996339733333333</c:v>
                </c:pt>
                <c:pt idx="15">
                  <c:v>3.3252464000000006</c:v>
                </c:pt>
                <c:pt idx="16">
                  <c:v>3.5669928</c:v>
                </c:pt>
                <c:pt idx="17">
                  <c:v>3.8695869333333337</c:v>
                </c:pt>
                <c:pt idx="18">
                  <c:v>4.1508021333333334</c:v>
                </c:pt>
                <c:pt idx="19">
                  <c:v>4.2001381333333336</c:v>
                </c:pt>
                <c:pt idx="20">
                  <c:v>4.2165834666666662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39-A14C-957F-BC8A3578770F}"/>
            </c:ext>
          </c:extLst>
        </c:ser>
        <c:ser>
          <c:idx val="1"/>
          <c:order val="1"/>
          <c:tx>
            <c:strRef>
              <c:f>'Growth curves'!$B$26:$AB$26</c:f>
              <c:strCache>
                <c:ptCount val="1"/>
                <c:pt idx="0">
                  <c:v>Switch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curves'!$T$29:$T$44</c:f>
                <c:numCache>
                  <c:formatCode>General</c:formatCode>
                  <c:ptCount val="16"/>
                  <c:pt idx="1">
                    <c:v>4.0930715597514926E-2</c:v>
                  </c:pt>
                  <c:pt idx="2">
                    <c:v>8.2801132839288083E-2</c:v>
                  </c:pt>
                  <c:pt idx="3">
                    <c:v>8.4190454901797666E-3</c:v>
                  </c:pt>
                  <c:pt idx="4">
                    <c:v>2.1816338612922693E-2</c:v>
                  </c:pt>
                  <c:pt idx="5">
                    <c:v>1.7111116584474402E-2</c:v>
                  </c:pt>
                  <c:pt idx="6">
                    <c:v>7.4475964347811459E-3</c:v>
                  </c:pt>
                  <c:pt idx="7">
                    <c:v>9.6425468582853127E-3</c:v>
                  </c:pt>
                  <c:pt idx="8">
                    <c:v>6.6105362846251361E-3</c:v>
                  </c:pt>
                  <c:pt idx="9">
                    <c:v>4.870234327960684E-3</c:v>
                  </c:pt>
                  <c:pt idx="10">
                    <c:v>2.5196041238715445E-3</c:v>
                  </c:pt>
                  <c:pt idx="11">
                    <c:v>1.0257436425443914E-3</c:v>
                  </c:pt>
                  <c:pt idx="12">
                    <c:v>-1.0285639670455705E-4</c:v>
                  </c:pt>
                  <c:pt idx="13">
                    <c:v>2.5002551770529433E-3</c:v>
                  </c:pt>
                  <c:pt idx="14">
                    <c:v>9.2076846754442744E-5</c:v>
                  </c:pt>
                  <c:pt idx="15">
                    <c:v>8.0553060187849956E-4</c:v>
                  </c:pt>
                </c:numCache>
              </c:numRef>
            </c:plus>
            <c:minus>
              <c:numRef>
                <c:f>'Growth curves'!$T$29:$T$44</c:f>
                <c:numCache>
                  <c:formatCode>General</c:formatCode>
                  <c:ptCount val="16"/>
                  <c:pt idx="1">
                    <c:v>4.0930715597514926E-2</c:v>
                  </c:pt>
                  <c:pt idx="2">
                    <c:v>8.2801132839288083E-2</c:v>
                  </c:pt>
                  <c:pt idx="3">
                    <c:v>8.4190454901797666E-3</c:v>
                  </c:pt>
                  <c:pt idx="4">
                    <c:v>2.1816338612922693E-2</c:v>
                  </c:pt>
                  <c:pt idx="5">
                    <c:v>1.7111116584474402E-2</c:v>
                  </c:pt>
                  <c:pt idx="6">
                    <c:v>7.4475964347811459E-3</c:v>
                  </c:pt>
                  <c:pt idx="7">
                    <c:v>9.6425468582853127E-3</c:v>
                  </c:pt>
                  <c:pt idx="8">
                    <c:v>6.6105362846251361E-3</c:v>
                  </c:pt>
                  <c:pt idx="9">
                    <c:v>4.870234327960684E-3</c:v>
                  </c:pt>
                  <c:pt idx="10">
                    <c:v>2.5196041238715445E-3</c:v>
                  </c:pt>
                  <c:pt idx="11">
                    <c:v>1.0257436425443914E-3</c:v>
                  </c:pt>
                  <c:pt idx="12">
                    <c:v>-1.0285639670455705E-4</c:v>
                  </c:pt>
                  <c:pt idx="13">
                    <c:v>2.5002551770529433E-3</c:v>
                  </c:pt>
                  <c:pt idx="14">
                    <c:v>9.2076846754442744E-5</c:v>
                  </c:pt>
                  <c:pt idx="15">
                    <c:v>8.0553060187849956E-4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curves'!$D$29:$D$44</c:f>
              <c:numCache>
                <c:formatCode>0</c:formatCode>
                <c:ptCount val="16"/>
                <c:pt idx="0" formatCode="General">
                  <c:v>0</c:v>
                </c:pt>
                <c:pt idx="1">
                  <c:v>4.5333333333333332</c:v>
                </c:pt>
                <c:pt idx="2">
                  <c:v>7.9833333333333334</c:v>
                </c:pt>
                <c:pt idx="3">
                  <c:v>22.85</c:v>
                </c:pt>
                <c:pt idx="4">
                  <c:v>46.166666666666671</c:v>
                </c:pt>
                <c:pt idx="5">
                  <c:v>69.800000000000011</c:v>
                </c:pt>
                <c:pt idx="6">
                  <c:v>119.75000000000001</c:v>
                </c:pt>
                <c:pt idx="7">
                  <c:v>191.25</c:v>
                </c:pt>
                <c:pt idx="8">
                  <c:v>239.25</c:v>
                </c:pt>
                <c:pt idx="9">
                  <c:v>311.25</c:v>
                </c:pt>
                <c:pt idx="10">
                  <c:v>335</c:v>
                </c:pt>
                <c:pt idx="11">
                  <c:v>359.16666666666669</c:v>
                </c:pt>
                <c:pt idx="12">
                  <c:v>383</c:v>
                </c:pt>
                <c:pt idx="13">
                  <c:v>402.16666666666669</c:v>
                </c:pt>
                <c:pt idx="14">
                  <c:v>431.16666666666669</c:v>
                </c:pt>
                <c:pt idx="15">
                  <c:v>455.75</c:v>
                </c:pt>
              </c:numCache>
            </c:numRef>
          </c:xVal>
          <c:yVal>
            <c:numRef>
              <c:f>'Growth curves'!$L$29:$L$44</c:f>
              <c:numCache>
                <c:formatCode>0.000</c:formatCode>
                <c:ptCount val="16"/>
                <c:pt idx="0">
                  <c:v>0.12272330000000001</c:v>
                </c:pt>
                <c:pt idx="1">
                  <c:v>0.15355830000000001</c:v>
                </c:pt>
                <c:pt idx="2">
                  <c:v>0.19857740000000002</c:v>
                </c:pt>
                <c:pt idx="3">
                  <c:v>0.23681280000000002</c:v>
                </c:pt>
                <c:pt idx="4">
                  <c:v>0.36940329999999999</c:v>
                </c:pt>
                <c:pt idx="5">
                  <c:v>0.55626339999999996</c:v>
                </c:pt>
                <c:pt idx="6">
                  <c:v>0.84364560000000011</c:v>
                </c:pt>
                <c:pt idx="7">
                  <c:v>1.7730125000000001</c:v>
                </c:pt>
                <c:pt idx="8">
                  <c:v>2.2965908000000002</c:v>
                </c:pt>
                <c:pt idx="9">
                  <c:v>3.2555592999999998</c:v>
                </c:pt>
                <c:pt idx="10">
                  <c:v>3.3751991000000006</c:v>
                </c:pt>
                <c:pt idx="11">
                  <c:v>3.4862051000000003</c:v>
                </c:pt>
                <c:pt idx="12">
                  <c:v>3.6039948000000002</c:v>
                </c:pt>
                <c:pt idx="13">
                  <c:v>3.6853992</c:v>
                </c:pt>
                <c:pt idx="14">
                  <c:v>3.7248679999999998</c:v>
                </c:pt>
                <c:pt idx="15">
                  <c:v>3.7816044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39-A14C-957F-BC8A357877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550368"/>
        <c:axId val="1542574832"/>
      </c:scatterChart>
      <c:valAx>
        <c:axId val="1157550368"/>
        <c:scaling>
          <c:orientation val="minMax"/>
          <c:max val="5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42574832"/>
        <c:crosses val="autoZero"/>
        <c:crossBetween val="midCat"/>
        <c:majorUnit val="50"/>
      </c:valAx>
      <c:valAx>
        <c:axId val="1542574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Biomass concentration (g.L</a:t>
                </a:r>
                <a:r>
                  <a:rPr lang="en-GB" baseline="30000"/>
                  <a:t>-1</a:t>
                </a:r>
                <a:r>
                  <a:rPr lang="en-GB"/>
                  <a:t>)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130046296296296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57550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'C-phycocyanin'!$B$2:$V$2</c:f>
              <c:strCache>
                <c:ptCount val="1"/>
                <c:pt idx="0">
                  <c:v>Red light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'C-phycocyanin'!$Z$5:$Z$22</c:f>
                <c:numCache>
                  <c:formatCode>General</c:formatCode>
                  <c:ptCount val="18"/>
                  <c:pt idx="0">
                    <c:v>5.635085063823154</c:v>
                  </c:pt>
                  <c:pt idx="1">
                    <c:v>2.5449630585579315</c:v>
                  </c:pt>
                  <c:pt idx="2">
                    <c:v>10.71305579231162</c:v>
                  </c:pt>
                  <c:pt idx="3">
                    <c:v>6.897939886503103</c:v>
                  </c:pt>
                  <c:pt idx="4">
                    <c:v>5.7075066589869916</c:v>
                  </c:pt>
                  <c:pt idx="5">
                    <c:v>11.399632127536142</c:v>
                  </c:pt>
                  <c:pt idx="6">
                    <c:v>6.5025599218284835</c:v>
                  </c:pt>
                  <c:pt idx="7">
                    <c:v>2.7395171077797364</c:v>
                  </c:pt>
                  <c:pt idx="8">
                    <c:v>6.1826282472687248</c:v>
                  </c:pt>
                  <c:pt idx="9">
                    <c:v>10.455557634110161</c:v>
                  </c:pt>
                  <c:pt idx="10">
                    <c:v>0.41845672665661171</c:v>
                  </c:pt>
                  <c:pt idx="11">
                    <c:v>3.8301979641178878</c:v>
                  </c:pt>
                  <c:pt idx="12">
                    <c:v>3.4254557798169745</c:v>
                  </c:pt>
                  <c:pt idx="13">
                    <c:v>7.5133629483793918</c:v>
                  </c:pt>
                  <c:pt idx="14">
                    <c:v>6.8715806328807147</c:v>
                  </c:pt>
                  <c:pt idx="15">
                    <c:v>5.043741870662986</c:v>
                  </c:pt>
                </c:numCache>
              </c:numRef>
            </c:plus>
            <c:minus>
              <c:numRef>
                <c:f>'C-phycocyanin'!$Z$5:$Z$22</c:f>
                <c:numCache>
                  <c:formatCode>General</c:formatCode>
                  <c:ptCount val="18"/>
                  <c:pt idx="0">
                    <c:v>5.635085063823154</c:v>
                  </c:pt>
                  <c:pt idx="1">
                    <c:v>2.5449630585579315</c:v>
                  </c:pt>
                  <c:pt idx="2">
                    <c:v>10.71305579231162</c:v>
                  </c:pt>
                  <c:pt idx="3">
                    <c:v>6.897939886503103</c:v>
                  </c:pt>
                  <c:pt idx="4">
                    <c:v>5.7075066589869916</c:v>
                  </c:pt>
                  <c:pt idx="5">
                    <c:v>11.399632127536142</c:v>
                  </c:pt>
                  <c:pt idx="6">
                    <c:v>6.5025599218284835</c:v>
                  </c:pt>
                  <c:pt idx="7">
                    <c:v>2.7395171077797364</c:v>
                  </c:pt>
                  <c:pt idx="8">
                    <c:v>6.1826282472687248</c:v>
                  </c:pt>
                  <c:pt idx="9">
                    <c:v>10.455557634110161</c:v>
                  </c:pt>
                  <c:pt idx="10">
                    <c:v>0.41845672665661171</c:v>
                  </c:pt>
                  <c:pt idx="11">
                    <c:v>3.8301979641178878</c:v>
                  </c:pt>
                  <c:pt idx="12">
                    <c:v>3.4254557798169745</c:v>
                  </c:pt>
                  <c:pt idx="13">
                    <c:v>7.5133629483793918</c:v>
                  </c:pt>
                  <c:pt idx="14">
                    <c:v>6.8715806328807147</c:v>
                  </c:pt>
                  <c:pt idx="15">
                    <c:v>5.043741870662986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'C-phycocyanin'!$X$5:$X$22</c:f>
              <c:numCache>
                <c:formatCode>0</c:formatCode>
                <c:ptCount val="18"/>
                <c:pt idx="0">
                  <c:v>19.899999999999999</c:v>
                </c:pt>
                <c:pt idx="1">
                  <c:v>45.3</c:v>
                </c:pt>
                <c:pt idx="2">
                  <c:v>69.8</c:v>
                </c:pt>
                <c:pt idx="3">
                  <c:v>92.86666666666666</c:v>
                </c:pt>
                <c:pt idx="4">
                  <c:v>117.14999999999999</c:v>
                </c:pt>
                <c:pt idx="5">
                  <c:v>164.66666666666666</c:v>
                </c:pt>
                <c:pt idx="6">
                  <c:v>188.68333333333334</c:v>
                </c:pt>
                <c:pt idx="7">
                  <c:v>212.98333333333335</c:v>
                </c:pt>
                <c:pt idx="8">
                  <c:v>236.98333333333335</c:v>
                </c:pt>
                <c:pt idx="9">
                  <c:v>260.95000000000005</c:v>
                </c:pt>
                <c:pt idx="10">
                  <c:v>284.95000000000005</c:v>
                </c:pt>
                <c:pt idx="11">
                  <c:v>308.95000000000005</c:v>
                </c:pt>
                <c:pt idx="12">
                  <c:v>332.95000000000005</c:v>
                </c:pt>
                <c:pt idx="13">
                  <c:v>356.50000000000006</c:v>
                </c:pt>
                <c:pt idx="14">
                  <c:v>381.43333333333339</c:v>
                </c:pt>
                <c:pt idx="15">
                  <c:v>405.43333333333339</c:v>
                </c:pt>
              </c:numCache>
            </c:numRef>
          </c:xVal>
          <c:yVal>
            <c:numRef>
              <c:f>'C-phycocyanin'!$Y$5:$Y$22</c:f>
              <c:numCache>
                <c:formatCode>0.00</c:formatCode>
                <c:ptCount val="18"/>
                <c:pt idx="0">
                  <c:v>46.604506158297852</c:v>
                </c:pt>
                <c:pt idx="1">
                  <c:v>35.074532074288435</c:v>
                </c:pt>
                <c:pt idx="2">
                  <c:v>55.150346505609157</c:v>
                </c:pt>
                <c:pt idx="3">
                  <c:v>68.285753551897059</c:v>
                </c:pt>
                <c:pt idx="4">
                  <c:v>82.280457853534145</c:v>
                </c:pt>
                <c:pt idx="5">
                  <c:v>74.412672827625954</c:v>
                </c:pt>
                <c:pt idx="6">
                  <c:v>69.886238881240843</c:v>
                </c:pt>
                <c:pt idx="7">
                  <c:v>69.913381341989577</c:v>
                </c:pt>
                <c:pt idx="8">
                  <c:v>76.9875258</c:v>
                </c:pt>
                <c:pt idx="9">
                  <c:v>81.169239543444391</c:v>
                </c:pt>
                <c:pt idx="10">
                  <c:v>68.865333500000006</c:v>
                </c:pt>
                <c:pt idx="11">
                  <c:v>71.867553240000007</c:v>
                </c:pt>
                <c:pt idx="12">
                  <c:v>77.866753299999999</c:v>
                </c:pt>
                <c:pt idx="13">
                  <c:v>76.839336109853903</c:v>
                </c:pt>
                <c:pt idx="14">
                  <c:v>72.989915068337098</c:v>
                </c:pt>
                <c:pt idx="15">
                  <c:v>73.765764300000001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FC-514B-87D7-CE604AF34A50}"/>
            </c:ext>
          </c:extLst>
        </c:ser>
        <c:ser>
          <c:idx val="1"/>
          <c:order val="1"/>
          <c:tx>
            <c:strRef>
              <c:f>'C-phycocyanin'!$B$53:$V$53</c:f>
              <c:strCache>
                <c:ptCount val="1"/>
                <c:pt idx="0">
                  <c:v>Switch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'C-phycocyanin'!$Z$55:$Z$71</c:f>
                <c:numCache>
                  <c:formatCode>General</c:formatCode>
                  <c:ptCount val="17"/>
                  <c:pt idx="0">
                    <c:v>2.5449630585579315</c:v>
                  </c:pt>
                  <c:pt idx="1">
                    <c:v>5.4493221484426515</c:v>
                  </c:pt>
                  <c:pt idx="2">
                    <c:v>3.4785875800000001</c:v>
                  </c:pt>
                  <c:pt idx="3">
                    <c:v>6.2174536751561753</c:v>
                  </c:pt>
                  <c:pt idx="4">
                    <c:v>6.5025599218284835</c:v>
                  </c:pt>
                  <c:pt idx="5">
                    <c:v>2.7395171077797364</c:v>
                  </c:pt>
                  <c:pt idx="6">
                    <c:v>2.7858653840000001</c:v>
                  </c:pt>
                  <c:pt idx="7">
                    <c:v>8.4785785231999995</c:v>
                  </c:pt>
                  <c:pt idx="8">
                    <c:v>4.32658334</c:v>
                  </c:pt>
                  <c:pt idx="9">
                    <c:v>2.7858653840000001</c:v>
                  </c:pt>
                </c:numCache>
              </c:numRef>
            </c:plus>
            <c:minus>
              <c:numRef>
                <c:f>'C-phycocyanin'!$Z$55:$Z$71</c:f>
                <c:numCache>
                  <c:formatCode>General</c:formatCode>
                  <c:ptCount val="17"/>
                  <c:pt idx="0">
                    <c:v>2.5449630585579315</c:v>
                  </c:pt>
                  <c:pt idx="1">
                    <c:v>5.4493221484426515</c:v>
                  </c:pt>
                  <c:pt idx="2">
                    <c:v>3.4785875800000001</c:v>
                  </c:pt>
                  <c:pt idx="3">
                    <c:v>6.2174536751561753</c:v>
                  </c:pt>
                  <c:pt idx="4">
                    <c:v>6.5025599218284835</c:v>
                  </c:pt>
                  <c:pt idx="5">
                    <c:v>2.7395171077797364</c:v>
                  </c:pt>
                  <c:pt idx="6">
                    <c:v>2.7858653840000001</c:v>
                  </c:pt>
                  <c:pt idx="7">
                    <c:v>8.4785785231999995</c:v>
                  </c:pt>
                  <c:pt idx="8">
                    <c:v>4.32658334</c:v>
                  </c:pt>
                  <c:pt idx="9">
                    <c:v>2.7858653840000001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'C-phycocyanin'!$X$55:$X$71</c:f>
              <c:numCache>
                <c:formatCode>0</c:formatCode>
                <c:ptCount val="17"/>
                <c:pt idx="0">
                  <c:v>22.85</c:v>
                </c:pt>
                <c:pt idx="1">
                  <c:v>70</c:v>
                </c:pt>
                <c:pt idx="2">
                  <c:v>119.95</c:v>
                </c:pt>
                <c:pt idx="3">
                  <c:v>191.45</c:v>
                </c:pt>
                <c:pt idx="4">
                  <c:v>239.45</c:v>
                </c:pt>
                <c:pt idx="5">
                  <c:v>311.25</c:v>
                </c:pt>
                <c:pt idx="6">
                  <c:v>335</c:v>
                </c:pt>
                <c:pt idx="7">
                  <c:v>383</c:v>
                </c:pt>
                <c:pt idx="8">
                  <c:v>402.16666666666669</c:v>
                </c:pt>
                <c:pt idx="9">
                  <c:v>455.75</c:v>
                </c:pt>
              </c:numCache>
            </c:numRef>
          </c:xVal>
          <c:yVal>
            <c:numRef>
              <c:f>'C-phycocyanin'!$Y$55:$Y$71</c:f>
              <c:numCache>
                <c:formatCode>0.00</c:formatCode>
                <c:ptCount val="17"/>
                <c:pt idx="0">
                  <c:v>55.409200880369511</c:v>
                </c:pt>
                <c:pt idx="1">
                  <c:v>56.106376885776641</c:v>
                </c:pt>
                <c:pt idx="2">
                  <c:v>72.522875007573774</c:v>
                </c:pt>
                <c:pt idx="3">
                  <c:v>68.976368674873797</c:v>
                </c:pt>
                <c:pt idx="4">
                  <c:v>78.535564817709002</c:v>
                </c:pt>
                <c:pt idx="5">
                  <c:v>74.978918269246705</c:v>
                </c:pt>
                <c:pt idx="6">
                  <c:v>73.701682299668605</c:v>
                </c:pt>
                <c:pt idx="7">
                  <c:v>74.109212400184816</c:v>
                </c:pt>
                <c:pt idx="8">
                  <c:v>72.789917094669903</c:v>
                </c:pt>
                <c:pt idx="9">
                  <c:v>73.789917094669903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FC-514B-87D7-CE604AF34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529088"/>
        <c:axId val="678536160"/>
      </c:scatterChart>
      <c:valAx>
        <c:axId val="67852908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</a:t>
                </a:r>
                <a:r>
                  <a:rPr lang="en-ZA" baseline="0"/>
                  <a:t> (h)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36160"/>
        <c:crosses val="autoZero"/>
        <c:crossBetween val="midCat"/>
      </c:valAx>
      <c:valAx>
        <c:axId val="678536160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Specific</a:t>
                </a:r>
                <a:r>
                  <a:rPr lang="en-ZA" baseline="0"/>
                  <a:t> c-phycocyanin concentration</a:t>
                </a:r>
                <a:r>
                  <a:rPr lang="en-ZA"/>
                  <a:t> (mg PC.(g biomass)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1.9087719720131947E-2"/>
              <c:y val="7.19836677758397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29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'C-phycocyanin'!$B$2:$V$2</c:f>
              <c:strCache>
                <c:ptCount val="1"/>
                <c:pt idx="0">
                  <c:v>Red light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'C-phycocyanin'!$AB$5:$AB$21</c:f>
                <c:numCache>
                  <c:formatCode>General</c:formatCode>
                  <c:ptCount val="17"/>
                  <c:pt idx="0">
                    <c:v>1.6104016214440815</c:v>
                  </c:pt>
                  <c:pt idx="1">
                    <c:v>3.5030007370944651</c:v>
                  </c:pt>
                  <c:pt idx="2">
                    <c:v>6.3649499257173154</c:v>
                  </c:pt>
                  <c:pt idx="3">
                    <c:v>4.631767258283535</c:v>
                  </c:pt>
                  <c:pt idx="4">
                    <c:v>5.2963085128280927</c:v>
                  </c:pt>
                  <c:pt idx="5">
                    <c:v>4.5487771299491877</c:v>
                  </c:pt>
                  <c:pt idx="6">
                    <c:v>8.0566681027764915</c:v>
                  </c:pt>
                  <c:pt idx="7">
                    <c:v>21.003468993996368</c:v>
                  </c:pt>
                  <c:pt idx="8">
                    <c:v>13.064161022825482</c:v>
                  </c:pt>
                  <c:pt idx="9">
                    <c:v>10.70257702908</c:v>
                  </c:pt>
                  <c:pt idx="10">
                    <c:v>7.3759966433422894</c:v>
                  </c:pt>
                  <c:pt idx="11">
                    <c:v>13.064161022825482</c:v>
                  </c:pt>
                  <c:pt idx="12">
                    <c:v>13.064161022825482</c:v>
                  </c:pt>
                  <c:pt idx="13">
                    <c:v>6.6001243069319733</c:v>
                  </c:pt>
                  <c:pt idx="14">
                    <c:v>5.0584411354882457</c:v>
                  </c:pt>
                  <c:pt idx="15">
                    <c:v>21.773601704709211</c:v>
                  </c:pt>
                </c:numCache>
              </c:numRef>
            </c:plus>
            <c:minus>
              <c:numRef>
                <c:f>'C-phycocyanin'!$AB$5:$AB$21</c:f>
                <c:numCache>
                  <c:formatCode>General</c:formatCode>
                  <c:ptCount val="17"/>
                  <c:pt idx="0">
                    <c:v>1.6104016214440815</c:v>
                  </c:pt>
                  <c:pt idx="1">
                    <c:v>3.5030007370944651</c:v>
                  </c:pt>
                  <c:pt idx="2">
                    <c:v>6.3649499257173154</c:v>
                  </c:pt>
                  <c:pt idx="3">
                    <c:v>4.631767258283535</c:v>
                  </c:pt>
                  <c:pt idx="4">
                    <c:v>5.2963085128280927</c:v>
                  </c:pt>
                  <c:pt idx="5">
                    <c:v>4.5487771299491877</c:v>
                  </c:pt>
                  <c:pt idx="6">
                    <c:v>8.0566681027764915</c:v>
                  </c:pt>
                  <c:pt idx="7">
                    <c:v>21.003468993996368</c:v>
                  </c:pt>
                  <c:pt idx="8">
                    <c:v>13.064161022825482</c:v>
                  </c:pt>
                  <c:pt idx="9">
                    <c:v>10.70257702908</c:v>
                  </c:pt>
                  <c:pt idx="10">
                    <c:v>7.3759966433422894</c:v>
                  </c:pt>
                  <c:pt idx="11">
                    <c:v>13.064161022825482</c:v>
                  </c:pt>
                  <c:pt idx="12">
                    <c:v>13.064161022825482</c:v>
                  </c:pt>
                  <c:pt idx="13">
                    <c:v>6.6001243069319733</c:v>
                  </c:pt>
                  <c:pt idx="14">
                    <c:v>5.0584411354882457</c:v>
                  </c:pt>
                  <c:pt idx="15">
                    <c:v>21.773601704709211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'C-phycocyanin'!$X$5:$X$21</c:f>
              <c:numCache>
                <c:formatCode>0</c:formatCode>
                <c:ptCount val="17"/>
                <c:pt idx="0">
                  <c:v>19.899999999999999</c:v>
                </c:pt>
                <c:pt idx="1">
                  <c:v>45.3</c:v>
                </c:pt>
                <c:pt idx="2">
                  <c:v>69.8</c:v>
                </c:pt>
                <c:pt idx="3">
                  <c:v>92.86666666666666</c:v>
                </c:pt>
                <c:pt idx="4">
                  <c:v>117.14999999999999</c:v>
                </c:pt>
                <c:pt idx="5">
                  <c:v>164.66666666666666</c:v>
                </c:pt>
                <c:pt idx="6">
                  <c:v>188.68333333333334</c:v>
                </c:pt>
                <c:pt idx="7">
                  <c:v>212.98333333333335</c:v>
                </c:pt>
                <c:pt idx="8">
                  <c:v>236.98333333333335</c:v>
                </c:pt>
                <c:pt idx="9">
                  <c:v>260.95000000000005</c:v>
                </c:pt>
                <c:pt idx="10">
                  <c:v>284.95000000000005</c:v>
                </c:pt>
                <c:pt idx="11">
                  <c:v>308.95000000000005</c:v>
                </c:pt>
                <c:pt idx="12">
                  <c:v>332.95000000000005</c:v>
                </c:pt>
                <c:pt idx="13">
                  <c:v>356.50000000000006</c:v>
                </c:pt>
                <c:pt idx="14">
                  <c:v>381.43333333333339</c:v>
                </c:pt>
                <c:pt idx="15">
                  <c:v>405.43333333333339</c:v>
                </c:pt>
              </c:numCache>
            </c:numRef>
          </c:xVal>
          <c:yVal>
            <c:numRef>
              <c:f>'C-phycocyanin'!$AA$5:$AA$21</c:f>
              <c:numCache>
                <c:formatCode>0.00</c:formatCode>
                <c:ptCount val="17"/>
                <c:pt idx="0">
                  <c:v>14.212317666126419</c:v>
                </c:pt>
                <c:pt idx="1">
                  <c:v>16.794705564559699</c:v>
                </c:pt>
                <c:pt idx="2">
                  <c:v>28.358725013506213</c:v>
                </c:pt>
                <c:pt idx="3">
                  <c:v>49.801773419773106</c:v>
                </c:pt>
                <c:pt idx="4">
                  <c:v>75.15410718530525</c:v>
                </c:pt>
                <c:pt idx="5">
                  <c:v>88.516940032414922</c:v>
                </c:pt>
                <c:pt idx="6">
                  <c:v>91.960598163155055</c:v>
                </c:pt>
                <c:pt idx="7">
                  <c:v>110.83522420313345</c:v>
                </c:pt>
                <c:pt idx="8">
                  <c:v>135.45326</c:v>
                </c:pt>
                <c:pt idx="9">
                  <c:v>158.8653156</c:v>
                </c:pt>
                <c:pt idx="10">
                  <c:v>173.6757633</c:v>
                </c:pt>
                <c:pt idx="11">
                  <c:v>199.4489465153971</c:v>
                </c:pt>
                <c:pt idx="12">
                  <c:v>211.67553559999999</c:v>
                </c:pt>
                <c:pt idx="13">
                  <c:v>252.8765453</c:v>
                </c:pt>
                <c:pt idx="14">
                  <c:v>261.75632669999999</c:v>
                </c:pt>
                <c:pt idx="15">
                  <c:v>256.97664350000002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14-D94C-B307-EBFFABF370DB}"/>
            </c:ext>
          </c:extLst>
        </c:ser>
        <c:ser>
          <c:idx val="1"/>
          <c:order val="1"/>
          <c:tx>
            <c:strRef>
              <c:f>'C-phycocyanin'!$B$53:$V$53</c:f>
              <c:strCache>
                <c:ptCount val="1"/>
                <c:pt idx="0">
                  <c:v>Switch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'C-phycocyanin'!$AB$55:$AB$71</c:f>
                <c:numCache>
                  <c:formatCode>General</c:formatCode>
                  <c:ptCount val="17"/>
                  <c:pt idx="0">
                    <c:v>1.6104016214440815</c:v>
                  </c:pt>
                  <c:pt idx="1">
                    <c:v>6.3649499257173154</c:v>
                  </c:pt>
                  <c:pt idx="2">
                    <c:v>4.631767258283535</c:v>
                  </c:pt>
                  <c:pt idx="3">
                    <c:v>5.2963085128280927</c:v>
                  </c:pt>
                  <c:pt idx="4">
                    <c:v>4.5487771299491877</c:v>
                  </c:pt>
                  <c:pt idx="5">
                    <c:v>8.0566681027764915</c:v>
                  </c:pt>
                  <c:pt idx="6">
                    <c:v>11.0034689939964</c:v>
                  </c:pt>
                  <c:pt idx="7">
                    <c:v>8.6508681331228932</c:v>
                  </c:pt>
                  <c:pt idx="8">
                    <c:v>5.4278579234000004</c:v>
                  </c:pt>
                  <c:pt idx="9">
                    <c:v>7.020905021087338</c:v>
                  </c:pt>
                </c:numCache>
              </c:numRef>
            </c:plus>
            <c:minus>
              <c:numRef>
                <c:f>'C-phycocyanin'!$AB$55:$AB$71</c:f>
                <c:numCache>
                  <c:formatCode>General</c:formatCode>
                  <c:ptCount val="17"/>
                  <c:pt idx="0">
                    <c:v>1.6104016214440815</c:v>
                  </c:pt>
                  <c:pt idx="1">
                    <c:v>6.3649499257173154</c:v>
                  </c:pt>
                  <c:pt idx="2">
                    <c:v>4.631767258283535</c:v>
                  </c:pt>
                  <c:pt idx="3">
                    <c:v>5.2963085128280927</c:v>
                  </c:pt>
                  <c:pt idx="4">
                    <c:v>4.5487771299491877</c:v>
                  </c:pt>
                  <c:pt idx="5">
                    <c:v>8.0566681027764915</c:v>
                  </c:pt>
                  <c:pt idx="6">
                    <c:v>11.0034689939964</c:v>
                  </c:pt>
                  <c:pt idx="7">
                    <c:v>8.6508681331228932</c:v>
                  </c:pt>
                  <c:pt idx="8">
                    <c:v>5.4278579234000004</c:v>
                  </c:pt>
                  <c:pt idx="9">
                    <c:v>7.020905021087338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'C-phycocyanin'!$X$55:$X$71</c:f>
              <c:numCache>
                <c:formatCode>0</c:formatCode>
                <c:ptCount val="17"/>
                <c:pt idx="0">
                  <c:v>22.85</c:v>
                </c:pt>
                <c:pt idx="1">
                  <c:v>70</c:v>
                </c:pt>
                <c:pt idx="2">
                  <c:v>119.95</c:v>
                </c:pt>
                <c:pt idx="3">
                  <c:v>191.45</c:v>
                </c:pt>
                <c:pt idx="4">
                  <c:v>239.45</c:v>
                </c:pt>
                <c:pt idx="5">
                  <c:v>311.25</c:v>
                </c:pt>
                <c:pt idx="6">
                  <c:v>335</c:v>
                </c:pt>
                <c:pt idx="7">
                  <c:v>383</c:v>
                </c:pt>
                <c:pt idx="8">
                  <c:v>402.16666666666669</c:v>
                </c:pt>
                <c:pt idx="9">
                  <c:v>455.75</c:v>
                </c:pt>
              </c:numCache>
            </c:numRef>
          </c:xVal>
          <c:yVal>
            <c:numRef>
              <c:f>'C-phycocyanin'!$AA$55:$AA$71</c:f>
              <c:numCache>
                <c:formatCode>0.00</c:formatCode>
                <c:ptCount val="17"/>
                <c:pt idx="0">
                  <c:v>13.155591572123178</c:v>
                </c:pt>
                <c:pt idx="1">
                  <c:v>31.094003241491087</c:v>
                </c:pt>
                <c:pt idx="2">
                  <c:v>61.11027228525122</c:v>
                </c:pt>
                <c:pt idx="3">
                  <c:v>95.287646353322529</c:v>
                </c:pt>
                <c:pt idx="4">
                  <c:v>131.20417439222044</c:v>
                </c:pt>
                <c:pt idx="5">
                  <c:v>192.75976099405699</c:v>
                </c:pt>
                <c:pt idx="6">
                  <c:v>200.67098865478101</c:v>
                </c:pt>
                <c:pt idx="7">
                  <c:v>228.46191247974099</c:v>
                </c:pt>
                <c:pt idx="8">
                  <c:v>234.49270664505701</c:v>
                </c:pt>
                <c:pt idx="9">
                  <c:v>233.2071100958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14-D94C-B307-EBFFABF37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5726320"/>
        <c:axId val="1251986208"/>
      </c:scatterChart>
      <c:valAx>
        <c:axId val="1485726320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1986208"/>
        <c:crosses val="autoZero"/>
        <c:crossBetween val="midCat"/>
        <c:majorUnit val="50"/>
      </c:valAx>
      <c:valAx>
        <c:axId val="1251986208"/>
        <c:scaling>
          <c:orientation val="minMax"/>
          <c:max val="3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Total</a:t>
                </a:r>
                <a:r>
                  <a:rPr lang="en-GB" baseline="0"/>
                  <a:t> c-phycocyanin (mg CPC.L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2972972972972972E-2"/>
              <c:y val="0.15677616055568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85726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'Nitrate content'!$B$2:$O$2</c:f>
              <c:strCache>
                <c:ptCount val="1"/>
                <c:pt idx="0">
                  <c:v>Red light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FFFDC6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content'!$S$4:$S$13</c:f>
                <c:numCache>
                  <c:formatCode>General</c:formatCode>
                  <c:ptCount val="10"/>
                  <c:pt idx="0">
                    <c:v>1.5295317627711318E-2</c:v>
                  </c:pt>
                  <c:pt idx="1">
                    <c:v>2.4704748160087803E-2</c:v>
                  </c:pt>
                  <c:pt idx="2">
                    <c:v>4.2974282860318222E-2</c:v>
                  </c:pt>
                  <c:pt idx="3">
                    <c:v>2.3229835016291448E-2</c:v>
                  </c:pt>
                  <c:pt idx="4">
                    <c:v>6.593253206349213E-2</c:v>
                  </c:pt>
                  <c:pt idx="5">
                    <c:v>9.0850694632078465E-3</c:v>
                  </c:pt>
                  <c:pt idx="6">
                    <c:v>0.13793676114635364</c:v>
                  </c:pt>
                  <c:pt idx="7">
                    <c:v>6.3614185427673511E-2</c:v>
                  </c:pt>
                  <c:pt idx="8">
                    <c:v>1.9207748024929912E-2</c:v>
                  </c:pt>
                </c:numCache>
              </c:numRef>
            </c:plus>
            <c:minus>
              <c:numRef>
                <c:f>'Nitrate content'!$S$4:$S$13</c:f>
                <c:numCache>
                  <c:formatCode>General</c:formatCode>
                  <c:ptCount val="10"/>
                  <c:pt idx="0">
                    <c:v>1.5295317627711318E-2</c:v>
                  </c:pt>
                  <c:pt idx="1">
                    <c:v>2.4704748160087803E-2</c:v>
                  </c:pt>
                  <c:pt idx="2">
                    <c:v>4.2974282860318222E-2</c:v>
                  </c:pt>
                  <c:pt idx="3">
                    <c:v>2.3229835016291448E-2</c:v>
                  </c:pt>
                  <c:pt idx="4">
                    <c:v>6.593253206349213E-2</c:v>
                  </c:pt>
                  <c:pt idx="5">
                    <c:v>9.0850694632078465E-3</c:v>
                  </c:pt>
                  <c:pt idx="6">
                    <c:v>0.13793676114635364</c:v>
                  </c:pt>
                  <c:pt idx="7">
                    <c:v>6.3614185427673511E-2</c:v>
                  </c:pt>
                  <c:pt idx="8">
                    <c:v>1.9207748024929912E-2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content'!$Q$4:$Q$13</c:f>
              <c:numCache>
                <c:formatCode>0</c:formatCode>
                <c:ptCount val="10"/>
                <c:pt idx="0">
                  <c:v>0</c:v>
                </c:pt>
                <c:pt idx="1">
                  <c:v>50.4</c:v>
                </c:pt>
                <c:pt idx="2">
                  <c:v>97.25</c:v>
                </c:pt>
                <c:pt idx="3">
                  <c:v>165</c:v>
                </c:pt>
                <c:pt idx="4">
                  <c:v>213.31666666666666</c:v>
                </c:pt>
                <c:pt idx="5">
                  <c:v>261.2833333333333</c:v>
                </c:pt>
                <c:pt idx="6">
                  <c:v>309.2833333333333</c:v>
                </c:pt>
                <c:pt idx="7">
                  <c:v>356.83333333333331</c:v>
                </c:pt>
                <c:pt idx="8">
                  <c:v>405.43333333333339</c:v>
                </c:pt>
              </c:numCache>
            </c:numRef>
          </c:xVal>
          <c:yVal>
            <c:numRef>
              <c:f>'Nitrate content'!$R$4:$R$13</c:f>
              <c:numCache>
                <c:formatCode>0.000</c:formatCode>
                <c:ptCount val="10"/>
                <c:pt idx="0">
                  <c:v>1.6071420933333334</c:v>
                </c:pt>
                <c:pt idx="1">
                  <c:v>1.4829154685714283</c:v>
                </c:pt>
                <c:pt idx="2">
                  <c:v>1.4337393123809523</c:v>
                </c:pt>
                <c:pt idx="3">
                  <c:v>1.3070796304761905</c:v>
                </c:pt>
                <c:pt idx="4">
                  <c:v>1.1687073022222221</c:v>
                </c:pt>
                <c:pt idx="5">
                  <c:v>0.99992545015873013</c:v>
                </c:pt>
                <c:pt idx="6">
                  <c:v>0.88206691428571427</c:v>
                </c:pt>
                <c:pt idx="7">
                  <c:v>0.79671697619047566</c:v>
                </c:pt>
                <c:pt idx="8">
                  <c:v>0.69446385999999993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5E-5F49-87AC-504554797486}"/>
            </c:ext>
          </c:extLst>
        </c:ser>
        <c:ser>
          <c:idx val="1"/>
          <c:order val="1"/>
          <c:tx>
            <c:strRef>
              <c:f>'Nitrate content'!$B$32:$O$32</c:f>
              <c:strCache>
                <c:ptCount val="1"/>
                <c:pt idx="0">
                  <c:v>Switch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content'!$S$34:$S$43</c:f>
                <c:numCache>
                  <c:formatCode>General</c:formatCode>
                  <c:ptCount val="10"/>
                  <c:pt idx="0">
                    <c:v>8.6716299999998192E-3</c:v>
                  </c:pt>
                  <c:pt idx="1">
                    <c:v>4.0029812857142903E-2</c:v>
                  </c:pt>
                  <c:pt idx="2">
                    <c:v>4.0697508571428398E-2</c:v>
                  </c:pt>
                  <c:pt idx="3">
                    <c:v>8.0123220000000051E-2</c:v>
                  </c:pt>
                  <c:pt idx="4">
                    <c:v>3.5780000714285554E-2</c:v>
                  </c:pt>
                  <c:pt idx="5">
                    <c:v>2.3452385714285979E-3</c:v>
                  </c:pt>
                  <c:pt idx="6">
                    <c:v>5.582996666666673E-3</c:v>
                  </c:pt>
                  <c:pt idx="7">
                    <c:v>9.5775149523808847E-2</c:v>
                  </c:pt>
                </c:numCache>
              </c:numRef>
            </c:plus>
            <c:minus>
              <c:numRef>
                <c:f>'Nitrate content'!$S$34:$S$43</c:f>
                <c:numCache>
                  <c:formatCode>General</c:formatCode>
                  <c:ptCount val="10"/>
                  <c:pt idx="0">
                    <c:v>8.6716299999998192E-3</c:v>
                  </c:pt>
                  <c:pt idx="1">
                    <c:v>4.0029812857142903E-2</c:v>
                  </c:pt>
                  <c:pt idx="2">
                    <c:v>4.0697508571428398E-2</c:v>
                  </c:pt>
                  <c:pt idx="3">
                    <c:v>8.0123220000000051E-2</c:v>
                  </c:pt>
                  <c:pt idx="4">
                    <c:v>3.5780000714285554E-2</c:v>
                  </c:pt>
                  <c:pt idx="5">
                    <c:v>2.3452385714285979E-3</c:v>
                  </c:pt>
                  <c:pt idx="6">
                    <c:v>5.582996666666673E-3</c:v>
                  </c:pt>
                  <c:pt idx="7">
                    <c:v>9.5775149523808847E-2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content'!$Q$34:$Q$43</c:f>
              <c:numCache>
                <c:formatCode>0</c:formatCode>
                <c:ptCount val="10"/>
                <c:pt idx="0">
                  <c:v>22.85</c:v>
                </c:pt>
                <c:pt idx="1">
                  <c:v>70</c:v>
                </c:pt>
                <c:pt idx="2">
                  <c:v>119.75000000000001</c:v>
                </c:pt>
                <c:pt idx="3">
                  <c:v>191.25</c:v>
                </c:pt>
                <c:pt idx="4">
                  <c:v>239.25</c:v>
                </c:pt>
                <c:pt idx="5">
                  <c:v>311.25</c:v>
                </c:pt>
                <c:pt idx="6">
                  <c:v>359.16666666666669</c:v>
                </c:pt>
                <c:pt idx="7">
                  <c:v>402.16666666666669</c:v>
                </c:pt>
              </c:numCache>
            </c:numRef>
          </c:xVal>
          <c:yVal>
            <c:numRef>
              <c:f>'Nitrate content'!$R$34:$R$43</c:f>
              <c:numCache>
                <c:formatCode>0.000</c:formatCode>
                <c:ptCount val="10"/>
                <c:pt idx="0">
                  <c:v>1.6215948099999999</c:v>
                </c:pt>
                <c:pt idx="1">
                  <c:v>1.5382068471428569</c:v>
                </c:pt>
                <c:pt idx="2">
                  <c:v>1.4752846857142856</c:v>
                </c:pt>
                <c:pt idx="3">
                  <c:v>1.2908740999999999</c:v>
                </c:pt>
                <c:pt idx="4">
                  <c:v>1.182601662142857</c:v>
                </c:pt>
                <c:pt idx="5">
                  <c:v>0.90995256571428573</c:v>
                </c:pt>
                <c:pt idx="6">
                  <c:v>0.85100820619047624</c:v>
                </c:pt>
                <c:pt idx="7">
                  <c:v>0.7815528980952382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85E-5F49-87AC-5045547974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63248"/>
        <c:axId val="1531741264"/>
      </c:scatterChart>
      <c:valAx>
        <c:axId val="151996324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7704046657315508"/>
              <c:y val="0.819347200404704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31741264"/>
        <c:crosses val="autoZero"/>
        <c:crossBetween val="midCat"/>
      </c:valAx>
      <c:valAx>
        <c:axId val="1531741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Nitrate</a:t>
                </a:r>
                <a:r>
                  <a:rPr lang="en-GB" baseline="0"/>
                  <a:t> concentration (g.L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19963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203827</xdr:colOff>
      <xdr:row>20</xdr:row>
      <xdr:rowOff>177548</xdr:rowOff>
    </xdr:from>
    <xdr:to>
      <xdr:col>0</xdr:col>
      <xdr:colOff>5219700</xdr:colOff>
      <xdr:row>35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A3028C-B749-714F-805D-75EC07A848BB}"/>
            </a:ext>
            <a:ext uri="{147F2762-F138-4A5C-976F-8EAC2B608ADB}">
              <a16:predDERef xmlns:a16="http://schemas.microsoft.com/office/drawing/2014/main" pred="{29EC78D6-A5B2-4B98-A606-CBBBEAC7F9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1</xdr:row>
      <xdr:rowOff>107950</xdr:rowOff>
    </xdr:from>
    <xdr:to>
      <xdr:col>0</xdr:col>
      <xdr:colOff>5143500</xdr:colOff>
      <xdr:row>17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05F4630-3632-A44B-B25B-F06587F113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143434</xdr:colOff>
      <xdr:row>1</xdr:row>
      <xdr:rowOff>145301</xdr:rowOff>
    </xdr:from>
    <xdr:to>
      <xdr:col>0</xdr:col>
      <xdr:colOff>6007100</xdr:colOff>
      <xdr:row>20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8B45F9-B522-1B4D-81FC-B8BAADDBA1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22</xdr:row>
      <xdr:rowOff>50800</xdr:rowOff>
    </xdr:from>
    <xdr:to>
      <xdr:col>0</xdr:col>
      <xdr:colOff>6007100</xdr:colOff>
      <xdr:row>45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793AB84-FDB6-484E-A8A7-638B5C87E6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224117</xdr:colOff>
      <xdr:row>2</xdr:row>
      <xdr:rowOff>256987</xdr:rowOff>
    </xdr:from>
    <xdr:to>
      <xdr:col>0</xdr:col>
      <xdr:colOff>5154705</xdr:colOff>
      <xdr:row>20</xdr:row>
      <xdr:rowOff>44825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DE4B81-5DD5-A84B-8437-2022E02DA1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d%20&amp;%20blue%20airlif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 Sheet"/>
      <sheetName val="Growth curves"/>
      <sheetName val="C-phycocyanin"/>
      <sheetName val="Nitrate content"/>
    </sheetNames>
    <sheetDataSet>
      <sheetData sheetId="0" refreshError="1"/>
      <sheetData sheetId="1">
        <row r="2">
          <cell r="B2" t="str">
            <v>Blue light</v>
          </cell>
        </row>
        <row r="5">
          <cell r="D5">
            <v>0</v>
          </cell>
          <cell r="L5">
            <v>0.13649626666666667</v>
          </cell>
          <cell r="M5">
            <v>4.0491937375784423E-3</v>
          </cell>
          <cell r="Q5">
            <v>-1.9923270583605592</v>
          </cell>
          <cell r="R5">
            <v>2.9386125734060412E-2</v>
          </cell>
        </row>
        <row r="6">
          <cell r="D6">
            <v>2.5833333333333335</v>
          </cell>
          <cell r="L6">
            <v>0.16034200000000001</v>
          </cell>
          <cell r="M6">
            <v>6.793037513022673E-3</v>
          </cell>
          <cell r="Q6">
            <v>-1.8321956309783796</v>
          </cell>
          <cell r="R6">
            <v>4.1552156990047343E-2</v>
          </cell>
        </row>
        <row r="7">
          <cell r="D7">
            <v>6.0333333333333332</v>
          </cell>
          <cell r="L7">
            <v>0.16321993333333334</v>
          </cell>
          <cell r="M7">
            <v>4.5781870434097012E-3</v>
          </cell>
          <cell r="Q7">
            <v>-1.813457548217263</v>
          </cell>
          <cell r="R7">
            <v>2.8423529059989489E-2</v>
          </cell>
        </row>
        <row r="8">
          <cell r="D8">
            <v>19.899999999999999</v>
          </cell>
          <cell r="L8">
            <v>0.21995633333333334</v>
          </cell>
          <cell r="M8">
            <v>1.323312963806287E-2</v>
          </cell>
          <cell r="Q8">
            <v>-1.5181047453237069</v>
          </cell>
          <cell r="R8">
            <v>6.2116280269539061E-2</v>
          </cell>
        </row>
        <row r="9">
          <cell r="D9">
            <v>23.366666666666667</v>
          </cell>
          <cell r="L9">
            <v>0.23023466666666667</v>
          </cell>
          <cell r="M9">
            <v>1.1794583436099423E-2</v>
          </cell>
          <cell r="Q9">
            <v>-1.4712675702651481</v>
          </cell>
          <cell r="R9">
            <v>5.1037665888017794E-2</v>
          </cell>
        </row>
        <row r="10">
          <cell r="D10">
            <v>45.3</v>
          </cell>
          <cell r="L10">
            <v>0.32356193333333333</v>
          </cell>
          <cell r="M10">
            <v>2.3144287151212473E-2</v>
          </cell>
          <cell r="Q10">
            <v>-1.1335143057321775</v>
          </cell>
          <cell r="R10">
            <v>7.1876260409945547E-2</v>
          </cell>
        </row>
        <row r="11">
          <cell r="D11">
            <v>69.8</v>
          </cell>
          <cell r="L11">
            <v>0.50446060000000004</v>
          </cell>
          <cell r="M11">
            <v>5.2926131521332125E-2</v>
          </cell>
          <cell r="Q11">
            <v>-0.69523880948367844</v>
          </cell>
          <cell r="R11">
            <v>0.10466872600144826</v>
          </cell>
        </row>
        <row r="12">
          <cell r="D12">
            <v>92.86666666666666</v>
          </cell>
          <cell r="L12">
            <v>0.67754773333333329</v>
          </cell>
          <cell r="M12">
            <v>2.4433913767366661E-2</v>
          </cell>
          <cell r="Q12">
            <v>-0.39056593584273552</v>
          </cell>
          <cell r="R12">
            <v>3.5857207631107814E-2</v>
          </cell>
        </row>
        <row r="13">
          <cell r="D13">
            <v>117.14999999999999</v>
          </cell>
          <cell r="L13">
            <v>0.78608693333333335</v>
          </cell>
          <cell r="M13">
            <v>7.4788984301730282E-2</v>
          </cell>
          <cell r="Q13">
            <v>-0.2499037544429672</v>
          </cell>
          <cell r="R13">
            <v>9.6430433814465644E-2</v>
          </cell>
        </row>
        <row r="14">
          <cell r="D14">
            <v>164.66666666666666</v>
          </cell>
          <cell r="L14">
            <v>1.0562015333333334</v>
          </cell>
          <cell r="M14">
            <v>5.8748924963819095E-2</v>
          </cell>
          <cell r="Q14">
            <v>5.1464889107177426E-2</v>
          </cell>
          <cell r="R14">
            <v>5.7223388991031458E-2</v>
          </cell>
        </row>
        <row r="15">
          <cell r="D15">
            <v>188.68333333333334</v>
          </cell>
          <cell r="L15">
            <v>1.1519956000000002</v>
          </cell>
          <cell r="M15">
            <v>6.7119326762217574E-2</v>
          </cell>
          <cell r="Q15">
            <v>0.13811286302099993</v>
          </cell>
          <cell r="R15">
            <v>5.8111615158332755E-2</v>
          </cell>
        </row>
        <row r="16">
          <cell r="D16">
            <v>212.98333333333335</v>
          </cell>
          <cell r="L16">
            <v>1.3411169333333335</v>
          </cell>
          <cell r="M16">
            <v>9.0852094787761781E-2</v>
          </cell>
          <cell r="Q16">
            <v>0.28874428762214083</v>
          </cell>
          <cell r="R16">
            <v>6.9597010999489395E-2</v>
          </cell>
        </row>
        <row r="17">
          <cell r="D17">
            <v>236.98333333333335</v>
          </cell>
          <cell r="L17">
            <v>1.4233435999999999</v>
          </cell>
          <cell r="M17">
            <v>2.6106157336536453E-2</v>
          </cell>
          <cell r="Q17">
            <v>0.35267439702974301</v>
          </cell>
          <cell r="R17">
            <v>1.8257255817174349E-2</v>
          </cell>
        </row>
        <row r="18">
          <cell r="D18">
            <v>260.95000000000005</v>
          </cell>
          <cell r="L18">
            <v>1.5532617333333334</v>
          </cell>
          <cell r="M18">
            <v>9.8284086935599368E-2</v>
          </cell>
          <cell r="Q18">
            <v>0.43615834806467846</v>
          </cell>
          <cell r="R18">
            <v>6.5549556850720905E-2</v>
          </cell>
        </row>
        <row r="19">
          <cell r="D19">
            <v>284.95000000000005</v>
          </cell>
          <cell r="L19">
            <v>1.6379552000000002</v>
          </cell>
          <cell r="M19">
            <v>7.925814708339661E-2</v>
          </cell>
          <cell r="Q19">
            <v>0.49102560715919913</v>
          </cell>
          <cell r="R19">
            <v>4.9638324777078593E-2</v>
          </cell>
        </row>
        <row r="20">
          <cell r="D20">
            <v>308.95000000000005</v>
          </cell>
          <cell r="L20">
            <v>1.7473166666666664</v>
          </cell>
          <cell r="M20">
            <v>2.9268535509959826E-2</v>
          </cell>
          <cell r="Q20">
            <v>0.55780363924922227</v>
          </cell>
          <cell r="R20">
            <v>1.6618261476508262E-2</v>
          </cell>
        </row>
        <row r="21">
          <cell r="D21">
            <v>332.95000000000005</v>
          </cell>
          <cell r="L21">
            <v>1.8328324</v>
          </cell>
          <cell r="M21">
            <v>8.3762299889150682E-2</v>
          </cell>
          <cell r="Q21">
            <v>0.60378689651332473</v>
          </cell>
          <cell r="R21">
            <v>4.5487756713272473E-2</v>
          </cell>
        </row>
        <row r="22">
          <cell r="D22">
            <v>356.50000000000006</v>
          </cell>
          <cell r="L22">
            <v>1.9356157333333333</v>
          </cell>
          <cell r="M22">
            <v>0.10666671900765384</v>
          </cell>
          <cell r="Q22">
            <v>0.65732431196545271</v>
          </cell>
          <cell r="R22">
            <v>5.5977568231984576E-2</v>
          </cell>
        </row>
        <row r="23">
          <cell r="D23">
            <v>381.43333333333339</v>
          </cell>
          <cell r="L23">
            <v>1.9454829333333332</v>
          </cell>
          <cell r="M23">
            <v>4.2280820872090133E-2</v>
          </cell>
          <cell r="Q23">
            <v>0.66503346116188233</v>
          </cell>
          <cell r="R23">
            <v>2.1886382336406121E-2</v>
          </cell>
        </row>
        <row r="24">
          <cell r="D24">
            <v>405.43333333333339</v>
          </cell>
          <cell r="L24">
            <v>1.9635728000000003</v>
          </cell>
        </row>
        <row r="25">
          <cell r="B25" t="str">
            <v>Red light</v>
          </cell>
        </row>
        <row r="28">
          <cell r="D28">
            <v>0</v>
          </cell>
          <cell r="L28">
            <v>0.14554120000000001</v>
          </cell>
          <cell r="Q28">
            <v>-1.927586717420686</v>
          </cell>
          <cell r="R28">
            <v>1.7097764795850196E-2</v>
          </cell>
        </row>
        <row r="29">
          <cell r="D29">
            <v>2.5833333333333335</v>
          </cell>
          <cell r="L29">
            <v>0.17062033333333337</v>
          </cell>
          <cell r="Q29">
            <v>-1.7767954493613889</v>
          </cell>
          <cell r="R29">
            <v>9.1829761587912825E-2</v>
          </cell>
          <cell r="T29">
            <v>1.3349487511420427E-2</v>
          </cell>
        </row>
        <row r="30">
          <cell r="D30">
            <v>6.0333333333333332</v>
          </cell>
          <cell r="L30">
            <v>0.18336546666666667</v>
          </cell>
          <cell r="Q30">
            <v>-1.6963697739173085</v>
          </cell>
          <cell r="R30">
            <v>9.790503380338024E-3</v>
          </cell>
          <cell r="T30">
            <v>6.7612081588346182E-2</v>
          </cell>
        </row>
        <row r="31">
          <cell r="D31">
            <v>19.899999999999999</v>
          </cell>
          <cell r="L31">
            <v>0.25695833333333334</v>
          </cell>
          <cell r="Q31">
            <v>-1.3616349636637863</v>
          </cell>
          <cell r="R31">
            <v>5.2540834483214324E-2</v>
          </cell>
          <cell r="T31">
            <v>1.8659414636497097E-2</v>
          </cell>
        </row>
        <row r="32">
          <cell r="D32">
            <v>23.366666666666667</v>
          </cell>
          <cell r="L32">
            <v>0.28614880000000004</v>
          </cell>
          <cell r="Q32">
            <v>-1.2520185661179652</v>
          </cell>
          <cell r="R32">
            <v>2.7908783317323552E-2</v>
          </cell>
          <cell r="T32">
            <v>6.5263712668788623E-2</v>
          </cell>
        </row>
        <row r="33">
          <cell r="D33">
            <v>45.3</v>
          </cell>
          <cell r="L33">
            <v>0.37700926666666668</v>
          </cell>
          <cell r="Q33">
            <v>-0.9980204963569469</v>
          </cell>
          <cell r="R33">
            <v>0.14700061412831744</v>
          </cell>
          <cell r="T33">
            <v>2.9189297309239184E-3</v>
          </cell>
        </row>
        <row r="34">
          <cell r="D34">
            <v>69.8</v>
          </cell>
          <cell r="L34">
            <v>0.51432779999999989</v>
          </cell>
          <cell r="Q34">
            <v>-0.66569213991806142</v>
          </cell>
          <cell r="R34">
            <v>2.8363620156107282E-2</v>
          </cell>
          <cell r="T34">
            <v>2.0372636081746904E-2</v>
          </cell>
        </row>
        <row r="35">
          <cell r="D35">
            <v>92.86666666666666</v>
          </cell>
          <cell r="L35">
            <v>0.74291793333333345</v>
          </cell>
          <cell r="Q35">
            <v>-0.29736592996507366</v>
          </cell>
          <cell r="R35">
            <v>1.3996196732025542E-2</v>
          </cell>
          <cell r="T35">
            <v>1.6231183028899171E-2</v>
          </cell>
        </row>
        <row r="36">
          <cell r="D36">
            <v>117.14999999999999</v>
          </cell>
          <cell r="L36">
            <v>0.93985079999999999</v>
          </cell>
          <cell r="Q36">
            <v>-6.6215608244769256E-2</v>
          </cell>
          <cell r="R36">
            <v>6.4105199908001523E-2</v>
          </cell>
          <cell r="T36">
            <v>1.3655705434593273E-2</v>
          </cell>
        </row>
        <row r="37">
          <cell r="D37">
            <v>164.66666666666666</v>
          </cell>
          <cell r="L37">
            <v>1.6017754666666668</v>
          </cell>
          <cell r="Q37">
            <v>0.47087578807709668</v>
          </cell>
          <cell r="R37">
            <v>1.5430605419111039E-2</v>
          </cell>
          <cell r="T37">
            <v>7.9967421175015721E-3</v>
          </cell>
        </row>
        <row r="38">
          <cell r="D38">
            <v>188.68333333333334</v>
          </cell>
          <cell r="L38">
            <v>1.8739457333333334</v>
          </cell>
          <cell r="Q38">
            <v>0.62673686413176644</v>
          </cell>
          <cell r="R38">
            <v>3.6354785183928054E-2</v>
          </cell>
          <cell r="T38">
            <v>4.834343334302737E-3</v>
          </cell>
        </row>
        <row r="39">
          <cell r="D39">
            <v>212.98333333333335</v>
          </cell>
          <cell r="L39">
            <v>2.0737565333333339</v>
          </cell>
          <cell r="Q39">
            <v>0.72808325152880071</v>
          </cell>
          <cell r="R39">
            <v>3.5723213524622911E-2</v>
          </cell>
          <cell r="T39">
            <v>4.6200535749416176E-3</v>
          </cell>
        </row>
        <row r="40">
          <cell r="D40">
            <v>236.98333333333335</v>
          </cell>
          <cell r="L40">
            <v>2.3171474666666669</v>
          </cell>
          <cell r="Q40">
            <v>0.83987227479761828</v>
          </cell>
          <cell r="R40">
            <v>2.1539643233385117E-2</v>
          </cell>
          <cell r="T40">
            <v>5.6558890948052261E-3</v>
          </cell>
        </row>
        <row r="41">
          <cell r="D41">
            <v>260.95000000000005</v>
          </cell>
          <cell r="L41">
            <v>2.6789448</v>
          </cell>
          <cell r="Q41">
            <v>0.95075977475742091</v>
          </cell>
          <cell r="R41">
            <v>0.1902733460016485</v>
          </cell>
          <cell r="T41">
            <v>-8.8981415333101912E-3</v>
          </cell>
        </row>
        <row r="42">
          <cell r="D42">
            <v>284.95000000000005</v>
          </cell>
          <cell r="L42">
            <v>2.996339733333333</v>
          </cell>
          <cell r="Q42">
            <v>1.0950522391587216</v>
          </cell>
          <cell r="R42">
            <v>4.8154712989009286E-2</v>
          </cell>
          <cell r="T42">
            <v>2.0176916081719943E-2</v>
          </cell>
        </row>
        <row r="43">
          <cell r="D43">
            <v>308.95000000000005</v>
          </cell>
          <cell r="L43">
            <v>3.3252464000000006</v>
          </cell>
          <cell r="Q43">
            <v>1.2014703917167726</v>
          </cell>
          <cell r="R43">
            <v>8.5667349434526644E-3</v>
          </cell>
          <cell r="T43">
            <v>5.8782749274960688E-3</v>
          </cell>
        </row>
        <row r="44">
          <cell r="D44">
            <v>332.95000000000005</v>
          </cell>
          <cell r="L44">
            <v>3.5669928</v>
          </cell>
          <cell r="Q44">
            <v>1.2716838284029388</v>
          </cell>
          <cell r="R44">
            <v>6.2561966766096202E-3</v>
          </cell>
          <cell r="T44">
            <v>2.5976304405889807E-3</v>
          </cell>
        </row>
        <row r="45">
          <cell r="D45">
            <v>356.50000000000006</v>
          </cell>
          <cell r="L45">
            <v>3.8695869333333337</v>
          </cell>
          <cell r="Q45">
            <v>1.3529044316846672</v>
          </cell>
          <cell r="R45">
            <v>1.5640366146608256E-2</v>
          </cell>
          <cell r="T45">
            <v>3.8451647810415716E-3</v>
          </cell>
        </row>
        <row r="46">
          <cell r="D46">
            <v>381.43333333333339</v>
          </cell>
          <cell r="L46">
            <v>4.1508021333333334</v>
          </cell>
          <cell r="Q46">
            <v>1.4228016816043667</v>
          </cell>
          <cell r="R46">
            <v>2.2444373356195646E-2</v>
          </cell>
          <cell r="T46">
            <v>3.0512450718183782E-3</v>
          </cell>
        </row>
        <row r="47">
          <cell r="D47">
            <v>405.43333333333339</v>
          </cell>
          <cell r="L47">
            <v>4.2001381333333336</v>
          </cell>
        </row>
        <row r="48">
          <cell r="D48">
            <v>429.43333333333339</v>
          </cell>
          <cell r="L48">
            <v>4.2165834666666662</v>
          </cell>
        </row>
        <row r="49">
          <cell r="B49" t="str">
            <v>White light</v>
          </cell>
        </row>
        <row r="52">
          <cell r="D52">
            <v>0</v>
          </cell>
          <cell r="L52">
            <v>0.13156266666666666</v>
          </cell>
          <cell r="M52">
            <v>1.7920886523210245E-3</v>
          </cell>
          <cell r="Q52">
            <v>-2.028458156796074</v>
          </cell>
          <cell r="R52">
            <v>1.3655746767906266E-2</v>
          </cell>
        </row>
        <row r="53">
          <cell r="D53">
            <v>23.416666666666668</v>
          </cell>
          <cell r="L53">
            <v>0.24421320000000002</v>
          </cell>
          <cell r="M53">
            <v>6.7930375130226817E-3</v>
          </cell>
          <cell r="Q53">
            <v>-1.410502498826685</v>
          </cell>
          <cell r="R53">
            <v>2.8220465530066817E-2</v>
          </cell>
        </row>
        <row r="54">
          <cell r="D54">
            <v>95</v>
          </cell>
          <cell r="L54">
            <v>0.78978713333333328</v>
          </cell>
          <cell r="M54">
            <v>0.10777105752178782</v>
          </cell>
          <cell r="Q54">
            <v>-0.25691226229830205</v>
          </cell>
          <cell r="R54">
            <v>0.14867513508095881</v>
          </cell>
        </row>
        <row r="55">
          <cell r="D55">
            <v>119.33333333333333</v>
          </cell>
          <cell r="L55">
            <v>0.90367106666666663</v>
          </cell>
          <cell r="M55">
            <v>1.870995482137194E-2</v>
          </cell>
          <cell r="Q55">
            <v>-0.10172357448090197</v>
          </cell>
          <cell r="R55">
            <v>2.0886691194713983E-2</v>
          </cell>
        </row>
        <row r="56">
          <cell r="D56">
            <v>143.08333333333331</v>
          </cell>
          <cell r="L56">
            <v>1.1359614</v>
          </cell>
          <cell r="M56">
            <v>2.6174053829189921E-2</v>
          </cell>
          <cell r="Q56">
            <v>0.12694223282752962</v>
          </cell>
          <cell r="R56">
            <v>2.3242486911701599E-2</v>
          </cell>
        </row>
        <row r="57">
          <cell r="D57">
            <v>167.91666666666666</v>
          </cell>
          <cell r="L57">
            <v>1.4196434</v>
          </cell>
          <cell r="M57">
            <v>2.2303746504119017E-2</v>
          </cell>
          <cell r="Q57">
            <v>0.35016127312550199</v>
          </cell>
          <cell r="R57">
            <v>1.5596316224192032E-2</v>
          </cell>
        </row>
        <row r="58">
          <cell r="D58">
            <v>191.41666666666666</v>
          </cell>
          <cell r="L58">
            <v>1.5972530000000003</v>
          </cell>
          <cell r="M58">
            <v>2.7881388257402096E-2</v>
          </cell>
          <cell r="Q58">
            <v>0.46797950091438506</v>
          </cell>
          <cell r="R58">
            <v>1.750182365029395E-2</v>
          </cell>
        </row>
        <row r="59">
          <cell r="D59">
            <v>215.08333333333331</v>
          </cell>
          <cell r="L59">
            <v>1.8575004000000002</v>
          </cell>
          <cell r="M59">
            <v>5.9867564000550461E-2</v>
          </cell>
          <cell r="Q59">
            <v>0.61819406815989486</v>
          </cell>
          <cell r="R59">
            <v>3.2203631567853219E-2</v>
          </cell>
        </row>
        <row r="60">
          <cell r="D60">
            <v>240.74999999999997</v>
          </cell>
          <cell r="L60">
            <v>2.1666726666666665</v>
          </cell>
          <cell r="M60">
            <v>7.6848947647562324E-2</v>
          </cell>
          <cell r="Q60">
            <v>0.77190650278832063</v>
          </cell>
          <cell r="R60">
            <v>3.6058924981049657E-2</v>
          </cell>
        </row>
        <row r="61">
          <cell r="D61">
            <v>263.75</v>
          </cell>
          <cell r="L61">
            <v>2.5144914666666671</v>
          </cell>
          <cell r="M61">
            <v>0.10151247500777652</v>
          </cell>
          <cell r="Q61">
            <v>0.92040188122393374</v>
          </cell>
          <cell r="R61">
            <v>4.1087615001719376E-2</v>
          </cell>
        </row>
        <row r="62">
          <cell r="D62">
            <v>287.76666666666665</v>
          </cell>
          <cell r="L62">
            <v>2.7636382666666663</v>
          </cell>
          <cell r="M62">
            <v>3.2173646098493491E-2</v>
          </cell>
          <cell r="Q62">
            <v>1.0164127451725333</v>
          </cell>
          <cell r="R62">
            <v>1.1625536739305161E-2</v>
          </cell>
        </row>
        <row r="63">
          <cell r="D63">
            <v>312.06666666666666</v>
          </cell>
          <cell r="L63">
            <v>2.9305584000000002</v>
          </cell>
          <cell r="M63">
            <v>1.9938907016517567E-2</v>
          </cell>
          <cell r="Q63">
            <v>1.0751464994080304</v>
          </cell>
          <cell r="R63">
            <v>6.8251536128446323E-3</v>
          </cell>
        </row>
        <row r="64">
          <cell r="D64">
            <v>336.06666666666666</v>
          </cell>
          <cell r="L64">
            <v>3.0423866666666668</v>
          </cell>
          <cell r="M64">
            <v>2.8673418437136392E-2</v>
          </cell>
          <cell r="Q64">
            <v>1.11255327058871</v>
          </cell>
          <cell r="R64">
            <v>9.4405946045695577E-3</v>
          </cell>
        </row>
        <row r="65">
          <cell r="D65">
            <v>360.0333333333333</v>
          </cell>
          <cell r="L65">
            <v>3.2726213333333334</v>
          </cell>
          <cell r="M65">
            <v>8.7020524455121446E-3</v>
          </cell>
          <cell r="Q65">
            <v>1.1855842173921072</v>
          </cell>
          <cell r="R65">
            <v>2.6609759056953385E-3</v>
          </cell>
        </row>
        <row r="66">
          <cell r="D66">
            <v>384.0333333333333</v>
          </cell>
          <cell r="L66">
            <v>3.3745824</v>
          </cell>
          <cell r="M66">
            <v>0.23189669437551991</v>
          </cell>
          <cell r="Q66">
            <v>1.2117347893341102</v>
          </cell>
          <cell r="R66">
            <v>6.6658862435867328E-2</v>
          </cell>
        </row>
        <row r="67">
          <cell r="D67">
            <v>408.0333333333333</v>
          </cell>
          <cell r="L67">
            <v>3.3910277333333334</v>
          </cell>
          <cell r="M67">
            <v>0.22670117175281157</v>
          </cell>
          <cell r="Q67">
            <v>1.2168113378843703</v>
          </cell>
          <cell r="R67">
            <v>6.5171880292726844E-2</v>
          </cell>
        </row>
        <row r="68">
          <cell r="D68">
            <v>432.0333333333333</v>
          </cell>
          <cell r="L68">
            <v>3.4074730666666668</v>
          </cell>
          <cell r="M68">
            <v>9.0134830187176121E-2</v>
          </cell>
          <cell r="Q68">
            <v>1.225263485964571</v>
          </cell>
          <cell r="R68">
            <v>2.6671873370060276E-2</v>
          </cell>
        </row>
      </sheetData>
      <sheetData sheetId="2">
        <row r="2">
          <cell r="B2" t="str">
            <v>Blue light</v>
          </cell>
        </row>
        <row r="5">
          <cell r="X5">
            <v>19.899999999999999</v>
          </cell>
          <cell r="Y5">
            <v>46.578320309636524</v>
          </cell>
          <cell r="Z5">
            <v>5.0625719402312965</v>
          </cell>
          <cell r="AA5">
            <v>10.336034575904918</v>
          </cell>
          <cell r="AB5">
            <v>1.5642272302121585</v>
          </cell>
        </row>
        <row r="6">
          <cell r="X6">
            <v>45.3</v>
          </cell>
          <cell r="Y6">
            <v>61.521963550612526</v>
          </cell>
          <cell r="Z6">
            <v>6.6288587836407382</v>
          </cell>
          <cell r="AA6">
            <v>19.605078336034577</v>
          </cell>
          <cell r="AB6">
            <v>0.90957828898181814</v>
          </cell>
        </row>
        <row r="7">
          <cell r="X7">
            <v>69.8</v>
          </cell>
          <cell r="Y7">
            <v>60.33388318597801</v>
          </cell>
          <cell r="Z7">
            <v>5.8326376948578611</v>
          </cell>
          <cell r="AA7">
            <v>29.834683954619123</v>
          </cell>
          <cell r="AB7">
            <v>0.95207500737596762</v>
          </cell>
        </row>
        <row r="8">
          <cell r="X8">
            <v>92.86666666666666</v>
          </cell>
          <cell r="Y8">
            <v>77.431012265738374</v>
          </cell>
          <cell r="Z8">
            <v>12.086099042707852</v>
          </cell>
          <cell r="AA8">
            <v>52.850290437601302</v>
          </cell>
          <cell r="AB8">
            <v>11.118540691127315</v>
          </cell>
        </row>
        <row r="9">
          <cell r="X9">
            <v>117.14999999999999</v>
          </cell>
          <cell r="Y9">
            <v>69.025035502555696</v>
          </cell>
          <cell r="Z9">
            <v>10.454630248938562</v>
          </cell>
          <cell r="AA9">
            <v>55.448359913560239</v>
          </cell>
          <cell r="AB9">
            <v>13.291460755204652</v>
          </cell>
        </row>
        <row r="10">
          <cell r="X10">
            <v>164.66666666666666</v>
          </cell>
          <cell r="Y10">
            <v>78.344766865412154</v>
          </cell>
          <cell r="Z10">
            <v>5.4493221484426515</v>
          </cell>
          <cell r="AA10">
            <v>83.106238789843331</v>
          </cell>
          <cell r="AB10">
            <v>9.2847403164857791</v>
          </cell>
        </row>
        <row r="11">
          <cell r="X11">
            <v>188.68333333333334</v>
          </cell>
          <cell r="Y11">
            <v>87.48587344742235</v>
          </cell>
          <cell r="Z11">
            <v>10.311087760969311</v>
          </cell>
          <cell r="AA11">
            <v>74.341368125337993</v>
          </cell>
          <cell r="AB11">
            <v>15.801160563928926</v>
          </cell>
        </row>
        <row r="12">
          <cell r="X12">
            <v>212.98333333333335</v>
          </cell>
          <cell r="Y12">
            <v>79.392540515184464</v>
          </cell>
          <cell r="Z12">
            <v>7.6686073629376779</v>
          </cell>
          <cell r="AA12">
            <v>96.182603997838996</v>
          </cell>
          <cell r="AB12">
            <v>12.027547340925175</v>
          </cell>
        </row>
        <row r="13">
          <cell r="X13">
            <v>236.98333333333335</v>
          </cell>
          <cell r="Y13">
            <v>80.356754100000003</v>
          </cell>
          <cell r="Z13">
            <v>4.8255827906571911</v>
          </cell>
          <cell r="AA13">
            <v>125.757642</v>
          </cell>
          <cell r="AB13">
            <v>6.0137736704625873</v>
          </cell>
        </row>
        <row r="14">
          <cell r="X14">
            <v>260.95000000000005</v>
          </cell>
          <cell r="Y14">
            <v>85.887627058512194</v>
          </cell>
          <cell r="Z14">
            <v>6.5482677971834953</v>
          </cell>
          <cell r="AA14">
            <v>131.83576445164778</v>
          </cell>
          <cell r="AB14">
            <v>4.65535072096558</v>
          </cell>
        </row>
        <row r="15">
          <cell r="X15">
            <v>284.95000000000005</v>
          </cell>
          <cell r="Y15">
            <v>79.645334000000005</v>
          </cell>
          <cell r="Z15">
            <v>11.282300055422791</v>
          </cell>
          <cell r="AA15">
            <v>154.876431</v>
          </cell>
          <cell r="AB15">
            <v>21.552555140594535</v>
          </cell>
        </row>
        <row r="16">
          <cell r="X16">
            <v>308.95000000000005</v>
          </cell>
          <cell r="Y16">
            <v>72.576432670000003</v>
          </cell>
          <cell r="Z16">
            <v>6.1185715843932265</v>
          </cell>
          <cell r="AA16">
            <v>164.863428</v>
          </cell>
          <cell r="AB16">
            <v>8.6508681331228914</v>
          </cell>
        </row>
        <row r="17">
          <cell r="X17">
            <v>332.95000000000005</v>
          </cell>
          <cell r="Y17">
            <v>79.756428999999997</v>
          </cell>
          <cell r="Z17">
            <v>24.357316317181493</v>
          </cell>
          <cell r="AA17">
            <v>169.89675643000001</v>
          </cell>
          <cell r="AB17">
            <v>43.105110281189049</v>
          </cell>
        </row>
        <row r="18">
          <cell r="X18">
            <v>356.50000000000006</v>
          </cell>
          <cell r="Y18">
            <v>88.467557284036204</v>
          </cell>
          <cell r="Z18">
            <v>3.323633322692273</v>
          </cell>
          <cell r="AA18">
            <v>173.71758508914101</v>
          </cell>
          <cell r="AB18">
            <v>2.800539860820995</v>
          </cell>
        </row>
        <row r="19">
          <cell r="X19">
            <v>381.43333333333339</v>
          </cell>
          <cell r="Y19">
            <v>81.385085122557328</v>
          </cell>
          <cell r="Z19">
            <v>3.6657546039235953</v>
          </cell>
          <cell r="AA19">
            <v>179.13128038897901</v>
          </cell>
          <cell r="AB19">
            <v>3.8321487131942211</v>
          </cell>
        </row>
        <row r="20">
          <cell r="X20">
            <v>405.43333333333339</v>
          </cell>
          <cell r="Y20">
            <v>82.647876800000006</v>
          </cell>
          <cell r="Z20">
            <v>2.2819952371073726</v>
          </cell>
          <cell r="AA20">
            <v>184.66971989255799</v>
          </cell>
          <cell r="AB20">
            <v>4.4808637773135889</v>
          </cell>
        </row>
        <row r="53">
          <cell r="B53" t="str">
            <v>Red light</v>
          </cell>
        </row>
        <row r="55">
          <cell r="X55">
            <v>19.899999999999999</v>
          </cell>
          <cell r="Y55">
            <v>46.604506158297852</v>
          </cell>
          <cell r="Z55">
            <v>5.635085063823154</v>
          </cell>
          <cell r="AA55">
            <v>14.212317666126419</v>
          </cell>
          <cell r="AB55">
            <v>1.6104016214440815</v>
          </cell>
        </row>
        <row r="56">
          <cell r="X56">
            <v>45.3</v>
          </cell>
          <cell r="Y56">
            <v>35.074532074288435</v>
          </cell>
          <cell r="Z56">
            <v>2.5449630585579315</v>
          </cell>
          <cell r="AA56">
            <v>16.794705564559699</v>
          </cell>
          <cell r="AB56">
            <v>3.5030007370944651</v>
          </cell>
        </row>
        <row r="57">
          <cell r="X57">
            <v>69.8</v>
          </cell>
          <cell r="Y57">
            <v>55.150346505609157</v>
          </cell>
          <cell r="Z57">
            <v>10.71305579231162</v>
          </cell>
          <cell r="AA57">
            <v>28.358725013506213</v>
          </cell>
          <cell r="AB57">
            <v>6.3649499257173154</v>
          </cell>
        </row>
        <row r="58">
          <cell r="X58">
            <v>92.86666666666666</v>
          </cell>
          <cell r="Y58">
            <v>68.285753551897059</v>
          </cell>
          <cell r="Z58">
            <v>6.897939886503103</v>
          </cell>
          <cell r="AA58">
            <v>49.801773419773106</v>
          </cell>
          <cell r="AB58">
            <v>4.631767258283535</v>
          </cell>
        </row>
        <row r="59">
          <cell r="X59">
            <v>117.14999999999999</v>
          </cell>
          <cell r="Y59">
            <v>82.280457853534145</v>
          </cell>
          <cell r="Z59">
            <v>5.7075066589869916</v>
          </cell>
          <cell r="AA59">
            <v>75.15410718530525</v>
          </cell>
          <cell r="AB59">
            <v>5.2963085128280927</v>
          </cell>
        </row>
        <row r="60">
          <cell r="X60">
            <v>164.66666666666666</v>
          </cell>
          <cell r="Y60">
            <v>74.412672827625954</v>
          </cell>
          <cell r="Z60">
            <v>11.399632127536142</v>
          </cell>
          <cell r="AA60">
            <v>88.516940032414922</v>
          </cell>
          <cell r="AB60">
            <v>4.5487771299491877</v>
          </cell>
        </row>
        <row r="61">
          <cell r="X61">
            <v>188.68333333333334</v>
          </cell>
          <cell r="Y61">
            <v>69.886238881240843</v>
          </cell>
          <cell r="Z61">
            <v>6.5025599218284835</v>
          </cell>
          <cell r="AA61">
            <v>91.960598163155055</v>
          </cell>
          <cell r="AB61">
            <v>8.0566681027764915</v>
          </cell>
        </row>
        <row r="62">
          <cell r="X62">
            <v>212.98333333333335</v>
          </cell>
          <cell r="Y62">
            <v>69.913381341989577</v>
          </cell>
          <cell r="Z62">
            <v>2.7395171077797364</v>
          </cell>
          <cell r="AA62">
            <v>110.83522420313345</v>
          </cell>
          <cell r="AB62">
            <v>21.003468993996368</v>
          </cell>
        </row>
        <row r="63">
          <cell r="X63">
            <v>236.98333333333335</v>
          </cell>
          <cell r="Y63">
            <v>76.9875258</v>
          </cell>
          <cell r="Z63">
            <v>6.1826282472687248</v>
          </cell>
          <cell r="AA63">
            <v>135.45326</v>
          </cell>
          <cell r="AB63">
            <v>13.064161022825482</v>
          </cell>
        </row>
        <row r="64">
          <cell r="X64">
            <v>260.95000000000005</v>
          </cell>
          <cell r="Y64">
            <v>81.169239543444391</v>
          </cell>
          <cell r="Z64">
            <v>10.455557634110161</v>
          </cell>
          <cell r="AA64">
            <v>158.8653156</v>
          </cell>
          <cell r="AB64">
            <v>40.702577029079997</v>
          </cell>
        </row>
        <row r="65">
          <cell r="X65">
            <v>284.95000000000005</v>
          </cell>
          <cell r="Y65">
            <v>68.865333500000006</v>
          </cell>
          <cell r="Z65">
            <v>0.41845672665661171</v>
          </cell>
          <cell r="AA65">
            <v>173.6757633</v>
          </cell>
          <cell r="AB65">
            <v>7.3759966433422894</v>
          </cell>
        </row>
        <row r="66">
          <cell r="X66">
            <v>308.95000000000005</v>
          </cell>
          <cell r="Y66">
            <v>71.867553240000007</v>
          </cell>
          <cell r="Z66">
            <v>3.8301979641178878</v>
          </cell>
          <cell r="AA66">
            <v>199.4489465153971</v>
          </cell>
          <cell r="AB66">
            <v>13.064161022825482</v>
          </cell>
        </row>
        <row r="67">
          <cell r="X67">
            <v>332.95000000000005</v>
          </cell>
          <cell r="Y67">
            <v>77.866753299999999</v>
          </cell>
          <cell r="Z67">
            <v>3.4254557798169745</v>
          </cell>
          <cell r="AA67">
            <v>211.67553559999999</v>
          </cell>
          <cell r="AB67">
            <v>13.064161022825482</v>
          </cell>
        </row>
        <row r="68">
          <cell r="X68">
            <v>356.50000000000006</v>
          </cell>
          <cell r="Y68">
            <v>76.839336109853903</v>
          </cell>
          <cell r="Z68">
            <v>7.5133629483793918</v>
          </cell>
          <cell r="AA68">
            <v>252.8765453</v>
          </cell>
          <cell r="AB68">
            <v>6.6001243069319733</v>
          </cell>
        </row>
        <row r="69">
          <cell r="X69">
            <v>381.43333333333339</v>
          </cell>
          <cell r="Y69">
            <v>72.989915068337098</v>
          </cell>
          <cell r="Z69">
            <v>6.8715806328807147</v>
          </cell>
          <cell r="AA69">
            <v>261.75632669999999</v>
          </cell>
          <cell r="AB69">
            <v>5.0584411354882457</v>
          </cell>
        </row>
        <row r="70">
          <cell r="X70">
            <v>405.43333333333339</v>
          </cell>
          <cell r="Y70">
            <v>73.765764300000001</v>
          </cell>
          <cell r="Z70">
            <v>5.043741870662986</v>
          </cell>
          <cell r="AA70">
            <v>256.97664350000002</v>
          </cell>
          <cell r="AB70">
            <v>21.773601704709211</v>
          </cell>
        </row>
        <row r="104">
          <cell r="B104" t="str">
            <v>White light</v>
          </cell>
        </row>
        <row r="106">
          <cell r="X106">
            <v>23.416666666666668</v>
          </cell>
          <cell r="Y106">
            <v>45.092707896066486</v>
          </cell>
          <cell r="Z106">
            <v>4.7887860770958861</v>
          </cell>
          <cell r="AA106">
            <v>10.984602917341975</v>
          </cell>
          <cell r="AB106">
            <v>0.90062284391425096</v>
          </cell>
        </row>
        <row r="107">
          <cell r="X107">
            <v>95</v>
          </cell>
          <cell r="Y107">
            <v>43.083289002712903</v>
          </cell>
          <cell r="Z107">
            <v>7.6676820152821294</v>
          </cell>
          <cell r="AA107">
            <v>40.773845193508123</v>
          </cell>
          <cell r="AB107">
            <v>25.985773455789666</v>
          </cell>
        </row>
        <row r="108">
          <cell r="X108">
            <v>119.33333333333333</v>
          </cell>
          <cell r="Y108">
            <v>48.674567799999998</v>
          </cell>
          <cell r="Z108">
            <v>11.406675804585708</v>
          </cell>
          <cell r="AA108">
            <v>44.808551810237219</v>
          </cell>
          <cell r="AB108">
            <v>47.426568000000003</v>
          </cell>
        </row>
        <row r="109">
          <cell r="X109">
            <v>143.08333333333331</v>
          </cell>
          <cell r="Y109">
            <v>48.674567799999998</v>
          </cell>
          <cell r="Z109">
            <v>12.678806925633978</v>
          </cell>
          <cell r="AA109">
            <v>79.381439220973789</v>
          </cell>
          <cell r="AB109">
            <v>14.768807700381389</v>
          </cell>
        </row>
        <row r="110">
          <cell r="X110">
            <v>167.91666666666666</v>
          </cell>
          <cell r="Y110">
            <v>74.75200579596428</v>
          </cell>
          <cell r="Z110">
            <v>1.0033368054532246</v>
          </cell>
          <cell r="AA110">
            <v>76.192785881505003</v>
          </cell>
          <cell r="AB110">
            <v>2.7625227283331277</v>
          </cell>
        </row>
        <row r="111">
          <cell r="X111">
            <v>191.41666666666666</v>
          </cell>
          <cell r="Y111">
            <v>66.324702716590593</v>
          </cell>
          <cell r="Z111">
            <v>12.93124090841853</v>
          </cell>
          <cell r="AA111">
            <v>93.928675382676005</v>
          </cell>
          <cell r="AB111">
            <v>24.627584115786664</v>
          </cell>
        </row>
        <row r="112">
          <cell r="X112">
            <v>215.08333333333331</v>
          </cell>
          <cell r="Y112">
            <v>65.647679999999994</v>
          </cell>
          <cell r="Z112">
            <v>2.9698829410066341</v>
          </cell>
          <cell r="AA112">
            <v>119.67646999999999</v>
          </cell>
          <cell r="AB112">
            <v>7.6961200361833253</v>
          </cell>
        </row>
        <row r="113">
          <cell r="X113">
            <v>240.74999999999997</v>
          </cell>
          <cell r="Y113">
            <v>65.647679999999994</v>
          </cell>
          <cell r="Z113">
            <v>2.6776611559050436</v>
          </cell>
          <cell r="AA113">
            <v>129.75764699999999</v>
          </cell>
          <cell r="AB113">
            <v>6.2397600423085207</v>
          </cell>
        </row>
        <row r="114">
          <cell r="X114">
            <v>263.75</v>
          </cell>
          <cell r="Y114">
            <v>74.493603411399903</v>
          </cell>
          <cell r="Z114">
            <v>1.0066346650857698</v>
          </cell>
          <cell r="AA114">
            <v>137.942916909779</v>
          </cell>
          <cell r="AB114">
            <v>6.0771808069601079</v>
          </cell>
        </row>
        <row r="115">
          <cell r="X115">
            <v>287.76666666666665</v>
          </cell>
          <cell r="Y115">
            <v>73.533722181445896</v>
          </cell>
          <cell r="Z115">
            <v>2.4034913327320138</v>
          </cell>
          <cell r="AA115">
            <v>156.71867214118501</v>
          </cell>
          <cell r="AB115">
            <v>6.0771808069601079</v>
          </cell>
        </row>
        <row r="116">
          <cell r="X116">
            <v>312.06666666666666</v>
          </cell>
          <cell r="Y116">
            <v>72.634572835904606</v>
          </cell>
          <cell r="Z116">
            <v>2.8139801250946128</v>
          </cell>
          <cell r="AA116">
            <v>183.15433099225643</v>
          </cell>
          <cell r="AB116">
            <v>8.3196800564113627</v>
          </cell>
        </row>
        <row r="117">
          <cell r="X117">
            <v>336.06666666666666</v>
          </cell>
          <cell r="Y117">
            <v>71.647679999999994</v>
          </cell>
          <cell r="Z117">
            <v>3.1119404999374845</v>
          </cell>
          <cell r="AA117">
            <v>199.53657799999999</v>
          </cell>
          <cell r="AB117">
            <v>8.3196800564113573</v>
          </cell>
        </row>
        <row r="118">
          <cell r="X118">
            <v>360.0333333333333</v>
          </cell>
          <cell r="Y118">
            <v>73.647563426000005</v>
          </cell>
          <cell r="Z118">
            <v>1.8081692854910481</v>
          </cell>
          <cell r="AA118">
            <v>218.54768000000001</v>
          </cell>
          <cell r="AB118">
            <v>6.0771808069601079</v>
          </cell>
        </row>
        <row r="119">
          <cell r="X119">
            <v>384.0333333333333</v>
          </cell>
          <cell r="Y119">
            <v>71.547578000000001</v>
          </cell>
          <cell r="Z119">
            <v>3.4417695354524187</v>
          </cell>
          <cell r="AA119">
            <v>228.57579999999999</v>
          </cell>
          <cell r="AB119">
            <v>6.0771808069601079</v>
          </cell>
        </row>
        <row r="120">
          <cell r="X120">
            <v>408.0333333333333</v>
          </cell>
          <cell r="Y120">
            <v>70.534243200000006</v>
          </cell>
          <cell r="Z120">
            <v>3.495366597707279</v>
          </cell>
          <cell r="AA120">
            <v>231.65870000000001</v>
          </cell>
          <cell r="AB120">
            <v>6.0771808069601079</v>
          </cell>
        </row>
      </sheetData>
      <sheetData sheetId="3">
        <row r="2">
          <cell r="B2" t="str">
            <v>Blue light</v>
          </cell>
        </row>
        <row r="4">
          <cell r="Q4">
            <v>0</v>
          </cell>
          <cell r="R4">
            <v>1.6376992657142857</v>
          </cell>
          <cell r="S4">
            <v>2.3634879420523461E-2</v>
          </cell>
        </row>
        <row r="5">
          <cell r="Q5">
            <v>50.4</v>
          </cell>
          <cell r="R5">
            <v>1.5100471409523808</v>
          </cell>
          <cell r="S5">
            <v>8.0881143388100152E-3</v>
          </cell>
        </row>
        <row r="6">
          <cell r="Q6">
            <v>97.25</v>
          </cell>
          <cell r="R6">
            <v>1.4574795257142856</v>
          </cell>
          <cell r="S6">
            <v>3.0345978850395337E-2</v>
          </cell>
        </row>
        <row r="7">
          <cell r="Q7">
            <v>165</v>
          </cell>
          <cell r="R7">
            <v>1.3711828180952381</v>
          </cell>
          <cell r="S7">
            <v>1.9020705742527809E-2</v>
          </cell>
        </row>
        <row r="8">
          <cell r="Q8">
            <v>213.31666666666666</v>
          </cell>
          <cell r="R8">
            <v>1.2883429450793651</v>
          </cell>
          <cell r="S8">
            <v>6.5338106300606089E-3</v>
          </cell>
        </row>
        <row r="9">
          <cell r="Q9">
            <v>261.2833333333333</v>
          </cell>
          <cell r="R9">
            <v>1.1934270663492066</v>
          </cell>
          <cell r="S9">
            <v>6.3761235655140028E-3</v>
          </cell>
        </row>
        <row r="10">
          <cell r="Q10">
            <v>309.2833333333333</v>
          </cell>
          <cell r="R10">
            <v>1.0928403428571427</v>
          </cell>
          <cell r="S10">
            <v>6.6125938808369061E-2</v>
          </cell>
        </row>
        <row r="11">
          <cell r="Q11">
            <v>356.83333333333331</v>
          </cell>
          <cell r="R11">
            <v>0.99250387301587251</v>
          </cell>
          <cell r="S11">
            <v>1.3630176518686423E-2</v>
          </cell>
        </row>
        <row r="12">
          <cell r="Q12">
            <v>405.43333333333339</v>
          </cell>
          <cell r="R12">
            <v>0.91438591999999996</v>
          </cell>
          <cell r="S12">
            <v>1.0050956363888976E-2</v>
          </cell>
        </row>
        <row r="32">
          <cell r="B32" t="str">
            <v>Red light</v>
          </cell>
        </row>
        <row r="34">
          <cell r="Q34">
            <v>0</v>
          </cell>
          <cell r="R34">
            <v>1.6071420933333334</v>
          </cell>
          <cell r="S34">
            <v>1.5295317627711318E-2</v>
          </cell>
        </row>
        <row r="35">
          <cell r="Q35">
            <v>50.4</v>
          </cell>
          <cell r="R35">
            <v>1.4829154685714283</v>
          </cell>
          <cell r="S35">
            <v>2.4704748160087803E-2</v>
          </cell>
        </row>
        <row r="36">
          <cell r="Q36">
            <v>97.25</v>
          </cell>
          <cell r="R36">
            <v>1.4337393123809523</v>
          </cell>
          <cell r="S36">
            <v>4.2974282860318222E-2</v>
          </cell>
        </row>
        <row r="37">
          <cell r="Q37">
            <v>165</v>
          </cell>
          <cell r="R37">
            <v>1.3070796304761905</v>
          </cell>
          <cell r="S37">
            <v>2.3229835016291448E-2</v>
          </cell>
        </row>
        <row r="38">
          <cell r="Q38">
            <v>213.31666666666666</v>
          </cell>
          <cell r="R38">
            <v>1.1687073022222221</v>
          </cell>
          <cell r="S38">
            <v>6.593253206349213E-2</v>
          </cell>
        </row>
        <row r="39">
          <cell r="Q39">
            <v>261.2833333333333</v>
          </cell>
          <cell r="R39">
            <v>0.99992545015873013</v>
          </cell>
          <cell r="S39">
            <v>9.0850694632078465E-3</v>
          </cell>
        </row>
        <row r="40">
          <cell r="Q40">
            <v>309.2833333333333</v>
          </cell>
          <cell r="R40">
            <v>0.88206691428571427</v>
          </cell>
          <cell r="S40">
            <v>0.13793676114635364</v>
          </cell>
        </row>
        <row r="41">
          <cell r="Q41">
            <v>356.83333333333331</v>
          </cell>
          <cell r="R41">
            <v>0.79671697619047566</v>
          </cell>
          <cell r="S41">
            <v>6.3614185427673511E-2</v>
          </cell>
        </row>
        <row r="42">
          <cell r="Q42">
            <v>405.43333333333339</v>
          </cell>
          <cell r="R42">
            <v>0.69446385999999993</v>
          </cell>
          <cell r="S42">
            <v>1.9207748024929912E-2</v>
          </cell>
        </row>
        <row r="62">
          <cell r="B62" t="str">
            <v>White light</v>
          </cell>
        </row>
        <row r="64">
          <cell r="Q64">
            <v>0</v>
          </cell>
          <cell r="R64">
            <v>1.58690829</v>
          </cell>
          <cell r="S64">
            <v>1.2388042857143233E-3</v>
          </cell>
        </row>
        <row r="65">
          <cell r="Q65">
            <v>119.33333333333333</v>
          </cell>
          <cell r="R65">
            <v>1.4337393123809523</v>
          </cell>
          <cell r="S65">
            <v>3.6041732764186304E-2</v>
          </cell>
        </row>
        <row r="66">
          <cell r="Q66">
            <v>166.58333333333331</v>
          </cell>
          <cell r="R66">
            <v>1.3319955409523809</v>
          </cell>
          <cell r="S66">
            <v>2.4412027538976949E-2</v>
          </cell>
        </row>
        <row r="67">
          <cell r="Q67">
            <v>215.41666666666663</v>
          </cell>
          <cell r="R67">
            <v>1.2367224733333333</v>
          </cell>
          <cell r="S67">
            <v>1.7877904704060608E-2</v>
          </cell>
        </row>
        <row r="68">
          <cell r="Q68">
            <v>263.75</v>
          </cell>
          <cell r="R68">
            <v>1.10277477015873</v>
          </cell>
          <cell r="S68">
            <v>3.8172471242552748E-2</v>
          </cell>
        </row>
        <row r="69">
          <cell r="Q69">
            <v>312.06666666666666</v>
          </cell>
          <cell r="R69">
            <v>0.98822846126984121</v>
          </cell>
          <cell r="S69">
            <v>1.4757858388965778E-2</v>
          </cell>
        </row>
        <row r="70">
          <cell r="Q70">
            <v>360.0333333333333</v>
          </cell>
          <cell r="R70">
            <v>0.87570394285714281</v>
          </cell>
          <cell r="S70">
            <v>6.0049226002590623E-3</v>
          </cell>
        </row>
        <row r="71">
          <cell r="Q71">
            <v>408.0333333333333</v>
          </cell>
          <cell r="R71">
            <v>0.7618242619047616</v>
          </cell>
          <cell r="S71">
            <v>9.8495597428977455E-2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1F972-55EA-1841-AB4A-549891EA5471}">
  <dimension ref="A1:F16"/>
  <sheetViews>
    <sheetView tabSelected="1" workbookViewId="0">
      <selection sqref="A1:C2"/>
    </sheetView>
  </sheetViews>
  <sheetFormatPr baseColWidth="10" defaultColWidth="41.1640625" defaultRowHeight="14"/>
  <cols>
    <col min="1" max="1" width="31" style="28" customWidth="1"/>
    <col min="2" max="2" width="9.5" style="29" customWidth="1"/>
    <col min="3" max="3" width="56.1640625" style="28" customWidth="1"/>
    <col min="4" max="4" width="41.1640625" style="2"/>
    <col min="5" max="16384" width="41.1640625" style="4"/>
  </cols>
  <sheetData>
    <row r="1" spans="1:6" s="3" customFormat="1" ht="18" customHeight="1">
      <c r="A1" s="1" t="s">
        <v>102</v>
      </c>
      <c r="B1" s="1"/>
      <c r="C1" s="1"/>
      <c r="D1" s="2"/>
    </row>
    <row r="2" spans="1:6" ht="30" customHeight="1">
      <c r="A2" s="1"/>
      <c r="B2" s="1"/>
      <c r="C2" s="1"/>
    </row>
    <row r="3" spans="1:6" ht="16">
      <c r="A3" s="5" t="s">
        <v>33</v>
      </c>
      <c r="B3" s="5"/>
      <c r="C3" s="5"/>
    </row>
    <row r="4" spans="1:6" s="7" customFormat="1">
      <c r="A4" s="6" t="s">
        <v>34</v>
      </c>
      <c r="B4" s="6"/>
      <c r="C4" s="6"/>
      <c r="D4" s="2"/>
    </row>
    <row r="5" spans="1:6" s="9" customFormat="1" ht="13">
      <c r="A5" s="8" t="s">
        <v>35</v>
      </c>
      <c r="B5" s="8"/>
      <c r="C5" s="8"/>
      <c r="D5" s="2"/>
    </row>
    <row r="6" spans="1:6" ht="60" customHeight="1">
      <c r="A6" s="10" t="s">
        <v>36</v>
      </c>
      <c r="B6" s="10"/>
      <c r="C6" s="10"/>
    </row>
    <row r="7" spans="1:6" ht="30" customHeight="1">
      <c r="A7" s="11" t="s">
        <v>103</v>
      </c>
      <c r="B7" s="11"/>
      <c r="C7" s="11"/>
    </row>
    <row r="8" spans="1:6" ht="30" customHeight="1">
      <c r="A8" s="12" t="s">
        <v>37</v>
      </c>
      <c r="B8" s="12"/>
      <c r="C8" s="12"/>
    </row>
    <row r="9" spans="1:6">
      <c r="A9" s="13" t="s">
        <v>38</v>
      </c>
      <c r="B9" s="14"/>
      <c r="C9" s="15">
        <v>44346</v>
      </c>
    </row>
    <row r="10" spans="1:6" ht="15" thickBot="1">
      <c r="A10" s="16" t="s">
        <v>39</v>
      </c>
      <c r="B10" s="17"/>
      <c r="C10" s="18">
        <v>44471</v>
      </c>
    </row>
    <row r="11" spans="1:6" s="9" customFormat="1" thickBot="1">
      <c r="A11" s="19"/>
      <c r="B11" s="20"/>
      <c r="C11" s="19"/>
      <c r="D11" s="2"/>
    </row>
    <row r="12" spans="1:6" ht="18" thickBot="1">
      <c r="A12" s="21" t="s">
        <v>40</v>
      </c>
      <c r="B12" s="22" t="s">
        <v>41</v>
      </c>
      <c r="C12" s="23" t="s">
        <v>42</v>
      </c>
    </row>
    <row r="13" spans="1:6" ht="15">
      <c r="A13" s="24" t="s">
        <v>43</v>
      </c>
      <c r="B13" s="25">
        <v>1</v>
      </c>
      <c r="C13" s="26" t="s">
        <v>44</v>
      </c>
    </row>
    <row r="14" spans="1:6" ht="45">
      <c r="A14" s="24" t="s">
        <v>99</v>
      </c>
      <c r="B14" s="25">
        <v>2</v>
      </c>
      <c r="C14" s="26" t="s">
        <v>104</v>
      </c>
      <c r="D14" s="27"/>
      <c r="E14" s="27"/>
      <c r="F14" s="27"/>
    </row>
    <row r="15" spans="1:6" ht="45">
      <c r="A15" s="24" t="s">
        <v>100</v>
      </c>
      <c r="B15" s="25">
        <v>3</v>
      </c>
      <c r="C15" s="26" t="s">
        <v>105</v>
      </c>
    </row>
    <row r="16" spans="1:6" s="2" customFormat="1" ht="45">
      <c r="A16" s="24" t="s">
        <v>101</v>
      </c>
      <c r="B16" s="25">
        <v>4</v>
      </c>
      <c r="C16" s="26" t="s">
        <v>106</v>
      </c>
      <c r="E16" s="4"/>
      <c r="F16" s="4"/>
    </row>
  </sheetData>
  <mergeCells count="8">
    <mergeCell ref="A8:C8"/>
    <mergeCell ref="D14:F14"/>
    <mergeCell ref="A1:C2"/>
    <mergeCell ref="A3:C3"/>
    <mergeCell ref="A4:C4"/>
    <mergeCell ref="A5:C5"/>
    <mergeCell ref="A6:C6"/>
    <mergeCell ref="A7:C7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FC355-D144-2F44-86B9-82E94765FE45}">
  <dimension ref="A1:AF59"/>
  <sheetViews>
    <sheetView zoomScaleNormal="100" workbookViewId="0">
      <selection sqref="A1:AB1"/>
    </sheetView>
  </sheetViews>
  <sheetFormatPr baseColWidth="10" defaultColWidth="8.83203125" defaultRowHeight="14"/>
  <cols>
    <col min="1" max="1" width="74.5" style="4" customWidth="1"/>
    <col min="2" max="2" width="12" style="4" bestFit="1" customWidth="1"/>
    <col min="3" max="3" width="12" style="4" customWidth="1"/>
    <col min="4" max="11" width="8.83203125" style="4"/>
    <col min="12" max="12" width="13.33203125" style="4" customWidth="1"/>
    <col min="13" max="13" width="10.33203125" style="4" customWidth="1"/>
    <col min="14" max="16" width="8.83203125" style="4"/>
    <col min="17" max="17" width="13.1640625" style="4" customWidth="1"/>
    <col min="18" max="18" width="10.5" style="4" customWidth="1"/>
    <col min="19" max="19" width="8.5" style="4" customWidth="1"/>
    <col min="20" max="20" width="9.1640625" style="4" bestFit="1" customWidth="1"/>
    <col min="21" max="21" width="9.33203125" style="4" bestFit="1" customWidth="1"/>
    <col min="22" max="26" width="9" style="4" bestFit="1" customWidth="1"/>
    <col min="27" max="27" width="10.33203125" style="4" customWidth="1"/>
    <col min="28" max="28" width="8.83203125" style="4" customWidth="1"/>
    <col min="29" max="29" width="12.1640625" style="4" customWidth="1"/>
    <col min="30" max="16384" width="8.83203125" style="4"/>
  </cols>
  <sheetData>
    <row r="1" spans="1:32" ht="17" customHeight="1" thickBot="1">
      <c r="A1" s="30" t="s">
        <v>45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2"/>
    </row>
    <row r="2" spans="1:32" ht="15" customHeight="1" thickBot="1">
      <c r="A2" s="33"/>
      <c r="B2" s="74" t="s">
        <v>71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32" ht="45" customHeight="1">
      <c r="A3" s="33"/>
      <c r="B3" s="34" t="s">
        <v>0</v>
      </c>
      <c r="C3" s="35" t="s">
        <v>1</v>
      </c>
      <c r="D3" s="36" t="s">
        <v>2</v>
      </c>
      <c r="E3" s="37" t="s">
        <v>3</v>
      </c>
      <c r="F3" s="38" t="s">
        <v>46</v>
      </c>
      <c r="G3" s="39"/>
      <c r="H3" s="40"/>
      <c r="I3" s="41" t="s">
        <v>8</v>
      </c>
      <c r="J3" s="39"/>
      <c r="K3" s="40"/>
      <c r="L3" s="42" t="s">
        <v>4</v>
      </c>
      <c r="M3" s="43" t="s">
        <v>72</v>
      </c>
      <c r="N3" s="41" t="s">
        <v>48</v>
      </c>
      <c r="O3" s="39"/>
      <c r="P3" s="40"/>
      <c r="Q3" s="43" t="s">
        <v>5</v>
      </c>
      <c r="R3" s="43" t="s">
        <v>47</v>
      </c>
      <c r="S3" s="77" t="s">
        <v>6</v>
      </c>
      <c r="T3" s="78"/>
      <c r="U3" s="224"/>
      <c r="V3" s="42" t="s">
        <v>49</v>
      </c>
      <c r="W3" s="42" t="s">
        <v>47</v>
      </c>
      <c r="X3" s="41" t="s">
        <v>50</v>
      </c>
      <c r="Y3" s="39"/>
      <c r="Z3" s="40"/>
      <c r="AA3" s="42" t="s">
        <v>51</v>
      </c>
      <c r="AB3" s="44" t="s">
        <v>47</v>
      </c>
      <c r="AD3" s="45"/>
      <c r="AE3" s="46"/>
      <c r="AF3" s="46"/>
    </row>
    <row r="4" spans="1:32" ht="15" customHeight="1">
      <c r="A4" s="33"/>
      <c r="B4" s="47"/>
      <c r="C4" s="79"/>
      <c r="D4" s="54"/>
      <c r="E4" s="49"/>
      <c r="F4" s="50" t="s">
        <v>11</v>
      </c>
      <c r="G4" s="51"/>
      <c r="H4" s="52"/>
      <c r="I4" s="53" t="s">
        <v>7</v>
      </c>
      <c r="J4" s="51"/>
      <c r="K4" s="52"/>
      <c r="L4" s="54" t="s">
        <v>7</v>
      </c>
      <c r="M4" s="54"/>
      <c r="N4" s="53" t="s">
        <v>7</v>
      </c>
      <c r="O4" s="51"/>
      <c r="P4" s="52"/>
      <c r="Q4" s="55"/>
      <c r="R4" s="55"/>
      <c r="S4" s="80" t="s">
        <v>52</v>
      </c>
      <c r="T4" s="225"/>
      <c r="U4" s="226"/>
      <c r="V4" s="54" t="s">
        <v>52</v>
      </c>
      <c r="W4" s="48"/>
      <c r="X4" s="56" t="s">
        <v>53</v>
      </c>
      <c r="Y4" s="57"/>
      <c r="Z4" s="58"/>
      <c r="AA4" s="59" t="s">
        <v>53</v>
      </c>
      <c r="AB4" s="60"/>
      <c r="AD4" s="45"/>
      <c r="AE4" s="46"/>
      <c r="AF4" s="46"/>
    </row>
    <row r="5" spans="1:32" s="9" customFormat="1">
      <c r="A5" s="61"/>
      <c r="B5" s="62" t="s">
        <v>54</v>
      </c>
      <c r="C5" s="63">
        <v>0.6333333333333333</v>
      </c>
      <c r="D5" s="9">
        <v>0</v>
      </c>
      <c r="E5" s="64">
        <v>1</v>
      </c>
      <c r="F5" s="65">
        <v>0.12</v>
      </c>
      <c r="G5" s="65">
        <v>0.114</v>
      </c>
      <c r="H5" s="65">
        <v>0.12</v>
      </c>
      <c r="I5" s="65">
        <f t="shared" ref="I5:I25" si="0">1.2334*F5</f>
        <v>0.148008</v>
      </c>
      <c r="J5" s="65">
        <f t="shared" ref="J5:J25" si="1">1.2334*G5</f>
        <v>0.1406076</v>
      </c>
      <c r="K5" s="65">
        <f t="shared" ref="K5:K25" si="2">1.2334*H5</f>
        <v>0.148008</v>
      </c>
      <c r="L5" s="66">
        <f t="shared" ref="L5:L25" si="3">AVERAGE(I5:K5)</f>
        <v>0.14554120000000001</v>
      </c>
      <c r="M5" s="65">
        <f>STDEV(I5:K5)/SQRT(3)</f>
        <v>2.4668000000000008E-3</v>
      </c>
      <c r="N5" s="65">
        <f t="shared" ref="N5:N25" si="4">LN(I5)</f>
        <v>-1.9104889526248356</v>
      </c>
      <c r="O5" s="65">
        <f t="shared" ref="O5:O24" si="5">LN(J5)</f>
        <v>-1.9617822470123862</v>
      </c>
      <c r="P5" s="65">
        <f t="shared" ref="P5:P25" si="6">LN(K5)</f>
        <v>-1.9104889526248356</v>
      </c>
      <c r="Q5" s="66">
        <f t="shared" ref="Q5:Q24" si="7">AVERAGE(N5:P5)</f>
        <v>-1.927586717420686</v>
      </c>
      <c r="R5" s="65">
        <f>STDEV(N5:P5)/SQRT(3)</f>
        <v>1.7097764795850196E-2</v>
      </c>
      <c r="S5" s="65"/>
      <c r="T5" s="65"/>
      <c r="U5" s="81"/>
      <c r="V5" s="82"/>
      <c r="W5" s="81"/>
      <c r="X5" s="81"/>
      <c r="Y5" s="81"/>
      <c r="Z5" s="81"/>
      <c r="AA5" s="82"/>
      <c r="AB5" s="83"/>
      <c r="AD5" s="45"/>
      <c r="AE5" s="46"/>
      <c r="AF5" s="46"/>
    </row>
    <row r="6" spans="1:32" s="9" customFormat="1">
      <c r="A6" s="61"/>
      <c r="B6" s="62"/>
      <c r="C6" s="63">
        <v>0.74097222222222225</v>
      </c>
      <c r="D6" s="68">
        <f>2+35/60+D5</f>
        <v>2.5833333333333335</v>
      </c>
      <c r="E6" s="64"/>
      <c r="F6" s="65">
        <v>0.13500000000000001</v>
      </c>
      <c r="G6" s="65">
        <v>0.11799999999999999</v>
      </c>
      <c r="H6" s="65">
        <v>0.16200000000000001</v>
      </c>
      <c r="I6" s="65">
        <f t="shared" si="0"/>
        <v>0.16650900000000002</v>
      </c>
      <c r="J6" s="65">
        <f t="shared" si="1"/>
        <v>0.14554120000000001</v>
      </c>
      <c r="K6" s="65">
        <f t="shared" si="2"/>
        <v>0.19981080000000001</v>
      </c>
      <c r="L6" s="66">
        <f t="shared" si="3"/>
        <v>0.17062033333333337</v>
      </c>
      <c r="M6" s="65">
        <f t="shared" ref="M6:M25" si="8">STDEV(I6:K6)/SQRT(3)</f>
        <v>1.5800576649533288E-2</v>
      </c>
      <c r="N6" s="65">
        <f t="shared" si="4"/>
        <v>-1.7927059169684521</v>
      </c>
      <c r="O6" s="65">
        <f t="shared" si="5"/>
        <v>-1.9272960709412168</v>
      </c>
      <c r="P6" s="65">
        <f t="shared" si="6"/>
        <v>-1.6103843601744976</v>
      </c>
      <c r="Q6" s="66">
        <f t="shared" si="7"/>
        <v>-1.7767954493613889</v>
      </c>
      <c r="R6" s="65">
        <f t="shared" ref="R6:R25" si="9">STDEV(N6:P6)/SQRT(3)</f>
        <v>9.1829761587912825E-2</v>
      </c>
      <c r="S6" s="65">
        <f>(N6-N5)/(D6-D5)</f>
        <v>4.5593433157309779E-2</v>
      </c>
      <c r="T6" s="65">
        <f>(O6-O5)/(D6-D5)</f>
        <v>1.3349487511420427E-2</v>
      </c>
      <c r="U6" s="65">
        <f>(P6-P5)/(D6-D5)</f>
        <v>0.11616951965819537</v>
      </c>
      <c r="V6" s="66">
        <f>AVERAGE(S6:U6)</f>
        <v>5.8370813442308524E-2</v>
      </c>
      <c r="W6" s="65">
        <f>STDEV(S6:U6)/SQRT(3)</f>
        <v>3.0361356128454718E-2</v>
      </c>
      <c r="X6" s="65">
        <f>I6/D6</f>
        <v>6.4455096774193546E-2</v>
      </c>
      <c r="Y6" s="65">
        <f>J6/D6</f>
        <v>5.6338529032258063E-2</v>
      </c>
      <c r="Z6" s="65">
        <f>K6/D6</f>
        <v>7.7346116129032264E-2</v>
      </c>
      <c r="AA6" s="66">
        <f>AVERAGE(X6:Z6)</f>
        <v>6.6046580645161293E-2</v>
      </c>
      <c r="AB6" s="69">
        <f>STDEV(X6:Z6)/SQRT(3)</f>
        <v>6.1163522514322173E-3</v>
      </c>
      <c r="AD6" s="45"/>
      <c r="AE6" s="46"/>
      <c r="AF6" s="46"/>
    </row>
    <row r="7" spans="1:32" s="9" customFormat="1">
      <c r="A7" s="61"/>
      <c r="B7" s="62"/>
      <c r="C7" s="63">
        <v>0.8847222222222223</v>
      </c>
      <c r="D7" s="68">
        <f>3+27/60+D6</f>
        <v>6.0333333333333332</v>
      </c>
      <c r="E7" s="64"/>
      <c r="F7" s="65">
        <v>0.151</v>
      </c>
      <c r="G7" s="65">
        <v>0.14899999999999999</v>
      </c>
      <c r="H7" s="65">
        <v>0.14599999999999999</v>
      </c>
      <c r="I7" s="65">
        <f t="shared" si="0"/>
        <v>0.1862434</v>
      </c>
      <c r="J7" s="65">
        <f t="shared" si="1"/>
        <v>0.18377660000000001</v>
      </c>
      <c r="K7" s="65">
        <f t="shared" si="2"/>
        <v>0.1800764</v>
      </c>
      <c r="L7" s="66">
        <f t="shared" si="3"/>
        <v>0.18336546666666667</v>
      </c>
      <c r="M7" s="65">
        <f t="shared" si="8"/>
        <v>1.7920886523210245E-3</v>
      </c>
      <c r="N7" s="65">
        <f t="shared" si="4"/>
        <v>-1.6807008585919574</v>
      </c>
      <c r="O7" s="65">
        <f t="shared" si="5"/>
        <v>-1.6940343894614225</v>
      </c>
      <c r="P7" s="65">
        <f t="shared" si="6"/>
        <v>-1.7143740736985453</v>
      </c>
      <c r="Q7" s="66">
        <f t="shared" si="7"/>
        <v>-1.6963697739173085</v>
      </c>
      <c r="R7" s="65">
        <f t="shared" si="9"/>
        <v>9.790503380338024E-3</v>
      </c>
      <c r="S7" s="65">
        <f t="shared" ref="S7:S23" si="10">(N7-N6)/(D7-D6)</f>
        <v>3.2465234312027441E-2</v>
      </c>
      <c r="T7" s="65">
        <f t="shared" ref="T7:T23" si="11">(O7-O6)/(D7-D6)</f>
        <v>6.7612081588346182E-2</v>
      </c>
      <c r="U7" s="65">
        <f t="shared" ref="U7:U23" si="12">(P7-P6)/(D7-D6)</f>
        <v>-3.0141945948999344E-2</v>
      </c>
      <c r="V7" s="66">
        <f t="shared" ref="V7:V25" si="13">AVERAGE(S7:U7)</f>
        <v>2.3311789983791426E-2</v>
      </c>
      <c r="W7" s="65">
        <f t="shared" ref="W7:W25" si="14">STDEV(S7:U7)/SQRT(3)</f>
        <v>2.8587885734145117E-2</v>
      </c>
      <c r="X7" s="65">
        <f t="shared" ref="X7:X25" si="15">I7/D7</f>
        <v>3.0869071823204423E-2</v>
      </c>
      <c r="Y7" s="65">
        <f t="shared" ref="Y7:Y25" si="16">J7/D7</f>
        <v>3.0460209944751383E-2</v>
      </c>
      <c r="Z7" s="65">
        <f t="shared" ref="Z7:Z25" si="17">K7/D7</f>
        <v>2.9846917127071822E-2</v>
      </c>
      <c r="AA7" s="66">
        <f t="shared" ref="AA7:AA25" si="18">AVERAGE(X7:Z7)</f>
        <v>3.0392066298342544E-2</v>
      </c>
      <c r="AB7" s="69">
        <f t="shared" ref="AB7:AB25" si="19">STDEV(X7:Z7)/SQRT(3)</f>
        <v>2.9703126834050206E-4</v>
      </c>
      <c r="AD7" s="45"/>
      <c r="AE7" s="46"/>
      <c r="AF7" s="46"/>
    </row>
    <row r="8" spans="1:32" s="9" customFormat="1">
      <c r="A8" s="61"/>
      <c r="B8" s="70" t="s">
        <v>55</v>
      </c>
      <c r="C8" s="63">
        <v>0.46249999999999997</v>
      </c>
      <c r="D8" s="68">
        <f>1+52/60+12+D7</f>
        <v>19.899999999999999</v>
      </c>
      <c r="E8" s="64">
        <v>2</v>
      </c>
      <c r="F8" s="65">
        <v>0.20200000000000001</v>
      </c>
      <c r="G8" s="65">
        <v>0.193</v>
      </c>
      <c r="H8" s="65">
        <v>0.23</v>
      </c>
      <c r="I8" s="65">
        <f t="shared" si="0"/>
        <v>0.24914680000000003</v>
      </c>
      <c r="J8" s="65">
        <f t="shared" si="1"/>
        <v>0.23804620000000001</v>
      </c>
      <c r="K8" s="65">
        <f t="shared" si="2"/>
        <v>0.28368200000000005</v>
      </c>
      <c r="L8" s="66">
        <f t="shared" si="3"/>
        <v>0.25695833333333334</v>
      </c>
      <c r="M8" s="65">
        <f t="shared" si="8"/>
        <v>1.3740713229588123E-2</v>
      </c>
      <c r="N8" s="65">
        <f t="shared" si="4"/>
        <v>-1.3897129980056768</v>
      </c>
      <c r="O8" s="65">
        <f t="shared" si="5"/>
        <v>-1.4352905065019961</v>
      </c>
      <c r="P8" s="65">
        <f t="shared" si="6"/>
        <v>-1.2599013864836861</v>
      </c>
      <c r="Q8" s="66">
        <f t="shared" si="7"/>
        <v>-1.3616349636637863</v>
      </c>
      <c r="R8" s="65">
        <f t="shared" si="9"/>
        <v>5.2540834483214324E-2</v>
      </c>
      <c r="S8" s="65">
        <f t="shared" si="10"/>
        <v>2.0984701484587542E-2</v>
      </c>
      <c r="T8" s="65">
        <f t="shared" si="11"/>
        <v>1.8659414636497097E-2</v>
      </c>
      <c r="U8" s="65">
        <f t="shared" si="12"/>
        <v>3.2774472635686967E-2</v>
      </c>
      <c r="V8" s="66">
        <f t="shared" si="13"/>
        <v>2.4139529585590531E-2</v>
      </c>
      <c r="W8" s="65">
        <f t="shared" si="14"/>
        <v>4.3693409434483474E-3</v>
      </c>
      <c r="X8" s="65">
        <f t="shared" si="15"/>
        <v>1.2519939698492464E-2</v>
      </c>
      <c r="Y8" s="65">
        <f t="shared" si="16"/>
        <v>1.1962120603015077E-2</v>
      </c>
      <c r="Z8" s="65">
        <f t="shared" si="17"/>
        <v>1.4255376884422114E-2</v>
      </c>
      <c r="AA8" s="66">
        <f t="shared" si="18"/>
        <v>1.2912479061976552E-2</v>
      </c>
      <c r="AB8" s="69">
        <f t="shared" si="19"/>
        <v>6.90488101989353E-4</v>
      </c>
      <c r="AD8" s="45"/>
      <c r="AE8" s="46"/>
      <c r="AF8" s="46"/>
    </row>
    <row r="9" spans="1:32" s="9" customFormat="1">
      <c r="A9" s="61"/>
      <c r="B9" s="70"/>
      <c r="C9" s="63">
        <v>0.6069444444444444</v>
      </c>
      <c r="D9" s="68">
        <f>3+28/60+D8</f>
        <v>23.366666666666667</v>
      </c>
      <c r="E9" s="64"/>
      <c r="F9" s="65">
        <v>0.22</v>
      </c>
      <c r="G9" s="65">
        <v>0.24199999999999999</v>
      </c>
      <c r="H9" s="65">
        <v>0.23400000000000001</v>
      </c>
      <c r="I9" s="65">
        <f t="shared" si="0"/>
        <v>0.27134800000000003</v>
      </c>
      <c r="J9" s="65">
        <f t="shared" si="1"/>
        <v>0.29848279999999999</v>
      </c>
      <c r="K9" s="65">
        <f t="shared" si="2"/>
        <v>0.28861560000000003</v>
      </c>
      <c r="L9" s="66">
        <f t="shared" si="3"/>
        <v>0.28614880000000004</v>
      </c>
      <c r="M9" s="65">
        <f t="shared" si="8"/>
        <v>7.9296525657391315E-3</v>
      </c>
      <c r="N9" s="65">
        <f t="shared" si="4"/>
        <v>-1.3043531490545199</v>
      </c>
      <c r="O9" s="65">
        <f t="shared" si="5"/>
        <v>-1.2090429692501954</v>
      </c>
      <c r="P9" s="65">
        <f t="shared" si="6"/>
        <v>-1.2426595800491802</v>
      </c>
      <c r="Q9" s="66">
        <f t="shared" si="7"/>
        <v>-1.2520185661179652</v>
      </c>
      <c r="R9" s="65">
        <f t="shared" si="9"/>
        <v>2.7908783317323552E-2</v>
      </c>
      <c r="S9" s="65">
        <f t="shared" si="10"/>
        <v>2.4623033351295245E-2</v>
      </c>
      <c r="T9" s="65">
        <f t="shared" si="11"/>
        <v>6.5263712668788623E-2</v>
      </c>
      <c r="U9" s="65">
        <f t="shared" si="12"/>
        <v>4.9735980099536231E-3</v>
      </c>
      <c r="V9" s="66">
        <f t="shared" si="13"/>
        <v>3.1620114676679162E-2</v>
      </c>
      <c r="W9" s="65">
        <f t="shared" si="14"/>
        <v>1.7752406801139157E-2</v>
      </c>
      <c r="X9" s="65">
        <f t="shared" si="15"/>
        <v>1.1612610556348076E-2</v>
      </c>
      <c r="Y9" s="65">
        <f t="shared" si="16"/>
        <v>1.277387161198288E-2</v>
      </c>
      <c r="Z9" s="65">
        <f t="shared" si="17"/>
        <v>1.2351594864479317E-2</v>
      </c>
      <c r="AA9" s="66">
        <f t="shared" si="18"/>
        <v>1.2246025677603424E-2</v>
      </c>
      <c r="AB9" s="69">
        <f t="shared" si="19"/>
        <v>3.3935745645103234E-4</v>
      </c>
      <c r="AD9" s="45"/>
      <c r="AE9" s="46"/>
      <c r="AF9" s="46"/>
    </row>
    <row r="10" spans="1:32" s="9" customFormat="1">
      <c r="A10" s="61"/>
      <c r="B10" s="71" t="s">
        <v>56</v>
      </c>
      <c r="C10" s="63">
        <v>0.52083333333333337</v>
      </c>
      <c r="D10" s="68">
        <f>8+56/60+13+D9</f>
        <v>45.3</v>
      </c>
      <c r="E10" s="67">
        <v>3</v>
      </c>
      <c r="F10" s="65">
        <v>0.25800000000000001</v>
      </c>
      <c r="G10" s="65">
        <v>0.25800000000000001</v>
      </c>
      <c r="H10" s="65">
        <v>0.40100000000000002</v>
      </c>
      <c r="I10" s="65">
        <f t="shared" si="0"/>
        <v>0.31821720000000003</v>
      </c>
      <c r="J10" s="65">
        <f t="shared" si="1"/>
        <v>0.31821720000000003</v>
      </c>
      <c r="K10" s="65">
        <f t="shared" si="2"/>
        <v>0.49459340000000007</v>
      </c>
      <c r="L10" s="66">
        <f t="shared" si="3"/>
        <v>0.37700926666666668</v>
      </c>
      <c r="M10" s="65">
        <f t="shared" si="8"/>
        <v>5.8792066666666816E-2</v>
      </c>
      <c r="N10" s="65">
        <f t="shared" si="4"/>
        <v>-1.1450211104852641</v>
      </c>
      <c r="O10" s="65">
        <f t="shared" si="5"/>
        <v>-1.1450211104852641</v>
      </c>
      <c r="P10" s="65">
        <f t="shared" si="6"/>
        <v>-0.70401926810031235</v>
      </c>
      <c r="Q10" s="66">
        <f t="shared" si="7"/>
        <v>-0.9980204963569469</v>
      </c>
      <c r="R10" s="65">
        <f t="shared" si="9"/>
        <v>0.14700061412831744</v>
      </c>
      <c r="S10" s="65">
        <f t="shared" si="10"/>
        <v>7.2643786581727586E-3</v>
      </c>
      <c r="T10" s="65">
        <f t="shared" si="11"/>
        <v>2.9189297309239184E-3</v>
      </c>
      <c r="U10" s="65">
        <f t="shared" si="12"/>
        <v>2.4558068933838963E-2</v>
      </c>
      <c r="V10" s="66">
        <f t="shared" si="13"/>
        <v>1.1580459107645213E-2</v>
      </c>
      <c r="W10" s="65">
        <f t="shared" si="14"/>
        <v>6.60894593702411E-3</v>
      </c>
      <c r="X10" s="65">
        <f t="shared" si="15"/>
        <v>7.0246622516556305E-3</v>
      </c>
      <c r="Y10" s="65">
        <f t="shared" si="16"/>
        <v>7.0246622516556305E-3</v>
      </c>
      <c r="Z10" s="65">
        <f t="shared" si="17"/>
        <v>1.0918176600441504E-2</v>
      </c>
      <c r="AA10" s="66">
        <f t="shared" si="18"/>
        <v>8.3225003679175888E-3</v>
      </c>
      <c r="AB10" s="69">
        <f t="shared" si="19"/>
        <v>1.2978381162619577E-3</v>
      </c>
      <c r="AD10" s="45"/>
      <c r="AE10" s="46"/>
      <c r="AF10" s="46"/>
    </row>
    <row r="11" spans="1:32" s="9" customFormat="1">
      <c r="A11" s="61"/>
      <c r="B11" s="71" t="s">
        <v>57</v>
      </c>
      <c r="C11" s="63">
        <v>0.54166666666666663</v>
      </c>
      <c r="D11" s="68">
        <f>30/60+24+D10</f>
        <v>69.8</v>
      </c>
      <c r="E11" s="67">
        <v>4</v>
      </c>
      <c r="F11" s="65">
        <v>0.39400000000000002</v>
      </c>
      <c r="G11" s="65">
        <v>0.42499999999999999</v>
      </c>
      <c r="H11" s="65">
        <v>0.432</v>
      </c>
      <c r="I11" s="65">
        <f t="shared" si="0"/>
        <v>0.48595960000000005</v>
      </c>
      <c r="J11" s="65">
        <f t="shared" si="1"/>
        <v>0.52419499999999997</v>
      </c>
      <c r="K11" s="65">
        <f t="shared" si="2"/>
        <v>0.53282879999999999</v>
      </c>
      <c r="L11" s="66">
        <f t="shared" si="3"/>
        <v>0.51432779999999989</v>
      </c>
      <c r="M11" s="65">
        <f t="shared" si="8"/>
        <v>1.4401408542685425E-2</v>
      </c>
      <c r="N11" s="65">
        <f t="shared" si="4"/>
        <v>-0.72162978610894779</v>
      </c>
      <c r="O11" s="65">
        <f t="shared" si="5"/>
        <v>-0.64589152648246495</v>
      </c>
      <c r="P11" s="65">
        <f t="shared" si="6"/>
        <v>-0.62955510716277141</v>
      </c>
      <c r="Q11" s="66">
        <f t="shared" si="7"/>
        <v>-0.66569213991806142</v>
      </c>
      <c r="R11" s="65">
        <f t="shared" si="9"/>
        <v>2.8363620156107282E-2</v>
      </c>
      <c r="S11" s="65">
        <f t="shared" si="10"/>
        <v>1.7281278545972095E-2</v>
      </c>
      <c r="T11" s="65">
        <f t="shared" si="11"/>
        <v>2.0372636081746904E-2</v>
      </c>
      <c r="U11" s="65">
        <f t="shared" si="12"/>
        <v>3.0393535076547319E-3</v>
      </c>
      <c r="V11" s="66">
        <f t="shared" si="13"/>
        <v>1.3564422711791244E-2</v>
      </c>
      <c r="W11" s="65">
        <f t="shared" si="14"/>
        <v>5.3376628520790826E-3</v>
      </c>
      <c r="X11" s="65">
        <f t="shared" si="15"/>
        <v>6.9621719197707748E-3</v>
      </c>
      <c r="Y11" s="65">
        <f t="shared" si="16"/>
        <v>7.5099570200573068E-3</v>
      </c>
      <c r="Z11" s="65">
        <f t="shared" si="17"/>
        <v>7.6336504297994275E-3</v>
      </c>
      <c r="AA11" s="66">
        <f t="shared" si="18"/>
        <v>7.3685931232091691E-3</v>
      </c>
      <c r="AB11" s="69">
        <f t="shared" si="19"/>
        <v>2.0632390462300043E-4</v>
      </c>
      <c r="AD11" s="45"/>
      <c r="AE11" s="46"/>
      <c r="AF11" s="46"/>
    </row>
    <row r="12" spans="1:32" s="9" customFormat="1">
      <c r="A12" s="61"/>
      <c r="B12" s="71" t="s">
        <v>58</v>
      </c>
      <c r="C12" s="63">
        <v>0.50277777777777777</v>
      </c>
      <c r="D12" s="68">
        <f>10+13+4/60+D11</f>
        <v>92.86666666666666</v>
      </c>
      <c r="E12" s="67">
        <v>5</v>
      </c>
      <c r="F12" s="65">
        <v>0.6</v>
      </c>
      <c r="G12" s="65">
        <v>0.61799999999999999</v>
      </c>
      <c r="H12" s="65">
        <v>0.58899999999999997</v>
      </c>
      <c r="I12" s="65">
        <f t="shared" si="0"/>
        <v>0.74004000000000003</v>
      </c>
      <c r="J12" s="65">
        <f t="shared" si="1"/>
        <v>0.76224120000000006</v>
      </c>
      <c r="K12" s="65">
        <f t="shared" si="2"/>
        <v>0.72647260000000002</v>
      </c>
      <c r="L12" s="66">
        <f t="shared" si="3"/>
        <v>0.74291793333333345</v>
      </c>
      <c r="M12" s="65">
        <f t="shared" si="8"/>
        <v>1.0425290750435278E-2</v>
      </c>
      <c r="N12" s="65">
        <f t="shared" si="4"/>
        <v>-0.30105104019073525</v>
      </c>
      <c r="O12" s="65">
        <f t="shared" si="5"/>
        <v>-0.27149223794919081</v>
      </c>
      <c r="P12" s="65">
        <f t="shared" si="6"/>
        <v>-0.31955451175529492</v>
      </c>
      <c r="Q12" s="66">
        <f t="shared" si="7"/>
        <v>-0.29736592996507366</v>
      </c>
      <c r="R12" s="65">
        <f t="shared" si="9"/>
        <v>1.3996196732025542E-2</v>
      </c>
      <c r="S12" s="65">
        <f t="shared" si="10"/>
        <v>1.8233182626512107E-2</v>
      </c>
      <c r="T12" s="65">
        <f t="shared" si="11"/>
        <v>1.6231183028899171E-2</v>
      </c>
      <c r="U12" s="65">
        <f t="shared" si="12"/>
        <v>1.3439332170844358E-2</v>
      </c>
      <c r="V12" s="66">
        <f t="shared" si="13"/>
        <v>1.5967899275418546E-2</v>
      </c>
      <c r="W12" s="65">
        <f t="shared" si="14"/>
        <v>1.3901126212123493E-3</v>
      </c>
      <c r="X12" s="65">
        <f t="shared" si="15"/>
        <v>7.968844221105529E-3</v>
      </c>
      <c r="Y12" s="65">
        <f t="shared" si="16"/>
        <v>8.207909547738694E-3</v>
      </c>
      <c r="Z12" s="65">
        <f t="shared" si="17"/>
        <v>7.8227487437185945E-3</v>
      </c>
      <c r="AA12" s="66">
        <f t="shared" si="18"/>
        <v>7.9998341708542725E-3</v>
      </c>
      <c r="AB12" s="69">
        <f t="shared" si="19"/>
        <v>1.1226084799463645E-4</v>
      </c>
      <c r="AD12" s="72"/>
      <c r="AE12" s="46"/>
      <c r="AF12" s="46"/>
    </row>
    <row r="13" spans="1:32" s="9" customFormat="1">
      <c r="A13" s="61"/>
      <c r="B13" s="71" t="s">
        <v>59</v>
      </c>
      <c r="C13" s="63">
        <v>0.51458333333333328</v>
      </c>
      <c r="D13" s="68">
        <f>17/60+24+D12</f>
        <v>117.14999999999999</v>
      </c>
      <c r="E13" s="67">
        <v>6</v>
      </c>
      <c r="F13" s="65">
        <v>0.69899999999999995</v>
      </c>
      <c r="G13" s="65">
        <v>0.86099999999999999</v>
      </c>
      <c r="H13" s="65">
        <v>0.72599999999999998</v>
      </c>
      <c r="I13" s="65">
        <f t="shared" si="0"/>
        <v>0.86214659999999999</v>
      </c>
      <c r="J13" s="65">
        <f t="shared" si="1"/>
        <v>1.0619574000000001</v>
      </c>
      <c r="K13" s="65">
        <f t="shared" si="2"/>
        <v>0.89544840000000003</v>
      </c>
      <c r="L13" s="66">
        <f t="shared" si="3"/>
        <v>0.93985079999999999</v>
      </c>
      <c r="M13" s="65">
        <f t="shared" si="8"/>
        <v>6.180552508603096E-2</v>
      </c>
      <c r="N13" s="65">
        <f t="shared" si="4"/>
        <v>-0.14832995317307143</v>
      </c>
      <c r="O13" s="65">
        <f t="shared" si="5"/>
        <v>6.0113809020849181E-2</v>
      </c>
      <c r="P13" s="65">
        <f t="shared" si="6"/>
        <v>-0.11043068058208554</v>
      </c>
      <c r="Q13" s="66">
        <f t="shared" si="7"/>
        <v>-6.6215608244769256E-2</v>
      </c>
      <c r="R13" s="65">
        <f t="shared" si="9"/>
        <v>6.4105199908001523E-2</v>
      </c>
      <c r="S13" s="65">
        <f t="shared" si="10"/>
        <v>6.289131929347859E-3</v>
      </c>
      <c r="T13" s="65">
        <f t="shared" si="11"/>
        <v>1.3655705434593273E-2</v>
      </c>
      <c r="U13" s="65">
        <f t="shared" si="12"/>
        <v>8.6118255802282526E-3</v>
      </c>
      <c r="V13" s="66">
        <f t="shared" si="13"/>
        <v>9.5188876480564611E-3</v>
      </c>
      <c r="W13" s="65">
        <f t="shared" si="14"/>
        <v>2.1743713649555155E-3</v>
      </c>
      <c r="X13" s="65">
        <f t="shared" si="15"/>
        <v>7.3593393085787454E-3</v>
      </c>
      <c r="Y13" s="65">
        <f t="shared" si="16"/>
        <v>9.0649372599231771E-3</v>
      </c>
      <c r="Z13" s="65">
        <f t="shared" si="17"/>
        <v>7.6436056338028179E-3</v>
      </c>
      <c r="AA13" s="66">
        <f t="shared" si="18"/>
        <v>8.0226274007682459E-3</v>
      </c>
      <c r="AB13" s="69">
        <f t="shared" si="19"/>
        <v>5.2757597171174554E-4</v>
      </c>
      <c r="AD13" s="45"/>
      <c r="AE13" s="46"/>
      <c r="AF13" s="46"/>
    </row>
    <row r="14" spans="1:32" s="9" customFormat="1">
      <c r="A14" s="61"/>
      <c r="B14" s="71" t="s">
        <v>60</v>
      </c>
      <c r="C14" s="63">
        <v>0.49444444444444446</v>
      </c>
      <c r="D14" s="68">
        <f>11+31/60+12+24+D13</f>
        <v>164.66666666666666</v>
      </c>
      <c r="E14" s="67">
        <v>8</v>
      </c>
      <c r="F14" s="65">
        <v>1.321</v>
      </c>
      <c r="G14" s="65">
        <v>1.2589999999999999</v>
      </c>
      <c r="H14" s="65">
        <v>1.3160000000000001</v>
      </c>
      <c r="I14" s="65">
        <f t="shared" si="0"/>
        <v>1.6293214</v>
      </c>
      <c r="J14" s="65">
        <f t="shared" si="1"/>
        <v>1.5528506</v>
      </c>
      <c r="K14" s="65">
        <f t="shared" si="2"/>
        <v>1.6231544000000002</v>
      </c>
      <c r="L14" s="66">
        <f t="shared" si="3"/>
        <v>1.6017754666666668</v>
      </c>
      <c r="M14" s="65">
        <f t="shared" si="8"/>
        <v>2.4527127199717325E-2</v>
      </c>
      <c r="N14" s="65">
        <f t="shared" si="4"/>
        <v>0.48816360911544365</v>
      </c>
      <c r="O14" s="65">
        <f t="shared" si="5"/>
        <v>0.4400923386374655</v>
      </c>
      <c r="P14" s="65">
        <f t="shared" si="6"/>
        <v>0.484371416478381</v>
      </c>
      <c r="Q14" s="66">
        <f t="shared" si="7"/>
        <v>0.47087578807709668</v>
      </c>
      <c r="R14" s="65">
        <f t="shared" si="9"/>
        <v>1.5430605419111039E-2</v>
      </c>
      <c r="S14" s="65">
        <f t="shared" si="10"/>
        <v>1.3395164411543635E-2</v>
      </c>
      <c r="T14" s="65">
        <f t="shared" si="11"/>
        <v>7.9967421175015721E-3</v>
      </c>
      <c r="U14" s="65">
        <f t="shared" si="12"/>
        <v>1.2517757216284809E-2</v>
      </c>
      <c r="V14" s="66">
        <f t="shared" si="13"/>
        <v>1.1303221248443338E-2</v>
      </c>
      <c r="W14" s="65">
        <f t="shared" si="14"/>
        <v>1.6725294246627428E-3</v>
      </c>
      <c r="X14" s="65">
        <f t="shared" si="15"/>
        <v>9.8946643724696359E-3</v>
      </c>
      <c r="Y14" s="65">
        <f t="shared" si="16"/>
        <v>9.4302668016194337E-3</v>
      </c>
      <c r="Z14" s="65">
        <f t="shared" si="17"/>
        <v>9.8572129554655892E-3</v>
      </c>
      <c r="AA14" s="66">
        <f t="shared" si="18"/>
        <v>9.7273813765182196E-3</v>
      </c>
      <c r="AB14" s="69">
        <f t="shared" si="19"/>
        <v>1.4895016518046952E-4</v>
      </c>
      <c r="AD14" s="72"/>
      <c r="AE14" s="46"/>
      <c r="AF14" s="46"/>
    </row>
    <row r="15" spans="1:32" s="9" customFormat="1">
      <c r="A15" s="61"/>
      <c r="B15" s="71" t="s">
        <v>61</v>
      </c>
      <c r="C15" s="63">
        <v>0.49513888888888885</v>
      </c>
      <c r="D15" s="68">
        <f>24+1/60+D14</f>
        <v>188.68333333333334</v>
      </c>
      <c r="E15" s="67">
        <v>9</v>
      </c>
      <c r="F15" s="65">
        <f>2*0.774</f>
        <v>1.548</v>
      </c>
      <c r="G15" s="65">
        <v>1.4139999999999999</v>
      </c>
      <c r="H15" s="65">
        <f>2*0.798</f>
        <v>1.5960000000000001</v>
      </c>
      <c r="I15" s="65">
        <f t="shared" si="0"/>
        <v>1.9093032000000001</v>
      </c>
      <c r="J15" s="65">
        <f t="shared" si="1"/>
        <v>1.7440275999999999</v>
      </c>
      <c r="K15" s="65">
        <f t="shared" si="2"/>
        <v>1.9685064000000001</v>
      </c>
      <c r="L15" s="66">
        <f t="shared" si="3"/>
        <v>1.8739457333333334</v>
      </c>
      <c r="M15" s="65">
        <f t="shared" si="8"/>
        <v>6.7169675075322899E-2</v>
      </c>
      <c r="N15" s="65">
        <f t="shared" si="4"/>
        <v>0.64673835874279084</v>
      </c>
      <c r="O15" s="65">
        <f t="shared" si="5"/>
        <v>0.5561971510496363</v>
      </c>
      <c r="P15" s="65">
        <f t="shared" si="6"/>
        <v>0.6772750826028725</v>
      </c>
      <c r="Q15" s="66">
        <f t="shared" si="7"/>
        <v>0.62673686413176644</v>
      </c>
      <c r="R15" s="65">
        <f t="shared" si="9"/>
        <v>3.6354785183928054E-2</v>
      </c>
      <c r="S15" s="65">
        <f t="shared" si="10"/>
        <v>6.6026960288971728E-3</v>
      </c>
      <c r="T15" s="65">
        <f t="shared" si="11"/>
        <v>4.834343334302737E-3</v>
      </c>
      <c r="U15" s="65">
        <f t="shared" si="12"/>
        <v>8.0320749253778509E-3</v>
      </c>
      <c r="V15" s="66">
        <f t="shared" si="13"/>
        <v>6.4897047628592539E-3</v>
      </c>
      <c r="W15" s="65">
        <f t="shared" si="14"/>
        <v>9.2483279602145448E-4</v>
      </c>
      <c r="X15" s="65">
        <f t="shared" si="15"/>
        <v>1.011908771309955E-2</v>
      </c>
      <c r="Y15" s="65">
        <f t="shared" si="16"/>
        <v>9.2431460118364093E-3</v>
      </c>
      <c r="Z15" s="65">
        <f t="shared" si="17"/>
        <v>1.0432857874746047E-2</v>
      </c>
      <c r="AA15" s="66">
        <f t="shared" si="18"/>
        <v>9.9316971998940021E-3</v>
      </c>
      <c r="AB15" s="69">
        <f t="shared" si="19"/>
        <v>3.5599156474864173E-4</v>
      </c>
      <c r="AD15" s="72"/>
      <c r="AE15" s="46"/>
      <c r="AF15" s="46"/>
    </row>
    <row r="16" spans="1:32" s="9" customFormat="1">
      <c r="A16" s="61"/>
      <c r="B16" s="71" t="s">
        <v>62</v>
      </c>
      <c r="C16" s="63">
        <v>0.50763888888888886</v>
      </c>
      <c r="D16" s="68">
        <f>18/60+24+D15</f>
        <v>212.98333333333335</v>
      </c>
      <c r="E16" s="67">
        <v>10</v>
      </c>
      <c r="F16" s="65">
        <f>2*0.836</f>
        <v>1.6719999999999999</v>
      </c>
      <c r="G16" s="65">
        <f>2*0.791</f>
        <v>1.5820000000000001</v>
      </c>
      <c r="H16" s="65">
        <f>2*0.895</f>
        <v>1.79</v>
      </c>
      <c r="I16" s="65">
        <f t="shared" si="0"/>
        <v>2.0622448000000002</v>
      </c>
      <c r="J16" s="65">
        <f t="shared" si="1"/>
        <v>1.9512388000000003</v>
      </c>
      <c r="K16" s="65">
        <f t="shared" si="2"/>
        <v>2.207786</v>
      </c>
      <c r="L16" s="66">
        <f t="shared" si="3"/>
        <v>2.0737565333333339</v>
      </c>
      <c r="M16" s="65">
        <f t="shared" si="8"/>
        <v>7.4282134371178171E-2</v>
      </c>
      <c r="N16" s="65">
        <f t="shared" si="4"/>
        <v>0.72379509823776533</v>
      </c>
      <c r="O16" s="65">
        <f t="shared" si="5"/>
        <v>0.66846445292071766</v>
      </c>
      <c r="P16" s="65">
        <f t="shared" si="6"/>
        <v>0.79199020342791904</v>
      </c>
      <c r="Q16" s="66">
        <f t="shared" si="7"/>
        <v>0.72808325152880071</v>
      </c>
      <c r="R16" s="65">
        <f t="shared" si="9"/>
        <v>3.5723213524622911E-2</v>
      </c>
      <c r="S16" s="65">
        <f t="shared" si="10"/>
        <v>3.171059238476315E-3</v>
      </c>
      <c r="T16" s="65">
        <f t="shared" si="11"/>
        <v>4.6200535749416176E-3</v>
      </c>
      <c r="U16" s="65">
        <f t="shared" si="12"/>
        <v>4.7207868652282504E-3</v>
      </c>
      <c r="V16" s="66">
        <f t="shared" si="13"/>
        <v>4.1706332262153945E-3</v>
      </c>
      <c r="W16" s="65">
        <f t="shared" si="14"/>
        <v>5.0063223916245708E-4</v>
      </c>
      <c r="X16" s="65">
        <f t="shared" si="15"/>
        <v>9.6826581109632995E-3</v>
      </c>
      <c r="Y16" s="65">
        <f t="shared" si="16"/>
        <v>9.1614623992487682E-3</v>
      </c>
      <c r="Z16" s="65">
        <f t="shared" si="17"/>
        <v>1.0366003599655685E-2</v>
      </c>
      <c r="AA16" s="66">
        <f t="shared" si="18"/>
        <v>9.7367080366225836E-3</v>
      </c>
      <c r="AB16" s="69">
        <f t="shared" si="19"/>
        <v>3.4876970516242983E-4</v>
      </c>
      <c r="AD16" s="72"/>
      <c r="AE16" s="46"/>
      <c r="AF16" s="46"/>
    </row>
    <row r="17" spans="1:32" s="9" customFormat="1">
      <c r="A17" s="61"/>
      <c r="B17" s="71" t="s">
        <v>63</v>
      </c>
      <c r="C17" s="63">
        <v>0.50763888888888886</v>
      </c>
      <c r="D17" s="68">
        <f>D16+24</f>
        <v>236.98333333333335</v>
      </c>
      <c r="E17" s="67">
        <v>11</v>
      </c>
      <c r="F17" s="65">
        <f>2*0.936</f>
        <v>1.8720000000000001</v>
      </c>
      <c r="G17" s="65">
        <f>2*0.906</f>
        <v>1.8120000000000001</v>
      </c>
      <c r="H17" s="65">
        <f>2*0.976</f>
        <v>1.952</v>
      </c>
      <c r="I17" s="65">
        <f t="shared" si="0"/>
        <v>2.3089248000000002</v>
      </c>
      <c r="J17" s="65">
        <f t="shared" si="1"/>
        <v>2.2349208000000003</v>
      </c>
      <c r="K17" s="65">
        <f t="shared" si="2"/>
        <v>2.4075967999999999</v>
      </c>
      <c r="L17" s="66">
        <f t="shared" si="3"/>
        <v>2.3171474666666669</v>
      </c>
      <c r="M17" s="65">
        <f t="shared" si="8"/>
        <v>5.0016528699132048E-2</v>
      </c>
      <c r="N17" s="65">
        <f t="shared" si="4"/>
        <v>0.83678196163065577</v>
      </c>
      <c r="O17" s="65">
        <f t="shared" si="5"/>
        <v>0.80420579119604307</v>
      </c>
      <c r="P17" s="65">
        <f t="shared" si="6"/>
        <v>0.87862907156615611</v>
      </c>
      <c r="Q17" s="66">
        <f t="shared" si="7"/>
        <v>0.83987227479761828</v>
      </c>
      <c r="R17" s="65">
        <f t="shared" si="9"/>
        <v>2.1539643233385117E-2</v>
      </c>
      <c r="S17" s="65">
        <f t="shared" si="10"/>
        <v>4.7077859747037681E-3</v>
      </c>
      <c r="T17" s="65">
        <f t="shared" si="11"/>
        <v>5.6558890948052261E-3</v>
      </c>
      <c r="U17" s="65">
        <f t="shared" si="12"/>
        <v>3.6099528390932112E-3</v>
      </c>
      <c r="V17" s="66">
        <f t="shared" si="13"/>
        <v>4.657875969534069E-3</v>
      </c>
      <c r="W17" s="65">
        <f t="shared" si="14"/>
        <v>5.9113789904760648E-4</v>
      </c>
      <c r="X17" s="65">
        <f t="shared" si="15"/>
        <v>9.7429838947886635E-3</v>
      </c>
      <c r="Y17" s="65">
        <f t="shared" si="16"/>
        <v>9.4307087699556941E-3</v>
      </c>
      <c r="Z17" s="65">
        <f t="shared" si="17"/>
        <v>1.0159350727899289E-2</v>
      </c>
      <c r="AA17" s="66">
        <f t="shared" si="18"/>
        <v>9.7776811308812137E-3</v>
      </c>
      <c r="AB17" s="69">
        <f t="shared" si="19"/>
        <v>2.1105504760868707E-4</v>
      </c>
      <c r="AD17" s="72"/>
      <c r="AE17" s="46"/>
      <c r="AF17" s="46"/>
    </row>
    <row r="18" spans="1:32" s="9" customFormat="1">
      <c r="A18" s="61"/>
      <c r="B18" s="71" t="s">
        <v>64</v>
      </c>
      <c r="C18" s="63">
        <v>0.50624999999999998</v>
      </c>
      <c r="D18" s="68">
        <f>23+58/60+24+D16</f>
        <v>260.95000000000005</v>
      </c>
      <c r="E18" s="67">
        <v>12</v>
      </c>
      <c r="F18" s="65">
        <f>4*0.564</f>
        <v>2.2559999999999998</v>
      </c>
      <c r="G18" s="65">
        <f>4*0.366</f>
        <v>1.464</v>
      </c>
      <c r="H18" s="65">
        <f>4*0.699</f>
        <v>2.7959999999999998</v>
      </c>
      <c r="I18" s="65">
        <f t="shared" si="0"/>
        <v>2.7825503999999999</v>
      </c>
      <c r="J18" s="65">
        <f t="shared" si="1"/>
        <v>1.8056976</v>
      </c>
      <c r="K18" s="65">
        <f t="shared" si="2"/>
        <v>3.4485863999999999</v>
      </c>
      <c r="L18" s="66">
        <f t="shared" si="3"/>
        <v>2.6789448</v>
      </c>
      <c r="M18" s="65">
        <v>5.5E-2</v>
      </c>
      <c r="N18" s="65">
        <f t="shared" si="4"/>
        <v>1.0233679172110679</v>
      </c>
      <c r="O18" s="65">
        <f t="shared" si="5"/>
        <v>0.5909469991143752</v>
      </c>
      <c r="P18" s="65">
        <f t="shared" si="6"/>
        <v>1.2379644079468193</v>
      </c>
      <c r="Q18" s="66">
        <f t="shared" si="7"/>
        <v>0.95075977475742091</v>
      </c>
      <c r="R18" s="65">
        <f t="shared" si="9"/>
        <v>0.1902733460016485</v>
      </c>
      <c r="S18" s="65">
        <f t="shared" si="10"/>
        <v>7.7852276320060599E-3</v>
      </c>
      <c r="T18" s="65">
        <f t="shared" si="11"/>
        <v>-8.8981415333101912E-3</v>
      </c>
      <c r="U18" s="65">
        <f t="shared" si="12"/>
        <v>1.4993129473462978E-2</v>
      </c>
      <c r="V18" s="66">
        <f t="shared" si="13"/>
        <v>4.6267385240529486E-3</v>
      </c>
      <c r="W18" s="65">
        <f t="shared" si="14"/>
        <v>7.0753150145079274E-3</v>
      </c>
      <c r="X18" s="65">
        <f t="shared" si="15"/>
        <v>1.0663155393753591E-2</v>
      </c>
      <c r="Y18" s="65">
        <f t="shared" si="16"/>
        <v>6.9197072236060536E-3</v>
      </c>
      <c r="Z18" s="65">
        <f t="shared" si="17"/>
        <v>1.3215506418854184E-2</v>
      </c>
      <c r="AA18" s="66">
        <f t="shared" si="18"/>
        <v>1.0266123012071277E-2</v>
      </c>
      <c r="AB18" s="69">
        <f t="shared" si="19"/>
        <v>1.8282503394229141E-3</v>
      </c>
      <c r="AD18" s="72"/>
      <c r="AE18" s="46"/>
      <c r="AF18" s="46"/>
    </row>
    <row r="19" spans="1:32" s="9" customFormat="1">
      <c r="A19" s="61"/>
      <c r="B19" s="71" t="s">
        <v>65</v>
      </c>
      <c r="C19" s="63">
        <v>0.50624999999999998</v>
      </c>
      <c r="D19" s="68">
        <f>D18+24</f>
        <v>284.95000000000005</v>
      </c>
      <c r="E19" s="67">
        <v>13</v>
      </c>
      <c r="F19" s="65">
        <f>4*0.664</f>
        <v>2.6560000000000001</v>
      </c>
      <c r="G19" s="65">
        <f>4*0.594</f>
        <v>2.3759999999999999</v>
      </c>
      <c r="H19" s="65">
        <f t="shared" ref="H19" si="20">4*0.564</f>
        <v>2.2559999999999998</v>
      </c>
      <c r="I19" s="65">
        <f t="shared" si="0"/>
        <v>3.2759104000000003</v>
      </c>
      <c r="J19" s="65">
        <f t="shared" si="1"/>
        <v>2.9305583999999998</v>
      </c>
      <c r="K19" s="65">
        <f t="shared" si="2"/>
        <v>2.7825503999999999</v>
      </c>
      <c r="L19" s="66">
        <f t="shared" si="3"/>
        <v>2.996339733333333</v>
      </c>
      <c r="M19" s="65">
        <f t="shared" si="8"/>
        <v>0.14616931992422746</v>
      </c>
      <c r="N19" s="65">
        <f t="shared" si="4"/>
        <v>1.1865958151894429</v>
      </c>
      <c r="O19" s="65">
        <f t="shared" si="5"/>
        <v>1.0751929850756539</v>
      </c>
      <c r="P19" s="65">
        <f t="shared" si="6"/>
        <v>1.0233679172110679</v>
      </c>
      <c r="Q19" s="66">
        <f t="shared" si="7"/>
        <v>1.0950522391587216</v>
      </c>
      <c r="R19" s="65">
        <f t="shared" si="9"/>
        <v>4.8154712989009286E-2</v>
      </c>
      <c r="S19" s="65">
        <f t="shared" si="10"/>
        <v>6.8011624157656254E-3</v>
      </c>
      <c r="T19" s="65">
        <f t="shared" si="11"/>
        <v>2.0176916081719943E-2</v>
      </c>
      <c r="U19" s="65">
        <f t="shared" si="12"/>
        <v>-8.9415204473229735E-3</v>
      </c>
      <c r="V19" s="66">
        <f t="shared" si="13"/>
        <v>6.0121860167208661E-3</v>
      </c>
      <c r="W19" s="65">
        <f t="shared" si="14"/>
        <v>8.4150202870158005E-3</v>
      </c>
      <c r="X19" s="65">
        <f t="shared" si="15"/>
        <v>1.1496439375329005E-2</v>
      </c>
      <c r="Y19" s="65">
        <f t="shared" si="16"/>
        <v>1.0284465344797331E-2</v>
      </c>
      <c r="Z19" s="65">
        <f t="shared" si="17"/>
        <v>9.7650479031408995E-3</v>
      </c>
      <c r="AA19" s="66">
        <f t="shared" si="18"/>
        <v>1.051531754108908E-2</v>
      </c>
      <c r="AB19" s="69">
        <f t="shared" si="19"/>
        <v>5.1296480057633784E-4</v>
      </c>
      <c r="AD19" s="72"/>
      <c r="AE19" s="46"/>
      <c r="AF19" s="46"/>
    </row>
    <row r="20" spans="1:32" s="9" customFormat="1">
      <c r="A20" s="61"/>
      <c r="B20" s="71" t="s">
        <v>66</v>
      </c>
      <c r="C20" s="63">
        <v>0.50624999999999998</v>
      </c>
      <c r="D20" s="68">
        <f>D19+24</f>
        <v>308.95000000000005</v>
      </c>
      <c r="E20" s="67">
        <v>14</v>
      </c>
      <c r="F20" s="65">
        <f>4*0.674</f>
        <v>2.6960000000000002</v>
      </c>
      <c r="G20" s="65">
        <f>4*0.684</f>
        <v>2.7360000000000002</v>
      </c>
      <c r="H20" s="65">
        <f t="shared" ref="H20" si="21">4*0.664</f>
        <v>2.6560000000000001</v>
      </c>
      <c r="I20" s="65">
        <f t="shared" si="0"/>
        <v>3.3252464000000002</v>
      </c>
      <c r="J20" s="65">
        <f t="shared" si="1"/>
        <v>3.3745824000000004</v>
      </c>
      <c r="K20" s="65">
        <f t="shared" si="2"/>
        <v>3.2759104000000003</v>
      </c>
      <c r="L20" s="66">
        <f t="shared" si="3"/>
        <v>3.3252464000000006</v>
      </c>
      <c r="M20" s="65">
        <f t="shared" si="8"/>
        <v>2.8484152880739404E-2</v>
      </c>
      <c r="N20" s="65">
        <f t="shared" si="4"/>
        <v>1.2015437766253161</v>
      </c>
      <c r="O20" s="65">
        <f t="shared" si="5"/>
        <v>1.2162715833355595</v>
      </c>
      <c r="P20" s="65">
        <f t="shared" si="6"/>
        <v>1.1865958151894429</v>
      </c>
      <c r="Q20" s="66">
        <f t="shared" si="7"/>
        <v>1.2014703917167726</v>
      </c>
      <c r="R20" s="65">
        <f t="shared" si="9"/>
        <v>8.5667349434526644E-3</v>
      </c>
      <c r="S20" s="65">
        <f t="shared" si="10"/>
        <v>6.2283172649471585E-4</v>
      </c>
      <c r="T20" s="65">
        <f t="shared" si="11"/>
        <v>5.8782749274960688E-3</v>
      </c>
      <c r="U20" s="65">
        <f t="shared" si="12"/>
        <v>6.8011624157656254E-3</v>
      </c>
      <c r="V20" s="66">
        <f t="shared" si="13"/>
        <v>4.4340896899188039E-3</v>
      </c>
      <c r="W20" s="65">
        <f t="shared" si="14"/>
        <v>1.9241617895266988E-3</v>
      </c>
      <c r="X20" s="65">
        <f t="shared" si="15"/>
        <v>1.0763056805308301E-2</v>
      </c>
      <c r="Y20" s="65">
        <f t="shared" si="16"/>
        <v>1.0922746075416734E-2</v>
      </c>
      <c r="Z20" s="65">
        <f t="shared" si="17"/>
        <v>1.0603367535199869E-2</v>
      </c>
      <c r="AA20" s="66">
        <f t="shared" si="18"/>
        <v>1.0763056805308301E-2</v>
      </c>
      <c r="AB20" s="69">
        <f t="shared" si="19"/>
        <v>9.2196643083798272E-5</v>
      </c>
      <c r="AD20" s="72"/>
      <c r="AE20" s="46"/>
      <c r="AF20" s="46"/>
    </row>
    <row r="21" spans="1:32" s="9" customFormat="1">
      <c r="A21" s="61"/>
      <c r="B21" s="61" t="s">
        <v>67</v>
      </c>
      <c r="C21" s="63">
        <v>0.50624999999999998</v>
      </c>
      <c r="D21" s="68">
        <f>D20+24</f>
        <v>332.95000000000005</v>
      </c>
      <c r="E21" s="67">
        <v>15</v>
      </c>
      <c r="F21" s="65">
        <f>4*0.714</f>
        <v>2.8559999999999999</v>
      </c>
      <c r="G21" s="65">
        <f>4*0.728</f>
        <v>2.9119999999999999</v>
      </c>
      <c r="H21" s="65">
        <f>4*0.727</f>
        <v>2.9079999999999999</v>
      </c>
      <c r="I21" s="65">
        <f t="shared" si="0"/>
        <v>3.5225903999999999</v>
      </c>
      <c r="J21" s="65">
        <f t="shared" si="1"/>
        <v>3.5916608000000001</v>
      </c>
      <c r="K21" s="65">
        <f t="shared" si="2"/>
        <v>3.5867271999999999</v>
      </c>
      <c r="L21" s="66">
        <f t="shared" si="3"/>
        <v>3.5669928</v>
      </c>
      <c r="M21" s="65">
        <f t="shared" si="8"/>
        <v>2.2246834580527067E-2</v>
      </c>
      <c r="N21" s="65">
        <f t="shared" si="4"/>
        <v>1.2591966280525932</v>
      </c>
      <c r="O21" s="65">
        <f t="shared" si="5"/>
        <v>1.2786147139096951</v>
      </c>
      <c r="P21" s="65">
        <f t="shared" si="6"/>
        <v>1.2772401432465283</v>
      </c>
      <c r="Q21" s="66">
        <f t="shared" si="7"/>
        <v>1.2716838284029388</v>
      </c>
      <c r="R21" s="65">
        <f t="shared" si="9"/>
        <v>6.2561966766096202E-3</v>
      </c>
      <c r="S21" s="65">
        <f t="shared" si="10"/>
        <v>2.402202142803215E-3</v>
      </c>
      <c r="T21" s="65">
        <f t="shared" si="11"/>
        <v>2.5976304405889807E-3</v>
      </c>
      <c r="U21" s="65">
        <f t="shared" si="12"/>
        <v>3.7768470023785603E-3</v>
      </c>
      <c r="V21" s="66">
        <f t="shared" si="13"/>
        <v>2.9255598619235853E-3</v>
      </c>
      <c r="W21" s="65">
        <f t="shared" si="14"/>
        <v>4.2936596725942573E-4</v>
      </c>
      <c r="X21" s="65">
        <f t="shared" si="15"/>
        <v>1.0579938128848174E-2</v>
      </c>
      <c r="Y21" s="65">
        <f t="shared" si="16"/>
        <v>1.0787387896080492E-2</v>
      </c>
      <c r="Z21" s="65">
        <f t="shared" si="17"/>
        <v>1.0772570055563896E-2</v>
      </c>
      <c r="AA21" s="66">
        <f t="shared" si="18"/>
        <v>1.0713298693497519E-2</v>
      </c>
      <c r="AB21" s="69">
        <f t="shared" si="19"/>
        <v>6.6817343686820886E-5</v>
      </c>
      <c r="AD21" s="72"/>
      <c r="AE21" s="46"/>
      <c r="AF21" s="46"/>
    </row>
    <row r="22" spans="1:32" s="9" customFormat="1">
      <c r="A22" s="61"/>
      <c r="B22" s="61" t="s">
        <v>68</v>
      </c>
      <c r="C22" s="63">
        <v>0.48749999999999999</v>
      </c>
      <c r="D22" s="68">
        <f>11+33/60+12+24+24+D18+24</f>
        <v>356.50000000000006</v>
      </c>
      <c r="E22" s="67">
        <v>16</v>
      </c>
      <c r="F22" s="65">
        <f>4*0.76</f>
        <v>3.04</v>
      </c>
      <c r="G22" s="65">
        <f>4*0.797</f>
        <v>3.1880000000000002</v>
      </c>
      <c r="H22" s="65">
        <f>4*0.796</f>
        <v>3.1840000000000002</v>
      </c>
      <c r="I22" s="65">
        <f t="shared" si="0"/>
        <v>3.749536</v>
      </c>
      <c r="J22" s="65">
        <f t="shared" si="1"/>
        <v>3.9320792000000004</v>
      </c>
      <c r="K22" s="65">
        <f t="shared" si="2"/>
        <v>3.9271456000000002</v>
      </c>
      <c r="L22" s="66">
        <f t="shared" si="3"/>
        <v>3.8695869333333337</v>
      </c>
      <c r="M22" s="65">
        <f t="shared" si="8"/>
        <v>6.0042360179830209E-2</v>
      </c>
      <c r="N22" s="65">
        <f t="shared" si="4"/>
        <v>1.3216320989933856</v>
      </c>
      <c r="O22" s="65">
        <f t="shared" si="5"/>
        <v>1.3691683445032241</v>
      </c>
      <c r="P22" s="65">
        <f t="shared" si="6"/>
        <v>1.367912851557392</v>
      </c>
      <c r="Q22" s="66">
        <f t="shared" si="7"/>
        <v>1.3529044316846672</v>
      </c>
      <c r="R22" s="65">
        <f t="shared" si="9"/>
        <v>1.5640366146608256E-2</v>
      </c>
      <c r="S22" s="65">
        <f t="shared" si="10"/>
        <v>2.6511877257236667E-3</v>
      </c>
      <c r="T22" s="65">
        <f t="shared" si="11"/>
        <v>3.8451647810415716E-3</v>
      </c>
      <c r="U22" s="65">
        <f t="shared" si="12"/>
        <v>3.8502211596969666E-3</v>
      </c>
      <c r="V22" s="66">
        <f t="shared" si="13"/>
        <v>3.4488578888207349E-3</v>
      </c>
      <c r="W22" s="65">
        <f t="shared" si="14"/>
        <v>3.9883775254387772E-4</v>
      </c>
      <c r="X22" s="65">
        <f t="shared" si="15"/>
        <v>1.0517632538569422E-2</v>
      </c>
      <c r="Y22" s="65">
        <f t="shared" si="16"/>
        <v>1.1029675175315567E-2</v>
      </c>
      <c r="Z22" s="65">
        <f t="shared" si="17"/>
        <v>1.1015836185133238E-2</v>
      </c>
      <c r="AA22" s="66">
        <f t="shared" si="18"/>
        <v>1.0854381299672741E-2</v>
      </c>
      <c r="AB22" s="69">
        <f t="shared" si="19"/>
        <v>1.6842176768535819E-4</v>
      </c>
      <c r="AD22" s="72"/>
      <c r="AE22" s="46"/>
      <c r="AF22" s="46"/>
    </row>
    <row r="23" spans="1:32" s="9" customFormat="1">
      <c r="A23" s="61"/>
      <c r="B23" s="61" t="s">
        <v>69</v>
      </c>
      <c r="C23" s="63">
        <v>0.52638888888888891</v>
      </c>
      <c r="D23" s="68">
        <f>56/60+24+D22</f>
        <v>381.43333333333339</v>
      </c>
      <c r="E23" s="67">
        <v>17</v>
      </c>
      <c r="F23" s="65">
        <f>4*0.804</f>
        <v>3.2160000000000002</v>
      </c>
      <c r="G23" s="65">
        <f>4*0.86</f>
        <v>3.44</v>
      </c>
      <c r="H23" s="65">
        <f>4*0.86</f>
        <v>3.44</v>
      </c>
      <c r="I23" s="65">
        <f t="shared" si="0"/>
        <v>3.9666144000000005</v>
      </c>
      <c r="J23" s="65">
        <f t="shared" si="1"/>
        <v>4.242896</v>
      </c>
      <c r="K23" s="65">
        <f t="shared" si="2"/>
        <v>4.242896</v>
      </c>
      <c r="L23" s="66">
        <f t="shared" si="3"/>
        <v>4.1508021333333334</v>
      </c>
      <c r="M23" s="65">
        <f t="shared" si="8"/>
        <v>9.2093866666666496E-2</v>
      </c>
      <c r="N23" s="65">
        <f t="shared" si="4"/>
        <v>1.3779129348919754</v>
      </c>
      <c r="O23" s="65">
        <f t="shared" si="5"/>
        <v>1.4452460549605624</v>
      </c>
      <c r="P23" s="65">
        <f t="shared" si="6"/>
        <v>1.4452460549605624</v>
      </c>
      <c r="Q23" s="66">
        <f t="shared" si="7"/>
        <v>1.4228016816043667</v>
      </c>
      <c r="R23" s="65">
        <f t="shared" si="9"/>
        <v>2.2444373356195646E-2</v>
      </c>
      <c r="S23" s="65">
        <f t="shared" si="10"/>
        <v>2.2572527766814084E-3</v>
      </c>
      <c r="T23" s="65">
        <f t="shared" si="11"/>
        <v>3.0512450718183782E-3</v>
      </c>
      <c r="U23" s="65">
        <f t="shared" si="12"/>
        <v>3.1015990669720746E-3</v>
      </c>
      <c r="V23" s="66">
        <f t="shared" si="13"/>
        <v>2.8033656384906201E-3</v>
      </c>
      <c r="W23" s="65">
        <f t="shared" si="14"/>
        <v>2.7344306206964446E-4</v>
      </c>
      <c r="X23" s="65">
        <f t="shared" si="15"/>
        <v>1.0399233767368697E-2</v>
      </c>
      <c r="Y23" s="65">
        <f t="shared" si="16"/>
        <v>1.1123558507384425E-2</v>
      </c>
      <c r="Z23" s="65">
        <f t="shared" si="17"/>
        <v>1.1123558507384425E-2</v>
      </c>
      <c r="AA23" s="66">
        <f t="shared" si="18"/>
        <v>1.0882116927379183E-2</v>
      </c>
      <c r="AB23" s="69">
        <f t="shared" si="19"/>
        <v>2.414415800052426E-4</v>
      </c>
      <c r="AD23" s="72"/>
      <c r="AE23" s="46"/>
      <c r="AF23" s="46"/>
    </row>
    <row r="24" spans="1:32" s="9" customFormat="1">
      <c r="B24" s="61" t="s">
        <v>70</v>
      </c>
      <c r="C24" s="63">
        <v>0.52638888888888891</v>
      </c>
      <c r="D24" s="68">
        <f>D23+24</f>
        <v>405.43333333333339</v>
      </c>
      <c r="E24" s="67">
        <v>18</v>
      </c>
      <c r="F24" s="65">
        <f>4*0.844</f>
        <v>3.3759999999999999</v>
      </c>
      <c r="G24" s="65">
        <f>4*0.849</f>
        <v>3.3959999999999999</v>
      </c>
      <c r="H24" s="65">
        <f>4*0.861</f>
        <v>3.444</v>
      </c>
      <c r="I24" s="65">
        <f t="shared" si="0"/>
        <v>4.1639584000000003</v>
      </c>
      <c r="J24" s="65">
        <f t="shared" si="1"/>
        <v>4.1886264000000004</v>
      </c>
      <c r="K24" s="65">
        <f t="shared" si="2"/>
        <v>4.2478296000000002</v>
      </c>
      <c r="L24" s="66">
        <f t="shared" si="3"/>
        <v>4.2001381333333336</v>
      </c>
      <c r="M24" s="65">
        <f t="shared" si="8"/>
        <v>2.4886305140333229E-2</v>
      </c>
      <c r="N24" s="65">
        <f t="shared" si="4"/>
        <v>1.4264661603089661</v>
      </c>
      <c r="O24" s="65">
        <f t="shared" si="5"/>
        <v>1.4323728520243564</v>
      </c>
      <c r="P24" s="65">
        <f t="shared" si="6"/>
        <v>1.4464081701407399</v>
      </c>
      <c r="Q24" s="66">
        <f t="shared" si="7"/>
        <v>1.4350823941580206</v>
      </c>
      <c r="R24" s="65">
        <f t="shared" si="9"/>
        <v>5.9140271942565272E-3</v>
      </c>
      <c r="S24" s="65">
        <f>(N24-N23)/(D24-D23)</f>
        <v>2.0230510590412789E-3</v>
      </c>
      <c r="T24" s="65">
        <f>(O24-O23)/(D24-D23)</f>
        <v>-5.3638345567524892E-4</v>
      </c>
      <c r="U24" s="65">
        <f>(P24-P23)/(D24-D23)</f>
        <v>4.8421465840729296E-5</v>
      </c>
      <c r="V24" s="66">
        <f t="shared" si="13"/>
        <v>5.1169635640225316E-4</v>
      </c>
      <c r="W24" s="65">
        <f t="shared" si="14"/>
        <v>7.7430484456471273E-4</v>
      </c>
      <c r="X24" s="65">
        <f t="shared" si="15"/>
        <v>1.0270389870920002E-2</v>
      </c>
      <c r="Y24" s="65">
        <f t="shared" si="16"/>
        <v>1.0331233412809339E-2</v>
      </c>
      <c r="Z24" s="65">
        <f t="shared" si="17"/>
        <v>1.0477257913343746E-2</v>
      </c>
      <c r="AA24" s="66">
        <f t="shared" si="18"/>
        <v>1.035962706569103E-2</v>
      </c>
      <c r="AB24" s="69">
        <f t="shared" si="19"/>
        <v>6.1381990809010698E-5</v>
      </c>
      <c r="AD24" s="72"/>
      <c r="AE24" s="46"/>
      <c r="AF24" s="46"/>
    </row>
    <row r="25" spans="1:32" s="9" customFormat="1" ht="15" thickBot="1">
      <c r="B25" s="61" t="s">
        <v>73</v>
      </c>
      <c r="C25" s="63">
        <v>0.52638888888888891</v>
      </c>
      <c r="D25" s="68">
        <f>D24+24</f>
        <v>429.43333333333339</v>
      </c>
      <c r="E25" s="67">
        <v>19</v>
      </c>
      <c r="F25" s="65">
        <f>4*0.864</f>
        <v>3.456</v>
      </c>
      <c r="G25" s="65">
        <f>4*0.829</f>
        <v>3.3159999999999998</v>
      </c>
      <c r="H25" s="65">
        <f>4*0.871</f>
        <v>3.484</v>
      </c>
      <c r="I25" s="65">
        <f t="shared" si="0"/>
        <v>4.2626303999999999</v>
      </c>
      <c r="J25" s="65">
        <f t="shared" si="1"/>
        <v>4.0899543999999999</v>
      </c>
      <c r="K25" s="65">
        <f t="shared" si="2"/>
        <v>4.2971656000000005</v>
      </c>
      <c r="L25" s="66">
        <f t="shared" si="3"/>
        <v>4.2165834666666662</v>
      </c>
      <c r="M25" s="65">
        <f t="shared" si="8"/>
        <v>6.4094618607735923E-2</v>
      </c>
      <c r="N25" s="65">
        <f t="shared" si="4"/>
        <v>1.4498864345170646</v>
      </c>
      <c r="O25" s="65">
        <f>LN(J25)</f>
        <v>1.4085338208483038</v>
      </c>
      <c r="P25" s="65">
        <f t="shared" si="6"/>
        <v>1.4579556425655118</v>
      </c>
      <c r="Q25" s="66">
        <f>AVERAGE(N25:P25)</f>
        <v>1.4387919659769601</v>
      </c>
      <c r="R25" s="65">
        <f t="shared" si="9"/>
        <v>1.530734616235398E-2</v>
      </c>
      <c r="S25" s="65">
        <f>(N25-N24)/(D25-D24)</f>
        <v>9.7584475867076859E-4</v>
      </c>
      <c r="T25" s="65">
        <f>(O25-O24)/(D25-D24)</f>
        <v>-9.9329296566885716E-4</v>
      </c>
      <c r="U25" s="65">
        <f>(P25-P24)/(D25-D24)</f>
        <v>4.8114468436549762E-4</v>
      </c>
      <c r="V25" s="66">
        <f t="shared" si="13"/>
        <v>1.5456549245580301E-4</v>
      </c>
      <c r="W25" s="65">
        <f t="shared" si="14"/>
        <v>5.9142943247571873E-4</v>
      </c>
      <c r="X25" s="65">
        <f t="shared" si="15"/>
        <v>9.9261749592486209E-3</v>
      </c>
      <c r="Y25" s="65">
        <f t="shared" si="16"/>
        <v>9.5240729643716517E-3</v>
      </c>
      <c r="Z25" s="65">
        <f t="shared" si="17"/>
        <v>1.0006595358224016E-2</v>
      </c>
      <c r="AA25" s="66">
        <f t="shared" si="18"/>
        <v>9.8189477606147636E-3</v>
      </c>
      <c r="AB25" s="69">
        <f t="shared" si="19"/>
        <v>1.4925394381992365E-4</v>
      </c>
      <c r="AD25" s="72"/>
      <c r="AE25" s="46"/>
      <c r="AF25" s="46"/>
    </row>
    <row r="26" spans="1:32" ht="15" thickBot="1">
      <c r="B26" s="74" t="s">
        <v>98</v>
      </c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6"/>
    </row>
    <row r="27" spans="1:32" ht="60">
      <c r="B27" s="34" t="s">
        <v>0</v>
      </c>
      <c r="C27" s="35" t="s">
        <v>1</v>
      </c>
      <c r="D27" s="36" t="s">
        <v>2</v>
      </c>
      <c r="E27" s="37" t="s">
        <v>3</v>
      </c>
      <c r="F27" s="38" t="s">
        <v>46</v>
      </c>
      <c r="G27" s="39"/>
      <c r="H27" s="40"/>
      <c r="I27" s="41" t="s">
        <v>8</v>
      </c>
      <c r="J27" s="39"/>
      <c r="K27" s="40"/>
      <c r="L27" s="42" t="s">
        <v>4</v>
      </c>
      <c r="M27" s="43" t="s">
        <v>72</v>
      </c>
      <c r="N27" s="41" t="s">
        <v>48</v>
      </c>
      <c r="O27" s="39"/>
      <c r="P27" s="40"/>
      <c r="Q27" s="43" t="s">
        <v>5</v>
      </c>
      <c r="R27" s="43" t="s">
        <v>47</v>
      </c>
      <c r="S27" s="77" t="s">
        <v>6</v>
      </c>
      <c r="T27" s="78"/>
      <c r="U27" s="224"/>
      <c r="V27" s="42" t="s">
        <v>49</v>
      </c>
      <c r="W27" s="42" t="s">
        <v>47</v>
      </c>
      <c r="X27" s="41" t="s">
        <v>50</v>
      </c>
      <c r="Y27" s="39"/>
      <c r="Z27" s="40"/>
      <c r="AA27" s="42" t="s">
        <v>51</v>
      </c>
      <c r="AB27" s="44" t="s">
        <v>47</v>
      </c>
    </row>
    <row r="28" spans="1:32" ht="15" customHeight="1">
      <c r="B28" s="47"/>
      <c r="C28" s="79"/>
      <c r="D28" s="54"/>
      <c r="E28" s="49"/>
      <c r="F28" s="50" t="s">
        <v>11</v>
      </c>
      <c r="G28" s="51"/>
      <c r="H28" s="52"/>
      <c r="I28" s="53" t="s">
        <v>7</v>
      </c>
      <c r="J28" s="51"/>
      <c r="K28" s="52"/>
      <c r="L28" s="54" t="s">
        <v>7</v>
      </c>
      <c r="M28" s="54"/>
      <c r="N28" s="53" t="s">
        <v>7</v>
      </c>
      <c r="O28" s="51"/>
      <c r="P28" s="52"/>
      <c r="Q28" s="55"/>
      <c r="R28" s="55"/>
      <c r="S28" s="80" t="s">
        <v>52</v>
      </c>
      <c r="T28" s="225"/>
      <c r="U28" s="226"/>
      <c r="V28" s="54" t="s">
        <v>52</v>
      </c>
      <c r="W28" s="48"/>
      <c r="X28" s="56" t="s">
        <v>53</v>
      </c>
      <c r="Y28" s="57"/>
      <c r="Z28" s="58"/>
      <c r="AA28" s="59" t="s">
        <v>53</v>
      </c>
      <c r="AB28" s="60"/>
    </row>
    <row r="29" spans="1:32" s="9" customFormat="1" ht="13">
      <c r="B29" s="62" t="s">
        <v>19</v>
      </c>
      <c r="C29" s="227">
        <v>0.51041666666666663</v>
      </c>
      <c r="D29" s="228">
        <v>0</v>
      </c>
      <c r="E29" s="64">
        <v>1</v>
      </c>
      <c r="F29" s="229">
        <v>9.6000000000000002E-2</v>
      </c>
      <c r="G29" s="229">
        <v>0.10299999999999999</v>
      </c>
      <c r="H29" s="229"/>
      <c r="I29" s="229">
        <f t="shared" ref="I29:J44" si="22">1.2334*F29</f>
        <v>0.11840640000000001</v>
      </c>
      <c r="J29" s="229">
        <f t="shared" si="22"/>
        <v>0.12704019999999999</v>
      </c>
      <c r="K29" s="229"/>
      <c r="L29" s="230">
        <f t="shared" ref="L29:L44" si="23">AVERAGE(I29:K29)</f>
        <v>0.12272330000000001</v>
      </c>
      <c r="M29" s="229">
        <f>STDEV(I29:K29)/SQRT(3)</f>
        <v>3.5247340902068939E-3</v>
      </c>
      <c r="N29" s="229">
        <f t="shared" ref="N29:O44" si="24">LN(I29)</f>
        <v>-2.1336325039390451</v>
      </c>
      <c r="O29" s="229">
        <f t="shared" si="24"/>
        <v>-2.0632517071772458</v>
      </c>
      <c r="P29" s="229"/>
      <c r="Q29" s="230">
        <f t="shared" ref="Q29:Q44" si="25">AVERAGE(N29:P29)</f>
        <v>-2.0984421055581457</v>
      </c>
      <c r="R29" s="229">
        <f>STDEV(N29:P29)/SQRT(3)</f>
        <v>2.8732839959489154E-2</v>
      </c>
      <c r="S29" s="229"/>
      <c r="T29" s="229"/>
      <c r="U29" s="231"/>
      <c r="V29" s="232"/>
      <c r="W29" s="231"/>
      <c r="X29" s="231"/>
      <c r="Y29" s="231"/>
      <c r="Z29" s="231"/>
      <c r="AA29" s="232"/>
      <c r="AB29" s="83"/>
      <c r="AC29" s="84"/>
    </row>
    <row r="30" spans="1:32" s="9" customFormat="1" ht="13">
      <c r="B30" s="62"/>
      <c r="C30" s="227">
        <v>0.69930555555555562</v>
      </c>
      <c r="D30" s="233">
        <f>4+32/60</f>
        <v>4.5333333333333332</v>
      </c>
      <c r="E30" s="64"/>
      <c r="F30" s="229">
        <v>0.125</v>
      </c>
      <c r="G30" s="229">
        <v>0.124</v>
      </c>
      <c r="H30" s="229"/>
      <c r="I30" s="229">
        <f t="shared" si="22"/>
        <v>0.15417500000000001</v>
      </c>
      <c r="J30" s="229">
        <f t="shared" si="22"/>
        <v>0.15294160000000001</v>
      </c>
      <c r="K30" s="229"/>
      <c r="L30" s="230">
        <f t="shared" si="23"/>
        <v>0.15355830000000001</v>
      </c>
      <c r="M30" s="229">
        <f t="shared" ref="M30:M44" si="26">STDEV(I30:K30)/SQRT(3)</f>
        <v>5.0353344145812691E-4</v>
      </c>
      <c r="N30" s="229">
        <f t="shared" si="24"/>
        <v>-1.8696669581045804</v>
      </c>
      <c r="O30" s="229">
        <f t="shared" si="24"/>
        <v>-1.8776991298018448</v>
      </c>
      <c r="P30" s="229"/>
      <c r="Q30" s="230">
        <f t="shared" si="25"/>
        <v>-1.8736830439532126</v>
      </c>
      <c r="R30" s="229">
        <f t="shared" ref="R30:R44" si="27">STDEV(N30:P30)/SQRT(3)</f>
        <v>3.2791203641204351E-3</v>
      </c>
      <c r="S30" s="229">
        <f>(N30-N29)/(D30-D29)</f>
        <v>5.8227693934073108E-2</v>
      </c>
      <c r="T30" s="229">
        <f>(O30-O29)/(D30-D29)</f>
        <v>4.0930715597514926E-2</v>
      </c>
      <c r="U30" s="229"/>
      <c r="V30" s="230">
        <f>AVERAGE(S30:U30)</f>
        <v>4.9579204765794013E-2</v>
      </c>
      <c r="W30" s="229">
        <f>STDEV(S30:U30)/SQRT(3)</f>
        <v>7.061461836090366E-3</v>
      </c>
      <c r="X30" s="229">
        <f>I30/D30</f>
        <v>3.4009191176470589E-2</v>
      </c>
      <c r="Y30" s="229">
        <f>J30/D30</f>
        <v>3.3737117647058827E-2</v>
      </c>
      <c r="Z30" s="229"/>
      <c r="AA30" s="230">
        <f>AVERAGE(X30:Z30)</f>
        <v>3.3873154411764708E-2</v>
      </c>
      <c r="AB30" s="69">
        <f>STDEV(X30:Z30)/SQRT(3)</f>
        <v>1.1107355326282143E-4</v>
      </c>
    </row>
    <row r="31" spans="1:32" s="9" customFormat="1" ht="13">
      <c r="B31" s="62"/>
      <c r="C31" s="227">
        <v>0.84305555555555556</v>
      </c>
      <c r="D31" s="233">
        <f>3+27/60+D30</f>
        <v>7.9833333333333334</v>
      </c>
      <c r="E31" s="64"/>
      <c r="F31" s="229">
        <v>0.157</v>
      </c>
      <c r="G31" s="229">
        <v>0.16500000000000001</v>
      </c>
      <c r="H31" s="229"/>
      <c r="I31" s="229">
        <f t="shared" si="22"/>
        <v>0.1936438</v>
      </c>
      <c r="J31" s="229">
        <f t="shared" si="22"/>
        <v>0.20351100000000003</v>
      </c>
      <c r="K31" s="229"/>
      <c r="L31" s="230">
        <f t="shared" si="23"/>
        <v>0.19857740000000002</v>
      </c>
      <c r="M31" s="229">
        <f t="shared" si="26"/>
        <v>4.0282675316650378E-3</v>
      </c>
      <c r="N31" s="229">
        <f t="shared" si="24"/>
        <v>-1.6417348900585735</v>
      </c>
      <c r="O31" s="229">
        <f t="shared" si="24"/>
        <v>-1.5920352215063009</v>
      </c>
      <c r="P31" s="229"/>
      <c r="Q31" s="230">
        <f t="shared" si="25"/>
        <v>-1.6168850557824372</v>
      </c>
      <c r="R31" s="229">
        <f t="shared" si="27"/>
        <v>2.0289804723085902E-2</v>
      </c>
      <c r="S31" s="229">
        <f t="shared" ref="S31:S44" si="28">(N31-N30)/(D31-D30)</f>
        <v>6.6067266100291844E-2</v>
      </c>
      <c r="T31" s="229">
        <f t="shared" ref="T31:T44" si="29">(O31-O30)/(D31-D30)</f>
        <v>8.2801132839288083E-2</v>
      </c>
      <c r="U31" s="229"/>
      <c r="V31" s="230">
        <f t="shared" ref="V31:V44" si="30">AVERAGE(S31:U31)</f>
        <v>7.4434199469789963E-2</v>
      </c>
      <c r="W31" s="229">
        <f t="shared" ref="W31:W44" si="31">STDEV(S31:U31)/SQRT(3)</f>
        <v>6.8315724890453382E-3</v>
      </c>
      <c r="X31" s="229">
        <f t="shared" ref="X31:X44" si="32">I31/D31</f>
        <v>2.425600835073069E-2</v>
      </c>
      <c r="Y31" s="229">
        <f t="shared" ref="Y31:Y44" si="33">J31/D31</f>
        <v>2.5491983298538624E-2</v>
      </c>
      <c r="Z31" s="229"/>
      <c r="AA31" s="230">
        <f t="shared" ref="AA31:AA44" si="34">AVERAGE(X31:Z31)</f>
        <v>2.4873995824634655E-2</v>
      </c>
      <c r="AB31" s="69">
        <f t="shared" ref="AB31:AB44" si="35">STDEV(X31:Z31)/SQRT(3)</f>
        <v>5.0458465949875127E-4</v>
      </c>
    </row>
    <row r="32" spans="1:32" s="9" customFormat="1" ht="15" customHeight="1">
      <c r="B32" s="70" t="s">
        <v>20</v>
      </c>
      <c r="C32" s="227">
        <v>0.46249999999999997</v>
      </c>
      <c r="D32" s="233">
        <f>10+51/60+12</f>
        <v>22.85</v>
      </c>
      <c r="E32" s="64">
        <v>2</v>
      </c>
      <c r="F32" s="229">
        <v>0.19700000000000001</v>
      </c>
      <c r="G32" s="229">
        <v>0.187</v>
      </c>
      <c r="H32" s="229"/>
      <c r="I32" s="229">
        <f t="shared" si="22"/>
        <v>0.24297980000000002</v>
      </c>
      <c r="J32" s="229">
        <f t="shared" si="22"/>
        <v>0.23064580000000001</v>
      </c>
      <c r="K32" s="229"/>
      <c r="L32" s="230">
        <f t="shared" si="23"/>
        <v>0.23681280000000002</v>
      </c>
      <c r="M32" s="229">
        <f t="shared" si="26"/>
        <v>5.0353344145812919E-3</v>
      </c>
      <c r="N32" s="229">
        <f t="shared" si="24"/>
        <v>-1.414776966668893</v>
      </c>
      <c r="O32" s="229">
        <f t="shared" si="24"/>
        <v>-1.4668720785522951</v>
      </c>
      <c r="P32" s="229"/>
      <c r="Q32" s="230">
        <f t="shared" si="25"/>
        <v>-1.440824522610594</v>
      </c>
      <c r="R32" s="229">
        <f t="shared" si="27"/>
        <v>2.1267740367922582E-2</v>
      </c>
      <c r="S32" s="229">
        <f t="shared" si="28"/>
        <v>1.5266228030696003E-2</v>
      </c>
      <c r="T32" s="229">
        <f t="shared" si="29"/>
        <v>8.4190454901797666E-3</v>
      </c>
      <c r="U32" s="229"/>
      <c r="V32" s="230">
        <f t="shared" si="30"/>
        <v>1.1842636760437885E-2</v>
      </c>
      <c r="W32" s="229">
        <f t="shared" si="31"/>
        <v>2.7953505666597632E-3</v>
      </c>
      <c r="X32" s="229">
        <f t="shared" si="32"/>
        <v>1.0633689277899344E-2</v>
      </c>
      <c r="Y32" s="229">
        <f t="shared" si="33"/>
        <v>1.0093908096280087E-2</v>
      </c>
      <c r="Z32" s="229"/>
      <c r="AA32" s="230">
        <f t="shared" si="34"/>
        <v>1.0363798687089715E-2</v>
      </c>
      <c r="AB32" s="69">
        <f t="shared" si="35"/>
        <v>2.2036474462062581E-4</v>
      </c>
    </row>
    <row r="33" spans="1:28" s="9" customFormat="1" ht="13">
      <c r="B33" s="70" t="s">
        <v>21</v>
      </c>
      <c r="C33" s="227">
        <v>0.43402777777777773</v>
      </c>
      <c r="D33" s="233">
        <f>11+19/60+12+D32</f>
        <v>46.166666666666671</v>
      </c>
      <c r="E33" s="64">
        <v>3</v>
      </c>
      <c r="F33" s="229">
        <v>0.28799999999999998</v>
      </c>
      <c r="G33" s="229">
        <v>0.311</v>
      </c>
      <c r="H33" s="229"/>
      <c r="I33" s="229">
        <f t="shared" si="22"/>
        <v>0.35521920000000001</v>
      </c>
      <c r="J33" s="229">
        <f t="shared" si="22"/>
        <v>0.38358740000000002</v>
      </c>
      <c r="K33" s="229"/>
      <c r="L33" s="230">
        <f t="shared" si="23"/>
        <v>0.36940329999999999</v>
      </c>
      <c r="M33" s="229">
        <f t="shared" si="26"/>
        <v>1.1581269153536964E-2</v>
      </c>
      <c r="N33" s="229">
        <f t="shared" si="24"/>
        <v>-1.0350202152709358</v>
      </c>
      <c r="O33" s="229">
        <f t="shared" si="24"/>
        <v>-0.95818778322764753</v>
      </c>
      <c r="P33" s="229"/>
      <c r="Q33" s="230">
        <f t="shared" si="25"/>
        <v>-0.99660399924929166</v>
      </c>
      <c r="R33" s="229">
        <f t="shared" si="27"/>
        <v>3.1366709033853371E-2</v>
      </c>
      <c r="S33" s="229">
        <f t="shared" si="28"/>
        <v>1.6286922861956703E-2</v>
      </c>
      <c r="T33" s="229">
        <f t="shared" si="29"/>
        <v>2.1816338612922693E-2</v>
      </c>
      <c r="U33" s="229"/>
      <c r="V33" s="230">
        <f t="shared" si="30"/>
        <v>1.90516307374397E-2</v>
      </c>
      <c r="W33" s="229">
        <f t="shared" si="31"/>
        <v>2.2573745275958229E-3</v>
      </c>
      <c r="X33" s="229">
        <f t="shared" si="32"/>
        <v>7.6942787003610102E-3</v>
      </c>
      <c r="Y33" s="229">
        <f t="shared" si="33"/>
        <v>8.3087523465703965E-3</v>
      </c>
      <c r="Z33" s="229"/>
      <c r="AA33" s="230">
        <f t="shared" si="34"/>
        <v>8.0015155234657038E-3</v>
      </c>
      <c r="AB33" s="69">
        <f t="shared" si="35"/>
        <v>2.5085781560007852E-4</v>
      </c>
    </row>
    <row r="34" spans="1:28" s="9" customFormat="1" ht="15" customHeight="1">
      <c r="B34" s="71" t="s">
        <v>22</v>
      </c>
      <c r="C34" s="227">
        <v>0.41875000000000001</v>
      </c>
      <c r="D34" s="233">
        <f>11+38/60+12+D33</f>
        <v>69.800000000000011</v>
      </c>
      <c r="E34" s="67">
        <v>4</v>
      </c>
      <c r="F34" s="229">
        <v>0.436</v>
      </c>
      <c r="G34" s="229">
        <v>0.46600000000000003</v>
      </c>
      <c r="H34" s="229"/>
      <c r="I34" s="229">
        <f t="shared" si="22"/>
        <v>0.53776239999999997</v>
      </c>
      <c r="J34" s="229">
        <f t="shared" si="22"/>
        <v>0.57476440000000006</v>
      </c>
      <c r="K34" s="229"/>
      <c r="L34" s="230">
        <f t="shared" si="23"/>
        <v>0.55626339999999996</v>
      </c>
      <c r="M34" s="229">
        <f t="shared" si="26"/>
        <v>1.5106003243743898E-2</v>
      </c>
      <c r="N34" s="229">
        <f t="shared" si="24"/>
        <v>-0.62033845205784743</v>
      </c>
      <c r="O34" s="229">
        <f t="shared" si="24"/>
        <v>-0.55379506128123568</v>
      </c>
      <c r="P34" s="229"/>
      <c r="Q34" s="230">
        <f t="shared" si="25"/>
        <v>-0.58706675666954156</v>
      </c>
      <c r="R34" s="229">
        <f t="shared" si="27"/>
        <v>2.7166225526220542E-2</v>
      </c>
      <c r="S34" s="229">
        <f t="shared" si="28"/>
        <v>1.7546477992091181E-2</v>
      </c>
      <c r="T34" s="229">
        <f t="shared" si="29"/>
        <v>1.7111116584474402E-2</v>
      </c>
      <c r="U34" s="229"/>
      <c r="V34" s="230">
        <f t="shared" si="30"/>
        <v>1.7328797288282793E-2</v>
      </c>
      <c r="W34" s="229">
        <f t="shared" si="31"/>
        <v>1.7773555039349119E-4</v>
      </c>
      <c r="X34" s="229">
        <f t="shared" si="32"/>
        <v>7.7043323782234937E-3</v>
      </c>
      <c r="Y34" s="229">
        <f t="shared" si="33"/>
        <v>8.2344469914040104E-3</v>
      </c>
      <c r="Z34" s="229"/>
      <c r="AA34" s="230">
        <f t="shared" si="34"/>
        <v>7.9693896848137512E-3</v>
      </c>
      <c r="AB34" s="69">
        <f t="shared" si="35"/>
        <v>2.1641838458085798E-4</v>
      </c>
    </row>
    <row r="35" spans="1:28" s="9" customFormat="1" ht="13">
      <c r="B35" s="71" t="s">
        <v>23</v>
      </c>
      <c r="C35" s="227">
        <v>0.5</v>
      </c>
      <c r="D35" s="233">
        <f>1+57/60+24+24+D34</f>
        <v>119.75000000000001</v>
      </c>
      <c r="E35" s="67">
        <v>6</v>
      </c>
      <c r="F35" s="229">
        <v>0.69199999999999995</v>
      </c>
      <c r="G35" s="229">
        <v>0.67600000000000005</v>
      </c>
      <c r="H35" s="229"/>
      <c r="I35" s="229">
        <f t="shared" si="22"/>
        <v>0.85351279999999996</v>
      </c>
      <c r="J35" s="229">
        <f t="shared" si="22"/>
        <v>0.83377840000000014</v>
      </c>
      <c r="K35" s="229"/>
      <c r="L35" s="230">
        <f t="shared" si="23"/>
        <v>0.84364560000000011</v>
      </c>
      <c r="M35" s="229">
        <f t="shared" si="26"/>
        <v>8.0565350633299854E-3</v>
      </c>
      <c r="N35" s="229">
        <f t="shared" si="24"/>
        <v>-0.15839473978921215</v>
      </c>
      <c r="O35" s="229">
        <f t="shared" si="24"/>
        <v>-0.18178761936391741</v>
      </c>
      <c r="P35" s="229"/>
      <c r="Q35" s="230">
        <f t="shared" si="25"/>
        <v>-0.17009117957656478</v>
      </c>
      <c r="R35" s="229">
        <f t="shared" si="27"/>
        <v>9.5501030954004418E-3</v>
      </c>
      <c r="S35" s="229">
        <f t="shared" si="28"/>
        <v>9.248122367740445E-3</v>
      </c>
      <c r="T35" s="229">
        <f t="shared" si="29"/>
        <v>7.4475964347811459E-3</v>
      </c>
      <c r="U35" s="229"/>
      <c r="V35" s="230">
        <f t="shared" si="30"/>
        <v>8.3478594012607946E-3</v>
      </c>
      <c r="W35" s="229">
        <f t="shared" si="31"/>
        <v>7.3506163406648591E-4</v>
      </c>
      <c r="X35" s="229">
        <f t="shared" si="32"/>
        <v>7.12745553235908E-3</v>
      </c>
      <c r="Y35" s="229">
        <f t="shared" si="33"/>
        <v>6.9626588726513575E-3</v>
      </c>
      <c r="Z35" s="229"/>
      <c r="AA35" s="230">
        <f t="shared" si="34"/>
        <v>7.0450572025052187E-3</v>
      </c>
      <c r="AB35" s="69">
        <f t="shared" si="35"/>
        <v>6.7277954599832707E-5</v>
      </c>
    </row>
    <row r="36" spans="1:28" s="9" customFormat="1" ht="13">
      <c r="B36" s="71" t="s">
        <v>24</v>
      </c>
      <c r="C36" s="227">
        <v>0.47916666666666669</v>
      </c>
      <c r="D36" s="233">
        <f>11+30/60+12+24+24+D35</f>
        <v>191.25</v>
      </c>
      <c r="E36" s="67">
        <v>8</v>
      </c>
      <c r="F36" s="229">
        <v>1.528</v>
      </c>
      <c r="G36" s="229">
        <v>1.347</v>
      </c>
      <c r="H36" s="229"/>
      <c r="I36" s="229">
        <f t="shared" si="22"/>
        <v>1.8846352000000002</v>
      </c>
      <c r="J36" s="229">
        <f t="shared" si="22"/>
        <v>1.6613898</v>
      </c>
      <c r="K36" s="229"/>
      <c r="L36" s="230">
        <f t="shared" si="23"/>
        <v>1.7730125000000001</v>
      </c>
      <c r="M36" s="229">
        <f t="shared" si="26"/>
        <v>9.1139552903921353E-2</v>
      </c>
      <c r="N36" s="229">
        <f t="shared" si="24"/>
        <v>0.63373427431958418</v>
      </c>
      <c r="O36" s="229">
        <f t="shared" si="24"/>
        <v>0.50765448100348232</v>
      </c>
      <c r="P36" s="229"/>
      <c r="Q36" s="230">
        <f t="shared" si="25"/>
        <v>0.57069437766153319</v>
      </c>
      <c r="R36" s="229">
        <f t="shared" si="27"/>
        <v>5.1471860083336263E-2</v>
      </c>
      <c r="S36" s="229">
        <f t="shared" si="28"/>
        <v>1.1078727470053097E-2</v>
      </c>
      <c r="T36" s="229">
        <f t="shared" si="29"/>
        <v>9.6425468582853127E-3</v>
      </c>
      <c r="U36" s="229"/>
      <c r="V36" s="230">
        <f t="shared" si="30"/>
        <v>1.0360637164169205E-2</v>
      </c>
      <c r="W36" s="229">
        <f t="shared" si="31"/>
        <v>5.86318279551543E-4</v>
      </c>
      <c r="X36" s="229">
        <f t="shared" si="32"/>
        <v>9.8543016993464065E-3</v>
      </c>
      <c r="Y36" s="229">
        <f t="shared" si="33"/>
        <v>8.6870054901960793E-3</v>
      </c>
      <c r="Z36" s="229"/>
      <c r="AA36" s="230">
        <f t="shared" si="34"/>
        <v>9.2706535947712429E-3</v>
      </c>
      <c r="AB36" s="69">
        <f t="shared" si="35"/>
        <v>4.7654668185056901E-4</v>
      </c>
    </row>
    <row r="37" spans="1:28" s="9" customFormat="1" ht="13">
      <c r="B37" s="71" t="s">
        <v>25</v>
      </c>
      <c r="C37" s="227">
        <v>0.47916666666666669</v>
      </c>
      <c r="D37" s="233">
        <f>48+D36</f>
        <v>239.25</v>
      </c>
      <c r="E37" s="67">
        <v>10</v>
      </c>
      <c r="F37" s="229">
        <v>1.8740000000000001</v>
      </c>
      <c r="G37" s="229">
        <v>1.85</v>
      </c>
      <c r="H37" s="229"/>
      <c r="I37" s="229">
        <f t="shared" si="22"/>
        <v>2.3113916000000003</v>
      </c>
      <c r="J37" s="229">
        <f t="shared" si="22"/>
        <v>2.28179</v>
      </c>
      <c r="K37" s="229"/>
      <c r="L37" s="230">
        <f t="shared" si="23"/>
        <v>2.2965908000000002</v>
      </c>
      <c r="M37" s="229">
        <f t="shared" si="26"/>
        <v>1.2084802594995225E-2</v>
      </c>
      <c r="N37" s="229">
        <f t="shared" si="24"/>
        <v>0.83784976739148598</v>
      </c>
      <c r="O37" s="229">
        <f t="shared" si="24"/>
        <v>0.82496022266548885</v>
      </c>
      <c r="P37" s="229"/>
      <c r="Q37" s="230">
        <f t="shared" si="25"/>
        <v>0.83140499502848741</v>
      </c>
      <c r="R37" s="229">
        <f t="shared" si="27"/>
        <v>5.2621345992458291E-3</v>
      </c>
      <c r="S37" s="229">
        <f t="shared" si="28"/>
        <v>4.2524061056646205E-3</v>
      </c>
      <c r="T37" s="229">
        <f t="shared" si="29"/>
        <v>6.6105362846251361E-3</v>
      </c>
      <c r="U37" s="229"/>
      <c r="V37" s="230">
        <f t="shared" si="30"/>
        <v>5.4314711951448779E-3</v>
      </c>
      <c r="W37" s="229">
        <f t="shared" si="31"/>
        <v>9.6270261425187404E-4</v>
      </c>
      <c r="X37" s="229">
        <f t="shared" si="32"/>
        <v>9.6609889237199587E-3</v>
      </c>
      <c r="Y37" s="229">
        <f t="shared" si="33"/>
        <v>9.5372622779519335E-3</v>
      </c>
      <c r="Z37" s="229"/>
      <c r="AA37" s="230">
        <f t="shared" si="34"/>
        <v>9.599125600835947E-3</v>
      </c>
      <c r="AB37" s="69">
        <f t="shared" si="35"/>
        <v>5.0511191619624246E-5</v>
      </c>
    </row>
    <row r="38" spans="1:28" s="9" customFormat="1" ht="13">
      <c r="B38" s="71" t="s">
        <v>26</v>
      </c>
      <c r="C38" s="227">
        <v>0.47916666666666669</v>
      </c>
      <c r="D38" s="233">
        <f>D37+24+24+24</f>
        <v>311.25</v>
      </c>
      <c r="E38" s="67">
        <v>13</v>
      </c>
      <c r="F38" s="229">
        <v>2.6520000000000001</v>
      </c>
      <c r="G38" s="229">
        <v>2.6269999999999998</v>
      </c>
      <c r="H38" s="229"/>
      <c r="I38" s="229">
        <f t="shared" si="22"/>
        <v>3.2709768000000001</v>
      </c>
      <c r="J38" s="229">
        <f t="shared" si="22"/>
        <v>3.2401418</v>
      </c>
      <c r="K38" s="229"/>
      <c r="L38" s="230">
        <f t="shared" si="23"/>
        <v>3.2555592999999998</v>
      </c>
      <c r="M38" s="229">
        <f t="shared" si="26"/>
        <v>1.2588336036453285E-2</v>
      </c>
      <c r="N38" s="229">
        <f t="shared" si="24"/>
        <v>1.1850886558988716</v>
      </c>
      <c r="O38" s="229">
        <f t="shared" si="24"/>
        <v>1.1756170942786581</v>
      </c>
      <c r="P38" s="229"/>
      <c r="Q38" s="230">
        <f t="shared" si="25"/>
        <v>1.1803528750887649</v>
      </c>
      <c r="R38" s="229">
        <f t="shared" si="27"/>
        <v>3.8667488394752794E-3</v>
      </c>
      <c r="S38" s="229">
        <f t="shared" si="28"/>
        <v>4.8227623403803554E-3</v>
      </c>
      <c r="T38" s="229">
        <f t="shared" si="29"/>
        <v>4.870234327960684E-3</v>
      </c>
      <c r="U38" s="229"/>
      <c r="V38" s="230">
        <f t="shared" si="30"/>
        <v>4.8464983341705197E-3</v>
      </c>
      <c r="W38" s="229">
        <f t="shared" si="31"/>
        <v>1.9380357774590889E-5</v>
      </c>
      <c r="X38" s="229">
        <f t="shared" si="32"/>
        <v>1.0509162409638555E-2</v>
      </c>
      <c r="Y38" s="229">
        <f t="shared" si="33"/>
        <v>1.0410094136546184E-2</v>
      </c>
      <c r="Z38" s="229"/>
      <c r="AA38" s="230">
        <f t="shared" si="34"/>
        <v>1.045962827309237E-2</v>
      </c>
      <c r="AB38" s="69">
        <f t="shared" si="35"/>
        <v>4.0444453129167449E-5</v>
      </c>
    </row>
    <row r="39" spans="1:28" s="9" customFormat="1" ht="13">
      <c r="B39" s="71" t="s">
        <v>27</v>
      </c>
      <c r="C39" s="227">
        <v>0.46875</v>
      </c>
      <c r="D39" s="233">
        <f>D38+23+45/60</f>
        <v>335</v>
      </c>
      <c r="E39" s="67">
        <v>14</v>
      </c>
      <c r="F39" s="229">
        <v>2.6840000000000002</v>
      </c>
      <c r="G39" s="229">
        <v>2.7890000000000001</v>
      </c>
      <c r="H39" s="229"/>
      <c r="I39" s="229">
        <f t="shared" si="22"/>
        <v>3.3104456000000004</v>
      </c>
      <c r="J39" s="229">
        <f t="shared" si="22"/>
        <v>3.4399526000000002</v>
      </c>
      <c r="K39" s="229"/>
      <c r="L39" s="230">
        <f t="shared" si="23"/>
        <v>3.3751991000000006</v>
      </c>
      <c r="M39" s="229">
        <f t="shared" si="26"/>
        <v>5.2871011353103438E-2</v>
      </c>
      <c r="N39" s="229">
        <f t="shared" si="24"/>
        <v>1.1970828026846909</v>
      </c>
      <c r="O39" s="229">
        <f t="shared" si="24"/>
        <v>1.2354576922206073</v>
      </c>
      <c r="P39" s="229"/>
      <c r="Q39" s="230">
        <f t="shared" si="25"/>
        <v>1.2162702474526492</v>
      </c>
      <c r="R39" s="229">
        <f t="shared" si="27"/>
        <v>1.5666483049777451E-2</v>
      </c>
      <c r="S39" s="229">
        <f t="shared" si="28"/>
        <v>5.0501670677134051E-4</v>
      </c>
      <c r="T39" s="229">
        <f t="shared" si="29"/>
        <v>2.5196041238715445E-3</v>
      </c>
      <c r="U39" s="229"/>
      <c r="V39" s="230">
        <f t="shared" si="30"/>
        <v>1.5123104153214424E-3</v>
      </c>
      <c r="W39" s="229">
        <f t="shared" si="31"/>
        <v>8.2245186902116772E-4</v>
      </c>
      <c r="X39" s="229">
        <f t="shared" si="32"/>
        <v>9.8819271641791065E-3</v>
      </c>
      <c r="Y39" s="229">
        <f t="shared" si="33"/>
        <v>1.0268515223880597E-2</v>
      </c>
      <c r="Z39" s="229"/>
      <c r="AA39" s="230">
        <f t="shared" si="34"/>
        <v>1.0075221194029852E-2</v>
      </c>
      <c r="AB39" s="69">
        <f t="shared" si="35"/>
        <v>1.578239144868753E-4</v>
      </c>
    </row>
    <row r="40" spans="1:28" s="9" customFormat="1" ht="13">
      <c r="B40" s="71" t="s">
        <v>28</v>
      </c>
      <c r="C40" s="227">
        <v>0.47569444444444442</v>
      </c>
      <c r="D40" s="233">
        <f>D39+24+10/60</f>
        <v>359.16666666666669</v>
      </c>
      <c r="E40" s="67">
        <v>15</v>
      </c>
      <c r="F40" s="229">
        <v>2.794</v>
      </c>
      <c r="G40" s="229">
        <v>2.859</v>
      </c>
      <c r="H40" s="229"/>
      <c r="I40" s="229">
        <f t="shared" si="22"/>
        <v>3.4461196000000003</v>
      </c>
      <c r="J40" s="229">
        <f t="shared" si="22"/>
        <v>3.5262906000000003</v>
      </c>
      <c r="K40" s="229"/>
      <c r="L40" s="230">
        <f t="shared" si="23"/>
        <v>3.4862051000000003</v>
      </c>
      <c r="M40" s="229">
        <f t="shared" si="26"/>
        <v>3.2729673694778361E-2</v>
      </c>
      <c r="N40" s="229">
        <f t="shared" si="24"/>
        <v>1.2372488444100256</v>
      </c>
      <c r="O40" s="229">
        <f t="shared" si="24"/>
        <v>1.2602464969154301</v>
      </c>
      <c r="P40" s="229"/>
      <c r="Q40" s="230">
        <f t="shared" si="25"/>
        <v>1.2487476706627278</v>
      </c>
      <c r="R40" s="229">
        <f t="shared" si="27"/>
        <v>9.3887523200133771E-3</v>
      </c>
      <c r="S40" s="229">
        <f t="shared" si="28"/>
        <v>1.6620431058759159E-3</v>
      </c>
      <c r="T40" s="229">
        <f t="shared" si="29"/>
        <v>1.0257436425443914E-3</v>
      </c>
      <c r="U40" s="229"/>
      <c r="V40" s="230">
        <f t="shared" si="30"/>
        <v>1.3438933742101536E-3</v>
      </c>
      <c r="W40" s="229">
        <f t="shared" si="31"/>
        <v>2.5976816812816835E-4</v>
      </c>
      <c r="X40" s="229">
        <f t="shared" si="32"/>
        <v>9.5947645475638055E-3</v>
      </c>
      <c r="Y40" s="229">
        <f t="shared" si="33"/>
        <v>9.8179784686774942E-3</v>
      </c>
      <c r="Z40" s="229"/>
      <c r="AA40" s="230">
        <f t="shared" si="34"/>
        <v>9.7063715081206498E-3</v>
      </c>
      <c r="AB40" s="69">
        <f t="shared" si="35"/>
        <v>9.1126701702398994E-5</v>
      </c>
    </row>
    <row r="41" spans="1:28" s="9" customFormat="1" ht="13">
      <c r="B41" s="71" t="s">
        <v>29</v>
      </c>
      <c r="C41" s="227">
        <v>0.47222222222222227</v>
      </c>
      <c r="D41" s="233">
        <f>23+50/60+D40</f>
        <v>383</v>
      </c>
      <c r="E41" s="67">
        <v>16</v>
      </c>
      <c r="F41" s="229">
        <f>0.748*4</f>
        <v>2.992</v>
      </c>
      <c r="G41" s="229">
        <f>4*0.713</f>
        <v>2.8519999999999999</v>
      </c>
      <c r="H41" s="229"/>
      <c r="I41" s="229">
        <f t="shared" si="22"/>
        <v>3.6903328000000002</v>
      </c>
      <c r="J41" s="229">
        <f t="shared" si="22"/>
        <v>3.5176568000000001</v>
      </c>
      <c r="K41" s="229"/>
      <c r="L41" s="230">
        <f t="shared" si="23"/>
        <v>3.6039948000000002</v>
      </c>
      <c r="M41" s="229">
        <f t="shared" si="26"/>
        <v>7.0494681804138037E-2</v>
      </c>
      <c r="N41" s="229">
        <f t="shared" si="24"/>
        <v>1.3057166436874863</v>
      </c>
      <c r="O41" s="229">
        <f t="shared" si="24"/>
        <v>1.2577950861273048</v>
      </c>
      <c r="P41" s="229"/>
      <c r="Q41" s="230">
        <f t="shared" si="25"/>
        <v>1.2817558649073955</v>
      </c>
      <c r="R41" s="229">
        <f t="shared" si="27"/>
        <v>1.9563893950309694E-2</v>
      </c>
      <c r="S41" s="229">
        <f t="shared" si="28"/>
        <v>2.8727747948584939E-3</v>
      </c>
      <c r="T41" s="229">
        <f t="shared" si="29"/>
        <v>-1.0285639670455705E-4</v>
      </c>
      <c r="U41" s="229"/>
      <c r="V41" s="230">
        <f t="shared" si="30"/>
        <v>1.3849591990769685E-3</v>
      </c>
      <c r="W41" s="229">
        <f t="shared" si="31"/>
        <v>1.214796347006563E-3</v>
      </c>
      <c r="X41" s="229">
        <f t="shared" si="32"/>
        <v>9.6353336814621413E-3</v>
      </c>
      <c r="Y41" s="229">
        <f t="shared" si="33"/>
        <v>9.1844825065274163E-3</v>
      </c>
      <c r="Z41" s="229"/>
      <c r="AA41" s="230">
        <f t="shared" si="34"/>
        <v>9.4099080939947788E-3</v>
      </c>
      <c r="AB41" s="69">
        <f t="shared" si="35"/>
        <v>1.8405922142072557E-4</v>
      </c>
    </row>
    <row r="42" spans="1:28" s="9" customFormat="1" ht="13">
      <c r="B42" s="71" t="s">
        <v>30</v>
      </c>
      <c r="C42" s="227">
        <v>0.27083333333333331</v>
      </c>
      <c r="D42" s="233">
        <f>7+12+10/60+D41</f>
        <v>402.16666666666669</v>
      </c>
      <c r="E42" s="67">
        <v>17</v>
      </c>
      <c r="F42" s="229">
        <f>4*0.746</f>
        <v>2.984</v>
      </c>
      <c r="G42" s="229">
        <f>4*0.748</f>
        <v>2.992</v>
      </c>
      <c r="H42" s="229"/>
      <c r="I42" s="229">
        <f t="shared" si="22"/>
        <v>3.6804656000000002</v>
      </c>
      <c r="J42" s="229">
        <f t="shared" si="22"/>
        <v>3.6903328000000002</v>
      </c>
      <c r="K42" s="229"/>
      <c r="L42" s="230">
        <f t="shared" si="23"/>
        <v>3.6853992</v>
      </c>
      <c r="M42" s="229">
        <f t="shared" si="26"/>
        <v>4.0282675316650153E-3</v>
      </c>
      <c r="N42" s="229">
        <f t="shared" si="24"/>
        <v>1.3030392659167698</v>
      </c>
      <c r="O42" s="229">
        <f t="shared" si="24"/>
        <v>1.3057166436874863</v>
      </c>
      <c r="P42" s="229"/>
      <c r="Q42" s="230">
        <f t="shared" si="25"/>
        <v>1.3043779548021281</v>
      </c>
      <c r="R42" s="229">
        <f t="shared" si="27"/>
        <v>1.0930348978209707E-3</v>
      </c>
      <c r="S42" s="229">
        <f t="shared" si="28"/>
        <v>-1.3968927499390563E-4</v>
      </c>
      <c r="T42" s="229">
        <f t="shared" si="29"/>
        <v>2.5002551770529433E-3</v>
      </c>
      <c r="U42" s="229"/>
      <c r="V42" s="230">
        <f t="shared" si="30"/>
        <v>1.1802829510295188E-3</v>
      </c>
      <c r="W42" s="229">
        <f t="shared" si="31"/>
        <v>1.0777528094676858E-3</v>
      </c>
      <c r="X42" s="229">
        <f t="shared" si="32"/>
        <v>9.1515928719436389E-3</v>
      </c>
      <c r="Y42" s="229">
        <f t="shared" si="33"/>
        <v>9.1761279734769996E-3</v>
      </c>
      <c r="Z42" s="229"/>
      <c r="AA42" s="230">
        <f t="shared" si="34"/>
        <v>9.1638604227103192E-3</v>
      </c>
      <c r="AB42" s="69">
        <f t="shared" si="35"/>
        <v>1.001641325735182E-5</v>
      </c>
    </row>
    <row r="43" spans="1:28" s="9" customFormat="1" ht="13">
      <c r="B43" s="71" t="s">
        <v>31</v>
      </c>
      <c r="C43" s="227">
        <v>0.47916666666666669</v>
      </c>
      <c r="D43" s="233">
        <f>5+24+D42</f>
        <v>431.16666666666669</v>
      </c>
      <c r="E43" s="67">
        <v>18</v>
      </c>
      <c r="F43" s="229">
        <f>4*0.76</f>
        <v>3.04</v>
      </c>
      <c r="G43" s="229">
        <f>4*0.75</f>
        <v>3</v>
      </c>
      <c r="H43" s="229"/>
      <c r="I43" s="229">
        <f t="shared" si="22"/>
        <v>3.749536</v>
      </c>
      <c r="J43" s="229">
        <f t="shared" si="22"/>
        <v>3.7002000000000002</v>
      </c>
      <c r="K43" s="229"/>
      <c r="L43" s="230">
        <f t="shared" si="23"/>
        <v>3.7248679999999998</v>
      </c>
      <c r="M43" s="229">
        <f t="shared" si="26"/>
        <v>2.0141337658325074E-2</v>
      </c>
      <c r="N43" s="229">
        <f t="shared" si="24"/>
        <v>1.3216320989933856</v>
      </c>
      <c r="O43" s="229">
        <f t="shared" si="24"/>
        <v>1.3083868722433651</v>
      </c>
      <c r="P43" s="229"/>
      <c r="Q43" s="230">
        <f t="shared" si="25"/>
        <v>1.3150094856183754</v>
      </c>
      <c r="R43" s="229">
        <f t="shared" si="27"/>
        <v>5.4073411775020933E-3</v>
      </c>
      <c r="S43" s="229">
        <f t="shared" si="28"/>
        <v>6.4113217505571915E-4</v>
      </c>
      <c r="T43" s="229">
        <f t="shared" si="29"/>
        <v>9.2076846754442744E-5</v>
      </c>
      <c r="U43" s="229"/>
      <c r="V43" s="230">
        <f t="shared" si="30"/>
        <v>3.6660451090508097E-4</v>
      </c>
      <c r="W43" s="229">
        <f t="shared" si="31"/>
        <v>2.2415089914907117E-4</v>
      </c>
      <c r="X43" s="229">
        <f t="shared" si="32"/>
        <v>8.6962566679551594E-3</v>
      </c>
      <c r="Y43" s="229">
        <f t="shared" si="33"/>
        <v>8.5818322381136444E-3</v>
      </c>
      <c r="Z43" s="229"/>
      <c r="AA43" s="230">
        <f t="shared" si="34"/>
        <v>8.6390444530344019E-3</v>
      </c>
      <c r="AB43" s="69">
        <f t="shared" si="35"/>
        <v>4.6713577870100707E-5</v>
      </c>
    </row>
    <row r="44" spans="1:28" s="9" customFormat="1" thickBot="1">
      <c r="A44" s="73"/>
      <c r="B44" s="234" t="s">
        <v>32</v>
      </c>
      <c r="C44" s="85">
        <v>0.50347222222222221</v>
      </c>
      <c r="D44" s="86">
        <f>35/60+24+D43</f>
        <v>455.75</v>
      </c>
      <c r="E44" s="73">
        <v>19</v>
      </c>
      <c r="F44" s="87">
        <f>4*0.768</f>
        <v>3.0720000000000001</v>
      </c>
      <c r="G44" s="87">
        <f>4*0.765</f>
        <v>3.06</v>
      </c>
      <c r="H44" s="87"/>
      <c r="I44" s="87">
        <f t="shared" si="22"/>
        <v>3.7890048000000003</v>
      </c>
      <c r="J44" s="87">
        <f t="shared" si="22"/>
        <v>3.7742040000000001</v>
      </c>
      <c r="K44" s="87"/>
      <c r="L44" s="88">
        <f t="shared" si="23"/>
        <v>3.7816044</v>
      </c>
      <c r="M44" s="87">
        <f t="shared" si="26"/>
        <v>6.0424012974976127E-3</v>
      </c>
      <c r="N44" s="87">
        <f t="shared" si="24"/>
        <v>1.3321033988606812</v>
      </c>
      <c r="O44" s="87">
        <f t="shared" si="24"/>
        <v>1.3281894995395449</v>
      </c>
      <c r="P44" s="87"/>
      <c r="Q44" s="88">
        <f t="shared" si="25"/>
        <v>1.3301464492001132</v>
      </c>
      <c r="R44" s="87">
        <f t="shared" si="27"/>
        <v>1.5978427069015615E-3</v>
      </c>
      <c r="S44" s="87">
        <f t="shared" si="28"/>
        <v>4.2595118104253149E-4</v>
      </c>
      <c r="T44" s="87">
        <f t="shared" si="29"/>
        <v>8.0553060187849956E-4</v>
      </c>
      <c r="U44" s="87"/>
      <c r="V44" s="88">
        <f t="shared" si="30"/>
        <v>6.1574089146051547E-4</v>
      </c>
      <c r="W44" s="87">
        <f t="shared" si="31"/>
        <v>1.5496264965154721E-4</v>
      </c>
      <c r="X44" s="87">
        <f t="shared" si="32"/>
        <v>8.313779045529348E-3</v>
      </c>
      <c r="Y44" s="87">
        <f t="shared" si="33"/>
        <v>8.2813033461327477E-3</v>
      </c>
      <c r="Z44" s="87"/>
      <c r="AA44" s="88">
        <f t="shared" si="34"/>
        <v>8.2975411958310478E-3</v>
      </c>
      <c r="AB44" s="89">
        <f t="shared" si="35"/>
        <v>1.325814876028035E-5</v>
      </c>
    </row>
    <row r="59" spans="1:4">
      <c r="A59" s="90" t="s">
        <v>74</v>
      </c>
      <c r="B59" s="90" t="s">
        <v>75</v>
      </c>
      <c r="C59" s="90" t="s">
        <v>76</v>
      </c>
      <c r="D59" s="90"/>
    </row>
  </sheetData>
  <mergeCells count="31">
    <mergeCell ref="B32:B33"/>
    <mergeCell ref="E32:E33"/>
    <mergeCell ref="F28:H28"/>
    <mergeCell ref="I28:K28"/>
    <mergeCell ref="N28:P28"/>
    <mergeCell ref="S28:U28"/>
    <mergeCell ref="X28:Z28"/>
    <mergeCell ref="B29:B31"/>
    <mergeCell ref="E29:E31"/>
    <mergeCell ref="B8:B9"/>
    <mergeCell ref="E8:E9"/>
    <mergeCell ref="B26:AB26"/>
    <mergeCell ref="F27:H27"/>
    <mergeCell ref="I27:K27"/>
    <mergeCell ref="N27:P27"/>
    <mergeCell ref="S27:U27"/>
    <mergeCell ref="X27:Z27"/>
    <mergeCell ref="F4:H4"/>
    <mergeCell ref="I4:K4"/>
    <mergeCell ref="N4:P4"/>
    <mergeCell ref="S4:U4"/>
    <mergeCell ref="X4:Z4"/>
    <mergeCell ref="B5:B7"/>
    <mergeCell ref="E5:E7"/>
    <mergeCell ref="A1:AB1"/>
    <mergeCell ref="B2:AB2"/>
    <mergeCell ref="F3:H3"/>
    <mergeCell ref="I3:K3"/>
    <mergeCell ref="N3:P3"/>
    <mergeCell ref="S3:U3"/>
    <mergeCell ref="X3:Z3"/>
  </mergeCell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2CAB6-7BD5-7F43-B84A-FA8E4628D921}">
  <dimension ref="A1:AF75"/>
  <sheetViews>
    <sheetView zoomScaleNormal="100" workbookViewId="0">
      <selection sqref="A1:V1"/>
    </sheetView>
  </sheetViews>
  <sheetFormatPr baseColWidth="10" defaultColWidth="9.1640625" defaultRowHeight="13"/>
  <cols>
    <col min="1" max="1" width="85.6640625" style="94" customWidth="1"/>
    <col min="2" max="2" width="10.1640625" style="94" bestFit="1" customWidth="1"/>
    <col min="3" max="3" width="8.5" style="94" customWidth="1"/>
    <col min="4" max="4" width="9.33203125" style="94" customWidth="1"/>
    <col min="5" max="5" width="9.6640625" style="94" customWidth="1"/>
    <col min="6" max="6" width="13.33203125" style="94" customWidth="1"/>
    <col min="7" max="7" width="14.33203125" style="94" customWidth="1"/>
    <col min="8" max="8" width="12.1640625" style="94" customWidth="1"/>
    <col min="9" max="9" width="9.1640625" style="94"/>
    <col min="10" max="10" width="11.6640625" style="94" bestFit="1" customWidth="1"/>
    <col min="11" max="11" width="9.1640625" style="94" bestFit="1" customWidth="1"/>
    <col min="12" max="12" width="11.6640625" style="94" bestFit="1" customWidth="1"/>
    <col min="13" max="13" width="9.1640625" style="94"/>
    <col min="14" max="15" width="9.5" style="94" bestFit="1" customWidth="1"/>
    <col min="16" max="17" width="9" style="94" bestFit="1" customWidth="1"/>
    <col min="18" max="19" width="8.33203125" style="94" bestFit="1" customWidth="1"/>
    <col min="20" max="21" width="10.5" style="94" bestFit="1" customWidth="1"/>
    <col min="22" max="22" width="8.33203125" style="94" bestFit="1" customWidth="1"/>
    <col min="23" max="24" width="9.1640625" style="94"/>
    <col min="25" max="25" width="11.83203125" style="94" customWidth="1"/>
    <col min="26" max="26" width="9.1640625" style="94"/>
    <col min="27" max="27" width="9.6640625" style="94" bestFit="1" customWidth="1"/>
    <col min="28" max="16384" width="9.1640625" style="94"/>
  </cols>
  <sheetData>
    <row r="1" spans="1:28" ht="17" thickBot="1">
      <c r="A1" s="91" t="s">
        <v>77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3"/>
    </row>
    <row r="2" spans="1:28" ht="15" thickBot="1">
      <c r="A2" s="95"/>
      <c r="B2" s="157" t="s">
        <v>71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9"/>
    </row>
    <row r="3" spans="1:28" ht="47" customHeight="1">
      <c r="A3" s="96"/>
      <c r="B3" s="97" t="s">
        <v>0</v>
      </c>
      <c r="C3" s="98" t="s">
        <v>1</v>
      </c>
      <c r="D3" s="99" t="s">
        <v>2</v>
      </c>
      <c r="E3" s="100"/>
      <c r="F3" s="101">
        <v>620</v>
      </c>
      <c r="G3" s="99">
        <v>650</v>
      </c>
      <c r="H3" s="105" t="s">
        <v>78</v>
      </c>
      <c r="I3" s="102" t="s">
        <v>79</v>
      </c>
      <c r="J3" s="103" t="s">
        <v>8</v>
      </c>
      <c r="K3" s="103" t="s">
        <v>9</v>
      </c>
      <c r="L3" s="103" t="s">
        <v>80</v>
      </c>
      <c r="M3" s="103" t="s">
        <v>81</v>
      </c>
      <c r="N3" s="103" t="s">
        <v>82</v>
      </c>
      <c r="O3" s="104" t="s">
        <v>47</v>
      </c>
      <c r="P3" s="102" t="s">
        <v>83</v>
      </c>
      <c r="Q3" s="103" t="s">
        <v>84</v>
      </c>
      <c r="R3" s="103" t="s">
        <v>82</v>
      </c>
      <c r="S3" s="105" t="s">
        <v>47</v>
      </c>
      <c r="T3" s="105" t="s">
        <v>85</v>
      </c>
      <c r="U3" s="103" t="s">
        <v>86</v>
      </c>
      <c r="V3" s="106" t="s">
        <v>47</v>
      </c>
      <c r="X3" s="107" t="s">
        <v>87</v>
      </c>
      <c r="Y3" s="107"/>
      <c r="Z3" s="107"/>
      <c r="AA3" s="107"/>
      <c r="AB3" s="107"/>
    </row>
    <row r="4" spans="1:28" ht="37" customHeight="1" thickBot="1">
      <c r="A4" s="96"/>
      <c r="B4" s="108"/>
      <c r="C4" s="109"/>
      <c r="D4" s="110"/>
      <c r="E4" s="111"/>
      <c r="F4" s="112" t="s">
        <v>11</v>
      </c>
      <c r="G4" s="110" t="s">
        <v>11</v>
      </c>
      <c r="H4" s="113" t="s">
        <v>12</v>
      </c>
      <c r="I4" s="113" t="s">
        <v>11</v>
      </c>
      <c r="J4" s="113" t="s">
        <v>13</v>
      </c>
      <c r="K4" s="113" t="s">
        <v>14</v>
      </c>
      <c r="L4" s="114" t="s">
        <v>88</v>
      </c>
      <c r="M4" s="114" t="s">
        <v>88</v>
      </c>
      <c r="N4" s="113"/>
      <c r="O4" s="110"/>
      <c r="P4" s="114" t="s">
        <v>89</v>
      </c>
      <c r="Q4" s="114" t="s">
        <v>89</v>
      </c>
      <c r="R4" s="113"/>
      <c r="S4" s="113"/>
      <c r="T4" s="114" t="s">
        <v>90</v>
      </c>
      <c r="U4" s="114" t="s">
        <v>90</v>
      </c>
      <c r="V4" s="115"/>
      <c r="X4" s="94" t="s">
        <v>2</v>
      </c>
      <c r="Y4" s="116" t="str">
        <f>M3</f>
        <v>Average specific CPC conc.</v>
      </c>
      <c r="Z4" s="94" t="s">
        <v>10</v>
      </c>
      <c r="AA4" s="116" t="str">
        <f>Q3</f>
        <v>Average total CPC</v>
      </c>
      <c r="AB4" s="94" t="s">
        <v>10</v>
      </c>
    </row>
    <row r="5" spans="1:28">
      <c r="A5" s="96"/>
      <c r="B5" s="117" t="s">
        <v>55</v>
      </c>
      <c r="C5" s="118">
        <v>0.46249999999999997</v>
      </c>
      <c r="D5" s="119">
        <f>7+54/60+12</f>
        <v>19.899999999999999</v>
      </c>
      <c r="E5" s="120" t="s">
        <v>91</v>
      </c>
      <c r="F5" s="121">
        <v>7.0999999999999994E-2</v>
      </c>
      <c r="G5" s="122">
        <v>4.3999999999999997E-2</v>
      </c>
      <c r="H5" s="122">
        <f>(F5-(0.605*G5))/6.17</f>
        <v>7.1928687196110208E-3</v>
      </c>
      <c r="I5" s="94">
        <v>0.20899999999999999</v>
      </c>
      <c r="J5" s="122">
        <f>1.2334*I5</f>
        <v>0.25778060000000003</v>
      </c>
      <c r="K5" s="123">
        <f>J5*1/1000</f>
        <v>2.5778060000000003E-4</v>
      </c>
      <c r="L5" s="124">
        <f t="shared" ref="L5:L25" si="0">(H5*2)/K5</f>
        <v>55.806129085051552</v>
      </c>
      <c r="M5" s="125"/>
      <c r="P5" s="126">
        <f>L5*J5</f>
        <v>14.385737439222041</v>
      </c>
      <c r="Q5" s="125"/>
      <c r="U5" s="125"/>
      <c r="V5" s="127"/>
      <c r="X5" s="128">
        <v>19.899999999999999</v>
      </c>
      <c r="Y5" s="126">
        <f>M7</f>
        <v>46.604506158297852</v>
      </c>
      <c r="Z5" s="126">
        <v>5.635085063823154</v>
      </c>
      <c r="AA5" s="126">
        <f>Q7</f>
        <v>14.212317666126419</v>
      </c>
      <c r="AB5" s="126">
        <v>1.6104016214440815</v>
      </c>
    </row>
    <row r="6" spans="1:28" ht="15" customHeight="1">
      <c r="A6" s="96"/>
      <c r="B6" s="129"/>
      <c r="C6" s="130"/>
      <c r="D6" s="131"/>
      <c r="E6" s="120" t="s">
        <v>92</v>
      </c>
      <c r="F6" s="121">
        <v>6.0999999999999999E-2</v>
      </c>
      <c r="G6" s="122">
        <v>4.2999999999999997E-2</v>
      </c>
      <c r="H6" s="122">
        <f t="shared" ref="H6:H52" si="1">(F6-(0.605*G6))/6.17</f>
        <v>5.6701782820097251E-3</v>
      </c>
      <c r="I6" s="94">
        <v>0.193</v>
      </c>
      <c r="J6" s="122">
        <f t="shared" ref="J6:J52" si="2">1.2334*I6</f>
        <v>0.23804620000000001</v>
      </c>
      <c r="K6" s="123">
        <f>J6*1/1000</f>
        <v>2.3804620000000002E-4</v>
      </c>
      <c r="L6" s="124">
        <f t="shared" si="0"/>
        <v>47.639309361037689</v>
      </c>
      <c r="M6" s="125"/>
      <c r="P6" s="126">
        <f t="shared" ref="P6:P43" si="3">L6*J6</f>
        <v>11.340356564019451</v>
      </c>
      <c r="Q6" s="125"/>
      <c r="U6" s="125"/>
      <c r="V6" s="127"/>
      <c r="X6" s="128">
        <v>45.3</v>
      </c>
      <c r="Y6" s="126">
        <f>M10</f>
        <v>35.074532074288435</v>
      </c>
      <c r="Z6" s="126">
        <v>2.5449630585579315</v>
      </c>
      <c r="AA6" s="126">
        <f>Q10</f>
        <v>16.794705564559699</v>
      </c>
      <c r="AB6" s="126">
        <v>3.5030007370944651</v>
      </c>
    </row>
    <row r="7" spans="1:28" ht="15" customHeight="1">
      <c r="A7" s="96"/>
      <c r="B7" s="132"/>
      <c r="C7" s="133"/>
      <c r="D7" s="134"/>
      <c r="E7" s="135" t="s">
        <v>93</v>
      </c>
      <c r="F7" s="136">
        <v>0.08</v>
      </c>
      <c r="G7" s="137">
        <v>4.5999999999999999E-2</v>
      </c>
      <c r="H7" s="122">
        <f t="shared" si="1"/>
        <v>8.4554294975688823E-3</v>
      </c>
      <c r="I7" s="141">
        <v>0.377</v>
      </c>
      <c r="J7" s="137">
        <f t="shared" si="2"/>
        <v>0.46499180000000001</v>
      </c>
      <c r="K7" s="138">
        <f>J7*1/1000</f>
        <v>4.649918E-4</v>
      </c>
      <c r="L7" s="161">
        <f t="shared" si="0"/>
        <v>36.3680800288043</v>
      </c>
      <c r="M7" s="139">
        <f>AVERAGE(L5:L7)</f>
        <v>46.604506158297852</v>
      </c>
      <c r="N7" s="140">
        <f>STDEV(L5:L7)</f>
        <v>9.7602536355142124</v>
      </c>
      <c r="O7" s="140">
        <f>N7/SQRT(3)</f>
        <v>5.635085063823154</v>
      </c>
      <c r="P7" s="140">
        <f t="shared" si="3"/>
        <v>16.910858995137765</v>
      </c>
      <c r="Q7" s="139">
        <f>AVERAGE(P5:P7)</f>
        <v>14.212317666126419</v>
      </c>
      <c r="R7" s="140">
        <f>STDEV(P5:P7)</f>
        <v>2.7892974289324508</v>
      </c>
      <c r="S7" s="140">
        <f>R7/SQRT(3)</f>
        <v>1.6104016214440815</v>
      </c>
      <c r="T7" s="141"/>
      <c r="U7" s="142"/>
      <c r="V7" s="143"/>
      <c r="X7" s="128">
        <v>69.8</v>
      </c>
      <c r="Y7" s="126">
        <f>M13</f>
        <v>55.150346505609157</v>
      </c>
      <c r="Z7" s="126">
        <v>10.71305579231162</v>
      </c>
      <c r="AA7" s="126">
        <f>Q13</f>
        <v>28.358725013506213</v>
      </c>
      <c r="AB7" s="126">
        <v>6.3649499257173154</v>
      </c>
    </row>
    <row r="8" spans="1:28">
      <c r="A8" s="96"/>
      <c r="B8" s="144" t="s">
        <v>56</v>
      </c>
      <c r="C8" s="145">
        <v>0.52083333333333337</v>
      </c>
      <c r="D8" s="146">
        <v>45.3</v>
      </c>
      <c r="E8" s="120" t="s">
        <v>91</v>
      </c>
      <c r="F8" s="121">
        <v>5.7000000000000002E-2</v>
      </c>
      <c r="G8" s="122">
        <v>3.3000000000000002E-2</v>
      </c>
      <c r="H8" s="122">
        <f t="shared" si="1"/>
        <v>6.0024311183144241E-3</v>
      </c>
      <c r="I8" s="122">
        <v>0.29799999999999999</v>
      </c>
      <c r="J8" s="122">
        <f t="shared" si="2"/>
        <v>0.36755320000000002</v>
      </c>
      <c r="K8" s="123">
        <f>J8*1/1000</f>
        <v>3.6755320000000002E-4</v>
      </c>
      <c r="L8" s="124">
        <f t="shared" si="0"/>
        <v>32.6615636501841</v>
      </c>
      <c r="M8" s="147"/>
      <c r="N8" s="126"/>
      <c r="O8" s="126"/>
      <c r="P8" s="126">
        <f t="shared" si="3"/>
        <v>12.004862236628847</v>
      </c>
      <c r="Q8" s="147"/>
      <c r="R8" s="126"/>
      <c r="S8" s="126"/>
      <c r="T8" s="126">
        <f>(P8-$P$56)/(D8-$D$56)</f>
        <v>-0.26935419246082615</v>
      </c>
      <c r="U8" s="147"/>
      <c r="V8" s="127"/>
      <c r="X8" s="128">
        <v>92.86666666666666</v>
      </c>
      <c r="Y8" s="126">
        <f>M16</f>
        <v>68.285753551897059</v>
      </c>
      <c r="Z8" s="126">
        <v>6.897939886503103</v>
      </c>
      <c r="AA8" s="126">
        <f>Q16</f>
        <v>49.801773419773106</v>
      </c>
      <c r="AB8" s="126">
        <v>4.631767258283535</v>
      </c>
    </row>
    <row r="9" spans="1:28" ht="14" customHeight="1">
      <c r="A9" s="96"/>
      <c r="B9" s="129"/>
      <c r="C9" s="130"/>
      <c r="D9" s="131"/>
      <c r="E9" s="120" t="s">
        <v>92</v>
      </c>
      <c r="F9" s="121">
        <v>7.6999999999999999E-2</v>
      </c>
      <c r="G9" s="122">
        <v>5.1999999999999998E-2</v>
      </c>
      <c r="H9" s="122">
        <f t="shared" si="1"/>
        <v>7.3808752025931934E-3</v>
      </c>
      <c r="I9" s="122">
        <v>0.29799999999999999</v>
      </c>
      <c r="J9" s="122">
        <f t="shared" si="2"/>
        <v>0.36755320000000002</v>
      </c>
      <c r="K9" s="123">
        <f t="shared" ref="K9:K10" si="4">J9*1/1000</f>
        <v>3.6755320000000002E-4</v>
      </c>
      <c r="L9" s="124">
        <f t="shared" si="0"/>
        <v>40.16221435478289</v>
      </c>
      <c r="M9" s="125"/>
      <c r="N9" s="126"/>
      <c r="O9" s="126"/>
      <c r="P9" s="126">
        <f t="shared" si="3"/>
        <v>14.761750405186387</v>
      </c>
      <c r="Q9" s="147"/>
      <c r="R9" s="126"/>
      <c r="S9" s="126"/>
      <c r="T9" s="126">
        <f>(P9-$P$57)/(D8-$D$56)</f>
        <v>9.5512087007684987E-2</v>
      </c>
      <c r="U9" s="147"/>
      <c r="V9" s="127"/>
      <c r="X9" s="128">
        <v>117.14999999999999</v>
      </c>
      <c r="Y9" s="126">
        <f>M19</f>
        <v>82.280457853534145</v>
      </c>
      <c r="Z9" s="126">
        <v>5.7075066589869916</v>
      </c>
      <c r="AA9" s="126">
        <f>Q19</f>
        <v>75.15410718530525</v>
      </c>
      <c r="AB9" s="126">
        <v>5.2963085128280927</v>
      </c>
    </row>
    <row r="10" spans="1:28" ht="14" customHeight="1">
      <c r="A10" s="96"/>
      <c r="B10" s="132"/>
      <c r="C10" s="133"/>
      <c r="D10" s="134"/>
      <c r="E10" s="135" t="s">
        <v>93</v>
      </c>
      <c r="F10" s="121">
        <v>0.114</v>
      </c>
      <c r="G10" s="122">
        <v>6.8000000000000005E-2</v>
      </c>
      <c r="H10" s="122">
        <f t="shared" si="1"/>
        <v>1.1808752025931931E-2</v>
      </c>
      <c r="I10" s="137">
        <v>0.59099999999999997</v>
      </c>
      <c r="J10" s="137">
        <f t="shared" si="2"/>
        <v>0.72893940000000002</v>
      </c>
      <c r="K10" s="123">
        <f t="shared" si="4"/>
        <v>7.2893939999999998E-4</v>
      </c>
      <c r="L10" s="124">
        <f t="shared" si="0"/>
        <v>32.399818217898307</v>
      </c>
      <c r="M10" s="139">
        <f>AVERAGE(L8:L10)</f>
        <v>35.074532074288435</v>
      </c>
      <c r="N10" s="140">
        <f>STDEV(L8:L10)</f>
        <v>4.4080053208082246</v>
      </c>
      <c r="O10" s="140">
        <f>N10/SQRT(3)</f>
        <v>2.5449630585579315</v>
      </c>
      <c r="P10" s="140">
        <f t="shared" si="3"/>
        <v>23.617504051863861</v>
      </c>
      <c r="Q10" s="139">
        <f t="shared" ref="Q10" si="5">AVERAGE(P8:P10)</f>
        <v>16.794705564559699</v>
      </c>
      <c r="R10" s="140">
        <f t="shared" ref="R10" si="6">STDEV(P8:P10)</f>
        <v>6.0673752555988401</v>
      </c>
      <c r="S10" s="140">
        <f t="shared" ref="S10" si="7">R10/SQRT(3)</f>
        <v>3.5030007370944651</v>
      </c>
      <c r="T10" s="140">
        <f>(P10-$P$58)/(D8-$D$56)</f>
        <v>-0.23578418455563069</v>
      </c>
      <c r="U10" s="139">
        <f>AVERAGE(T8:T10)</f>
        <v>-0.13654209666959061</v>
      </c>
      <c r="V10" s="148">
        <f>STDEV(T8:T10)/SQRT(3)</f>
        <v>0.11643108760018205</v>
      </c>
      <c r="X10" s="128">
        <v>164.66666666666666</v>
      </c>
      <c r="Y10" s="126">
        <f>M22</f>
        <v>74.412672827625954</v>
      </c>
      <c r="Z10" s="126">
        <v>11.399632127536142</v>
      </c>
      <c r="AA10" s="126">
        <f>Q22</f>
        <v>88.516940032414922</v>
      </c>
      <c r="AB10" s="126">
        <v>4.5487771299491877</v>
      </c>
    </row>
    <row r="11" spans="1:28">
      <c r="A11" s="96"/>
      <c r="B11" s="144" t="s">
        <v>57</v>
      </c>
      <c r="C11" s="145">
        <v>0.54166666666666663</v>
      </c>
      <c r="D11" s="146">
        <v>69.8</v>
      </c>
      <c r="E11" s="120" t="s">
        <v>91</v>
      </c>
      <c r="F11" s="149">
        <v>7.6999999999999999E-2</v>
      </c>
      <c r="G11" s="150">
        <v>4.5999999999999999E-2</v>
      </c>
      <c r="H11" s="122">
        <f t="shared" si="1"/>
        <v>7.9692058346839557E-3</v>
      </c>
      <c r="I11" s="122">
        <v>0.374</v>
      </c>
      <c r="J11" s="122">
        <f t="shared" si="2"/>
        <v>0.46129160000000002</v>
      </c>
      <c r="K11" s="151">
        <f>J11*1/1000</f>
        <v>4.612916E-4</v>
      </c>
      <c r="L11" s="162">
        <f t="shared" si="0"/>
        <v>34.551705839360423</v>
      </c>
      <c r="M11" s="147"/>
      <c r="N11" s="126"/>
      <c r="O11" s="126"/>
      <c r="P11" s="126">
        <f t="shared" si="3"/>
        <v>15.938411669367913</v>
      </c>
      <c r="Q11" s="147"/>
      <c r="R11" s="126"/>
      <c r="S11" s="126"/>
      <c r="T11" s="126">
        <f>(P11-$P$56)/(D11-$D$56)</f>
        <v>-4.5014956081075197E-2</v>
      </c>
      <c r="U11" s="147"/>
      <c r="V11" s="152"/>
      <c r="X11" s="128">
        <v>188.68333333333334</v>
      </c>
      <c r="Y11" s="126">
        <f>M25</f>
        <v>69.886238881240843</v>
      </c>
      <c r="Z11" s="126">
        <v>6.5025599218284835</v>
      </c>
      <c r="AA11" s="126">
        <f>Q25</f>
        <v>91.960598163155055</v>
      </c>
      <c r="AB11" s="126">
        <v>8.0566681027764915</v>
      </c>
    </row>
    <row r="12" spans="1:28" ht="14" customHeight="1">
      <c r="A12" s="96"/>
      <c r="B12" s="129"/>
      <c r="C12" s="130"/>
      <c r="D12" s="131"/>
      <c r="E12" s="120" t="s">
        <v>92</v>
      </c>
      <c r="F12" s="121">
        <v>0.223</v>
      </c>
      <c r="G12" s="122">
        <v>0.18</v>
      </c>
      <c r="H12" s="122">
        <f t="shared" si="1"/>
        <v>1.8492706645056728E-2</v>
      </c>
      <c r="I12" s="122">
        <v>0.42499999999999999</v>
      </c>
      <c r="J12" s="122">
        <f t="shared" si="2"/>
        <v>0.52419499999999997</v>
      </c>
      <c r="K12" s="123">
        <f>J12*1/1000</f>
        <v>5.2419499999999998E-4</v>
      </c>
      <c r="L12" s="124">
        <f t="shared" si="0"/>
        <v>70.556593042881858</v>
      </c>
      <c r="M12" s="125"/>
      <c r="N12" s="126"/>
      <c r="O12" s="126"/>
      <c r="P12" s="126">
        <f t="shared" si="3"/>
        <v>36.985413290113456</v>
      </c>
      <c r="Q12" s="147"/>
      <c r="R12" s="126"/>
      <c r="S12" s="126"/>
      <c r="T12" s="126">
        <f>(P12-$P$57)/(D11-$D$56)</f>
        <v>0.51901830113417668</v>
      </c>
      <c r="U12" s="147"/>
      <c r="V12" s="152"/>
      <c r="X12" s="128">
        <v>212.98333333333335</v>
      </c>
      <c r="Y12" s="126">
        <f>M28</f>
        <v>69.913381341989577</v>
      </c>
      <c r="Z12" s="126">
        <v>2.7395171077797364</v>
      </c>
      <c r="AA12" s="126">
        <f>Q28</f>
        <v>110.83522420313345</v>
      </c>
      <c r="AB12" s="126">
        <v>21.003468993996368</v>
      </c>
    </row>
    <row r="13" spans="1:28" ht="14" customHeight="1">
      <c r="A13" s="96"/>
      <c r="B13" s="132"/>
      <c r="C13" s="133"/>
      <c r="D13" s="134"/>
      <c r="E13" s="135" t="s">
        <v>93</v>
      </c>
      <c r="F13" s="136">
        <v>0.17299999999999999</v>
      </c>
      <c r="G13" s="137">
        <v>0.122</v>
      </c>
      <c r="H13" s="122">
        <f t="shared" si="1"/>
        <v>1.6076175040518635E-2</v>
      </c>
      <c r="I13" s="137">
        <v>0.432</v>
      </c>
      <c r="J13" s="137">
        <f t="shared" si="2"/>
        <v>0.53282879999999999</v>
      </c>
      <c r="K13" s="123">
        <f>J13*1/1000</f>
        <v>5.328288E-4</v>
      </c>
      <c r="L13" s="124">
        <f t="shared" si="0"/>
        <v>60.342740634585198</v>
      </c>
      <c r="M13" s="139">
        <f>AVERAGE(L11:L13)</f>
        <v>55.150346505609157</v>
      </c>
      <c r="N13" s="140">
        <f>STDEV(L11:L13)</f>
        <v>18.555556936603779</v>
      </c>
      <c r="O13" s="140">
        <f>N13/SQRT(3)</f>
        <v>10.71305579231162</v>
      </c>
      <c r="P13" s="140">
        <f t="shared" si="3"/>
        <v>32.15235008103727</v>
      </c>
      <c r="Q13" s="139">
        <f t="shared" ref="Q13" si="8">AVERAGE(P11:P13)</f>
        <v>28.358725013506213</v>
      </c>
      <c r="R13" s="140">
        <f t="shared" ref="R13" si="9">STDEV(P11:P13)</f>
        <v>11.024416658974141</v>
      </c>
      <c r="S13" s="140">
        <f t="shared" ref="S13" si="10">R13/SQRT(3)</f>
        <v>6.3649499257173154</v>
      </c>
      <c r="T13" s="140">
        <f>(P13-$P$58)/(D11-$D$56)</f>
        <v>6.9041343682630485E-2</v>
      </c>
      <c r="U13" s="139">
        <f t="shared" ref="U13" si="11">AVERAGE(T11:T13)</f>
        <v>0.181014896245244</v>
      </c>
      <c r="V13" s="148">
        <f t="shared" ref="V13" si="12">STDEV(T11:T13)/SQRT(3)</f>
        <v>0.17217910845621479</v>
      </c>
      <c r="X13" s="128">
        <v>236.98333333333335</v>
      </c>
      <c r="Y13" s="126">
        <v>76.9875258</v>
      </c>
      <c r="Z13" s="126">
        <v>6.1826282472687248</v>
      </c>
      <c r="AA13" s="126">
        <v>135.45326</v>
      </c>
      <c r="AB13" s="126">
        <v>13.064161022825482</v>
      </c>
    </row>
    <row r="14" spans="1:28">
      <c r="A14" s="96"/>
      <c r="B14" s="144" t="s">
        <v>58</v>
      </c>
      <c r="C14" s="145">
        <v>0.50277777777777777</v>
      </c>
      <c r="D14" s="146">
        <v>92.86666666666666</v>
      </c>
      <c r="E14" s="120" t="s">
        <v>91</v>
      </c>
      <c r="F14" s="149">
        <v>0.22</v>
      </c>
      <c r="G14" s="150">
        <v>0.13</v>
      </c>
      <c r="H14" s="122">
        <f t="shared" si="1"/>
        <v>2.2909238249594815E-2</v>
      </c>
      <c r="I14" s="122">
        <v>0.6</v>
      </c>
      <c r="J14" s="122">
        <f t="shared" si="2"/>
        <v>0.74004000000000003</v>
      </c>
      <c r="K14" s="151">
        <f t="shared" ref="K14:K19" si="13">I14*1/1000</f>
        <v>5.9999999999999995E-4</v>
      </c>
      <c r="L14" s="162">
        <f t="shared" si="0"/>
        <v>76.364127498649395</v>
      </c>
      <c r="M14" s="147"/>
      <c r="N14" s="126"/>
      <c r="O14" s="126"/>
      <c r="P14" s="126">
        <f t="shared" si="3"/>
        <v>56.512508914100501</v>
      </c>
      <c r="Q14" s="147"/>
      <c r="R14" s="126"/>
      <c r="S14" s="126"/>
      <c r="T14" s="126">
        <f>(P14-$P$56)/(D14-$D$56)</f>
        <v>0.54930699914391024</v>
      </c>
      <c r="U14" s="147"/>
      <c r="V14" s="152"/>
      <c r="X14" s="128">
        <v>260.95000000000005</v>
      </c>
      <c r="Y14" s="126">
        <v>81.169239543444391</v>
      </c>
      <c r="Z14" s="126">
        <v>10.455557634110161</v>
      </c>
      <c r="AA14" s="126">
        <v>158.8653156</v>
      </c>
      <c r="AB14" s="126">
        <v>10.70257702908</v>
      </c>
    </row>
    <row r="15" spans="1:28" ht="14" customHeight="1">
      <c r="A15" s="96"/>
      <c r="B15" s="129"/>
      <c r="C15" s="130"/>
      <c r="D15" s="131"/>
      <c r="E15" s="120" t="s">
        <v>92</v>
      </c>
      <c r="F15" s="121">
        <v>0.158</v>
      </c>
      <c r="G15" s="122">
        <v>9.1999999999999998E-2</v>
      </c>
      <c r="H15" s="122">
        <f t="shared" si="1"/>
        <v>1.6586709886547816E-2</v>
      </c>
      <c r="I15" s="122">
        <v>0.60799999999999998</v>
      </c>
      <c r="J15" s="122">
        <f t="shared" si="2"/>
        <v>0.7499072</v>
      </c>
      <c r="K15" s="123">
        <f t="shared" si="13"/>
        <v>6.0800000000000003E-4</v>
      </c>
      <c r="L15" s="124">
        <f t="shared" si="0"/>
        <v>54.5615456794336</v>
      </c>
      <c r="M15" s="125"/>
      <c r="N15" s="126"/>
      <c r="O15" s="126"/>
      <c r="P15" s="126">
        <f t="shared" si="3"/>
        <v>40.916095948136146</v>
      </c>
      <c r="Q15" s="147"/>
      <c r="R15" s="126"/>
      <c r="S15" s="126"/>
      <c r="T15" s="126">
        <f>(P15-$P$57)/(D14-$D$56)</f>
        <v>0.40416936771633838</v>
      </c>
      <c r="U15" s="147"/>
      <c r="V15" s="152"/>
      <c r="X15" s="128">
        <v>284.95000000000005</v>
      </c>
      <c r="Y15" s="126">
        <v>68.865333500000006</v>
      </c>
      <c r="Z15" s="126">
        <v>0.41845672665661171</v>
      </c>
      <c r="AA15" s="126">
        <v>173.6757633</v>
      </c>
      <c r="AB15" s="126">
        <v>7.3759966433422894</v>
      </c>
    </row>
    <row r="16" spans="1:28" ht="14" customHeight="1">
      <c r="A16" s="96"/>
      <c r="B16" s="132"/>
      <c r="C16" s="133"/>
      <c r="D16" s="134"/>
      <c r="E16" s="135" t="s">
        <v>93</v>
      </c>
      <c r="F16" s="136">
        <v>0.20200000000000001</v>
      </c>
      <c r="G16" s="137">
        <v>0.11899999999999999</v>
      </c>
      <c r="H16" s="122">
        <f t="shared" si="1"/>
        <v>2.1070502431118319E-2</v>
      </c>
      <c r="I16" s="137">
        <v>0.56999999999999995</v>
      </c>
      <c r="J16" s="137">
        <f t="shared" si="2"/>
        <v>0.70303799999999994</v>
      </c>
      <c r="K16" s="123">
        <f t="shared" si="13"/>
        <v>5.6999999999999998E-4</v>
      </c>
      <c r="L16" s="124">
        <f t="shared" si="0"/>
        <v>73.931587477608147</v>
      </c>
      <c r="M16" s="139">
        <f>AVERAGE(L14:L16)</f>
        <v>68.285753551897059</v>
      </c>
      <c r="N16" s="140">
        <f>STDEV(L14:L16)</f>
        <v>11.947582350979269</v>
      </c>
      <c r="O16" s="140">
        <f>N16/SQRT(3)</f>
        <v>6.897939886503103</v>
      </c>
      <c r="P16" s="140">
        <f t="shared" si="3"/>
        <v>51.976715397082671</v>
      </c>
      <c r="Q16" s="139">
        <f t="shared" ref="Q16" si="14">AVERAGE(P14:P16)</f>
        <v>49.801773419773106</v>
      </c>
      <c r="R16" s="140">
        <f t="shared" ref="R16" si="15">STDEV(P14:P16)</f>
        <v>8.0224562201810805</v>
      </c>
      <c r="S16" s="140">
        <f t="shared" ref="S16" si="16">R16/SQRT(3)</f>
        <v>4.631767258283535</v>
      </c>
      <c r="T16" s="140">
        <f>(P16-$P$58)/(D14-$D$56)</f>
        <v>0.32943379769499986</v>
      </c>
      <c r="U16" s="139">
        <f t="shared" ref="U16" si="17">AVERAGE(T14:T16)</f>
        <v>0.4276367215184162</v>
      </c>
      <c r="V16" s="148">
        <f t="shared" ref="V16" si="18">STDEV(T14:T16)/SQRT(3)</f>
        <v>6.4547382337066167E-2</v>
      </c>
      <c r="X16" s="128">
        <v>308.95000000000005</v>
      </c>
      <c r="Y16" s="126">
        <v>71.867553240000007</v>
      </c>
      <c r="Z16" s="126">
        <v>3.8301979641178878</v>
      </c>
      <c r="AA16" s="126">
        <v>199.4489465153971</v>
      </c>
      <c r="AB16" s="126">
        <v>13.064161022825482</v>
      </c>
    </row>
    <row r="17" spans="1:28">
      <c r="A17" s="96"/>
      <c r="B17" s="144" t="s">
        <v>59</v>
      </c>
      <c r="C17" s="145">
        <v>0.51458333333333328</v>
      </c>
      <c r="D17" s="146">
        <v>117.14999999999999</v>
      </c>
      <c r="E17" s="120" t="s">
        <v>91</v>
      </c>
      <c r="F17" s="121">
        <v>0.248</v>
      </c>
      <c r="G17" s="122">
        <v>0.14099999999999999</v>
      </c>
      <c r="H17" s="122">
        <f t="shared" si="1"/>
        <v>2.6368719611021069E-2</v>
      </c>
      <c r="I17" s="122">
        <v>0.64900000000000002</v>
      </c>
      <c r="J17" s="122">
        <f t="shared" si="2"/>
        <v>0.80047660000000009</v>
      </c>
      <c r="K17" s="151">
        <f t="shared" si="13"/>
        <v>6.4900000000000005E-4</v>
      </c>
      <c r="L17" s="162">
        <f t="shared" si="0"/>
        <v>81.2595365516828</v>
      </c>
      <c r="M17" s="125"/>
      <c r="P17" s="126">
        <f t="shared" si="3"/>
        <v>65.046357536466786</v>
      </c>
      <c r="Q17" s="147"/>
      <c r="R17" s="126"/>
      <c r="S17" s="126"/>
      <c r="T17" s="126">
        <f>(P17-$P$56)/(D17-$D$56)</f>
        <v>0.49835094039334465</v>
      </c>
      <c r="U17" s="147"/>
      <c r="V17" s="152"/>
      <c r="X17" s="128">
        <v>332.95000000000005</v>
      </c>
      <c r="Y17" s="126">
        <v>77.866753299999999</v>
      </c>
      <c r="Z17" s="126">
        <v>3.4254557798169745</v>
      </c>
      <c r="AA17" s="126">
        <v>211.67553559999999</v>
      </c>
      <c r="AB17" s="126">
        <v>13.064161022825482</v>
      </c>
    </row>
    <row r="18" spans="1:28" ht="15" customHeight="1">
      <c r="A18" s="96"/>
      <c r="B18" s="129"/>
      <c r="C18" s="130"/>
      <c r="D18" s="131"/>
      <c r="E18" s="120" t="s">
        <v>92</v>
      </c>
      <c r="F18" s="121">
        <v>0.29599999999999999</v>
      </c>
      <c r="G18" s="122">
        <v>0.16900000000000001</v>
      </c>
      <c r="H18" s="122">
        <f t="shared" si="1"/>
        <v>3.1402755267423012E-2</v>
      </c>
      <c r="I18" s="122">
        <v>0.86099999999999999</v>
      </c>
      <c r="J18" s="122">
        <f t="shared" si="2"/>
        <v>1.0619574000000001</v>
      </c>
      <c r="K18" s="123">
        <f t="shared" si="13"/>
        <v>8.61E-4</v>
      </c>
      <c r="L18" s="124">
        <f t="shared" si="0"/>
        <v>72.944843826766572</v>
      </c>
      <c r="M18" s="125"/>
      <c r="P18" s="126">
        <f t="shared" si="3"/>
        <v>77.464316693679081</v>
      </c>
      <c r="Q18" s="147"/>
      <c r="R18" s="126"/>
      <c r="S18" s="126"/>
      <c r="T18" s="126">
        <f>(P18-$P$57)/(D17-$D$56)</f>
        <v>0.68766503331723472</v>
      </c>
      <c r="U18" s="147"/>
      <c r="V18" s="152"/>
      <c r="X18" s="128">
        <v>356.50000000000006</v>
      </c>
      <c r="Y18" s="126">
        <v>76.839336109853903</v>
      </c>
      <c r="Z18" s="126">
        <v>7.5133629483793918</v>
      </c>
      <c r="AA18" s="126">
        <v>252.8765453</v>
      </c>
      <c r="AB18" s="126">
        <v>6.6001243069319733</v>
      </c>
    </row>
    <row r="19" spans="1:28" ht="15" customHeight="1">
      <c r="A19" s="96"/>
      <c r="B19" s="132"/>
      <c r="C19" s="133"/>
      <c r="D19" s="134"/>
      <c r="E19" s="135" t="s">
        <v>93</v>
      </c>
      <c r="F19" s="121">
        <v>0.34300000000000003</v>
      </c>
      <c r="G19" s="122">
        <v>0.224</v>
      </c>
      <c r="H19" s="122">
        <f t="shared" si="1"/>
        <v>3.3627228525121559E-2</v>
      </c>
      <c r="I19" s="137">
        <v>0.72599999999999998</v>
      </c>
      <c r="J19" s="137">
        <f t="shared" si="2"/>
        <v>0.89544840000000003</v>
      </c>
      <c r="K19" s="138">
        <f t="shared" si="13"/>
        <v>7.2599999999999997E-4</v>
      </c>
      <c r="L19" s="161">
        <f t="shared" si="0"/>
        <v>92.636993182153063</v>
      </c>
      <c r="M19" s="139">
        <f>AVERAGE(L17:L19)</f>
        <v>82.280457853534145</v>
      </c>
      <c r="N19" s="140">
        <f>STDEV(L17:L19)</f>
        <v>9.8856915179031635</v>
      </c>
      <c r="O19" s="140">
        <f>N19/SQRT(3)</f>
        <v>5.7075066589869916</v>
      </c>
      <c r="P19" s="140">
        <f t="shared" si="3"/>
        <v>82.951647325769869</v>
      </c>
      <c r="Q19" s="139">
        <f t="shared" ref="Q19" si="19">AVERAGE(P17:P19)</f>
        <v>75.15410718530525</v>
      </c>
      <c r="R19" s="140">
        <f t="shared" ref="R19" si="20">STDEV(P17:P19)</f>
        <v>9.1734754367778173</v>
      </c>
      <c r="S19" s="140">
        <f t="shared" ref="S19" si="21">R19/SQRT(3)</f>
        <v>5.2963085128280927</v>
      </c>
      <c r="T19" s="140">
        <f>(P19-$P$58)/(D17-$D$56)</f>
        <v>0.57307304698443384</v>
      </c>
      <c r="U19" s="139">
        <f t="shared" ref="U19" si="22">AVERAGE(T17:T19)</f>
        <v>0.58636300689833776</v>
      </c>
      <c r="V19" s="148">
        <f t="shared" ref="V19" si="23">STDEV(T17:T19)/SQRT(3)</f>
        <v>5.5052773835002088E-2</v>
      </c>
      <c r="X19" s="128">
        <v>381.43333333333339</v>
      </c>
      <c r="Y19" s="126">
        <v>72.989915068337098</v>
      </c>
      <c r="Z19" s="126">
        <v>6.8715806328807147</v>
      </c>
      <c r="AA19" s="126">
        <v>261.75632669999999</v>
      </c>
      <c r="AB19" s="126">
        <v>5.0584411354882457</v>
      </c>
    </row>
    <row r="20" spans="1:28">
      <c r="A20" s="96"/>
      <c r="B20" s="144" t="s">
        <v>60</v>
      </c>
      <c r="C20" s="145">
        <v>0.49444444444444446</v>
      </c>
      <c r="D20" s="146">
        <v>164.66666666666666</v>
      </c>
      <c r="E20" s="120" t="s">
        <v>91</v>
      </c>
      <c r="F20" s="121">
        <v>0.17899999999999999</v>
      </c>
      <c r="G20" s="122">
        <v>9.6000000000000002E-2</v>
      </c>
      <c r="H20" s="122">
        <f t="shared" si="1"/>
        <v>1.9598055105348459E-2</v>
      </c>
      <c r="I20" s="122">
        <v>0.80700000000000005</v>
      </c>
      <c r="J20" s="122">
        <f t="shared" si="2"/>
        <v>0.99535380000000007</v>
      </c>
      <c r="K20" s="123">
        <f>I20*0.5/1000</f>
        <v>4.0350000000000005E-4</v>
      </c>
      <c r="L20" s="124">
        <f t="shared" si="0"/>
        <v>97.140297919942782</v>
      </c>
      <c r="M20" s="125"/>
      <c r="P20" s="126">
        <f t="shared" si="3"/>
        <v>96.688964667747143</v>
      </c>
      <c r="Q20" s="147"/>
      <c r="R20" s="126"/>
      <c r="S20" s="126"/>
      <c r="T20" s="126">
        <f>(P20-$P$56)/(D20-$D$56)</f>
        <v>0.55449830163619285</v>
      </c>
      <c r="U20" s="147"/>
      <c r="V20" s="152"/>
      <c r="X20" s="128">
        <v>405.43333333333339</v>
      </c>
      <c r="Y20" s="126">
        <v>73.765764300000001</v>
      </c>
      <c r="Z20" s="126">
        <v>5.043741870662986</v>
      </c>
      <c r="AA20" s="126">
        <v>256.97664350000002</v>
      </c>
      <c r="AB20" s="126">
        <v>21.773601704709211</v>
      </c>
    </row>
    <row r="21" spans="1:28" ht="14" customHeight="1">
      <c r="A21" s="96"/>
      <c r="B21" s="129"/>
      <c r="C21" s="130"/>
      <c r="D21" s="131"/>
      <c r="E21" s="120" t="s">
        <v>92</v>
      </c>
      <c r="F21" s="121">
        <v>0.16800000000000001</v>
      </c>
      <c r="G21" s="122">
        <v>9.6000000000000002E-2</v>
      </c>
      <c r="H21" s="122">
        <f t="shared" si="1"/>
        <v>1.7815235008103732E-2</v>
      </c>
      <c r="I21" s="122">
        <v>1.159</v>
      </c>
      <c r="J21" s="122">
        <f t="shared" si="2"/>
        <v>1.4295106000000002</v>
      </c>
      <c r="K21" s="123">
        <f t="shared" ref="K21:K22" si="24">I21*0.5/1000</f>
        <v>5.7950000000000005E-4</v>
      </c>
      <c r="L21" s="124">
        <f t="shared" si="0"/>
        <v>61.484849035733326</v>
      </c>
      <c r="M21" s="125"/>
      <c r="P21" s="126">
        <f t="shared" si="3"/>
        <v>87.89324343598058</v>
      </c>
      <c r="Q21" s="147"/>
      <c r="R21" s="126"/>
      <c r="S21" s="126"/>
      <c r="T21" s="126">
        <f>(P21-$P$57)/(D20-$D$56)</f>
        <v>0.53079614091514904</v>
      </c>
      <c r="U21" s="147"/>
      <c r="V21" s="152"/>
      <c r="X21" s="128"/>
      <c r="Y21" s="126"/>
      <c r="Z21" s="126"/>
      <c r="AA21" s="126"/>
      <c r="AB21" s="126"/>
    </row>
    <row r="22" spans="1:28" ht="14" customHeight="1">
      <c r="A22" s="96"/>
      <c r="B22" s="132"/>
      <c r="C22" s="133"/>
      <c r="D22" s="134"/>
      <c r="E22" s="135" t="s">
        <v>93</v>
      </c>
      <c r="F22" s="136">
        <v>0.215</v>
      </c>
      <c r="G22" s="137">
        <v>0.188</v>
      </c>
      <c r="H22" s="122">
        <f t="shared" si="1"/>
        <v>1.6411669367909238E-2</v>
      </c>
      <c r="I22" s="137">
        <v>1.016</v>
      </c>
      <c r="J22" s="137">
        <f t="shared" si="2"/>
        <v>1.2531344</v>
      </c>
      <c r="K22" s="123">
        <f t="shared" si="24"/>
        <v>5.0799999999999999E-4</v>
      </c>
      <c r="L22" s="124">
        <f t="shared" si="0"/>
        <v>64.612871527201733</v>
      </c>
      <c r="M22" s="139">
        <f>AVERAGE(L20:L22)</f>
        <v>74.412672827625954</v>
      </c>
      <c r="N22" s="140">
        <f>STDEV(L20:L22)</f>
        <v>19.744742032487093</v>
      </c>
      <c r="O22" s="140">
        <f>N22/SQRT(3)</f>
        <v>11.399632127536142</v>
      </c>
      <c r="P22" s="140">
        <f t="shared" si="3"/>
        <v>80.96861199351703</v>
      </c>
      <c r="Q22" s="139">
        <f t="shared" ref="Q22" si="25">AVERAGE(P20:P22)</f>
        <v>88.516940032414922</v>
      </c>
      <c r="R22" s="140">
        <f t="shared" ref="R22" si="26">STDEV(P20:P22)</f>
        <v>7.8787131013793301</v>
      </c>
      <c r="S22" s="140">
        <f t="shared" ref="S22" si="27">R22/SQRT(3)</f>
        <v>4.5487771299491877</v>
      </c>
      <c r="T22" s="140">
        <f>(P22-$P$58)/(D20-$D$56)</f>
        <v>0.36707782111913922</v>
      </c>
      <c r="U22" s="139">
        <f t="shared" ref="U22" si="28">AVERAGE(T20:T22)</f>
        <v>0.48412408789016043</v>
      </c>
      <c r="V22" s="148">
        <f t="shared" ref="V22" si="29">STDEV(T20:T22)/SQRT(3)</f>
        <v>5.8921754696338098E-2</v>
      </c>
      <c r="X22" s="128"/>
      <c r="Y22" s="126"/>
      <c r="Z22" s="126"/>
      <c r="AA22" s="126"/>
      <c r="AB22" s="126"/>
    </row>
    <row r="23" spans="1:28">
      <c r="A23" s="96"/>
      <c r="B23" s="144" t="s">
        <v>61</v>
      </c>
      <c r="C23" s="145">
        <v>0.49513888888888885</v>
      </c>
      <c r="D23" s="146">
        <v>188.68333333333334</v>
      </c>
      <c r="E23" s="120" t="s">
        <v>91</v>
      </c>
      <c r="F23" s="121">
        <v>0.14099999999999999</v>
      </c>
      <c r="G23" s="122">
        <v>7.4999999999999997E-2</v>
      </c>
      <c r="H23" s="122">
        <f t="shared" si="1"/>
        <v>1.5498379254457049E-2</v>
      </c>
      <c r="I23" s="122">
        <v>0.748</v>
      </c>
      <c r="J23" s="122">
        <f t="shared" si="2"/>
        <v>0.92258320000000005</v>
      </c>
      <c r="K23" s="151">
        <f>I23*0.5/1000</f>
        <v>3.7399999999999998E-4</v>
      </c>
      <c r="L23" s="162">
        <f t="shared" si="0"/>
        <v>82.879033446294386</v>
      </c>
      <c r="M23" s="125"/>
      <c r="P23" s="126">
        <f t="shared" si="3"/>
        <v>76.462803889789313</v>
      </c>
      <c r="Q23" s="147"/>
      <c r="R23" s="126"/>
      <c r="S23" s="126"/>
      <c r="T23" s="126">
        <f>(P23-$P$56)/(D23-$D$56)</f>
        <v>0.35222677406481356</v>
      </c>
      <c r="U23" s="147"/>
      <c r="V23" s="152"/>
      <c r="W23" s="126"/>
      <c r="X23" s="126"/>
      <c r="Y23" s="126"/>
    </row>
    <row r="24" spans="1:28" ht="14" customHeight="1">
      <c r="A24" s="96"/>
      <c r="B24" s="129"/>
      <c r="C24" s="130"/>
      <c r="D24" s="131"/>
      <c r="E24" s="120" t="s">
        <v>92</v>
      </c>
      <c r="F24" s="121">
        <v>0.193</v>
      </c>
      <c r="G24" s="122">
        <v>0.105</v>
      </c>
      <c r="H24" s="122">
        <f t="shared" si="1"/>
        <v>2.0984602917341978E-2</v>
      </c>
      <c r="I24" s="122">
        <v>1.3140000000000001</v>
      </c>
      <c r="J24" s="122">
        <f t="shared" si="2"/>
        <v>1.6206876000000001</v>
      </c>
      <c r="K24" s="123">
        <f>I24*0.5/1000</f>
        <v>6.5700000000000003E-4</v>
      </c>
      <c r="L24" s="124">
        <f t="shared" si="0"/>
        <v>63.880069763598101</v>
      </c>
      <c r="M24" s="125"/>
      <c r="P24" s="126">
        <f t="shared" si="3"/>
        <v>103.52963695299839</v>
      </c>
      <c r="Q24" s="147"/>
      <c r="R24" s="126"/>
      <c r="S24" s="126"/>
      <c r="T24" s="126">
        <f>(P24-$P$57)/(D23-$D$56)</f>
        <v>0.54821386674050965</v>
      </c>
      <c r="U24" s="147"/>
      <c r="V24" s="152"/>
      <c r="W24" s="126"/>
      <c r="X24" s="126"/>
      <c r="Y24" s="126"/>
    </row>
    <row r="25" spans="1:28" ht="14" customHeight="1">
      <c r="A25" s="96"/>
      <c r="B25" s="132"/>
      <c r="C25" s="133"/>
      <c r="D25" s="134"/>
      <c r="E25" s="135" t="s">
        <v>93</v>
      </c>
      <c r="F25" s="136">
        <v>0.17799999999999999</v>
      </c>
      <c r="G25" s="137">
        <v>9.6000000000000002E-2</v>
      </c>
      <c r="H25" s="122">
        <f t="shared" si="1"/>
        <v>1.9435980551053486E-2</v>
      </c>
      <c r="I25" s="137">
        <v>1.236</v>
      </c>
      <c r="J25" s="137">
        <f t="shared" si="2"/>
        <v>1.5244824000000001</v>
      </c>
      <c r="K25" s="123">
        <f>I25*0.5/1000</f>
        <v>6.1799999999999995E-4</v>
      </c>
      <c r="L25" s="124">
        <f t="shared" si="0"/>
        <v>62.899613433830055</v>
      </c>
      <c r="M25" s="139">
        <f>AVERAGE(L23:L25)</f>
        <v>69.886238881240843</v>
      </c>
      <c r="N25" s="140">
        <f>STDEV(L23:L25)</f>
        <v>11.26276416386804</v>
      </c>
      <c r="O25" s="140">
        <f>N25/SQRT(3)</f>
        <v>6.5025599218284835</v>
      </c>
      <c r="P25" s="140">
        <f t="shared" si="3"/>
        <v>95.889353646677492</v>
      </c>
      <c r="Q25" s="139">
        <f t="shared" ref="Q25" si="30">AVERAGE(P23:P25)</f>
        <v>91.960598163155055</v>
      </c>
      <c r="R25" s="140">
        <f t="shared" ref="R25" si="31">STDEV(P23:P25)</f>
        <v>13.954558493728435</v>
      </c>
      <c r="S25" s="140">
        <f t="shared" ref="S25" si="32">R25/SQRT(3)</f>
        <v>8.0566681027764915</v>
      </c>
      <c r="T25" s="140">
        <f>(P25-$P$58)/(D23-$D$56)</f>
        <v>0.40389042000928471</v>
      </c>
      <c r="U25" s="139">
        <f t="shared" ref="U25" si="33">AVERAGE(T23:T25)</f>
        <v>0.43477702027153597</v>
      </c>
      <c r="V25" s="148">
        <f t="shared" ref="V25" si="34">STDEV(T23:T25)/SQRT(3)</f>
        <v>5.8646459627977772E-2</v>
      </c>
    </row>
    <row r="26" spans="1:28">
      <c r="A26" s="96"/>
      <c r="B26" s="144" t="s">
        <v>62</v>
      </c>
      <c r="C26" s="145">
        <v>0.50763888888888886</v>
      </c>
      <c r="D26" s="146">
        <v>212.98333333333335</v>
      </c>
      <c r="E26" s="120" t="s">
        <v>91</v>
      </c>
      <c r="F26" s="121">
        <v>8.4000000000000005E-2</v>
      </c>
      <c r="G26" s="122">
        <v>4.2000000000000003E-2</v>
      </c>
      <c r="H26" s="122">
        <f t="shared" si="1"/>
        <v>9.4959481361426255E-3</v>
      </c>
      <c r="I26" s="122">
        <v>0.872</v>
      </c>
      <c r="J26" s="122">
        <f t="shared" si="2"/>
        <v>1.0755247999999999</v>
      </c>
      <c r="K26" s="151">
        <f>J26*0.25/1000</f>
        <v>2.6888119999999996E-4</v>
      </c>
      <c r="L26" s="162">
        <f>(H26*2)/K26</f>
        <v>70.633038949116767</v>
      </c>
      <c r="M26" s="125"/>
      <c r="P26" s="126">
        <f t="shared" si="3"/>
        <v>75.967585089141011</v>
      </c>
      <c r="Q26" s="147"/>
      <c r="R26" s="126"/>
      <c r="S26" s="126"/>
      <c r="T26" s="126">
        <f>(P26-$P$56)/(D26-$D$56)</f>
        <v>0.30460582695529426</v>
      </c>
      <c r="U26" s="147"/>
      <c r="V26" s="152"/>
    </row>
    <row r="27" spans="1:28" ht="14" customHeight="1">
      <c r="A27" s="96"/>
      <c r="B27" s="129"/>
      <c r="C27" s="130"/>
      <c r="D27" s="131"/>
      <c r="E27" s="120" t="s">
        <v>92</v>
      </c>
      <c r="F27" s="121">
        <v>0.16600000000000001</v>
      </c>
      <c r="G27" s="122">
        <v>8.5000000000000006E-2</v>
      </c>
      <c r="H27" s="122">
        <f t="shared" si="1"/>
        <v>1.856969205834684E-2</v>
      </c>
      <c r="I27" s="122">
        <v>1.6220000000000001</v>
      </c>
      <c r="J27" s="122">
        <f t="shared" si="2"/>
        <v>2.0005748000000003</v>
      </c>
      <c r="K27" s="123">
        <f>J27*0.25/1000</f>
        <v>5.0014370000000012E-4</v>
      </c>
      <c r="L27" s="124">
        <f>(H27*2)/K27</f>
        <v>74.257426648968433</v>
      </c>
      <c r="M27" s="125"/>
      <c r="P27" s="126">
        <f t="shared" si="3"/>
        <v>148.55753646677471</v>
      </c>
      <c r="Q27" s="147"/>
      <c r="R27" s="126"/>
      <c r="S27" s="126"/>
      <c r="T27" s="126">
        <f>(P27-$P$57)/(D26-$D$56)</f>
        <v>0.71497211999427157</v>
      </c>
      <c r="U27" s="147"/>
      <c r="V27" s="152"/>
    </row>
    <row r="28" spans="1:28" ht="14" customHeight="1">
      <c r="A28" s="96"/>
      <c r="B28" s="132"/>
      <c r="C28" s="133"/>
      <c r="D28" s="134"/>
      <c r="E28" s="135" t="s">
        <v>93</v>
      </c>
      <c r="F28" s="136">
        <v>0.122</v>
      </c>
      <c r="G28" s="137">
        <v>6.4000000000000001E-2</v>
      </c>
      <c r="H28" s="122">
        <f t="shared" si="1"/>
        <v>1.3497568881685575E-2</v>
      </c>
      <c r="I28" s="137">
        <v>1.35</v>
      </c>
      <c r="J28" s="137">
        <f t="shared" si="2"/>
        <v>1.6650900000000002</v>
      </c>
      <c r="K28" s="123">
        <f>J28*0.25/1000</f>
        <v>4.1627250000000004E-4</v>
      </c>
      <c r="L28" s="124">
        <f>(H28*2)/K28</f>
        <v>64.849678427883532</v>
      </c>
      <c r="M28" s="139">
        <f>AVERAGE(L26:L28)</f>
        <v>69.913381341989577</v>
      </c>
      <c r="N28" s="140">
        <f>STDEV(L26:L28)</f>
        <v>4.7449828188786469</v>
      </c>
      <c r="O28" s="140">
        <f>N28/SQRT(3)</f>
        <v>2.7395171077797364</v>
      </c>
      <c r="P28" s="140">
        <f t="shared" si="3"/>
        <v>107.9805510534846</v>
      </c>
      <c r="Q28" s="139">
        <f t="shared" ref="Q28" si="35">AVERAGE(P26:P28)</f>
        <v>110.83522420313345</v>
      </c>
      <c r="R28" s="140">
        <f t="shared" ref="R28" si="36">STDEV(P26:P28)</f>
        <v>36.379075432799283</v>
      </c>
      <c r="S28" s="140">
        <f t="shared" ref="S28" si="37">R28/SQRT(3)</f>
        <v>21.003468993996368</v>
      </c>
      <c r="T28" s="140">
        <f>(P28-$P$58)/(D26-$D$56)</f>
        <v>0.41586443929705552</v>
      </c>
      <c r="U28" s="139">
        <f t="shared" ref="U28" si="38">AVERAGE(T26:T28)</f>
        <v>0.47848079541554051</v>
      </c>
      <c r="V28" s="148">
        <f t="shared" ref="V28" si="39">STDEV(T26:T28)/SQRT(3)</f>
        <v>0.12252990064443534</v>
      </c>
    </row>
    <row r="29" spans="1:28">
      <c r="A29" s="96"/>
      <c r="B29" s="144" t="s">
        <v>63</v>
      </c>
      <c r="C29" s="145">
        <v>0.50763888888888886</v>
      </c>
      <c r="D29" s="146">
        <v>236.98333333333335</v>
      </c>
      <c r="E29" s="120" t="s">
        <v>91</v>
      </c>
      <c r="F29" s="121">
        <v>0.14099999999999999</v>
      </c>
      <c r="G29" s="122">
        <v>7.4999999999999997E-2</v>
      </c>
      <c r="H29" s="122">
        <f t="shared" si="1"/>
        <v>1.5498379254457049E-2</v>
      </c>
      <c r="I29" s="122">
        <v>1.8720000000000001</v>
      </c>
      <c r="J29" s="122">
        <f t="shared" si="2"/>
        <v>2.3089248000000002</v>
      </c>
      <c r="K29" s="151">
        <f>J29*0.25/1000</f>
        <v>5.7723120000000006E-4</v>
      </c>
      <c r="L29" s="124">
        <f t="shared" ref="L29:L43" si="40">(H29*2)/K29</f>
        <v>53.699035168081863</v>
      </c>
      <c r="M29" s="125"/>
      <c r="P29" s="126">
        <f t="shared" si="3"/>
        <v>123.98703403565639</v>
      </c>
      <c r="Q29" s="147"/>
      <c r="R29" s="126"/>
      <c r="S29" s="126"/>
      <c r="T29" s="126">
        <f>(P29-$P$56)/(D29-$D$56)</f>
        <v>0.4947159254901089</v>
      </c>
      <c r="U29" s="147"/>
      <c r="V29" s="152"/>
    </row>
    <row r="30" spans="1:28" ht="14" customHeight="1">
      <c r="A30" s="96"/>
      <c r="B30" s="129"/>
      <c r="C30" s="130"/>
      <c r="D30" s="131"/>
      <c r="E30" s="120" t="s">
        <v>92</v>
      </c>
      <c r="F30" s="121">
        <v>0.193</v>
      </c>
      <c r="G30" s="122">
        <v>0.105</v>
      </c>
      <c r="H30" s="122">
        <f t="shared" si="1"/>
        <v>2.0984602917341978E-2</v>
      </c>
      <c r="I30" s="122">
        <v>1.8120000000000001</v>
      </c>
      <c r="J30" s="122">
        <f t="shared" si="2"/>
        <v>2.2349208000000003</v>
      </c>
      <c r="K30" s="123">
        <f>J30*0.25/1000</f>
        <v>5.5873020000000008E-4</v>
      </c>
      <c r="L30" s="124">
        <f t="shared" si="40"/>
        <v>75.115334439921</v>
      </c>
      <c r="M30" s="125"/>
      <c r="P30" s="126">
        <f t="shared" si="3"/>
        <v>167.87682333873582</v>
      </c>
      <c r="Q30" s="147"/>
      <c r="R30" s="126"/>
      <c r="S30" s="126"/>
      <c r="T30" s="126">
        <f>(P30-$P$57)/(D29-$D$56)</f>
        <v>0.72505908757879178</v>
      </c>
      <c r="U30" s="147"/>
      <c r="V30" s="152"/>
    </row>
    <row r="31" spans="1:28" ht="14" customHeight="1">
      <c r="A31" s="96"/>
      <c r="B31" s="132"/>
      <c r="C31" s="133"/>
      <c r="D31" s="134"/>
      <c r="E31" s="135" t="s">
        <v>93</v>
      </c>
      <c r="F31" s="136">
        <v>0.17799999999999999</v>
      </c>
      <c r="G31" s="137">
        <v>9.6000000000000002E-2</v>
      </c>
      <c r="H31" s="122">
        <f t="shared" si="1"/>
        <v>1.9435980551053486E-2</v>
      </c>
      <c r="I31" s="137">
        <v>1.952</v>
      </c>
      <c r="J31" s="137">
        <f t="shared" si="2"/>
        <v>2.4075967999999999</v>
      </c>
      <c r="K31" s="123">
        <f>J31*0.25/1000</f>
        <v>6.0189919999999999E-4</v>
      </c>
      <c r="L31" s="124">
        <f t="shared" si="40"/>
        <v>64.582177716978151</v>
      </c>
      <c r="M31" s="139">
        <f>AVERAGE(L29:L31)</f>
        <v>64.465515774993676</v>
      </c>
      <c r="N31" s="140">
        <f>STDEV(L29:L31)</f>
        <v>10.708626248579947</v>
      </c>
      <c r="O31" s="140">
        <f>N31/SQRT(3)</f>
        <v>6.1826282472687248</v>
      </c>
      <c r="P31" s="140">
        <f t="shared" si="3"/>
        <v>155.48784440842789</v>
      </c>
      <c r="Q31" s="139">
        <f t="shared" ref="Q31" si="41">AVERAGE(P29:P31)</f>
        <v>149.11723392760669</v>
      </c>
      <c r="R31" s="140">
        <f t="shared" ref="R31" si="42">STDEV(P29:P31)</f>
        <v>22.627790649794726</v>
      </c>
      <c r="S31" s="140">
        <f t="shared" ref="S31" si="43">R31/SQRT(3)</f>
        <v>13.064161022825482</v>
      </c>
      <c r="T31" s="140">
        <f>(P31-$P$58)/(D29-$D$56)</f>
        <v>0.59111294557887661</v>
      </c>
      <c r="U31" s="139">
        <f t="shared" ref="U31" si="44">AVERAGE(T29:T31)</f>
        <v>0.60362931954925914</v>
      </c>
      <c r="V31" s="148">
        <f t="shared" ref="V31" si="45">STDEV(T29:T31)/SQRT(3)</f>
        <v>6.6788192053381587E-2</v>
      </c>
    </row>
    <row r="32" spans="1:28">
      <c r="A32" s="96"/>
      <c r="B32" s="144" t="s">
        <v>64</v>
      </c>
      <c r="C32" s="145">
        <v>0.50624999999999998</v>
      </c>
      <c r="D32" s="146">
        <v>260.95000000000005</v>
      </c>
      <c r="E32" s="120" t="s">
        <v>91</v>
      </c>
      <c r="F32" s="121">
        <v>8.8999999999999996E-2</v>
      </c>
      <c r="G32" s="122">
        <v>0.04</v>
      </c>
      <c r="H32" s="122">
        <f t="shared" si="1"/>
        <v>1.0502431118314424E-2</v>
      </c>
      <c r="I32" s="122">
        <v>1.1279999999999999</v>
      </c>
      <c r="J32" s="122">
        <f t="shared" si="2"/>
        <v>1.3912751999999999</v>
      </c>
      <c r="K32" s="151">
        <f>J32*0.25/1000</f>
        <v>3.4781879999999996E-4</v>
      </c>
      <c r="L32" s="124">
        <f t="shared" si="40"/>
        <v>60.390244105921965</v>
      </c>
      <c r="M32" s="125"/>
      <c r="P32" s="126">
        <f t="shared" si="3"/>
        <v>84.019448946515396</v>
      </c>
      <c r="Q32" s="147"/>
      <c r="R32" s="126"/>
      <c r="S32" s="126"/>
      <c r="T32" s="126">
        <f>(P32-$P$56)/(D32-$D$56)</f>
        <v>0.27705831620806803</v>
      </c>
      <c r="U32" s="147"/>
      <c r="V32" s="152"/>
    </row>
    <row r="33" spans="1:22" ht="14" customHeight="1">
      <c r="A33" s="96"/>
      <c r="B33" s="129"/>
      <c r="C33" s="130"/>
      <c r="D33" s="131"/>
      <c r="E33" s="120" t="s">
        <v>92</v>
      </c>
      <c r="F33" s="121">
        <v>0.249</v>
      </c>
      <c r="G33" s="122">
        <v>0.128</v>
      </c>
      <c r="H33" s="122">
        <f t="shared" si="1"/>
        <v>2.7805510534846027E-2</v>
      </c>
      <c r="I33" s="122">
        <v>1.927</v>
      </c>
      <c r="J33" s="122">
        <f t="shared" si="2"/>
        <v>2.3767618000000001</v>
      </c>
      <c r="K33" s="123">
        <f>J33*0.25/1000</f>
        <v>5.9419045000000002E-4</v>
      </c>
      <c r="L33" s="124">
        <f t="shared" si="40"/>
        <v>93.591240097669115</v>
      </c>
      <c r="M33" s="125"/>
      <c r="P33" s="126">
        <f t="shared" si="3"/>
        <v>222.44408427876823</v>
      </c>
      <c r="Q33" s="147"/>
      <c r="R33" s="126"/>
      <c r="S33" s="126"/>
      <c r="T33" s="126">
        <f>(P33-$P$57)/(D32-$D$56)</f>
        <v>0.88125401187276076</v>
      </c>
      <c r="U33" s="147"/>
      <c r="V33" s="152"/>
    </row>
    <row r="34" spans="1:22" ht="14" customHeight="1">
      <c r="A34" s="96"/>
      <c r="B34" s="132"/>
      <c r="C34" s="133"/>
      <c r="D34" s="134"/>
      <c r="E34" s="135" t="s">
        <v>93</v>
      </c>
      <c r="F34" s="136">
        <v>0.222</v>
      </c>
      <c r="G34" s="137">
        <v>0.14199999999999999</v>
      </c>
      <c r="H34" s="122">
        <f t="shared" si="1"/>
        <v>2.2056726094003245E-2</v>
      </c>
      <c r="I34" s="137">
        <v>1.5980000000000001</v>
      </c>
      <c r="J34" s="137">
        <f t="shared" si="2"/>
        <v>1.9709732000000002</v>
      </c>
      <c r="K34" s="123">
        <f>J34*0.25/1000</f>
        <v>4.9274330000000002E-4</v>
      </c>
      <c r="L34" s="124">
        <f t="shared" si="40"/>
        <v>89.52623442674205</v>
      </c>
      <c r="M34" s="139">
        <f>AVERAGE(L32:L34)</f>
        <v>81.169239543444391</v>
      </c>
      <c r="N34" s="140">
        <f>STDEV(L32:L34)</f>
        <v>18.109557043743443</v>
      </c>
      <c r="O34" s="140">
        <f>N34/SQRT(3)</f>
        <v>10.455557634110161</v>
      </c>
      <c r="P34" s="140">
        <f t="shared" si="3"/>
        <v>176.45380875202596</v>
      </c>
      <c r="Q34" s="139">
        <f t="shared" ref="Q34" si="46">AVERAGE(P32:P34)</f>
        <v>160.97244732576988</v>
      </c>
      <c r="R34" s="140">
        <f t="shared" ref="R34" si="47">STDEV(P32:P34)</f>
        <v>70.498931413352437</v>
      </c>
      <c r="S34" s="140">
        <f t="shared" ref="S34" si="48">R34/SQRT(3)</f>
        <v>40.702577029079997</v>
      </c>
      <c r="T34" s="140">
        <f>(P34-$P$58)/(D32-$D$56)</f>
        <v>0.61966799561901786</v>
      </c>
      <c r="U34" s="139">
        <f t="shared" ref="U34" si="49">AVERAGE(T32:T34)</f>
        <v>0.59266010789994883</v>
      </c>
      <c r="V34" s="148">
        <f t="shared" ref="V34" si="50">STDEV(T32:T34)/SQRT(3)</f>
        <v>0.17493825497797785</v>
      </c>
    </row>
    <row r="35" spans="1:22">
      <c r="A35" s="96"/>
      <c r="B35" s="144" t="s">
        <v>65</v>
      </c>
      <c r="C35" s="145">
        <v>0.50624999999999998</v>
      </c>
      <c r="D35" s="146">
        <v>284.95000000000005</v>
      </c>
      <c r="E35" s="120" t="s">
        <v>91</v>
      </c>
      <c r="F35" s="121">
        <v>0.17899999999999999</v>
      </c>
      <c r="G35" s="122">
        <v>9.6000000000000002E-2</v>
      </c>
      <c r="H35" s="122">
        <f t="shared" si="1"/>
        <v>1.9598055105348459E-2</v>
      </c>
      <c r="I35" s="122">
        <v>2.6560000000000001</v>
      </c>
      <c r="J35" s="122">
        <f t="shared" si="2"/>
        <v>3.2759104000000003</v>
      </c>
      <c r="K35" s="151">
        <f>J35*0.25/1000</f>
        <v>8.1897760000000013E-4</v>
      </c>
      <c r="L35" s="124">
        <f t="shared" si="40"/>
        <v>47.859807411944978</v>
      </c>
      <c r="M35" s="125"/>
      <c r="P35" s="126">
        <f t="shared" si="3"/>
        <v>156.78444084278766</v>
      </c>
      <c r="Q35" s="147"/>
      <c r="R35" s="126"/>
      <c r="S35" s="126"/>
      <c r="T35" s="126">
        <f>(P35-$P$56)/(D35-$D$56)</f>
        <v>0.52931162527818865</v>
      </c>
      <c r="U35" s="147"/>
      <c r="V35" s="152"/>
    </row>
    <row r="36" spans="1:22" ht="14" customHeight="1">
      <c r="A36" s="96"/>
      <c r="B36" s="129"/>
      <c r="C36" s="130"/>
      <c r="D36" s="131"/>
      <c r="E36" s="120" t="s">
        <v>92</v>
      </c>
      <c r="F36" s="121">
        <v>0.16800000000000001</v>
      </c>
      <c r="G36" s="122">
        <v>9.6000000000000002E-2</v>
      </c>
      <c r="H36" s="122">
        <f t="shared" si="1"/>
        <v>1.7815235008103732E-2</v>
      </c>
      <c r="I36" s="122">
        <v>2.3759999999999999</v>
      </c>
      <c r="J36" s="122">
        <f t="shared" si="2"/>
        <v>2.9305583999999998</v>
      </c>
      <c r="K36" s="123">
        <f>J36*0.25/1000</f>
        <v>7.3263959999999998E-4</v>
      </c>
      <c r="L36" s="124">
        <f t="shared" si="40"/>
        <v>48.63301139633657</v>
      </c>
      <c r="M36" s="125"/>
      <c r="P36" s="126">
        <f t="shared" si="3"/>
        <v>142.52188006482984</v>
      </c>
      <c r="Q36" s="147"/>
      <c r="R36" s="126"/>
      <c r="S36" s="126"/>
      <c r="T36" s="126">
        <f>(P36-$P$57)/(D35-$D$56)</f>
        <v>0.49562905766106824</v>
      </c>
      <c r="U36" s="147"/>
      <c r="V36" s="152"/>
    </row>
    <row r="37" spans="1:22" ht="14" customHeight="1">
      <c r="A37" s="96"/>
      <c r="B37" s="132"/>
      <c r="C37" s="133"/>
      <c r="D37" s="134"/>
      <c r="E37" s="135" t="s">
        <v>93</v>
      </c>
      <c r="F37" s="136">
        <v>0.215</v>
      </c>
      <c r="G37" s="137">
        <v>0.188</v>
      </c>
      <c r="H37" s="122">
        <f t="shared" si="1"/>
        <v>1.6411669367909238E-2</v>
      </c>
      <c r="I37" s="137">
        <v>2.2559999999999998</v>
      </c>
      <c r="J37" s="137">
        <f t="shared" si="2"/>
        <v>2.7825503999999999</v>
      </c>
      <c r="K37" s="123">
        <f>J37*0.25/1000</f>
        <v>6.9563759999999991E-4</v>
      </c>
      <c r="L37" s="124">
        <f t="shared" si="40"/>
        <v>47.184537948809094</v>
      </c>
      <c r="M37" s="139">
        <f>AVERAGE(L35:L37)</f>
        <v>47.892452252363547</v>
      </c>
      <c r="N37" s="140">
        <f>STDEV(L35:L37)</f>
        <v>0.7247883113382132</v>
      </c>
      <c r="O37" s="140">
        <f>N37/SQRT(3)</f>
        <v>0.41845672665661171</v>
      </c>
      <c r="P37" s="140">
        <f t="shared" si="3"/>
        <v>131.29335494327393</v>
      </c>
      <c r="Q37" s="139">
        <f t="shared" ref="Q37" si="51">AVERAGE(P35:P37)</f>
        <v>143.53322528363049</v>
      </c>
      <c r="R37" s="140">
        <f t="shared" ref="R37" si="52">STDEV(P35:P37)</f>
        <v>12.77560094272634</v>
      </c>
      <c r="S37" s="140">
        <f t="shared" ref="S37" si="53">R37/SQRT(3)</f>
        <v>7.3759966433422894</v>
      </c>
      <c r="T37" s="140">
        <f>(P37-$P$58)/(D35-$D$56)</f>
        <v>0.39062379224775334</v>
      </c>
      <c r="U37" s="139">
        <f t="shared" ref="U37" si="54">AVERAGE(T35:T37)</f>
        <v>0.47185482506233672</v>
      </c>
      <c r="V37" s="148">
        <f t="shared" ref="V37" si="55">STDEV(T35:T37)/SQRT(3)</f>
        <v>4.1763178995431888E-2</v>
      </c>
    </row>
    <row r="38" spans="1:22">
      <c r="A38" s="96"/>
      <c r="B38" s="144" t="s">
        <v>66</v>
      </c>
      <c r="C38" s="145">
        <v>0.50624999999999998</v>
      </c>
      <c r="D38" s="146">
        <v>308.95000000000005</v>
      </c>
      <c r="E38" s="120" t="s">
        <v>91</v>
      </c>
      <c r="F38" s="121">
        <v>0.14099999999999999</v>
      </c>
      <c r="G38" s="122">
        <v>7.4999999999999997E-2</v>
      </c>
      <c r="H38" s="122">
        <f t="shared" si="1"/>
        <v>1.5498379254457049E-2</v>
      </c>
      <c r="I38" s="122">
        <v>2.6960000000000002</v>
      </c>
      <c r="J38" s="122">
        <f t="shared" si="2"/>
        <v>3.3252464000000002</v>
      </c>
      <c r="K38" s="151">
        <f>J38*0.25/1000</f>
        <v>8.3131160000000004E-4</v>
      </c>
      <c r="L38" s="124">
        <f t="shared" si="40"/>
        <v>37.286570413445567</v>
      </c>
      <c r="M38" s="125"/>
      <c r="P38" s="126">
        <f t="shared" si="3"/>
        <v>123.98703403565639</v>
      </c>
      <c r="Q38" s="147"/>
      <c r="R38" s="126"/>
      <c r="S38" s="126"/>
      <c r="T38" s="126">
        <f>(P38-$P$56)/(D38-$D$56)</f>
        <v>0.37027322676785035</v>
      </c>
      <c r="U38" s="147"/>
      <c r="V38" s="152"/>
    </row>
    <row r="39" spans="1:22" ht="14" customHeight="1">
      <c r="A39" s="96"/>
      <c r="B39" s="129"/>
      <c r="C39" s="130"/>
      <c r="D39" s="131"/>
      <c r="E39" s="120" t="s">
        <v>92</v>
      </c>
      <c r="F39" s="121">
        <v>0.193</v>
      </c>
      <c r="G39" s="122">
        <v>0.105</v>
      </c>
      <c r="H39" s="122">
        <f t="shared" si="1"/>
        <v>2.0984602917341978E-2</v>
      </c>
      <c r="I39" s="122">
        <v>2.7360000000000002</v>
      </c>
      <c r="J39" s="122">
        <f t="shared" si="2"/>
        <v>3.3745824000000004</v>
      </c>
      <c r="K39" s="123">
        <f>J39*0.25/1000</f>
        <v>8.4364560000000006E-4</v>
      </c>
      <c r="L39" s="124">
        <f t="shared" si="40"/>
        <v>49.747436405386281</v>
      </c>
      <c r="M39" s="125"/>
      <c r="P39" s="126">
        <f t="shared" si="3"/>
        <v>167.87682333873582</v>
      </c>
      <c r="Q39" s="147"/>
      <c r="R39" s="126"/>
      <c r="S39" s="126"/>
      <c r="T39" s="126">
        <f>(P39-$P$57)/(D38-$D$56)</f>
        <v>0.54267500624562026</v>
      </c>
      <c r="U39" s="147"/>
      <c r="V39" s="152"/>
    </row>
    <row r="40" spans="1:22" ht="14" customHeight="1">
      <c r="A40" s="96"/>
      <c r="B40" s="132"/>
      <c r="C40" s="133"/>
      <c r="D40" s="134"/>
      <c r="E40" s="135" t="s">
        <v>93</v>
      </c>
      <c r="F40" s="136">
        <v>0.17799999999999999</v>
      </c>
      <c r="G40" s="137">
        <v>9.6000000000000002E-2</v>
      </c>
      <c r="H40" s="122">
        <f t="shared" si="1"/>
        <v>1.9435980551053486E-2</v>
      </c>
      <c r="I40" s="137">
        <v>2.6560000000000001</v>
      </c>
      <c r="J40" s="137">
        <f t="shared" si="2"/>
        <v>3.2759104000000003</v>
      </c>
      <c r="K40" s="123">
        <f>J40*0.25/1000</f>
        <v>8.1897760000000013E-4</v>
      </c>
      <c r="L40" s="124">
        <f t="shared" si="40"/>
        <v>47.464010129345375</v>
      </c>
      <c r="M40" s="139">
        <f>AVERAGE(L38:L40)</f>
        <v>44.832672316059075</v>
      </c>
      <c r="N40" s="140">
        <f>STDEV(L38:L40)</f>
        <v>6.6340974768990568</v>
      </c>
      <c r="O40" s="140">
        <f>N40/SQRT(3)</f>
        <v>3.8301979641178878</v>
      </c>
      <c r="P40" s="140">
        <f t="shared" si="3"/>
        <v>155.48784440842789</v>
      </c>
      <c r="Q40" s="139">
        <f t="shared" ref="Q40" si="56">AVERAGE(P38:P40)</f>
        <v>149.11723392760669</v>
      </c>
      <c r="R40" s="140">
        <f t="shared" ref="R40" si="57">STDEV(P38:P40)</f>
        <v>22.627790649794726</v>
      </c>
      <c r="S40" s="140">
        <f t="shared" ref="S40" si="58">R40/SQRT(3)</f>
        <v>13.064161022825482</v>
      </c>
      <c r="T40" s="140">
        <f>(P40-$P$58)/(D38-$D$56)</f>
        <v>0.44242217900485881</v>
      </c>
      <c r="U40" s="139">
        <f t="shared" ref="U40" si="59">AVERAGE(T38:T40)</f>
        <v>0.45179013733944312</v>
      </c>
      <c r="V40" s="148">
        <f t="shared" ref="V40" si="60">STDEV(T38:T40)/SQRT(3)</f>
        <v>4.9988039817188024E-2</v>
      </c>
    </row>
    <row r="41" spans="1:22">
      <c r="A41" s="96"/>
      <c r="B41" s="144" t="s">
        <v>67</v>
      </c>
      <c r="C41" s="145">
        <v>0.50624999999999998</v>
      </c>
      <c r="D41" s="146">
        <f>D38+24</f>
        <v>332.95000000000005</v>
      </c>
      <c r="E41" s="120" t="s">
        <v>91</v>
      </c>
      <c r="F41" s="121">
        <v>0.14099999999999999</v>
      </c>
      <c r="G41" s="122">
        <v>7.4999999999999997E-2</v>
      </c>
      <c r="H41" s="122">
        <f t="shared" si="1"/>
        <v>1.5498379254457049E-2</v>
      </c>
      <c r="I41" s="122">
        <v>2.8559999999999999</v>
      </c>
      <c r="J41" s="122">
        <f t="shared" si="2"/>
        <v>3.5225903999999999</v>
      </c>
      <c r="K41" s="151">
        <f>J41*0.25/1000</f>
        <v>8.8064760000000001E-4</v>
      </c>
      <c r="L41" s="124">
        <f t="shared" si="40"/>
        <v>35.197686916893993</v>
      </c>
      <c r="M41" s="125"/>
      <c r="P41" s="126">
        <f t="shared" si="3"/>
        <v>123.98703403565638</v>
      </c>
      <c r="Q41" s="147"/>
      <c r="R41" s="126"/>
      <c r="S41" s="126"/>
      <c r="T41" s="126">
        <f>(P41-$P$56)/(D41-$D$56)</f>
        <v>0.34161615665360201</v>
      </c>
      <c r="U41" s="147"/>
      <c r="V41" s="152"/>
    </row>
    <row r="42" spans="1:22">
      <c r="A42" s="96"/>
      <c r="B42" s="129"/>
      <c r="C42" s="130"/>
      <c r="D42" s="131"/>
      <c r="E42" s="120" t="s">
        <v>92</v>
      </c>
      <c r="F42" s="121">
        <v>0.193</v>
      </c>
      <c r="G42" s="122">
        <v>0.105</v>
      </c>
      <c r="H42" s="122">
        <f t="shared" si="1"/>
        <v>2.0984602917341978E-2</v>
      </c>
      <c r="I42" s="122">
        <v>2.9119999999999999</v>
      </c>
      <c r="J42" s="122">
        <f t="shared" si="2"/>
        <v>3.5916608000000001</v>
      </c>
      <c r="K42" s="123">
        <f>J42*0.25/1000</f>
        <v>8.9791520000000007E-4</v>
      </c>
      <c r="L42" s="124">
        <f t="shared" si="40"/>
        <v>46.740723216049751</v>
      </c>
      <c r="M42" s="125"/>
      <c r="P42" s="126">
        <f t="shared" si="3"/>
        <v>167.87682333873582</v>
      </c>
      <c r="Q42" s="147"/>
      <c r="R42" s="126"/>
      <c r="S42" s="126"/>
      <c r="T42" s="126">
        <f>(P42-$P$57)/(D41-$D$56)</f>
        <v>0.50067500576224433</v>
      </c>
      <c r="U42" s="147"/>
      <c r="V42" s="152"/>
    </row>
    <row r="43" spans="1:22">
      <c r="A43" s="96"/>
      <c r="B43" s="132"/>
      <c r="C43" s="133"/>
      <c r="D43" s="134"/>
      <c r="E43" s="135" t="s">
        <v>93</v>
      </c>
      <c r="F43" s="136">
        <v>0.17799999999999999</v>
      </c>
      <c r="G43" s="137">
        <v>9.6000000000000002E-2</v>
      </c>
      <c r="H43" s="122">
        <f t="shared" si="1"/>
        <v>1.9435980551053486E-2</v>
      </c>
      <c r="I43" s="137">
        <v>2.9079999999999999</v>
      </c>
      <c r="J43" s="137">
        <f t="shared" si="2"/>
        <v>3.5867271999999999</v>
      </c>
      <c r="K43" s="123">
        <f>J43*0.25/1000</f>
        <v>8.9668179999999992E-4</v>
      </c>
      <c r="L43" s="124">
        <f t="shared" si="40"/>
        <v>43.350897834780383</v>
      </c>
      <c r="M43" s="139">
        <f>AVERAGE(L41:L43)</f>
        <v>41.763102655908042</v>
      </c>
      <c r="N43" s="140">
        <f>STDEV(L41:L43)</f>
        <v>5.9330634497234689</v>
      </c>
      <c r="O43" s="140">
        <f>N43/SQRT(3)</f>
        <v>3.4254557798169745</v>
      </c>
      <c r="P43" s="140">
        <f t="shared" si="3"/>
        <v>155.48784440842789</v>
      </c>
      <c r="Q43" s="139">
        <f t="shared" ref="Q43" si="61">AVERAGE(P41:P43)</f>
        <v>149.11723392760669</v>
      </c>
      <c r="R43" s="140">
        <f t="shared" ref="R43" si="62">STDEV(P41:P43)</f>
        <v>22.627790649794726</v>
      </c>
      <c r="S43" s="140">
        <f t="shared" ref="S43" si="63">R43/SQRT(3)</f>
        <v>13.064161022825482</v>
      </c>
      <c r="T43" s="140">
        <f>(P43-$P$58)/(D41-$D$56)</f>
        <v>0.40818118482196103</v>
      </c>
      <c r="U43" s="139">
        <f t="shared" ref="U43" si="64">AVERAGE(T41:T43)</f>
        <v>0.41682411574593581</v>
      </c>
      <c r="V43" s="148">
        <f t="shared" ref="V43" si="65">STDEV(T41:T43)/SQRT(3)</f>
        <v>4.6119246022887563E-2</v>
      </c>
    </row>
    <row r="44" spans="1:22">
      <c r="A44" s="96"/>
      <c r="B44" s="144" t="s">
        <v>68</v>
      </c>
      <c r="C44" s="145">
        <v>0.48749999999999999</v>
      </c>
      <c r="D44" s="146">
        <f>11+33/60+12+24+24+24+D32</f>
        <v>356.50000000000006</v>
      </c>
      <c r="E44" s="120" t="s">
        <v>91</v>
      </c>
      <c r="F44" s="149">
        <v>6.6666666666666652E-2</v>
      </c>
      <c r="G44" s="150">
        <v>3.7666666666666661E-2</v>
      </c>
      <c r="H44" s="122">
        <f t="shared" si="1"/>
        <v>7.1115613182063733E-3</v>
      </c>
      <c r="I44" s="122">
        <v>1.04</v>
      </c>
      <c r="J44" s="122">
        <f t="shared" si="2"/>
        <v>1.2827360000000001</v>
      </c>
      <c r="K44" s="151">
        <f>J44*0.05/1000</f>
        <v>6.4136800000000012E-5</v>
      </c>
      <c r="L44" s="124">
        <f>(H44*0.5)/K44</f>
        <v>55.440568583140816</v>
      </c>
      <c r="M44" s="125"/>
      <c r="P44" s="126"/>
      <c r="Q44" s="147"/>
      <c r="R44" s="126"/>
      <c r="S44" s="126"/>
      <c r="T44" s="126">
        <f>(P44-$P$56)/(D44-$D$56)</f>
        <v>-5.410419258916347E-2</v>
      </c>
      <c r="U44" s="147"/>
      <c r="V44" s="152"/>
    </row>
    <row r="45" spans="1:22">
      <c r="A45" s="96"/>
      <c r="B45" s="129"/>
      <c r="C45" s="130"/>
      <c r="D45" s="131"/>
      <c r="E45" s="120" t="s">
        <v>92</v>
      </c>
      <c r="F45" s="121">
        <v>0.12366666666666665</v>
      </c>
      <c r="G45" s="122">
        <v>6.1666666666666668E-2</v>
      </c>
      <c r="H45" s="122">
        <f t="shared" si="1"/>
        <v>1.399648838465694E-2</v>
      </c>
      <c r="I45" s="122">
        <v>3.6760000000000002</v>
      </c>
      <c r="J45" s="122">
        <f t="shared" si="2"/>
        <v>4.5339784000000005</v>
      </c>
      <c r="K45" s="123">
        <f>J45*0.05/1000</f>
        <v>2.2669892000000001E-4</v>
      </c>
      <c r="L45" s="124">
        <f>(H45*0.5)/K45</f>
        <v>30.870214080986663</v>
      </c>
      <c r="M45" s="125"/>
      <c r="P45" s="126">
        <f t="shared" ref="P45:P47" si="66">L45*J45</f>
        <v>139.96488384656939</v>
      </c>
      <c r="Q45" s="147"/>
      <c r="R45" s="126"/>
      <c r="S45" s="126"/>
      <c r="T45" s="126">
        <f>(P45-$P$57)/(D44-$D$56)</f>
        <v>0.38167954381748992</v>
      </c>
      <c r="U45" s="147"/>
      <c r="V45" s="152"/>
    </row>
    <row r="46" spans="1:22">
      <c r="A46" s="96"/>
      <c r="B46" s="132"/>
      <c r="C46" s="133"/>
      <c r="D46" s="134"/>
      <c r="E46" s="135" t="s">
        <v>93</v>
      </c>
      <c r="F46" s="121">
        <v>0.11066666666666666</v>
      </c>
      <c r="G46" s="122">
        <v>5.6666666666666664E-2</v>
      </c>
      <c r="H46" s="122">
        <f t="shared" si="1"/>
        <v>1.2379794705564559E-2</v>
      </c>
      <c r="I46" s="137">
        <v>1.984</v>
      </c>
      <c r="J46" s="137">
        <f t="shared" si="2"/>
        <v>2.4470656000000002</v>
      </c>
      <c r="K46" s="123">
        <f>J46*0.05/1000</f>
        <v>1.2235328000000001E-4</v>
      </c>
      <c r="L46" s="124">
        <f>(H46*0.5)/K46</f>
        <v>50.590367113838546</v>
      </c>
      <c r="M46" s="139">
        <f>AVERAGE(L44:L46)</f>
        <v>45.63371659265534</v>
      </c>
      <c r="N46" s="140">
        <f>STDEV(L44:L46)</f>
        <v>13.013526362298606</v>
      </c>
      <c r="O46" s="140">
        <f>N46/SQRT(3)</f>
        <v>7.5133629483793918</v>
      </c>
      <c r="P46" s="140">
        <f t="shared" si="66"/>
        <v>123.79794705564559</v>
      </c>
      <c r="Q46" s="139">
        <f t="shared" ref="Q46" si="67">AVERAGE(P44:P46)</f>
        <v>131.8814154511075</v>
      </c>
      <c r="R46" s="140">
        <f t="shared" ref="R46" si="68">STDEV(P44:P46)</f>
        <v>11.431750635876501</v>
      </c>
      <c r="S46" s="140">
        <f t="shared" ref="S46" si="69">R46/SQRT(3)</f>
        <v>6.6001243069319733</v>
      </c>
      <c r="T46" s="140">
        <f>(P46-$P$58)/(D44-$D$56)</f>
        <v>0.28439109264351209</v>
      </c>
      <c r="U46" s="139">
        <f t="shared" ref="U46" si="70">AVERAGE(T44:T46)</f>
        <v>0.20398881462394616</v>
      </c>
      <c r="V46" s="148">
        <f t="shared" ref="V46" si="71">STDEV(T44:T46)/SQRT(3)</f>
        <v>0.13206723156810143</v>
      </c>
    </row>
    <row r="47" spans="1:22">
      <c r="B47" s="144" t="s">
        <v>69</v>
      </c>
      <c r="C47" s="145">
        <v>0.52638888888888891</v>
      </c>
      <c r="D47" s="146">
        <f>56/60+24+D44</f>
        <v>381.43333333333339</v>
      </c>
      <c r="E47" s="120" t="s">
        <v>91</v>
      </c>
      <c r="F47" s="122">
        <v>9.849999999999999E-2</v>
      </c>
      <c r="G47" s="122">
        <v>5.7500000000000009E-2</v>
      </c>
      <c r="H47" s="122">
        <f t="shared" si="1"/>
        <v>1.0326175040518635E-2</v>
      </c>
      <c r="I47" s="122">
        <v>1.19</v>
      </c>
      <c r="J47" s="137">
        <f t="shared" si="2"/>
        <v>1.467746</v>
      </c>
      <c r="K47" s="151">
        <f>J47*0.25/1000</f>
        <v>3.6693650000000001E-4</v>
      </c>
      <c r="L47" s="124">
        <f t="shared" ref="L47:L52" si="72">(H47*2)/K47</f>
        <v>56.28317183228507</v>
      </c>
      <c r="M47" s="147"/>
      <c r="N47" s="126"/>
      <c r="O47" s="126"/>
      <c r="P47" s="140">
        <f t="shared" si="66"/>
        <v>82.609400324149078</v>
      </c>
      <c r="Q47" s="147"/>
      <c r="R47" s="126"/>
      <c r="S47" s="126"/>
      <c r="T47" s="140">
        <f>(P47-$P$56)/(D47-$D$56)</f>
        <v>0.18003496109721034</v>
      </c>
      <c r="U47" s="147"/>
      <c r="V47" s="152"/>
    </row>
    <row r="48" spans="1:22">
      <c r="B48" s="129"/>
      <c r="C48" s="130"/>
      <c r="D48" s="131"/>
      <c r="E48" s="120" t="s">
        <v>92</v>
      </c>
      <c r="F48" s="122">
        <v>8.950000000000001E-2</v>
      </c>
      <c r="G48" s="122">
        <v>5.2500000000000005E-2</v>
      </c>
      <c r="H48" s="122">
        <f t="shared" si="1"/>
        <v>9.3577795786061613E-3</v>
      </c>
      <c r="I48" s="122">
        <v>2.504</v>
      </c>
      <c r="J48" s="137">
        <f t="shared" si="2"/>
        <v>3.0884336000000001</v>
      </c>
      <c r="K48" s="123">
        <f>J48*0.1/1000</f>
        <v>3.0884336000000002E-4</v>
      </c>
      <c r="L48" s="124">
        <f t="shared" si="72"/>
        <v>60.598871729708939</v>
      </c>
      <c r="M48" s="147"/>
      <c r="N48" s="126"/>
      <c r="O48" s="126"/>
      <c r="P48" s="140"/>
      <c r="Q48" s="147"/>
      <c r="R48" s="126"/>
      <c r="S48" s="126"/>
      <c r="T48" s="140">
        <f>(P48-$P$57)/(D47-$D$56)</f>
        <v>-3.5187090081888521E-2</v>
      </c>
      <c r="U48" s="147"/>
      <c r="V48" s="152"/>
    </row>
    <row r="49" spans="2:32">
      <c r="B49" s="129"/>
      <c r="C49" s="133"/>
      <c r="D49" s="131"/>
      <c r="E49" s="135" t="s">
        <v>93</v>
      </c>
      <c r="F49" s="122">
        <v>4.0500000000000008E-2</v>
      </c>
      <c r="G49" s="122">
        <v>1.8500000000000003E-2</v>
      </c>
      <c r="H49" s="122">
        <f t="shared" si="1"/>
        <v>4.7500000000000016E-3</v>
      </c>
      <c r="I49" s="137">
        <v>2.0179999999999998</v>
      </c>
      <c r="J49" s="137">
        <f t="shared" si="2"/>
        <v>2.4890011999999997</v>
      </c>
      <c r="K49" s="123">
        <f>J49*0.1/1000</f>
        <v>2.4890011999999999E-4</v>
      </c>
      <c r="L49" s="124">
        <f t="shared" si="72"/>
        <v>38.167920529728967</v>
      </c>
      <c r="M49" s="147">
        <f>AVERAGE(L47:L49)</f>
        <v>51.683321363907659</v>
      </c>
      <c r="N49" s="126">
        <f>STDEV(L47:L49)</f>
        <v>11.901926784455698</v>
      </c>
      <c r="O49" s="126">
        <f>N49/SQRT(3)</f>
        <v>6.8715806328807147</v>
      </c>
      <c r="P49" s="140">
        <f t="shared" ref="P49:P52" si="73">L49*J49</f>
        <v>95.000000000000028</v>
      </c>
      <c r="Q49" s="147">
        <f>AVERAGE(P47:P49)</f>
        <v>88.804700162074553</v>
      </c>
      <c r="R49" s="126">
        <f>STDEV(P47:P49)</f>
        <v>8.7614770537620448</v>
      </c>
      <c r="S49" s="126">
        <f>R49/SQRT(3)</f>
        <v>5.0584411354882457</v>
      </c>
      <c r="T49" s="140">
        <f>(P49-$P$58)/(D47-$D$56)</f>
        <v>0.18430622636726632</v>
      </c>
      <c r="U49" s="147">
        <f>AVERAGE(T47:T49)</f>
        <v>0.10971803246086272</v>
      </c>
      <c r="V49" s="152">
        <f>STDEV(T47:T49)/SQRT(3)</f>
        <v>7.2463052265963113E-2</v>
      </c>
    </row>
    <row r="50" spans="2:32">
      <c r="B50" s="129" t="s">
        <v>70</v>
      </c>
      <c r="C50" s="145">
        <v>0.52638888888888891</v>
      </c>
      <c r="D50" s="131">
        <f>D47+24</f>
        <v>405.43333333333339</v>
      </c>
      <c r="E50" s="120" t="s">
        <v>91</v>
      </c>
      <c r="F50" s="121">
        <v>0.14099999999999999</v>
      </c>
      <c r="G50" s="122">
        <v>7.4999999999999997E-2</v>
      </c>
      <c r="H50" s="122">
        <f t="shared" si="1"/>
        <v>1.5498379254457049E-2</v>
      </c>
      <c r="I50" s="122">
        <v>3.3759999999999999</v>
      </c>
      <c r="J50" s="137">
        <f t="shared" si="2"/>
        <v>4.1639584000000003</v>
      </c>
      <c r="K50" s="138">
        <f>J50*0.15/1000</f>
        <v>6.2459376E-4</v>
      </c>
      <c r="L50" s="124">
        <f t="shared" si="72"/>
        <v>49.627070415999832</v>
      </c>
      <c r="M50" s="147"/>
      <c r="N50" s="126"/>
      <c r="O50" s="126"/>
      <c r="P50" s="140">
        <f t="shared" si="73"/>
        <v>206.645056726094</v>
      </c>
      <c r="Q50" s="147"/>
      <c r="R50" s="126"/>
      <c r="S50" s="126"/>
      <c r="T50" s="140">
        <f>(P50-$P$56)/(D50-$D$56)</f>
        <v>0.49294670320728273</v>
      </c>
      <c r="U50" s="147"/>
      <c r="V50" s="152"/>
    </row>
    <row r="51" spans="2:32" ht="14" customHeight="1">
      <c r="B51" s="129"/>
      <c r="C51" s="130"/>
      <c r="D51" s="131"/>
      <c r="E51" s="120" t="s">
        <v>92</v>
      </c>
      <c r="F51" s="121">
        <v>0.193</v>
      </c>
      <c r="G51" s="122">
        <v>0.105</v>
      </c>
      <c r="H51" s="122">
        <f t="shared" si="1"/>
        <v>2.0984602917341978E-2</v>
      </c>
      <c r="I51" s="122">
        <v>3.3959999999999999</v>
      </c>
      <c r="J51" s="137">
        <f t="shared" si="2"/>
        <v>4.1886264000000004</v>
      </c>
      <c r="K51" s="138">
        <f>J51*0.15/1000</f>
        <v>6.2829396E-4</v>
      </c>
      <c r="L51" s="124">
        <f t="shared" si="72"/>
        <v>66.798677858822572</v>
      </c>
      <c r="M51" s="147"/>
      <c r="N51" s="126"/>
      <c r="O51" s="126"/>
      <c r="P51" s="140">
        <f t="shared" si="73"/>
        <v>279.79470556455971</v>
      </c>
      <c r="Q51" s="147"/>
      <c r="R51" s="126"/>
      <c r="S51" s="126"/>
      <c r="T51" s="140">
        <f>(P51-$P$57)/(D50-$D$56)</f>
        <v>0.69835034157097575</v>
      </c>
      <c r="U51" s="147"/>
      <c r="V51" s="152"/>
    </row>
    <row r="52" spans="2:32" ht="15" customHeight="1" thickBot="1">
      <c r="B52" s="154"/>
      <c r="C52" s="155"/>
      <c r="D52" s="156"/>
      <c r="E52" s="135" t="s">
        <v>93</v>
      </c>
      <c r="F52" s="136">
        <v>0.17799999999999999</v>
      </c>
      <c r="G52" s="137">
        <v>9.6000000000000002E-2</v>
      </c>
      <c r="H52" s="122">
        <f t="shared" si="1"/>
        <v>1.9435980551053486E-2</v>
      </c>
      <c r="I52" s="137">
        <v>3.444</v>
      </c>
      <c r="J52" s="137">
        <f t="shared" si="2"/>
        <v>4.2478296000000002</v>
      </c>
      <c r="K52" s="138">
        <f>J52*0.15/1000</f>
        <v>6.3717443999999999E-4</v>
      </c>
      <c r="L52" s="124">
        <f t="shared" si="72"/>
        <v>61.00678034433863</v>
      </c>
      <c r="M52" s="147">
        <f>AVERAGE(L50:L52)</f>
        <v>59.144176206387016</v>
      </c>
      <c r="N52" s="126">
        <f>STDEV(L50:L52)</f>
        <v>8.7360171802507836</v>
      </c>
      <c r="O52" s="126">
        <f>N52/SQRT(3)</f>
        <v>5.043741870662986</v>
      </c>
      <c r="P52" s="140">
        <f t="shared" si="73"/>
        <v>259.14640734737986</v>
      </c>
      <c r="Q52" s="147">
        <f>AVERAGE(P50:P52)</f>
        <v>248.52872321267785</v>
      </c>
      <c r="R52" s="126">
        <f>STDEV(P50:P52)</f>
        <v>37.712984416324673</v>
      </c>
      <c r="S52" s="126">
        <f>R52/SQRT(3)</f>
        <v>21.773601704709211</v>
      </c>
      <c r="T52" s="140">
        <f>(P52-$P$58)/(D50-$D$56)</f>
        <v>0.6017918928832291</v>
      </c>
      <c r="U52" s="147">
        <f>AVERAGE(T50:T52)</f>
        <v>0.59769631255382916</v>
      </c>
      <c r="V52" s="152">
        <f>STDEV(T50:T52)/SQRT(3)</f>
        <v>5.9330273320727142E-2</v>
      </c>
    </row>
    <row r="53" spans="2:32" ht="15" thickBot="1">
      <c r="B53" s="157" t="s">
        <v>98</v>
      </c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9"/>
      <c r="X53" s="107" t="s">
        <v>87</v>
      </c>
      <c r="Y53" s="107"/>
      <c r="Z53" s="107"/>
      <c r="AA53" s="107"/>
      <c r="AB53" s="107"/>
    </row>
    <row r="54" spans="2:32" ht="45" customHeight="1">
      <c r="B54" s="97" t="s">
        <v>0</v>
      </c>
      <c r="C54" s="98" t="s">
        <v>1</v>
      </c>
      <c r="D54" s="99" t="s">
        <v>2</v>
      </c>
      <c r="E54" s="100"/>
      <c r="F54" s="101">
        <v>620</v>
      </c>
      <c r="G54" s="99">
        <v>650</v>
      </c>
      <c r="H54" s="105" t="s">
        <v>78</v>
      </c>
      <c r="I54" s="102" t="s">
        <v>79</v>
      </c>
      <c r="J54" s="103" t="s">
        <v>8</v>
      </c>
      <c r="K54" s="103" t="s">
        <v>9</v>
      </c>
      <c r="L54" s="103" t="s">
        <v>80</v>
      </c>
      <c r="M54" s="103" t="s">
        <v>81</v>
      </c>
      <c r="N54" s="103" t="s">
        <v>82</v>
      </c>
      <c r="O54" s="104" t="s">
        <v>47</v>
      </c>
      <c r="P54" s="102" t="s">
        <v>83</v>
      </c>
      <c r="Q54" s="103" t="s">
        <v>84</v>
      </c>
      <c r="R54" s="103" t="s">
        <v>82</v>
      </c>
      <c r="S54" s="105" t="s">
        <v>47</v>
      </c>
      <c r="T54" s="105" t="s">
        <v>85</v>
      </c>
      <c r="U54" s="103" t="s">
        <v>86</v>
      </c>
      <c r="V54" s="106" t="s">
        <v>47</v>
      </c>
      <c r="X54" s="94" t="s">
        <v>2</v>
      </c>
      <c r="Y54" s="116" t="str">
        <f>M54</f>
        <v>Average specific CPC conc.</v>
      </c>
      <c r="Z54" s="94" t="s">
        <v>10</v>
      </c>
      <c r="AA54" s="116" t="str">
        <f>Q54</f>
        <v>Average total CPC</v>
      </c>
      <c r="AB54" s="94" t="s">
        <v>10</v>
      </c>
      <c r="AF54" s="9"/>
    </row>
    <row r="55" spans="2:32" ht="25" customHeight="1">
      <c r="B55" s="108"/>
      <c r="C55" s="109"/>
      <c r="D55" s="110"/>
      <c r="E55" s="111"/>
      <c r="F55" s="112" t="s">
        <v>11</v>
      </c>
      <c r="G55" s="110" t="s">
        <v>11</v>
      </c>
      <c r="H55" s="113" t="s">
        <v>12</v>
      </c>
      <c r="I55" s="113" t="s">
        <v>11</v>
      </c>
      <c r="J55" s="113" t="s">
        <v>13</v>
      </c>
      <c r="K55" s="113" t="s">
        <v>14</v>
      </c>
      <c r="L55" s="114" t="s">
        <v>88</v>
      </c>
      <c r="M55" s="114" t="s">
        <v>88</v>
      </c>
      <c r="N55" s="113"/>
      <c r="O55" s="110"/>
      <c r="P55" s="114" t="s">
        <v>89</v>
      </c>
      <c r="Q55" s="114" t="s">
        <v>89</v>
      </c>
      <c r="R55" s="113"/>
      <c r="S55" s="113"/>
      <c r="T55" s="114" t="s">
        <v>90</v>
      </c>
      <c r="U55" s="114" t="s">
        <v>90</v>
      </c>
      <c r="V55" s="115"/>
      <c r="X55" s="128">
        <f>D56</f>
        <v>22.85</v>
      </c>
      <c r="Y55" s="126">
        <v>55.409200880369511</v>
      </c>
      <c r="Z55" s="126">
        <v>2.5449630585579315</v>
      </c>
      <c r="AA55" s="126">
        <v>13.155591572123178</v>
      </c>
      <c r="AB55" s="126">
        <v>1.6104016214440815</v>
      </c>
      <c r="AF55" s="9"/>
    </row>
    <row r="56" spans="2:32">
      <c r="B56" s="129" t="s">
        <v>20</v>
      </c>
      <c r="C56" s="252">
        <v>0.46249999999999997</v>
      </c>
      <c r="D56" s="131">
        <f>10+51/60+12</f>
        <v>22.85</v>
      </c>
      <c r="E56" s="120" t="s">
        <v>91</v>
      </c>
      <c r="F56" s="121">
        <v>6.9000000000000006E-2</v>
      </c>
      <c r="G56" s="235">
        <v>2.1999999999999999E-2</v>
      </c>
      <c r="H56" s="235">
        <f>(F56-(0.605*G56))/6.17</f>
        <v>9.0259319286871975E-3</v>
      </c>
      <c r="I56" s="236">
        <f>'Growth curves'!F32</f>
        <v>0.19700000000000001</v>
      </c>
      <c r="J56" s="235">
        <f>1.2334*I56</f>
        <v>0.24297980000000002</v>
      </c>
      <c r="K56" s="237">
        <f>J56*1/1000</f>
        <v>2.4297980000000002E-4</v>
      </c>
      <c r="L56" s="238">
        <f t="shared" ref="L56:L75" si="74">(H56*2)/K56</f>
        <v>74.293681439257057</v>
      </c>
      <c r="M56" s="239"/>
      <c r="N56" s="236"/>
      <c r="O56" s="236"/>
      <c r="P56" s="240">
        <f>L56*J56</f>
        <v>18.051863857374393</v>
      </c>
      <c r="Q56" s="239"/>
      <c r="R56" s="236"/>
      <c r="S56" s="236"/>
      <c r="T56" s="236"/>
      <c r="U56" s="239"/>
      <c r="V56" s="127"/>
      <c r="X56" s="128">
        <f>D58</f>
        <v>70</v>
      </c>
      <c r="Y56" s="126">
        <v>56.106376885776641</v>
      </c>
      <c r="Z56" s="126">
        <v>5.4493221484426515</v>
      </c>
      <c r="AA56" s="126">
        <v>31.094003241491087</v>
      </c>
      <c r="AB56" s="126">
        <v>6.3649499257173154</v>
      </c>
      <c r="AD56" s="9"/>
      <c r="AE56" s="9"/>
      <c r="AF56" s="9"/>
    </row>
    <row r="57" spans="2:32" ht="15" customHeight="1">
      <c r="B57" s="132"/>
      <c r="C57" s="165"/>
      <c r="D57" s="131"/>
      <c r="E57" s="120" t="s">
        <v>92</v>
      </c>
      <c r="F57" s="121">
        <v>4.8000000000000001E-2</v>
      </c>
      <c r="G57" s="235">
        <v>1.4999999999999999E-2</v>
      </c>
      <c r="H57" s="235">
        <f t="shared" ref="H57:H75" si="75">(F57-(0.605*G57))/6.17</f>
        <v>6.3087520259319293E-3</v>
      </c>
      <c r="I57" s="236">
        <f>'Growth curves'!G32</f>
        <v>0.187</v>
      </c>
      <c r="J57" s="235">
        <f t="shared" ref="J57:J75" si="76">1.2334*I57</f>
        <v>0.23064580000000001</v>
      </c>
      <c r="K57" s="237">
        <f>J57*1/1000</f>
        <v>2.306458E-4</v>
      </c>
      <c r="L57" s="238">
        <f t="shared" si="74"/>
        <v>54.705110831690227</v>
      </c>
      <c r="M57" s="241">
        <f>AVERAGE(L56:L57)</f>
        <v>64.499396135473646</v>
      </c>
      <c r="N57" s="236">
        <f>STDEV(L56:L57)</f>
        <v>13.851211110362</v>
      </c>
      <c r="O57" s="236">
        <f>N57/SQRT(2)</f>
        <v>9.7942853037834183</v>
      </c>
      <c r="P57" s="240">
        <f t="shared" ref="P57:P75" si="77">L57*J57</f>
        <v>12.617504051863859</v>
      </c>
      <c r="Q57" s="241">
        <f>AVERAGE(P56:P57)</f>
        <v>15.334683954619127</v>
      </c>
      <c r="R57" s="236">
        <f>STDEV(P56:P57)</f>
        <v>3.8426726698840961</v>
      </c>
      <c r="S57" s="236">
        <f>R57/SQRT(2)</f>
        <v>2.7171799027552597</v>
      </c>
      <c r="T57" s="236"/>
      <c r="U57" s="239"/>
      <c r="V57" s="127"/>
      <c r="X57" s="128">
        <f>D60</f>
        <v>119.95</v>
      </c>
      <c r="Y57" s="126">
        <v>72.522875007573774</v>
      </c>
      <c r="Z57" s="126">
        <v>3.4785875800000001</v>
      </c>
      <c r="AA57" s="126">
        <v>61.11027228525122</v>
      </c>
      <c r="AB57" s="126">
        <v>4.631767258283535</v>
      </c>
      <c r="AD57" s="160"/>
      <c r="AE57" s="9"/>
      <c r="AF57" s="9"/>
    </row>
    <row r="58" spans="2:32" ht="15" customHeight="1">
      <c r="B58" s="144" t="s">
        <v>22</v>
      </c>
      <c r="C58" s="166">
        <v>0.41666666666666669</v>
      </c>
      <c r="D58" s="250">
        <v>70</v>
      </c>
      <c r="E58" s="120" t="s">
        <v>91</v>
      </c>
      <c r="F58" s="121">
        <v>0.16300000000000001</v>
      </c>
      <c r="G58" s="235">
        <v>0.122</v>
      </c>
      <c r="H58" s="235">
        <f t="shared" si="75"/>
        <v>1.4455429497568882E-2</v>
      </c>
      <c r="I58" s="236">
        <f>'Growth curves'!F34</f>
        <v>0.436</v>
      </c>
      <c r="J58" s="235">
        <f t="shared" si="76"/>
        <v>0.53776239999999997</v>
      </c>
      <c r="K58" s="237">
        <f>J58*1/1000</f>
        <v>5.3776239999999993E-4</v>
      </c>
      <c r="L58" s="238">
        <f t="shared" si="74"/>
        <v>53.761399077246324</v>
      </c>
      <c r="M58" s="241"/>
      <c r="N58" s="236"/>
      <c r="O58" s="236"/>
      <c r="P58" s="240">
        <f t="shared" si="77"/>
        <v>28.910858995137769</v>
      </c>
      <c r="Q58" s="241"/>
      <c r="R58" s="236"/>
      <c r="S58" s="236"/>
      <c r="T58" s="240">
        <f>(P58-$P$56)/(D58-$D$56)</f>
        <v>0.23030742603952017</v>
      </c>
      <c r="U58" s="239"/>
      <c r="V58" s="127"/>
      <c r="X58" s="128">
        <f>D62</f>
        <v>191.45</v>
      </c>
      <c r="Y58" s="126">
        <v>68.976368674873797</v>
      </c>
      <c r="Z58" s="126">
        <v>6.2174536751561753</v>
      </c>
      <c r="AA58" s="126">
        <v>95.287646353322529</v>
      </c>
      <c r="AB58" s="126">
        <v>5.2963085128280927</v>
      </c>
      <c r="AD58" s="160"/>
      <c r="AE58" s="9"/>
      <c r="AF58" s="9"/>
    </row>
    <row r="59" spans="2:32">
      <c r="B59" s="132"/>
      <c r="C59" s="165"/>
      <c r="D59" s="251"/>
      <c r="E59" s="120" t="s">
        <v>92</v>
      </c>
      <c r="F59" s="121">
        <v>0.16200000000000001</v>
      </c>
      <c r="G59" s="235">
        <v>0.125</v>
      </c>
      <c r="H59" s="235">
        <f t="shared" si="75"/>
        <v>1.3999189627228526E-2</v>
      </c>
      <c r="I59" s="235">
        <f>'Growth curves'!G34</f>
        <v>0.46600000000000003</v>
      </c>
      <c r="J59" s="235">
        <f t="shared" si="76"/>
        <v>0.57476440000000006</v>
      </c>
      <c r="K59" s="237">
        <f>J59*1/1000</f>
        <v>5.747644000000001E-4</v>
      </c>
      <c r="L59" s="238">
        <f t="shared" si="74"/>
        <v>48.712793023466745</v>
      </c>
      <c r="M59" s="241">
        <f t="shared" ref="M58:M75" si="78">AVERAGE(L58:L59)</f>
        <v>51.237096050356534</v>
      </c>
      <c r="N59" s="236">
        <f t="shared" ref="N58:N75" si="79">STDEV(L58:L59)</f>
        <v>3.5699035761669964</v>
      </c>
      <c r="O59" s="236">
        <f t="shared" ref="O58:O75" si="80">N59/SQRT(2)</f>
        <v>2.5243030268897897</v>
      </c>
      <c r="P59" s="240">
        <f t="shared" si="77"/>
        <v>27.998379254457053</v>
      </c>
      <c r="Q59" s="241">
        <f t="shared" ref="Q58:Q75" si="81">AVERAGE(P58:P59)</f>
        <v>28.454619124797411</v>
      </c>
      <c r="R59" s="236">
        <f t="shared" ref="R58:R75" si="82">STDEV(P58:P59)</f>
        <v>0.64522061233067673</v>
      </c>
      <c r="S59" s="236">
        <f t="shared" ref="S58:S75" si="83">R59/SQRT(2)</f>
        <v>0.45623987034035801</v>
      </c>
      <c r="T59" s="240">
        <f>(P59-$P$56)/(D58-$D$56)</f>
        <v>0.21095472740366195</v>
      </c>
      <c r="U59" s="241"/>
      <c r="V59" s="127"/>
      <c r="X59" s="128">
        <f>D64</f>
        <v>239.45</v>
      </c>
      <c r="Y59" s="126">
        <v>78.535564817709002</v>
      </c>
      <c r="Z59" s="126">
        <v>6.5025599218284835</v>
      </c>
      <c r="AA59" s="126">
        <v>131.20417439222044</v>
      </c>
      <c r="AB59" s="126">
        <v>4.5487771299491877</v>
      </c>
      <c r="AD59" s="160"/>
      <c r="AE59" s="9"/>
      <c r="AF59" s="9"/>
    </row>
    <row r="60" spans="2:32">
      <c r="B60" s="144" t="s">
        <v>23</v>
      </c>
      <c r="C60" s="166">
        <v>0.5</v>
      </c>
      <c r="D60" s="146">
        <f>1+57/60+24+24+D58</f>
        <v>119.95</v>
      </c>
      <c r="E60" s="120" t="s">
        <v>91</v>
      </c>
      <c r="F60" s="121">
        <v>0.24199999999999999</v>
      </c>
      <c r="G60" s="235">
        <v>0.193</v>
      </c>
      <c r="H60" s="235">
        <f t="shared" si="75"/>
        <v>2.0297406807131279E-2</v>
      </c>
      <c r="I60" s="235">
        <f>'Growth curves'!F35</f>
        <v>0.69199999999999995</v>
      </c>
      <c r="J60" s="235">
        <f t="shared" si="76"/>
        <v>0.85351279999999996</v>
      </c>
      <c r="K60" s="237">
        <f t="shared" ref="K60:K61" si="84">J60*1/1000</f>
        <v>8.5351280000000001E-4</v>
      </c>
      <c r="L60" s="238">
        <f t="shared" si="74"/>
        <v>47.562044311769618</v>
      </c>
      <c r="M60" s="241"/>
      <c r="N60" s="236"/>
      <c r="O60" s="236"/>
      <c r="P60" s="240">
        <f t="shared" si="77"/>
        <v>40.594813614262556</v>
      </c>
      <c r="Q60" s="241"/>
      <c r="R60" s="236"/>
      <c r="S60" s="236"/>
      <c r="T60" s="240">
        <f>(P60-$P$57)/(D60-$D$56)</f>
        <v>0.28812883174457976</v>
      </c>
      <c r="U60" s="241"/>
      <c r="V60" s="127"/>
      <c r="X60" s="128">
        <f>D66</f>
        <v>311.25</v>
      </c>
      <c r="Y60" s="126">
        <v>74.978918269246705</v>
      </c>
      <c r="Z60" s="126">
        <v>2.7395171077797364</v>
      </c>
      <c r="AA60" s="126">
        <v>192.75976099405699</v>
      </c>
      <c r="AB60" s="126">
        <v>8.0566681027764915</v>
      </c>
      <c r="AD60" s="160"/>
      <c r="AE60" s="9"/>
      <c r="AF60" s="9"/>
    </row>
    <row r="61" spans="2:32">
      <c r="B61" s="132"/>
      <c r="C61" s="165"/>
      <c r="D61" s="134"/>
      <c r="E61" s="120" t="s">
        <v>92</v>
      </c>
      <c r="F61" s="121">
        <v>0.28399999999999997</v>
      </c>
      <c r="G61" s="235">
        <v>0.17399999999999999</v>
      </c>
      <c r="H61" s="235">
        <f t="shared" si="75"/>
        <v>2.8967585089141004E-2</v>
      </c>
      <c r="I61" s="235">
        <f>'Growth curves'!G35</f>
        <v>0.67600000000000005</v>
      </c>
      <c r="J61" s="235">
        <f t="shared" si="76"/>
        <v>0.83377840000000014</v>
      </c>
      <c r="K61" s="237">
        <f t="shared" si="84"/>
        <v>8.3377840000000011E-4</v>
      </c>
      <c r="L61" s="238">
        <f t="shared" si="74"/>
        <v>69.485093615140428</v>
      </c>
      <c r="M61" s="241">
        <f t="shared" si="78"/>
        <v>58.52356896345502</v>
      </c>
      <c r="N61" s="236">
        <f t="shared" si="79"/>
        <v>15.501936826700552</v>
      </c>
      <c r="O61" s="236">
        <f t="shared" si="80"/>
        <v>10.96152465168543</v>
      </c>
      <c r="P61" s="240">
        <f t="shared" si="77"/>
        <v>57.935170178282014</v>
      </c>
      <c r="Q61" s="241">
        <f t="shared" si="81"/>
        <v>49.264991896272285</v>
      </c>
      <c r="R61" s="236">
        <f t="shared" si="82"/>
        <v>12.261483714610817</v>
      </c>
      <c r="S61" s="236">
        <f t="shared" si="83"/>
        <v>8.6701782820097257</v>
      </c>
      <c r="T61" s="240">
        <f>(P61-$P$58)/(D60-$D$56)</f>
        <v>0.29891154668531666</v>
      </c>
      <c r="U61" s="241"/>
      <c r="V61" s="152"/>
      <c r="X61" s="128">
        <f>D68</f>
        <v>335</v>
      </c>
      <c r="Y61" s="126">
        <v>73.701682299668605</v>
      </c>
      <c r="Z61" s="126">
        <v>2.7858653840000001</v>
      </c>
      <c r="AA61" s="126">
        <v>200.67098865478101</v>
      </c>
      <c r="AB61" s="126">
        <v>11.0034689939964</v>
      </c>
      <c r="AD61" s="160"/>
      <c r="AE61" s="9"/>
      <c r="AF61" s="9"/>
    </row>
    <row r="62" spans="2:32">
      <c r="B62" s="144" t="s">
        <v>24</v>
      </c>
      <c r="C62" s="166">
        <v>0.47916666666666669</v>
      </c>
      <c r="D62" s="146">
        <f>11+30/60+12+24+24+D60</f>
        <v>191.45</v>
      </c>
      <c r="E62" s="120" t="s">
        <v>91</v>
      </c>
      <c r="F62" s="121">
        <v>0.10100000000000001</v>
      </c>
      <c r="G62" s="235">
        <v>5.7000000000000002E-2</v>
      </c>
      <c r="H62" s="235">
        <f t="shared" si="75"/>
        <v>1.0780388978930308E-2</v>
      </c>
      <c r="I62" s="235">
        <f>'Growth curves'!F36</f>
        <v>1.528</v>
      </c>
      <c r="J62" s="235">
        <f t="shared" si="76"/>
        <v>1.8846352000000002</v>
      </c>
      <c r="K62" s="237">
        <f>J62*0.25/1000</f>
        <v>4.7115880000000006E-4</v>
      </c>
      <c r="L62" s="238">
        <f t="shared" si="74"/>
        <v>45.761170029851115</v>
      </c>
      <c r="M62" s="241"/>
      <c r="N62" s="236"/>
      <c r="O62" s="236"/>
      <c r="P62" s="240">
        <f t="shared" si="77"/>
        <v>86.243111831442477</v>
      </c>
      <c r="Q62" s="241"/>
      <c r="R62" s="236"/>
      <c r="S62" s="236"/>
      <c r="T62" s="240">
        <f>(P62-$P$56)/(D60-$D$56)</f>
        <v>0.70227855792037175</v>
      </c>
      <c r="U62" s="241"/>
      <c r="V62" s="152"/>
      <c r="X62" s="128">
        <f>D70</f>
        <v>383</v>
      </c>
      <c r="Y62" s="126">
        <v>74.109212400184816</v>
      </c>
      <c r="Z62" s="126">
        <v>8.4785785231999995</v>
      </c>
      <c r="AA62" s="126">
        <v>228.46191247974099</v>
      </c>
      <c r="AB62" s="126">
        <v>8.6508681331228932</v>
      </c>
      <c r="AD62" s="160"/>
      <c r="AE62" s="9"/>
      <c r="AF62" s="9"/>
    </row>
    <row r="63" spans="2:32" ht="15" customHeight="1">
      <c r="B63" s="132"/>
      <c r="C63" s="165"/>
      <c r="D63" s="134"/>
      <c r="E63" s="120" t="s">
        <v>92</v>
      </c>
      <c r="F63" s="121">
        <v>7.2999999999999995E-2</v>
      </c>
      <c r="G63" s="235">
        <v>3.1E-2</v>
      </c>
      <c r="H63" s="235">
        <f t="shared" si="75"/>
        <v>8.7917341977309556E-3</v>
      </c>
      <c r="I63" s="235">
        <f>'Growth curves'!G36</f>
        <v>1.347</v>
      </c>
      <c r="J63" s="235">
        <f t="shared" si="76"/>
        <v>1.6613898</v>
      </c>
      <c r="K63" s="237">
        <f>J63*0.25/1000</f>
        <v>4.1534744999999998E-4</v>
      </c>
      <c r="L63" s="238">
        <f t="shared" si="74"/>
        <v>42.334359812397814</v>
      </c>
      <c r="M63" s="241">
        <f t="shared" si="78"/>
        <v>44.047764921124468</v>
      </c>
      <c r="N63" s="236">
        <f t="shared" si="79"/>
        <v>2.4231207426005765</v>
      </c>
      <c r="O63" s="236">
        <f t="shared" si="80"/>
        <v>1.7134051087266502</v>
      </c>
      <c r="P63" s="240">
        <f t="shared" si="77"/>
        <v>70.333873581847641</v>
      </c>
      <c r="Q63" s="241">
        <f t="shared" si="81"/>
        <v>78.288492706645059</v>
      </c>
      <c r="R63" s="236">
        <f t="shared" si="82"/>
        <v>11.249530249800914</v>
      </c>
      <c r="S63" s="236">
        <f t="shared" si="83"/>
        <v>7.9546191247974214</v>
      </c>
      <c r="T63" s="240">
        <f>(P63-$P$57)/(D60-$D$56)</f>
        <v>0.59440133398541484</v>
      </c>
      <c r="U63" s="241"/>
      <c r="V63" s="152"/>
      <c r="X63" s="128">
        <f>D72</f>
        <v>402.16666666666669</v>
      </c>
      <c r="Y63" s="126">
        <v>72.789917094669903</v>
      </c>
      <c r="Z63" s="126">
        <v>4.32658334</v>
      </c>
      <c r="AA63" s="126">
        <v>234.49270664505701</v>
      </c>
      <c r="AB63" s="126">
        <v>5.4278579234000004</v>
      </c>
      <c r="AD63" s="160"/>
      <c r="AE63" s="9"/>
      <c r="AF63" s="9"/>
    </row>
    <row r="64" spans="2:32">
      <c r="B64" s="144" t="s">
        <v>25</v>
      </c>
      <c r="C64" s="166">
        <v>0.47916666666666669</v>
      </c>
      <c r="D64" s="146">
        <f>48+D62</f>
        <v>239.45</v>
      </c>
      <c r="E64" s="120" t="s">
        <v>91</v>
      </c>
      <c r="F64" s="121">
        <v>0.13200000000000001</v>
      </c>
      <c r="G64" s="235">
        <v>8.3500000000000005E-2</v>
      </c>
      <c r="H64" s="235">
        <f t="shared" si="75"/>
        <v>1.3206239870340359E-2</v>
      </c>
      <c r="I64" s="235">
        <f>'Growth curves'!F37</f>
        <v>1.8740000000000001</v>
      </c>
      <c r="J64" s="235">
        <f t="shared" si="76"/>
        <v>2.3113916000000003</v>
      </c>
      <c r="K64" s="237">
        <f>J64*0.25/1000</f>
        <v>5.7784790000000013E-4</v>
      </c>
      <c r="L64" s="238">
        <f t="shared" si="74"/>
        <v>45.708359830814842</v>
      </c>
      <c r="M64" s="241"/>
      <c r="N64" s="236"/>
      <c r="O64" s="236"/>
      <c r="P64" s="240">
        <f t="shared" si="77"/>
        <v>105.64991896272286</v>
      </c>
      <c r="Q64" s="241"/>
      <c r="R64" s="236"/>
      <c r="S64" s="236"/>
      <c r="T64" s="240">
        <f>(P64-$P$58)/(D60-$D$56)</f>
        <v>0.79030957742106178</v>
      </c>
      <c r="U64" s="241"/>
      <c r="V64" s="152"/>
      <c r="X64" s="128">
        <f>D74</f>
        <v>455.75</v>
      </c>
      <c r="Y64" s="126">
        <v>73.789917094669903</v>
      </c>
      <c r="Z64" s="126">
        <v>2.7858653840000001</v>
      </c>
      <c r="AA64" s="126">
        <v>233.2071100958</v>
      </c>
      <c r="AB64" s="126">
        <v>7.020905021087338</v>
      </c>
      <c r="AD64" s="160"/>
      <c r="AE64" s="9"/>
      <c r="AF64" s="9"/>
    </row>
    <row r="65" spans="1:32" ht="15" customHeight="1">
      <c r="B65" s="132"/>
      <c r="C65" s="165"/>
      <c r="D65" s="134"/>
      <c r="E65" s="120" t="s">
        <v>92</v>
      </c>
      <c r="F65" s="121">
        <v>0.13300000000000001</v>
      </c>
      <c r="G65" s="235">
        <v>7.7499999999999999E-2</v>
      </c>
      <c r="H65" s="235">
        <f t="shared" si="75"/>
        <v>1.3956645056726096E-2</v>
      </c>
      <c r="I65" s="235">
        <f>'Growth curves'!G37</f>
        <v>1.85</v>
      </c>
      <c r="J65" s="235">
        <f t="shared" si="76"/>
        <v>2.28179</v>
      </c>
      <c r="K65" s="237">
        <f>I65*0.25/1000</f>
        <v>4.6250000000000002E-4</v>
      </c>
      <c r="L65" s="238">
        <f t="shared" si="74"/>
        <v>60.353059704761492</v>
      </c>
      <c r="M65" s="241">
        <f t="shared" si="78"/>
        <v>53.030709767788167</v>
      </c>
      <c r="N65" s="236">
        <f t="shared" si="79"/>
        <v>10.355366589309448</v>
      </c>
      <c r="O65" s="236">
        <f t="shared" si="80"/>
        <v>7.3223499369733203</v>
      </c>
      <c r="P65" s="240">
        <f t="shared" si="77"/>
        <v>137.71300810372773</v>
      </c>
      <c r="Q65" s="241">
        <f t="shared" si="81"/>
        <v>121.6814635332253</v>
      </c>
      <c r="R65" s="236">
        <f t="shared" si="82"/>
        <v>22.672027757393241</v>
      </c>
      <c r="S65" s="236">
        <f t="shared" si="83"/>
        <v>16.031544570502394</v>
      </c>
      <c r="T65" s="240">
        <f>(P65-$P$56)/(D63-$D$56)</f>
        <v>-5.2368115643918305</v>
      </c>
      <c r="U65" s="241"/>
      <c r="V65" s="152"/>
      <c r="X65" s="128"/>
      <c r="Y65" s="126"/>
      <c r="AA65" s="163"/>
      <c r="AD65" s="160"/>
      <c r="AE65" s="9"/>
      <c r="AF65" s="9"/>
    </row>
    <row r="66" spans="1:32">
      <c r="B66" s="144" t="s">
        <v>26</v>
      </c>
      <c r="C66" s="166">
        <v>0.47916666666666669</v>
      </c>
      <c r="D66" s="146">
        <v>311.25</v>
      </c>
      <c r="E66" s="120" t="s">
        <v>91</v>
      </c>
      <c r="F66" s="121">
        <v>0.14700000000000002</v>
      </c>
      <c r="G66" s="235">
        <v>8.8666666666666671E-2</v>
      </c>
      <c r="H66" s="235">
        <f t="shared" si="75"/>
        <v>1.5130740140464618E-2</v>
      </c>
      <c r="I66" s="235">
        <f>'Growth curves'!F38</f>
        <v>2.6520000000000001</v>
      </c>
      <c r="J66" s="235">
        <f t="shared" si="76"/>
        <v>3.2709768000000001</v>
      </c>
      <c r="K66" s="237">
        <f>I66*0.25/1000</f>
        <v>6.6300000000000007E-4</v>
      </c>
      <c r="L66" s="238">
        <f t="shared" si="74"/>
        <v>45.643258342276368</v>
      </c>
      <c r="M66" s="241"/>
      <c r="N66" s="236"/>
      <c r="O66" s="236"/>
      <c r="P66" s="240">
        <f t="shared" si="77"/>
        <v>149.29803911399247</v>
      </c>
      <c r="Q66" s="241"/>
      <c r="R66" s="236"/>
      <c r="S66" s="236"/>
      <c r="T66" s="240">
        <f>(P66-$P$57)/(D63-$D$56)</f>
        <v>-5.9816426723032219</v>
      </c>
      <c r="U66" s="241"/>
      <c r="V66" s="152"/>
      <c r="X66" s="128"/>
      <c r="Y66" s="126"/>
      <c r="Z66" s="126"/>
      <c r="AA66" s="163"/>
      <c r="AB66" s="126"/>
      <c r="AD66" s="68"/>
      <c r="AE66" s="9"/>
      <c r="AF66" s="9"/>
    </row>
    <row r="67" spans="1:32">
      <c r="B67" s="132"/>
      <c r="C67" s="165"/>
      <c r="D67" s="134"/>
      <c r="E67" s="120" t="s">
        <v>92</v>
      </c>
      <c r="F67" s="121">
        <v>0.17200000000000001</v>
      </c>
      <c r="G67" s="235">
        <v>0.10466666666666666</v>
      </c>
      <c r="H67" s="235">
        <f t="shared" si="75"/>
        <v>1.7613722312263644E-2</v>
      </c>
      <c r="I67" s="235">
        <f>'Growth curves'!G38</f>
        <v>2.6269999999999998</v>
      </c>
      <c r="J67" s="235">
        <f t="shared" si="76"/>
        <v>3.2401418</v>
      </c>
      <c r="K67" s="237">
        <f>I67*0.25/1000</f>
        <v>6.5675E-4</v>
      </c>
      <c r="L67" s="238">
        <f t="shared" si="74"/>
        <v>53.639047772405462</v>
      </c>
      <c r="M67" s="241">
        <f t="shared" si="78"/>
        <v>49.641153057340915</v>
      </c>
      <c r="N67" s="236">
        <f t="shared" si="79"/>
        <v>5.6538769269840028</v>
      </c>
      <c r="O67" s="236">
        <f t="shared" si="80"/>
        <v>3.9978947150645467</v>
      </c>
      <c r="P67" s="240">
        <f t="shared" si="77"/>
        <v>173.79812079956781</v>
      </c>
      <c r="Q67" s="241">
        <f t="shared" si="81"/>
        <v>161.54807995678016</v>
      </c>
      <c r="R67" s="236">
        <f t="shared" si="82"/>
        <v>17.324173899494664</v>
      </c>
      <c r="S67" s="236">
        <f t="shared" si="83"/>
        <v>12.250040842787669</v>
      </c>
      <c r="T67" s="240">
        <f>(P67-$P$58)/(D63-$D$56)</f>
        <v>-6.3407992036949681</v>
      </c>
      <c r="U67" s="241"/>
      <c r="V67" s="152"/>
      <c r="X67" s="128"/>
      <c r="Y67" s="126"/>
      <c r="Z67" s="126"/>
      <c r="AA67" s="163"/>
      <c r="AB67" s="126"/>
      <c r="AD67" s="164"/>
      <c r="AE67" s="9"/>
      <c r="AF67" s="9"/>
    </row>
    <row r="68" spans="1:32">
      <c r="B68" s="144" t="s">
        <v>27</v>
      </c>
      <c r="C68" s="166">
        <v>0.46875</v>
      </c>
      <c r="D68" s="146">
        <v>335</v>
      </c>
      <c r="E68" s="120" t="s">
        <v>91</v>
      </c>
      <c r="F68" s="121">
        <v>7.6999999999999985E-2</v>
      </c>
      <c r="G68" s="235">
        <v>5.0666666666666665E-2</v>
      </c>
      <c r="H68" s="235">
        <f t="shared" si="75"/>
        <v>7.5116153430578045E-3</v>
      </c>
      <c r="I68" s="235">
        <f>'Growth curves'!F39</f>
        <v>2.6840000000000002</v>
      </c>
      <c r="J68" s="235">
        <f t="shared" si="76"/>
        <v>3.3104456000000004</v>
      </c>
      <c r="K68" s="237">
        <f>I68*0.125/1000</f>
        <v>3.3550000000000002E-4</v>
      </c>
      <c r="L68" s="238">
        <f t="shared" si="74"/>
        <v>44.778630957125507</v>
      </c>
      <c r="M68" s="241"/>
      <c r="N68" s="236"/>
      <c r="O68" s="236"/>
      <c r="P68" s="240">
        <f t="shared" si="77"/>
        <v>148.23722182603996</v>
      </c>
      <c r="Q68" s="241"/>
      <c r="R68" s="236"/>
      <c r="S68" s="236"/>
      <c r="T68" s="240">
        <f>(P68-$P$56)/(D68-$D$56)</f>
        <v>0.41706025298307087</v>
      </c>
      <c r="U68" s="241"/>
      <c r="V68" s="152"/>
      <c r="X68" s="128"/>
      <c r="Y68" s="126"/>
      <c r="Z68" s="126"/>
      <c r="AA68" s="126"/>
      <c r="AB68" s="126"/>
      <c r="AD68" s="68"/>
    </row>
    <row r="69" spans="1:32" ht="15" customHeight="1">
      <c r="B69" s="132"/>
      <c r="C69" s="165"/>
      <c r="D69" s="134"/>
      <c r="E69" s="120" t="s">
        <v>92</v>
      </c>
      <c r="F69" s="121">
        <v>9.7000000000000003E-2</v>
      </c>
      <c r="G69" s="235">
        <v>6.3666666666666663E-2</v>
      </c>
      <c r="H69" s="235">
        <f t="shared" si="75"/>
        <v>9.4783900594273378E-3</v>
      </c>
      <c r="I69" s="235">
        <f>'Growth curves'!G39</f>
        <v>2.7890000000000001</v>
      </c>
      <c r="J69" s="235">
        <f t="shared" si="76"/>
        <v>3.4399526000000002</v>
      </c>
      <c r="K69" s="237">
        <f>I69*0.125/1000</f>
        <v>3.4862500000000003E-4</v>
      </c>
      <c r="L69" s="238">
        <f t="shared" si="74"/>
        <v>54.375848315108421</v>
      </c>
      <c r="M69" s="241">
        <f t="shared" si="78"/>
        <v>49.577239636116964</v>
      </c>
      <c r="N69" s="236">
        <f t="shared" si="79"/>
        <v>6.7862574743509594</v>
      </c>
      <c r="O69" s="236">
        <f t="shared" si="80"/>
        <v>4.7986086789914566</v>
      </c>
      <c r="P69" s="240">
        <f t="shared" si="77"/>
        <v>187.05034078876284</v>
      </c>
      <c r="Q69" s="241">
        <f t="shared" si="81"/>
        <v>167.64378130740141</v>
      </c>
      <c r="R69" s="236">
        <f t="shared" si="82"/>
        <v>27.445019617541458</v>
      </c>
      <c r="S69" s="236">
        <f t="shared" si="83"/>
        <v>19.406559481361391</v>
      </c>
      <c r="T69" s="240">
        <f>(P69-$P$57)/(D68-$D$56)</f>
        <v>0.55881094581739232</v>
      </c>
      <c r="U69" s="241"/>
      <c r="V69" s="152"/>
      <c r="X69" s="128"/>
      <c r="Y69" s="126"/>
      <c r="Z69" s="126"/>
      <c r="AA69" s="126"/>
      <c r="AB69" s="126"/>
    </row>
    <row r="70" spans="1:32" ht="15" customHeight="1">
      <c r="B70" s="144" t="s">
        <v>29</v>
      </c>
      <c r="C70" s="166">
        <v>0.47222222222222227</v>
      </c>
      <c r="D70" s="146">
        <v>383</v>
      </c>
      <c r="E70" s="120" t="s">
        <v>91</v>
      </c>
      <c r="F70" s="121">
        <v>7.7000000000000013E-2</v>
      </c>
      <c r="G70" s="235">
        <v>4.2999999999999997E-2</v>
      </c>
      <c r="H70" s="235">
        <f t="shared" si="75"/>
        <v>8.263371150729339E-3</v>
      </c>
      <c r="I70" s="235">
        <f>'Growth curves'!F41</f>
        <v>2.992</v>
      </c>
      <c r="J70" s="235">
        <f t="shared" si="76"/>
        <v>3.6903328000000002</v>
      </c>
      <c r="K70" s="237">
        <f>I70*0.125/1000</f>
        <v>3.7399999999999998E-4</v>
      </c>
      <c r="L70" s="238">
        <f t="shared" si="74"/>
        <v>44.189150538659568</v>
      </c>
      <c r="M70" s="241"/>
      <c r="N70" s="236"/>
      <c r="O70" s="236"/>
      <c r="P70" s="240">
        <f t="shared" si="77"/>
        <v>163.07267163695309</v>
      </c>
      <c r="Q70" s="241"/>
      <c r="R70" s="236"/>
      <c r="S70" s="236"/>
      <c r="T70" s="240">
        <f>(P70-$P$58)/(D68-$D$56)</f>
        <v>0.42979917553040309</v>
      </c>
      <c r="U70" s="241"/>
      <c r="V70" s="152"/>
      <c r="X70" s="128"/>
      <c r="Y70" s="126"/>
      <c r="Z70" s="126"/>
      <c r="AA70" s="126"/>
      <c r="AB70" s="126"/>
    </row>
    <row r="71" spans="1:32">
      <c r="B71" s="129"/>
      <c r="C71" s="252"/>
      <c r="D71" s="131"/>
      <c r="E71" s="120" t="s">
        <v>92</v>
      </c>
      <c r="F71" s="121">
        <v>9.5000000000000001E-2</v>
      </c>
      <c r="G71" s="235">
        <v>4.7E-2</v>
      </c>
      <c r="H71" s="235">
        <f t="shared" si="75"/>
        <v>1.0788492706645057E-2</v>
      </c>
      <c r="I71" s="235">
        <f>'Growth curves'!G41</f>
        <v>2.8519999999999999</v>
      </c>
      <c r="J71" s="235">
        <f t="shared" si="76"/>
        <v>3.5176568000000001</v>
      </c>
      <c r="K71" s="237">
        <f>I71*0.125/1000</f>
        <v>3.5649999999999999E-4</v>
      </c>
      <c r="L71" s="238">
        <f t="shared" si="74"/>
        <v>60.524503263085876</v>
      </c>
      <c r="M71" s="241">
        <f t="shared" si="78"/>
        <v>52.356826900872719</v>
      </c>
      <c r="N71" s="236">
        <f t="shared" si="79"/>
        <v>11.550838684516014</v>
      </c>
      <c r="O71" s="236">
        <f t="shared" si="80"/>
        <v>8.1676763622131734</v>
      </c>
      <c r="P71" s="240">
        <f t="shared" si="77"/>
        <v>212.90443047001622</v>
      </c>
      <c r="Q71" s="241">
        <f t="shared" si="81"/>
        <v>187.98855105348466</v>
      </c>
      <c r="R71" s="236">
        <f t="shared" si="82"/>
        <v>35.236374589311623</v>
      </c>
      <c r="S71" s="236">
        <f t="shared" si="83"/>
        <v>24.915879416531595</v>
      </c>
      <c r="T71" s="240">
        <f>(P71-$P$56)/(D71-$D$56)</f>
        <v>-8.5274646219974528</v>
      </c>
      <c r="U71" s="241"/>
      <c r="V71" s="152"/>
      <c r="X71" s="128"/>
      <c r="Y71" s="126"/>
      <c r="Z71" s="126"/>
      <c r="AA71" s="126"/>
      <c r="AB71" s="126"/>
    </row>
    <row r="72" spans="1:32">
      <c r="B72" s="168" t="s">
        <v>30</v>
      </c>
      <c r="C72" s="252">
        <v>0.27083333333333331</v>
      </c>
      <c r="D72" s="131">
        <v>402.16666666666669</v>
      </c>
      <c r="E72" s="120" t="s">
        <v>91</v>
      </c>
      <c r="F72" s="121">
        <v>0.16800000000000001</v>
      </c>
      <c r="G72" s="235">
        <v>9.6000000000000002E-2</v>
      </c>
      <c r="H72" s="235">
        <f t="shared" si="75"/>
        <v>1.7815235008103732E-2</v>
      </c>
      <c r="I72" s="235">
        <f>'Growth curves'!F42</f>
        <v>2.984</v>
      </c>
      <c r="J72" s="235">
        <f t="shared" si="76"/>
        <v>3.6804656000000002</v>
      </c>
      <c r="K72" s="237">
        <f>I72*0.25/1000</f>
        <v>7.4600000000000003E-4</v>
      </c>
      <c r="L72" s="238">
        <f t="shared" si="74"/>
        <v>47.762024150412145</v>
      </c>
      <c r="M72" s="241"/>
      <c r="N72" s="236"/>
      <c r="O72" s="236"/>
      <c r="P72" s="240">
        <f t="shared" si="77"/>
        <v>175.78648687196113</v>
      </c>
      <c r="Q72" s="241"/>
      <c r="R72" s="236"/>
      <c r="S72" s="236"/>
      <c r="T72" s="240">
        <f>(P72-$P$57)/(D71-$D$56)</f>
        <v>-7.1408745216672767</v>
      </c>
      <c r="U72" s="241"/>
      <c r="V72" s="152"/>
    </row>
    <row r="73" spans="1:32" ht="15" customHeight="1">
      <c r="B73" s="169"/>
      <c r="C73" s="165"/>
      <c r="D73" s="134"/>
      <c r="E73" s="120" t="s">
        <v>92</v>
      </c>
      <c r="F73" s="121">
        <v>0.215</v>
      </c>
      <c r="G73" s="235">
        <v>0.188</v>
      </c>
      <c r="H73" s="235">
        <f t="shared" si="75"/>
        <v>1.6411669367909238E-2</v>
      </c>
      <c r="I73" s="235">
        <f>'Growth curves'!G42</f>
        <v>2.992</v>
      </c>
      <c r="J73" s="235">
        <f t="shared" si="76"/>
        <v>3.6903328000000002</v>
      </c>
      <c r="K73" s="237">
        <f>I73*0.25/1000</f>
        <v>7.4799999999999997E-4</v>
      </c>
      <c r="L73" s="238">
        <f t="shared" si="74"/>
        <v>43.881468898153045</v>
      </c>
      <c r="M73" s="241">
        <f t="shared" si="78"/>
        <v>45.821746524282595</v>
      </c>
      <c r="N73" s="236">
        <f t="shared" si="79"/>
        <v>2.7439669336414831</v>
      </c>
      <c r="O73" s="236">
        <f t="shared" si="80"/>
        <v>1.9402776261295498</v>
      </c>
      <c r="P73" s="240">
        <f t="shared" si="77"/>
        <v>161.93722398703406</v>
      </c>
      <c r="Q73" s="241">
        <f t="shared" si="81"/>
        <v>168.86185542949761</v>
      </c>
      <c r="R73" s="236">
        <f t="shared" si="82"/>
        <v>9.7929077003671008</v>
      </c>
      <c r="S73" s="236">
        <f t="shared" si="83"/>
        <v>6.9246314424635358</v>
      </c>
      <c r="T73" s="240">
        <f>(P73-$P$58)/(D71-$D$56)</f>
        <v>-5.8217227567569489</v>
      </c>
      <c r="U73" s="241"/>
      <c r="V73" s="152"/>
      <c r="X73" s="128"/>
      <c r="Y73" s="126"/>
      <c r="Z73" s="126"/>
      <c r="AA73" s="126"/>
      <c r="AB73" s="126"/>
    </row>
    <row r="74" spans="1:32">
      <c r="B74" s="167" t="s">
        <v>32</v>
      </c>
      <c r="C74" s="166">
        <v>0.50347222222222221</v>
      </c>
      <c r="D74" s="146">
        <v>455.75</v>
      </c>
      <c r="E74" s="120" t="s">
        <v>91</v>
      </c>
      <c r="F74" s="121">
        <v>0.14099999999999999</v>
      </c>
      <c r="G74" s="235">
        <v>7.4999999999999997E-2</v>
      </c>
      <c r="H74" s="235">
        <f t="shared" si="75"/>
        <v>1.5498379254457049E-2</v>
      </c>
      <c r="I74" s="235">
        <f>'Growth curves'!F44</f>
        <v>3.0720000000000001</v>
      </c>
      <c r="J74" s="235">
        <f t="shared" si="76"/>
        <v>3.7890048000000003</v>
      </c>
      <c r="K74" s="237">
        <f>I74*0.25/1000</f>
        <v>7.6800000000000002E-4</v>
      </c>
      <c r="L74" s="238">
        <f t="shared" si="74"/>
        <v>40.360362641815229</v>
      </c>
      <c r="M74" s="241"/>
      <c r="N74" s="236"/>
      <c r="O74" s="236"/>
      <c r="P74" s="240">
        <f t="shared" si="77"/>
        <v>152.9256077795786</v>
      </c>
      <c r="Q74" s="241"/>
      <c r="R74" s="236"/>
      <c r="S74" s="236"/>
      <c r="T74" s="240">
        <f>(P74-$P$56)/(D74-$D$56)</f>
        <v>0.31155866001895172</v>
      </c>
      <c r="U74" s="241"/>
      <c r="V74" s="152"/>
      <c r="Y74" s="126"/>
      <c r="Z74" s="126"/>
      <c r="AA74" s="126"/>
      <c r="AB74" s="126"/>
    </row>
    <row r="75" spans="1:32" ht="16" customHeight="1" thickBot="1">
      <c r="A75" s="170"/>
      <c r="B75" s="253"/>
      <c r="C75" s="171"/>
      <c r="D75" s="156"/>
      <c r="E75" s="172" t="s">
        <v>92</v>
      </c>
      <c r="F75" s="173">
        <v>0.193</v>
      </c>
      <c r="G75" s="174">
        <v>0.105</v>
      </c>
      <c r="H75" s="174">
        <f t="shared" si="75"/>
        <v>2.0984602917341978E-2</v>
      </c>
      <c r="I75" s="174">
        <f>'Growth curves'!G44</f>
        <v>3.06</v>
      </c>
      <c r="J75" s="174">
        <f t="shared" si="76"/>
        <v>3.7742040000000001</v>
      </c>
      <c r="K75" s="175">
        <f>I75*0.25/1000</f>
        <v>7.6500000000000005E-4</v>
      </c>
      <c r="L75" s="176">
        <f t="shared" si="74"/>
        <v>54.861706973443077</v>
      </c>
      <c r="M75" s="177">
        <f t="shared" si="78"/>
        <v>47.611034807629153</v>
      </c>
      <c r="N75" s="178">
        <f t="shared" si="79"/>
        <v>10.253998913215167</v>
      </c>
      <c r="O75" s="178">
        <f t="shared" si="80"/>
        <v>7.2506721658139321</v>
      </c>
      <c r="P75" s="179">
        <f t="shared" si="77"/>
        <v>207.05927390599678</v>
      </c>
      <c r="Q75" s="177">
        <f t="shared" si="81"/>
        <v>179.99244084278769</v>
      </c>
      <c r="R75" s="178">
        <f t="shared" si="82"/>
        <v>38.278282408478823</v>
      </c>
      <c r="S75" s="178">
        <f t="shared" si="83"/>
        <v>27.066833063209106</v>
      </c>
      <c r="T75" s="179">
        <f>(P75-$P$57)/(D74-$D$56)</f>
        <v>0.44916093752398462</v>
      </c>
      <c r="U75" s="177"/>
      <c r="V75" s="242"/>
      <c r="Y75" s="126"/>
      <c r="Z75" s="126"/>
      <c r="AA75" s="126"/>
      <c r="AB75" s="126"/>
    </row>
  </sheetData>
  <mergeCells count="83">
    <mergeCell ref="C64:C65"/>
    <mergeCell ref="B64:B65"/>
    <mergeCell ref="C72:C73"/>
    <mergeCell ref="B72:B73"/>
    <mergeCell ref="B70:B71"/>
    <mergeCell ref="C70:C71"/>
    <mergeCell ref="D70:D71"/>
    <mergeCell ref="D68:D69"/>
    <mergeCell ref="C68:C69"/>
    <mergeCell ref="B68:B69"/>
    <mergeCell ref="C60:C61"/>
    <mergeCell ref="B60:B61"/>
    <mergeCell ref="B58:B59"/>
    <mergeCell ref="C58:C59"/>
    <mergeCell ref="D58:D59"/>
    <mergeCell ref="D56:D57"/>
    <mergeCell ref="C56:C57"/>
    <mergeCell ref="B56:B57"/>
    <mergeCell ref="B74:B75"/>
    <mergeCell ref="C74:C75"/>
    <mergeCell ref="D74:D75"/>
    <mergeCell ref="D72:D73"/>
    <mergeCell ref="B66:B67"/>
    <mergeCell ref="C66:C67"/>
    <mergeCell ref="D66:D67"/>
    <mergeCell ref="D64:D65"/>
    <mergeCell ref="B62:B63"/>
    <mergeCell ref="C62:C63"/>
    <mergeCell ref="D62:D63"/>
    <mergeCell ref="D60:D61"/>
    <mergeCell ref="B50:B52"/>
    <mergeCell ref="C50:C52"/>
    <mergeCell ref="D50:D52"/>
    <mergeCell ref="B53:V53"/>
    <mergeCell ref="X53:AB53"/>
    <mergeCell ref="B44:B46"/>
    <mergeCell ref="C44:C46"/>
    <mergeCell ref="D44:D46"/>
    <mergeCell ref="B47:B49"/>
    <mergeCell ref="C47:C49"/>
    <mergeCell ref="D47:D49"/>
    <mergeCell ref="B38:B40"/>
    <mergeCell ref="C38:C40"/>
    <mergeCell ref="D38:D40"/>
    <mergeCell ref="B41:B43"/>
    <mergeCell ref="C41:C43"/>
    <mergeCell ref="D41:D43"/>
    <mergeCell ref="B32:B34"/>
    <mergeCell ref="C32:C34"/>
    <mergeCell ref="D32:D34"/>
    <mergeCell ref="B35:B37"/>
    <mergeCell ref="C35:C37"/>
    <mergeCell ref="D35:D37"/>
    <mergeCell ref="B26:B28"/>
    <mergeCell ref="C26:C28"/>
    <mergeCell ref="D26:D28"/>
    <mergeCell ref="B29:B31"/>
    <mergeCell ref="C29:C31"/>
    <mergeCell ref="D29:D31"/>
    <mergeCell ref="B20:B22"/>
    <mergeCell ref="C20:C22"/>
    <mergeCell ref="D20:D22"/>
    <mergeCell ref="B23:B25"/>
    <mergeCell ref="C23:C25"/>
    <mergeCell ref="D23:D25"/>
    <mergeCell ref="B14:B16"/>
    <mergeCell ref="C14:C16"/>
    <mergeCell ref="D14:D16"/>
    <mergeCell ref="B17:B19"/>
    <mergeCell ref="C17:C19"/>
    <mergeCell ref="D17:D19"/>
    <mergeCell ref="B8:B10"/>
    <mergeCell ref="C8:C10"/>
    <mergeCell ref="D8:D10"/>
    <mergeCell ref="B11:B13"/>
    <mergeCell ref="C11:C13"/>
    <mergeCell ref="D11:D13"/>
    <mergeCell ref="A1:V1"/>
    <mergeCell ref="B2:V2"/>
    <mergeCell ref="X3:AB3"/>
    <mergeCell ref="B5:B7"/>
    <mergeCell ref="C5:C7"/>
    <mergeCell ref="D5:D7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34107-AC39-3A45-80EC-584E1AE344D6}">
  <dimension ref="A1:W563"/>
  <sheetViews>
    <sheetView zoomScaleNormal="100" workbookViewId="0">
      <selection sqref="A1:O1"/>
    </sheetView>
  </sheetViews>
  <sheetFormatPr baseColWidth="10" defaultColWidth="9.1640625" defaultRowHeight="13"/>
  <cols>
    <col min="1" max="1" width="76.5" style="9" customWidth="1"/>
    <col min="2" max="2" width="10.33203125" style="9" bestFit="1" customWidth="1"/>
    <col min="3" max="7" width="9.1640625" style="9"/>
    <col min="8" max="8" width="9.6640625" style="9" bestFit="1" customWidth="1"/>
    <col min="9" max="9" width="12.1640625" style="9" customWidth="1"/>
    <col min="10" max="10" width="12.5" style="9" bestFit="1" customWidth="1"/>
    <col min="11" max="12" width="13.6640625" style="9" customWidth="1"/>
    <col min="13" max="13" width="14.5" style="9" customWidth="1"/>
    <col min="14" max="15" width="10.5" style="9" bestFit="1" customWidth="1"/>
    <col min="16" max="17" width="9.1640625" style="9"/>
    <col min="18" max="18" width="12.6640625" style="9" customWidth="1"/>
    <col min="19" max="16384" width="9.1640625" style="9"/>
  </cols>
  <sheetData>
    <row r="1" spans="1:23" ht="17" thickBot="1">
      <c r="A1" s="180" t="s">
        <v>94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2"/>
    </row>
    <row r="2" spans="1:23" ht="16" customHeight="1" thickBot="1">
      <c r="A2" s="183"/>
      <c r="B2" s="184" t="s">
        <v>71</v>
      </c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6"/>
      <c r="Q2" s="187" t="s">
        <v>87</v>
      </c>
      <c r="R2" s="187"/>
      <c r="S2" s="187"/>
      <c r="T2" s="187"/>
      <c r="U2" s="187"/>
    </row>
    <row r="3" spans="1:23" ht="37" customHeight="1">
      <c r="A3" s="61"/>
      <c r="B3" s="188" t="s">
        <v>0</v>
      </c>
      <c r="C3" s="105" t="s">
        <v>1</v>
      </c>
      <c r="D3" s="105" t="s">
        <v>2</v>
      </c>
      <c r="E3" s="189" t="s">
        <v>15</v>
      </c>
      <c r="F3" s="190"/>
      <c r="G3" s="191">
        <v>410</v>
      </c>
      <c r="H3" s="189" t="s">
        <v>95</v>
      </c>
      <c r="I3" s="105" t="s">
        <v>16</v>
      </c>
      <c r="J3" s="105" t="s">
        <v>16</v>
      </c>
      <c r="K3" s="105" t="s">
        <v>96</v>
      </c>
      <c r="L3" s="189" t="s">
        <v>96</v>
      </c>
      <c r="M3" s="105" t="s">
        <v>97</v>
      </c>
      <c r="N3" s="105" t="s">
        <v>82</v>
      </c>
      <c r="O3" s="192" t="s">
        <v>47</v>
      </c>
      <c r="Q3" s="94" t="str">
        <f>D3</f>
        <v>Hours</v>
      </c>
      <c r="R3" s="116" t="str">
        <f>M3</f>
        <v>Average NO3 concentration</v>
      </c>
      <c r="S3" s="116" t="str">
        <f>O3</f>
        <v>Standard error</v>
      </c>
      <c r="T3" s="94"/>
      <c r="U3" s="193"/>
      <c r="V3" s="193"/>
      <c r="W3" s="193"/>
    </row>
    <row r="4" spans="1:23" ht="15" customHeight="1">
      <c r="A4" s="61"/>
      <c r="B4" s="194"/>
      <c r="C4" s="195"/>
      <c r="D4" s="196"/>
      <c r="E4" s="196"/>
      <c r="F4" s="197"/>
      <c r="G4" s="223" t="s">
        <v>11</v>
      </c>
      <c r="H4" s="110" t="s">
        <v>17</v>
      </c>
      <c r="I4" s="113" t="s">
        <v>13</v>
      </c>
      <c r="J4" s="113" t="s">
        <v>18</v>
      </c>
      <c r="K4" s="113" t="s">
        <v>18</v>
      </c>
      <c r="L4" s="110" t="s">
        <v>13</v>
      </c>
      <c r="M4" s="113" t="s">
        <v>13</v>
      </c>
      <c r="N4" s="113"/>
      <c r="O4" s="115"/>
      <c r="Q4" s="128">
        <v>0</v>
      </c>
      <c r="R4" s="122">
        <f>M7</f>
        <v>1.6071420933333334</v>
      </c>
      <c r="S4" s="122">
        <f>O7</f>
        <v>1.5295317627711318E-2</v>
      </c>
      <c r="T4" s="122"/>
      <c r="U4" s="193"/>
      <c r="V4" s="193"/>
      <c r="W4" s="193"/>
    </row>
    <row r="5" spans="1:23">
      <c r="A5" s="61"/>
      <c r="B5" s="144" t="s">
        <v>55</v>
      </c>
      <c r="C5" s="145">
        <v>0.46249999999999997</v>
      </c>
      <c r="D5" s="198">
        <f>7+54/60+12</f>
        <v>19.899999999999999</v>
      </c>
      <c r="E5" s="199">
        <v>2</v>
      </c>
      <c r="F5" s="120" t="s">
        <v>91</v>
      </c>
      <c r="G5" s="121">
        <v>0.65800000000000003</v>
      </c>
      <c r="H5" s="122">
        <f>5.5946*G5</f>
        <v>3.6812467999999998</v>
      </c>
      <c r="I5" s="122">
        <f>H5/10</f>
        <v>0.36812467999999998</v>
      </c>
      <c r="J5" s="122">
        <f>I5/14</f>
        <v>2.6294619999999998E-2</v>
      </c>
      <c r="K5" s="122">
        <f>J5</f>
        <v>2.6294619999999998E-2</v>
      </c>
      <c r="L5" s="122">
        <f>K5*62</f>
        <v>1.6302664399999998</v>
      </c>
      <c r="M5" s="200"/>
      <c r="N5" s="94"/>
      <c r="O5" s="127"/>
      <c r="Q5" s="128">
        <f>D8</f>
        <v>50.4</v>
      </c>
      <c r="R5" s="122">
        <f>M10</f>
        <v>1.4829154685714283</v>
      </c>
      <c r="S5" s="122">
        <f>O10</f>
        <v>2.4704748160087803E-2</v>
      </c>
      <c r="T5" s="122"/>
      <c r="U5" s="201"/>
      <c r="V5" s="201"/>
      <c r="W5" s="201"/>
    </row>
    <row r="6" spans="1:23">
      <c r="A6" s="61"/>
      <c r="B6" s="129"/>
      <c r="C6" s="130"/>
      <c r="D6" s="202"/>
      <c r="E6" s="203"/>
      <c r="F6" s="120" t="s">
        <v>92</v>
      </c>
      <c r="G6" s="121">
        <v>0.65100000000000002</v>
      </c>
      <c r="H6" s="122">
        <f>5.5946*G6</f>
        <v>3.6420846</v>
      </c>
      <c r="I6" s="122">
        <f t="shared" ref="I6:I7" si="0">H6/10</f>
        <v>0.36420846000000001</v>
      </c>
      <c r="J6" s="122">
        <f t="shared" ref="J6:J31" si="1">I6/14</f>
        <v>2.6014890000000002E-2</v>
      </c>
      <c r="K6" s="122">
        <f t="shared" ref="K6:K31" si="2">J6</f>
        <v>2.6014890000000002E-2</v>
      </c>
      <c r="L6" s="122">
        <f t="shared" ref="L6:L31" si="3">K6*62</f>
        <v>1.6129231800000001</v>
      </c>
      <c r="M6" s="200"/>
      <c r="N6" s="94"/>
      <c r="O6" s="127"/>
      <c r="Q6" s="128">
        <f>D11</f>
        <v>97.25</v>
      </c>
      <c r="R6" s="122">
        <f>M13</f>
        <v>1.4337393123809523</v>
      </c>
      <c r="S6" s="122">
        <f>O13</f>
        <v>4.2974282860318222E-2</v>
      </c>
      <c r="T6" s="122"/>
      <c r="U6" s="201"/>
      <c r="V6" s="201"/>
      <c r="W6" s="201"/>
    </row>
    <row r="7" spans="1:23">
      <c r="A7" s="61"/>
      <c r="B7" s="132"/>
      <c r="C7" s="133"/>
      <c r="D7" s="204"/>
      <c r="E7" s="205"/>
      <c r="F7" s="120" t="s">
        <v>93</v>
      </c>
      <c r="G7" s="121">
        <v>0.63700000000000001</v>
      </c>
      <c r="H7" s="122">
        <f>5.5946*G7</f>
        <v>3.5637601999999999</v>
      </c>
      <c r="I7" s="122">
        <f t="shared" si="0"/>
        <v>0.35637602000000002</v>
      </c>
      <c r="J7" s="122">
        <f t="shared" si="1"/>
        <v>2.5455430000000001E-2</v>
      </c>
      <c r="K7" s="122">
        <f t="shared" si="2"/>
        <v>2.5455430000000001E-2</v>
      </c>
      <c r="L7" s="122">
        <f t="shared" si="3"/>
        <v>1.57823666</v>
      </c>
      <c r="M7" s="206">
        <f>AVERAGE(L5:L7)</f>
        <v>1.6071420933333334</v>
      </c>
      <c r="N7" s="122">
        <f>STDEV(L5:L7)</f>
        <v>2.6492267249099873E-2</v>
      </c>
      <c r="O7" s="207">
        <f>N7/SQRT(3)</f>
        <v>1.5295317627711318E-2</v>
      </c>
      <c r="Q7" s="128">
        <f>D14</f>
        <v>165</v>
      </c>
      <c r="R7" s="122">
        <f>M16</f>
        <v>1.3070796304761905</v>
      </c>
      <c r="S7" s="122">
        <f>O16</f>
        <v>2.3229835016291448E-2</v>
      </c>
      <c r="T7" s="122"/>
      <c r="U7" s="201"/>
      <c r="V7" s="201"/>
      <c r="W7" s="201"/>
    </row>
    <row r="8" spans="1:23">
      <c r="A8" s="61"/>
      <c r="B8" s="144" t="s">
        <v>57</v>
      </c>
      <c r="C8" s="145">
        <v>0.5625</v>
      </c>
      <c r="D8" s="198">
        <f>2+24/60+48+D4</f>
        <v>50.4</v>
      </c>
      <c r="E8" s="199">
        <v>4</v>
      </c>
      <c r="F8" s="120" t="s">
        <v>91</v>
      </c>
      <c r="G8" s="149">
        <v>0.58899999999999997</v>
      </c>
      <c r="H8" s="150">
        <f>5.7436*G8</f>
        <v>3.3829803999999997</v>
      </c>
      <c r="I8" s="150">
        <f>H8/10</f>
        <v>0.33829803999999997</v>
      </c>
      <c r="J8" s="150">
        <f t="shared" si="1"/>
        <v>2.4164145714285712E-2</v>
      </c>
      <c r="K8" s="150">
        <f t="shared" si="2"/>
        <v>2.4164145714285712E-2</v>
      </c>
      <c r="L8" s="150">
        <f t="shared" si="3"/>
        <v>1.4981770342857141</v>
      </c>
      <c r="M8" s="208"/>
      <c r="N8" s="150"/>
      <c r="O8" s="209"/>
      <c r="Q8" s="128">
        <f>D17</f>
        <v>213.31666666666666</v>
      </c>
      <c r="R8" s="122">
        <f>M19</f>
        <v>1.1687073022222221</v>
      </c>
      <c r="S8" s="122">
        <f>O19</f>
        <v>6.593253206349213E-2</v>
      </c>
      <c r="T8" s="122"/>
      <c r="U8" s="201"/>
      <c r="V8" s="201"/>
      <c r="W8" s="201"/>
    </row>
    <row r="9" spans="1:23" ht="15" customHeight="1">
      <c r="A9" s="61"/>
      <c r="B9" s="129"/>
      <c r="C9" s="130"/>
      <c r="D9" s="202"/>
      <c r="E9" s="203"/>
      <c r="F9" s="120" t="s">
        <v>92</v>
      </c>
      <c r="G9" s="121">
        <v>0.59599999999999997</v>
      </c>
      <c r="H9" s="122">
        <f>5.7436*G9</f>
        <v>3.4231855999999996</v>
      </c>
      <c r="I9" s="122">
        <f t="shared" ref="I9:I10" si="4">H9/10</f>
        <v>0.34231855999999994</v>
      </c>
      <c r="J9" s="122">
        <f t="shared" si="1"/>
        <v>2.445132571428571E-2</v>
      </c>
      <c r="K9" s="122">
        <f t="shared" si="2"/>
        <v>2.445132571428571E-2</v>
      </c>
      <c r="L9" s="122">
        <f t="shared" si="3"/>
        <v>1.5159821942857139</v>
      </c>
      <c r="M9" s="206"/>
      <c r="N9" s="122"/>
      <c r="O9" s="207"/>
      <c r="Q9" s="128">
        <f>D20</f>
        <v>261.2833333333333</v>
      </c>
      <c r="R9" s="122">
        <f>M22</f>
        <v>0.99992545015873013</v>
      </c>
      <c r="S9" s="122">
        <f>O22</f>
        <v>9.0850694632078465E-3</v>
      </c>
      <c r="T9" s="122"/>
      <c r="U9" s="201"/>
      <c r="V9" s="201"/>
      <c r="W9" s="201"/>
    </row>
    <row r="10" spans="1:23" ht="15" customHeight="1">
      <c r="A10" s="61"/>
      <c r="B10" s="129"/>
      <c r="C10" s="130"/>
      <c r="D10" s="202"/>
      <c r="E10" s="203"/>
      <c r="F10" s="120" t="s">
        <v>93</v>
      </c>
      <c r="G10" s="136">
        <v>0.56399999999999995</v>
      </c>
      <c r="H10" s="137">
        <f>5.7436*G10</f>
        <v>3.2393903999999996</v>
      </c>
      <c r="I10" s="122">
        <f t="shared" si="4"/>
        <v>0.32393903999999996</v>
      </c>
      <c r="J10" s="137">
        <f t="shared" si="1"/>
        <v>2.3138502857142855E-2</v>
      </c>
      <c r="K10" s="137">
        <f t="shared" si="2"/>
        <v>2.3138502857142855E-2</v>
      </c>
      <c r="L10" s="137">
        <f t="shared" si="3"/>
        <v>1.4345871771428571</v>
      </c>
      <c r="M10" s="210">
        <f>AVERAGE(L8:L10)</f>
        <v>1.4829154685714283</v>
      </c>
      <c r="N10" s="137">
        <f>STDEV(L8:L10)</f>
        <v>4.278987900146581E-2</v>
      </c>
      <c r="O10" s="211">
        <f>N10/SQRT(3)</f>
        <v>2.4704748160087803E-2</v>
      </c>
      <c r="Q10" s="128">
        <f>D23</f>
        <v>309.2833333333333</v>
      </c>
      <c r="R10" s="122">
        <f>M25</f>
        <v>0.88206691428571427</v>
      </c>
      <c r="S10" s="122">
        <f>O25</f>
        <v>0.13793676114635364</v>
      </c>
      <c r="T10" s="122"/>
      <c r="U10" s="201"/>
      <c r="V10" s="201"/>
      <c r="W10" s="201"/>
    </row>
    <row r="11" spans="1:23">
      <c r="A11" s="61"/>
      <c r="B11" s="129" t="s">
        <v>59</v>
      </c>
      <c r="C11" s="130">
        <v>0.51458333333333328</v>
      </c>
      <c r="D11" s="202">
        <f>9+51/60+13+24+D8</f>
        <v>97.25</v>
      </c>
      <c r="E11" s="203">
        <v>6</v>
      </c>
      <c r="F11" s="120" t="s">
        <v>91</v>
      </c>
      <c r="G11" s="121">
        <v>0.59599999999999997</v>
      </c>
      <c r="H11" s="122">
        <f>5.7436*G11</f>
        <v>3.4231855999999996</v>
      </c>
      <c r="I11" s="122">
        <f>H11/10</f>
        <v>0.34231855999999994</v>
      </c>
      <c r="J11" s="122">
        <f t="shared" si="1"/>
        <v>2.445132571428571E-2</v>
      </c>
      <c r="K11" s="122">
        <f t="shared" si="2"/>
        <v>2.445132571428571E-2</v>
      </c>
      <c r="L11" s="122">
        <f t="shared" si="3"/>
        <v>1.5159821942857139</v>
      </c>
      <c r="M11" s="206"/>
      <c r="N11" s="122"/>
      <c r="O11" s="207"/>
      <c r="Q11" s="128">
        <f>D26</f>
        <v>356.83333333333331</v>
      </c>
      <c r="R11" s="122">
        <f>M28</f>
        <v>0.79671697619047566</v>
      </c>
      <c r="S11" s="122">
        <f>O28</f>
        <v>6.3614185427673511E-2</v>
      </c>
      <c r="T11" s="122"/>
      <c r="U11" s="201"/>
      <c r="V11" s="201"/>
      <c r="W11" s="201"/>
    </row>
    <row r="12" spans="1:23" ht="15" customHeight="1">
      <c r="A12" s="61"/>
      <c r="B12" s="129"/>
      <c r="C12" s="130"/>
      <c r="D12" s="202"/>
      <c r="E12" s="203"/>
      <c r="F12" s="120" t="s">
        <v>92</v>
      </c>
      <c r="G12" s="121">
        <v>0.53900000000000003</v>
      </c>
      <c r="H12" s="122">
        <f>5.7436*G12</f>
        <v>3.0958003999999999</v>
      </c>
      <c r="I12" s="122">
        <f t="shared" ref="I12:I16" si="5">H12/10</f>
        <v>0.30958004</v>
      </c>
      <c r="J12" s="122">
        <f t="shared" si="1"/>
        <v>2.2112860000000002E-2</v>
      </c>
      <c r="K12" s="122">
        <f t="shared" si="2"/>
        <v>2.2112860000000002E-2</v>
      </c>
      <c r="L12" s="122">
        <f t="shared" si="3"/>
        <v>1.3709973200000001</v>
      </c>
      <c r="M12" s="206"/>
      <c r="N12" s="122"/>
      <c r="O12" s="207"/>
      <c r="Q12" s="128">
        <f>D29</f>
        <v>405.43333333333339</v>
      </c>
      <c r="R12" s="122">
        <f>M31</f>
        <v>0.69446385999999993</v>
      </c>
      <c r="S12" s="122">
        <f>O31</f>
        <v>1.9207748024929912E-2</v>
      </c>
      <c r="T12" s="122"/>
      <c r="U12" s="201"/>
      <c r="V12" s="201"/>
      <c r="W12" s="201"/>
    </row>
    <row r="13" spans="1:23" ht="15" customHeight="1">
      <c r="A13" s="61"/>
      <c r="B13" s="132"/>
      <c r="C13" s="133"/>
      <c r="D13" s="202"/>
      <c r="E13" s="205"/>
      <c r="F13" s="120" t="s">
        <v>93</v>
      </c>
      <c r="G13" s="121">
        <v>0.55600000000000005</v>
      </c>
      <c r="H13" s="122">
        <f>5.7436*G13</f>
        <v>3.1934416000000003</v>
      </c>
      <c r="I13" s="137">
        <f t="shared" si="5"/>
        <v>0.31934416000000004</v>
      </c>
      <c r="J13" s="122">
        <f t="shared" si="1"/>
        <v>2.2810297142857146E-2</v>
      </c>
      <c r="K13" s="122">
        <f t="shared" si="2"/>
        <v>2.2810297142857146E-2</v>
      </c>
      <c r="L13" s="122">
        <f t="shared" si="3"/>
        <v>1.4142384228571432</v>
      </c>
      <c r="M13" s="206">
        <f>AVERAGE(L11:L13)</f>
        <v>1.4337393123809523</v>
      </c>
      <c r="N13" s="122">
        <f>STDEV(L11:L13)</f>
        <v>7.443364133290753E-2</v>
      </c>
      <c r="O13" s="207">
        <f>N13/SQRT(3)</f>
        <v>4.2974282860318222E-2</v>
      </c>
      <c r="Q13" s="128"/>
      <c r="R13" s="122"/>
      <c r="S13" s="122"/>
      <c r="T13" s="122"/>
      <c r="U13" s="201"/>
      <c r="V13" s="201"/>
      <c r="W13" s="201"/>
    </row>
    <row r="14" spans="1:23">
      <c r="A14" s="61"/>
      <c r="B14" s="212" t="s">
        <v>60</v>
      </c>
      <c r="C14" s="213">
        <v>0.49444444444444446</v>
      </c>
      <c r="D14" s="214">
        <v>165</v>
      </c>
      <c r="E14" s="199">
        <v>8</v>
      </c>
      <c r="F14" s="120" t="s">
        <v>91</v>
      </c>
      <c r="G14" s="149">
        <v>0.53900000000000003</v>
      </c>
      <c r="H14" s="150">
        <f>5.2957*G14</f>
        <v>2.8543823000000001</v>
      </c>
      <c r="I14" s="122">
        <f t="shared" si="5"/>
        <v>0.28543823000000001</v>
      </c>
      <c r="J14" s="150">
        <f t="shared" si="1"/>
        <v>2.0388445000000002E-2</v>
      </c>
      <c r="K14" s="150">
        <f t="shared" si="2"/>
        <v>2.0388445000000002E-2</v>
      </c>
      <c r="L14" s="150">
        <f t="shared" si="3"/>
        <v>1.26408359</v>
      </c>
      <c r="M14" s="215"/>
      <c r="N14" s="153"/>
      <c r="O14" s="216"/>
      <c r="Q14" s="94"/>
      <c r="R14" s="122"/>
      <c r="S14" s="122"/>
      <c r="T14" s="122"/>
      <c r="U14" s="122"/>
    </row>
    <row r="15" spans="1:23">
      <c r="B15" s="217"/>
      <c r="C15" s="218"/>
      <c r="D15" s="214"/>
      <c r="E15" s="203"/>
      <c r="F15" s="120" t="s">
        <v>92</v>
      </c>
      <c r="G15" s="121">
        <v>0.56000000000000005</v>
      </c>
      <c r="H15" s="122">
        <f>5.2957*G15</f>
        <v>2.9655920000000004</v>
      </c>
      <c r="I15" s="122">
        <f t="shared" si="5"/>
        <v>0.29655920000000002</v>
      </c>
      <c r="J15" s="122">
        <f t="shared" si="1"/>
        <v>2.1182800000000002E-2</v>
      </c>
      <c r="K15" s="122">
        <f t="shared" si="2"/>
        <v>2.1182800000000002E-2</v>
      </c>
      <c r="L15" s="122">
        <f t="shared" si="3"/>
        <v>1.3133336</v>
      </c>
      <c r="M15" s="200"/>
      <c r="N15" s="94"/>
      <c r="O15" s="127"/>
      <c r="Q15" s="94"/>
      <c r="R15" s="122"/>
      <c r="S15" s="122"/>
      <c r="T15" s="122"/>
      <c r="U15" s="122"/>
    </row>
    <row r="16" spans="1:23">
      <c r="B16" s="217"/>
      <c r="C16" s="218"/>
      <c r="D16" s="214"/>
      <c r="E16" s="203"/>
      <c r="F16" s="120" t="s">
        <v>93</v>
      </c>
      <c r="G16" s="136">
        <v>0.57299999999999995</v>
      </c>
      <c r="H16" s="137">
        <f>5.2957*G16</f>
        <v>3.0344360999999997</v>
      </c>
      <c r="I16" s="122">
        <f t="shared" si="5"/>
        <v>0.30344360999999997</v>
      </c>
      <c r="J16" s="137">
        <f t="shared" si="1"/>
        <v>2.1674543571428569E-2</v>
      </c>
      <c r="K16" s="137">
        <f t="shared" si="2"/>
        <v>2.1674543571428569E-2</v>
      </c>
      <c r="L16" s="137">
        <f t="shared" si="3"/>
        <v>1.3438217014285712</v>
      </c>
      <c r="M16" s="210">
        <f>AVERAGE(L14:L16)</f>
        <v>1.3070796304761905</v>
      </c>
      <c r="N16" s="137">
        <f>STDEV(L14:L16)</f>
        <v>4.0235254499659381E-2</v>
      </c>
      <c r="O16" s="211">
        <f>N16/SQRT(3)</f>
        <v>2.3229835016291448E-2</v>
      </c>
      <c r="Q16" s="201"/>
      <c r="R16" s="201"/>
      <c r="S16" s="201"/>
      <c r="T16" s="122"/>
      <c r="U16" s="122"/>
    </row>
    <row r="17" spans="2:21">
      <c r="B17" s="129" t="s">
        <v>62</v>
      </c>
      <c r="C17" s="130">
        <v>0.50763888888888886</v>
      </c>
      <c r="D17" s="202">
        <f>19/60+48+D14</f>
        <v>213.31666666666666</v>
      </c>
      <c r="E17" s="203">
        <v>10</v>
      </c>
      <c r="F17" s="120" t="s">
        <v>91</v>
      </c>
      <c r="G17" s="121">
        <v>0.79400000000000004</v>
      </c>
      <c r="H17" s="122">
        <f>5.4029*G17</f>
        <v>4.2899026000000005</v>
      </c>
      <c r="I17" s="122">
        <f t="shared" ref="I17:I22" si="6">H17/15</f>
        <v>0.28599350666666667</v>
      </c>
      <c r="J17" s="122">
        <f t="shared" si="1"/>
        <v>2.042810761904762E-2</v>
      </c>
      <c r="K17" s="122">
        <f t="shared" si="2"/>
        <v>2.042810761904762E-2</v>
      </c>
      <c r="L17" s="122">
        <f t="shared" si="3"/>
        <v>1.2665426723809525</v>
      </c>
      <c r="M17" s="200"/>
      <c r="N17" s="94"/>
      <c r="O17" s="127"/>
      <c r="T17" s="122"/>
      <c r="U17" s="122"/>
    </row>
    <row r="18" spans="2:21">
      <c r="B18" s="129"/>
      <c r="C18" s="130"/>
      <c r="D18" s="202"/>
      <c r="E18" s="203"/>
      <c r="F18" s="120" t="s">
        <v>92</v>
      </c>
      <c r="G18" s="121">
        <v>0.65400000000000003</v>
      </c>
      <c r="H18" s="122">
        <f>5.4029*G18</f>
        <v>3.5334965999999999</v>
      </c>
      <c r="I18" s="122">
        <f t="shared" si="6"/>
        <v>0.23556643999999999</v>
      </c>
      <c r="J18" s="122">
        <f t="shared" si="1"/>
        <v>1.6826174285714285E-2</v>
      </c>
      <c r="K18" s="122">
        <f t="shared" si="2"/>
        <v>1.6826174285714285E-2</v>
      </c>
      <c r="L18" s="122">
        <f t="shared" si="3"/>
        <v>1.0432228057142856</v>
      </c>
      <c r="M18" s="200"/>
      <c r="N18" s="94"/>
      <c r="O18" s="127"/>
      <c r="T18" s="122"/>
      <c r="U18" s="122"/>
    </row>
    <row r="19" spans="2:21">
      <c r="B19" s="132"/>
      <c r="C19" s="133"/>
      <c r="D19" s="204"/>
      <c r="E19" s="205"/>
      <c r="F19" s="120" t="s">
        <v>93</v>
      </c>
      <c r="G19" s="121">
        <v>0.75</v>
      </c>
      <c r="H19" s="122">
        <f>5.4029*G19</f>
        <v>4.0521750000000001</v>
      </c>
      <c r="I19" s="137">
        <f t="shared" si="6"/>
        <v>0.27014500000000002</v>
      </c>
      <c r="J19" s="122">
        <f t="shared" si="1"/>
        <v>1.929607142857143E-2</v>
      </c>
      <c r="K19" s="122">
        <f t="shared" si="2"/>
        <v>1.929607142857143E-2</v>
      </c>
      <c r="L19" s="122">
        <f t="shared" si="3"/>
        <v>1.1963564285714285</v>
      </c>
      <c r="M19" s="206">
        <f>AVERAGE(L17:L19)</f>
        <v>1.1687073022222221</v>
      </c>
      <c r="N19" s="122">
        <f>STDEV(L17:L19)</f>
        <v>0.11419849540563244</v>
      </c>
      <c r="O19" s="207">
        <f>N19/SQRT(3)</f>
        <v>6.593253206349213E-2</v>
      </c>
      <c r="T19" s="122"/>
      <c r="U19" s="122"/>
    </row>
    <row r="20" spans="2:21">
      <c r="B20" s="144" t="s">
        <v>64</v>
      </c>
      <c r="C20" s="145">
        <v>0.50624999999999998</v>
      </c>
      <c r="D20" s="198">
        <f>23+58/60+24+D17</f>
        <v>261.2833333333333</v>
      </c>
      <c r="E20" s="199">
        <v>12</v>
      </c>
      <c r="F20" s="120" t="s">
        <v>91</v>
      </c>
      <c r="G20" s="149">
        <v>1.0149999999999999</v>
      </c>
      <c r="H20" s="150">
        <f>3.3959*G20</f>
        <v>3.4468384999999997</v>
      </c>
      <c r="I20" s="122">
        <f t="shared" si="6"/>
        <v>0.22978923333333331</v>
      </c>
      <c r="J20" s="150">
        <f t="shared" si="1"/>
        <v>1.6413516666666666E-2</v>
      </c>
      <c r="K20" s="150">
        <f t="shared" si="2"/>
        <v>1.6413516666666666E-2</v>
      </c>
      <c r="L20" s="150">
        <f t="shared" si="3"/>
        <v>1.0176380333333332</v>
      </c>
      <c r="M20" s="208"/>
      <c r="N20" s="150"/>
      <c r="O20" s="209"/>
      <c r="T20" s="122"/>
      <c r="U20" s="122"/>
    </row>
    <row r="21" spans="2:21">
      <c r="B21" s="129"/>
      <c r="C21" s="130"/>
      <c r="D21" s="202"/>
      <c r="E21" s="203"/>
      <c r="F21" s="120" t="s">
        <v>92</v>
      </c>
      <c r="G21" s="121">
        <v>0.98499999999999999</v>
      </c>
      <c r="H21" s="122">
        <f>3.3959*G21</f>
        <v>3.3449615000000001</v>
      </c>
      <c r="I21" s="122">
        <f t="shared" si="6"/>
        <v>0.22299743333333336</v>
      </c>
      <c r="J21" s="122">
        <f t="shared" si="1"/>
        <v>1.5928388095238097E-2</v>
      </c>
      <c r="K21" s="122">
        <f t="shared" si="2"/>
        <v>1.5928388095238097E-2</v>
      </c>
      <c r="L21" s="122">
        <f t="shared" si="3"/>
        <v>0.98756006190476198</v>
      </c>
      <c r="M21" s="206"/>
      <c r="N21" s="122"/>
      <c r="O21" s="207"/>
      <c r="T21" s="122"/>
      <c r="U21" s="122"/>
    </row>
    <row r="22" spans="2:21">
      <c r="B22" s="129"/>
      <c r="C22" s="130"/>
      <c r="D22" s="202"/>
      <c r="E22" s="203"/>
      <c r="F22" s="120" t="s">
        <v>93</v>
      </c>
      <c r="G22" s="136">
        <v>0.99199999999999999</v>
      </c>
      <c r="H22" s="137">
        <f>3.3959*G22</f>
        <v>3.3687328000000001</v>
      </c>
      <c r="I22" s="122">
        <f t="shared" si="6"/>
        <v>0.22458218666666668</v>
      </c>
      <c r="J22" s="137">
        <f t="shared" si="1"/>
        <v>1.6041584761904763E-2</v>
      </c>
      <c r="K22" s="137">
        <f t="shared" si="2"/>
        <v>1.6041584761904763E-2</v>
      </c>
      <c r="L22" s="137">
        <f t="shared" si="3"/>
        <v>0.99457825523809529</v>
      </c>
      <c r="M22" s="210">
        <f>AVERAGE(L20:L22)</f>
        <v>0.99992545015873013</v>
      </c>
      <c r="N22" s="137">
        <f>STDEV(L20:L22)</f>
        <v>1.5735801900568495E-2</v>
      </c>
      <c r="O22" s="211">
        <f>N22/SQRT(3)</f>
        <v>9.0850694632078465E-3</v>
      </c>
      <c r="T22" s="122"/>
      <c r="U22" s="122"/>
    </row>
    <row r="23" spans="2:21">
      <c r="B23" s="129" t="s">
        <v>66</v>
      </c>
      <c r="C23" s="130">
        <v>0.50624999999999998</v>
      </c>
      <c r="D23" s="202">
        <f>D20+48</f>
        <v>309.2833333333333</v>
      </c>
      <c r="E23" s="203">
        <v>14</v>
      </c>
      <c r="F23" s="120" t="s">
        <v>91</v>
      </c>
      <c r="G23" s="149">
        <v>0.30499999999999999</v>
      </c>
      <c r="H23" s="122">
        <f>5.388*G23</f>
        <v>1.64334</v>
      </c>
      <c r="I23" s="122">
        <f t="shared" ref="I23:I25" si="7">H23/10</f>
        <v>0.16433400000000001</v>
      </c>
      <c r="J23" s="122">
        <f t="shared" si="1"/>
        <v>1.1738142857142858E-2</v>
      </c>
      <c r="K23" s="122">
        <f t="shared" si="2"/>
        <v>1.1738142857142858E-2</v>
      </c>
      <c r="L23" s="122">
        <f t="shared" si="3"/>
        <v>0.72776485714285721</v>
      </c>
      <c r="M23" s="206"/>
      <c r="N23" s="122"/>
      <c r="O23" s="207"/>
      <c r="T23" s="122"/>
      <c r="U23" s="122"/>
    </row>
    <row r="24" spans="2:21">
      <c r="B24" s="129"/>
      <c r="C24" s="130"/>
      <c r="D24" s="202"/>
      <c r="E24" s="203"/>
      <c r="F24" s="120" t="s">
        <v>92</v>
      </c>
      <c r="G24" s="121">
        <v>0.48499999999999999</v>
      </c>
      <c r="H24" s="122">
        <f>5.388*G24</f>
        <v>2.6131799999999998</v>
      </c>
      <c r="I24" s="122">
        <f t="shared" si="7"/>
        <v>0.26131799999999999</v>
      </c>
      <c r="J24" s="122">
        <f t="shared" si="1"/>
        <v>1.8665571428571427E-2</v>
      </c>
      <c r="K24" s="122">
        <f t="shared" si="2"/>
        <v>1.8665571428571427E-2</v>
      </c>
      <c r="L24" s="122">
        <f t="shared" si="3"/>
        <v>1.1572654285714286</v>
      </c>
      <c r="M24" s="206"/>
      <c r="N24" s="122"/>
      <c r="O24" s="207"/>
      <c r="T24" s="122"/>
      <c r="U24" s="122"/>
    </row>
    <row r="25" spans="2:21">
      <c r="B25" s="132"/>
      <c r="C25" s="133"/>
      <c r="D25" s="204"/>
      <c r="E25" s="205"/>
      <c r="F25" s="120" t="s">
        <v>93</v>
      </c>
      <c r="G25" s="136">
        <v>0.31900000000000001</v>
      </c>
      <c r="H25" s="122">
        <f>5.388*G25</f>
        <v>1.718772</v>
      </c>
      <c r="I25" s="137">
        <f t="shared" si="7"/>
        <v>0.17187720000000001</v>
      </c>
      <c r="J25" s="122">
        <f t="shared" si="1"/>
        <v>1.2276942857142857E-2</v>
      </c>
      <c r="K25" s="122">
        <f t="shared" si="2"/>
        <v>1.2276942857142857E-2</v>
      </c>
      <c r="L25" s="122">
        <f t="shared" si="3"/>
        <v>0.76117045714285714</v>
      </c>
      <c r="M25" s="206">
        <f>AVERAGE(L23:L25)</f>
        <v>0.88206691428571427</v>
      </c>
      <c r="N25" s="122">
        <f>STDEV(L23:L25)</f>
        <v>0.23891347853697714</v>
      </c>
      <c r="O25" s="207">
        <f>N25/SQRT(3)</f>
        <v>0.13793676114635364</v>
      </c>
    </row>
    <row r="26" spans="2:21">
      <c r="B26" s="144" t="s">
        <v>68</v>
      </c>
      <c r="C26" s="145">
        <v>0.48749999999999999</v>
      </c>
      <c r="D26" s="198">
        <f>11+33/60+12+24+D23</f>
        <v>356.83333333333331</v>
      </c>
      <c r="E26" s="199">
        <v>16</v>
      </c>
      <c r="F26" s="120" t="s">
        <v>91</v>
      </c>
      <c r="G26" s="149">
        <v>0.794333333333333</v>
      </c>
      <c r="H26" s="150">
        <f>3.9395*G26</f>
        <v>3.1292761666666653</v>
      </c>
      <c r="I26" s="122">
        <f>H26/15</f>
        <v>0.20861841111111101</v>
      </c>
      <c r="J26" s="150">
        <f t="shared" si="1"/>
        <v>1.4901315079365072E-2</v>
      </c>
      <c r="K26" s="150">
        <f t="shared" si="2"/>
        <v>1.4901315079365072E-2</v>
      </c>
      <c r="L26" s="150">
        <f t="shared" si="3"/>
        <v>0.92388153492063441</v>
      </c>
      <c r="M26" s="215"/>
      <c r="N26" s="153"/>
      <c r="O26" s="216"/>
    </row>
    <row r="27" spans="2:21">
      <c r="B27" s="129"/>
      <c r="C27" s="130"/>
      <c r="D27" s="202"/>
      <c r="E27" s="203"/>
      <c r="F27" s="120" t="s">
        <v>92</v>
      </c>
      <c r="G27" s="121">
        <v>0.63333333333333297</v>
      </c>
      <c r="H27" s="122">
        <f>3.9395*G27</f>
        <v>2.4950166666666651</v>
      </c>
      <c r="I27" s="122">
        <f>H27/15</f>
        <v>0.16633444444444434</v>
      </c>
      <c r="J27" s="122">
        <f t="shared" si="1"/>
        <v>1.1881031746031738E-2</v>
      </c>
      <c r="K27" s="122">
        <f t="shared" si="2"/>
        <v>1.1881031746031738E-2</v>
      </c>
      <c r="L27" s="122">
        <f t="shared" si="3"/>
        <v>0.73662396825396781</v>
      </c>
      <c r="M27" s="200"/>
      <c r="N27" s="94"/>
      <c r="O27" s="127"/>
    </row>
    <row r="28" spans="2:21">
      <c r="B28" s="129"/>
      <c r="C28" s="130"/>
      <c r="D28" s="202"/>
      <c r="E28" s="203"/>
      <c r="F28" s="120" t="s">
        <v>93</v>
      </c>
      <c r="G28" s="136">
        <v>0.62733333333333297</v>
      </c>
      <c r="H28" s="137">
        <f>3.9395*G28</f>
        <v>2.4713796666666652</v>
      </c>
      <c r="I28" s="122">
        <f>H28/15</f>
        <v>0.16475864444444435</v>
      </c>
      <c r="J28" s="137">
        <f t="shared" si="1"/>
        <v>1.1768474603174596E-2</v>
      </c>
      <c r="K28" s="137">
        <f t="shared" si="2"/>
        <v>1.1768474603174596E-2</v>
      </c>
      <c r="L28" s="137">
        <f t="shared" si="3"/>
        <v>0.72964542539682498</v>
      </c>
      <c r="M28" s="210">
        <f>AVERAGE(L26:L28)</f>
        <v>0.79671697619047566</v>
      </c>
      <c r="N28" s="137">
        <f>STDEV(L26:L28)</f>
        <v>0.1101830012428382</v>
      </c>
      <c r="O28" s="211">
        <f>N28/SQRT(3)</f>
        <v>6.3614185427673511E-2</v>
      </c>
    </row>
    <row r="29" spans="2:21">
      <c r="B29" s="129" t="s">
        <v>70</v>
      </c>
      <c r="C29" s="130">
        <v>0.52638888888888891</v>
      </c>
      <c r="D29" s="202">
        <v>405.43333333333339</v>
      </c>
      <c r="E29" s="203">
        <v>18</v>
      </c>
      <c r="F29" s="120" t="s">
        <v>91</v>
      </c>
      <c r="G29" s="149">
        <v>0.47699999999999998</v>
      </c>
      <c r="H29" s="122">
        <f>5.1849*G29</f>
        <v>2.4731972999999998</v>
      </c>
      <c r="I29" s="122">
        <f t="shared" ref="I29:I31" si="8">H29/15</f>
        <v>0.16487981999999998</v>
      </c>
      <c r="J29" s="122">
        <f t="shared" si="1"/>
        <v>1.1777129999999999E-2</v>
      </c>
      <c r="K29" s="122">
        <f t="shared" si="2"/>
        <v>1.1777129999999999E-2</v>
      </c>
      <c r="L29" s="122">
        <f t="shared" si="3"/>
        <v>0.73018205999999986</v>
      </c>
      <c r="M29" s="200"/>
      <c r="N29" s="94"/>
      <c r="O29" s="127"/>
    </row>
    <row r="30" spans="2:21" ht="15" customHeight="1">
      <c r="B30" s="129"/>
      <c r="C30" s="130"/>
      <c r="D30" s="202"/>
      <c r="E30" s="203"/>
      <c r="F30" s="120" t="s">
        <v>92</v>
      </c>
      <c r="G30" s="121">
        <v>0.45</v>
      </c>
      <c r="H30" s="122">
        <f>5.1849*G30</f>
        <v>2.333205</v>
      </c>
      <c r="I30" s="122">
        <f t="shared" si="8"/>
        <v>0.15554699999999999</v>
      </c>
      <c r="J30" s="122">
        <f t="shared" si="1"/>
        <v>1.1110499999999999E-2</v>
      </c>
      <c r="K30" s="122">
        <f t="shared" si="2"/>
        <v>1.1110499999999999E-2</v>
      </c>
      <c r="L30" s="122">
        <f t="shared" si="3"/>
        <v>0.68885099999999988</v>
      </c>
      <c r="M30" s="200"/>
      <c r="N30" s="94"/>
      <c r="O30" s="127"/>
    </row>
    <row r="31" spans="2:21" ht="16" customHeight="1" thickBot="1">
      <c r="B31" s="154"/>
      <c r="C31" s="155"/>
      <c r="D31" s="219"/>
      <c r="E31" s="220"/>
      <c r="F31" s="120" t="s">
        <v>93</v>
      </c>
      <c r="G31" s="136">
        <v>0.434</v>
      </c>
      <c r="H31" s="122">
        <f>5.1849*G31</f>
        <v>2.2502466000000001</v>
      </c>
      <c r="I31" s="122">
        <f t="shared" si="8"/>
        <v>0.15001644</v>
      </c>
      <c r="J31" s="174">
        <f t="shared" si="1"/>
        <v>1.071546E-2</v>
      </c>
      <c r="K31" s="174">
        <f t="shared" si="2"/>
        <v>1.071546E-2</v>
      </c>
      <c r="L31" s="174">
        <f t="shared" si="3"/>
        <v>0.66435851999999995</v>
      </c>
      <c r="M31" s="221">
        <f>AVERAGE(L29:L31)</f>
        <v>0.69446385999999993</v>
      </c>
      <c r="N31" s="174">
        <f>STDEV(L29:L31)</f>
        <v>3.3268795478159363E-2</v>
      </c>
      <c r="O31" s="222">
        <f>N31/SQRT(3)</f>
        <v>1.9207748024929912E-2</v>
      </c>
    </row>
    <row r="32" spans="2:21" ht="17" thickBot="1">
      <c r="B32" s="184" t="s">
        <v>98</v>
      </c>
      <c r="C32" s="185"/>
      <c r="D32" s="185"/>
      <c r="E32" s="185"/>
      <c r="F32" s="185"/>
      <c r="G32" s="185"/>
      <c r="H32" s="185"/>
      <c r="I32" s="185"/>
      <c r="J32" s="185"/>
      <c r="K32" s="185"/>
      <c r="L32" s="185"/>
      <c r="M32" s="185"/>
      <c r="N32" s="185"/>
      <c r="O32" s="186"/>
      <c r="Q32" s="187" t="s">
        <v>87</v>
      </c>
      <c r="R32" s="187"/>
      <c r="S32" s="187"/>
    </row>
    <row r="33" spans="2:23" ht="30">
      <c r="B33" s="188" t="s">
        <v>0</v>
      </c>
      <c r="C33" s="105" t="s">
        <v>1</v>
      </c>
      <c r="D33" s="105" t="s">
        <v>2</v>
      </c>
      <c r="E33" s="189" t="s">
        <v>15</v>
      </c>
      <c r="F33" s="190"/>
      <c r="G33" s="191">
        <v>410</v>
      </c>
      <c r="H33" s="189" t="s">
        <v>95</v>
      </c>
      <c r="I33" s="105" t="s">
        <v>16</v>
      </c>
      <c r="J33" s="105" t="s">
        <v>16</v>
      </c>
      <c r="K33" s="105" t="s">
        <v>96</v>
      </c>
      <c r="L33" s="189" t="s">
        <v>96</v>
      </c>
      <c r="M33" s="105" t="s">
        <v>97</v>
      </c>
      <c r="N33" s="105" t="s">
        <v>82</v>
      </c>
      <c r="O33" s="192" t="s">
        <v>47</v>
      </c>
      <c r="Q33" s="94" t="s">
        <v>2</v>
      </c>
      <c r="R33" s="116" t="str">
        <f>M33</f>
        <v>Average NO3 concentration</v>
      </c>
      <c r="S33" s="116" t="str">
        <f>O33</f>
        <v>Standard error</v>
      </c>
      <c r="T33" s="94"/>
      <c r="U33" s="94"/>
    </row>
    <row r="34" spans="2:23" ht="14">
      <c r="B34" s="194"/>
      <c r="C34" s="244"/>
      <c r="D34" s="245"/>
      <c r="E34" s="245"/>
      <c r="F34" s="197"/>
      <c r="G34" s="246" t="s">
        <v>11</v>
      </c>
      <c r="H34" s="110" t="s">
        <v>17</v>
      </c>
      <c r="I34" s="113" t="s">
        <v>13</v>
      </c>
      <c r="J34" s="113" t="s">
        <v>18</v>
      </c>
      <c r="K34" s="113" t="s">
        <v>18</v>
      </c>
      <c r="L34" s="110" t="s">
        <v>13</v>
      </c>
      <c r="M34" s="113" t="s">
        <v>13</v>
      </c>
      <c r="N34" s="113"/>
      <c r="O34" s="115"/>
      <c r="Q34" s="128">
        <f>D35</f>
        <v>22.85</v>
      </c>
      <c r="R34" s="122">
        <f>M36</f>
        <v>1.6215948099999999</v>
      </c>
      <c r="S34" s="122">
        <f>O36</f>
        <v>8.6716299999998192E-3</v>
      </c>
      <c r="T34" s="122"/>
      <c r="U34" s="193"/>
      <c r="V34" s="193"/>
      <c r="W34" s="193"/>
    </row>
    <row r="35" spans="2:23">
      <c r="B35" s="144" t="s">
        <v>20</v>
      </c>
      <c r="C35" s="252">
        <v>0.46249999999999997</v>
      </c>
      <c r="D35" s="248">
        <f>10+51/60+12</f>
        <v>22.85</v>
      </c>
      <c r="E35" s="199">
        <v>2</v>
      </c>
      <c r="F35" s="120" t="s">
        <v>91</v>
      </c>
      <c r="G35" s="121">
        <v>0.65800000000000003</v>
      </c>
      <c r="H35" s="235">
        <f>5.5946*G35</f>
        <v>3.6812467999999998</v>
      </c>
      <c r="I35" s="235">
        <f>H35/10</f>
        <v>0.36812467999999998</v>
      </c>
      <c r="J35" s="235">
        <f>I35/14</f>
        <v>2.6294619999999998E-2</v>
      </c>
      <c r="K35" s="235">
        <f>J35</f>
        <v>2.6294619999999998E-2</v>
      </c>
      <c r="L35" s="235">
        <f>K35*62</f>
        <v>1.6302664399999998</v>
      </c>
      <c r="M35" s="247"/>
      <c r="N35" s="236"/>
      <c r="O35" s="127"/>
      <c r="Q35" s="128">
        <f>D37</f>
        <v>70</v>
      </c>
      <c r="R35" s="122">
        <f>M38</f>
        <v>1.5382068471428569</v>
      </c>
      <c r="S35" s="122">
        <f>O38</f>
        <v>4.0029812857142903E-2</v>
      </c>
      <c r="T35" s="122"/>
      <c r="U35" s="201"/>
      <c r="V35" s="201"/>
      <c r="W35" s="201"/>
    </row>
    <row r="36" spans="2:23">
      <c r="B36" s="129"/>
      <c r="C36" s="252"/>
      <c r="D36" s="248"/>
      <c r="E36" s="203"/>
      <c r="F36" s="120" t="s">
        <v>92</v>
      </c>
      <c r="G36" s="121">
        <v>0.65100000000000002</v>
      </c>
      <c r="H36" s="235">
        <f>5.5946*G36</f>
        <v>3.6420846</v>
      </c>
      <c r="I36" s="235">
        <f t="shared" ref="I36:I37" si="9">H36/10</f>
        <v>0.36420846000000001</v>
      </c>
      <c r="J36" s="235">
        <f t="shared" ref="J36:J50" si="10">I36/14</f>
        <v>2.6014890000000002E-2</v>
      </c>
      <c r="K36" s="235">
        <f t="shared" ref="K36:K50" si="11">J36</f>
        <v>2.6014890000000002E-2</v>
      </c>
      <c r="L36" s="235">
        <f t="shared" ref="L36:L50" si="12">K36*62</f>
        <v>1.6129231800000001</v>
      </c>
      <c r="M36" s="249">
        <f>AVERAGE(L35:L36)</f>
        <v>1.6215948099999999</v>
      </c>
      <c r="N36" s="235">
        <f>STDEV(L35:L36)</f>
        <v>1.2263536753881147E-2</v>
      </c>
      <c r="O36" s="207">
        <f>N36/SQRT(2)</f>
        <v>8.6716299999998192E-3</v>
      </c>
      <c r="Q36" s="128">
        <f>D39</f>
        <v>119.75000000000001</v>
      </c>
      <c r="R36" s="122">
        <f>M40</f>
        <v>1.4752846857142856</v>
      </c>
      <c r="S36" s="122">
        <f>O40</f>
        <v>4.0697508571428398E-2</v>
      </c>
      <c r="T36" s="122"/>
      <c r="U36" s="201"/>
      <c r="V36" s="201"/>
      <c r="W36" s="201"/>
    </row>
    <row r="37" spans="2:23">
      <c r="B37" s="168" t="s">
        <v>22</v>
      </c>
      <c r="C37" s="252">
        <v>0.41875000000000001</v>
      </c>
      <c r="D37" s="248">
        <v>70</v>
      </c>
      <c r="E37" s="203">
        <v>4</v>
      </c>
      <c r="F37" s="120" t="s">
        <v>91</v>
      </c>
      <c r="G37" s="121">
        <v>0.63700000000000001</v>
      </c>
      <c r="H37" s="235">
        <f>5.5946*G37</f>
        <v>3.5637601999999999</v>
      </c>
      <c r="I37" s="235">
        <f t="shared" si="9"/>
        <v>0.35637602000000002</v>
      </c>
      <c r="J37" s="235">
        <f t="shared" si="10"/>
        <v>2.5455430000000001E-2</v>
      </c>
      <c r="K37" s="235">
        <f t="shared" si="11"/>
        <v>2.5455430000000001E-2</v>
      </c>
      <c r="L37" s="235">
        <f t="shared" si="12"/>
        <v>1.57823666</v>
      </c>
      <c r="M37" s="249"/>
      <c r="N37" s="235"/>
      <c r="O37" s="207"/>
      <c r="Q37" s="128">
        <f>D41</f>
        <v>191.25</v>
      </c>
      <c r="R37" s="122">
        <f>M42</f>
        <v>1.2908740999999999</v>
      </c>
      <c r="S37" s="122">
        <f>O42</f>
        <v>8.0123220000000051E-2</v>
      </c>
      <c r="T37" s="122"/>
      <c r="U37" s="201"/>
      <c r="V37" s="201"/>
      <c r="W37" s="201"/>
    </row>
    <row r="38" spans="2:23">
      <c r="B38" s="168"/>
      <c r="C38" s="252"/>
      <c r="D38" s="248"/>
      <c r="E38" s="203"/>
      <c r="F38" s="120" t="s">
        <v>92</v>
      </c>
      <c r="G38" s="121">
        <v>0.58899999999999997</v>
      </c>
      <c r="H38" s="235">
        <f>5.7436*G38</f>
        <v>3.3829803999999997</v>
      </c>
      <c r="I38" s="235">
        <f>H38/10</f>
        <v>0.33829803999999997</v>
      </c>
      <c r="J38" s="235">
        <f t="shared" si="10"/>
        <v>2.4164145714285712E-2</v>
      </c>
      <c r="K38" s="235">
        <f t="shared" si="11"/>
        <v>2.4164145714285712E-2</v>
      </c>
      <c r="L38" s="235">
        <f t="shared" si="12"/>
        <v>1.4981770342857141</v>
      </c>
      <c r="M38" s="249">
        <f t="shared" ref="M37:M50" si="13">AVERAGE(L37:L38)</f>
        <v>1.5382068471428569</v>
      </c>
      <c r="N38" s="235">
        <f t="shared" ref="N37:N50" si="14">STDEV(L37:L38)</f>
        <v>5.6610704241828395E-2</v>
      </c>
      <c r="O38" s="207">
        <f t="shared" ref="O37:O50" si="15">N38/SQRT(2)</f>
        <v>4.0029812857142903E-2</v>
      </c>
      <c r="Q38" s="128">
        <f>D43</f>
        <v>239.25</v>
      </c>
      <c r="R38" s="122">
        <f>M44</f>
        <v>1.182601662142857</v>
      </c>
      <c r="S38" s="122">
        <f>O44</f>
        <v>3.5780000714285554E-2</v>
      </c>
      <c r="T38" s="122"/>
      <c r="U38" s="201"/>
      <c r="V38" s="201"/>
      <c r="W38" s="201"/>
    </row>
    <row r="39" spans="2:23" ht="15" customHeight="1">
      <c r="B39" s="168" t="s">
        <v>23</v>
      </c>
      <c r="C39" s="252">
        <v>0.5</v>
      </c>
      <c r="D39" s="248">
        <v>119.75000000000001</v>
      </c>
      <c r="E39" s="203">
        <v>6</v>
      </c>
      <c r="F39" s="120" t="s">
        <v>91</v>
      </c>
      <c r="G39" s="121">
        <v>0.59599999999999997</v>
      </c>
      <c r="H39" s="235">
        <f>5.7436*G39</f>
        <v>3.4231855999999996</v>
      </c>
      <c r="I39" s="235">
        <f t="shared" ref="I39:I40" si="16">H39/10</f>
        <v>0.34231855999999994</v>
      </c>
      <c r="J39" s="235">
        <f t="shared" si="10"/>
        <v>2.445132571428571E-2</v>
      </c>
      <c r="K39" s="235">
        <f t="shared" si="11"/>
        <v>2.445132571428571E-2</v>
      </c>
      <c r="L39" s="235">
        <f t="shared" si="12"/>
        <v>1.5159821942857139</v>
      </c>
      <c r="M39" s="249"/>
      <c r="N39" s="235"/>
      <c r="O39" s="207"/>
      <c r="Q39" s="128">
        <f>D45</f>
        <v>311.25</v>
      </c>
      <c r="R39" s="122">
        <f>M46</f>
        <v>0.90995256571428573</v>
      </c>
      <c r="S39" s="122">
        <f>O46</f>
        <v>2.3452385714285979E-3</v>
      </c>
      <c r="T39" s="122"/>
      <c r="U39" s="201"/>
      <c r="V39" s="201"/>
      <c r="W39" s="201"/>
    </row>
    <row r="40" spans="2:23" ht="15" customHeight="1">
      <c r="B40" s="168"/>
      <c r="C40" s="252"/>
      <c r="D40" s="248"/>
      <c r="E40" s="203"/>
      <c r="F40" s="120" t="s">
        <v>92</v>
      </c>
      <c r="G40" s="121">
        <v>0.56399999999999995</v>
      </c>
      <c r="H40" s="235">
        <f>5.7436*G40</f>
        <v>3.2393903999999996</v>
      </c>
      <c r="I40" s="235">
        <f t="shared" si="16"/>
        <v>0.32393903999999996</v>
      </c>
      <c r="J40" s="235">
        <f t="shared" si="10"/>
        <v>2.3138502857142855E-2</v>
      </c>
      <c r="K40" s="235">
        <f t="shared" si="11"/>
        <v>2.3138502857142855E-2</v>
      </c>
      <c r="L40" s="235">
        <f t="shared" si="12"/>
        <v>1.4345871771428571</v>
      </c>
      <c r="M40" s="249">
        <f t="shared" si="13"/>
        <v>1.4752846857142856</v>
      </c>
      <c r="N40" s="235">
        <f t="shared" si="14"/>
        <v>5.7554968576509324E-2</v>
      </c>
      <c r="O40" s="207">
        <f t="shared" si="15"/>
        <v>4.0697508571428398E-2</v>
      </c>
      <c r="Q40" s="128">
        <f>D47</f>
        <v>359.16666666666669</v>
      </c>
      <c r="R40" s="122">
        <f>M48</f>
        <v>0.85100820619047624</v>
      </c>
      <c r="S40" s="122">
        <f>O48</f>
        <v>5.582996666666673E-3</v>
      </c>
      <c r="T40" s="122"/>
      <c r="U40" s="201"/>
      <c r="V40" s="201"/>
      <c r="W40" s="201"/>
    </row>
    <row r="41" spans="2:23">
      <c r="B41" s="168" t="s">
        <v>24</v>
      </c>
      <c r="C41" s="252">
        <v>0.47916666666666669</v>
      </c>
      <c r="D41" s="248">
        <v>191.25</v>
      </c>
      <c r="E41" s="203">
        <v>8</v>
      </c>
      <c r="F41" s="120" t="s">
        <v>91</v>
      </c>
      <c r="G41" s="121">
        <v>0.47599999999999998</v>
      </c>
      <c r="H41" s="235">
        <f>5.7436*G41</f>
        <v>2.7339536</v>
      </c>
      <c r="I41" s="235">
        <f>H41/10</f>
        <v>0.27339535999999998</v>
      </c>
      <c r="J41" s="235">
        <f t="shared" si="10"/>
        <v>1.9528239999999999E-2</v>
      </c>
      <c r="K41" s="235">
        <f t="shared" si="11"/>
        <v>1.9528239999999999E-2</v>
      </c>
      <c r="L41" s="235">
        <f t="shared" si="12"/>
        <v>1.21075088</v>
      </c>
      <c r="M41" s="249"/>
      <c r="N41" s="235"/>
      <c r="O41" s="207"/>
      <c r="Q41" s="128">
        <f>D49</f>
        <v>402.16666666666669</v>
      </c>
      <c r="R41" s="122">
        <f>M50</f>
        <v>0.7815528980952382</v>
      </c>
      <c r="S41" s="122">
        <f>O50</f>
        <v>9.5775149523808847E-2</v>
      </c>
      <c r="T41" s="122"/>
      <c r="U41" s="201"/>
      <c r="V41" s="201"/>
      <c r="W41" s="201"/>
    </row>
    <row r="42" spans="2:23" ht="15" customHeight="1">
      <c r="B42" s="168"/>
      <c r="C42" s="252"/>
      <c r="D42" s="248"/>
      <c r="E42" s="203"/>
      <c r="F42" s="120" t="s">
        <v>92</v>
      </c>
      <c r="G42" s="121">
        <v>0.53900000000000003</v>
      </c>
      <c r="H42" s="235">
        <f>5.7436*G42</f>
        <v>3.0958003999999999</v>
      </c>
      <c r="I42" s="235">
        <f t="shared" ref="I42:I46" si="17">H42/10</f>
        <v>0.30958004</v>
      </c>
      <c r="J42" s="235">
        <f t="shared" si="10"/>
        <v>2.2112860000000002E-2</v>
      </c>
      <c r="K42" s="235">
        <f t="shared" si="11"/>
        <v>2.2112860000000002E-2</v>
      </c>
      <c r="L42" s="235">
        <f t="shared" si="12"/>
        <v>1.3709973200000001</v>
      </c>
      <c r="M42" s="249">
        <f t="shared" si="13"/>
        <v>1.2908740999999999</v>
      </c>
      <c r="N42" s="235">
        <f t="shared" si="14"/>
        <v>0.11331134438500329</v>
      </c>
      <c r="O42" s="207">
        <f t="shared" si="15"/>
        <v>8.0123220000000051E-2</v>
      </c>
      <c r="Q42" s="128"/>
      <c r="R42" s="122"/>
      <c r="S42" s="122"/>
      <c r="T42" s="122"/>
      <c r="U42" s="201"/>
      <c r="V42" s="201"/>
      <c r="W42" s="201"/>
    </row>
    <row r="43" spans="2:23" ht="15" customHeight="1">
      <c r="B43" s="168" t="s">
        <v>25</v>
      </c>
      <c r="C43" s="252">
        <v>0.47916666666666669</v>
      </c>
      <c r="D43" s="248">
        <v>239.25</v>
      </c>
      <c r="E43" s="203">
        <v>10</v>
      </c>
      <c r="F43" s="120" t="s">
        <v>91</v>
      </c>
      <c r="G43" s="121">
        <v>0.47899999999999998</v>
      </c>
      <c r="H43" s="235">
        <f>5.7436*G43</f>
        <v>2.7511843999999996</v>
      </c>
      <c r="I43" s="235">
        <f t="shared" si="17"/>
        <v>0.27511843999999996</v>
      </c>
      <c r="J43" s="235">
        <f t="shared" si="10"/>
        <v>1.9651317142857141E-2</v>
      </c>
      <c r="K43" s="235">
        <f t="shared" si="11"/>
        <v>1.9651317142857141E-2</v>
      </c>
      <c r="L43" s="235">
        <f t="shared" si="12"/>
        <v>1.2183816628571427</v>
      </c>
      <c r="M43" s="249"/>
      <c r="N43" s="235"/>
      <c r="O43" s="207"/>
      <c r="Q43" s="128"/>
      <c r="R43" s="122"/>
      <c r="S43" s="122"/>
      <c r="T43" s="122"/>
      <c r="U43" s="201"/>
      <c r="V43" s="201"/>
      <c r="W43" s="201"/>
    </row>
    <row r="44" spans="2:23">
      <c r="B44" s="168"/>
      <c r="C44" s="252"/>
      <c r="D44" s="248"/>
      <c r="E44" s="203"/>
      <c r="F44" s="120" t="s">
        <v>92</v>
      </c>
      <c r="G44" s="121">
        <v>0.48899999999999999</v>
      </c>
      <c r="H44" s="235">
        <f>5.2957*G44</f>
        <v>2.5895972999999999</v>
      </c>
      <c r="I44" s="235">
        <f t="shared" si="17"/>
        <v>0.25895973</v>
      </c>
      <c r="J44" s="235">
        <f t="shared" si="10"/>
        <v>1.8497123571428572E-2</v>
      </c>
      <c r="K44" s="235">
        <f t="shared" si="11"/>
        <v>1.8497123571428572E-2</v>
      </c>
      <c r="L44" s="235">
        <f t="shared" si="12"/>
        <v>1.1468216614285716</v>
      </c>
      <c r="M44" s="249">
        <f t="shared" si="13"/>
        <v>1.182601662142857</v>
      </c>
      <c r="N44" s="235">
        <f t="shared" si="14"/>
        <v>5.060056227186166E-2</v>
      </c>
      <c r="O44" s="207">
        <f t="shared" si="15"/>
        <v>3.5780000714285554E-2</v>
      </c>
      <c r="Q44" s="94"/>
      <c r="R44" s="126"/>
      <c r="S44" s="255"/>
    </row>
    <row r="45" spans="2:23">
      <c r="B45" s="168" t="s">
        <v>26</v>
      </c>
      <c r="C45" s="252">
        <v>0.47916666666666669</v>
      </c>
      <c r="D45" s="248">
        <v>311.25</v>
      </c>
      <c r="E45" s="203">
        <v>13</v>
      </c>
      <c r="F45" s="120" t="s">
        <v>91</v>
      </c>
      <c r="G45" s="121">
        <v>0.38700000000000001</v>
      </c>
      <c r="H45" s="235">
        <f>5.2957*G45</f>
        <v>2.0494359000000002</v>
      </c>
      <c r="I45" s="235">
        <f t="shared" si="17"/>
        <v>0.20494359000000001</v>
      </c>
      <c r="J45" s="235">
        <f t="shared" si="10"/>
        <v>1.4638827857142859E-2</v>
      </c>
      <c r="K45" s="235">
        <f t="shared" si="11"/>
        <v>1.4638827857142859E-2</v>
      </c>
      <c r="L45" s="235">
        <f t="shared" si="12"/>
        <v>0.90760732714285719</v>
      </c>
      <c r="M45" s="249"/>
      <c r="N45" s="235"/>
      <c r="O45" s="207"/>
      <c r="Q45" s="128"/>
      <c r="R45" s="126"/>
      <c r="S45" s="255"/>
    </row>
    <row r="46" spans="2:23">
      <c r="B46" s="168"/>
      <c r="C46" s="252"/>
      <c r="D46" s="248"/>
      <c r="E46" s="203"/>
      <c r="F46" s="120" t="s">
        <v>92</v>
      </c>
      <c r="G46" s="121">
        <v>0.38900000000000001</v>
      </c>
      <c r="H46" s="235">
        <f>5.2957*G46</f>
        <v>2.0600273000000002</v>
      </c>
      <c r="I46" s="235">
        <f t="shared" si="17"/>
        <v>0.20600273000000002</v>
      </c>
      <c r="J46" s="235">
        <f t="shared" si="10"/>
        <v>1.4714480714285716E-2</v>
      </c>
      <c r="K46" s="235">
        <f t="shared" si="11"/>
        <v>1.4714480714285716E-2</v>
      </c>
      <c r="L46" s="235">
        <f t="shared" si="12"/>
        <v>0.91229780428571439</v>
      </c>
      <c r="M46" s="249">
        <f t="shared" si="13"/>
        <v>0.90995256571428573</v>
      </c>
      <c r="N46" s="235">
        <f t="shared" si="14"/>
        <v>3.3166681947148263E-3</v>
      </c>
      <c r="O46" s="207">
        <f t="shared" si="15"/>
        <v>2.3452385714285979E-3</v>
      </c>
      <c r="Q46" s="128"/>
      <c r="R46" s="126"/>
      <c r="S46" s="255"/>
    </row>
    <row r="47" spans="2:23">
      <c r="B47" s="168" t="s">
        <v>28</v>
      </c>
      <c r="C47" s="252">
        <v>0.47569444444444442</v>
      </c>
      <c r="D47" s="248">
        <v>359.16666666666669</v>
      </c>
      <c r="E47" s="203">
        <v>15</v>
      </c>
      <c r="F47" s="120" t="s">
        <v>91</v>
      </c>
      <c r="G47" s="121">
        <v>0.53700000000000003</v>
      </c>
      <c r="H47" s="235">
        <f>5.4029*G47</f>
        <v>2.9013572999999999</v>
      </c>
      <c r="I47" s="235">
        <f t="shared" ref="I47:I50" si="18">H47/15</f>
        <v>0.19342382</v>
      </c>
      <c r="J47" s="235">
        <f t="shared" si="10"/>
        <v>1.3815987142857143E-2</v>
      </c>
      <c r="K47" s="235">
        <f t="shared" si="11"/>
        <v>1.3815987142857143E-2</v>
      </c>
      <c r="L47" s="235">
        <f t="shared" si="12"/>
        <v>0.85659120285714285</v>
      </c>
      <c r="M47" s="249"/>
      <c r="N47" s="235"/>
      <c r="O47" s="207"/>
      <c r="Q47" s="243"/>
      <c r="R47" s="126"/>
      <c r="S47" s="255"/>
    </row>
    <row r="48" spans="2:23">
      <c r="B48" s="168"/>
      <c r="C48" s="252"/>
      <c r="D48" s="248"/>
      <c r="E48" s="203"/>
      <c r="F48" s="120" t="s">
        <v>92</v>
      </c>
      <c r="G48" s="121">
        <v>0.53</v>
      </c>
      <c r="H48" s="235">
        <f>5.4029*G48</f>
        <v>2.863537</v>
      </c>
      <c r="I48" s="235">
        <f t="shared" si="18"/>
        <v>0.19090246666666666</v>
      </c>
      <c r="J48" s="235">
        <f t="shared" si="10"/>
        <v>1.3635890476190475E-2</v>
      </c>
      <c r="K48" s="235">
        <f t="shared" si="11"/>
        <v>1.3635890476190475E-2</v>
      </c>
      <c r="L48" s="235">
        <f t="shared" si="12"/>
        <v>0.84542520952380951</v>
      </c>
      <c r="M48" s="249">
        <f t="shared" si="13"/>
        <v>0.85100820619047624</v>
      </c>
      <c r="N48" s="235">
        <f t="shared" si="14"/>
        <v>7.8955496046837909E-3</v>
      </c>
      <c r="O48" s="207">
        <f t="shared" si="15"/>
        <v>5.582996666666673E-3</v>
      </c>
      <c r="Q48" s="243"/>
      <c r="R48" s="126"/>
      <c r="S48" s="255"/>
    </row>
    <row r="49" spans="1:19">
      <c r="B49" s="129" t="s">
        <v>30</v>
      </c>
      <c r="C49" s="252">
        <v>0.27083333333333331</v>
      </c>
      <c r="D49" s="248">
        <v>402.16666666666669</v>
      </c>
      <c r="E49" s="203">
        <v>17</v>
      </c>
      <c r="F49" s="120" t="s">
        <v>91</v>
      </c>
      <c r="G49" s="121">
        <v>0.55000000000000004</v>
      </c>
      <c r="H49" s="235">
        <f>5.4029*G49</f>
        <v>2.9715950000000002</v>
      </c>
      <c r="I49" s="235">
        <f t="shared" si="18"/>
        <v>0.19810633333333336</v>
      </c>
      <c r="J49" s="235">
        <f t="shared" si="10"/>
        <v>1.4150452380952383E-2</v>
      </c>
      <c r="K49" s="235">
        <f t="shared" si="11"/>
        <v>1.4150452380952383E-2</v>
      </c>
      <c r="L49" s="235">
        <f t="shared" si="12"/>
        <v>0.87732804761904781</v>
      </c>
      <c r="M49" s="249"/>
      <c r="N49" s="235"/>
      <c r="O49" s="207"/>
      <c r="Q49" s="254"/>
      <c r="R49" s="126"/>
      <c r="S49" s="255"/>
    </row>
    <row r="50" spans="1:19" ht="14" thickBot="1">
      <c r="A50" s="73"/>
      <c r="B50" s="154"/>
      <c r="C50" s="171"/>
      <c r="D50" s="219"/>
      <c r="E50" s="220"/>
      <c r="F50" s="172" t="s">
        <v>92</v>
      </c>
      <c r="G50" s="173">
        <v>0.68400000000000005</v>
      </c>
      <c r="H50" s="174">
        <f>3.3959*G50</f>
        <v>2.3227956000000001</v>
      </c>
      <c r="I50" s="174">
        <f t="shared" si="18"/>
        <v>0.15485304</v>
      </c>
      <c r="J50" s="174">
        <f t="shared" si="10"/>
        <v>1.1060931428571428E-2</v>
      </c>
      <c r="K50" s="174">
        <f t="shared" si="11"/>
        <v>1.1060931428571428E-2</v>
      </c>
      <c r="L50" s="174">
        <f t="shared" si="12"/>
        <v>0.68577774857142848</v>
      </c>
      <c r="M50" s="221">
        <f t="shared" si="13"/>
        <v>0.7815528980952382</v>
      </c>
      <c r="N50" s="174">
        <f t="shared" si="14"/>
        <v>0.13544651539488156</v>
      </c>
      <c r="O50" s="222">
        <f t="shared" si="15"/>
        <v>9.5775149523808847E-2</v>
      </c>
      <c r="Q50" s="128"/>
      <c r="R50" s="122"/>
      <c r="S50" s="255"/>
    </row>
    <row r="51" spans="1:19">
      <c r="B51" s="236"/>
      <c r="C51" s="236"/>
      <c r="D51" s="236"/>
      <c r="E51" s="236"/>
      <c r="F51" s="236"/>
      <c r="G51" s="236"/>
      <c r="H51" s="236"/>
      <c r="I51" s="236"/>
      <c r="J51" s="236"/>
      <c r="K51" s="236"/>
      <c r="L51" s="236"/>
      <c r="M51" s="236"/>
      <c r="N51" s="236"/>
      <c r="O51" s="236"/>
    </row>
    <row r="52" spans="1:19"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</row>
    <row r="53" spans="1:19"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</row>
    <row r="54" spans="1:19"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</row>
    <row r="55" spans="1:19"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</row>
    <row r="56" spans="1:19"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</row>
    <row r="57" spans="1:19">
      <c r="B57" s="94"/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</row>
    <row r="58" spans="1:19"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</row>
    <row r="59" spans="1:19">
      <c r="B59" s="94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</row>
    <row r="60" spans="1:19">
      <c r="B60" s="94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</row>
    <row r="61" spans="1:19"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</row>
    <row r="62" spans="1:19"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</row>
    <row r="63" spans="1:19"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</row>
    <row r="64" spans="1:19">
      <c r="B64" s="94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</row>
    <row r="65" spans="2:15">
      <c r="B65" s="94"/>
      <c r="C65" s="94"/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</row>
    <row r="66" spans="2:15">
      <c r="B66" s="94"/>
      <c r="C66" s="94"/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</row>
    <row r="67" spans="2:15">
      <c r="B67" s="94"/>
      <c r="C67" s="94"/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</row>
    <row r="68" spans="2:15">
      <c r="B68" s="94"/>
      <c r="C68" s="94"/>
      <c r="D68" s="94"/>
      <c r="E68" s="94"/>
      <c r="F68" s="94"/>
      <c r="G68" s="94"/>
      <c r="H68" s="94"/>
      <c r="I68" s="94"/>
      <c r="J68" s="94"/>
      <c r="K68" s="94"/>
      <c r="L68" s="94"/>
      <c r="M68" s="94"/>
      <c r="N68" s="94"/>
      <c r="O68" s="94"/>
    </row>
    <row r="69" spans="2:15">
      <c r="B69" s="94"/>
      <c r="C69" s="94"/>
      <c r="D69" s="94"/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</row>
    <row r="70" spans="2:15">
      <c r="B70" s="94"/>
      <c r="C70" s="94"/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</row>
    <row r="71" spans="2:15">
      <c r="B71" s="94"/>
      <c r="C71" s="94"/>
      <c r="D71" s="94"/>
      <c r="E71" s="94"/>
      <c r="F71" s="94"/>
      <c r="G71" s="94"/>
      <c r="H71" s="94"/>
      <c r="I71" s="94"/>
      <c r="J71" s="94"/>
      <c r="K71" s="94"/>
      <c r="L71" s="94"/>
      <c r="M71" s="94"/>
      <c r="N71" s="94"/>
      <c r="O71" s="94"/>
    </row>
    <row r="72" spans="2:15">
      <c r="B72" s="94"/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</row>
    <row r="73" spans="2:15">
      <c r="B73" s="94"/>
      <c r="C73" s="94"/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</row>
    <row r="74" spans="2:15">
      <c r="B74" s="94"/>
      <c r="C74" s="94"/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</row>
    <row r="75" spans="2:15">
      <c r="B75" s="94"/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</row>
    <row r="76" spans="2:15"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94"/>
      <c r="M76" s="94"/>
      <c r="N76" s="94"/>
      <c r="O76" s="94"/>
    </row>
    <row r="77" spans="2:15">
      <c r="B77" s="94"/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</row>
    <row r="78" spans="2:15">
      <c r="B78" s="94"/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</row>
    <row r="79" spans="2:15"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</row>
    <row r="80" spans="2:15">
      <c r="B80" s="94"/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94"/>
    </row>
    <row r="81" spans="2:15"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</row>
    <row r="82" spans="2:15">
      <c r="B82" s="94"/>
      <c r="C82" s="94"/>
      <c r="D82" s="94"/>
      <c r="E82" s="94"/>
      <c r="F82" s="94"/>
      <c r="G82" s="94"/>
      <c r="H82" s="94"/>
      <c r="I82" s="94"/>
      <c r="J82" s="94"/>
      <c r="K82" s="94"/>
      <c r="L82" s="94"/>
      <c r="M82" s="94"/>
      <c r="N82" s="94"/>
      <c r="O82" s="94"/>
    </row>
    <row r="83" spans="2:15">
      <c r="B83" s="94"/>
      <c r="C83" s="94"/>
      <c r="D83" s="94"/>
      <c r="E83" s="94"/>
      <c r="F83" s="94"/>
      <c r="G83" s="94"/>
      <c r="H83" s="94"/>
      <c r="I83" s="94"/>
      <c r="J83" s="94"/>
      <c r="K83" s="94"/>
      <c r="L83" s="94"/>
      <c r="M83" s="94"/>
      <c r="N83" s="94"/>
      <c r="O83" s="94"/>
    </row>
    <row r="84" spans="2:15">
      <c r="B84" s="94"/>
      <c r="C84" s="94"/>
      <c r="D84" s="94"/>
      <c r="E84" s="94"/>
      <c r="F84" s="94"/>
      <c r="G84" s="94"/>
      <c r="H84" s="94"/>
      <c r="I84" s="94"/>
      <c r="J84" s="94"/>
      <c r="K84" s="94"/>
      <c r="L84" s="94"/>
      <c r="M84" s="94"/>
      <c r="N84" s="94"/>
      <c r="O84" s="94"/>
    </row>
    <row r="85" spans="2:15">
      <c r="B85" s="94"/>
      <c r="C85" s="94"/>
      <c r="D85" s="94"/>
      <c r="E85" s="94"/>
      <c r="F85" s="94"/>
      <c r="G85" s="94"/>
      <c r="H85" s="94"/>
      <c r="I85" s="94"/>
      <c r="J85" s="94"/>
      <c r="K85" s="94"/>
      <c r="L85" s="94"/>
      <c r="M85" s="94"/>
      <c r="N85" s="94"/>
      <c r="O85" s="94"/>
    </row>
    <row r="86" spans="2:15">
      <c r="B86" s="94"/>
      <c r="C86" s="94"/>
      <c r="D86" s="94"/>
      <c r="E86" s="94"/>
      <c r="F86" s="94"/>
      <c r="G86" s="94"/>
      <c r="H86" s="94"/>
      <c r="I86" s="94"/>
      <c r="J86" s="94"/>
      <c r="K86" s="94"/>
      <c r="L86" s="94"/>
      <c r="M86" s="94"/>
      <c r="N86" s="94"/>
      <c r="O86" s="94"/>
    </row>
    <row r="87" spans="2:15">
      <c r="B87" s="94"/>
      <c r="C87" s="94"/>
      <c r="D87" s="94"/>
      <c r="E87" s="94"/>
      <c r="F87" s="94"/>
      <c r="G87" s="94"/>
      <c r="H87" s="94"/>
      <c r="I87" s="94"/>
      <c r="J87" s="94"/>
      <c r="K87" s="94"/>
      <c r="L87" s="94"/>
      <c r="M87" s="94"/>
      <c r="N87" s="94"/>
      <c r="O87" s="94"/>
    </row>
    <row r="88" spans="2:15">
      <c r="B88" s="94"/>
      <c r="C88" s="94"/>
      <c r="D88" s="94"/>
      <c r="E88" s="94"/>
      <c r="F88" s="94"/>
      <c r="G88" s="94"/>
      <c r="H88" s="94"/>
      <c r="I88" s="94"/>
      <c r="J88" s="94"/>
      <c r="K88" s="94"/>
      <c r="L88" s="94"/>
      <c r="M88" s="94"/>
      <c r="N88" s="94"/>
      <c r="O88" s="94"/>
    </row>
    <row r="89" spans="2:15">
      <c r="B89" s="94"/>
      <c r="C89" s="94"/>
      <c r="D89" s="94"/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94"/>
    </row>
    <row r="90" spans="2:15">
      <c r="B90" s="94"/>
      <c r="C90" s="94"/>
      <c r="D90" s="94"/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94"/>
    </row>
    <row r="91" spans="2:15">
      <c r="B91" s="94"/>
      <c r="C91" s="94"/>
      <c r="D91" s="94"/>
      <c r="E91" s="94"/>
      <c r="F91" s="94"/>
      <c r="G91" s="94"/>
      <c r="H91" s="94"/>
      <c r="I91" s="94"/>
      <c r="J91" s="94"/>
      <c r="K91" s="94"/>
      <c r="L91" s="94"/>
      <c r="M91" s="94"/>
      <c r="N91" s="94"/>
      <c r="O91" s="94"/>
    </row>
    <row r="92" spans="2:15">
      <c r="B92" s="94"/>
      <c r="C92" s="94"/>
      <c r="D92" s="94"/>
      <c r="E92" s="94"/>
      <c r="F92" s="94"/>
      <c r="G92" s="94"/>
      <c r="H92" s="94"/>
      <c r="I92" s="94"/>
      <c r="J92" s="94"/>
      <c r="K92" s="94"/>
      <c r="L92" s="94"/>
      <c r="M92" s="94"/>
      <c r="N92" s="94"/>
      <c r="O92" s="94"/>
    </row>
    <row r="93" spans="2:15">
      <c r="B93" s="94"/>
      <c r="C93" s="94"/>
      <c r="D93" s="94"/>
      <c r="E93" s="94"/>
      <c r="F93" s="94"/>
      <c r="G93" s="94"/>
      <c r="H93" s="94"/>
      <c r="I93" s="94"/>
      <c r="J93" s="94"/>
      <c r="K93" s="94"/>
      <c r="L93" s="94"/>
      <c r="M93" s="94"/>
      <c r="N93" s="94"/>
      <c r="O93" s="94"/>
    </row>
    <row r="94" spans="2:15">
      <c r="B94" s="94"/>
      <c r="C94" s="94"/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</row>
    <row r="95" spans="2:15">
      <c r="B95" s="94"/>
      <c r="C95" s="94"/>
      <c r="D95" s="94"/>
      <c r="E95" s="94"/>
      <c r="F95" s="94"/>
      <c r="G95" s="94"/>
      <c r="H95" s="94"/>
      <c r="I95" s="94"/>
      <c r="J95" s="94"/>
      <c r="K95" s="94"/>
      <c r="L95" s="94"/>
      <c r="M95" s="94"/>
      <c r="N95" s="94"/>
      <c r="O95" s="94"/>
    </row>
    <row r="96" spans="2:15">
      <c r="B96" s="94"/>
      <c r="C96" s="94"/>
      <c r="D96" s="94"/>
      <c r="E96" s="94"/>
      <c r="F96" s="94"/>
      <c r="G96" s="94"/>
      <c r="H96" s="94"/>
      <c r="I96" s="94"/>
      <c r="J96" s="94"/>
      <c r="K96" s="94"/>
      <c r="L96" s="94"/>
      <c r="M96" s="94"/>
      <c r="N96" s="94"/>
      <c r="O96" s="94"/>
    </row>
    <row r="97" spans="2:15">
      <c r="B97" s="94"/>
      <c r="C97" s="94"/>
      <c r="D97" s="94"/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94"/>
    </row>
    <row r="98" spans="2:15">
      <c r="B98" s="94"/>
      <c r="C98" s="94"/>
      <c r="D98" s="94"/>
      <c r="E98" s="94"/>
      <c r="F98" s="94"/>
      <c r="G98" s="94"/>
      <c r="H98" s="94"/>
      <c r="I98" s="94"/>
      <c r="J98" s="94"/>
      <c r="K98" s="94"/>
      <c r="L98" s="94"/>
      <c r="M98" s="94"/>
      <c r="N98" s="94"/>
      <c r="O98" s="94"/>
    </row>
    <row r="99" spans="2:15">
      <c r="B99" s="94"/>
      <c r="C99" s="94"/>
      <c r="D99" s="94"/>
      <c r="E99" s="94"/>
      <c r="F99" s="94"/>
      <c r="G99" s="94"/>
      <c r="H99" s="94"/>
      <c r="I99" s="94"/>
      <c r="J99" s="94"/>
      <c r="K99" s="94"/>
      <c r="L99" s="94"/>
      <c r="M99" s="94"/>
      <c r="N99" s="94"/>
      <c r="O99" s="94"/>
    </row>
    <row r="100" spans="2:15">
      <c r="B100" s="94"/>
      <c r="C100" s="94"/>
      <c r="D100" s="94"/>
      <c r="E100" s="94"/>
      <c r="F100" s="94"/>
      <c r="G100" s="94"/>
      <c r="H100" s="94"/>
      <c r="I100" s="94"/>
      <c r="J100" s="94"/>
      <c r="K100" s="94"/>
      <c r="L100" s="94"/>
      <c r="M100" s="94"/>
      <c r="N100" s="94"/>
      <c r="O100" s="94"/>
    </row>
    <row r="101" spans="2:15">
      <c r="B101" s="94"/>
      <c r="C101" s="94"/>
      <c r="D101" s="94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</row>
    <row r="102" spans="2:15">
      <c r="B102" s="94"/>
      <c r="C102" s="94"/>
      <c r="D102" s="94"/>
      <c r="E102" s="94"/>
      <c r="F102" s="94"/>
      <c r="G102" s="94"/>
      <c r="H102" s="94"/>
      <c r="I102" s="94"/>
      <c r="J102" s="94"/>
      <c r="K102" s="94"/>
      <c r="L102" s="94"/>
      <c r="M102" s="94"/>
      <c r="N102" s="94"/>
      <c r="O102" s="94"/>
    </row>
    <row r="103" spans="2:15">
      <c r="B103" s="94"/>
      <c r="C103" s="94"/>
      <c r="D103" s="94"/>
      <c r="E103" s="94"/>
      <c r="F103" s="94"/>
      <c r="G103" s="94"/>
      <c r="H103" s="94"/>
      <c r="I103" s="94"/>
      <c r="J103" s="94"/>
      <c r="K103" s="94"/>
      <c r="L103" s="94"/>
      <c r="M103" s="94"/>
      <c r="N103" s="94"/>
      <c r="O103" s="94"/>
    </row>
    <row r="104" spans="2:15">
      <c r="B104" s="94"/>
      <c r="C104" s="94"/>
      <c r="D104" s="94"/>
      <c r="E104" s="94"/>
      <c r="F104" s="94"/>
      <c r="G104" s="94"/>
      <c r="H104" s="94"/>
      <c r="I104" s="94"/>
      <c r="J104" s="94"/>
      <c r="K104" s="94"/>
      <c r="L104" s="94"/>
      <c r="M104" s="94"/>
      <c r="N104" s="94"/>
      <c r="O104" s="94"/>
    </row>
    <row r="105" spans="2:15">
      <c r="B105" s="94"/>
      <c r="C105" s="94"/>
      <c r="D105" s="94"/>
      <c r="E105" s="94"/>
      <c r="F105" s="94"/>
      <c r="G105" s="94"/>
      <c r="H105" s="94"/>
      <c r="I105" s="94"/>
      <c r="J105" s="94"/>
      <c r="K105" s="94"/>
      <c r="L105" s="94"/>
      <c r="M105" s="94"/>
      <c r="N105" s="94"/>
      <c r="O105" s="94"/>
    </row>
    <row r="106" spans="2:15">
      <c r="B106" s="94"/>
      <c r="C106" s="94"/>
      <c r="D106" s="94"/>
      <c r="E106" s="94"/>
      <c r="F106" s="94"/>
      <c r="G106" s="94"/>
      <c r="H106" s="94"/>
      <c r="I106" s="94"/>
      <c r="J106" s="94"/>
      <c r="K106" s="94"/>
      <c r="L106" s="94"/>
      <c r="M106" s="94"/>
      <c r="N106" s="94"/>
      <c r="O106" s="94"/>
    </row>
    <row r="107" spans="2:15">
      <c r="B107" s="94"/>
      <c r="C107" s="94"/>
      <c r="D107" s="94"/>
      <c r="E107" s="94"/>
      <c r="F107" s="94"/>
      <c r="G107" s="94"/>
      <c r="H107" s="94"/>
      <c r="I107" s="94"/>
      <c r="J107" s="94"/>
      <c r="K107" s="94"/>
      <c r="L107" s="94"/>
      <c r="M107" s="94"/>
      <c r="N107" s="94"/>
      <c r="O107" s="94"/>
    </row>
    <row r="108" spans="2:15">
      <c r="B108" s="94"/>
      <c r="C108" s="94"/>
      <c r="D108" s="94"/>
      <c r="E108" s="94"/>
      <c r="F108" s="94"/>
      <c r="G108" s="94"/>
      <c r="H108" s="94"/>
      <c r="I108" s="94"/>
      <c r="J108" s="94"/>
      <c r="K108" s="94"/>
      <c r="L108" s="94"/>
      <c r="M108" s="94"/>
      <c r="N108" s="94"/>
      <c r="O108" s="94"/>
    </row>
    <row r="109" spans="2:15">
      <c r="B109" s="94"/>
      <c r="C109" s="94"/>
      <c r="D109" s="94"/>
      <c r="E109" s="94"/>
      <c r="F109" s="94"/>
      <c r="G109" s="94"/>
      <c r="H109" s="94"/>
      <c r="I109" s="94"/>
      <c r="J109" s="94"/>
      <c r="K109" s="94"/>
      <c r="L109" s="94"/>
      <c r="M109" s="94"/>
      <c r="N109" s="94"/>
      <c r="O109" s="94"/>
    </row>
    <row r="110" spans="2:15">
      <c r="B110" s="94"/>
      <c r="C110" s="94"/>
      <c r="D110" s="94"/>
      <c r="E110" s="94"/>
      <c r="F110" s="94"/>
      <c r="G110" s="94"/>
      <c r="H110" s="94"/>
      <c r="I110" s="94"/>
      <c r="J110" s="94"/>
      <c r="K110" s="94"/>
      <c r="L110" s="94"/>
      <c r="M110" s="94"/>
      <c r="N110" s="94"/>
      <c r="O110" s="94"/>
    </row>
    <row r="111" spans="2:15">
      <c r="B111" s="94"/>
      <c r="C111" s="94"/>
      <c r="D111" s="94"/>
      <c r="E111" s="94"/>
      <c r="F111" s="94"/>
      <c r="G111" s="94"/>
      <c r="H111" s="94"/>
      <c r="I111" s="94"/>
      <c r="J111" s="94"/>
      <c r="K111" s="94"/>
      <c r="L111" s="94"/>
      <c r="M111" s="94"/>
      <c r="N111" s="94"/>
      <c r="O111" s="94"/>
    </row>
    <row r="112" spans="2:15">
      <c r="B112" s="94"/>
      <c r="C112" s="94"/>
      <c r="D112" s="94"/>
      <c r="E112" s="94"/>
      <c r="F112" s="94"/>
      <c r="G112" s="94"/>
      <c r="H112" s="94"/>
      <c r="I112" s="94"/>
      <c r="J112" s="94"/>
      <c r="K112" s="94"/>
      <c r="L112" s="94"/>
      <c r="M112" s="94"/>
      <c r="N112" s="94"/>
      <c r="O112" s="94"/>
    </row>
    <row r="113" spans="2:15">
      <c r="B113" s="94"/>
      <c r="C113" s="94"/>
      <c r="D113" s="94"/>
      <c r="E113" s="94"/>
      <c r="F113" s="94"/>
      <c r="G113" s="94"/>
      <c r="H113" s="94"/>
      <c r="I113" s="94"/>
      <c r="J113" s="94"/>
      <c r="K113" s="94"/>
      <c r="L113" s="94"/>
      <c r="M113" s="94"/>
      <c r="N113" s="94"/>
      <c r="O113" s="94"/>
    </row>
    <row r="114" spans="2:15">
      <c r="B114" s="94"/>
      <c r="C114" s="94"/>
      <c r="D114" s="94"/>
      <c r="E114" s="94"/>
      <c r="F114" s="94"/>
      <c r="G114" s="94"/>
      <c r="H114" s="94"/>
      <c r="I114" s="94"/>
      <c r="J114" s="94"/>
      <c r="K114" s="94"/>
      <c r="L114" s="94"/>
      <c r="M114" s="94"/>
      <c r="N114" s="94"/>
      <c r="O114" s="94"/>
    </row>
    <row r="115" spans="2:15">
      <c r="B115" s="94"/>
      <c r="C115" s="94"/>
      <c r="D115" s="94"/>
      <c r="E115" s="94"/>
      <c r="F115" s="94"/>
      <c r="G115" s="94"/>
      <c r="H115" s="94"/>
      <c r="I115" s="94"/>
      <c r="J115" s="94"/>
      <c r="K115" s="94"/>
      <c r="L115" s="94"/>
      <c r="M115" s="94"/>
      <c r="N115" s="94"/>
      <c r="O115" s="94"/>
    </row>
    <row r="116" spans="2:15">
      <c r="B116" s="94"/>
      <c r="C116" s="94"/>
      <c r="D116" s="94"/>
      <c r="E116" s="94"/>
      <c r="F116" s="94"/>
      <c r="G116" s="94"/>
      <c r="H116" s="94"/>
      <c r="I116" s="94"/>
      <c r="J116" s="94"/>
      <c r="K116" s="94"/>
      <c r="L116" s="94"/>
      <c r="M116" s="94"/>
      <c r="N116" s="94"/>
      <c r="O116" s="94"/>
    </row>
    <row r="117" spans="2:15">
      <c r="B117" s="94"/>
      <c r="C117" s="94"/>
      <c r="D117" s="94"/>
      <c r="E117" s="94"/>
      <c r="F117" s="94"/>
      <c r="G117" s="94"/>
      <c r="H117" s="94"/>
      <c r="I117" s="94"/>
      <c r="J117" s="94"/>
      <c r="K117" s="94"/>
      <c r="L117" s="94"/>
      <c r="M117" s="94"/>
      <c r="N117" s="94"/>
      <c r="O117" s="94"/>
    </row>
    <row r="118" spans="2:15">
      <c r="B118" s="94"/>
      <c r="C118" s="94"/>
      <c r="D118" s="94"/>
      <c r="E118" s="94"/>
      <c r="F118" s="94"/>
      <c r="G118" s="94"/>
      <c r="H118" s="94"/>
      <c r="I118" s="94"/>
      <c r="J118" s="94"/>
      <c r="K118" s="94"/>
      <c r="L118" s="94"/>
      <c r="M118" s="94"/>
      <c r="N118" s="94"/>
      <c r="O118" s="94"/>
    </row>
    <row r="119" spans="2:15">
      <c r="B119" s="94"/>
      <c r="C119" s="94"/>
      <c r="D119" s="94"/>
      <c r="E119" s="94"/>
      <c r="F119" s="94"/>
      <c r="G119" s="94"/>
      <c r="H119" s="94"/>
      <c r="I119" s="94"/>
      <c r="J119" s="94"/>
      <c r="K119" s="94"/>
      <c r="L119" s="94"/>
      <c r="M119" s="94"/>
      <c r="N119" s="94"/>
      <c r="O119" s="94"/>
    </row>
    <row r="120" spans="2:15">
      <c r="B120" s="94"/>
      <c r="C120" s="94"/>
      <c r="D120" s="94"/>
      <c r="E120" s="94"/>
      <c r="F120" s="94"/>
      <c r="G120" s="94"/>
      <c r="H120" s="94"/>
      <c r="I120" s="94"/>
      <c r="J120" s="94"/>
      <c r="K120" s="94"/>
      <c r="L120" s="94"/>
      <c r="M120" s="94"/>
      <c r="N120" s="94"/>
      <c r="O120" s="94"/>
    </row>
    <row r="121" spans="2:15">
      <c r="B121" s="94"/>
      <c r="C121" s="94"/>
      <c r="D121" s="94"/>
      <c r="E121" s="94"/>
      <c r="F121" s="94"/>
      <c r="G121" s="94"/>
      <c r="H121" s="94"/>
      <c r="I121" s="94"/>
      <c r="J121" s="94"/>
      <c r="K121" s="94"/>
      <c r="L121" s="94"/>
      <c r="M121" s="94"/>
      <c r="N121" s="94"/>
      <c r="O121" s="94"/>
    </row>
    <row r="122" spans="2:15">
      <c r="B122" s="94"/>
      <c r="C122" s="94"/>
      <c r="D122" s="94"/>
      <c r="E122" s="94"/>
      <c r="F122" s="94"/>
      <c r="G122" s="94"/>
      <c r="H122" s="94"/>
      <c r="I122" s="94"/>
      <c r="J122" s="94"/>
      <c r="K122" s="94"/>
      <c r="L122" s="94"/>
      <c r="M122" s="94"/>
      <c r="N122" s="94"/>
      <c r="O122" s="94"/>
    </row>
    <row r="123" spans="2:15">
      <c r="B123" s="94"/>
      <c r="C123" s="94"/>
      <c r="D123" s="94"/>
      <c r="E123" s="94"/>
      <c r="F123" s="94"/>
      <c r="G123" s="94"/>
      <c r="H123" s="94"/>
      <c r="I123" s="94"/>
      <c r="J123" s="94"/>
      <c r="K123" s="94"/>
      <c r="L123" s="94"/>
      <c r="M123" s="94"/>
      <c r="N123" s="94"/>
      <c r="O123" s="94"/>
    </row>
    <row r="124" spans="2:15">
      <c r="B124" s="94"/>
      <c r="C124" s="94"/>
      <c r="D124" s="94"/>
      <c r="E124" s="94"/>
      <c r="F124" s="94"/>
      <c r="G124" s="94"/>
      <c r="H124" s="94"/>
      <c r="I124" s="94"/>
      <c r="J124" s="94"/>
      <c r="K124" s="94"/>
      <c r="L124" s="94"/>
      <c r="M124" s="94"/>
      <c r="N124" s="94"/>
      <c r="O124" s="94"/>
    </row>
    <row r="125" spans="2:15">
      <c r="B125" s="94"/>
      <c r="C125" s="94"/>
      <c r="D125" s="94"/>
      <c r="E125" s="94"/>
      <c r="F125" s="94"/>
      <c r="G125" s="94"/>
      <c r="H125" s="94"/>
      <c r="I125" s="94"/>
      <c r="J125" s="94"/>
      <c r="K125" s="94"/>
      <c r="L125" s="94"/>
      <c r="M125" s="94"/>
      <c r="N125" s="94"/>
      <c r="O125" s="94"/>
    </row>
    <row r="126" spans="2:15">
      <c r="B126" s="94"/>
      <c r="C126" s="94"/>
      <c r="D126" s="94"/>
      <c r="E126" s="94"/>
      <c r="F126" s="94"/>
      <c r="G126" s="94"/>
      <c r="H126" s="94"/>
      <c r="I126" s="94"/>
      <c r="J126" s="94"/>
      <c r="K126" s="94"/>
      <c r="L126" s="94"/>
      <c r="M126" s="94"/>
      <c r="N126" s="94"/>
      <c r="O126" s="94"/>
    </row>
    <row r="127" spans="2:15">
      <c r="B127" s="94"/>
      <c r="C127" s="94"/>
      <c r="D127" s="94"/>
      <c r="E127" s="94"/>
      <c r="F127" s="94"/>
      <c r="G127" s="94"/>
      <c r="H127" s="94"/>
      <c r="I127" s="94"/>
      <c r="J127" s="94"/>
      <c r="K127" s="94"/>
      <c r="L127" s="94"/>
      <c r="M127" s="94"/>
      <c r="N127" s="94"/>
      <c r="O127" s="94"/>
    </row>
    <row r="128" spans="2:15">
      <c r="B128" s="94"/>
      <c r="C128" s="94"/>
      <c r="D128" s="94"/>
      <c r="E128" s="94"/>
      <c r="F128" s="94"/>
      <c r="G128" s="94"/>
      <c r="H128" s="94"/>
      <c r="I128" s="94"/>
      <c r="J128" s="94"/>
      <c r="K128" s="94"/>
      <c r="L128" s="94"/>
      <c r="M128" s="94"/>
      <c r="N128" s="94"/>
      <c r="O128" s="94"/>
    </row>
    <row r="129" spans="2:15">
      <c r="B129" s="94"/>
      <c r="C129" s="94"/>
      <c r="D129" s="94"/>
      <c r="E129" s="94"/>
      <c r="F129" s="94"/>
      <c r="G129" s="94"/>
      <c r="H129" s="94"/>
      <c r="I129" s="94"/>
      <c r="J129" s="94"/>
      <c r="K129" s="94"/>
      <c r="L129" s="94"/>
      <c r="M129" s="94"/>
      <c r="N129" s="94"/>
      <c r="O129" s="94"/>
    </row>
    <row r="130" spans="2:15">
      <c r="B130" s="94"/>
      <c r="C130" s="94"/>
      <c r="D130" s="94"/>
      <c r="E130" s="94"/>
      <c r="F130" s="94"/>
      <c r="G130" s="94"/>
      <c r="H130" s="94"/>
      <c r="I130" s="94"/>
      <c r="J130" s="94"/>
      <c r="K130" s="94"/>
      <c r="L130" s="94"/>
      <c r="M130" s="94"/>
      <c r="N130" s="94"/>
      <c r="O130" s="94"/>
    </row>
    <row r="131" spans="2:15">
      <c r="B131" s="94"/>
      <c r="C131" s="94"/>
      <c r="D131" s="94"/>
      <c r="E131" s="94"/>
      <c r="F131" s="94"/>
      <c r="G131" s="94"/>
      <c r="H131" s="94"/>
      <c r="I131" s="94"/>
      <c r="J131" s="94"/>
      <c r="K131" s="94"/>
      <c r="L131" s="94"/>
      <c r="M131" s="94"/>
      <c r="N131" s="94"/>
      <c r="O131" s="94"/>
    </row>
    <row r="132" spans="2:15">
      <c r="B132" s="94"/>
      <c r="C132" s="94"/>
      <c r="D132" s="94"/>
      <c r="E132" s="94"/>
      <c r="F132" s="94"/>
      <c r="G132" s="94"/>
      <c r="H132" s="94"/>
      <c r="I132" s="94"/>
      <c r="J132" s="94"/>
      <c r="K132" s="94"/>
      <c r="L132" s="94"/>
      <c r="M132" s="94"/>
      <c r="N132" s="94"/>
      <c r="O132" s="94"/>
    </row>
    <row r="133" spans="2:15">
      <c r="B133" s="94"/>
      <c r="C133" s="94"/>
      <c r="D133" s="94"/>
      <c r="E133" s="94"/>
      <c r="F133" s="94"/>
      <c r="G133" s="94"/>
      <c r="H133" s="94"/>
      <c r="I133" s="94"/>
      <c r="J133" s="94"/>
      <c r="K133" s="94"/>
      <c r="L133" s="94"/>
      <c r="M133" s="94"/>
      <c r="N133" s="94"/>
      <c r="O133" s="94"/>
    </row>
    <row r="134" spans="2:15">
      <c r="B134" s="94"/>
      <c r="C134" s="94"/>
      <c r="D134" s="94"/>
      <c r="E134" s="94"/>
      <c r="F134" s="94"/>
      <c r="G134" s="94"/>
      <c r="H134" s="94"/>
      <c r="I134" s="94"/>
      <c r="J134" s="94"/>
      <c r="K134" s="94"/>
      <c r="L134" s="94"/>
      <c r="M134" s="94"/>
      <c r="N134" s="94"/>
      <c r="O134" s="94"/>
    </row>
    <row r="135" spans="2:15">
      <c r="B135" s="94"/>
      <c r="C135" s="94"/>
      <c r="D135" s="94"/>
      <c r="E135" s="94"/>
      <c r="F135" s="94"/>
      <c r="G135" s="94"/>
      <c r="H135" s="94"/>
      <c r="I135" s="94"/>
      <c r="J135" s="94"/>
      <c r="K135" s="94"/>
      <c r="L135" s="94"/>
      <c r="M135" s="94"/>
      <c r="N135" s="94"/>
      <c r="O135" s="94"/>
    </row>
    <row r="136" spans="2:15">
      <c r="B136" s="94"/>
      <c r="C136" s="94"/>
      <c r="D136" s="94"/>
      <c r="E136" s="94"/>
      <c r="F136" s="94"/>
      <c r="G136" s="94"/>
      <c r="H136" s="94"/>
      <c r="I136" s="94"/>
      <c r="J136" s="94"/>
      <c r="K136" s="94"/>
      <c r="L136" s="94"/>
      <c r="M136" s="94"/>
      <c r="N136" s="94"/>
      <c r="O136" s="94"/>
    </row>
    <row r="137" spans="2:15">
      <c r="B137" s="94"/>
      <c r="C137" s="94"/>
      <c r="D137" s="94"/>
      <c r="E137" s="94"/>
      <c r="F137" s="94"/>
      <c r="G137" s="94"/>
      <c r="H137" s="94"/>
      <c r="I137" s="94"/>
      <c r="J137" s="94"/>
      <c r="K137" s="94"/>
      <c r="L137" s="94"/>
      <c r="M137" s="94"/>
      <c r="N137" s="94"/>
      <c r="O137" s="94"/>
    </row>
    <row r="138" spans="2:15">
      <c r="B138" s="94"/>
      <c r="C138" s="94"/>
      <c r="D138" s="94"/>
      <c r="E138" s="94"/>
      <c r="F138" s="94"/>
      <c r="G138" s="94"/>
      <c r="H138" s="94"/>
      <c r="I138" s="94"/>
      <c r="J138" s="94"/>
      <c r="K138" s="94"/>
      <c r="L138" s="94"/>
      <c r="M138" s="94"/>
      <c r="N138" s="94"/>
      <c r="O138" s="94"/>
    </row>
    <row r="139" spans="2:15">
      <c r="B139" s="94"/>
      <c r="C139" s="94"/>
      <c r="D139" s="94"/>
      <c r="E139" s="94"/>
      <c r="F139" s="94"/>
      <c r="G139" s="94"/>
      <c r="H139" s="94"/>
      <c r="I139" s="94"/>
      <c r="J139" s="94"/>
      <c r="K139" s="94"/>
      <c r="L139" s="94"/>
      <c r="M139" s="94"/>
      <c r="N139" s="94"/>
      <c r="O139" s="94"/>
    </row>
    <row r="140" spans="2:15">
      <c r="B140" s="94"/>
      <c r="C140" s="94"/>
      <c r="D140" s="94"/>
      <c r="E140" s="94"/>
      <c r="F140" s="94"/>
      <c r="G140" s="94"/>
      <c r="H140" s="94"/>
      <c r="I140" s="94"/>
      <c r="J140" s="94"/>
      <c r="K140" s="94"/>
      <c r="L140" s="94"/>
      <c r="M140" s="94"/>
      <c r="N140" s="94"/>
      <c r="O140" s="94"/>
    </row>
    <row r="141" spans="2:15">
      <c r="B141" s="94"/>
      <c r="C141" s="94"/>
      <c r="D141" s="94"/>
      <c r="E141" s="94"/>
      <c r="F141" s="94"/>
      <c r="G141" s="94"/>
      <c r="H141" s="94"/>
      <c r="I141" s="94"/>
      <c r="J141" s="94"/>
      <c r="K141" s="94"/>
      <c r="L141" s="94"/>
      <c r="M141" s="94"/>
      <c r="N141" s="94"/>
      <c r="O141" s="94"/>
    </row>
    <row r="142" spans="2:15">
      <c r="B142" s="94"/>
      <c r="C142" s="94"/>
      <c r="D142" s="94"/>
      <c r="E142" s="94"/>
      <c r="F142" s="94"/>
      <c r="G142" s="94"/>
      <c r="H142" s="94"/>
      <c r="I142" s="94"/>
      <c r="J142" s="94"/>
      <c r="K142" s="94"/>
      <c r="L142" s="94"/>
      <c r="M142" s="94"/>
      <c r="N142" s="94"/>
      <c r="O142" s="94"/>
    </row>
    <row r="143" spans="2:15">
      <c r="B143" s="94"/>
      <c r="C143" s="94"/>
      <c r="D143" s="94"/>
      <c r="E143" s="94"/>
      <c r="F143" s="94"/>
      <c r="G143" s="94"/>
      <c r="H143" s="94"/>
      <c r="I143" s="94"/>
      <c r="J143" s="94"/>
      <c r="K143" s="94"/>
      <c r="L143" s="94"/>
      <c r="M143" s="94"/>
      <c r="N143" s="94"/>
      <c r="O143" s="94"/>
    </row>
    <row r="144" spans="2:15">
      <c r="B144" s="94"/>
      <c r="C144" s="94"/>
      <c r="D144" s="94"/>
      <c r="E144" s="94"/>
      <c r="F144" s="94"/>
      <c r="G144" s="94"/>
      <c r="H144" s="94"/>
      <c r="I144" s="94"/>
      <c r="J144" s="94"/>
      <c r="K144" s="94"/>
      <c r="L144" s="94"/>
      <c r="M144" s="94"/>
      <c r="N144" s="94"/>
      <c r="O144" s="94"/>
    </row>
    <row r="145" spans="2:15">
      <c r="B145" s="94"/>
      <c r="C145" s="94"/>
      <c r="D145" s="94"/>
      <c r="E145" s="94"/>
      <c r="F145" s="94"/>
      <c r="G145" s="94"/>
      <c r="H145" s="94"/>
      <c r="I145" s="94"/>
      <c r="J145" s="94"/>
      <c r="K145" s="94"/>
      <c r="L145" s="94"/>
      <c r="M145" s="94"/>
      <c r="N145" s="94"/>
      <c r="O145" s="94"/>
    </row>
    <row r="146" spans="2:15">
      <c r="B146" s="94"/>
      <c r="C146" s="94"/>
      <c r="D146" s="94"/>
      <c r="E146" s="94"/>
      <c r="F146" s="94"/>
      <c r="G146" s="94"/>
      <c r="H146" s="94"/>
      <c r="I146" s="94"/>
      <c r="J146" s="94"/>
      <c r="K146" s="94"/>
      <c r="L146" s="94"/>
      <c r="M146" s="94"/>
      <c r="N146" s="94"/>
      <c r="O146" s="94"/>
    </row>
    <row r="147" spans="2:15">
      <c r="B147" s="94"/>
      <c r="C147" s="94"/>
      <c r="D147" s="94"/>
      <c r="E147" s="94"/>
      <c r="F147" s="94"/>
      <c r="G147" s="94"/>
      <c r="H147" s="94"/>
      <c r="I147" s="94"/>
      <c r="J147" s="94"/>
      <c r="K147" s="94"/>
      <c r="L147" s="94"/>
      <c r="M147" s="94"/>
      <c r="N147" s="94"/>
      <c r="O147" s="94"/>
    </row>
    <row r="148" spans="2:15">
      <c r="B148" s="94"/>
      <c r="C148" s="94"/>
      <c r="D148" s="94"/>
      <c r="E148" s="94"/>
      <c r="F148" s="94"/>
      <c r="G148" s="94"/>
      <c r="H148" s="94"/>
      <c r="I148" s="94"/>
      <c r="J148" s="94"/>
      <c r="K148" s="94"/>
      <c r="L148" s="94"/>
      <c r="M148" s="94"/>
      <c r="N148" s="94"/>
      <c r="O148" s="94"/>
    </row>
    <row r="149" spans="2:15">
      <c r="B149" s="94"/>
      <c r="C149" s="94"/>
      <c r="D149" s="94"/>
      <c r="E149" s="94"/>
      <c r="F149" s="94"/>
      <c r="G149" s="94"/>
      <c r="H149" s="94"/>
      <c r="I149" s="94"/>
      <c r="J149" s="94"/>
      <c r="K149" s="94"/>
      <c r="L149" s="94"/>
      <c r="M149" s="94"/>
      <c r="N149" s="94"/>
      <c r="O149" s="94"/>
    </row>
    <row r="150" spans="2:15">
      <c r="B150" s="94"/>
      <c r="C150" s="94"/>
      <c r="D150" s="94"/>
      <c r="E150" s="94"/>
      <c r="F150" s="94"/>
      <c r="G150" s="94"/>
      <c r="H150" s="94"/>
      <c r="I150" s="94"/>
      <c r="J150" s="94"/>
      <c r="K150" s="94"/>
      <c r="L150" s="94"/>
      <c r="M150" s="94"/>
      <c r="N150" s="94"/>
      <c r="O150" s="94"/>
    </row>
    <row r="151" spans="2:15">
      <c r="B151" s="94"/>
      <c r="C151" s="94"/>
      <c r="D151" s="94"/>
      <c r="E151" s="94"/>
      <c r="F151" s="94"/>
      <c r="G151" s="94"/>
      <c r="H151" s="94"/>
      <c r="I151" s="94"/>
      <c r="J151" s="94"/>
      <c r="K151" s="94"/>
      <c r="L151" s="94"/>
      <c r="M151" s="94"/>
      <c r="N151" s="94"/>
      <c r="O151" s="94"/>
    </row>
    <row r="152" spans="2:15">
      <c r="B152" s="94"/>
      <c r="C152" s="94"/>
      <c r="D152" s="94"/>
      <c r="E152" s="94"/>
      <c r="F152" s="94"/>
      <c r="G152" s="94"/>
      <c r="H152" s="94"/>
      <c r="I152" s="94"/>
      <c r="J152" s="94"/>
      <c r="K152" s="94"/>
      <c r="L152" s="94"/>
      <c r="M152" s="94"/>
      <c r="N152" s="94"/>
      <c r="O152" s="94"/>
    </row>
    <row r="153" spans="2:15">
      <c r="B153" s="94"/>
      <c r="C153" s="94"/>
      <c r="D153" s="94"/>
      <c r="E153" s="94"/>
      <c r="F153" s="94"/>
      <c r="G153" s="94"/>
      <c r="H153" s="94"/>
      <c r="I153" s="94"/>
      <c r="J153" s="94"/>
      <c r="K153" s="94"/>
      <c r="L153" s="94"/>
      <c r="M153" s="94"/>
      <c r="N153" s="94"/>
      <c r="O153" s="94"/>
    </row>
    <row r="154" spans="2:15">
      <c r="B154" s="94"/>
      <c r="C154" s="94"/>
      <c r="D154" s="94"/>
      <c r="E154" s="94"/>
      <c r="F154" s="94"/>
      <c r="G154" s="94"/>
      <c r="H154" s="94"/>
      <c r="I154" s="94"/>
      <c r="J154" s="94"/>
      <c r="K154" s="94"/>
      <c r="L154" s="94"/>
      <c r="M154" s="94"/>
      <c r="N154" s="94"/>
      <c r="O154" s="94"/>
    </row>
    <row r="155" spans="2:15">
      <c r="B155" s="94"/>
      <c r="C155" s="94"/>
      <c r="D155" s="94"/>
      <c r="E155" s="94"/>
      <c r="F155" s="94"/>
      <c r="G155" s="94"/>
      <c r="H155" s="94"/>
      <c r="I155" s="94"/>
      <c r="J155" s="94"/>
      <c r="K155" s="94"/>
      <c r="L155" s="94"/>
      <c r="M155" s="94"/>
      <c r="N155" s="94"/>
      <c r="O155" s="94"/>
    </row>
    <row r="156" spans="2:15">
      <c r="B156" s="94"/>
      <c r="C156" s="94"/>
      <c r="D156" s="94"/>
      <c r="E156" s="94"/>
      <c r="F156" s="94"/>
      <c r="G156" s="94"/>
      <c r="H156" s="94"/>
      <c r="I156" s="94"/>
      <c r="J156" s="94"/>
      <c r="K156" s="94"/>
      <c r="L156" s="94"/>
      <c r="M156" s="94"/>
      <c r="N156" s="94"/>
      <c r="O156" s="94"/>
    </row>
    <row r="157" spans="2:15">
      <c r="B157" s="94"/>
      <c r="C157" s="94"/>
      <c r="D157" s="94"/>
      <c r="E157" s="94"/>
      <c r="F157" s="94"/>
      <c r="G157" s="94"/>
      <c r="H157" s="94"/>
      <c r="I157" s="94"/>
      <c r="J157" s="94"/>
      <c r="K157" s="94"/>
      <c r="L157" s="94"/>
      <c r="M157" s="94"/>
      <c r="N157" s="94"/>
      <c r="O157" s="94"/>
    </row>
    <row r="158" spans="2:15">
      <c r="B158" s="94"/>
      <c r="C158" s="94"/>
      <c r="D158" s="94"/>
      <c r="E158" s="94"/>
      <c r="F158" s="94"/>
      <c r="G158" s="94"/>
      <c r="H158" s="94"/>
      <c r="I158" s="94"/>
      <c r="J158" s="94"/>
      <c r="K158" s="94"/>
      <c r="L158" s="94"/>
      <c r="M158" s="94"/>
      <c r="N158" s="94"/>
      <c r="O158" s="94"/>
    </row>
    <row r="159" spans="2:15">
      <c r="B159" s="94"/>
      <c r="C159" s="94"/>
      <c r="D159" s="94"/>
      <c r="E159" s="94"/>
      <c r="F159" s="94"/>
      <c r="G159" s="94"/>
      <c r="H159" s="94"/>
      <c r="I159" s="94"/>
      <c r="J159" s="94"/>
      <c r="K159" s="94"/>
      <c r="L159" s="94"/>
      <c r="M159" s="94"/>
      <c r="N159" s="94"/>
      <c r="O159" s="94"/>
    </row>
    <row r="160" spans="2:15">
      <c r="B160" s="94"/>
      <c r="C160" s="94"/>
      <c r="D160" s="94"/>
      <c r="E160" s="94"/>
      <c r="F160" s="94"/>
      <c r="G160" s="94"/>
      <c r="H160" s="94"/>
      <c r="I160" s="94"/>
      <c r="J160" s="94"/>
      <c r="K160" s="94"/>
      <c r="L160" s="94"/>
      <c r="M160" s="94"/>
      <c r="N160" s="94"/>
      <c r="O160" s="94"/>
    </row>
    <row r="161" spans="2:15">
      <c r="B161" s="94"/>
      <c r="C161" s="94"/>
      <c r="D161" s="94"/>
      <c r="E161" s="94"/>
      <c r="F161" s="94"/>
      <c r="G161" s="94"/>
      <c r="H161" s="94"/>
      <c r="I161" s="94"/>
      <c r="J161" s="94"/>
      <c r="K161" s="94"/>
      <c r="L161" s="94"/>
      <c r="M161" s="94"/>
      <c r="N161" s="94"/>
      <c r="O161" s="94"/>
    </row>
    <row r="162" spans="2:15">
      <c r="B162" s="94"/>
      <c r="C162" s="94"/>
      <c r="D162" s="94"/>
      <c r="E162" s="94"/>
      <c r="F162" s="94"/>
      <c r="G162" s="94"/>
      <c r="H162" s="94"/>
      <c r="I162" s="94"/>
      <c r="J162" s="94"/>
      <c r="K162" s="94"/>
      <c r="L162" s="94"/>
      <c r="M162" s="94"/>
      <c r="N162" s="94"/>
      <c r="O162" s="94"/>
    </row>
    <row r="163" spans="2:15">
      <c r="B163" s="94"/>
      <c r="C163" s="94"/>
      <c r="D163" s="94"/>
      <c r="E163" s="94"/>
      <c r="F163" s="94"/>
      <c r="G163" s="94"/>
      <c r="H163" s="94"/>
      <c r="I163" s="94"/>
      <c r="J163" s="94"/>
      <c r="K163" s="94"/>
      <c r="L163" s="94"/>
      <c r="M163" s="94"/>
      <c r="N163" s="94"/>
      <c r="O163" s="94"/>
    </row>
    <row r="164" spans="2:15">
      <c r="B164" s="94"/>
      <c r="C164" s="94"/>
      <c r="D164" s="94"/>
      <c r="E164" s="94"/>
      <c r="F164" s="94"/>
      <c r="G164" s="94"/>
      <c r="H164" s="94"/>
      <c r="I164" s="94"/>
      <c r="J164" s="94"/>
      <c r="K164" s="94"/>
      <c r="L164" s="94"/>
      <c r="M164" s="94"/>
      <c r="N164" s="94"/>
      <c r="O164" s="94"/>
    </row>
    <row r="165" spans="2:15">
      <c r="B165" s="94"/>
      <c r="C165" s="94"/>
      <c r="D165" s="94"/>
      <c r="E165" s="94"/>
      <c r="F165" s="94"/>
      <c r="G165" s="94"/>
      <c r="H165" s="94"/>
      <c r="I165" s="94"/>
      <c r="J165" s="94"/>
      <c r="K165" s="94"/>
      <c r="L165" s="94"/>
      <c r="M165" s="94"/>
      <c r="N165" s="94"/>
      <c r="O165" s="94"/>
    </row>
    <row r="166" spans="2:15">
      <c r="B166" s="94"/>
      <c r="C166" s="94"/>
      <c r="D166" s="94"/>
      <c r="E166" s="94"/>
      <c r="F166" s="94"/>
      <c r="G166" s="94"/>
      <c r="H166" s="94"/>
      <c r="I166" s="94"/>
      <c r="J166" s="94"/>
      <c r="K166" s="94"/>
      <c r="L166" s="94"/>
      <c r="M166" s="94"/>
      <c r="N166" s="94"/>
      <c r="O166" s="94"/>
    </row>
    <row r="167" spans="2:15">
      <c r="B167" s="94"/>
      <c r="C167" s="94"/>
      <c r="D167" s="94"/>
      <c r="E167" s="94"/>
      <c r="F167" s="94"/>
      <c r="G167" s="94"/>
      <c r="H167" s="94"/>
      <c r="I167" s="94"/>
      <c r="J167" s="94"/>
      <c r="K167" s="94"/>
      <c r="L167" s="94"/>
      <c r="M167" s="94"/>
      <c r="N167" s="94"/>
      <c r="O167" s="94"/>
    </row>
    <row r="168" spans="2:15">
      <c r="B168" s="94"/>
      <c r="C168" s="94"/>
      <c r="D168" s="94"/>
      <c r="E168" s="94"/>
      <c r="F168" s="94"/>
      <c r="G168" s="94"/>
      <c r="H168" s="94"/>
      <c r="I168" s="94"/>
      <c r="J168" s="94"/>
      <c r="K168" s="94"/>
      <c r="L168" s="94"/>
      <c r="M168" s="94"/>
      <c r="N168" s="94"/>
      <c r="O168" s="94"/>
    </row>
    <row r="169" spans="2:15">
      <c r="B169" s="94"/>
      <c r="C169" s="94"/>
      <c r="D169" s="94"/>
      <c r="E169" s="94"/>
      <c r="F169" s="94"/>
      <c r="G169" s="94"/>
      <c r="H169" s="94"/>
      <c r="I169" s="94"/>
      <c r="J169" s="94"/>
      <c r="K169" s="94"/>
      <c r="L169" s="94"/>
      <c r="M169" s="94"/>
      <c r="N169" s="94"/>
      <c r="O169" s="94"/>
    </row>
    <row r="170" spans="2:15">
      <c r="B170" s="94"/>
      <c r="C170" s="94"/>
      <c r="D170" s="94"/>
      <c r="E170" s="94"/>
      <c r="F170" s="94"/>
      <c r="G170" s="94"/>
      <c r="H170" s="94"/>
      <c r="I170" s="94"/>
      <c r="J170" s="94"/>
      <c r="K170" s="94"/>
      <c r="L170" s="94"/>
      <c r="M170" s="94"/>
      <c r="N170" s="94"/>
      <c r="O170" s="94"/>
    </row>
    <row r="171" spans="2:15">
      <c r="B171" s="94"/>
      <c r="C171" s="94"/>
      <c r="D171" s="94"/>
      <c r="E171" s="94"/>
      <c r="F171" s="94"/>
      <c r="G171" s="94"/>
      <c r="H171" s="94"/>
      <c r="I171" s="94"/>
      <c r="J171" s="94"/>
      <c r="K171" s="94"/>
      <c r="L171" s="94"/>
      <c r="M171" s="94"/>
      <c r="N171" s="94"/>
      <c r="O171" s="94"/>
    </row>
    <row r="172" spans="2:15">
      <c r="B172" s="94"/>
      <c r="C172" s="94"/>
      <c r="D172" s="94"/>
      <c r="E172" s="94"/>
      <c r="F172" s="94"/>
      <c r="G172" s="94"/>
      <c r="H172" s="94"/>
      <c r="I172" s="94"/>
      <c r="J172" s="94"/>
      <c r="K172" s="94"/>
      <c r="L172" s="94"/>
      <c r="M172" s="94"/>
      <c r="N172" s="94"/>
      <c r="O172" s="94"/>
    </row>
    <row r="173" spans="2:15">
      <c r="B173" s="94"/>
      <c r="C173" s="94"/>
      <c r="D173" s="94"/>
      <c r="E173" s="94"/>
      <c r="F173" s="94"/>
      <c r="G173" s="94"/>
      <c r="H173" s="94"/>
      <c r="I173" s="94"/>
      <c r="J173" s="94"/>
      <c r="K173" s="94"/>
      <c r="L173" s="94"/>
      <c r="M173" s="94"/>
      <c r="N173" s="94"/>
      <c r="O173" s="94"/>
    </row>
    <row r="174" spans="2:15">
      <c r="B174" s="94"/>
      <c r="C174" s="94"/>
      <c r="D174" s="94"/>
      <c r="E174" s="94"/>
      <c r="F174" s="94"/>
      <c r="G174" s="94"/>
      <c r="H174" s="94"/>
      <c r="I174" s="94"/>
      <c r="J174" s="94"/>
      <c r="K174" s="94"/>
      <c r="L174" s="94"/>
      <c r="M174" s="94"/>
      <c r="N174" s="94"/>
      <c r="O174" s="94"/>
    </row>
    <row r="175" spans="2:15">
      <c r="B175" s="94"/>
      <c r="C175" s="94"/>
      <c r="D175" s="94"/>
      <c r="E175" s="94"/>
      <c r="F175" s="94"/>
      <c r="G175" s="94"/>
      <c r="H175" s="94"/>
      <c r="I175" s="94"/>
      <c r="J175" s="94"/>
      <c r="K175" s="94"/>
      <c r="L175" s="94"/>
      <c r="M175" s="94"/>
      <c r="N175" s="94"/>
      <c r="O175" s="94"/>
    </row>
    <row r="176" spans="2:15">
      <c r="B176" s="94"/>
      <c r="C176" s="94"/>
      <c r="D176" s="94"/>
      <c r="E176" s="94"/>
      <c r="F176" s="94"/>
      <c r="G176" s="94"/>
      <c r="H176" s="94"/>
      <c r="I176" s="94"/>
      <c r="J176" s="94"/>
      <c r="K176" s="94"/>
      <c r="L176" s="94"/>
      <c r="M176" s="94"/>
      <c r="N176" s="94"/>
      <c r="O176" s="94"/>
    </row>
    <row r="177" spans="2:15">
      <c r="B177" s="94"/>
      <c r="C177" s="94"/>
      <c r="D177" s="94"/>
      <c r="E177" s="94"/>
      <c r="F177" s="94"/>
      <c r="G177" s="94"/>
      <c r="H177" s="94"/>
      <c r="I177" s="94"/>
      <c r="J177" s="94"/>
      <c r="K177" s="94"/>
      <c r="L177" s="94"/>
      <c r="M177" s="94"/>
      <c r="N177" s="94"/>
      <c r="O177" s="94"/>
    </row>
    <row r="178" spans="2:15">
      <c r="B178" s="94"/>
      <c r="C178" s="94"/>
      <c r="D178" s="94"/>
      <c r="E178" s="94"/>
      <c r="F178" s="94"/>
      <c r="G178" s="94"/>
      <c r="H178" s="94"/>
      <c r="I178" s="94"/>
      <c r="J178" s="94"/>
      <c r="K178" s="94"/>
      <c r="L178" s="94"/>
      <c r="M178" s="94"/>
      <c r="N178" s="94"/>
      <c r="O178" s="94"/>
    </row>
    <row r="179" spans="2:15">
      <c r="B179" s="94"/>
      <c r="C179" s="94"/>
      <c r="D179" s="94"/>
      <c r="E179" s="94"/>
      <c r="F179" s="94"/>
      <c r="G179" s="94"/>
      <c r="H179" s="94"/>
      <c r="I179" s="94"/>
      <c r="J179" s="94"/>
      <c r="K179" s="94"/>
      <c r="L179" s="94"/>
      <c r="M179" s="94"/>
      <c r="N179" s="94"/>
      <c r="O179" s="94"/>
    </row>
    <row r="180" spans="2:15">
      <c r="B180" s="94"/>
      <c r="C180" s="94"/>
      <c r="D180" s="94"/>
      <c r="E180" s="94"/>
      <c r="F180" s="94"/>
      <c r="G180" s="94"/>
      <c r="H180" s="94"/>
      <c r="I180" s="94"/>
      <c r="J180" s="94"/>
      <c r="K180" s="94"/>
      <c r="L180" s="94"/>
      <c r="M180" s="94"/>
      <c r="N180" s="94"/>
      <c r="O180" s="94"/>
    </row>
    <row r="181" spans="2:15">
      <c r="B181" s="94"/>
      <c r="C181" s="94"/>
      <c r="D181" s="94"/>
      <c r="E181" s="94"/>
      <c r="F181" s="94"/>
      <c r="G181" s="94"/>
      <c r="H181" s="94"/>
      <c r="I181" s="94"/>
      <c r="J181" s="94"/>
      <c r="K181" s="94"/>
      <c r="L181" s="94"/>
      <c r="M181" s="94"/>
      <c r="N181" s="94"/>
      <c r="O181" s="94"/>
    </row>
    <row r="182" spans="2:15">
      <c r="B182" s="94"/>
      <c r="C182" s="94"/>
      <c r="D182" s="94"/>
      <c r="E182" s="94"/>
      <c r="F182" s="94"/>
      <c r="G182" s="94"/>
      <c r="H182" s="94"/>
      <c r="I182" s="94"/>
      <c r="J182" s="94"/>
      <c r="K182" s="94"/>
      <c r="L182" s="94"/>
      <c r="M182" s="94"/>
      <c r="N182" s="94"/>
      <c r="O182" s="94"/>
    </row>
    <row r="183" spans="2:15">
      <c r="B183" s="94"/>
      <c r="C183" s="94"/>
      <c r="D183" s="94"/>
      <c r="E183" s="94"/>
      <c r="F183" s="94"/>
      <c r="G183" s="94"/>
      <c r="H183" s="94"/>
      <c r="I183" s="94"/>
      <c r="J183" s="94"/>
      <c r="K183" s="94"/>
      <c r="L183" s="94"/>
      <c r="M183" s="94"/>
      <c r="N183" s="94"/>
      <c r="O183" s="94"/>
    </row>
    <row r="184" spans="2:15">
      <c r="B184" s="94"/>
      <c r="C184" s="94"/>
      <c r="D184" s="94"/>
      <c r="E184" s="94"/>
      <c r="F184" s="94"/>
      <c r="G184" s="94"/>
      <c r="H184" s="94"/>
      <c r="I184" s="94"/>
      <c r="J184" s="94"/>
      <c r="K184" s="94"/>
      <c r="L184" s="94"/>
      <c r="M184" s="94"/>
      <c r="N184" s="94"/>
      <c r="O184" s="94"/>
    </row>
    <row r="185" spans="2:15">
      <c r="B185" s="94"/>
      <c r="C185" s="94"/>
      <c r="D185" s="94"/>
      <c r="E185" s="94"/>
      <c r="F185" s="94"/>
      <c r="G185" s="94"/>
      <c r="H185" s="94"/>
      <c r="I185" s="94"/>
      <c r="J185" s="94"/>
      <c r="K185" s="94"/>
      <c r="L185" s="94"/>
      <c r="M185" s="94"/>
      <c r="N185" s="94"/>
      <c r="O185" s="94"/>
    </row>
    <row r="186" spans="2:15">
      <c r="B186" s="94"/>
      <c r="C186" s="94"/>
      <c r="D186" s="94"/>
      <c r="E186" s="94"/>
      <c r="F186" s="94"/>
      <c r="G186" s="94"/>
      <c r="H186" s="94"/>
      <c r="I186" s="94"/>
      <c r="J186" s="94"/>
      <c r="K186" s="94"/>
      <c r="L186" s="94"/>
      <c r="M186" s="94"/>
      <c r="N186" s="94"/>
      <c r="O186" s="94"/>
    </row>
    <row r="187" spans="2:15">
      <c r="B187" s="94"/>
      <c r="C187" s="94"/>
      <c r="D187" s="94"/>
      <c r="E187" s="94"/>
      <c r="F187" s="94"/>
      <c r="G187" s="94"/>
      <c r="H187" s="94"/>
      <c r="I187" s="94"/>
      <c r="J187" s="94"/>
      <c r="K187" s="94"/>
      <c r="L187" s="94"/>
      <c r="M187" s="94"/>
      <c r="N187" s="94"/>
      <c r="O187" s="94"/>
    </row>
    <row r="188" spans="2:15">
      <c r="B188" s="94"/>
      <c r="C188" s="94"/>
      <c r="D188" s="94"/>
      <c r="E188" s="94"/>
      <c r="F188" s="94"/>
      <c r="G188" s="94"/>
      <c r="H188" s="94"/>
      <c r="I188" s="94"/>
      <c r="J188" s="94"/>
      <c r="K188" s="94"/>
      <c r="L188" s="94"/>
      <c r="M188" s="94"/>
      <c r="N188" s="94"/>
      <c r="O188" s="94"/>
    </row>
    <row r="189" spans="2:15">
      <c r="B189" s="94"/>
      <c r="C189" s="94"/>
      <c r="D189" s="94"/>
      <c r="E189" s="94"/>
      <c r="F189" s="94"/>
      <c r="G189" s="94"/>
      <c r="H189" s="94"/>
      <c r="I189" s="94"/>
      <c r="J189" s="94"/>
      <c r="K189" s="94"/>
      <c r="L189" s="94"/>
      <c r="M189" s="94"/>
      <c r="N189" s="94"/>
      <c r="O189" s="94"/>
    </row>
    <row r="190" spans="2:15">
      <c r="B190" s="94"/>
      <c r="C190" s="94"/>
      <c r="D190" s="94"/>
      <c r="E190" s="94"/>
      <c r="F190" s="94"/>
      <c r="G190" s="94"/>
      <c r="H190" s="94"/>
      <c r="I190" s="94"/>
      <c r="J190" s="94"/>
      <c r="K190" s="94"/>
      <c r="L190" s="94"/>
      <c r="M190" s="94"/>
      <c r="N190" s="94"/>
      <c r="O190" s="94"/>
    </row>
    <row r="191" spans="2:15">
      <c r="B191" s="94"/>
      <c r="C191" s="94"/>
      <c r="D191" s="94"/>
      <c r="E191" s="94"/>
      <c r="F191" s="94"/>
      <c r="G191" s="94"/>
      <c r="H191" s="94"/>
      <c r="I191" s="94"/>
      <c r="J191" s="94"/>
      <c r="K191" s="94"/>
      <c r="L191" s="94"/>
      <c r="M191" s="94"/>
      <c r="N191" s="94"/>
      <c r="O191" s="94"/>
    </row>
    <row r="192" spans="2:15">
      <c r="B192" s="94"/>
      <c r="C192" s="94"/>
      <c r="D192" s="94"/>
      <c r="E192" s="94"/>
      <c r="F192" s="94"/>
      <c r="G192" s="94"/>
      <c r="H192" s="94"/>
      <c r="I192" s="94"/>
      <c r="J192" s="94"/>
      <c r="K192" s="94"/>
      <c r="L192" s="94"/>
      <c r="M192" s="94"/>
      <c r="N192" s="94"/>
      <c r="O192" s="94"/>
    </row>
    <row r="193" spans="2:15">
      <c r="B193" s="94"/>
      <c r="C193" s="94"/>
      <c r="D193" s="94"/>
      <c r="E193" s="94"/>
      <c r="F193" s="94"/>
      <c r="G193" s="94"/>
      <c r="H193" s="94"/>
      <c r="I193" s="94"/>
      <c r="J193" s="94"/>
      <c r="K193" s="94"/>
      <c r="L193" s="94"/>
      <c r="M193" s="94"/>
      <c r="N193" s="94"/>
      <c r="O193" s="94"/>
    </row>
    <row r="194" spans="2:15">
      <c r="B194" s="94"/>
      <c r="C194" s="94"/>
      <c r="D194" s="94"/>
      <c r="E194" s="94"/>
      <c r="F194" s="94"/>
      <c r="G194" s="94"/>
      <c r="H194" s="94"/>
      <c r="I194" s="94"/>
      <c r="J194" s="94"/>
      <c r="K194" s="94"/>
      <c r="L194" s="94"/>
      <c r="M194" s="94"/>
      <c r="N194" s="94"/>
      <c r="O194" s="94"/>
    </row>
    <row r="195" spans="2:15">
      <c r="B195" s="94"/>
      <c r="C195" s="94"/>
      <c r="D195" s="94"/>
      <c r="E195" s="94"/>
      <c r="F195" s="94"/>
      <c r="G195" s="94"/>
      <c r="H195" s="94"/>
      <c r="I195" s="94"/>
      <c r="J195" s="94"/>
      <c r="K195" s="94"/>
      <c r="L195" s="94"/>
      <c r="M195" s="94"/>
      <c r="N195" s="94"/>
      <c r="O195" s="94"/>
    </row>
    <row r="196" spans="2:15">
      <c r="B196" s="94"/>
      <c r="C196" s="94"/>
      <c r="D196" s="94"/>
      <c r="E196" s="94"/>
      <c r="F196" s="94"/>
      <c r="G196" s="94"/>
      <c r="H196" s="94"/>
      <c r="I196" s="94"/>
      <c r="J196" s="94"/>
      <c r="K196" s="94"/>
      <c r="L196" s="94"/>
      <c r="M196" s="94"/>
      <c r="N196" s="94"/>
      <c r="O196" s="94"/>
    </row>
    <row r="197" spans="2:15">
      <c r="B197" s="94"/>
      <c r="C197" s="94"/>
      <c r="D197" s="94"/>
      <c r="E197" s="94"/>
      <c r="F197" s="94"/>
      <c r="G197" s="94"/>
      <c r="H197" s="94"/>
      <c r="I197" s="94"/>
      <c r="J197" s="94"/>
      <c r="K197" s="94"/>
      <c r="L197" s="94"/>
      <c r="M197" s="94"/>
      <c r="N197" s="94"/>
      <c r="O197" s="94"/>
    </row>
    <row r="198" spans="2:15">
      <c r="B198" s="94"/>
      <c r="C198" s="94"/>
      <c r="D198" s="94"/>
      <c r="E198" s="94"/>
      <c r="F198" s="94"/>
      <c r="G198" s="94"/>
      <c r="H198" s="94"/>
      <c r="I198" s="94"/>
      <c r="J198" s="94"/>
      <c r="K198" s="94"/>
      <c r="L198" s="94"/>
      <c r="M198" s="94"/>
      <c r="N198" s="94"/>
      <c r="O198" s="94"/>
    </row>
    <row r="199" spans="2:15">
      <c r="B199" s="94"/>
      <c r="C199" s="94"/>
      <c r="D199" s="94"/>
      <c r="E199" s="94"/>
      <c r="F199" s="94"/>
      <c r="G199" s="94"/>
      <c r="H199" s="94"/>
      <c r="I199" s="94"/>
      <c r="J199" s="94"/>
      <c r="K199" s="94"/>
      <c r="L199" s="94"/>
      <c r="M199" s="94"/>
      <c r="N199" s="94"/>
      <c r="O199" s="94"/>
    </row>
    <row r="200" spans="2:15">
      <c r="B200" s="94"/>
      <c r="C200" s="94"/>
      <c r="D200" s="94"/>
      <c r="E200" s="94"/>
      <c r="F200" s="94"/>
      <c r="G200" s="94"/>
      <c r="H200" s="94"/>
      <c r="I200" s="94"/>
      <c r="J200" s="94"/>
      <c r="K200" s="94"/>
      <c r="L200" s="94"/>
      <c r="M200" s="94"/>
      <c r="N200" s="94"/>
      <c r="O200" s="94"/>
    </row>
    <row r="201" spans="2:15">
      <c r="B201" s="94"/>
      <c r="C201" s="94"/>
      <c r="D201" s="94"/>
      <c r="E201" s="94"/>
      <c r="F201" s="94"/>
      <c r="G201" s="94"/>
      <c r="H201" s="94"/>
      <c r="I201" s="94"/>
      <c r="J201" s="94"/>
      <c r="K201" s="94"/>
      <c r="L201" s="94"/>
      <c r="M201" s="94"/>
      <c r="N201" s="94"/>
      <c r="O201" s="94"/>
    </row>
    <row r="202" spans="2:15">
      <c r="B202" s="94"/>
      <c r="C202" s="94"/>
      <c r="D202" s="94"/>
      <c r="E202" s="94"/>
      <c r="F202" s="94"/>
      <c r="G202" s="94"/>
      <c r="H202" s="94"/>
      <c r="I202" s="94"/>
      <c r="J202" s="94"/>
      <c r="K202" s="94"/>
      <c r="L202" s="94"/>
      <c r="M202" s="94"/>
      <c r="N202" s="94"/>
      <c r="O202" s="94"/>
    </row>
    <row r="203" spans="2:15">
      <c r="B203" s="94"/>
      <c r="C203" s="94"/>
      <c r="D203" s="94"/>
      <c r="E203" s="94"/>
      <c r="F203" s="94"/>
      <c r="G203" s="94"/>
      <c r="H203" s="94"/>
      <c r="I203" s="94"/>
      <c r="J203" s="94"/>
      <c r="K203" s="94"/>
      <c r="L203" s="94"/>
      <c r="M203" s="94"/>
      <c r="N203" s="94"/>
      <c r="O203" s="94"/>
    </row>
    <row r="204" spans="2:15">
      <c r="B204" s="94"/>
      <c r="C204" s="94"/>
      <c r="D204" s="94"/>
      <c r="E204" s="94"/>
      <c r="F204" s="94"/>
      <c r="G204" s="94"/>
      <c r="H204" s="94"/>
      <c r="I204" s="94"/>
      <c r="J204" s="94"/>
      <c r="K204" s="94"/>
      <c r="L204" s="94"/>
      <c r="M204" s="94"/>
      <c r="N204" s="94"/>
      <c r="O204" s="94"/>
    </row>
    <row r="205" spans="2:15">
      <c r="B205" s="94"/>
      <c r="C205" s="94"/>
      <c r="D205" s="94"/>
      <c r="E205" s="94"/>
      <c r="F205" s="94"/>
      <c r="G205" s="94"/>
      <c r="H205" s="94"/>
      <c r="I205" s="94"/>
      <c r="J205" s="94"/>
      <c r="K205" s="94"/>
      <c r="L205" s="94"/>
      <c r="M205" s="94"/>
      <c r="N205" s="94"/>
      <c r="O205" s="94"/>
    </row>
    <row r="206" spans="2:15">
      <c r="B206" s="94"/>
      <c r="C206" s="94"/>
      <c r="D206" s="94"/>
      <c r="E206" s="94"/>
      <c r="F206" s="94"/>
      <c r="G206" s="94"/>
      <c r="H206" s="94"/>
      <c r="I206" s="94"/>
      <c r="J206" s="94"/>
      <c r="K206" s="94"/>
      <c r="L206" s="94"/>
      <c r="M206" s="94"/>
      <c r="N206" s="94"/>
      <c r="O206" s="94"/>
    </row>
    <row r="207" spans="2:15">
      <c r="B207" s="94"/>
      <c r="C207" s="94"/>
      <c r="D207" s="94"/>
      <c r="E207" s="94"/>
      <c r="F207" s="94"/>
      <c r="G207" s="94"/>
      <c r="H207" s="94"/>
      <c r="I207" s="94"/>
      <c r="J207" s="94"/>
      <c r="K207" s="94"/>
      <c r="L207" s="94"/>
      <c r="M207" s="94"/>
      <c r="N207" s="94"/>
      <c r="O207" s="94"/>
    </row>
    <row r="208" spans="2:15">
      <c r="B208" s="94"/>
      <c r="C208" s="94"/>
      <c r="D208" s="94"/>
      <c r="E208" s="94"/>
      <c r="F208" s="94"/>
      <c r="G208" s="94"/>
      <c r="H208" s="94"/>
      <c r="I208" s="94"/>
      <c r="J208" s="94"/>
      <c r="K208" s="94"/>
      <c r="L208" s="94"/>
      <c r="M208" s="94"/>
      <c r="N208" s="94"/>
      <c r="O208" s="94"/>
    </row>
    <row r="209" spans="2:15">
      <c r="B209" s="94"/>
      <c r="C209" s="94"/>
      <c r="D209" s="94"/>
      <c r="E209" s="94"/>
      <c r="F209" s="94"/>
      <c r="G209" s="94"/>
      <c r="H209" s="94"/>
      <c r="I209" s="94"/>
      <c r="J209" s="94"/>
      <c r="K209" s="94"/>
      <c r="L209" s="94"/>
      <c r="M209" s="94"/>
      <c r="N209" s="94"/>
      <c r="O209" s="94"/>
    </row>
    <row r="210" spans="2:15">
      <c r="B210" s="94"/>
      <c r="C210" s="94"/>
      <c r="D210" s="94"/>
      <c r="E210" s="94"/>
      <c r="F210" s="94"/>
      <c r="G210" s="94"/>
      <c r="H210" s="94"/>
      <c r="I210" s="94"/>
      <c r="J210" s="94"/>
      <c r="K210" s="94"/>
      <c r="L210" s="94"/>
      <c r="M210" s="94"/>
      <c r="N210" s="94"/>
      <c r="O210" s="94"/>
    </row>
    <row r="211" spans="2:15">
      <c r="B211" s="94"/>
      <c r="C211" s="94"/>
      <c r="D211" s="94"/>
      <c r="E211" s="94"/>
      <c r="F211" s="94"/>
      <c r="G211" s="94"/>
      <c r="H211" s="94"/>
      <c r="I211" s="94"/>
      <c r="J211" s="94"/>
      <c r="K211" s="94"/>
      <c r="L211" s="94"/>
      <c r="M211" s="94"/>
      <c r="N211" s="94"/>
      <c r="O211" s="94"/>
    </row>
    <row r="212" spans="2:15">
      <c r="B212" s="94"/>
      <c r="C212" s="94"/>
      <c r="D212" s="94"/>
      <c r="E212" s="94"/>
      <c r="F212" s="94"/>
      <c r="G212" s="94"/>
      <c r="H212" s="94"/>
      <c r="I212" s="94"/>
      <c r="J212" s="94"/>
      <c r="K212" s="94"/>
      <c r="L212" s="94"/>
      <c r="M212" s="94"/>
      <c r="N212" s="94"/>
      <c r="O212" s="94"/>
    </row>
    <row r="213" spans="2:15">
      <c r="B213" s="94"/>
      <c r="C213" s="94"/>
      <c r="D213" s="94"/>
      <c r="E213" s="94"/>
      <c r="F213" s="94"/>
      <c r="G213" s="94"/>
      <c r="H213" s="94"/>
      <c r="I213" s="94"/>
      <c r="J213" s="94"/>
      <c r="K213" s="94"/>
      <c r="L213" s="94"/>
      <c r="M213" s="94"/>
      <c r="N213" s="94"/>
      <c r="O213" s="94"/>
    </row>
    <row r="214" spans="2:15">
      <c r="B214" s="94"/>
      <c r="C214" s="94"/>
      <c r="D214" s="94"/>
      <c r="E214" s="94"/>
      <c r="F214" s="94"/>
      <c r="G214" s="94"/>
      <c r="H214" s="94"/>
      <c r="I214" s="94"/>
      <c r="J214" s="94"/>
      <c r="K214" s="94"/>
      <c r="L214" s="94"/>
      <c r="M214" s="94"/>
      <c r="N214" s="94"/>
      <c r="O214" s="94"/>
    </row>
    <row r="215" spans="2:15">
      <c r="B215" s="94"/>
      <c r="C215" s="94"/>
      <c r="D215" s="94"/>
      <c r="E215" s="94"/>
      <c r="F215" s="94"/>
      <c r="G215" s="94"/>
      <c r="H215" s="94"/>
      <c r="I215" s="94"/>
      <c r="J215" s="94"/>
      <c r="K215" s="94"/>
      <c r="L215" s="94"/>
      <c r="M215" s="94"/>
      <c r="N215" s="94"/>
      <c r="O215" s="94"/>
    </row>
    <row r="216" spans="2:15">
      <c r="B216" s="94"/>
      <c r="C216" s="94"/>
      <c r="D216" s="94"/>
      <c r="E216" s="94"/>
      <c r="F216" s="94"/>
      <c r="G216" s="94"/>
      <c r="H216" s="94"/>
      <c r="I216" s="94"/>
      <c r="J216" s="94"/>
      <c r="K216" s="94"/>
      <c r="L216" s="94"/>
      <c r="M216" s="94"/>
      <c r="N216" s="94"/>
      <c r="O216" s="94"/>
    </row>
    <row r="217" spans="2:15">
      <c r="B217" s="94"/>
      <c r="C217" s="94"/>
      <c r="D217" s="94"/>
      <c r="E217" s="94"/>
      <c r="F217" s="94"/>
      <c r="G217" s="94"/>
      <c r="H217" s="94"/>
      <c r="I217" s="94"/>
      <c r="J217" s="94"/>
      <c r="K217" s="94"/>
      <c r="L217" s="94"/>
      <c r="M217" s="94"/>
      <c r="N217" s="94"/>
      <c r="O217" s="94"/>
    </row>
    <row r="218" spans="2:15">
      <c r="B218" s="94"/>
      <c r="C218" s="94"/>
      <c r="D218" s="94"/>
      <c r="E218" s="94"/>
      <c r="F218" s="94"/>
      <c r="G218" s="94"/>
      <c r="H218" s="94"/>
      <c r="I218" s="94"/>
      <c r="J218" s="94"/>
      <c r="K218" s="94"/>
      <c r="L218" s="94"/>
      <c r="M218" s="94"/>
      <c r="N218" s="94"/>
      <c r="O218" s="94"/>
    </row>
    <row r="219" spans="2:15">
      <c r="B219" s="94"/>
      <c r="C219" s="94"/>
      <c r="D219" s="94"/>
      <c r="E219" s="94"/>
      <c r="F219" s="94"/>
      <c r="G219" s="94"/>
      <c r="H219" s="94"/>
      <c r="I219" s="94"/>
      <c r="J219" s="94"/>
      <c r="K219" s="94"/>
      <c r="L219" s="94"/>
      <c r="M219" s="94"/>
      <c r="N219" s="94"/>
      <c r="O219" s="94"/>
    </row>
    <row r="220" spans="2:15">
      <c r="B220" s="94"/>
      <c r="C220" s="94"/>
      <c r="D220" s="94"/>
      <c r="E220" s="94"/>
      <c r="F220" s="94"/>
      <c r="G220" s="94"/>
      <c r="H220" s="94"/>
      <c r="I220" s="94"/>
      <c r="J220" s="94"/>
      <c r="K220" s="94"/>
      <c r="L220" s="94"/>
      <c r="M220" s="94"/>
      <c r="N220" s="94"/>
      <c r="O220" s="94"/>
    </row>
    <row r="221" spans="2:15">
      <c r="B221" s="94"/>
      <c r="C221" s="94"/>
      <c r="D221" s="94"/>
      <c r="E221" s="94"/>
      <c r="F221" s="94"/>
      <c r="G221" s="94"/>
      <c r="H221" s="94"/>
      <c r="I221" s="94"/>
      <c r="J221" s="94"/>
      <c r="K221" s="94"/>
      <c r="L221" s="94"/>
      <c r="M221" s="94"/>
      <c r="N221" s="94"/>
      <c r="O221" s="94"/>
    </row>
    <row r="222" spans="2:15">
      <c r="B222" s="94"/>
      <c r="C222" s="94"/>
      <c r="D222" s="94"/>
      <c r="E222" s="94"/>
      <c r="F222" s="94"/>
      <c r="G222" s="94"/>
      <c r="H222" s="94"/>
      <c r="I222" s="94"/>
      <c r="J222" s="94"/>
      <c r="K222" s="94"/>
      <c r="L222" s="94"/>
      <c r="M222" s="94"/>
      <c r="N222" s="94"/>
      <c r="O222" s="94"/>
    </row>
    <row r="223" spans="2:15">
      <c r="B223" s="94"/>
      <c r="C223" s="94"/>
      <c r="D223" s="94"/>
      <c r="E223" s="94"/>
      <c r="F223" s="94"/>
      <c r="G223" s="94"/>
      <c r="H223" s="94"/>
      <c r="I223" s="94"/>
      <c r="J223" s="94"/>
      <c r="K223" s="94"/>
      <c r="L223" s="94"/>
      <c r="M223" s="94"/>
      <c r="N223" s="94"/>
      <c r="O223" s="94"/>
    </row>
    <row r="224" spans="2:15">
      <c r="B224" s="94"/>
      <c r="C224" s="94"/>
      <c r="D224" s="94"/>
      <c r="E224" s="94"/>
      <c r="F224" s="94"/>
      <c r="G224" s="94"/>
      <c r="H224" s="94"/>
      <c r="I224" s="94"/>
      <c r="J224" s="94"/>
      <c r="K224" s="94"/>
      <c r="L224" s="94"/>
      <c r="M224" s="94"/>
      <c r="N224" s="94"/>
      <c r="O224" s="94"/>
    </row>
    <row r="225" spans="2:15">
      <c r="B225" s="94"/>
      <c r="C225" s="94"/>
      <c r="D225" s="94"/>
      <c r="E225" s="94"/>
      <c r="F225" s="94"/>
      <c r="G225" s="94"/>
      <c r="H225" s="94"/>
      <c r="I225" s="94"/>
      <c r="J225" s="94"/>
      <c r="K225" s="94"/>
      <c r="L225" s="94"/>
      <c r="M225" s="94"/>
      <c r="N225" s="94"/>
      <c r="O225" s="94"/>
    </row>
    <row r="226" spans="2:15">
      <c r="B226" s="94"/>
      <c r="C226" s="94"/>
      <c r="D226" s="94"/>
      <c r="E226" s="94"/>
      <c r="F226" s="94"/>
      <c r="G226" s="94"/>
      <c r="H226" s="94"/>
      <c r="I226" s="94"/>
      <c r="J226" s="94"/>
      <c r="K226" s="94"/>
      <c r="L226" s="94"/>
      <c r="M226" s="94"/>
      <c r="N226" s="94"/>
      <c r="O226" s="94"/>
    </row>
    <row r="227" spans="2:15">
      <c r="B227" s="94"/>
      <c r="C227" s="94"/>
      <c r="D227" s="94"/>
      <c r="E227" s="94"/>
      <c r="F227" s="94"/>
      <c r="G227" s="94"/>
      <c r="H227" s="94"/>
      <c r="I227" s="94"/>
      <c r="J227" s="94"/>
      <c r="K227" s="94"/>
      <c r="L227" s="94"/>
      <c r="M227" s="94"/>
      <c r="N227" s="94"/>
      <c r="O227" s="94"/>
    </row>
    <row r="228" spans="2:15">
      <c r="B228" s="94"/>
      <c r="C228" s="94"/>
      <c r="D228" s="94"/>
      <c r="E228" s="94"/>
      <c r="F228" s="94"/>
      <c r="G228" s="94"/>
      <c r="H228" s="94"/>
      <c r="I228" s="94"/>
      <c r="J228" s="94"/>
      <c r="K228" s="94"/>
      <c r="L228" s="94"/>
      <c r="M228" s="94"/>
      <c r="N228" s="94"/>
      <c r="O228" s="94"/>
    </row>
    <row r="229" spans="2:15">
      <c r="B229" s="94"/>
      <c r="C229" s="94"/>
      <c r="D229" s="94"/>
      <c r="E229" s="94"/>
      <c r="F229" s="94"/>
      <c r="G229" s="94"/>
      <c r="H229" s="94"/>
      <c r="I229" s="94"/>
      <c r="J229" s="94"/>
      <c r="K229" s="94"/>
      <c r="L229" s="94"/>
      <c r="M229" s="94"/>
      <c r="N229" s="94"/>
      <c r="O229" s="94"/>
    </row>
    <row r="230" spans="2:15">
      <c r="B230" s="94"/>
      <c r="C230" s="94"/>
      <c r="D230" s="94"/>
      <c r="E230" s="94"/>
      <c r="F230" s="94"/>
      <c r="G230" s="94"/>
      <c r="H230" s="94"/>
      <c r="I230" s="94"/>
      <c r="J230" s="94"/>
      <c r="K230" s="94"/>
      <c r="L230" s="94"/>
      <c r="M230" s="94"/>
      <c r="N230" s="94"/>
      <c r="O230" s="94"/>
    </row>
    <row r="231" spans="2:15">
      <c r="B231" s="94"/>
      <c r="C231" s="94"/>
      <c r="D231" s="94"/>
      <c r="E231" s="94"/>
      <c r="F231" s="94"/>
      <c r="G231" s="94"/>
      <c r="H231" s="94"/>
      <c r="I231" s="94"/>
      <c r="J231" s="94"/>
      <c r="K231" s="94"/>
      <c r="L231" s="94"/>
      <c r="M231" s="94"/>
      <c r="N231" s="94"/>
      <c r="O231" s="94"/>
    </row>
    <row r="232" spans="2:15">
      <c r="B232" s="94"/>
      <c r="C232" s="94"/>
      <c r="D232" s="94"/>
      <c r="E232" s="94"/>
      <c r="F232" s="94"/>
      <c r="G232" s="94"/>
      <c r="H232" s="94"/>
      <c r="I232" s="94"/>
      <c r="J232" s="94"/>
      <c r="K232" s="94"/>
      <c r="L232" s="94"/>
      <c r="M232" s="94"/>
      <c r="N232" s="94"/>
      <c r="O232" s="94"/>
    </row>
    <row r="233" spans="2:15">
      <c r="B233" s="94"/>
      <c r="C233" s="94"/>
      <c r="D233" s="94"/>
      <c r="E233" s="94"/>
      <c r="F233" s="94"/>
      <c r="G233" s="94"/>
      <c r="H233" s="94"/>
      <c r="I233" s="94"/>
      <c r="J233" s="94"/>
      <c r="K233" s="94"/>
      <c r="L233" s="94"/>
      <c r="M233" s="94"/>
      <c r="N233" s="94"/>
      <c r="O233" s="94"/>
    </row>
    <row r="234" spans="2:15">
      <c r="B234" s="94"/>
      <c r="C234" s="94"/>
      <c r="D234" s="94"/>
      <c r="E234" s="94"/>
      <c r="F234" s="94"/>
      <c r="G234" s="94"/>
      <c r="H234" s="94"/>
      <c r="I234" s="94"/>
      <c r="J234" s="94"/>
      <c r="K234" s="94"/>
      <c r="L234" s="94"/>
      <c r="M234" s="94"/>
      <c r="N234" s="94"/>
      <c r="O234" s="94"/>
    </row>
    <row r="235" spans="2:15">
      <c r="B235" s="94"/>
      <c r="C235" s="94"/>
      <c r="D235" s="94"/>
      <c r="E235" s="94"/>
      <c r="F235" s="94"/>
      <c r="G235" s="94"/>
      <c r="H235" s="94"/>
      <c r="I235" s="94"/>
      <c r="J235" s="94"/>
      <c r="K235" s="94"/>
      <c r="L235" s="94"/>
      <c r="M235" s="94"/>
      <c r="N235" s="94"/>
      <c r="O235" s="94"/>
    </row>
    <row r="236" spans="2:15">
      <c r="B236" s="94"/>
      <c r="C236" s="94"/>
      <c r="D236" s="94"/>
      <c r="E236" s="94"/>
      <c r="F236" s="94"/>
      <c r="G236" s="94"/>
      <c r="H236" s="94"/>
      <c r="I236" s="94"/>
      <c r="J236" s="94"/>
      <c r="K236" s="94"/>
      <c r="L236" s="94"/>
      <c r="M236" s="94"/>
      <c r="N236" s="94"/>
      <c r="O236" s="94"/>
    </row>
    <row r="237" spans="2:15">
      <c r="B237" s="94"/>
      <c r="C237" s="94"/>
      <c r="D237" s="94"/>
      <c r="E237" s="94"/>
      <c r="F237" s="94"/>
      <c r="G237" s="94"/>
      <c r="H237" s="94"/>
      <c r="I237" s="94"/>
      <c r="J237" s="94"/>
      <c r="K237" s="94"/>
      <c r="L237" s="94"/>
      <c r="M237" s="94"/>
      <c r="N237" s="94"/>
      <c r="O237" s="94"/>
    </row>
    <row r="238" spans="2:15">
      <c r="B238" s="94"/>
      <c r="C238" s="94"/>
      <c r="D238" s="94"/>
      <c r="E238" s="94"/>
      <c r="F238" s="94"/>
      <c r="G238" s="94"/>
      <c r="H238" s="94"/>
      <c r="I238" s="94"/>
      <c r="J238" s="94"/>
      <c r="K238" s="94"/>
      <c r="L238" s="94"/>
      <c r="M238" s="94"/>
      <c r="N238" s="94"/>
      <c r="O238" s="94"/>
    </row>
    <row r="239" spans="2:15">
      <c r="B239" s="94"/>
      <c r="C239" s="94"/>
      <c r="D239" s="94"/>
      <c r="E239" s="94"/>
      <c r="F239" s="94"/>
      <c r="G239" s="94"/>
      <c r="H239" s="94"/>
      <c r="I239" s="94"/>
      <c r="J239" s="94"/>
      <c r="K239" s="94"/>
      <c r="L239" s="94"/>
      <c r="M239" s="94"/>
      <c r="N239" s="94"/>
      <c r="O239" s="94"/>
    </row>
    <row r="240" spans="2:15">
      <c r="B240" s="94"/>
      <c r="C240" s="94"/>
      <c r="D240" s="94"/>
      <c r="E240" s="94"/>
      <c r="F240" s="94"/>
      <c r="G240" s="94"/>
      <c r="H240" s="94"/>
      <c r="I240" s="94"/>
      <c r="J240" s="94"/>
      <c r="K240" s="94"/>
      <c r="L240" s="94"/>
      <c r="M240" s="94"/>
      <c r="N240" s="94"/>
      <c r="O240" s="94"/>
    </row>
    <row r="241" spans="2:15">
      <c r="B241" s="94"/>
      <c r="C241" s="94"/>
      <c r="D241" s="94"/>
      <c r="E241" s="94"/>
      <c r="F241" s="94"/>
      <c r="G241" s="94"/>
      <c r="H241" s="94"/>
      <c r="I241" s="94"/>
      <c r="J241" s="94"/>
      <c r="K241" s="94"/>
      <c r="L241" s="94"/>
      <c r="M241" s="94"/>
      <c r="N241" s="94"/>
      <c r="O241" s="94"/>
    </row>
    <row r="242" spans="2:15">
      <c r="B242" s="94"/>
      <c r="C242" s="94"/>
      <c r="D242" s="94"/>
      <c r="E242" s="94"/>
      <c r="F242" s="94"/>
      <c r="G242" s="94"/>
      <c r="H242" s="94"/>
      <c r="I242" s="94"/>
      <c r="J242" s="94"/>
      <c r="K242" s="94"/>
      <c r="L242" s="94"/>
      <c r="M242" s="94"/>
      <c r="N242" s="94"/>
      <c r="O242" s="94"/>
    </row>
    <row r="243" spans="2:15">
      <c r="B243" s="94"/>
      <c r="C243" s="94"/>
      <c r="D243" s="94"/>
      <c r="E243" s="94"/>
      <c r="F243" s="94"/>
      <c r="G243" s="94"/>
      <c r="H243" s="94"/>
      <c r="I243" s="94"/>
      <c r="J243" s="94"/>
      <c r="K243" s="94"/>
      <c r="L243" s="94"/>
      <c r="M243" s="94"/>
      <c r="N243" s="94"/>
      <c r="O243" s="94"/>
    </row>
    <row r="244" spans="2:15">
      <c r="B244" s="94"/>
      <c r="C244" s="94"/>
      <c r="D244" s="94"/>
      <c r="E244" s="94"/>
      <c r="F244" s="94"/>
      <c r="G244" s="94"/>
      <c r="H244" s="94"/>
      <c r="I244" s="94"/>
      <c r="J244" s="94"/>
      <c r="K244" s="94"/>
      <c r="L244" s="94"/>
      <c r="M244" s="94"/>
      <c r="N244" s="94"/>
      <c r="O244" s="94"/>
    </row>
    <row r="245" spans="2:15">
      <c r="B245" s="94"/>
      <c r="C245" s="94"/>
      <c r="D245" s="94"/>
      <c r="E245" s="94"/>
      <c r="F245" s="94"/>
      <c r="G245" s="94"/>
      <c r="H245" s="94"/>
      <c r="I245" s="94"/>
      <c r="J245" s="94"/>
      <c r="K245" s="94"/>
      <c r="L245" s="94"/>
      <c r="M245" s="94"/>
      <c r="N245" s="94"/>
      <c r="O245" s="94"/>
    </row>
    <row r="246" spans="2:15">
      <c r="B246" s="94"/>
      <c r="C246" s="94"/>
      <c r="D246" s="94"/>
      <c r="E246" s="94"/>
      <c r="F246" s="94"/>
      <c r="G246" s="94"/>
      <c r="H246" s="94"/>
      <c r="I246" s="94"/>
      <c r="J246" s="94"/>
      <c r="K246" s="94"/>
      <c r="L246" s="94"/>
      <c r="M246" s="94"/>
      <c r="N246" s="94"/>
      <c r="O246" s="94"/>
    </row>
    <row r="247" spans="2:15">
      <c r="B247" s="94"/>
      <c r="C247" s="94"/>
      <c r="D247" s="94"/>
      <c r="E247" s="94"/>
      <c r="F247" s="94"/>
      <c r="G247" s="94"/>
      <c r="H247" s="94"/>
      <c r="I247" s="94"/>
      <c r="J247" s="94"/>
      <c r="K247" s="94"/>
      <c r="L247" s="94"/>
      <c r="M247" s="94"/>
      <c r="N247" s="94"/>
      <c r="O247" s="94"/>
    </row>
    <row r="248" spans="2:15">
      <c r="B248" s="94"/>
      <c r="C248" s="94"/>
      <c r="D248" s="94"/>
      <c r="E248" s="94"/>
      <c r="F248" s="94"/>
      <c r="G248" s="94"/>
      <c r="H248" s="94"/>
      <c r="I248" s="94"/>
      <c r="J248" s="94"/>
      <c r="K248" s="94"/>
      <c r="L248" s="94"/>
      <c r="M248" s="94"/>
      <c r="N248" s="94"/>
      <c r="O248" s="94"/>
    </row>
    <row r="249" spans="2:15">
      <c r="B249" s="94"/>
      <c r="C249" s="94"/>
      <c r="D249" s="94"/>
      <c r="E249" s="94"/>
      <c r="F249" s="94"/>
      <c r="G249" s="94"/>
      <c r="H249" s="94"/>
      <c r="I249" s="94"/>
      <c r="J249" s="94"/>
      <c r="K249" s="94"/>
      <c r="L249" s="94"/>
      <c r="M249" s="94"/>
      <c r="N249" s="94"/>
      <c r="O249" s="94"/>
    </row>
    <row r="250" spans="2:15">
      <c r="B250" s="94"/>
      <c r="C250" s="94"/>
      <c r="D250" s="94"/>
      <c r="E250" s="94"/>
      <c r="F250" s="94"/>
      <c r="G250" s="94"/>
      <c r="H250" s="94"/>
      <c r="I250" s="94"/>
      <c r="J250" s="94"/>
      <c r="K250" s="94"/>
      <c r="L250" s="94"/>
      <c r="M250" s="94"/>
      <c r="N250" s="94"/>
      <c r="O250" s="94"/>
    </row>
    <row r="251" spans="2:15">
      <c r="B251" s="94"/>
      <c r="C251" s="94"/>
      <c r="D251" s="94"/>
      <c r="E251" s="94"/>
      <c r="F251" s="94"/>
      <c r="G251" s="94"/>
      <c r="H251" s="94"/>
      <c r="I251" s="94"/>
      <c r="J251" s="94"/>
      <c r="K251" s="94"/>
      <c r="L251" s="94"/>
      <c r="M251" s="94"/>
      <c r="N251" s="94"/>
      <c r="O251" s="94"/>
    </row>
    <row r="252" spans="2:15">
      <c r="B252" s="94"/>
      <c r="C252" s="94"/>
      <c r="D252" s="94"/>
      <c r="E252" s="94"/>
      <c r="F252" s="94"/>
      <c r="G252" s="94"/>
      <c r="H252" s="94"/>
      <c r="I252" s="94"/>
      <c r="J252" s="94"/>
      <c r="K252" s="94"/>
      <c r="L252" s="94"/>
      <c r="M252" s="94"/>
      <c r="N252" s="94"/>
      <c r="O252" s="94"/>
    </row>
    <row r="253" spans="2:15">
      <c r="B253" s="94"/>
      <c r="C253" s="94"/>
      <c r="D253" s="94"/>
      <c r="E253" s="94"/>
      <c r="F253" s="94"/>
      <c r="G253" s="94"/>
      <c r="H253" s="94"/>
      <c r="I253" s="94"/>
      <c r="J253" s="94"/>
      <c r="K253" s="94"/>
      <c r="L253" s="94"/>
      <c r="M253" s="94"/>
      <c r="N253" s="94"/>
      <c r="O253" s="94"/>
    </row>
    <row r="254" spans="2:15">
      <c r="B254" s="94"/>
      <c r="C254" s="94"/>
      <c r="D254" s="94"/>
      <c r="E254" s="94"/>
      <c r="F254" s="94"/>
      <c r="G254" s="94"/>
      <c r="H254" s="94"/>
      <c r="I254" s="94"/>
      <c r="J254" s="94"/>
      <c r="K254" s="94"/>
      <c r="L254" s="94"/>
      <c r="M254" s="94"/>
      <c r="N254" s="94"/>
      <c r="O254" s="94"/>
    </row>
    <row r="255" spans="2:15">
      <c r="B255" s="94"/>
      <c r="C255" s="94"/>
      <c r="D255" s="94"/>
      <c r="E255" s="94"/>
      <c r="F255" s="94"/>
      <c r="G255" s="94"/>
      <c r="H255" s="94"/>
      <c r="I255" s="94"/>
      <c r="J255" s="94"/>
      <c r="K255" s="94"/>
      <c r="L255" s="94"/>
      <c r="M255" s="94"/>
      <c r="N255" s="94"/>
      <c r="O255" s="94"/>
    </row>
    <row r="256" spans="2:15">
      <c r="B256" s="94"/>
      <c r="C256" s="94"/>
      <c r="D256" s="94"/>
      <c r="E256" s="94"/>
      <c r="F256" s="94"/>
      <c r="G256" s="94"/>
      <c r="H256" s="94"/>
      <c r="I256" s="94"/>
      <c r="J256" s="94"/>
      <c r="K256" s="94"/>
      <c r="L256" s="94"/>
      <c r="M256" s="94"/>
      <c r="N256" s="94"/>
      <c r="O256" s="94"/>
    </row>
    <row r="257" spans="2:15">
      <c r="B257" s="94"/>
      <c r="C257" s="94"/>
      <c r="D257" s="94"/>
      <c r="E257" s="94"/>
      <c r="F257" s="94"/>
      <c r="G257" s="94"/>
      <c r="H257" s="94"/>
      <c r="I257" s="94"/>
      <c r="J257" s="94"/>
      <c r="K257" s="94"/>
      <c r="L257" s="94"/>
      <c r="M257" s="94"/>
      <c r="N257" s="94"/>
      <c r="O257" s="94"/>
    </row>
    <row r="258" spans="2:15">
      <c r="B258" s="94"/>
      <c r="C258" s="94"/>
      <c r="D258" s="94"/>
      <c r="E258" s="94"/>
      <c r="F258" s="94"/>
      <c r="G258" s="94"/>
      <c r="H258" s="94"/>
      <c r="I258" s="94"/>
      <c r="J258" s="94"/>
      <c r="K258" s="94"/>
      <c r="L258" s="94"/>
      <c r="M258" s="94"/>
      <c r="N258" s="94"/>
      <c r="O258" s="94"/>
    </row>
    <row r="259" spans="2:15">
      <c r="B259" s="94"/>
      <c r="C259" s="94"/>
      <c r="D259" s="94"/>
      <c r="E259" s="94"/>
      <c r="F259" s="94"/>
      <c r="G259" s="94"/>
      <c r="H259" s="94"/>
      <c r="I259" s="94"/>
      <c r="J259" s="94"/>
      <c r="K259" s="94"/>
      <c r="L259" s="94"/>
      <c r="M259" s="94"/>
      <c r="N259" s="94"/>
      <c r="O259" s="94"/>
    </row>
    <row r="260" spans="2:15">
      <c r="B260" s="94"/>
      <c r="C260" s="94"/>
      <c r="D260" s="94"/>
      <c r="E260" s="94"/>
      <c r="F260" s="94"/>
      <c r="G260" s="94"/>
      <c r="H260" s="94"/>
      <c r="I260" s="94"/>
      <c r="J260" s="94"/>
      <c r="K260" s="94"/>
      <c r="L260" s="94"/>
      <c r="M260" s="94"/>
      <c r="N260" s="94"/>
      <c r="O260" s="94"/>
    </row>
    <row r="261" spans="2:15">
      <c r="B261" s="94"/>
      <c r="C261" s="94"/>
      <c r="D261" s="94"/>
      <c r="E261" s="94"/>
      <c r="F261" s="94"/>
      <c r="G261" s="94"/>
      <c r="H261" s="94"/>
      <c r="I261" s="94"/>
      <c r="J261" s="94"/>
      <c r="K261" s="94"/>
      <c r="L261" s="94"/>
      <c r="M261" s="94"/>
      <c r="N261" s="94"/>
      <c r="O261" s="94"/>
    </row>
    <row r="262" spans="2:15">
      <c r="B262" s="94"/>
      <c r="C262" s="94"/>
      <c r="D262" s="94"/>
      <c r="E262" s="94"/>
      <c r="F262" s="94"/>
      <c r="G262" s="94"/>
      <c r="H262" s="94"/>
      <c r="I262" s="94"/>
      <c r="J262" s="94"/>
      <c r="K262" s="94"/>
      <c r="L262" s="94"/>
      <c r="M262" s="94"/>
      <c r="N262" s="94"/>
      <c r="O262" s="94"/>
    </row>
    <row r="263" spans="2:15">
      <c r="B263" s="94"/>
      <c r="C263" s="94"/>
      <c r="D263" s="94"/>
      <c r="E263" s="94"/>
      <c r="F263" s="94"/>
      <c r="G263" s="94"/>
      <c r="H263" s="94"/>
      <c r="I263" s="94"/>
      <c r="J263" s="94"/>
      <c r="K263" s="94"/>
      <c r="L263" s="94"/>
      <c r="M263" s="94"/>
      <c r="N263" s="94"/>
      <c r="O263" s="94"/>
    </row>
    <row r="264" spans="2:15">
      <c r="B264" s="94"/>
      <c r="C264" s="94"/>
      <c r="D264" s="94"/>
      <c r="E264" s="94"/>
      <c r="F264" s="94"/>
      <c r="G264" s="94"/>
      <c r="H264" s="94"/>
      <c r="I264" s="94"/>
      <c r="J264" s="94"/>
      <c r="K264" s="94"/>
      <c r="L264" s="94"/>
      <c r="M264" s="94"/>
      <c r="N264" s="94"/>
      <c r="O264" s="94"/>
    </row>
    <row r="265" spans="2:15">
      <c r="B265" s="94"/>
      <c r="C265" s="94"/>
      <c r="D265" s="94"/>
      <c r="E265" s="94"/>
      <c r="F265" s="94"/>
      <c r="G265" s="94"/>
      <c r="H265" s="94"/>
      <c r="I265" s="94"/>
      <c r="J265" s="94"/>
      <c r="K265" s="94"/>
      <c r="L265" s="94"/>
      <c r="M265" s="94"/>
      <c r="N265" s="94"/>
      <c r="O265" s="94"/>
    </row>
    <row r="266" spans="2:15">
      <c r="B266" s="94"/>
      <c r="C266" s="94"/>
      <c r="D266" s="94"/>
      <c r="E266" s="94"/>
      <c r="F266" s="94"/>
      <c r="G266" s="94"/>
      <c r="H266" s="94"/>
      <c r="I266" s="94"/>
      <c r="J266" s="94"/>
      <c r="K266" s="94"/>
      <c r="L266" s="94"/>
      <c r="M266" s="94"/>
      <c r="N266" s="94"/>
      <c r="O266" s="94"/>
    </row>
    <row r="267" spans="2:15">
      <c r="B267" s="94"/>
      <c r="C267" s="94"/>
      <c r="D267" s="94"/>
      <c r="E267" s="94"/>
      <c r="F267" s="94"/>
      <c r="G267" s="94"/>
      <c r="H267" s="94"/>
      <c r="I267" s="94"/>
      <c r="J267" s="94"/>
      <c r="K267" s="94"/>
      <c r="L267" s="94"/>
      <c r="M267" s="94"/>
      <c r="N267" s="94"/>
      <c r="O267" s="94"/>
    </row>
    <row r="268" spans="2:15">
      <c r="B268" s="94"/>
      <c r="C268" s="94"/>
      <c r="D268" s="94"/>
      <c r="E268" s="94"/>
      <c r="F268" s="94"/>
      <c r="G268" s="94"/>
      <c r="H268" s="94"/>
      <c r="I268" s="94"/>
      <c r="J268" s="94"/>
      <c r="K268" s="94"/>
      <c r="L268" s="94"/>
      <c r="M268" s="94"/>
      <c r="N268" s="94"/>
      <c r="O268" s="94"/>
    </row>
    <row r="269" spans="2:15">
      <c r="B269" s="94"/>
      <c r="C269" s="94"/>
      <c r="D269" s="94"/>
      <c r="E269" s="94"/>
      <c r="F269" s="94"/>
      <c r="G269" s="94"/>
      <c r="H269" s="94"/>
      <c r="I269" s="94"/>
      <c r="J269" s="94"/>
      <c r="K269" s="94"/>
      <c r="L269" s="94"/>
      <c r="M269" s="94"/>
      <c r="N269" s="94"/>
      <c r="O269" s="94"/>
    </row>
    <row r="270" spans="2:15">
      <c r="B270" s="94"/>
      <c r="C270" s="94"/>
      <c r="D270" s="94"/>
      <c r="E270" s="94"/>
      <c r="F270" s="94"/>
      <c r="G270" s="94"/>
      <c r="H270" s="94"/>
      <c r="I270" s="94"/>
      <c r="J270" s="94"/>
      <c r="K270" s="94"/>
      <c r="L270" s="94"/>
      <c r="M270" s="94"/>
      <c r="N270" s="94"/>
      <c r="O270" s="94"/>
    </row>
    <row r="271" spans="2:15">
      <c r="B271" s="94"/>
      <c r="C271" s="94"/>
      <c r="D271" s="94"/>
      <c r="E271" s="94"/>
      <c r="F271" s="94"/>
      <c r="G271" s="94"/>
      <c r="H271" s="94"/>
      <c r="I271" s="94"/>
      <c r="J271" s="94"/>
      <c r="K271" s="94"/>
      <c r="L271" s="94"/>
      <c r="M271" s="94"/>
      <c r="N271" s="94"/>
      <c r="O271" s="94"/>
    </row>
    <row r="272" spans="2:15">
      <c r="B272" s="94"/>
      <c r="C272" s="94"/>
      <c r="D272" s="94"/>
      <c r="E272" s="94"/>
      <c r="F272" s="94"/>
      <c r="G272" s="94"/>
      <c r="H272" s="94"/>
      <c r="I272" s="94"/>
      <c r="J272" s="94"/>
      <c r="K272" s="94"/>
      <c r="L272" s="94"/>
      <c r="M272" s="94"/>
      <c r="N272" s="94"/>
      <c r="O272" s="94"/>
    </row>
    <row r="273" spans="2:15">
      <c r="B273" s="94"/>
      <c r="C273" s="94"/>
      <c r="D273" s="94"/>
      <c r="E273" s="94"/>
      <c r="F273" s="94"/>
      <c r="G273" s="94"/>
      <c r="H273" s="94"/>
      <c r="I273" s="94"/>
      <c r="J273" s="94"/>
      <c r="K273" s="94"/>
      <c r="L273" s="94"/>
      <c r="M273" s="94"/>
      <c r="N273" s="94"/>
      <c r="O273" s="94"/>
    </row>
    <row r="274" spans="2:15">
      <c r="B274" s="94"/>
      <c r="C274" s="94"/>
      <c r="D274" s="94"/>
      <c r="E274" s="94"/>
      <c r="F274" s="94"/>
      <c r="G274" s="94"/>
      <c r="H274" s="94"/>
      <c r="I274" s="94"/>
      <c r="J274" s="94"/>
      <c r="K274" s="94"/>
      <c r="L274" s="94"/>
      <c r="M274" s="94"/>
      <c r="N274" s="94"/>
      <c r="O274" s="94"/>
    </row>
    <row r="275" spans="2:15">
      <c r="B275" s="94"/>
      <c r="C275" s="94"/>
      <c r="D275" s="94"/>
      <c r="E275" s="94"/>
      <c r="F275" s="94"/>
      <c r="G275" s="94"/>
      <c r="H275" s="94"/>
      <c r="I275" s="94"/>
      <c r="J275" s="94"/>
      <c r="K275" s="94"/>
      <c r="L275" s="94"/>
      <c r="M275" s="94"/>
      <c r="N275" s="94"/>
      <c r="O275" s="94"/>
    </row>
    <row r="276" spans="2:15">
      <c r="B276" s="94"/>
      <c r="C276" s="94"/>
      <c r="D276" s="94"/>
      <c r="E276" s="94"/>
      <c r="F276" s="94"/>
      <c r="G276" s="94"/>
      <c r="H276" s="94"/>
      <c r="I276" s="94"/>
      <c r="J276" s="94"/>
      <c r="K276" s="94"/>
      <c r="L276" s="94"/>
      <c r="M276" s="94"/>
      <c r="N276" s="94"/>
      <c r="O276" s="94"/>
    </row>
    <row r="277" spans="2:15">
      <c r="B277" s="94"/>
      <c r="C277" s="94"/>
      <c r="D277" s="94"/>
      <c r="E277" s="94"/>
      <c r="F277" s="94"/>
      <c r="G277" s="94"/>
      <c r="H277" s="94"/>
      <c r="I277" s="94"/>
      <c r="J277" s="94"/>
      <c r="K277" s="94"/>
      <c r="L277" s="94"/>
      <c r="M277" s="94"/>
      <c r="N277" s="94"/>
      <c r="O277" s="94"/>
    </row>
    <row r="278" spans="2:15">
      <c r="B278" s="94"/>
      <c r="C278" s="94"/>
      <c r="D278" s="94"/>
      <c r="E278" s="94"/>
      <c r="F278" s="94"/>
      <c r="G278" s="94"/>
      <c r="H278" s="94"/>
      <c r="I278" s="94"/>
      <c r="J278" s="94"/>
      <c r="K278" s="94"/>
      <c r="L278" s="94"/>
      <c r="M278" s="94"/>
      <c r="N278" s="94"/>
      <c r="O278" s="94"/>
    </row>
    <row r="279" spans="2:15">
      <c r="B279" s="94"/>
      <c r="C279" s="94"/>
      <c r="D279" s="94"/>
      <c r="E279" s="94"/>
      <c r="F279" s="94"/>
      <c r="G279" s="94"/>
      <c r="H279" s="94"/>
      <c r="I279" s="94"/>
      <c r="J279" s="94"/>
      <c r="K279" s="94"/>
      <c r="L279" s="94"/>
      <c r="M279" s="94"/>
      <c r="N279" s="94"/>
      <c r="O279" s="94"/>
    </row>
    <row r="280" spans="2:15">
      <c r="B280" s="94"/>
      <c r="C280" s="94"/>
      <c r="D280" s="94"/>
      <c r="E280" s="94"/>
      <c r="F280" s="94"/>
      <c r="G280" s="94"/>
      <c r="H280" s="94"/>
      <c r="I280" s="94"/>
      <c r="J280" s="94"/>
      <c r="K280" s="94"/>
      <c r="L280" s="94"/>
      <c r="M280" s="94"/>
      <c r="N280" s="94"/>
      <c r="O280" s="94"/>
    </row>
    <row r="281" spans="2:15">
      <c r="B281" s="94"/>
      <c r="C281" s="94"/>
      <c r="D281" s="94"/>
      <c r="E281" s="94"/>
      <c r="F281" s="94"/>
      <c r="G281" s="94"/>
      <c r="H281" s="94"/>
      <c r="I281" s="94"/>
      <c r="J281" s="94"/>
      <c r="K281" s="94"/>
      <c r="L281" s="94"/>
      <c r="M281" s="94"/>
      <c r="N281" s="94"/>
      <c r="O281" s="94"/>
    </row>
    <row r="282" spans="2:15">
      <c r="B282" s="94"/>
      <c r="C282" s="94"/>
      <c r="D282" s="94"/>
      <c r="E282" s="94"/>
      <c r="F282" s="94"/>
      <c r="G282" s="94"/>
      <c r="H282" s="94"/>
      <c r="I282" s="94"/>
      <c r="J282" s="94"/>
      <c r="K282" s="94"/>
      <c r="L282" s="94"/>
      <c r="M282" s="94"/>
      <c r="N282" s="94"/>
      <c r="O282" s="94"/>
    </row>
    <row r="283" spans="2:15">
      <c r="B283" s="94"/>
      <c r="C283" s="94"/>
      <c r="D283" s="94"/>
      <c r="E283" s="94"/>
      <c r="F283" s="94"/>
      <c r="G283" s="94"/>
      <c r="H283" s="94"/>
      <c r="I283" s="94"/>
      <c r="J283" s="94"/>
      <c r="K283" s="94"/>
      <c r="L283" s="94"/>
      <c r="M283" s="94"/>
      <c r="N283" s="94"/>
      <c r="O283" s="94"/>
    </row>
    <row r="284" spans="2:15">
      <c r="B284" s="94"/>
      <c r="C284" s="94"/>
      <c r="D284" s="94"/>
      <c r="E284" s="94"/>
      <c r="F284" s="94"/>
      <c r="G284" s="94"/>
      <c r="H284" s="94"/>
      <c r="I284" s="94"/>
      <c r="J284" s="94"/>
      <c r="K284" s="94"/>
      <c r="L284" s="94"/>
      <c r="M284" s="94"/>
      <c r="N284" s="94"/>
      <c r="O284" s="94"/>
    </row>
    <row r="285" spans="2:15">
      <c r="B285" s="94"/>
      <c r="C285" s="94"/>
      <c r="D285" s="94"/>
      <c r="E285" s="94"/>
      <c r="F285" s="94"/>
      <c r="G285" s="94"/>
      <c r="H285" s="94"/>
      <c r="I285" s="94"/>
      <c r="J285" s="94"/>
      <c r="K285" s="94"/>
      <c r="L285" s="94"/>
      <c r="M285" s="94"/>
      <c r="N285" s="94"/>
      <c r="O285" s="94"/>
    </row>
    <row r="286" spans="2:15">
      <c r="B286" s="94"/>
      <c r="C286" s="94"/>
      <c r="D286" s="94"/>
      <c r="E286" s="94"/>
      <c r="F286" s="94"/>
      <c r="G286" s="94"/>
      <c r="H286" s="94"/>
      <c r="I286" s="94"/>
      <c r="J286" s="94"/>
      <c r="K286" s="94"/>
      <c r="L286" s="94"/>
      <c r="M286" s="94"/>
      <c r="N286" s="94"/>
      <c r="O286" s="94"/>
    </row>
    <row r="287" spans="2:15">
      <c r="B287" s="94"/>
      <c r="C287" s="94"/>
      <c r="D287" s="94"/>
      <c r="E287" s="94"/>
      <c r="F287" s="94"/>
      <c r="G287" s="94"/>
      <c r="H287" s="94"/>
      <c r="I287" s="94"/>
      <c r="J287" s="94"/>
      <c r="K287" s="94"/>
      <c r="L287" s="94"/>
      <c r="M287" s="94"/>
      <c r="N287" s="94"/>
      <c r="O287" s="94"/>
    </row>
    <row r="288" spans="2:15">
      <c r="B288" s="94"/>
      <c r="C288" s="94"/>
      <c r="D288" s="94"/>
      <c r="E288" s="94"/>
      <c r="F288" s="94"/>
      <c r="G288" s="94"/>
      <c r="H288" s="94"/>
      <c r="I288" s="94"/>
      <c r="J288" s="94"/>
      <c r="K288" s="94"/>
      <c r="L288" s="94"/>
      <c r="M288" s="94"/>
      <c r="N288" s="94"/>
      <c r="O288" s="94"/>
    </row>
    <row r="289" spans="2:15">
      <c r="B289" s="94"/>
      <c r="C289" s="94"/>
      <c r="D289" s="94"/>
      <c r="E289" s="94"/>
      <c r="F289" s="94"/>
      <c r="G289" s="94"/>
      <c r="H289" s="94"/>
      <c r="I289" s="94"/>
      <c r="J289" s="94"/>
      <c r="K289" s="94"/>
      <c r="L289" s="94"/>
      <c r="M289" s="94"/>
      <c r="N289" s="94"/>
      <c r="O289" s="94"/>
    </row>
    <row r="290" spans="2:15">
      <c r="B290" s="94"/>
      <c r="C290" s="94"/>
      <c r="D290" s="94"/>
      <c r="E290" s="94"/>
      <c r="F290" s="94"/>
      <c r="G290" s="94"/>
      <c r="H290" s="94"/>
      <c r="I290" s="94"/>
      <c r="J290" s="94"/>
      <c r="K290" s="94"/>
      <c r="L290" s="94"/>
      <c r="M290" s="94"/>
      <c r="N290" s="94"/>
      <c r="O290" s="94"/>
    </row>
    <row r="291" spans="2:15">
      <c r="B291" s="94"/>
      <c r="C291" s="94"/>
      <c r="D291" s="94"/>
      <c r="E291" s="94"/>
      <c r="F291" s="94"/>
      <c r="G291" s="94"/>
      <c r="H291" s="94"/>
      <c r="I291" s="94"/>
      <c r="J291" s="94"/>
      <c r="K291" s="94"/>
      <c r="L291" s="94"/>
      <c r="M291" s="94"/>
      <c r="N291" s="94"/>
      <c r="O291" s="94"/>
    </row>
    <row r="292" spans="2:15">
      <c r="B292" s="94"/>
      <c r="C292" s="94"/>
      <c r="D292" s="94"/>
      <c r="E292" s="94"/>
      <c r="F292" s="94"/>
      <c r="G292" s="94"/>
      <c r="H292" s="94"/>
      <c r="I292" s="94"/>
      <c r="J292" s="94"/>
      <c r="K292" s="94"/>
      <c r="L292" s="94"/>
      <c r="M292" s="94"/>
      <c r="N292" s="94"/>
      <c r="O292" s="94"/>
    </row>
    <row r="293" spans="2:15">
      <c r="B293" s="94"/>
      <c r="C293" s="94"/>
      <c r="D293" s="94"/>
      <c r="E293" s="94"/>
      <c r="F293" s="94"/>
      <c r="G293" s="94"/>
      <c r="H293" s="94"/>
      <c r="I293" s="94"/>
      <c r="J293" s="94"/>
      <c r="K293" s="94"/>
      <c r="L293" s="94"/>
      <c r="M293" s="94"/>
      <c r="N293" s="94"/>
      <c r="O293" s="94"/>
    </row>
    <row r="294" spans="2:15">
      <c r="B294" s="94"/>
      <c r="C294" s="94"/>
      <c r="D294" s="94"/>
      <c r="E294" s="94"/>
      <c r="F294" s="94"/>
      <c r="G294" s="94"/>
      <c r="H294" s="94"/>
      <c r="I294" s="94"/>
      <c r="J294" s="94"/>
      <c r="K294" s="94"/>
      <c r="L294" s="94"/>
      <c r="M294" s="94"/>
      <c r="N294" s="94"/>
      <c r="O294" s="94"/>
    </row>
    <row r="295" spans="2:15">
      <c r="B295" s="94"/>
      <c r="C295" s="94"/>
      <c r="D295" s="94"/>
      <c r="E295" s="94"/>
      <c r="F295" s="94"/>
      <c r="G295" s="94"/>
      <c r="H295" s="94"/>
      <c r="I295" s="94"/>
      <c r="J295" s="94"/>
      <c r="K295" s="94"/>
      <c r="L295" s="94"/>
      <c r="M295" s="94"/>
      <c r="N295" s="94"/>
      <c r="O295" s="94"/>
    </row>
    <row r="296" spans="2:15">
      <c r="B296" s="94"/>
      <c r="C296" s="94"/>
      <c r="D296" s="94"/>
      <c r="E296" s="94"/>
      <c r="F296" s="94"/>
      <c r="G296" s="94"/>
      <c r="H296" s="94"/>
      <c r="I296" s="94"/>
      <c r="J296" s="94"/>
      <c r="K296" s="94"/>
      <c r="L296" s="94"/>
      <c r="M296" s="94"/>
      <c r="N296" s="94"/>
      <c r="O296" s="94"/>
    </row>
    <row r="297" spans="2:15">
      <c r="B297" s="94"/>
      <c r="C297" s="94"/>
      <c r="D297" s="94"/>
      <c r="E297" s="94"/>
      <c r="F297" s="94"/>
      <c r="G297" s="94"/>
      <c r="H297" s="94"/>
      <c r="I297" s="94"/>
      <c r="J297" s="94"/>
      <c r="K297" s="94"/>
      <c r="L297" s="94"/>
      <c r="M297" s="94"/>
      <c r="N297" s="94"/>
      <c r="O297" s="94"/>
    </row>
    <row r="298" spans="2:15">
      <c r="B298" s="94"/>
      <c r="C298" s="94"/>
      <c r="D298" s="94"/>
      <c r="E298" s="94"/>
      <c r="F298" s="94"/>
      <c r="G298" s="94"/>
      <c r="H298" s="94"/>
      <c r="I298" s="94"/>
      <c r="J298" s="94"/>
      <c r="K298" s="94"/>
      <c r="L298" s="94"/>
      <c r="M298" s="94"/>
      <c r="N298" s="94"/>
      <c r="O298" s="94"/>
    </row>
    <row r="299" spans="2:15">
      <c r="B299" s="94"/>
      <c r="C299" s="94"/>
      <c r="D299" s="94"/>
      <c r="E299" s="94"/>
      <c r="F299" s="94"/>
      <c r="G299" s="94"/>
      <c r="H299" s="94"/>
      <c r="I299" s="94"/>
      <c r="J299" s="94"/>
      <c r="K299" s="94"/>
      <c r="L299" s="94"/>
      <c r="M299" s="94"/>
      <c r="N299" s="94"/>
      <c r="O299" s="94"/>
    </row>
    <row r="300" spans="2:15">
      <c r="B300" s="94"/>
      <c r="C300" s="94"/>
      <c r="D300" s="94"/>
      <c r="E300" s="94"/>
      <c r="F300" s="94"/>
      <c r="G300" s="94"/>
      <c r="H300" s="94"/>
      <c r="I300" s="94"/>
      <c r="J300" s="94"/>
      <c r="K300" s="94"/>
      <c r="L300" s="94"/>
      <c r="M300" s="94"/>
      <c r="N300" s="94"/>
      <c r="O300" s="94"/>
    </row>
    <row r="301" spans="2:15">
      <c r="B301" s="94"/>
      <c r="C301" s="94"/>
      <c r="D301" s="94"/>
      <c r="E301" s="94"/>
      <c r="F301" s="94"/>
      <c r="G301" s="94"/>
      <c r="H301" s="94"/>
      <c r="I301" s="94"/>
      <c r="J301" s="94"/>
      <c r="K301" s="94"/>
      <c r="L301" s="94"/>
      <c r="M301" s="94"/>
      <c r="N301" s="94"/>
      <c r="O301" s="94"/>
    </row>
    <row r="302" spans="2:15">
      <c r="B302" s="94"/>
      <c r="C302" s="94"/>
      <c r="D302" s="94"/>
      <c r="E302" s="94"/>
      <c r="F302" s="94"/>
      <c r="G302" s="94"/>
      <c r="H302" s="94"/>
      <c r="I302" s="94"/>
      <c r="J302" s="94"/>
      <c r="K302" s="94"/>
      <c r="L302" s="94"/>
      <c r="M302" s="94"/>
      <c r="N302" s="94"/>
      <c r="O302" s="94"/>
    </row>
    <row r="303" spans="2:15">
      <c r="B303" s="94"/>
      <c r="C303" s="94"/>
      <c r="D303" s="94"/>
      <c r="E303" s="94"/>
      <c r="F303" s="94"/>
      <c r="G303" s="94"/>
      <c r="H303" s="94"/>
      <c r="I303" s="94"/>
      <c r="J303" s="94"/>
      <c r="K303" s="94"/>
      <c r="L303" s="94"/>
      <c r="M303" s="94"/>
      <c r="N303" s="94"/>
      <c r="O303" s="94"/>
    </row>
    <row r="304" spans="2:15">
      <c r="B304" s="94"/>
      <c r="C304" s="94"/>
      <c r="D304" s="94"/>
      <c r="E304" s="94"/>
      <c r="F304" s="94"/>
      <c r="G304" s="94"/>
      <c r="H304" s="94"/>
      <c r="I304" s="94"/>
      <c r="J304" s="94"/>
      <c r="K304" s="94"/>
      <c r="L304" s="94"/>
      <c r="M304" s="94"/>
      <c r="N304" s="94"/>
      <c r="O304" s="94"/>
    </row>
    <row r="305" spans="2:15">
      <c r="B305" s="94"/>
      <c r="C305" s="94"/>
      <c r="D305" s="94"/>
      <c r="E305" s="94"/>
      <c r="F305" s="94"/>
      <c r="G305" s="94"/>
      <c r="H305" s="94"/>
      <c r="I305" s="94"/>
      <c r="J305" s="94"/>
      <c r="K305" s="94"/>
      <c r="L305" s="94"/>
      <c r="M305" s="94"/>
      <c r="N305" s="94"/>
      <c r="O305" s="94"/>
    </row>
    <row r="306" spans="2:15">
      <c r="B306" s="94"/>
      <c r="C306" s="94"/>
      <c r="D306" s="94"/>
      <c r="E306" s="94"/>
      <c r="F306" s="94"/>
      <c r="G306" s="94"/>
      <c r="H306" s="94"/>
      <c r="I306" s="94"/>
      <c r="J306" s="94"/>
      <c r="K306" s="94"/>
      <c r="L306" s="94"/>
      <c r="M306" s="94"/>
      <c r="N306" s="94"/>
      <c r="O306" s="94"/>
    </row>
    <row r="307" spans="2:15">
      <c r="B307" s="94"/>
      <c r="C307" s="94"/>
      <c r="D307" s="94"/>
      <c r="E307" s="94"/>
      <c r="F307" s="94"/>
      <c r="G307" s="94"/>
      <c r="H307" s="94"/>
      <c r="I307" s="94"/>
      <c r="J307" s="94"/>
      <c r="K307" s="94"/>
      <c r="L307" s="94"/>
      <c r="M307" s="94"/>
      <c r="N307" s="94"/>
      <c r="O307" s="94"/>
    </row>
    <row r="308" spans="2:15">
      <c r="B308" s="94"/>
      <c r="C308" s="94"/>
      <c r="D308" s="94"/>
      <c r="E308" s="94"/>
      <c r="F308" s="94"/>
      <c r="G308" s="94"/>
      <c r="H308" s="94"/>
      <c r="I308" s="94"/>
      <c r="J308" s="94"/>
      <c r="K308" s="94"/>
      <c r="L308" s="94"/>
      <c r="M308" s="94"/>
      <c r="N308" s="94"/>
      <c r="O308" s="94"/>
    </row>
    <row r="309" spans="2:15">
      <c r="B309" s="94"/>
      <c r="C309" s="94"/>
      <c r="D309" s="94"/>
      <c r="E309" s="94"/>
      <c r="F309" s="94"/>
      <c r="G309" s="94"/>
      <c r="H309" s="94"/>
      <c r="I309" s="94"/>
      <c r="J309" s="94"/>
      <c r="K309" s="94"/>
      <c r="L309" s="94"/>
      <c r="M309" s="94"/>
      <c r="N309" s="94"/>
      <c r="O309" s="94"/>
    </row>
    <row r="310" spans="2:15">
      <c r="B310" s="94"/>
      <c r="C310" s="94"/>
      <c r="D310" s="94"/>
      <c r="E310" s="94"/>
      <c r="F310" s="94"/>
      <c r="G310" s="94"/>
      <c r="H310" s="94"/>
      <c r="I310" s="94"/>
      <c r="J310" s="94"/>
      <c r="K310" s="94"/>
      <c r="L310" s="94"/>
      <c r="M310" s="94"/>
      <c r="N310" s="94"/>
      <c r="O310" s="94"/>
    </row>
    <row r="311" spans="2:15">
      <c r="B311" s="94"/>
      <c r="C311" s="94"/>
      <c r="D311" s="94"/>
      <c r="E311" s="94"/>
      <c r="F311" s="94"/>
      <c r="G311" s="94"/>
      <c r="H311" s="94"/>
      <c r="I311" s="94"/>
      <c r="J311" s="94"/>
      <c r="K311" s="94"/>
      <c r="L311" s="94"/>
      <c r="M311" s="94"/>
      <c r="N311" s="94"/>
      <c r="O311" s="94"/>
    </row>
    <row r="312" spans="2:15">
      <c r="B312" s="94"/>
      <c r="C312" s="94"/>
      <c r="D312" s="94"/>
      <c r="E312" s="94"/>
      <c r="F312" s="94"/>
      <c r="G312" s="94"/>
      <c r="H312" s="94"/>
      <c r="I312" s="94"/>
      <c r="J312" s="94"/>
      <c r="K312" s="94"/>
      <c r="L312" s="94"/>
      <c r="M312" s="94"/>
      <c r="N312" s="94"/>
      <c r="O312" s="94"/>
    </row>
    <row r="313" spans="2:15">
      <c r="B313" s="94"/>
      <c r="C313" s="94"/>
      <c r="D313" s="94"/>
      <c r="E313" s="94"/>
      <c r="F313" s="94"/>
      <c r="G313" s="94"/>
      <c r="H313" s="94"/>
      <c r="I313" s="94"/>
      <c r="J313" s="94"/>
      <c r="K313" s="94"/>
      <c r="L313" s="94"/>
      <c r="M313" s="94"/>
      <c r="N313" s="94"/>
      <c r="O313" s="94"/>
    </row>
    <row r="314" spans="2:15">
      <c r="B314" s="94"/>
      <c r="C314" s="94"/>
      <c r="D314" s="94"/>
      <c r="E314" s="94"/>
      <c r="F314" s="94"/>
      <c r="G314" s="94"/>
      <c r="H314" s="94"/>
      <c r="I314" s="94"/>
      <c r="J314" s="94"/>
      <c r="K314" s="94"/>
      <c r="L314" s="94"/>
      <c r="M314" s="94"/>
      <c r="N314" s="94"/>
      <c r="O314" s="94"/>
    </row>
    <row r="315" spans="2:15">
      <c r="B315" s="94"/>
      <c r="C315" s="94"/>
      <c r="D315" s="94"/>
      <c r="E315" s="94"/>
      <c r="F315" s="94"/>
      <c r="G315" s="94"/>
      <c r="H315" s="94"/>
      <c r="I315" s="94"/>
      <c r="J315" s="94"/>
      <c r="K315" s="94"/>
      <c r="L315" s="94"/>
      <c r="M315" s="94"/>
      <c r="N315" s="94"/>
      <c r="O315" s="94"/>
    </row>
    <row r="316" spans="2:15">
      <c r="B316" s="94"/>
      <c r="C316" s="94"/>
      <c r="D316" s="94"/>
      <c r="E316" s="94"/>
      <c r="F316" s="94"/>
      <c r="G316" s="94"/>
      <c r="H316" s="94"/>
      <c r="I316" s="94"/>
      <c r="J316" s="94"/>
      <c r="K316" s="94"/>
      <c r="L316" s="94"/>
      <c r="M316" s="94"/>
      <c r="N316" s="94"/>
      <c r="O316" s="94"/>
    </row>
    <row r="317" spans="2:15">
      <c r="B317" s="94"/>
      <c r="C317" s="94"/>
      <c r="D317" s="94"/>
      <c r="E317" s="94"/>
      <c r="F317" s="94"/>
      <c r="G317" s="94"/>
      <c r="H317" s="94"/>
      <c r="I317" s="94"/>
      <c r="J317" s="94"/>
      <c r="K317" s="94"/>
      <c r="L317" s="94"/>
      <c r="M317" s="94"/>
      <c r="N317" s="94"/>
      <c r="O317" s="94"/>
    </row>
    <row r="318" spans="2:15">
      <c r="B318" s="94"/>
      <c r="C318" s="94"/>
      <c r="D318" s="94"/>
      <c r="E318" s="94"/>
      <c r="F318" s="94"/>
      <c r="G318" s="94"/>
      <c r="H318" s="94"/>
      <c r="I318" s="94"/>
      <c r="J318" s="94"/>
      <c r="K318" s="94"/>
      <c r="L318" s="94"/>
      <c r="M318" s="94"/>
      <c r="N318" s="94"/>
      <c r="O318" s="94"/>
    </row>
    <row r="319" spans="2:15">
      <c r="B319" s="94"/>
      <c r="C319" s="94"/>
      <c r="D319" s="94"/>
      <c r="E319" s="94"/>
      <c r="F319" s="94"/>
      <c r="G319" s="94"/>
      <c r="H319" s="94"/>
      <c r="I319" s="94"/>
      <c r="J319" s="94"/>
      <c r="K319" s="94"/>
      <c r="L319" s="94"/>
      <c r="M319" s="94"/>
      <c r="N319" s="94"/>
      <c r="O319" s="94"/>
    </row>
    <row r="320" spans="2:15">
      <c r="B320" s="94"/>
      <c r="C320" s="94"/>
      <c r="D320" s="94"/>
      <c r="E320" s="94"/>
      <c r="F320" s="94"/>
      <c r="G320" s="94"/>
      <c r="H320" s="94"/>
      <c r="I320" s="94"/>
      <c r="J320" s="94"/>
      <c r="K320" s="94"/>
      <c r="L320" s="94"/>
      <c r="M320" s="94"/>
      <c r="N320" s="94"/>
      <c r="O320" s="94"/>
    </row>
    <row r="321" spans="2:15">
      <c r="B321" s="94"/>
      <c r="C321" s="94"/>
      <c r="D321" s="94"/>
      <c r="E321" s="94"/>
      <c r="F321" s="94"/>
      <c r="G321" s="94"/>
      <c r="H321" s="94"/>
      <c r="I321" s="94"/>
      <c r="J321" s="94"/>
      <c r="K321" s="94"/>
      <c r="L321" s="94"/>
      <c r="M321" s="94"/>
      <c r="N321" s="94"/>
      <c r="O321" s="94"/>
    </row>
    <row r="322" spans="2:15">
      <c r="B322" s="94"/>
      <c r="C322" s="94"/>
      <c r="D322" s="94"/>
      <c r="E322" s="94"/>
      <c r="F322" s="94"/>
      <c r="G322" s="94"/>
      <c r="H322" s="94"/>
      <c r="I322" s="94"/>
      <c r="J322" s="94"/>
      <c r="K322" s="94"/>
      <c r="L322" s="94"/>
      <c r="M322" s="94"/>
      <c r="N322" s="94"/>
      <c r="O322" s="94"/>
    </row>
    <row r="323" spans="2:15">
      <c r="B323" s="94"/>
      <c r="C323" s="94"/>
      <c r="D323" s="94"/>
      <c r="E323" s="94"/>
      <c r="F323" s="94"/>
      <c r="G323" s="94"/>
      <c r="H323" s="94"/>
      <c r="I323" s="94"/>
      <c r="J323" s="94"/>
      <c r="K323" s="94"/>
      <c r="L323" s="94"/>
      <c r="M323" s="94"/>
      <c r="N323" s="94"/>
      <c r="O323" s="94"/>
    </row>
    <row r="324" spans="2:15">
      <c r="B324" s="94"/>
      <c r="C324" s="94"/>
      <c r="D324" s="94"/>
      <c r="E324" s="94"/>
      <c r="F324" s="94"/>
      <c r="G324" s="94"/>
      <c r="H324" s="94"/>
      <c r="I324" s="94"/>
      <c r="J324" s="94"/>
      <c r="K324" s="94"/>
      <c r="L324" s="94"/>
      <c r="M324" s="94"/>
      <c r="N324" s="94"/>
      <c r="O324" s="94"/>
    </row>
    <row r="325" spans="2:15">
      <c r="B325" s="94"/>
      <c r="C325" s="94"/>
      <c r="D325" s="94"/>
      <c r="E325" s="94"/>
      <c r="F325" s="94"/>
      <c r="G325" s="94"/>
      <c r="H325" s="94"/>
      <c r="I325" s="94"/>
      <c r="J325" s="94"/>
      <c r="K325" s="94"/>
      <c r="L325" s="94"/>
      <c r="M325" s="94"/>
      <c r="N325" s="94"/>
      <c r="O325" s="94"/>
    </row>
    <row r="326" spans="2:15">
      <c r="B326" s="94"/>
      <c r="C326" s="94"/>
      <c r="D326" s="94"/>
      <c r="E326" s="94"/>
      <c r="F326" s="94"/>
      <c r="G326" s="94"/>
      <c r="H326" s="94"/>
      <c r="I326" s="94"/>
      <c r="J326" s="94"/>
      <c r="K326" s="94"/>
      <c r="L326" s="94"/>
      <c r="M326" s="94"/>
      <c r="N326" s="94"/>
      <c r="O326" s="94"/>
    </row>
    <row r="327" spans="2:15">
      <c r="B327" s="94"/>
      <c r="C327" s="94"/>
      <c r="D327" s="94"/>
      <c r="E327" s="94"/>
      <c r="F327" s="94"/>
      <c r="G327" s="94"/>
      <c r="H327" s="94"/>
      <c r="I327" s="94"/>
      <c r="J327" s="94"/>
      <c r="K327" s="94"/>
      <c r="L327" s="94"/>
      <c r="M327" s="94"/>
      <c r="N327" s="94"/>
      <c r="O327" s="94"/>
    </row>
    <row r="328" spans="2:15">
      <c r="B328" s="94"/>
      <c r="C328" s="94"/>
      <c r="D328" s="94"/>
      <c r="E328" s="94"/>
      <c r="F328" s="94"/>
      <c r="G328" s="94"/>
      <c r="H328" s="94"/>
      <c r="I328" s="94"/>
      <c r="J328" s="94"/>
      <c r="K328" s="94"/>
      <c r="L328" s="94"/>
      <c r="M328" s="94"/>
      <c r="N328" s="94"/>
      <c r="O328" s="94"/>
    </row>
    <row r="329" spans="2:15">
      <c r="B329" s="94"/>
      <c r="C329" s="94"/>
      <c r="D329" s="94"/>
      <c r="E329" s="94"/>
      <c r="F329" s="94"/>
      <c r="G329" s="94"/>
      <c r="H329" s="94"/>
      <c r="I329" s="94"/>
      <c r="J329" s="94"/>
      <c r="K329" s="94"/>
      <c r="L329" s="94"/>
      <c r="M329" s="94"/>
      <c r="N329" s="94"/>
      <c r="O329" s="94"/>
    </row>
    <row r="330" spans="2:15">
      <c r="B330" s="94"/>
      <c r="C330" s="94"/>
      <c r="D330" s="94"/>
      <c r="E330" s="94"/>
      <c r="F330" s="94"/>
      <c r="G330" s="94"/>
      <c r="H330" s="94"/>
      <c r="I330" s="94"/>
      <c r="J330" s="94"/>
      <c r="K330" s="94"/>
      <c r="L330" s="94"/>
      <c r="M330" s="94"/>
      <c r="N330" s="94"/>
      <c r="O330" s="94"/>
    </row>
    <row r="331" spans="2:15">
      <c r="B331" s="94"/>
      <c r="C331" s="94"/>
      <c r="D331" s="94"/>
      <c r="E331" s="94"/>
      <c r="F331" s="94"/>
      <c r="G331" s="94"/>
      <c r="H331" s="94"/>
      <c r="I331" s="94"/>
      <c r="J331" s="94"/>
      <c r="K331" s="94"/>
      <c r="L331" s="94"/>
      <c r="M331" s="94"/>
      <c r="N331" s="94"/>
      <c r="O331" s="94"/>
    </row>
    <row r="332" spans="2:15">
      <c r="B332" s="94"/>
      <c r="C332" s="94"/>
      <c r="D332" s="94"/>
      <c r="E332" s="94"/>
      <c r="F332" s="94"/>
      <c r="G332" s="94"/>
      <c r="H332" s="94"/>
      <c r="I332" s="94"/>
      <c r="J332" s="94"/>
      <c r="K332" s="94"/>
      <c r="L332" s="94"/>
      <c r="M332" s="94"/>
      <c r="N332" s="94"/>
      <c r="O332" s="94"/>
    </row>
    <row r="333" spans="2:15">
      <c r="B333" s="94"/>
      <c r="C333" s="94"/>
      <c r="D333" s="94"/>
      <c r="E333" s="94"/>
      <c r="F333" s="94"/>
      <c r="G333" s="94"/>
      <c r="H333" s="94"/>
      <c r="I333" s="94"/>
      <c r="J333" s="94"/>
      <c r="K333" s="94"/>
      <c r="L333" s="94"/>
      <c r="M333" s="94"/>
      <c r="N333" s="94"/>
      <c r="O333" s="94"/>
    </row>
    <row r="334" spans="2:15">
      <c r="B334" s="94"/>
      <c r="C334" s="94"/>
      <c r="D334" s="94"/>
      <c r="E334" s="94"/>
      <c r="F334" s="94"/>
      <c r="G334" s="94"/>
      <c r="H334" s="94"/>
      <c r="I334" s="94"/>
      <c r="J334" s="94"/>
      <c r="K334" s="94"/>
      <c r="L334" s="94"/>
      <c r="M334" s="94"/>
      <c r="N334" s="94"/>
      <c r="O334" s="94"/>
    </row>
    <row r="335" spans="2:15">
      <c r="B335" s="94"/>
      <c r="C335" s="94"/>
      <c r="D335" s="94"/>
      <c r="E335" s="94"/>
      <c r="F335" s="94"/>
      <c r="G335" s="94"/>
      <c r="H335" s="94"/>
      <c r="I335" s="94"/>
      <c r="J335" s="94"/>
      <c r="K335" s="94"/>
      <c r="L335" s="94"/>
      <c r="M335" s="94"/>
      <c r="N335" s="94"/>
      <c r="O335" s="94"/>
    </row>
    <row r="336" spans="2:15">
      <c r="B336" s="94"/>
      <c r="C336" s="94"/>
      <c r="D336" s="94"/>
      <c r="E336" s="94"/>
      <c r="F336" s="94"/>
      <c r="G336" s="94"/>
      <c r="H336" s="94"/>
      <c r="I336" s="94"/>
      <c r="J336" s="94"/>
      <c r="K336" s="94"/>
      <c r="L336" s="94"/>
      <c r="M336" s="94"/>
      <c r="N336" s="94"/>
      <c r="O336" s="94"/>
    </row>
    <row r="337" spans="2:15">
      <c r="B337" s="94"/>
      <c r="C337" s="94"/>
      <c r="D337" s="94"/>
      <c r="E337" s="94"/>
      <c r="F337" s="94"/>
      <c r="G337" s="94"/>
      <c r="H337" s="94"/>
      <c r="I337" s="94"/>
      <c r="J337" s="94"/>
      <c r="K337" s="94"/>
      <c r="L337" s="94"/>
      <c r="M337" s="94"/>
      <c r="N337" s="94"/>
      <c r="O337" s="94"/>
    </row>
    <row r="338" spans="2:15">
      <c r="B338" s="94"/>
      <c r="C338" s="94"/>
      <c r="D338" s="94"/>
      <c r="E338" s="94"/>
      <c r="F338" s="94"/>
      <c r="G338" s="94"/>
      <c r="H338" s="94"/>
      <c r="I338" s="94"/>
      <c r="J338" s="94"/>
      <c r="K338" s="94"/>
      <c r="L338" s="94"/>
      <c r="M338" s="94"/>
      <c r="N338" s="94"/>
      <c r="O338" s="94"/>
    </row>
    <row r="339" spans="2:15">
      <c r="B339" s="94"/>
      <c r="C339" s="94"/>
      <c r="D339" s="94"/>
      <c r="E339" s="94"/>
      <c r="F339" s="94"/>
      <c r="G339" s="94"/>
      <c r="H339" s="94"/>
      <c r="I339" s="94"/>
      <c r="J339" s="94"/>
      <c r="K339" s="94"/>
      <c r="L339" s="94"/>
      <c r="M339" s="94"/>
      <c r="N339" s="94"/>
      <c r="O339" s="94"/>
    </row>
    <row r="340" spans="2:15">
      <c r="B340" s="94"/>
      <c r="C340" s="94"/>
      <c r="D340" s="94"/>
      <c r="E340" s="94"/>
      <c r="F340" s="94"/>
      <c r="G340" s="94"/>
      <c r="H340" s="94"/>
      <c r="I340" s="94"/>
      <c r="J340" s="94"/>
      <c r="K340" s="94"/>
      <c r="L340" s="94"/>
      <c r="M340" s="94"/>
      <c r="N340" s="94"/>
      <c r="O340" s="94"/>
    </row>
    <row r="341" spans="2:15">
      <c r="B341" s="94"/>
      <c r="C341" s="94"/>
      <c r="D341" s="94"/>
      <c r="E341" s="94"/>
      <c r="F341" s="94"/>
      <c r="G341" s="94"/>
      <c r="H341" s="94"/>
      <c r="I341" s="94"/>
      <c r="J341" s="94"/>
      <c r="K341" s="94"/>
      <c r="L341" s="94"/>
      <c r="M341" s="94"/>
      <c r="N341" s="94"/>
      <c r="O341" s="94"/>
    </row>
    <row r="342" spans="2:15">
      <c r="B342" s="94"/>
      <c r="C342" s="94"/>
      <c r="D342" s="94"/>
      <c r="E342" s="94"/>
      <c r="F342" s="94"/>
      <c r="G342" s="94"/>
      <c r="H342" s="94"/>
      <c r="I342" s="94"/>
      <c r="J342" s="94"/>
      <c r="K342" s="94"/>
      <c r="L342" s="94"/>
      <c r="M342" s="94"/>
      <c r="N342" s="94"/>
      <c r="O342" s="94"/>
    </row>
    <row r="343" spans="2:15">
      <c r="B343" s="94"/>
      <c r="C343" s="94"/>
      <c r="D343" s="94"/>
      <c r="E343" s="94"/>
      <c r="F343" s="94"/>
      <c r="G343" s="94"/>
      <c r="H343" s="94"/>
      <c r="I343" s="94"/>
      <c r="J343" s="94"/>
      <c r="K343" s="94"/>
      <c r="L343" s="94"/>
      <c r="M343" s="94"/>
      <c r="N343" s="94"/>
      <c r="O343" s="94"/>
    </row>
    <row r="344" spans="2:15">
      <c r="B344" s="94"/>
      <c r="C344" s="94"/>
      <c r="D344" s="94"/>
      <c r="E344" s="94"/>
      <c r="F344" s="94"/>
      <c r="G344" s="94"/>
      <c r="H344" s="94"/>
      <c r="I344" s="94"/>
      <c r="J344" s="94"/>
      <c r="K344" s="94"/>
      <c r="L344" s="94"/>
      <c r="M344" s="94"/>
      <c r="N344" s="94"/>
      <c r="O344" s="94"/>
    </row>
    <row r="345" spans="2:15">
      <c r="B345" s="94"/>
      <c r="C345" s="94"/>
      <c r="D345" s="94"/>
      <c r="E345" s="94"/>
      <c r="F345" s="94"/>
      <c r="G345" s="94"/>
      <c r="H345" s="94"/>
      <c r="I345" s="94"/>
      <c r="J345" s="94"/>
      <c r="K345" s="94"/>
      <c r="L345" s="94"/>
      <c r="M345" s="94"/>
      <c r="N345" s="94"/>
      <c r="O345" s="94"/>
    </row>
    <row r="346" spans="2:15">
      <c r="B346" s="94"/>
      <c r="C346" s="94"/>
      <c r="D346" s="94"/>
      <c r="E346" s="94"/>
      <c r="F346" s="94"/>
      <c r="G346" s="94"/>
      <c r="H346" s="94"/>
      <c r="I346" s="94"/>
      <c r="J346" s="94"/>
      <c r="K346" s="94"/>
      <c r="L346" s="94"/>
      <c r="M346" s="94"/>
      <c r="N346" s="94"/>
      <c r="O346" s="94"/>
    </row>
    <row r="347" spans="2:15">
      <c r="B347" s="94"/>
      <c r="C347" s="94"/>
      <c r="D347" s="94"/>
      <c r="E347" s="94"/>
      <c r="F347" s="94"/>
      <c r="G347" s="94"/>
      <c r="H347" s="94"/>
      <c r="I347" s="94"/>
      <c r="J347" s="94"/>
      <c r="K347" s="94"/>
      <c r="L347" s="94"/>
      <c r="M347" s="94"/>
      <c r="N347" s="94"/>
      <c r="O347" s="94"/>
    </row>
    <row r="348" spans="2:15">
      <c r="B348" s="94"/>
      <c r="C348" s="94"/>
      <c r="D348" s="94"/>
      <c r="E348" s="94"/>
      <c r="F348" s="94"/>
      <c r="G348" s="94"/>
      <c r="H348" s="94"/>
      <c r="I348" s="94"/>
      <c r="J348" s="94"/>
      <c r="K348" s="94"/>
      <c r="L348" s="94"/>
      <c r="M348" s="94"/>
      <c r="N348" s="94"/>
      <c r="O348" s="94"/>
    </row>
    <row r="349" spans="2:15">
      <c r="B349" s="94"/>
      <c r="C349" s="94"/>
      <c r="D349" s="94"/>
      <c r="E349" s="94"/>
      <c r="F349" s="94"/>
      <c r="G349" s="94"/>
      <c r="H349" s="94"/>
      <c r="I349" s="94"/>
      <c r="J349" s="94"/>
      <c r="K349" s="94"/>
      <c r="L349" s="94"/>
      <c r="M349" s="94"/>
      <c r="N349" s="94"/>
      <c r="O349" s="94"/>
    </row>
    <row r="350" spans="2:15">
      <c r="B350" s="94"/>
      <c r="C350" s="94"/>
      <c r="D350" s="94"/>
      <c r="E350" s="94"/>
      <c r="F350" s="94"/>
      <c r="G350" s="94"/>
      <c r="H350" s="94"/>
      <c r="I350" s="94"/>
      <c r="J350" s="94"/>
      <c r="K350" s="94"/>
      <c r="L350" s="94"/>
      <c r="M350" s="94"/>
      <c r="N350" s="94"/>
      <c r="O350" s="94"/>
    </row>
    <row r="351" spans="2:15">
      <c r="B351" s="94"/>
      <c r="C351" s="94"/>
      <c r="D351" s="94"/>
      <c r="E351" s="94"/>
      <c r="F351" s="94"/>
      <c r="G351" s="94"/>
      <c r="H351" s="94"/>
      <c r="I351" s="94"/>
      <c r="J351" s="94"/>
      <c r="K351" s="94"/>
      <c r="L351" s="94"/>
      <c r="M351" s="94"/>
      <c r="N351" s="94"/>
      <c r="O351" s="94"/>
    </row>
    <row r="352" spans="2:15">
      <c r="B352" s="94"/>
      <c r="C352" s="94"/>
      <c r="D352" s="94"/>
      <c r="E352" s="94"/>
      <c r="F352" s="94"/>
      <c r="G352" s="94"/>
      <c r="H352" s="94"/>
      <c r="I352" s="94"/>
      <c r="J352" s="94"/>
      <c r="K352" s="94"/>
      <c r="L352" s="94"/>
      <c r="M352" s="94"/>
      <c r="N352" s="94"/>
      <c r="O352" s="94"/>
    </row>
    <row r="353" spans="2:15">
      <c r="B353" s="94"/>
      <c r="C353" s="94"/>
      <c r="D353" s="94"/>
      <c r="E353" s="94"/>
      <c r="F353" s="94"/>
      <c r="G353" s="94"/>
      <c r="H353" s="94"/>
      <c r="I353" s="94"/>
      <c r="J353" s="94"/>
      <c r="K353" s="94"/>
      <c r="L353" s="94"/>
      <c r="M353" s="94"/>
      <c r="N353" s="94"/>
      <c r="O353" s="94"/>
    </row>
    <row r="354" spans="2:15">
      <c r="B354" s="94"/>
      <c r="C354" s="94"/>
      <c r="D354" s="94"/>
      <c r="E354" s="94"/>
      <c r="F354" s="94"/>
      <c r="G354" s="94"/>
      <c r="H354" s="94"/>
      <c r="I354" s="94"/>
      <c r="J354" s="94"/>
      <c r="K354" s="94"/>
      <c r="L354" s="94"/>
      <c r="M354" s="94"/>
      <c r="N354" s="94"/>
      <c r="O354" s="94"/>
    </row>
    <row r="355" spans="2:15">
      <c r="B355" s="94"/>
      <c r="C355" s="94"/>
      <c r="D355" s="94"/>
      <c r="E355" s="94"/>
      <c r="F355" s="94"/>
      <c r="G355" s="94"/>
      <c r="H355" s="94"/>
      <c r="I355" s="94"/>
      <c r="J355" s="94"/>
      <c r="K355" s="94"/>
      <c r="L355" s="94"/>
      <c r="M355" s="94"/>
      <c r="N355" s="94"/>
      <c r="O355" s="94"/>
    </row>
    <row r="356" spans="2:15">
      <c r="B356" s="94"/>
      <c r="C356" s="94"/>
      <c r="D356" s="94"/>
      <c r="E356" s="94"/>
      <c r="F356" s="94"/>
      <c r="G356" s="94"/>
      <c r="H356" s="94"/>
      <c r="I356" s="94"/>
      <c r="J356" s="94"/>
      <c r="K356" s="94"/>
      <c r="L356" s="94"/>
      <c r="M356" s="94"/>
      <c r="N356" s="94"/>
      <c r="O356" s="94"/>
    </row>
    <row r="357" spans="2:15">
      <c r="B357" s="94"/>
      <c r="C357" s="94"/>
      <c r="D357" s="94"/>
      <c r="E357" s="94"/>
      <c r="F357" s="94"/>
      <c r="G357" s="94"/>
      <c r="H357" s="94"/>
      <c r="I357" s="94"/>
      <c r="J357" s="94"/>
      <c r="K357" s="94"/>
      <c r="L357" s="94"/>
      <c r="M357" s="94"/>
      <c r="N357" s="94"/>
      <c r="O357" s="94"/>
    </row>
    <row r="358" spans="2:15">
      <c r="B358" s="94"/>
      <c r="C358" s="94"/>
      <c r="D358" s="94"/>
      <c r="E358" s="94"/>
      <c r="F358" s="94"/>
      <c r="G358" s="94"/>
      <c r="H358" s="94"/>
      <c r="I358" s="94"/>
      <c r="J358" s="94"/>
      <c r="K358" s="94"/>
      <c r="L358" s="94"/>
      <c r="M358" s="94"/>
      <c r="N358" s="94"/>
      <c r="O358" s="94"/>
    </row>
    <row r="359" spans="2:15">
      <c r="B359" s="94"/>
      <c r="C359" s="94"/>
      <c r="D359" s="94"/>
      <c r="E359" s="94"/>
      <c r="F359" s="94"/>
      <c r="G359" s="94"/>
      <c r="H359" s="94"/>
      <c r="I359" s="94"/>
      <c r="J359" s="94"/>
      <c r="K359" s="94"/>
      <c r="L359" s="94"/>
      <c r="M359" s="94"/>
      <c r="N359" s="94"/>
      <c r="O359" s="94"/>
    </row>
    <row r="360" spans="2:15">
      <c r="B360" s="94"/>
      <c r="C360" s="94"/>
      <c r="D360" s="94"/>
      <c r="E360" s="94"/>
      <c r="F360" s="94"/>
      <c r="G360" s="94"/>
      <c r="H360" s="94"/>
      <c r="I360" s="94"/>
      <c r="J360" s="94"/>
      <c r="K360" s="94"/>
      <c r="L360" s="94"/>
      <c r="M360" s="94"/>
      <c r="N360" s="94"/>
      <c r="O360" s="94"/>
    </row>
    <row r="361" spans="2:15">
      <c r="B361" s="94"/>
      <c r="C361" s="94"/>
      <c r="D361" s="94"/>
      <c r="E361" s="94"/>
      <c r="F361" s="94"/>
      <c r="G361" s="94"/>
      <c r="H361" s="94"/>
      <c r="I361" s="94"/>
      <c r="J361" s="94"/>
      <c r="K361" s="94"/>
      <c r="L361" s="94"/>
      <c r="M361" s="94"/>
      <c r="N361" s="94"/>
      <c r="O361" s="94"/>
    </row>
    <row r="362" spans="2:15">
      <c r="B362" s="94"/>
      <c r="C362" s="94"/>
      <c r="D362" s="94"/>
      <c r="E362" s="94"/>
      <c r="F362" s="94"/>
      <c r="G362" s="94"/>
      <c r="H362" s="94"/>
      <c r="I362" s="94"/>
      <c r="J362" s="94"/>
      <c r="K362" s="94"/>
      <c r="L362" s="94"/>
      <c r="M362" s="94"/>
      <c r="N362" s="94"/>
      <c r="O362" s="94"/>
    </row>
    <row r="363" spans="2:15">
      <c r="B363" s="94"/>
      <c r="C363" s="94"/>
      <c r="D363" s="94"/>
      <c r="E363" s="94"/>
      <c r="F363" s="94"/>
      <c r="G363" s="94"/>
      <c r="H363" s="94"/>
      <c r="I363" s="94"/>
      <c r="J363" s="94"/>
      <c r="K363" s="94"/>
      <c r="L363" s="94"/>
      <c r="M363" s="94"/>
      <c r="N363" s="94"/>
      <c r="O363" s="94"/>
    </row>
    <row r="364" spans="2:15">
      <c r="B364" s="94"/>
      <c r="C364" s="94"/>
      <c r="D364" s="94"/>
      <c r="E364" s="94"/>
      <c r="F364" s="94"/>
      <c r="G364" s="94"/>
      <c r="H364" s="94"/>
      <c r="I364" s="94"/>
      <c r="J364" s="94"/>
      <c r="K364" s="94"/>
      <c r="L364" s="94"/>
      <c r="M364" s="94"/>
      <c r="N364" s="94"/>
      <c r="O364" s="94"/>
    </row>
    <row r="365" spans="2:15">
      <c r="B365" s="94"/>
      <c r="C365" s="94"/>
      <c r="D365" s="94"/>
      <c r="E365" s="94"/>
      <c r="F365" s="94"/>
      <c r="G365" s="94"/>
      <c r="H365" s="94"/>
      <c r="I365" s="94"/>
      <c r="J365" s="94"/>
      <c r="K365" s="94"/>
      <c r="L365" s="94"/>
      <c r="M365" s="94"/>
      <c r="N365" s="94"/>
      <c r="O365" s="94"/>
    </row>
    <row r="366" spans="2:15">
      <c r="B366" s="94"/>
      <c r="C366" s="94"/>
      <c r="D366" s="94"/>
      <c r="E366" s="94"/>
      <c r="F366" s="94"/>
      <c r="G366" s="94"/>
      <c r="H366" s="94"/>
      <c r="I366" s="94"/>
      <c r="J366" s="94"/>
      <c r="K366" s="94"/>
      <c r="L366" s="94"/>
      <c r="M366" s="94"/>
      <c r="N366" s="94"/>
      <c r="O366" s="94"/>
    </row>
    <row r="367" spans="2:15">
      <c r="B367" s="94"/>
      <c r="C367" s="94"/>
      <c r="D367" s="94"/>
      <c r="E367" s="94"/>
      <c r="F367" s="94"/>
      <c r="G367" s="94"/>
      <c r="H367" s="94"/>
      <c r="I367" s="94"/>
      <c r="J367" s="94"/>
      <c r="K367" s="94"/>
      <c r="L367" s="94"/>
      <c r="M367" s="94"/>
      <c r="N367" s="94"/>
      <c r="O367" s="94"/>
    </row>
    <row r="368" spans="2:15">
      <c r="B368" s="94"/>
      <c r="C368" s="94"/>
      <c r="D368" s="94"/>
      <c r="E368" s="94"/>
      <c r="F368" s="94"/>
      <c r="G368" s="94"/>
      <c r="H368" s="94"/>
      <c r="I368" s="94"/>
      <c r="J368" s="94"/>
      <c r="K368" s="94"/>
      <c r="L368" s="94"/>
      <c r="M368" s="94"/>
      <c r="N368" s="94"/>
      <c r="O368" s="94"/>
    </row>
    <row r="369" spans="2:15">
      <c r="B369" s="94"/>
      <c r="C369" s="94"/>
      <c r="D369" s="94"/>
      <c r="E369" s="94"/>
      <c r="F369" s="94"/>
      <c r="G369" s="94"/>
      <c r="H369" s="94"/>
      <c r="I369" s="94"/>
      <c r="J369" s="94"/>
      <c r="K369" s="94"/>
      <c r="L369" s="94"/>
      <c r="M369" s="94"/>
      <c r="N369" s="94"/>
      <c r="O369" s="94"/>
    </row>
    <row r="370" spans="2:15">
      <c r="B370" s="94"/>
      <c r="C370" s="94"/>
      <c r="D370" s="94"/>
      <c r="E370" s="94"/>
      <c r="F370" s="94"/>
      <c r="G370" s="94"/>
      <c r="H370" s="94"/>
      <c r="I370" s="94"/>
      <c r="J370" s="94"/>
      <c r="K370" s="94"/>
      <c r="L370" s="94"/>
      <c r="M370" s="94"/>
      <c r="N370" s="94"/>
      <c r="O370" s="94"/>
    </row>
    <row r="371" spans="2:15">
      <c r="B371" s="94"/>
      <c r="C371" s="94"/>
      <c r="D371" s="94"/>
      <c r="E371" s="94"/>
      <c r="F371" s="94"/>
      <c r="G371" s="94"/>
      <c r="H371" s="94"/>
      <c r="I371" s="94"/>
      <c r="J371" s="94"/>
      <c r="K371" s="94"/>
      <c r="L371" s="94"/>
      <c r="M371" s="94"/>
      <c r="N371" s="94"/>
      <c r="O371" s="94"/>
    </row>
    <row r="372" spans="2:15">
      <c r="B372" s="94"/>
      <c r="C372" s="94"/>
      <c r="D372" s="94"/>
      <c r="E372" s="94"/>
      <c r="F372" s="94"/>
      <c r="G372" s="94"/>
      <c r="H372" s="94"/>
      <c r="I372" s="94"/>
      <c r="J372" s="94"/>
      <c r="K372" s="94"/>
      <c r="L372" s="94"/>
      <c r="M372" s="94"/>
      <c r="N372" s="94"/>
      <c r="O372" s="94"/>
    </row>
    <row r="373" spans="2:15">
      <c r="B373" s="94"/>
      <c r="C373" s="94"/>
      <c r="D373" s="94"/>
      <c r="E373" s="94"/>
      <c r="F373" s="94"/>
      <c r="G373" s="94"/>
      <c r="H373" s="94"/>
      <c r="I373" s="94"/>
      <c r="J373" s="94"/>
      <c r="K373" s="94"/>
      <c r="L373" s="94"/>
      <c r="M373" s="94"/>
      <c r="N373" s="94"/>
      <c r="O373" s="94"/>
    </row>
    <row r="374" spans="2:15">
      <c r="B374" s="94"/>
      <c r="C374" s="94"/>
      <c r="D374" s="94"/>
      <c r="E374" s="94"/>
      <c r="F374" s="94"/>
      <c r="G374" s="94"/>
      <c r="H374" s="94"/>
      <c r="I374" s="94"/>
      <c r="J374" s="94"/>
      <c r="K374" s="94"/>
      <c r="L374" s="94"/>
      <c r="M374" s="94"/>
      <c r="N374" s="94"/>
      <c r="O374" s="94"/>
    </row>
    <row r="375" spans="2:15">
      <c r="B375" s="94"/>
      <c r="C375" s="94"/>
      <c r="D375" s="94"/>
      <c r="E375" s="94"/>
      <c r="F375" s="94"/>
      <c r="G375" s="94"/>
      <c r="H375" s="94"/>
      <c r="I375" s="94"/>
      <c r="J375" s="94"/>
      <c r="K375" s="94"/>
      <c r="L375" s="94"/>
      <c r="M375" s="94"/>
      <c r="N375" s="94"/>
      <c r="O375" s="94"/>
    </row>
    <row r="376" spans="2:15">
      <c r="B376" s="94"/>
      <c r="C376" s="94"/>
      <c r="D376" s="94"/>
      <c r="E376" s="94"/>
      <c r="F376" s="94"/>
      <c r="G376" s="94"/>
      <c r="H376" s="94"/>
      <c r="I376" s="94"/>
      <c r="J376" s="94"/>
      <c r="K376" s="94"/>
      <c r="L376" s="94"/>
      <c r="M376" s="94"/>
      <c r="N376" s="94"/>
      <c r="O376" s="94"/>
    </row>
    <row r="377" spans="2:15">
      <c r="B377" s="94"/>
      <c r="C377" s="94"/>
      <c r="D377" s="94"/>
      <c r="E377" s="94"/>
      <c r="F377" s="94"/>
      <c r="G377" s="94"/>
      <c r="H377" s="94"/>
      <c r="I377" s="94"/>
      <c r="J377" s="94"/>
      <c r="K377" s="94"/>
      <c r="L377" s="94"/>
      <c r="M377" s="94"/>
      <c r="N377" s="94"/>
      <c r="O377" s="94"/>
    </row>
    <row r="378" spans="2:15">
      <c r="B378" s="94"/>
      <c r="C378" s="94"/>
      <c r="D378" s="94"/>
      <c r="E378" s="94"/>
      <c r="F378" s="94"/>
      <c r="G378" s="94"/>
      <c r="H378" s="94"/>
      <c r="I378" s="94"/>
      <c r="J378" s="94"/>
      <c r="K378" s="94"/>
      <c r="L378" s="94"/>
      <c r="M378" s="94"/>
      <c r="N378" s="94"/>
      <c r="O378" s="94"/>
    </row>
    <row r="379" spans="2:15">
      <c r="B379" s="94"/>
      <c r="C379" s="94"/>
      <c r="D379" s="94"/>
      <c r="E379" s="94"/>
      <c r="F379" s="94"/>
      <c r="G379" s="94"/>
      <c r="H379" s="94"/>
      <c r="I379" s="94"/>
      <c r="J379" s="94"/>
      <c r="K379" s="94"/>
      <c r="L379" s="94"/>
      <c r="M379" s="94"/>
      <c r="N379" s="94"/>
      <c r="O379" s="94"/>
    </row>
    <row r="380" spans="2:15">
      <c r="B380" s="94"/>
      <c r="C380" s="94"/>
      <c r="D380" s="94"/>
      <c r="E380" s="94"/>
      <c r="F380" s="94"/>
      <c r="G380" s="94"/>
      <c r="H380" s="94"/>
      <c r="I380" s="94"/>
      <c r="J380" s="94"/>
      <c r="K380" s="94"/>
      <c r="L380" s="94"/>
      <c r="M380" s="94"/>
      <c r="N380" s="94"/>
      <c r="O380" s="94"/>
    </row>
    <row r="381" spans="2:15">
      <c r="B381" s="94"/>
      <c r="C381" s="94"/>
      <c r="D381" s="94"/>
      <c r="E381" s="94"/>
      <c r="F381" s="94"/>
      <c r="G381" s="94"/>
      <c r="H381" s="94"/>
      <c r="I381" s="94"/>
      <c r="J381" s="94"/>
      <c r="K381" s="94"/>
      <c r="L381" s="94"/>
      <c r="M381" s="94"/>
      <c r="N381" s="94"/>
      <c r="O381" s="94"/>
    </row>
    <row r="382" spans="2:15">
      <c r="B382" s="94"/>
      <c r="C382" s="94"/>
      <c r="D382" s="94"/>
      <c r="E382" s="94"/>
      <c r="F382" s="94"/>
      <c r="G382" s="94"/>
      <c r="H382" s="94"/>
      <c r="I382" s="94"/>
      <c r="J382" s="94"/>
      <c r="K382" s="94"/>
      <c r="L382" s="94"/>
      <c r="M382" s="94"/>
      <c r="N382" s="94"/>
      <c r="O382" s="94"/>
    </row>
    <row r="383" spans="2:15">
      <c r="B383" s="94"/>
      <c r="C383" s="94"/>
      <c r="D383" s="94"/>
      <c r="E383" s="94"/>
      <c r="F383" s="94"/>
      <c r="G383" s="94"/>
      <c r="H383" s="94"/>
      <c r="I383" s="94"/>
      <c r="J383" s="94"/>
      <c r="K383" s="94"/>
      <c r="L383" s="94"/>
      <c r="M383" s="94"/>
      <c r="N383" s="94"/>
      <c r="O383" s="94"/>
    </row>
    <row r="384" spans="2:15">
      <c r="B384" s="94"/>
      <c r="C384" s="94"/>
      <c r="D384" s="94"/>
      <c r="E384" s="94"/>
      <c r="F384" s="94"/>
      <c r="G384" s="94"/>
      <c r="H384" s="94"/>
      <c r="I384" s="94"/>
      <c r="J384" s="94"/>
      <c r="K384" s="94"/>
      <c r="L384" s="94"/>
      <c r="M384" s="94"/>
      <c r="N384" s="94"/>
      <c r="O384" s="94"/>
    </row>
    <row r="385" spans="2:15">
      <c r="B385" s="94"/>
      <c r="C385" s="94"/>
      <c r="D385" s="94"/>
      <c r="E385" s="94"/>
      <c r="F385" s="94"/>
      <c r="G385" s="94"/>
      <c r="H385" s="94"/>
      <c r="I385" s="94"/>
      <c r="J385" s="94"/>
      <c r="K385" s="94"/>
      <c r="L385" s="94"/>
      <c r="M385" s="94"/>
      <c r="N385" s="94"/>
      <c r="O385" s="94"/>
    </row>
    <row r="386" spans="2:15">
      <c r="B386" s="94"/>
      <c r="C386" s="94"/>
      <c r="D386" s="94"/>
      <c r="E386" s="94"/>
      <c r="F386" s="94"/>
      <c r="G386" s="94"/>
      <c r="H386" s="94"/>
      <c r="I386" s="94"/>
      <c r="J386" s="94"/>
      <c r="K386" s="94"/>
      <c r="L386" s="94"/>
      <c r="M386" s="94"/>
      <c r="N386" s="94"/>
      <c r="O386" s="94"/>
    </row>
    <row r="387" spans="2:15">
      <c r="B387" s="94"/>
      <c r="C387" s="94"/>
      <c r="D387" s="94"/>
      <c r="E387" s="94"/>
      <c r="F387" s="94"/>
      <c r="G387" s="94"/>
      <c r="H387" s="94"/>
      <c r="I387" s="94"/>
      <c r="J387" s="94"/>
      <c r="K387" s="94"/>
      <c r="L387" s="94"/>
      <c r="M387" s="94"/>
      <c r="N387" s="94"/>
      <c r="O387" s="94"/>
    </row>
    <row r="388" spans="2:15">
      <c r="B388" s="94"/>
      <c r="C388" s="94"/>
      <c r="D388" s="94"/>
      <c r="E388" s="94"/>
      <c r="F388" s="94"/>
      <c r="G388" s="94"/>
      <c r="H388" s="94"/>
      <c r="I388" s="94"/>
      <c r="J388" s="94"/>
      <c r="K388" s="94"/>
      <c r="L388" s="94"/>
      <c r="M388" s="94"/>
      <c r="N388" s="94"/>
      <c r="O388" s="94"/>
    </row>
    <row r="389" spans="2:15">
      <c r="B389" s="94"/>
      <c r="C389" s="94"/>
      <c r="D389" s="94"/>
      <c r="E389" s="94"/>
      <c r="F389" s="94"/>
      <c r="G389" s="94"/>
      <c r="H389" s="94"/>
      <c r="I389" s="94"/>
      <c r="J389" s="94"/>
      <c r="K389" s="94"/>
      <c r="L389" s="94"/>
      <c r="M389" s="94"/>
      <c r="N389" s="94"/>
      <c r="O389" s="94"/>
    </row>
    <row r="390" spans="2:15">
      <c r="B390" s="94"/>
      <c r="C390" s="94"/>
      <c r="D390" s="94"/>
      <c r="E390" s="94"/>
      <c r="F390" s="94"/>
      <c r="G390" s="94"/>
      <c r="H390" s="94"/>
      <c r="I390" s="94"/>
      <c r="J390" s="94"/>
      <c r="K390" s="94"/>
      <c r="L390" s="94"/>
      <c r="M390" s="94"/>
      <c r="N390" s="94"/>
      <c r="O390" s="94"/>
    </row>
    <row r="391" spans="2:15">
      <c r="B391" s="94"/>
      <c r="C391" s="94"/>
      <c r="D391" s="94"/>
      <c r="E391" s="94"/>
      <c r="F391" s="94"/>
      <c r="G391" s="94"/>
      <c r="H391" s="94"/>
      <c r="I391" s="94"/>
      <c r="J391" s="94"/>
      <c r="K391" s="94"/>
      <c r="L391" s="94"/>
      <c r="M391" s="94"/>
      <c r="N391" s="94"/>
      <c r="O391" s="94"/>
    </row>
    <row r="392" spans="2:15">
      <c r="B392" s="94"/>
      <c r="C392" s="94"/>
      <c r="D392" s="94"/>
      <c r="E392" s="94"/>
      <c r="F392" s="94"/>
      <c r="G392" s="94"/>
      <c r="H392" s="94"/>
      <c r="I392" s="94"/>
      <c r="J392" s="94"/>
      <c r="K392" s="94"/>
      <c r="L392" s="94"/>
      <c r="M392" s="94"/>
      <c r="N392" s="94"/>
      <c r="O392" s="94"/>
    </row>
    <row r="393" spans="2:15">
      <c r="B393" s="94"/>
      <c r="C393" s="94"/>
      <c r="D393" s="94"/>
      <c r="E393" s="94"/>
      <c r="F393" s="94"/>
      <c r="G393" s="94"/>
      <c r="H393" s="94"/>
      <c r="I393" s="94"/>
      <c r="J393" s="94"/>
      <c r="K393" s="94"/>
      <c r="L393" s="94"/>
      <c r="M393" s="94"/>
      <c r="N393" s="94"/>
      <c r="O393" s="94"/>
    </row>
    <row r="394" spans="2:15">
      <c r="B394" s="94"/>
      <c r="C394" s="94"/>
      <c r="D394" s="94"/>
      <c r="E394" s="94"/>
      <c r="F394" s="94"/>
      <c r="G394" s="94"/>
      <c r="H394" s="94"/>
      <c r="I394" s="94"/>
      <c r="J394" s="94"/>
      <c r="K394" s="94"/>
      <c r="L394" s="94"/>
      <c r="M394" s="94"/>
      <c r="N394" s="94"/>
      <c r="O394" s="94"/>
    </row>
    <row r="395" spans="2:15">
      <c r="B395" s="94"/>
      <c r="C395" s="94"/>
      <c r="D395" s="94"/>
      <c r="E395" s="94"/>
      <c r="F395" s="94"/>
      <c r="G395" s="94"/>
      <c r="H395" s="94"/>
      <c r="I395" s="94"/>
      <c r="J395" s="94"/>
      <c r="K395" s="94"/>
      <c r="L395" s="94"/>
      <c r="M395" s="94"/>
      <c r="N395" s="94"/>
      <c r="O395" s="94"/>
    </row>
    <row r="396" spans="2:15">
      <c r="B396" s="94"/>
      <c r="C396" s="94"/>
      <c r="D396" s="94"/>
      <c r="E396" s="94"/>
      <c r="F396" s="94"/>
      <c r="G396" s="94"/>
      <c r="H396" s="94"/>
      <c r="I396" s="94"/>
      <c r="J396" s="94"/>
      <c r="K396" s="94"/>
      <c r="L396" s="94"/>
      <c r="M396" s="94"/>
      <c r="N396" s="94"/>
      <c r="O396" s="94"/>
    </row>
    <row r="397" spans="2:15">
      <c r="B397" s="94"/>
      <c r="C397" s="94"/>
      <c r="D397" s="94"/>
      <c r="E397" s="94"/>
      <c r="F397" s="94"/>
      <c r="G397" s="94"/>
      <c r="H397" s="94"/>
      <c r="I397" s="94"/>
      <c r="J397" s="94"/>
      <c r="K397" s="94"/>
      <c r="L397" s="94"/>
      <c r="M397" s="94"/>
      <c r="N397" s="94"/>
      <c r="O397" s="94"/>
    </row>
    <row r="398" spans="2:15">
      <c r="B398" s="94"/>
      <c r="C398" s="94"/>
      <c r="D398" s="94"/>
      <c r="E398" s="94"/>
      <c r="F398" s="94"/>
      <c r="G398" s="94"/>
      <c r="H398" s="94"/>
      <c r="I398" s="94"/>
      <c r="J398" s="94"/>
      <c r="K398" s="94"/>
      <c r="L398" s="94"/>
      <c r="M398" s="94"/>
      <c r="N398" s="94"/>
      <c r="O398" s="94"/>
    </row>
    <row r="399" spans="2:15">
      <c r="B399" s="94"/>
      <c r="C399" s="94"/>
      <c r="D399" s="94"/>
      <c r="E399" s="94"/>
      <c r="F399" s="94"/>
      <c r="G399" s="94"/>
      <c r="H399" s="94"/>
      <c r="I399" s="94"/>
      <c r="J399" s="94"/>
      <c r="K399" s="94"/>
      <c r="L399" s="94"/>
      <c r="M399" s="94"/>
      <c r="N399" s="94"/>
      <c r="O399" s="94"/>
    </row>
    <row r="400" spans="2:15">
      <c r="B400" s="94"/>
      <c r="C400" s="94"/>
      <c r="D400" s="94"/>
      <c r="E400" s="94"/>
      <c r="F400" s="94"/>
      <c r="G400" s="94"/>
      <c r="H400" s="94"/>
      <c r="I400" s="94"/>
      <c r="J400" s="94"/>
      <c r="K400" s="94"/>
      <c r="L400" s="94"/>
      <c r="M400" s="94"/>
      <c r="N400" s="94"/>
      <c r="O400" s="94"/>
    </row>
    <row r="401" spans="2:15">
      <c r="B401" s="94"/>
      <c r="C401" s="94"/>
      <c r="D401" s="94"/>
      <c r="E401" s="94"/>
      <c r="F401" s="94"/>
      <c r="G401" s="94"/>
      <c r="H401" s="94"/>
      <c r="I401" s="94"/>
      <c r="J401" s="94"/>
      <c r="K401" s="94"/>
      <c r="L401" s="94"/>
      <c r="M401" s="94"/>
      <c r="N401" s="94"/>
      <c r="O401" s="94"/>
    </row>
    <row r="402" spans="2:15">
      <c r="B402" s="94"/>
      <c r="C402" s="94"/>
      <c r="D402" s="94"/>
      <c r="E402" s="94"/>
      <c r="F402" s="94"/>
      <c r="G402" s="94"/>
      <c r="H402" s="94"/>
      <c r="I402" s="94"/>
      <c r="J402" s="94"/>
      <c r="K402" s="94"/>
      <c r="L402" s="94"/>
      <c r="M402" s="94"/>
      <c r="N402" s="94"/>
      <c r="O402" s="94"/>
    </row>
    <row r="403" spans="2:15">
      <c r="B403" s="94"/>
      <c r="C403" s="94"/>
      <c r="D403" s="94"/>
      <c r="E403" s="94"/>
      <c r="F403" s="94"/>
      <c r="G403" s="94"/>
      <c r="H403" s="94"/>
      <c r="I403" s="94"/>
      <c r="J403" s="94"/>
      <c r="K403" s="94"/>
      <c r="L403" s="94"/>
      <c r="M403" s="94"/>
      <c r="N403" s="94"/>
      <c r="O403" s="94"/>
    </row>
    <row r="404" spans="2:15">
      <c r="B404" s="94"/>
      <c r="C404" s="94"/>
      <c r="D404" s="94"/>
      <c r="E404" s="94"/>
      <c r="F404" s="94"/>
      <c r="G404" s="94"/>
      <c r="H404" s="94"/>
      <c r="I404" s="94"/>
      <c r="J404" s="94"/>
      <c r="K404" s="94"/>
      <c r="L404" s="94"/>
      <c r="M404" s="94"/>
      <c r="N404" s="94"/>
      <c r="O404" s="94"/>
    </row>
    <row r="405" spans="2:15">
      <c r="B405" s="94"/>
      <c r="C405" s="94"/>
      <c r="D405" s="94"/>
      <c r="E405" s="94"/>
      <c r="F405" s="94"/>
      <c r="G405" s="94"/>
      <c r="H405" s="94"/>
      <c r="I405" s="94"/>
      <c r="J405" s="94"/>
      <c r="K405" s="94"/>
      <c r="L405" s="94"/>
      <c r="M405" s="94"/>
      <c r="N405" s="94"/>
      <c r="O405" s="94"/>
    </row>
    <row r="406" spans="2:15">
      <c r="B406" s="94"/>
      <c r="C406" s="94"/>
      <c r="D406" s="94"/>
      <c r="E406" s="94"/>
      <c r="F406" s="94"/>
      <c r="G406" s="94"/>
      <c r="H406" s="94"/>
      <c r="I406" s="94"/>
      <c r="J406" s="94"/>
      <c r="K406" s="94"/>
      <c r="L406" s="94"/>
      <c r="M406" s="94"/>
      <c r="N406" s="94"/>
      <c r="O406" s="94"/>
    </row>
    <row r="407" spans="2:15">
      <c r="B407" s="94"/>
      <c r="C407" s="94"/>
      <c r="D407" s="94"/>
      <c r="E407" s="94"/>
      <c r="F407" s="94"/>
      <c r="G407" s="94"/>
      <c r="H407" s="94"/>
      <c r="I407" s="94"/>
      <c r="J407" s="94"/>
      <c r="K407" s="94"/>
      <c r="L407" s="94"/>
      <c r="M407" s="94"/>
      <c r="N407" s="94"/>
      <c r="O407" s="94"/>
    </row>
    <row r="408" spans="2:15">
      <c r="B408" s="94"/>
      <c r="C408" s="94"/>
      <c r="D408" s="94"/>
      <c r="E408" s="94"/>
      <c r="F408" s="94"/>
      <c r="G408" s="94"/>
      <c r="H408" s="94"/>
      <c r="I408" s="94"/>
      <c r="J408" s="94"/>
      <c r="K408" s="94"/>
      <c r="L408" s="94"/>
      <c r="M408" s="94"/>
      <c r="N408" s="94"/>
      <c r="O408" s="94"/>
    </row>
    <row r="409" spans="2:15">
      <c r="B409" s="94"/>
      <c r="C409" s="94"/>
      <c r="D409" s="94"/>
      <c r="E409" s="94"/>
      <c r="F409" s="94"/>
      <c r="G409" s="94"/>
      <c r="H409" s="94"/>
      <c r="I409" s="94"/>
      <c r="J409" s="94"/>
      <c r="K409" s="94"/>
      <c r="L409" s="94"/>
      <c r="M409" s="94"/>
      <c r="N409" s="94"/>
      <c r="O409" s="94"/>
    </row>
    <row r="410" spans="2:15">
      <c r="B410" s="94"/>
      <c r="C410" s="94"/>
      <c r="D410" s="94"/>
      <c r="E410" s="94"/>
      <c r="F410" s="94"/>
      <c r="G410" s="94"/>
      <c r="H410" s="94"/>
      <c r="I410" s="94"/>
      <c r="J410" s="94"/>
      <c r="K410" s="94"/>
      <c r="L410" s="94"/>
      <c r="M410" s="94"/>
      <c r="N410" s="94"/>
      <c r="O410" s="94"/>
    </row>
    <row r="411" spans="2:15">
      <c r="B411" s="94"/>
      <c r="C411" s="94"/>
      <c r="D411" s="94"/>
      <c r="E411" s="94"/>
      <c r="F411" s="94"/>
      <c r="G411" s="94"/>
      <c r="H411" s="94"/>
      <c r="I411" s="94"/>
      <c r="J411" s="94"/>
      <c r="K411" s="94"/>
      <c r="L411" s="94"/>
      <c r="M411" s="94"/>
      <c r="N411" s="94"/>
      <c r="O411" s="94"/>
    </row>
    <row r="412" spans="2:15">
      <c r="B412" s="94"/>
      <c r="C412" s="94"/>
      <c r="D412" s="94"/>
      <c r="E412" s="94"/>
      <c r="F412" s="94"/>
      <c r="G412" s="94"/>
      <c r="H412" s="94"/>
      <c r="I412" s="94"/>
      <c r="J412" s="94"/>
      <c r="K412" s="94"/>
      <c r="L412" s="94"/>
      <c r="M412" s="94"/>
      <c r="N412" s="94"/>
      <c r="O412" s="94"/>
    </row>
    <row r="413" spans="2:15">
      <c r="B413" s="94"/>
      <c r="C413" s="94"/>
      <c r="D413" s="94"/>
      <c r="E413" s="94"/>
      <c r="F413" s="94"/>
      <c r="G413" s="94"/>
      <c r="H413" s="94"/>
      <c r="I413" s="94"/>
      <c r="J413" s="94"/>
      <c r="K413" s="94"/>
      <c r="L413" s="94"/>
      <c r="M413" s="94"/>
      <c r="N413" s="94"/>
      <c r="O413" s="94"/>
    </row>
    <row r="414" spans="2:15">
      <c r="B414" s="94"/>
      <c r="C414" s="94"/>
      <c r="D414" s="94"/>
      <c r="E414" s="94"/>
      <c r="F414" s="94"/>
      <c r="G414" s="94"/>
      <c r="H414" s="94"/>
      <c r="I414" s="94"/>
      <c r="J414" s="94"/>
      <c r="K414" s="94"/>
      <c r="L414" s="94"/>
      <c r="M414" s="94"/>
      <c r="N414" s="94"/>
      <c r="O414" s="94"/>
    </row>
    <row r="415" spans="2:15">
      <c r="B415" s="94"/>
      <c r="C415" s="94"/>
      <c r="D415" s="94"/>
      <c r="E415" s="94"/>
      <c r="F415" s="94"/>
      <c r="G415" s="94"/>
      <c r="H415" s="94"/>
      <c r="I415" s="94"/>
      <c r="J415" s="94"/>
      <c r="K415" s="94"/>
      <c r="L415" s="94"/>
      <c r="M415" s="94"/>
      <c r="N415" s="94"/>
      <c r="O415" s="94"/>
    </row>
    <row r="416" spans="2:15">
      <c r="B416" s="94"/>
      <c r="C416" s="94"/>
      <c r="D416" s="94"/>
      <c r="E416" s="94"/>
      <c r="F416" s="94"/>
      <c r="G416" s="94"/>
      <c r="H416" s="94"/>
      <c r="I416" s="94"/>
      <c r="J416" s="94"/>
      <c r="K416" s="94"/>
      <c r="L416" s="94"/>
      <c r="M416" s="94"/>
      <c r="N416" s="94"/>
      <c r="O416" s="94"/>
    </row>
    <row r="417" spans="2:15">
      <c r="B417" s="94"/>
      <c r="C417" s="94"/>
      <c r="D417" s="94"/>
      <c r="E417" s="94"/>
      <c r="F417" s="94"/>
      <c r="G417" s="94"/>
      <c r="H417" s="94"/>
      <c r="I417" s="94"/>
      <c r="J417" s="94"/>
      <c r="K417" s="94"/>
      <c r="L417" s="94"/>
      <c r="M417" s="94"/>
      <c r="N417" s="94"/>
      <c r="O417" s="94"/>
    </row>
    <row r="418" spans="2:15">
      <c r="B418" s="94"/>
      <c r="C418" s="94"/>
      <c r="D418" s="94"/>
      <c r="E418" s="94"/>
      <c r="F418" s="94"/>
      <c r="G418" s="94"/>
      <c r="H418" s="94"/>
      <c r="I418" s="94"/>
      <c r="J418" s="94"/>
      <c r="K418" s="94"/>
      <c r="L418" s="94"/>
      <c r="M418" s="94"/>
      <c r="N418" s="94"/>
      <c r="O418" s="94"/>
    </row>
    <row r="419" spans="2:15">
      <c r="B419" s="94"/>
      <c r="C419" s="94"/>
      <c r="D419" s="94"/>
      <c r="E419" s="94"/>
      <c r="F419" s="94"/>
      <c r="G419" s="94"/>
      <c r="H419" s="94"/>
      <c r="I419" s="94"/>
      <c r="J419" s="94"/>
      <c r="K419" s="94"/>
      <c r="L419" s="94"/>
      <c r="M419" s="94"/>
      <c r="N419" s="94"/>
      <c r="O419" s="94"/>
    </row>
    <row r="420" spans="2:15">
      <c r="B420" s="94"/>
      <c r="C420" s="94"/>
      <c r="D420" s="94"/>
      <c r="E420" s="94"/>
      <c r="F420" s="94"/>
      <c r="G420" s="94"/>
      <c r="H420" s="94"/>
      <c r="I420" s="94"/>
      <c r="J420" s="94"/>
      <c r="K420" s="94"/>
      <c r="L420" s="94"/>
      <c r="M420" s="94"/>
      <c r="N420" s="94"/>
      <c r="O420" s="94"/>
    </row>
    <row r="421" spans="2:15">
      <c r="B421" s="94"/>
      <c r="C421" s="94"/>
      <c r="D421" s="94"/>
      <c r="E421" s="94"/>
      <c r="F421" s="94"/>
      <c r="G421" s="94"/>
      <c r="H421" s="94"/>
      <c r="I421" s="94"/>
      <c r="J421" s="94"/>
      <c r="K421" s="94"/>
      <c r="L421" s="94"/>
      <c r="M421" s="94"/>
      <c r="N421" s="94"/>
      <c r="O421" s="94"/>
    </row>
    <row r="422" spans="2:15">
      <c r="B422" s="94"/>
      <c r="C422" s="94"/>
      <c r="D422" s="94"/>
      <c r="E422" s="94"/>
      <c r="F422" s="94"/>
      <c r="G422" s="94"/>
      <c r="H422" s="94"/>
      <c r="I422" s="94"/>
      <c r="J422" s="94"/>
      <c r="K422" s="94"/>
      <c r="L422" s="94"/>
      <c r="M422" s="94"/>
      <c r="N422" s="94"/>
      <c r="O422" s="94"/>
    </row>
    <row r="423" spans="2:15">
      <c r="B423" s="94"/>
      <c r="C423" s="94"/>
      <c r="D423" s="94"/>
      <c r="E423" s="94"/>
      <c r="F423" s="94"/>
      <c r="G423" s="94"/>
      <c r="H423" s="94"/>
      <c r="I423" s="94"/>
      <c r="J423" s="94"/>
      <c r="K423" s="94"/>
      <c r="L423" s="94"/>
      <c r="M423" s="94"/>
      <c r="N423" s="94"/>
      <c r="O423" s="94"/>
    </row>
    <row r="424" spans="2:15">
      <c r="B424" s="94"/>
      <c r="C424" s="94"/>
      <c r="D424" s="94"/>
      <c r="E424" s="94"/>
      <c r="F424" s="94"/>
      <c r="G424" s="94"/>
      <c r="H424" s="94"/>
      <c r="I424" s="94"/>
      <c r="J424" s="94"/>
      <c r="K424" s="94"/>
      <c r="L424" s="94"/>
      <c r="M424" s="94"/>
      <c r="N424" s="94"/>
      <c r="O424" s="94"/>
    </row>
    <row r="425" spans="2:15">
      <c r="B425" s="94"/>
      <c r="C425" s="94"/>
      <c r="D425" s="94"/>
      <c r="E425" s="94"/>
      <c r="F425" s="94"/>
      <c r="G425" s="94"/>
      <c r="H425" s="94"/>
      <c r="I425" s="94"/>
      <c r="J425" s="94"/>
      <c r="K425" s="94"/>
      <c r="L425" s="94"/>
      <c r="M425" s="94"/>
      <c r="N425" s="94"/>
      <c r="O425" s="94"/>
    </row>
    <row r="426" spans="2:15">
      <c r="B426" s="94"/>
      <c r="C426" s="94"/>
      <c r="D426" s="94"/>
      <c r="E426" s="94"/>
      <c r="F426" s="94"/>
      <c r="G426" s="94"/>
      <c r="H426" s="94"/>
      <c r="I426" s="94"/>
      <c r="J426" s="94"/>
      <c r="K426" s="94"/>
      <c r="L426" s="94"/>
      <c r="M426" s="94"/>
      <c r="N426" s="94"/>
      <c r="O426" s="94"/>
    </row>
    <row r="427" spans="2:15">
      <c r="B427" s="94"/>
      <c r="C427" s="94"/>
      <c r="D427" s="94"/>
      <c r="E427" s="94"/>
      <c r="F427" s="94"/>
      <c r="G427" s="94"/>
      <c r="H427" s="94"/>
      <c r="I427" s="94"/>
      <c r="J427" s="94"/>
      <c r="K427" s="94"/>
      <c r="L427" s="94"/>
      <c r="M427" s="94"/>
      <c r="N427" s="94"/>
      <c r="O427" s="94"/>
    </row>
    <row r="428" spans="2:15">
      <c r="B428" s="94"/>
      <c r="C428" s="94"/>
      <c r="D428" s="94"/>
      <c r="E428" s="94"/>
      <c r="F428" s="94"/>
      <c r="G428" s="94"/>
      <c r="H428" s="94"/>
      <c r="I428" s="94"/>
      <c r="J428" s="94"/>
      <c r="K428" s="94"/>
      <c r="L428" s="94"/>
      <c r="M428" s="94"/>
      <c r="N428" s="94"/>
      <c r="O428" s="94"/>
    </row>
    <row r="429" spans="2:15">
      <c r="B429" s="94"/>
      <c r="C429" s="94"/>
      <c r="D429" s="94"/>
      <c r="E429" s="94"/>
      <c r="F429" s="94"/>
      <c r="G429" s="94"/>
      <c r="H429" s="94"/>
      <c r="I429" s="94"/>
      <c r="J429" s="94"/>
      <c r="K429" s="94"/>
      <c r="L429" s="94"/>
      <c r="M429" s="94"/>
      <c r="N429" s="94"/>
      <c r="O429" s="94"/>
    </row>
    <row r="430" spans="2:15">
      <c r="B430" s="94"/>
      <c r="C430" s="94"/>
      <c r="D430" s="94"/>
      <c r="E430" s="94"/>
      <c r="F430" s="94"/>
      <c r="G430" s="94"/>
      <c r="H430" s="94"/>
      <c r="I430" s="94"/>
      <c r="J430" s="94"/>
      <c r="K430" s="94"/>
      <c r="L430" s="94"/>
      <c r="M430" s="94"/>
      <c r="N430" s="94"/>
      <c r="O430" s="94"/>
    </row>
    <row r="431" spans="2:15">
      <c r="B431" s="94"/>
      <c r="C431" s="94"/>
      <c r="D431" s="94"/>
      <c r="E431" s="94"/>
      <c r="F431" s="94"/>
      <c r="G431" s="94"/>
      <c r="H431" s="94"/>
      <c r="I431" s="94"/>
      <c r="J431" s="94"/>
      <c r="K431" s="94"/>
      <c r="L431" s="94"/>
      <c r="M431" s="94"/>
      <c r="N431" s="94"/>
      <c r="O431" s="94"/>
    </row>
    <row r="432" spans="2:15">
      <c r="B432" s="94"/>
      <c r="C432" s="94"/>
      <c r="D432" s="94"/>
      <c r="E432" s="94"/>
      <c r="F432" s="94"/>
      <c r="G432" s="94"/>
      <c r="H432" s="94"/>
      <c r="I432" s="94"/>
      <c r="J432" s="94"/>
      <c r="K432" s="94"/>
      <c r="L432" s="94"/>
      <c r="M432" s="94"/>
      <c r="N432" s="94"/>
      <c r="O432" s="94"/>
    </row>
    <row r="433" spans="2:15">
      <c r="B433" s="94"/>
      <c r="C433" s="94"/>
      <c r="D433" s="94"/>
      <c r="E433" s="94"/>
      <c r="F433" s="94"/>
      <c r="G433" s="94"/>
      <c r="H433" s="94"/>
      <c r="I433" s="94"/>
      <c r="J433" s="94"/>
      <c r="K433" s="94"/>
      <c r="L433" s="94"/>
      <c r="M433" s="94"/>
      <c r="N433" s="94"/>
      <c r="O433" s="94"/>
    </row>
    <row r="434" spans="2:15">
      <c r="B434" s="94"/>
      <c r="C434" s="94"/>
      <c r="D434" s="94"/>
      <c r="E434" s="94"/>
      <c r="F434" s="94"/>
      <c r="G434" s="94"/>
      <c r="H434" s="94"/>
      <c r="I434" s="94"/>
      <c r="J434" s="94"/>
      <c r="K434" s="94"/>
      <c r="L434" s="94"/>
      <c r="M434" s="94"/>
      <c r="N434" s="94"/>
      <c r="O434" s="94"/>
    </row>
    <row r="435" spans="2:15">
      <c r="B435" s="94"/>
      <c r="C435" s="94"/>
      <c r="D435" s="94"/>
      <c r="E435" s="94"/>
      <c r="F435" s="94"/>
      <c r="G435" s="94"/>
      <c r="H435" s="94"/>
      <c r="I435" s="94"/>
      <c r="J435" s="94"/>
      <c r="K435" s="94"/>
      <c r="L435" s="94"/>
      <c r="M435" s="94"/>
      <c r="N435" s="94"/>
      <c r="O435" s="94"/>
    </row>
    <row r="436" spans="2:15">
      <c r="B436" s="94"/>
      <c r="C436" s="94"/>
      <c r="D436" s="94"/>
      <c r="E436" s="94"/>
      <c r="F436" s="94"/>
      <c r="G436" s="94"/>
      <c r="H436" s="94"/>
      <c r="I436" s="94"/>
      <c r="J436" s="94"/>
      <c r="K436" s="94"/>
      <c r="L436" s="94"/>
      <c r="M436" s="94"/>
      <c r="N436" s="94"/>
      <c r="O436" s="94"/>
    </row>
    <row r="437" spans="2:15">
      <c r="B437" s="94"/>
      <c r="C437" s="94"/>
      <c r="D437" s="94"/>
      <c r="E437" s="94"/>
      <c r="F437" s="94"/>
      <c r="G437" s="94"/>
      <c r="H437" s="94"/>
      <c r="I437" s="94"/>
      <c r="J437" s="94"/>
      <c r="K437" s="94"/>
      <c r="L437" s="94"/>
      <c r="M437" s="94"/>
      <c r="N437" s="94"/>
      <c r="O437" s="94"/>
    </row>
    <row r="438" spans="2:15">
      <c r="B438" s="94"/>
      <c r="C438" s="94"/>
      <c r="D438" s="94"/>
      <c r="E438" s="94"/>
      <c r="F438" s="94"/>
      <c r="G438" s="94"/>
      <c r="H438" s="94"/>
      <c r="I438" s="94"/>
      <c r="J438" s="94"/>
      <c r="K438" s="94"/>
      <c r="L438" s="94"/>
      <c r="M438" s="94"/>
      <c r="N438" s="94"/>
      <c r="O438" s="94"/>
    </row>
    <row r="439" spans="2:15">
      <c r="B439" s="94"/>
      <c r="C439" s="94"/>
      <c r="D439" s="94"/>
      <c r="E439" s="94"/>
      <c r="F439" s="94"/>
      <c r="G439" s="94"/>
      <c r="H439" s="94"/>
      <c r="I439" s="94"/>
      <c r="J439" s="94"/>
      <c r="K439" s="94"/>
      <c r="L439" s="94"/>
      <c r="M439" s="94"/>
      <c r="N439" s="94"/>
      <c r="O439" s="94"/>
    </row>
    <row r="440" spans="2:15">
      <c r="B440" s="94"/>
      <c r="C440" s="94"/>
      <c r="D440" s="94"/>
      <c r="E440" s="94"/>
      <c r="F440" s="94"/>
      <c r="G440" s="94"/>
      <c r="H440" s="94"/>
      <c r="I440" s="94"/>
      <c r="J440" s="94"/>
      <c r="K440" s="94"/>
      <c r="L440" s="94"/>
      <c r="M440" s="94"/>
      <c r="N440" s="94"/>
      <c r="O440" s="94"/>
    </row>
    <row r="441" spans="2:15">
      <c r="B441" s="94"/>
      <c r="C441" s="94"/>
      <c r="D441" s="94"/>
      <c r="E441" s="94"/>
      <c r="F441" s="94"/>
      <c r="G441" s="94"/>
      <c r="H441" s="94"/>
      <c r="I441" s="94"/>
      <c r="J441" s="94"/>
      <c r="K441" s="94"/>
      <c r="L441" s="94"/>
      <c r="M441" s="94"/>
      <c r="N441" s="94"/>
      <c r="O441" s="94"/>
    </row>
    <row r="442" spans="2:15">
      <c r="B442" s="94"/>
      <c r="C442" s="94"/>
      <c r="D442" s="94"/>
      <c r="E442" s="94"/>
      <c r="F442" s="94"/>
      <c r="G442" s="94"/>
      <c r="H442" s="94"/>
      <c r="I442" s="94"/>
      <c r="J442" s="94"/>
      <c r="K442" s="94"/>
      <c r="L442" s="94"/>
      <c r="M442" s="94"/>
      <c r="N442" s="94"/>
      <c r="O442" s="94"/>
    </row>
    <row r="443" spans="2:15">
      <c r="B443" s="94"/>
      <c r="C443" s="94"/>
      <c r="D443" s="94"/>
      <c r="E443" s="94"/>
      <c r="F443" s="94"/>
      <c r="G443" s="94"/>
      <c r="H443" s="94"/>
      <c r="I443" s="94"/>
      <c r="J443" s="94"/>
      <c r="K443" s="94"/>
      <c r="L443" s="94"/>
      <c r="M443" s="94"/>
      <c r="N443" s="94"/>
      <c r="O443" s="94"/>
    </row>
    <row r="444" spans="2:15">
      <c r="B444" s="94"/>
      <c r="C444" s="94"/>
      <c r="D444" s="94"/>
      <c r="E444" s="94"/>
      <c r="F444" s="94"/>
      <c r="G444" s="94"/>
      <c r="H444" s="94"/>
      <c r="I444" s="94"/>
      <c r="J444" s="94"/>
      <c r="K444" s="94"/>
      <c r="L444" s="94"/>
      <c r="M444" s="94"/>
      <c r="N444" s="94"/>
      <c r="O444" s="94"/>
    </row>
    <row r="445" spans="2:15">
      <c r="B445" s="94"/>
      <c r="C445" s="94"/>
      <c r="D445" s="94"/>
      <c r="E445" s="94"/>
      <c r="F445" s="94"/>
      <c r="G445" s="94"/>
      <c r="H445" s="94"/>
      <c r="I445" s="94"/>
      <c r="J445" s="94"/>
      <c r="K445" s="94"/>
      <c r="L445" s="94"/>
      <c r="M445" s="94"/>
      <c r="N445" s="94"/>
      <c r="O445" s="94"/>
    </row>
    <row r="446" spans="2:15">
      <c r="B446" s="94"/>
      <c r="C446" s="94"/>
      <c r="D446" s="94"/>
      <c r="E446" s="94"/>
      <c r="F446" s="94"/>
      <c r="G446" s="94"/>
      <c r="H446" s="94"/>
      <c r="I446" s="94"/>
      <c r="J446" s="94"/>
      <c r="K446" s="94"/>
      <c r="L446" s="94"/>
      <c r="M446" s="94"/>
      <c r="N446" s="94"/>
      <c r="O446" s="94"/>
    </row>
    <row r="447" spans="2:15">
      <c r="B447" s="94"/>
      <c r="C447" s="94"/>
      <c r="D447" s="94"/>
      <c r="E447" s="94"/>
      <c r="F447" s="94"/>
      <c r="G447" s="94"/>
      <c r="H447" s="94"/>
      <c r="I447" s="94"/>
      <c r="J447" s="94"/>
      <c r="K447" s="94"/>
      <c r="L447" s="94"/>
      <c r="M447" s="94"/>
      <c r="N447" s="94"/>
      <c r="O447" s="94"/>
    </row>
    <row r="448" spans="2:15">
      <c r="B448" s="94"/>
      <c r="C448" s="94"/>
      <c r="D448" s="94"/>
      <c r="E448" s="94"/>
      <c r="F448" s="94"/>
      <c r="G448" s="94"/>
      <c r="H448" s="94"/>
      <c r="I448" s="94"/>
      <c r="J448" s="94"/>
      <c r="K448" s="94"/>
      <c r="L448" s="94"/>
      <c r="M448" s="94"/>
      <c r="N448" s="94"/>
      <c r="O448" s="94"/>
    </row>
    <row r="449" spans="2:15">
      <c r="B449" s="94"/>
      <c r="C449" s="94"/>
      <c r="D449" s="94"/>
      <c r="E449" s="94"/>
      <c r="F449" s="94"/>
      <c r="G449" s="94"/>
      <c r="H449" s="94"/>
      <c r="I449" s="94"/>
      <c r="J449" s="94"/>
      <c r="K449" s="94"/>
      <c r="L449" s="94"/>
      <c r="M449" s="94"/>
      <c r="N449" s="94"/>
      <c r="O449" s="94"/>
    </row>
    <row r="450" spans="2:15">
      <c r="B450" s="94"/>
      <c r="C450" s="94"/>
      <c r="D450" s="94"/>
      <c r="E450" s="94"/>
      <c r="F450" s="94"/>
      <c r="G450" s="94"/>
      <c r="H450" s="94"/>
      <c r="I450" s="94"/>
      <c r="J450" s="94"/>
      <c r="K450" s="94"/>
      <c r="L450" s="94"/>
      <c r="M450" s="94"/>
      <c r="N450" s="94"/>
      <c r="O450" s="94"/>
    </row>
    <row r="451" spans="2:15">
      <c r="B451" s="94"/>
      <c r="C451" s="94"/>
      <c r="D451" s="94"/>
      <c r="E451" s="94"/>
      <c r="F451" s="94"/>
      <c r="G451" s="94"/>
      <c r="H451" s="94"/>
      <c r="I451" s="94"/>
      <c r="J451" s="94"/>
      <c r="K451" s="94"/>
      <c r="L451" s="94"/>
      <c r="M451" s="94"/>
      <c r="N451" s="94"/>
      <c r="O451" s="94"/>
    </row>
    <row r="452" spans="2:15">
      <c r="B452" s="94"/>
      <c r="C452" s="94"/>
      <c r="D452" s="94"/>
      <c r="E452" s="94"/>
      <c r="F452" s="94"/>
      <c r="G452" s="94"/>
      <c r="H452" s="94"/>
      <c r="I452" s="94"/>
      <c r="J452" s="94"/>
      <c r="K452" s="94"/>
      <c r="L452" s="94"/>
      <c r="M452" s="94"/>
      <c r="N452" s="94"/>
      <c r="O452" s="94"/>
    </row>
    <row r="453" spans="2:15">
      <c r="B453" s="94"/>
      <c r="C453" s="94"/>
      <c r="D453" s="94"/>
      <c r="E453" s="94"/>
      <c r="F453" s="94"/>
      <c r="G453" s="94"/>
      <c r="H453" s="94"/>
      <c r="I453" s="94"/>
      <c r="J453" s="94"/>
      <c r="K453" s="94"/>
      <c r="L453" s="94"/>
      <c r="M453" s="94"/>
      <c r="N453" s="94"/>
      <c r="O453" s="94"/>
    </row>
    <row r="454" spans="2:15">
      <c r="B454" s="94"/>
      <c r="C454" s="94"/>
      <c r="D454" s="94"/>
      <c r="E454" s="94"/>
      <c r="F454" s="94"/>
      <c r="G454" s="94"/>
      <c r="H454" s="94"/>
      <c r="I454" s="94"/>
      <c r="J454" s="94"/>
      <c r="K454" s="94"/>
      <c r="L454" s="94"/>
      <c r="M454" s="94"/>
      <c r="N454" s="94"/>
      <c r="O454" s="94"/>
    </row>
    <row r="455" spans="2:15">
      <c r="B455" s="94"/>
      <c r="C455" s="94"/>
      <c r="D455" s="94"/>
      <c r="E455" s="94"/>
      <c r="F455" s="94"/>
      <c r="G455" s="94"/>
      <c r="H455" s="94"/>
      <c r="I455" s="94"/>
      <c r="J455" s="94"/>
      <c r="K455" s="94"/>
      <c r="L455" s="94"/>
      <c r="M455" s="94"/>
      <c r="N455" s="94"/>
      <c r="O455" s="94"/>
    </row>
    <row r="456" spans="2:15">
      <c r="B456" s="94"/>
      <c r="C456" s="94"/>
      <c r="D456" s="94"/>
      <c r="E456" s="94"/>
      <c r="F456" s="94"/>
      <c r="G456" s="94"/>
      <c r="H456" s="94"/>
      <c r="I456" s="94"/>
      <c r="J456" s="94"/>
      <c r="K456" s="94"/>
      <c r="L456" s="94"/>
      <c r="M456" s="94"/>
      <c r="N456" s="94"/>
      <c r="O456" s="94"/>
    </row>
    <row r="457" spans="2:15">
      <c r="B457" s="94"/>
      <c r="C457" s="94"/>
      <c r="D457" s="94"/>
      <c r="E457" s="94"/>
      <c r="F457" s="94"/>
      <c r="G457" s="94"/>
      <c r="H457" s="94"/>
      <c r="I457" s="94"/>
      <c r="J457" s="94"/>
      <c r="K457" s="94"/>
      <c r="L457" s="94"/>
      <c r="M457" s="94"/>
      <c r="N457" s="94"/>
      <c r="O457" s="94"/>
    </row>
    <row r="458" spans="2:15">
      <c r="B458" s="94"/>
      <c r="C458" s="94"/>
      <c r="D458" s="94"/>
      <c r="E458" s="94"/>
      <c r="F458" s="94"/>
      <c r="G458" s="94"/>
      <c r="H458" s="94"/>
      <c r="I458" s="94"/>
      <c r="J458" s="94"/>
      <c r="K458" s="94"/>
      <c r="L458" s="94"/>
      <c r="M458" s="94"/>
      <c r="N458" s="94"/>
      <c r="O458" s="94"/>
    </row>
    <row r="459" spans="2:15">
      <c r="B459" s="94"/>
      <c r="C459" s="94"/>
      <c r="D459" s="94"/>
      <c r="E459" s="94"/>
      <c r="F459" s="94"/>
      <c r="G459" s="94"/>
      <c r="H459" s="94"/>
      <c r="I459" s="94"/>
      <c r="J459" s="94"/>
      <c r="K459" s="94"/>
      <c r="L459" s="94"/>
      <c r="M459" s="94"/>
      <c r="N459" s="94"/>
      <c r="O459" s="94"/>
    </row>
    <row r="460" spans="2:15">
      <c r="B460" s="94"/>
      <c r="C460" s="94"/>
      <c r="D460" s="94"/>
      <c r="E460" s="94"/>
      <c r="F460" s="94"/>
      <c r="G460" s="94"/>
      <c r="H460" s="94"/>
      <c r="I460" s="94"/>
      <c r="J460" s="94"/>
      <c r="K460" s="94"/>
      <c r="L460" s="94"/>
      <c r="M460" s="94"/>
      <c r="N460" s="94"/>
      <c r="O460" s="94"/>
    </row>
    <row r="461" spans="2:15">
      <c r="B461" s="94"/>
      <c r="C461" s="94"/>
      <c r="D461" s="94"/>
      <c r="E461" s="94"/>
      <c r="F461" s="94"/>
      <c r="G461" s="94"/>
      <c r="H461" s="94"/>
      <c r="I461" s="94"/>
      <c r="J461" s="94"/>
      <c r="K461" s="94"/>
      <c r="L461" s="94"/>
      <c r="M461" s="94"/>
      <c r="N461" s="94"/>
      <c r="O461" s="94"/>
    </row>
    <row r="462" spans="2:15">
      <c r="B462" s="94"/>
      <c r="C462" s="94"/>
      <c r="D462" s="94"/>
      <c r="E462" s="94"/>
      <c r="F462" s="94"/>
      <c r="G462" s="94"/>
      <c r="H462" s="94"/>
      <c r="I462" s="94"/>
      <c r="J462" s="94"/>
      <c r="K462" s="94"/>
      <c r="L462" s="94"/>
      <c r="M462" s="94"/>
      <c r="N462" s="94"/>
      <c r="O462" s="94"/>
    </row>
    <row r="463" spans="2:15">
      <c r="B463" s="94"/>
      <c r="C463" s="94"/>
      <c r="D463" s="94"/>
      <c r="E463" s="94"/>
      <c r="F463" s="94"/>
      <c r="G463" s="94"/>
      <c r="H463" s="94"/>
      <c r="I463" s="94"/>
      <c r="J463" s="94"/>
      <c r="K463" s="94"/>
      <c r="L463" s="94"/>
      <c r="M463" s="94"/>
      <c r="N463" s="94"/>
      <c r="O463" s="94"/>
    </row>
    <row r="464" spans="2:15">
      <c r="B464" s="94"/>
      <c r="C464" s="94"/>
      <c r="D464" s="94"/>
      <c r="E464" s="94"/>
      <c r="F464" s="94"/>
      <c r="G464" s="94"/>
      <c r="H464" s="94"/>
      <c r="I464" s="94"/>
      <c r="J464" s="94"/>
      <c r="K464" s="94"/>
      <c r="L464" s="94"/>
      <c r="M464" s="94"/>
      <c r="N464" s="94"/>
      <c r="O464" s="94"/>
    </row>
    <row r="465" spans="2:15">
      <c r="B465" s="94"/>
      <c r="C465" s="94"/>
      <c r="D465" s="94"/>
      <c r="E465" s="94"/>
      <c r="F465" s="94"/>
      <c r="G465" s="94"/>
      <c r="H465" s="94"/>
      <c r="I465" s="94"/>
      <c r="J465" s="94"/>
      <c r="K465" s="94"/>
      <c r="L465" s="94"/>
      <c r="M465" s="94"/>
      <c r="N465" s="94"/>
      <c r="O465" s="94"/>
    </row>
    <row r="466" spans="2:15">
      <c r="B466" s="94"/>
      <c r="C466" s="94"/>
      <c r="D466" s="94"/>
      <c r="E466" s="94"/>
      <c r="F466" s="94"/>
      <c r="G466" s="94"/>
      <c r="H466" s="94"/>
      <c r="I466" s="94"/>
      <c r="J466" s="94"/>
      <c r="K466" s="94"/>
      <c r="L466" s="94"/>
      <c r="M466" s="94"/>
      <c r="N466" s="94"/>
      <c r="O466" s="94"/>
    </row>
    <row r="467" spans="2:15">
      <c r="B467" s="94"/>
      <c r="C467" s="94"/>
      <c r="D467" s="94"/>
      <c r="E467" s="94"/>
      <c r="F467" s="94"/>
      <c r="G467" s="94"/>
      <c r="H467" s="94"/>
      <c r="I467" s="94"/>
      <c r="J467" s="94"/>
      <c r="K467" s="94"/>
      <c r="L467" s="94"/>
      <c r="M467" s="94"/>
      <c r="N467" s="94"/>
      <c r="O467" s="94"/>
    </row>
    <row r="468" spans="2:15">
      <c r="B468" s="94"/>
      <c r="C468" s="94"/>
      <c r="D468" s="94"/>
      <c r="E468" s="94"/>
      <c r="F468" s="94"/>
      <c r="G468" s="94"/>
      <c r="H468" s="94"/>
      <c r="I468" s="94"/>
      <c r="J468" s="94"/>
      <c r="K468" s="94"/>
      <c r="L468" s="94"/>
      <c r="M468" s="94"/>
      <c r="N468" s="94"/>
      <c r="O468" s="94"/>
    </row>
    <row r="469" spans="2:15">
      <c r="B469" s="94"/>
      <c r="C469" s="94"/>
      <c r="D469" s="94"/>
      <c r="E469" s="94"/>
      <c r="F469" s="94"/>
      <c r="G469" s="94"/>
      <c r="H469" s="94"/>
      <c r="I469" s="94"/>
      <c r="J469" s="94"/>
      <c r="K469" s="94"/>
      <c r="L469" s="94"/>
      <c r="M469" s="94"/>
      <c r="N469" s="94"/>
      <c r="O469" s="94"/>
    </row>
    <row r="470" spans="2:15">
      <c r="B470" s="94"/>
      <c r="C470" s="94"/>
      <c r="D470" s="94"/>
      <c r="E470" s="94"/>
      <c r="F470" s="94"/>
      <c r="G470" s="94"/>
      <c r="H470" s="94"/>
      <c r="I470" s="94"/>
      <c r="J470" s="94"/>
      <c r="K470" s="94"/>
      <c r="L470" s="94"/>
      <c r="M470" s="94"/>
      <c r="N470" s="94"/>
      <c r="O470" s="94"/>
    </row>
    <row r="471" spans="2:15">
      <c r="B471" s="94"/>
      <c r="C471" s="94"/>
      <c r="D471" s="94"/>
      <c r="E471" s="94"/>
      <c r="F471" s="94"/>
      <c r="G471" s="94"/>
      <c r="H471" s="94"/>
      <c r="I471" s="94"/>
      <c r="J471" s="94"/>
      <c r="K471" s="94"/>
      <c r="L471" s="94"/>
      <c r="M471" s="94"/>
      <c r="N471" s="94"/>
      <c r="O471" s="94"/>
    </row>
    <row r="472" spans="2:15">
      <c r="B472" s="94"/>
      <c r="C472" s="94"/>
      <c r="D472" s="94"/>
      <c r="E472" s="94"/>
      <c r="F472" s="94"/>
      <c r="G472" s="94"/>
      <c r="H472" s="94"/>
      <c r="I472" s="94"/>
      <c r="J472" s="94"/>
      <c r="K472" s="94"/>
      <c r="L472" s="94"/>
      <c r="M472" s="94"/>
      <c r="N472" s="94"/>
      <c r="O472" s="94"/>
    </row>
    <row r="473" spans="2:15">
      <c r="B473" s="94"/>
      <c r="C473" s="94"/>
      <c r="D473" s="94"/>
      <c r="E473" s="94"/>
      <c r="F473" s="94"/>
      <c r="G473" s="94"/>
      <c r="H473" s="94"/>
      <c r="I473" s="94"/>
      <c r="J473" s="94"/>
      <c r="K473" s="94"/>
      <c r="L473" s="94"/>
      <c r="M473" s="94"/>
      <c r="N473" s="94"/>
      <c r="O473" s="94"/>
    </row>
    <row r="474" spans="2:15">
      <c r="B474" s="94"/>
      <c r="C474" s="94"/>
      <c r="D474" s="94"/>
      <c r="E474" s="94"/>
      <c r="F474" s="94"/>
      <c r="G474" s="94"/>
      <c r="H474" s="94"/>
      <c r="I474" s="94"/>
      <c r="J474" s="94"/>
      <c r="K474" s="94"/>
      <c r="L474" s="94"/>
      <c r="M474" s="94"/>
      <c r="N474" s="94"/>
      <c r="O474" s="94"/>
    </row>
    <row r="475" spans="2:15">
      <c r="B475" s="94"/>
      <c r="C475" s="94"/>
      <c r="D475" s="94"/>
      <c r="E475" s="94"/>
      <c r="F475" s="94"/>
      <c r="G475" s="94"/>
      <c r="H475" s="94"/>
      <c r="I475" s="94"/>
      <c r="J475" s="94"/>
      <c r="K475" s="94"/>
      <c r="L475" s="94"/>
      <c r="M475" s="94"/>
      <c r="N475" s="94"/>
      <c r="O475" s="94"/>
    </row>
    <row r="476" spans="2:15">
      <c r="B476" s="94"/>
      <c r="C476" s="94"/>
      <c r="D476" s="94"/>
      <c r="E476" s="94"/>
      <c r="F476" s="94"/>
      <c r="G476" s="94"/>
      <c r="H476" s="94"/>
      <c r="I476" s="94"/>
      <c r="J476" s="94"/>
      <c r="K476" s="94"/>
      <c r="L476" s="94"/>
      <c r="M476" s="94"/>
      <c r="N476" s="94"/>
      <c r="O476" s="94"/>
    </row>
    <row r="477" spans="2:15">
      <c r="B477" s="94"/>
      <c r="C477" s="94"/>
      <c r="D477" s="94"/>
      <c r="E477" s="94"/>
      <c r="F477" s="94"/>
      <c r="G477" s="94"/>
      <c r="H477" s="94"/>
      <c r="I477" s="94"/>
      <c r="J477" s="94"/>
      <c r="K477" s="94"/>
      <c r="L477" s="94"/>
      <c r="M477" s="94"/>
      <c r="N477" s="94"/>
      <c r="O477" s="94"/>
    </row>
    <row r="478" spans="2:15">
      <c r="B478" s="94"/>
      <c r="C478" s="94"/>
      <c r="D478" s="94"/>
      <c r="E478" s="94"/>
      <c r="F478" s="94"/>
      <c r="G478" s="94"/>
      <c r="H478" s="94"/>
      <c r="I478" s="94"/>
      <c r="J478" s="94"/>
      <c r="K478" s="94"/>
      <c r="L478" s="94"/>
      <c r="M478" s="94"/>
      <c r="N478" s="94"/>
      <c r="O478" s="94"/>
    </row>
    <row r="479" spans="2:15">
      <c r="B479" s="94"/>
      <c r="C479" s="94"/>
      <c r="D479" s="94"/>
      <c r="E479" s="94"/>
      <c r="F479" s="94"/>
      <c r="G479" s="94"/>
      <c r="H479" s="94"/>
      <c r="I479" s="94"/>
      <c r="J479" s="94"/>
      <c r="K479" s="94"/>
      <c r="L479" s="94"/>
      <c r="M479" s="94"/>
      <c r="N479" s="94"/>
      <c r="O479" s="94"/>
    </row>
    <row r="480" spans="2:15">
      <c r="B480" s="94"/>
      <c r="C480" s="94"/>
      <c r="D480" s="94"/>
      <c r="E480" s="94"/>
      <c r="F480" s="94"/>
      <c r="G480" s="94"/>
      <c r="H480" s="94"/>
      <c r="I480" s="94"/>
      <c r="J480" s="94"/>
      <c r="K480" s="94"/>
      <c r="L480" s="94"/>
      <c r="M480" s="94"/>
      <c r="N480" s="94"/>
      <c r="O480" s="94"/>
    </row>
    <row r="481" spans="2:15">
      <c r="B481" s="94"/>
      <c r="C481" s="94"/>
      <c r="D481" s="94"/>
      <c r="E481" s="94"/>
      <c r="F481" s="94"/>
      <c r="G481" s="94"/>
      <c r="H481" s="94"/>
      <c r="I481" s="94"/>
      <c r="J481" s="94"/>
      <c r="K481" s="94"/>
      <c r="L481" s="94"/>
      <c r="M481" s="94"/>
      <c r="N481" s="94"/>
      <c r="O481" s="94"/>
    </row>
    <row r="482" spans="2:15">
      <c r="B482" s="94"/>
      <c r="C482" s="94"/>
      <c r="D482" s="94"/>
      <c r="E482" s="94"/>
      <c r="F482" s="94"/>
      <c r="G482" s="94"/>
      <c r="H482" s="94"/>
      <c r="I482" s="94"/>
      <c r="J482" s="94"/>
      <c r="K482" s="94"/>
      <c r="L482" s="94"/>
      <c r="M482" s="94"/>
      <c r="N482" s="94"/>
      <c r="O482" s="94"/>
    </row>
    <row r="483" spans="2:15">
      <c r="B483" s="94"/>
      <c r="C483" s="94"/>
      <c r="D483" s="94"/>
      <c r="E483" s="94"/>
      <c r="F483" s="94"/>
      <c r="G483" s="94"/>
      <c r="H483" s="94"/>
      <c r="I483" s="94"/>
      <c r="J483" s="94"/>
      <c r="K483" s="94"/>
      <c r="L483" s="94"/>
      <c r="M483" s="94"/>
      <c r="N483" s="94"/>
      <c r="O483" s="94"/>
    </row>
    <row r="484" spans="2:15">
      <c r="B484" s="94"/>
      <c r="C484" s="94"/>
      <c r="D484" s="94"/>
      <c r="E484" s="94"/>
      <c r="F484" s="94"/>
      <c r="G484" s="94"/>
      <c r="H484" s="94"/>
      <c r="I484" s="94"/>
      <c r="J484" s="94"/>
      <c r="K484" s="94"/>
      <c r="L484" s="94"/>
      <c r="M484" s="94"/>
      <c r="N484" s="94"/>
      <c r="O484" s="94"/>
    </row>
    <row r="485" spans="2:15">
      <c r="B485" s="94"/>
      <c r="C485" s="94"/>
      <c r="D485" s="94"/>
      <c r="E485" s="94"/>
      <c r="F485" s="94"/>
      <c r="G485" s="94"/>
      <c r="H485" s="94"/>
      <c r="I485" s="94"/>
      <c r="J485" s="94"/>
      <c r="K485" s="94"/>
      <c r="L485" s="94"/>
      <c r="M485" s="94"/>
      <c r="N485" s="94"/>
      <c r="O485" s="94"/>
    </row>
    <row r="486" spans="2:15">
      <c r="B486" s="94"/>
      <c r="C486" s="94"/>
      <c r="D486" s="94"/>
      <c r="E486" s="94"/>
      <c r="F486" s="94"/>
      <c r="G486" s="94"/>
      <c r="H486" s="94"/>
      <c r="I486" s="94"/>
      <c r="J486" s="94"/>
      <c r="K486" s="94"/>
      <c r="L486" s="94"/>
      <c r="M486" s="94"/>
      <c r="N486" s="94"/>
      <c r="O486" s="94"/>
    </row>
    <row r="487" spans="2:15">
      <c r="B487" s="94"/>
      <c r="C487" s="94"/>
      <c r="D487" s="94"/>
      <c r="E487" s="94"/>
      <c r="F487" s="94"/>
      <c r="G487" s="94"/>
      <c r="H487" s="94"/>
      <c r="I487" s="94"/>
      <c r="J487" s="94"/>
      <c r="K487" s="94"/>
      <c r="L487" s="94"/>
      <c r="M487" s="94"/>
      <c r="N487" s="94"/>
      <c r="O487" s="94"/>
    </row>
    <row r="488" spans="2:15">
      <c r="B488" s="94"/>
      <c r="C488" s="94"/>
      <c r="D488" s="94"/>
      <c r="E488" s="94"/>
      <c r="F488" s="94"/>
      <c r="G488" s="94"/>
      <c r="H488" s="94"/>
      <c r="I488" s="94"/>
      <c r="J488" s="94"/>
      <c r="K488" s="94"/>
      <c r="L488" s="94"/>
      <c r="M488" s="94"/>
      <c r="N488" s="94"/>
      <c r="O488" s="94"/>
    </row>
    <row r="489" spans="2:15">
      <c r="B489" s="94"/>
      <c r="C489" s="94"/>
      <c r="D489" s="94"/>
      <c r="E489" s="94"/>
      <c r="F489" s="94"/>
      <c r="G489" s="94"/>
      <c r="H489" s="94"/>
      <c r="I489" s="94"/>
      <c r="J489" s="94"/>
      <c r="K489" s="94"/>
      <c r="L489" s="94"/>
      <c r="M489" s="94"/>
      <c r="N489" s="94"/>
      <c r="O489" s="94"/>
    </row>
    <row r="490" spans="2:15">
      <c r="B490" s="94"/>
      <c r="C490" s="94"/>
      <c r="D490" s="94"/>
      <c r="E490" s="94"/>
      <c r="F490" s="94"/>
      <c r="G490" s="94"/>
      <c r="H490" s="94"/>
      <c r="I490" s="94"/>
      <c r="J490" s="94"/>
      <c r="K490" s="94"/>
      <c r="L490" s="94"/>
      <c r="M490" s="94"/>
      <c r="N490" s="94"/>
      <c r="O490" s="94"/>
    </row>
    <row r="491" spans="2:15">
      <c r="B491" s="94"/>
      <c r="C491" s="94"/>
      <c r="D491" s="94"/>
      <c r="E491" s="94"/>
      <c r="F491" s="94"/>
      <c r="G491" s="94"/>
      <c r="H491" s="94"/>
      <c r="I491" s="94"/>
      <c r="J491" s="94"/>
      <c r="K491" s="94"/>
      <c r="L491" s="94"/>
      <c r="M491" s="94"/>
      <c r="N491" s="94"/>
      <c r="O491" s="94"/>
    </row>
    <row r="492" spans="2:15">
      <c r="B492" s="94"/>
      <c r="C492" s="94"/>
      <c r="D492" s="94"/>
      <c r="E492" s="94"/>
      <c r="F492" s="94"/>
      <c r="G492" s="94"/>
      <c r="H492" s="94"/>
      <c r="I492" s="94"/>
      <c r="J492" s="94"/>
      <c r="K492" s="94"/>
      <c r="L492" s="94"/>
      <c r="M492" s="94"/>
      <c r="N492" s="94"/>
      <c r="O492" s="94"/>
    </row>
    <row r="493" spans="2:15">
      <c r="B493" s="94"/>
      <c r="C493" s="94"/>
      <c r="D493" s="94"/>
      <c r="E493" s="94"/>
      <c r="F493" s="94"/>
      <c r="G493" s="94"/>
      <c r="H493" s="94"/>
      <c r="I493" s="94"/>
      <c r="J493" s="94"/>
      <c r="K493" s="94"/>
      <c r="L493" s="94"/>
      <c r="M493" s="94"/>
      <c r="N493" s="94"/>
      <c r="O493" s="94"/>
    </row>
    <row r="494" spans="2:15">
      <c r="B494" s="94"/>
      <c r="C494" s="94"/>
      <c r="D494" s="94"/>
      <c r="E494" s="94"/>
      <c r="F494" s="94"/>
      <c r="G494" s="94"/>
      <c r="H494" s="94"/>
      <c r="I494" s="94"/>
      <c r="J494" s="94"/>
      <c r="K494" s="94"/>
      <c r="L494" s="94"/>
      <c r="M494" s="94"/>
      <c r="N494" s="94"/>
      <c r="O494" s="94"/>
    </row>
    <row r="495" spans="2:15">
      <c r="B495" s="94"/>
      <c r="C495" s="94"/>
      <c r="D495" s="94"/>
      <c r="E495" s="94"/>
      <c r="F495" s="94"/>
      <c r="G495" s="94"/>
      <c r="H495" s="94"/>
      <c r="I495" s="94"/>
      <c r="J495" s="94"/>
      <c r="K495" s="94"/>
      <c r="L495" s="94"/>
      <c r="M495" s="94"/>
      <c r="N495" s="94"/>
      <c r="O495" s="94"/>
    </row>
    <row r="496" spans="2:15">
      <c r="B496" s="94"/>
      <c r="C496" s="94"/>
      <c r="D496" s="94"/>
      <c r="E496" s="94"/>
      <c r="F496" s="94"/>
      <c r="G496" s="94"/>
      <c r="H496" s="94"/>
      <c r="I496" s="94"/>
      <c r="J496" s="94"/>
      <c r="K496" s="94"/>
      <c r="L496" s="94"/>
      <c r="M496" s="94"/>
      <c r="N496" s="94"/>
      <c r="O496" s="94"/>
    </row>
    <row r="497" spans="2:15">
      <c r="B497" s="94"/>
      <c r="C497" s="94"/>
      <c r="D497" s="94"/>
      <c r="E497" s="94"/>
      <c r="F497" s="94"/>
      <c r="G497" s="94"/>
      <c r="H497" s="94"/>
      <c r="I497" s="94"/>
      <c r="J497" s="94"/>
      <c r="K497" s="94"/>
      <c r="L497" s="94"/>
      <c r="M497" s="94"/>
      <c r="N497" s="94"/>
      <c r="O497" s="94"/>
    </row>
    <row r="498" spans="2:15">
      <c r="B498" s="94"/>
      <c r="C498" s="94"/>
      <c r="D498" s="94"/>
      <c r="E498" s="94"/>
      <c r="F498" s="94"/>
      <c r="G498" s="94"/>
      <c r="H498" s="94"/>
      <c r="I498" s="94"/>
      <c r="J498" s="94"/>
      <c r="K498" s="94"/>
      <c r="L498" s="94"/>
      <c r="M498" s="94"/>
      <c r="N498" s="94"/>
      <c r="O498" s="94"/>
    </row>
    <row r="499" spans="2:15">
      <c r="B499" s="94"/>
      <c r="C499" s="94"/>
      <c r="D499" s="94"/>
      <c r="E499" s="94"/>
      <c r="F499" s="94"/>
      <c r="G499" s="94"/>
      <c r="H499" s="94"/>
      <c r="I499" s="94"/>
      <c r="J499" s="94"/>
      <c r="K499" s="94"/>
      <c r="L499" s="94"/>
      <c r="M499" s="94"/>
      <c r="N499" s="94"/>
      <c r="O499" s="94"/>
    </row>
    <row r="500" spans="2:15">
      <c r="B500" s="94"/>
      <c r="C500" s="94"/>
      <c r="D500" s="94"/>
      <c r="E500" s="94"/>
      <c r="F500" s="94"/>
      <c r="G500" s="94"/>
      <c r="H500" s="94"/>
      <c r="I500" s="94"/>
      <c r="J500" s="94"/>
      <c r="K500" s="94"/>
      <c r="L500" s="94"/>
      <c r="M500" s="94"/>
      <c r="N500" s="94"/>
      <c r="O500" s="94"/>
    </row>
    <row r="501" spans="2:15">
      <c r="B501" s="94"/>
      <c r="C501" s="94"/>
      <c r="D501" s="94"/>
      <c r="E501" s="94"/>
      <c r="F501" s="94"/>
      <c r="G501" s="94"/>
      <c r="H501" s="94"/>
      <c r="I501" s="94"/>
      <c r="J501" s="94"/>
      <c r="K501" s="94"/>
      <c r="L501" s="94"/>
      <c r="M501" s="94"/>
      <c r="N501" s="94"/>
      <c r="O501" s="94"/>
    </row>
    <row r="502" spans="2:15">
      <c r="B502" s="94"/>
      <c r="C502" s="94"/>
      <c r="D502" s="94"/>
      <c r="E502" s="94"/>
      <c r="F502" s="94"/>
      <c r="G502" s="94"/>
      <c r="H502" s="94"/>
      <c r="I502" s="94"/>
      <c r="J502" s="94"/>
      <c r="K502" s="94"/>
      <c r="L502" s="94"/>
      <c r="M502" s="94"/>
      <c r="N502" s="94"/>
      <c r="O502" s="94"/>
    </row>
    <row r="503" spans="2:15">
      <c r="B503" s="94"/>
      <c r="C503" s="94"/>
      <c r="D503" s="94"/>
      <c r="E503" s="94"/>
      <c r="F503" s="94"/>
      <c r="G503" s="94"/>
      <c r="H503" s="94"/>
      <c r="I503" s="94"/>
      <c r="J503" s="94"/>
      <c r="K503" s="94"/>
      <c r="L503" s="94"/>
      <c r="M503" s="94"/>
      <c r="N503" s="94"/>
      <c r="O503" s="94"/>
    </row>
    <row r="504" spans="2:15">
      <c r="B504" s="94"/>
      <c r="C504" s="94"/>
      <c r="D504" s="94"/>
      <c r="E504" s="94"/>
      <c r="F504" s="94"/>
      <c r="G504" s="94"/>
      <c r="H504" s="94"/>
      <c r="I504" s="94"/>
      <c r="J504" s="94"/>
      <c r="K504" s="94"/>
      <c r="L504" s="94"/>
      <c r="M504" s="94"/>
      <c r="N504" s="94"/>
      <c r="O504" s="94"/>
    </row>
    <row r="505" spans="2:15">
      <c r="B505" s="94"/>
      <c r="C505" s="94"/>
      <c r="D505" s="94"/>
      <c r="E505" s="94"/>
      <c r="F505" s="94"/>
      <c r="G505" s="94"/>
      <c r="H505" s="94"/>
      <c r="I505" s="94"/>
      <c r="J505" s="94"/>
      <c r="K505" s="94"/>
      <c r="L505" s="94"/>
      <c r="M505" s="94"/>
      <c r="N505" s="94"/>
      <c r="O505" s="94"/>
    </row>
    <row r="506" spans="2:15">
      <c r="B506" s="94"/>
      <c r="C506" s="94"/>
      <c r="D506" s="94"/>
      <c r="E506" s="94"/>
      <c r="F506" s="94"/>
      <c r="G506" s="94"/>
      <c r="H506" s="94"/>
      <c r="I506" s="94"/>
      <c r="J506" s="94"/>
      <c r="K506" s="94"/>
      <c r="L506" s="94"/>
      <c r="M506" s="94"/>
      <c r="N506" s="94"/>
      <c r="O506" s="94"/>
    </row>
    <row r="507" spans="2:15">
      <c r="B507" s="94"/>
      <c r="C507" s="94"/>
      <c r="D507" s="94"/>
      <c r="E507" s="94"/>
      <c r="F507" s="94"/>
      <c r="G507" s="94"/>
      <c r="H507" s="94"/>
      <c r="I507" s="94"/>
      <c r="J507" s="94"/>
      <c r="K507" s="94"/>
      <c r="L507" s="94"/>
      <c r="M507" s="94"/>
      <c r="N507" s="94"/>
      <c r="O507" s="94"/>
    </row>
    <row r="508" spans="2:15">
      <c r="B508" s="94"/>
      <c r="C508" s="94"/>
      <c r="D508" s="94"/>
      <c r="E508" s="94"/>
      <c r="F508" s="94"/>
      <c r="G508" s="94"/>
      <c r="H508" s="94"/>
      <c r="I508" s="94"/>
      <c r="J508" s="94"/>
      <c r="K508" s="94"/>
      <c r="L508" s="94"/>
      <c r="M508" s="94"/>
      <c r="N508" s="94"/>
      <c r="O508" s="94"/>
    </row>
    <row r="509" spans="2:15">
      <c r="B509" s="94"/>
      <c r="C509" s="94"/>
      <c r="D509" s="94"/>
      <c r="E509" s="94"/>
      <c r="F509" s="94"/>
      <c r="G509" s="94"/>
      <c r="H509" s="94"/>
      <c r="I509" s="94"/>
      <c r="J509" s="94"/>
      <c r="K509" s="94"/>
      <c r="L509" s="94"/>
      <c r="M509" s="94"/>
      <c r="N509" s="94"/>
      <c r="O509" s="94"/>
    </row>
    <row r="510" spans="2:15">
      <c r="B510" s="94"/>
      <c r="C510" s="94"/>
      <c r="D510" s="94"/>
      <c r="E510" s="94"/>
      <c r="F510" s="94"/>
      <c r="G510" s="94"/>
      <c r="H510" s="94"/>
      <c r="I510" s="94"/>
      <c r="J510" s="94"/>
      <c r="K510" s="94"/>
      <c r="L510" s="94"/>
      <c r="M510" s="94"/>
      <c r="N510" s="94"/>
      <c r="O510" s="94"/>
    </row>
    <row r="511" spans="2:15">
      <c r="B511" s="94"/>
      <c r="C511" s="94"/>
      <c r="D511" s="94"/>
      <c r="E511" s="94"/>
      <c r="F511" s="94"/>
      <c r="G511" s="94"/>
      <c r="H511" s="94"/>
      <c r="I511" s="94"/>
      <c r="J511" s="94"/>
      <c r="K511" s="94"/>
      <c r="L511" s="94"/>
      <c r="M511" s="94"/>
      <c r="N511" s="94"/>
      <c r="O511" s="94"/>
    </row>
    <row r="512" spans="2:15">
      <c r="B512" s="94"/>
      <c r="C512" s="94"/>
      <c r="D512" s="94"/>
      <c r="E512" s="94"/>
      <c r="F512" s="94"/>
      <c r="G512" s="94"/>
      <c r="H512" s="94"/>
      <c r="I512" s="94"/>
      <c r="J512" s="94"/>
      <c r="K512" s="94"/>
      <c r="L512" s="94"/>
      <c r="M512" s="94"/>
      <c r="N512" s="94"/>
      <c r="O512" s="94"/>
    </row>
    <row r="513" spans="2:15">
      <c r="B513" s="94"/>
      <c r="C513" s="94"/>
      <c r="D513" s="94"/>
      <c r="E513" s="94"/>
      <c r="F513" s="94"/>
      <c r="G513" s="94"/>
      <c r="H513" s="94"/>
      <c r="I513" s="94"/>
      <c r="J513" s="94"/>
      <c r="K513" s="94"/>
      <c r="L513" s="94"/>
      <c r="M513" s="94"/>
      <c r="N513" s="94"/>
      <c r="O513" s="94"/>
    </row>
    <row r="514" spans="2:15">
      <c r="B514" s="94"/>
      <c r="C514" s="94"/>
      <c r="D514" s="94"/>
      <c r="E514" s="94"/>
      <c r="F514" s="94"/>
      <c r="G514" s="94"/>
      <c r="H514" s="94"/>
      <c r="I514" s="94"/>
      <c r="J514" s="94"/>
      <c r="K514" s="94"/>
      <c r="L514" s="94"/>
      <c r="M514" s="94"/>
      <c r="N514" s="94"/>
      <c r="O514" s="94"/>
    </row>
    <row r="515" spans="2:15">
      <c r="B515" s="94"/>
      <c r="C515" s="94"/>
      <c r="D515" s="94"/>
      <c r="E515" s="94"/>
      <c r="F515" s="94"/>
      <c r="G515" s="94"/>
      <c r="H515" s="94"/>
      <c r="I515" s="94"/>
      <c r="J515" s="94"/>
      <c r="K515" s="94"/>
      <c r="L515" s="94"/>
      <c r="M515" s="94"/>
      <c r="N515" s="94"/>
      <c r="O515" s="94"/>
    </row>
    <row r="516" spans="2:15">
      <c r="B516" s="94"/>
      <c r="C516" s="94"/>
      <c r="D516" s="94"/>
      <c r="E516" s="94"/>
      <c r="F516" s="94"/>
      <c r="G516" s="94"/>
      <c r="H516" s="94"/>
      <c r="I516" s="94"/>
      <c r="J516" s="94"/>
      <c r="K516" s="94"/>
      <c r="L516" s="94"/>
      <c r="M516" s="94"/>
      <c r="N516" s="94"/>
      <c r="O516" s="94"/>
    </row>
    <row r="517" spans="2:15">
      <c r="B517" s="94"/>
      <c r="C517" s="94"/>
      <c r="D517" s="94"/>
      <c r="E517" s="94"/>
      <c r="F517" s="94"/>
      <c r="G517" s="94"/>
      <c r="H517" s="94"/>
      <c r="I517" s="94"/>
      <c r="J517" s="94"/>
      <c r="K517" s="94"/>
      <c r="L517" s="94"/>
      <c r="M517" s="94"/>
      <c r="N517" s="94"/>
      <c r="O517" s="94"/>
    </row>
    <row r="518" spans="2:15">
      <c r="B518" s="94"/>
      <c r="C518" s="94"/>
      <c r="D518" s="94"/>
      <c r="E518" s="94"/>
      <c r="F518" s="94"/>
      <c r="G518" s="94"/>
      <c r="H518" s="94"/>
      <c r="I518" s="94"/>
      <c r="J518" s="94"/>
      <c r="K518" s="94"/>
      <c r="L518" s="94"/>
      <c r="M518" s="94"/>
      <c r="N518" s="94"/>
      <c r="O518" s="94"/>
    </row>
    <row r="519" spans="2:15">
      <c r="B519" s="94"/>
      <c r="C519" s="94"/>
      <c r="D519" s="94"/>
      <c r="E519" s="94"/>
      <c r="F519" s="94"/>
      <c r="G519" s="94"/>
      <c r="H519" s="94"/>
      <c r="I519" s="94"/>
      <c r="J519" s="94"/>
      <c r="K519" s="94"/>
      <c r="L519" s="94"/>
      <c r="M519" s="94"/>
      <c r="N519" s="94"/>
      <c r="O519" s="94"/>
    </row>
    <row r="520" spans="2:15">
      <c r="B520" s="94"/>
      <c r="C520" s="94"/>
      <c r="D520" s="94"/>
      <c r="E520" s="94"/>
      <c r="F520" s="94"/>
      <c r="G520" s="94"/>
      <c r="H520" s="94"/>
      <c r="I520" s="94"/>
      <c r="J520" s="94"/>
      <c r="K520" s="94"/>
      <c r="L520" s="94"/>
      <c r="M520" s="94"/>
      <c r="N520" s="94"/>
      <c r="O520" s="94"/>
    </row>
    <row r="521" spans="2:15">
      <c r="B521" s="94"/>
      <c r="C521" s="94"/>
      <c r="D521" s="94"/>
      <c r="E521" s="94"/>
      <c r="F521" s="94"/>
      <c r="G521" s="94"/>
      <c r="H521" s="94"/>
      <c r="I521" s="94"/>
      <c r="J521" s="94"/>
      <c r="K521" s="94"/>
      <c r="L521" s="94"/>
      <c r="M521" s="94"/>
      <c r="N521" s="94"/>
      <c r="O521" s="94"/>
    </row>
    <row r="522" spans="2:15">
      <c r="B522" s="94"/>
      <c r="C522" s="94"/>
      <c r="D522" s="94"/>
      <c r="E522" s="94"/>
      <c r="F522" s="94"/>
      <c r="G522" s="94"/>
      <c r="H522" s="94"/>
      <c r="I522" s="94"/>
      <c r="J522" s="94"/>
      <c r="K522" s="94"/>
      <c r="L522" s="94"/>
      <c r="M522" s="94"/>
      <c r="N522" s="94"/>
      <c r="O522" s="94"/>
    </row>
    <row r="523" spans="2:15">
      <c r="B523" s="94"/>
      <c r="C523" s="94"/>
      <c r="D523" s="94"/>
      <c r="E523" s="94"/>
      <c r="F523" s="94"/>
      <c r="G523" s="94"/>
      <c r="H523" s="94"/>
      <c r="I523" s="94"/>
      <c r="J523" s="94"/>
      <c r="K523" s="94"/>
      <c r="L523" s="94"/>
      <c r="M523" s="94"/>
      <c r="N523" s="94"/>
      <c r="O523" s="94"/>
    </row>
    <row r="524" spans="2:15">
      <c r="B524" s="94"/>
      <c r="C524" s="94"/>
      <c r="D524" s="94"/>
      <c r="E524" s="94"/>
      <c r="F524" s="94"/>
      <c r="G524" s="94"/>
      <c r="H524" s="94"/>
      <c r="I524" s="94"/>
      <c r="J524" s="94"/>
      <c r="K524" s="94"/>
      <c r="L524" s="94"/>
      <c r="M524" s="94"/>
      <c r="N524" s="94"/>
      <c r="O524" s="94"/>
    </row>
    <row r="525" spans="2:15">
      <c r="B525" s="94"/>
      <c r="C525" s="94"/>
      <c r="D525" s="94"/>
      <c r="E525" s="94"/>
      <c r="F525" s="94"/>
      <c r="G525" s="94"/>
      <c r="H525" s="94"/>
      <c r="I525" s="94"/>
      <c r="J525" s="94"/>
      <c r="K525" s="94"/>
      <c r="L525" s="94"/>
      <c r="M525" s="94"/>
      <c r="N525" s="94"/>
      <c r="O525" s="94"/>
    </row>
    <row r="526" spans="2:15">
      <c r="B526" s="94"/>
      <c r="C526" s="94"/>
      <c r="D526" s="94"/>
      <c r="E526" s="94"/>
      <c r="F526" s="94"/>
      <c r="G526" s="94"/>
      <c r="H526" s="94"/>
      <c r="I526" s="94"/>
      <c r="J526" s="94"/>
      <c r="K526" s="94"/>
      <c r="L526" s="94"/>
      <c r="M526" s="94"/>
      <c r="N526" s="94"/>
      <c r="O526" s="94"/>
    </row>
    <row r="527" spans="2:15">
      <c r="B527" s="94"/>
      <c r="C527" s="94"/>
      <c r="D527" s="94"/>
      <c r="E527" s="94"/>
      <c r="F527" s="94"/>
      <c r="G527" s="94"/>
      <c r="H527" s="94"/>
      <c r="I527" s="94"/>
      <c r="J527" s="94"/>
      <c r="K527" s="94"/>
      <c r="L527" s="94"/>
      <c r="M527" s="94"/>
      <c r="N527" s="94"/>
      <c r="O527" s="94"/>
    </row>
    <row r="528" spans="2:15">
      <c r="B528" s="94"/>
      <c r="C528" s="94"/>
      <c r="D528" s="94"/>
      <c r="E528" s="94"/>
      <c r="F528" s="94"/>
      <c r="G528" s="94"/>
      <c r="H528" s="94"/>
      <c r="I528" s="94"/>
      <c r="J528" s="94"/>
      <c r="K528" s="94"/>
      <c r="L528" s="94"/>
      <c r="M528" s="94"/>
      <c r="N528" s="94"/>
      <c r="O528" s="94"/>
    </row>
    <row r="529" spans="2:15">
      <c r="B529" s="94"/>
      <c r="C529" s="94"/>
      <c r="D529" s="94"/>
      <c r="E529" s="94"/>
      <c r="F529" s="94"/>
      <c r="G529" s="94"/>
      <c r="H529" s="94"/>
      <c r="I529" s="94"/>
      <c r="J529" s="94"/>
      <c r="K529" s="94"/>
      <c r="L529" s="94"/>
      <c r="M529" s="94"/>
      <c r="N529" s="94"/>
      <c r="O529" s="94"/>
    </row>
    <row r="530" spans="2:15">
      <c r="B530" s="94"/>
      <c r="C530" s="94"/>
      <c r="D530" s="94"/>
      <c r="E530" s="94"/>
      <c r="F530" s="94"/>
      <c r="G530" s="94"/>
      <c r="H530" s="94"/>
      <c r="I530" s="94"/>
      <c r="J530" s="94"/>
      <c r="K530" s="94"/>
      <c r="L530" s="94"/>
      <c r="M530" s="94"/>
      <c r="N530" s="94"/>
      <c r="O530" s="94"/>
    </row>
    <row r="531" spans="2:15">
      <c r="B531" s="94"/>
      <c r="C531" s="94"/>
      <c r="D531" s="94"/>
      <c r="E531" s="94"/>
      <c r="F531" s="94"/>
      <c r="G531" s="94"/>
      <c r="H531" s="94"/>
      <c r="I531" s="94"/>
      <c r="J531" s="94"/>
      <c r="K531" s="94"/>
      <c r="L531" s="94"/>
      <c r="M531" s="94"/>
      <c r="N531" s="94"/>
      <c r="O531" s="94"/>
    </row>
    <row r="532" spans="2:15">
      <c r="B532" s="94"/>
      <c r="C532" s="94"/>
      <c r="D532" s="94"/>
      <c r="E532" s="94"/>
      <c r="F532" s="94"/>
      <c r="G532" s="94"/>
      <c r="H532" s="94"/>
      <c r="I532" s="94"/>
      <c r="J532" s="94"/>
      <c r="K532" s="94"/>
      <c r="L532" s="94"/>
      <c r="M532" s="94"/>
      <c r="N532" s="94"/>
      <c r="O532" s="94"/>
    </row>
    <row r="533" spans="2:15">
      <c r="B533" s="94"/>
      <c r="C533" s="94"/>
      <c r="D533" s="94"/>
      <c r="E533" s="94"/>
      <c r="F533" s="94"/>
      <c r="G533" s="94"/>
      <c r="H533" s="94"/>
      <c r="I533" s="94"/>
      <c r="J533" s="94"/>
      <c r="K533" s="94"/>
      <c r="L533" s="94"/>
      <c r="M533" s="94"/>
      <c r="N533" s="94"/>
      <c r="O533" s="94"/>
    </row>
    <row r="534" spans="2:15">
      <c r="B534" s="94"/>
      <c r="C534" s="94"/>
      <c r="D534" s="94"/>
      <c r="E534" s="94"/>
      <c r="F534" s="94"/>
      <c r="G534" s="94"/>
      <c r="H534" s="94"/>
      <c r="I534" s="94"/>
      <c r="J534" s="94"/>
      <c r="K534" s="94"/>
      <c r="L534" s="94"/>
      <c r="M534" s="94"/>
      <c r="N534" s="94"/>
      <c r="O534" s="94"/>
    </row>
    <row r="535" spans="2:15">
      <c r="B535" s="94"/>
      <c r="C535" s="94"/>
      <c r="D535" s="94"/>
      <c r="E535" s="94"/>
      <c r="F535" s="94"/>
      <c r="G535" s="94"/>
      <c r="H535" s="94"/>
      <c r="I535" s="94"/>
      <c r="J535" s="94"/>
      <c r="K535" s="94"/>
      <c r="L535" s="94"/>
      <c r="M535" s="94"/>
      <c r="N535" s="94"/>
      <c r="O535" s="94"/>
    </row>
    <row r="536" spans="2:15">
      <c r="B536" s="94"/>
      <c r="C536" s="94"/>
      <c r="D536" s="94"/>
      <c r="E536" s="94"/>
      <c r="F536" s="94"/>
      <c r="G536" s="94"/>
      <c r="H536" s="94"/>
      <c r="I536" s="94"/>
      <c r="J536" s="94"/>
      <c r="K536" s="94"/>
      <c r="L536" s="94"/>
      <c r="M536" s="94"/>
      <c r="N536" s="94"/>
      <c r="O536" s="94"/>
    </row>
    <row r="537" spans="2:15">
      <c r="B537" s="94"/>
      <c r="C537" s="94"/>
      <c r="D537" s="94"/>
      <c r="E537" s="94"/>
      <c r="F537" s="94"/>
      <c r="G537" s="94"/>
      <c r="H537" s="94"/>
      <c r="I537" s="94"/>
      <c r="J537" s="94"/>
      <c r="K537" s="94"/>
      <c r="L537" s="94"/>
      <c r="M537" s="94"/>
      <c r="N537" s="94"/>
      <c r="O537" s="94"/>
    </row>
    <row r="538" spans="2:15">
      <c r="B538" s="94"/>
      <c r="C538" s="94"/>
      <c r="D538" s="94"/>
      <c r="E538" s="94"/>
      <c r="F538" s="94"/>
      <c r="G538" s="94"/>
      <c r="H538" s="94"/>
      <c r="I538" s="94"/>
      <c r="J538" s="94"/>
      <c r="K538" s="94"/>
      <c r="L538" s="94"/>
      <c r="M538" s="94"/>
      <c r="N538" s="94"/>
      <c r="O538" s="94"/>
    </row>
    <row r="539" spans="2:15">
      <c r="B539" s="94"/>
      <c r="C539" s="94"/>
      <c r="D539" s="94"/>
      <c r="E539" s="94"/>
      <c r="F539" s="94"/>
      <c r="G539" s="94"/>
      <c r="H539" s="94"/>
      <c r="I539" s="94"/>
      <c r="J539" s="94"/>
      <c r="K539" s="94"/>
      <c r="L539" s="94"/>
      <c r="M539" s="94"/>
      <c r="N539" s="94"/>
      <c r="O539" s="94"/>
    </row>
    <row r="540" spans="2:15">
      <c r="B540" s="94"/>
      <c r="C540" s="94"/>
      <c r="D540" s="94"/>
      <c r="E540" s="94"/>
      <c r="F540" s="94"/>
      <c r="G540" s="94"/>
      <c r="H540" s="94"/>
      <c r="I540" s="94"/>
      <c r="J540" s="94"/>
      <c r="K540" s="94"/>
      <c r="L540" s="94"/>
      <c r="M540" s="94"/>
      <c r="N540" s="94"/>
      <c r="O540" s="94"/>
    </row>
    <row r="541" spans="2:15">
      <c r="B541" s="94"/>
      <c r="C541" s="94"/>
      <c r="D541" s="94"/>
      <c r="E541" s="94"/>
      <c r="F541" s="94"/>
      <c r="G541" s="94"/>
      <c r="H541" s="94"/>
      <c r="I541" s="94"/>
      <c r="J541" s="94"/>
      <c r="K541" s="94"/>
      <c r="L541" s="94"/>
      <c r="M541" s="94"/>
      <c r="N541" s="94"/>
      <c r="O541" s="94"/>
    </row>
    <row r="542" spans="2:15">
      <c r="B542" s="94"/>
      <c r="C542" s="94"/>
      <c r="D542" s="94"/>
      <c r="E542" s="94"/>
      <c r="F542" s="94"/>
      <c r="G542" s="94"/>
      <c r="H542" s="94"/>
      <c r="I542" s="94"/>
      <c r="J542" s="94"/>
      <c r="K542" s="94"/>
      <c r="L542" s="94"/>
      <c r="M542" s="94"/>
      <c r="N542" s="94"/>
      <c r="O542" s="94"/>
    </row>
    <row r="543" spans="2:15">
      <c r="B543" s="94"/>
      <c r="C543" s="94"/>
      <c r="D543" s="94"/>
      <c r="E543" s="94"/>
      <c r="F543" s="94"/>
      <c r="G543" s="94"/>
      <c r="H543" s="94"/>
      <c r="I543" s="94"/>
      <c r="J543" s="94"/>
      <c r="K543" s="94"/>
      <c r="L543" s="94"/>
      <c r="M543" s="94"/>
      <c r="N543" s="94"/>
      <c r="O543" s="94"/>
    </row>
    <row r="544" spans="2:15">
      <c r="B544" s="94"/>
      <c r="C544" s="94"/>
      <c r="D544" s="94"/>
      <c r="E544" s="94"/>
      <c r="F544" s="94"/>
      <c r="G544" s="94"/>
      <c r="H544" s="94"/>
      <c r="I544" s="94"/>
      <c r="J544" s="94"/>
      <c r="K544" s="94"/>
      <c r="L544" s="94"/>
      <c r="M544" s="94"/>
      <c r="N544" s="94"/>
      <c r="O544" s="94"/>
    </row>
    <row r="545" spans="2:15">
      <c r="B545" s="94"/>
      <c r="C545" s="94"/>
      <c r="D545" s="94"/>
      <c r="E545" s="94"/>
      <c r="F545" s="94"/>
      <c r="G545" s="94"/>
      <c r="H545" s="94"/>
      <c r="I545" s="94"/>
      <c r="J545" s="94"/>
      <c r="K545" s="94"/>
      <c r="L545" s="94"/>
      <c r="M545" s="94"/>
      <c r="N545" s="94"/>
      <c r="O545" s="94"/>
    </row>
    <row r="546" spans="2:15">
      <c r="B546" s="94"/>
      <c r="C546" s="94"/>
      <c r="D546" s="94"/>
      <c r="E546" s="94"/>
      <c r="F546" s="94"/>
      <c r="G546" s="94"/>
      <c r="H546" s="94"/>
      <c r="I546" s="94"/>
      <c r="J546" s="94"/>
      <c r="K546" s="94"/>
      <c r="L546" s="94"/>
      <c r="M546" s="94"/>
      <c r="N546" s="94"/>
      <c r="O546" s="94"/>
    </row>
    <row r="547" spans="2:15">
      <c r="B547" s="94"/>
      <c r="C547" s="94"/>
      <c r="D547" s="94"/>
      <c r="E547" s="94"/>
      <c r="F547" s="94"/>
      <c r="G547" s="94"/>
      <c r="H547" s="94"/>
      <c r="I547" s="94"/>
      <c r="J547" s="94"/>
      <c r="K547" s="94"/>
      <c r="L547" s="94"/>
      <c r="M547" s="94"/>
      <c r="N547" s="94"/>
      <c r="O547" s="94"/>
    </row>
    <row r="548" spans="2:15">
      <c r="B548" s="94"/>
      <c r="C548" s="94"/>
      <c r="D548" s="94"/>
      <c r="E548" s="94"/>
      <c r="F548" s="94"/>
      <c r="G548" s="94"/>
      <c r="H548" s="94"/>
      <c r="I548" s="94"/>
      <c r="J548" s="94"/>
      <c r="K548" s="94"/>
      <c r="L548" s="94"/>
      <c r="M548" s="94"/>
      <c r="N548" s="94"/>
      <c r="O548" s="94"/>
    </row>
    <row r="549" spans="2:15">
      <c r="B549" s="94"/>
      <c r="C549" s="94"/>
      <c r="D549" s="94"/>
      <c r="E549" s="94"/>
      <c r="F549" s="94"/>
      <c r="G549" s="94"/>
      <c r="H549" s="94"/>
      <c r="I549" s="94"/>
      <c r="J549" s="94"/>
      <c r="K549" s="94"/>
      <c r="L549" s="94"/>
      <c r="M549" s="94"/>
      <c r="N549" s="94"/>
      <c r="O549" s="94"/>
    </row>
    <row r="550" spans="2:15">
      <c r="B550" s="94"/>
      <c r="C550" s="94"/>
      <c r="D550" s="94"/>
      <c r="E550" s="94"/>
      <c r="F550" s="94"/>
      <c r="G550" s="94"/>
      <c r="H550" s="94"/>
      <c r="I550" s="94"/>
      <c r="J550" s="94"/>
      <c r="K550" s="94"/>
      <c r="L550" s="94"/>
      <c r="M550" s="94"/>
      <c r="N550" s="94"/>
      <c r="O550" s="94"/>
    </row>
    <row r="551" spans="2:15">
      <c r="B551" s="94"/>
      <c r="C551" s="94"/>
      <c r="D551" s="94"/>
      <c r="E551" s="94"/>
      <c r="F551" s="94"/>
      <c r="G551" s="94"/>
      <c r="H551" s="94"/>
      <c r="I551" s="94"/>
      <c r="J551" s="94"/>
      <c r="K551" s="94"/>
      <c r="L551" s="94"/>
      <c r="M551" s="94"/>
      <c r="N551" s="94"/>
      <c r="O551" s="94"/>
    </row>
    <row r="552" spans="2:15">
      <c r="B552" s="94"/>
      <c r="C552" s="94"/>
      <c r="D552" s="94"/>
      <c r="E552" s="94"/>
      <c r="F552" s="94"/>
      <c r="G552" s="94"/>
      <c r="H552" s="94"/>
      <c r="I552" s="94"/>
      <c r="J552" s="94"/>
      <c r="K552" s="94"/>
      <c r="L552" s="94"/>
      <c r="M552" s="94"/>
      <c r="N552" s="94"/>
      <c r="O552" s="94"/>
    </row>
    <row r="553" spans="2:15">
      <c r="B553" s="94"/>
      <c r="C553" s="94"/>
      <c r="D553" s="94"/>
      <c r="E553" s="94"/>
      <c r="F553" s="94"/>
      <c r="G553" s="94"/>
      <c r="H553" s="94"/>
      <c r="I553" s="94"/>
      <c r="J553" s="94"/>
      <c r="K553" s="94"/>
      <c r="L553" s="94"/>
      <c r="M553" s="94"/>
      <c r="N553" s="94"/>
      <c r="O553" s="94"/>
    </row>
    <row r="554" spans="2:15">
      <c r="B554" s="94"/>
      <c r="C554" s="94"/>
      <c r="D554" s="94"/>
      <c r="E554" s="94"/>
      <c r="F554" s="94"/>
      <c r="G554" s="94"/>
      <c r="H554" s="94"/>
      <c r="I554" s="94"/>
      <c r="J554" s="94"/>
      <c r="K554" s="94"/>
      <c r="L554" s="94"/>
      <c r="M554" s="94"/>
      <c r="N554" s="94"/>
      <c r="O554" s="94"/>
    </row>
    <row r="555" spans="2:15">
      <c r="B555" s="94"/>
      <c r="C555" s="94"/>
      <c r="D555" s="94"/>
      <c r="E555" s="94"/>
      <c r="F555" s="94"/>
      <c r="G555" s="94"/>
      <c r="H555" s="94"/>
      <c r="I555" s="94"/>
      <c r="J555" s="94"/>
      <c r="K555" s="94"/>
      <c r="L555" s="94"/>
      <c r="M555" s="94"/>
      <c r="N555" s="94"/>
      <c r="O555" s="94"/>
    </row>
    <row r="556" spans="2:15">
      <c r="B556" s="94"/>
      <c r="C556" s="94"/>
      <c r="D556" s="94"/>
      <c r="E556" s="94"/>
      <c r="F556" s="94"/>
      <c r="G556" s="94"/>
      <c r="H556" s="94"/>
      <c r="I556" s="94"/>
      <c r="J556" s="94"/>
      <c r="K556" s="94"/>
      <c r="L556" s="94"/>
      <c r="M556" s="94"/>
      <c r="N556" s="94"/>
      <c r="O556" s="94"/>
    </row>
    <row r="557" spans="2:15">
      <c r="B557" s="94"/>
      <c r="C557" s="94"/>
      <c r="D557" s="94"/>
      <c r="E557" s="94"/>
      <c r="F557" s="94"/>
      <c r="G557" s="94"/>
      <c r="H557" s="94"/>
      <c r="I557" s="94"/>
      <c r="J557" s="94"/>
      <c r="K557" s="94"/>
      <c r="L557" s="94"/>
      <c r="M557" s="94"/>
      <c r="N557" s="94"/>
      <c r="O557" s="94"/>
    </row>
    <row r="558" spans="2:15">
      <c r="B558" s="94"/>
      <c r="C558" s="94"/>
      <c r="D558" s="94"/>
      <c r="E558" s="94"/>
      <c r="F558" s="94"/>
      <c r="G558" s="94"/>
      <c r="H558" s="94"/>
      <c r="I558" s="94"/>
      <c r="J558" s="94"/>
      <c r="K558" s="94"/>
      <c r="L558" s="94"/>
      <c r="M558" s="94"/>
      <c r="N558" s="94"/>
      <c r="O558" s="94"/>
    </row>
    <row r="559" spans="2:15">
      <c r="B559" s="94"/>
      <c r="C559" s="94"/>
      <c r="D559" s="94"/>
      <c r="E559" s="94"/>
      <c r="F559" s="94"/>
      <c r="G559" s="94"/>
      <c r="H559" s="94"/>
      <c r="I559" s="94"/>
      <c r="J559" s="94"/>
      <c r="K559" s="94"/>
      <c r="L559" s="94"/>
      <c r="M559" s="94"/>
      <c r="N559" s="94"/>
      <c r="O559" s="94"/>
    </row>
    <row r="560" spans="2:15">
      <c r="B560" s="94"/>
      <c r="C560" s="94"/>
      <c r="D560" s="94"/>
      <c r="E560" s="94"/>
      <c r="F560" s="94"/>
      <c r="G560" s="94"/>
      <c r="H560" s="94"/>
      <c r="I560" s="94"/>
      <c r="J560" s="94"/>
      <c r="K560" s="94"/>
      <c r="L560" s="94"/>
      <c r="M560" s="94"/>
      <c r="N560" s="94"/>
      <c r="O560" s="94"/>
    </row>
    <row r="561" spans="2:15">
      <c r="B561" s="94"/>
      <c r="C561" s="94"/>
      <c r="D561" s="94"/>
      <c r="E561" s="94"/>
      <c r="F561" s="94"/>
      <c r="G561" s="94"/>
      <c r="H561" s="94"/>
      <c r="I561" s="94"/>
      <c r="J561" s="94"/>
      <c r="K561" s="94"/>
      <c r="L561" s="94"/>
      <c r="M561" s="94"/>
      <c r="N561" s="94"/>
      <c r="O561" s="94"/>
    </row>
    <row r="562" spans="2:15">
      <c r="B562" s="94"/>
      <c r="C562" s="94"/>
      <c r="D562" s="94"/>
      <c r="E562" s="94"/>
      <c r="F562" s="94"/>
      <c r="G562" s="94"/>
      <c r="H562" s="94"/>
      <c r="I562" s="94"/>
      <c r="J562" s="94"/>
      <c r="K562" s="94"/>
      <c r="L562" s="94"/>
      <c r="M562" s="94"/>
      <c r="N562" s="94"/>
      <c r="O562" s="94"/>
    </row>
    <row r="563" spans="2:15">
      <c r="B563" s="94"/>
      <c r="C563" s="94"/>
      <c r="D563" s="94"/>
      <c r="E563" s="94"/>
      <c r="F563" s="94"/>
      <c r="G563" s="94"/>
      <c r="H563" s="94"/>
      <c r="I563" s="94"/>
      <c r="J563" s="94"/>
      <c r="K563" s="94"/>
      <c r="L563" s="94"/>
      <c r="M563" s="94"/>
      <c r="N563" s="94"/>
      <c r="O563" s="94"/>
    </row>
  </sheetData>
  <mergeCells count="74">
    <mergeCell ref="B47:B48"/>
    <mergeCell ref="C47:C48"/>
    <mergeCell ref="D47:D48"/>
    <mergeCell ref="E47:E48"/>
    <mergeCell ref="B49:B50"/>
    <mergeCell ref="C49:C50"/>
    <mergeCell ref="D49:D50"/>
    <mergeCell ref="E49:E50"/>
    <mergeCell ref="D43:D44"/>
    <mergeCell ref="E43:E44"/>
    <mergeCell ref="B45:B46"/>
    <mergeCell ref="C45:C46"/>
    <mergeCell ref="D45:D46"/>
    <mergeCell ref="E45:E46"/>
    <mergeCell ref="B39:B40"/>
    <mergeCell ref="C39:C40"/>
    <mergeCell ref="D39:D40"/>
    <mergeCell ref="E39:E40"/>
    <mergeCell ref="B41:B42"/>
    <mergeCell ref="C41:C42"/>
    <mergeCell ref="D41:D42"/>
    <mergeCell ref="E41:E42"/>
    <mergeCell ref="B35:B36"/>
    <mergeCell ref="C35:C36"/>
    <mergeCell ref="D35:D36"/>
    <mergeCell ref="E35:E36"/>
    <mergeCell ref="B37:B38"/>
    <mergeCell ref="C37:C38"/>
    <mergeCell ref="B43:B44"/>
    <mergeCell ref="C43:C44"/>
    <mergeCell ref="D37:D38"/>
    <mergeCell ref="E37:E38"/>
    <mergeCell ref="B32:O32"/>
    <mergeCell ref="Q32:S32"/>
    <mergeCell ref="B26:B28"/>
    <mergeCell ref="C26:C28"/>
    <mergeCell ref="D26:D28"/>
    <mergeCell ref="E26:E28"/>
    <mergeCell ref="B29:B31"/>
    <mergeCell ref="C29:C31"/>
    <mergeCell ref="D29:D31"/>
    <mergeCell ref="E29:E31"/>
    <mergeCell ref="B20:B22"/>
    <mergeCell ref="C20:C22"/>
    <mergeCell ref="D20:D22"/>
    <mergeCell ref="E20:E22"/>
    <mergeCell ref="B23:B25"/>
    <mergeCell ref="C23:C25"/>
    <mergeCell ref="D23:D25"/>
    <mergeCell ref="E23:E25"/>
    <mergeCell ref="B14:B16"/>
    <mergeCell ref="C14:C16"/>
    <mergeCell ref="D14:D16"/>
    <mergeCell ref="E14:E16"/>
    <mergeCell ref="B17:B19"/>
    <mergeCell ref="C17:C19"/>
    <mergeCell ref="D17:D19"/>
    <mergeCell ref="E17:E19"/>
    <mergeCell ref="B8:B10"/>
    <mergeCell ref="C8:C10"/>
    <mergeCell ref="D8:D10"/>
    <mergeCell ref="E8:E10"/>
    <mergeCell ref="B11:B13"/>
    <mergeCell ref="C11:C13"/>
    <mergeCell ref="D11:D13"/>
    <mergeCell ref="E11:E13"/>
    <mergeCell ref="A1:O1"/>
    <mergeCell ref="B2:O2"/>
    <mergeCell ref="Q2:S2"/>
    <mergeCell ref="T2:U2"/>
    <mergeCell ref="B5:B7"/>
    <mergeCell ref="C5:C7"/>
    <mergeCell ref="D5:D7"/>
    <mergeCell ref="E5:E7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8755E3B35AFD46855982A7C7E7BE1A" ma:contentTypeVersion="4" ma:contentTypeDescription="Create a new document." ma:contentTypeScope="" ma:versionID="3a788baaba5feb909dd4132bb981cf1b">
  <xsd:schema xmlns:xsd="http://www.w3.org/2001/XMLSchema" xmlns:xs="http://www.w3.org/2001/XMLSchema" xmlns:p="http://schemas.microsoft.com/office/2006/metadata/properties" xmlns:ns2="bb877b61-73df-4c71-aa42-e1c67dd7a708" targetNamespace="http://schemas.microsoft.com/office/2006/metadata/properties" ma:root="true" ma:fieldsID="7491248f6f5b838387a9d36578de4401" ns2:_="">
    <xsd:import namespace="bb877b61-73df-4c71-aa42-e1c67dd7a7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877b61-73df-4c71-aa42-e1c67dd7a7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66D068-F62C-48BA-A700-D7B77D641B9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A0FDC6-B308-4926-87DE-BB40307E6C0D}">
  <ds:schemaRefs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bb877b61-73df-4c71-aa42-e1c67dd7a708"/>
    <ds:schemaRef ds:uri="http://purl.org/dc/terms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79611877-DCAF-4F66-97D5-4AC5D7ADE1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877b61-73df-4c71-aa42-e1c67dd7a7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Information Sheet</vt:lpstr>
      <vt:lpstr>Growth curves</vt:lpstr>
      <vt:lpstr>C-phycocyanin</vt:lpstr>
      <vt:lpstr>Nitrate content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Karen Ssekimpi</cp:lastModifiedBy>
  <cp:revision/>
  <dcterms:created xsi:type="dcterms:W3CDTF">2022-09-21T16:16:05Z</dcterms:created>
  <dcterms:modified xsi:type="dcterms:W3CDTF">2023-04-02T17:38:57Z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0x010100DB8755E3B35AFD46855982A7C7E7BE1A</vt:lpwstr>
  </property>
</Properties>
</file>