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aren/Desktop/Thesis/Excel for submission/"/>
    </mc:Choice>
  </mc:AlternateContent>
  <xr:revisionPtr revIDLastSave="0" documentId="13_ncr:1_{324809BE-3865-D849-B58D-A1DF0D620BF1}" xr6:coauthVersionLast="47" xr6:coauthVersionMax="47" xr10:uidLastSave="{00000000-0000-0000-0000-000000000000}"/>
  <bookViews>
    <workbookView xWindow="0" yWindow="500" windowWidth="25600" windowHeight="14260" xr2:uid="{00000000-000D-0000-FFFF-FFFF00000000}"/>
  </bookViews>
  <sheets>
    <sheet name="Information Sheet" sheetId="14" r:id="rId1"/>
    <sheet name="Growth curves" sheetId="2" r:id="rId2"/>
    <sheet name="C-phycocyanin CeBER" sheetId="3" r:id="rId3"/>
    <sheet name="C-phycocyanin UTEX #1926" sheetId="4" r:id="rId4"/>
    <sheet name="Nitrate content" sheetId="7" r:id="rId5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1" i="3" l="1"/>
  <c r="M52" i="3"/>
  <c r="M53" i="3"/>
  <c r="M54" i="3"/>
  <c r="M55" i="3"/>
  <c r="M56" i="3"/>
  <c r="M57" i="3"/>
  <c r="M58" i="3"/>
  <c r="M59" i="3"/>
  <c r="M60" i="3"/>
  <c r="M61" i="3"/>
  <c r="M50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6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30" i="3"/>
  <c r="L28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5" i="3"/>
  <c r="I33" i="7"/>
  <c r="H34" i="7"/>
  <c r="J33" i="7"/>
  <c r="J32" i="7"/>
  <c r="H32" i="7"/>
  <c r="H33" i="7"/>
  <c r="I32" i="7"/>
  <c r="J34" i="7"/>
  <c r="I34" i="7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33" i="2"/>
  <c r="R33" i="2"/>
  <c r="P28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5" i="2"/>
  <c r="G59" i="4" l="1"/>
  <c r="F59" i="4"/>
  <c r="G56" i="4"/>
  <c r="F56" i="4"/>
  <c r="G53" i="4"/>
  <c r="F53" i="4"/>
  <c r="G50" i="4"/>
  <c r="F50" i="4"/>
  <c r="G47" i="4"/>
  <c r="F47" i="4"/>
  <c r="G44" i="4"/>
  <c r="F44" i="4"/>
  <c r="G41" i="4"/>
  <c r="F41" i="4"/>
  <c r="G38" i="4"/>
  <c r="F38" i="4"/>
  <c r="G32" i="4"/>
  <c r="F32" i="4"/>
  <c r="G29" i="4"/>
  <c r="F29" i="4"/>
  <c r="F23" i="4"/>
  <c r="D8" i="4"/>
  <c r="D11" i="4" s="1"/>
  <c r="D14" i="4" s="1"/>
  <c r="D17" i="4" s="1"/>
  <c r="D20" i="4" s="1"/>
  <c r="D23" i="4" s="1"/>
  <c r="D26" i="4" s="1"/>
  <c r="D29" i="4" s="1"/>
  <c r="D32" i="4" s="1"/>
  <c r="D35" i="4" s="1"/>
  <c r="D38" i="4" s="1"/>
  <c r="G5" i="4"/>
  <c r="F5" i="4"/>
  <c r="D41" i="4" l="1"/>
  <c r="D44" i="4"/>
  <c r="D47" i="4" s="1"/>
  <c r="D50" i="4" s="1"/>
  <c r="D53" i="4" s="1"/>
  <c r="D56" i="4" s="1"/>
  <c r="D59" i="4" s="1"/>
  <c r="G32" i="7" l="1"/>
  <c r="H66" i="7"/>
  <c r="K66" i="7" s="1"/>
  <c r="J65" i="7"/>
  <c r="M65" i="7" s="1"/>
  <c r="G65" i="7"/>
  <c r="H67" i="7" s="1"/>
  <c r="K67" i="7" s="1"/>
  <c r="W46" i="7"/>
  <c r="X36" i="7"/>
  <c r="H62" i="7"/>
  <c r="K62" i="7" s="1"/>
  <c r="G62" i="7"/>
  <c r="I64" i="7" s="1"/>
  <c r="L64" i="7" s="1"/>
  <c r="G59" i="7"/>
  <c r="J59" i="7" s="1"/>
  <c r="M59" i="7" s="1"/>
  <c r="I57" i="7"/>
  <c r="L57" i="7" s="1"/>
  <c r="I56" i="7"/>
  <c r="L56" i="7" s="1"/>
  <c r="H56" i="7"/>
  <c r="K56" i="7" s="1"/>
  <c r="G56" i="7"/>
  <c r="I58" i="7" s="1"/>
  <c r="L58" i="7" s="1"/>
  <c r="G53" i="7"/>
  <c r="J53" i="7" s="1"/>
  <c r="M53" i="7" s="1"/>
  <c r="H50" i="7"/>
  <c r="K50" i="7" s="1"/>
  <c r="G50" i="7"/>
  <c r="I52" i="7" s="1"/>
  <c r="L52" i="7" s="1"/>
  <c r="G47" i="7"/>
  <c r="H49" i="7" s="1"/>
  <c r="K49" i="7" s="1"/>
  <c r="J44" i="7"/>
  <c r="M44" i="7" s="1"/>
  <c r="H44" i="7"/>
  <c r="K44" i="7" s="1"/>
  <c r="G44" i="7"/>
  <c r="I46" i="7" s="1"/>
  <c r="L46" i="7" s="1"/>
  <c r="H41" i="7"/>
  <c r="K41" i="7" s="1"/>
  <c r="G41" i="7"/>
  <c r="I43" i="7" s="1"/>
  <c r="L43" i="7" s="1"/>
  <c r="D41" i="7"/>
  <c r="D44" i="7" s="1"/>
  <c r="D47" i="7" s="1"/>
  <c r="D50" i="7" s="1"/>
  <c r="D53" i="7" s="1"/>
  <c r="W42" i="7" s="1"/>
  <c r="G38" i="7"/>
  <c r="X3" i="7"/>
  <c r="AE4" i="4"/>
  <c r="AG4" i="4"/>
  <c r="AE4" i="3"/>
  <c r="AG4" i="3"/>
  <c r="K61" i="4"/>
  <c r="I61" i="4"/>
  <c r="G59" i="3"/>
  <c r="K61" i="3" s="1"/>
  <c r="F59" i="3"/>
  <c r="I61" i="3" s="1"/>
  <c r="K58" i="4"/>
  <c r="I58" i="4"/>
  <c r="G56" i="3"/>
  <c r="K58" i="3" s="1"/>
  <c r="F56" i="3"/>
  <c r="I58" i="3" s="1"/>
  <c r="K55" i="4"/>
  <c r="I55" i="4"/>
  <c r="G53" i="3"/>
  <c r="K55" i="3" s="1"/>
  <c r="F53" i="3"/>
  <c r="I55" i="3" s="1"/>
  <c r="H56" i="2"/>
  <c r="O61" i="4" s="1"/>
  <c r="G56" i="2"/>
  <c r="O60" i="4" s="1"/>
  <c r="F56" i="2"/>
  <c r="O59" i="4" s="1"/>
  <c r="H55" i="2"/>
  <c r="O58" i="4" s="1"/>
  <c r="G55" i="2"/>
  <c r="O57" i="4" s="1"/>
  <c r="F55" i="2"/>
  <c r="O56" i="4" s="1"/>
  <c r="H54" i="2"/>
  <c r="O55" i="4" s="1"/>
  <c r="G54" i="2"/>
  <c r="O54" i="4" s="1"/>
  <c r="F54" i="2"/>
  <c r="O53" i="4" s="1"/>
  <c r="H28" i="2"/>
  <c r="O61" i="3" s="1"/>
  <c r="G28" i="2"/>
  <c r="O60" i="3" s="1"/>
  <c r="F28" i="2"/>
  <c r="O59" i="3" s="1"/>
  <c r="G27" i="2"/>
  <c r="O57" i="3" s="1"/>
  <c r="F27" i="2"/>
  <c r="O56" i="3" s="1"/>
  <c r="H27" i="2"/>
  <c r="O58" i="3" s="1"/>
  <c r="H26" i="2"/>
  <c r="O55" i="3" s="1"/>
  <c r="G26" i="2"/>
  <c r="O54" i="3" s="1"/>
  <c r="F26" i="2"/>
  <c r="O53" i="3" s="1"/>
  <c r="E26" i="2"/>
  <c r="G29" i="7"/>
  <c r="J31" i="7" s="1"/>
  <c r="M31" i="7" s="1"/>
  <c r="G26" i="7"/>
  <c r="J27" i="7" s="1"/>
  <c r="M27" i="7" s="1"/>
  <c r="G23" i="7"/>
  <c r="I25" i="7" s="1"/>
  <c r="L25" i="7" s="1"/>
  <c r="G20" i="7"/>
  <c r="J21" i="7" s="1"/>
  <c r="M21" i="7" s="1"/>
  <c r="I51" i="7" l="1"/>
  <c r="L51" i="7" s="1"/>
  <c r="I63" i="7"/>
  <c r="L63" i="7" s="1"/>
  <c r="J52" i="7"/>
  <c r="M52" i="7" s="1"/>
  <c r="J63" i="7"/>
  <c r="M63" i="7" s="1"/>
  <c r="J43" i="7"/>
  <c r="M43" i="7" s="1"/>
  <c r="J45" i="7"/>
  <c r="M45" i="7" s="1"/>
  <c r="J50" i="7"/>
  <c r="M50" i="7" s="1"/>
  <c r="J58" i="7"/>
  <c r="M58" i="7" s="1"/>
  <c r="I62" i="7"/>
  <c r="L62" i="7" s="1"/>
  <c r="J57" i="7"/>
  <c r="M57" i="7" s="1"/>
  <c r="J62" i="7"/>
  <c r="M62" i="7" s="1"/>
  <c r="N62" i="7" s="1"/>
  <c r="O62" i="7" s="1"/>
  <c r="P62" i="7" s="1"/>
  <c r="Q62" i="7" s="1"/>
  <c r="R62" i="7" s="1"/>
  <c r="W40" i="7"/>
  <c r="I66" i="7"/>
  <c r="L66" i="7" s="1"/>
  <c r="I67" i="7"/>
  <c r="L67" i="7" s="1"/>
  <c r="W38" i="7"/>
  <c r="I44" i="7"/>
  <c r="L44" i="7" s="1"/>
  <c r="N44" i="7" s="1"/>
  <c r="O44" i="7" s="1"/>
  <c r="P44" i="7" s="1"/>
  <c r="Q44" i="7" s="1"/>
  <c r="R44" i="7" s="1"/>
  <c r="J46" i="7"/>
  <c r="M46" i="7" s="1"/>
  <c r="I50" i="7"/>
  <c r="L50" i="7" s="1"/>
  <c r="N50" i="7" s="1"/>
  <c r="O50" i="7" s="1"/>
  <c r="P50" i="7" s="1"/>
  <c r="Q50" i="7" s="1"/>
  <c r="R50" i="7" s="1"/>
  <c r="J51" i="7"/>
  <c r="M51" i="7" s="1"/>
  <c r="J64" i="7"/>
  <c r="M64" i="7" s="1"/>
  <c r="W39" i="7"/>
  <c r="H65" i="7"/>
  <c r="K65" i="7" s="1"/>
  <c r="J66" i="7"/>
  <c r="M66" i="7" s="1"/>
  <c r="J67" i="7"/>
  <c r="M67" i="7" s="1"/>
  <c r="N67" i="7" s="1"/>
  <c r="O67" i="7" s="1"/>
  <c r="P67" i="7" s="1"/>
  <c r="Q67" i="7" s="1"/>
  <c r="R67" i="7" s="1"/>
  <c r="I45" i="7"/>
  <c r="L45" i="7" s="1"/>
  <c r="W41" i="7"/>
  <c r="I65" i="7"/>
  <c r="L65" i="7" s="1"/>
  <c r="N66" i="7"/>
  <c r="D56" i="7"/>
  <c r="W43" i="7" s="1"/>
  <c r="D59" i="7"/>
  <c r="I40" i="7"/>
  <c r="L40" i="7" s="1"/>
  <c r="H39" i="7"/>
  <c r="K39" i="7" s="1"/>
  <c r="I49" i="7"/>
  <c r="L49" i="7" s="1"/>
  <c r="J38" i="7"/>
  <c r="M38" i="7" s="1"/>
  <c r="J39" i="7"/>
  <c r="M39" i="7" s="1"/>
  <c r="J40" i="7"/>
  <c r="M40" i="7" s="1"/>
  <c r="J41" i="7"/>
  <c r="M41" i="7" s="1"/>
  <c r="I42" i="7"/>
  <c r="L42" i="7" s="1"/>
  <c r="H55" i="7"/>
  <c r="K55" i="7" s="1"/>
  <c r="J60" i="7"/>
  <c r="M60" i="7" s="1"/>
  <c r="I59" i="7"/>
  <c r="L59" i="7" s="1"/>
  <c r="J61" i="7"/>
  <c r="M61" i="7" s="1"/>
  <c r="I60" i="7"/>
  <c r="L60" i="7" s="1"/>
  <c r="H59" i="7"/>
  <c r="K59" i="7" s="1"/>
  <c r="I61" i="7"/>
  <c r="L61" i="7" s="1"/>
  <c r="J48" i="7"/>
  <c r="M48" i="7" s="1"/>
  <c r="I47" i="7"/>
  <c r="L47" i="7" s="1"/>
  <c r="J49" i="7"/>
  <c r="M49" i="7" s="1"/>
  <c r="I48" i="7"/>
  <c r="L48" i="7" s="1"/>
  <c r="H47" i="7"/>
  <c r="K47" i="7" s="1"/>
  <c r="H38" i="7"/>
  <c r="K38" i="7" s="1"/>
  <c r="J42" i="7"/>
  <c r="M42" i="7" s="1"/>
  <c r="I41" i="7"/>
  <c r="L41" i="7" s="1"/>
  <c r="N41" i="7" s="1"/>
  <c r="O41" i="7" s="1"/>
  <c r="P41" i="7" s="1"/>
  <c r="Q41" i="7" s="1"/>
  <c r="R41" i="7" s="1"/>
  <c r="J47" i="7"/>
  <c r="M47" i="7" s="1"/>
  <c r="H60" i="7"/>
  <c r="K60" i="7" s="1"/>
  <c r="J54" i="7"/>
  <c r="M54" i="7" s="1"/>
  <c r="I53" i="7"/>
  <c r="L53" i="7" s="1"/>
  <c r="J55" i="7"/>
  <c r="M55" i="7" s="1"/>
  <c r="I54" i="7"/>
  <c r="L54" i="7" s="1"/>
  <c r="H53" i="7"/>
  <c r="K53" i="7" s="1"/>
  <c r="I55" i="7"/>
  <c r="L55" i="7" s="1"/>
  <c r="I38" i="7"/>
  <c r="L38" i="7" s="1"/>
  <c r="I39" i="7"/>
  <c r="L39" i="7" s="1"/>
  <c r="H40" i="7"/>
  <c r="K40" i="7" s="1"/>
  <c r="H42" i="7"/>
  <c r="K42" i="7" s="1"/>
  <c r="H43" i="7"/>
  <c r="K43" i="7" s="1"/>
  <c r="N43" i="7" s="1"/>
  <c r="O43" i="7" s="1"/>
  <c r="P43" i="7" s="1"/>
  <c r="Q43" i="7" s="1"/>
  <c r="R43" i="7" s="1"/>
  <c r="H48" i="7"/>
  <c r="K48" i="7" s="1"/>
  <c r="H54" i="7"/>
  <c r="K54" i="7" s="1"/>
  <c r="N54" i="7" s="1"/>
  <c r="O54" i="7" s="1"/>
  <c r="P54" i="7" s="1"/>
  <c r="Q54" i="7" s="1"/>
  <c r="R54" i="7" s="1"/>
  <c r="H61" i="7"/>
  <c r="K61" i="7" s="1"/>
  <c r="N65" i="7"/>
  <c r="H46" i="7"/>
  <c r="K46" i="7" s="1"/>
  <c r="H52" i="7"/>
  <c r="K52" i="7" s="1"/>
  <c r="N52" i="7" s="1"/>
  <c r="O52" i="7" s="1"/>
  <c r="P52" i="7" s="1"/>
  <c r="Q52" i="7" s="1"/>
  <c r="R52" i="7" s="1"/>
  <c r="J56" i="7"/>
  <c r="M56" i="7" s="1"/>
  <c r="N56" i="7" s="1"/>
  <c r="O56" i="7" s="1"/>
  <c r="P56" i="7" s="1"/>
  <c r="Q56" i="7" s="1"/>
  <c r="R56" i="7" s="1"/>
  <c r="H58" i="7"/>
  <c r="K58" i="7" s="1"/>
  <c r="N58" i="7" s="1"/>
  <c r="O58" i="7" s="1"/>
  <c r="P58" i="7" s="1"/>
  <c r="Q58" i="7" s="1"/>
  <c r="R58" i="7" s="1"/>
  <c r="H64" i="7"/>
  <c r="K64" i="7" s="1"/>
  <c r="N64" i="7" s="1"/>
  <c r="O64" i="7" s="1"/>
  <c r="P64" i="7" s="1"/>
  <c r="Q64" i="7" s="1"/>
  <c r="R64" i="7" s="1"/>
  <c r="H45" i="7"/>
  <c r="K45" i="7" s="1"/>
  <c r="N45" i="7" s="1"/>
  <c r="O45" i="7" s="1"/>
  <c r="P45" i="7" s="1"/>
  <c r="Q45" i="7" s="1"/>
  <c r="R45" i="7" s="1"/>
  <c r="H51" i="7"/>
  <c r="K51" i="7" s="1"/>
  <c r="N51" i="7" s="1"/>
  <c r="O51" i="7" s="1"/>
  <c r="P51" i="7" s="1"/>
  <c r="Q51" i="7" s="1"/>
  <c r="R51" i="7" s="1"/>
  <c r="H57" i="7"/>
  <c r="K57" i="7" s="1"/>
  <c r="N57" i="7" s="1"/>
  <c r="O57" i="7" s="1"/>
  <c r="P57" i="7" s="1"/>
  <c r="Q57" i="7" s="1"/>
  <c r="R57" i="7" s="1"/>
  <c r="H63" i="7"/>
  <c r="K63" i="7" s="1"/>
  <c r="H25" i="7"/>
  <c r="K25" i="7" s="1"/>
  <c r="J20" i="7"/>
  <c r="M20" i="7" s="1"/>
  <c r="I23" i="7"/>
  <c r="L23" i="7" s="1"/>
  <c r="J23" i="7"/>
  <c r="M23" i="7" s="1"/>
  <c r="J25" i="7"/>
  <c r="M25" i="7" s="1"/>
  <c r="I29" i="7"/>
  <c r="L29" i="7" s="1"/>
  <c r="H22" i="7"/>
  <c r="K22" i="7" s="1"/>
  <c r="I24" i="7"/>
  <c r="L24" i="7" s="1"/>
  <c r="J29" i="7"/>
  <c r="M29" i="7" s="1"/>
  <c r="H23" i="7"/>
  <c r="K23" i="7" s="1"/>
  <c r="J24" i="7"/>
  <c r="M24" i="7" s="1"/>
  <c r="J30" i="7"/>
  <c r="M30" i="7" s="1"/>
  <c r="H31" i="7"/>
  <c r="K31" i="7" s="1"/>
  <c r="H27" i="7"/>
  <c r="K27" i="7" s="1"/>
  <c r="I28" i="7"/>
  <c r="L28" i="7" s="1"/>
  <c r="J26" i="7"/>
  <c r="M26" i="7" s="1"/>
  <c r="H28" i="7"/>
  <c r="K28" i="7" s="1"/>
  <c r="H21" i="7"/>
  <c r="K21" i="7" s="1"/>
  <c r="I22" i="7"/>
  <c r="L22" i="7" s="1"/>
  <c r="H20" i="7"/>
  <c r="K20" i="7" s="1"/>
  <c r="I21" i="7"/>
  <c r="L21" i="7" s="1"/>
  <c r="J22" i="7"/>
  <c r="M22" i="7" s="1"/>
  <c r="H26" i="7"/>
  <c r="K26" i="7" s="1"/>
  <c r="I27" i="7"/>
  <c r="L27" i="7" s="1"/>
  <c r="J28" i="7"/>
  <c r="M28" i="7" s="1"/>
  <c r="H30" i="7"/>
  <c r="K30" i="7" s="1"/>
  <c r="I31" i="7"/>
  <c r="L31" i="7" s="1"/>
  <c r="I20" i="7"/>
  <c r="L20" i="7" s="1"/>
  <c r="H24" i="7"/>
  <c r="K24" i="7" s="1"/>
  <c r="I26" i="7"/>
  <c r="L26" i="7" s="1"/>
  <c r="H29" i="7"/>
  <c r="K29" i="7" s="1"/>
  <c r="I30" i="7"/>
  <c r="L30" i="7" s="1"/>
  <c r="J56" i="4"/>
  <c r="J58" i="4"/>
  <c r="J54" i="4"/>
  <c r="J60" i="4"/>
  <c r="J53" i="4"/>
  <c r="J55" i="4"/>
  <c r="J57" i="4"/>
  <c r="J59" i="4"/>
  <c r="J61" i="4"/>
  <c r="H53" i="4"/>
  <c r="H54" i="4"/>
  <c r="H55" i="4"/>
  <c r="H56" i="4"/>
  <c r="H57" i="4"/>
  <c r="H58" i="4"/>
  <c r="H59" i="4"/>
  <c r="H60" i="4"/>
  <c r="H61" i="4"/>
  <c r="I53" i="4"/>
  <c r="I54" i="4"/>
  <c r="K53" i="4"/>
  <c r="K54" i="4"/>
  <c r="I56" i="4"/>
  <c r="I57" i="4"/>
  <c r="K56" i="4"/>
  <c r="K57" i="4"/>
  <c r="I59" i="4"/>
  <c r="I60" i="4"/>
  <c r="K59" i="4"/>
  <c r="K60" i="4"/>
  <c r="J56" i="3"/>
  <c r="J58" i="3"/>
  <c r="J54" i="3"/>
  <c r="J60" i="3"/>
  <c r="J53" i="3"/>
  <c r="J55" i="3"/>
  <c r="J57" i="3"/>
  <c r="J59" i="3"/>
  <c r="J61" i="3"/>
  <c r="H53" i="3"/>
  <c r="H54" i="3"/>
  <c r="H55" i="3"/>
  <c r="H56" i="3"/>
  <c r="H57" i="3"/>
  <c r="H58" i="3"/>
  <c r="H59" i="3"/>
  <c r="H60" i="3"/>
  <c r="H61" i="3"/>
  <c r="I53" i="3"/>
  <c r="I54" i="3"/>
  <c r="K53" i="3"/>
  <c r="K54" i="3"/>
  <c r="I56" i="3"/>
  <c r="I57" i="3"/>
  <c r="K56" i="3"/>
  <c r="K57" i="3"/>
  <c r="I59" i="3"/>
  <c r="I60" i="3"/>
  <c r="K59" i="3"/>
  <c r="K60" i="3"/>
  <c r="N40" i="7" l="1"/>
  <c r="O40" i="7" s="1"/>
  <c r="P40" i="7" s="1"/>
  <c r="Q40" i="7" s="1"/>
  <c r="R40" i="7" s="1"/>
  <c r="N53" i="7"/>
  <c r="O53" i="7" s="1"/>
  <c r="P53" i="7" s="1"/>
  <c r="Q53" i="7" s="1"/>
  <c r="R53" i="7" s="1"/>
  <c r="N63" i="7"/>
  <c r="O63" i="7" s="1"/>
  <c r="P63" i="7" s="1"/>
  <c r="Q63" i="7" s="1"/>
  <c r="R63" i="7" s="1"/>
  <c r="D62" i="7"/>
  <c r="W45" i="7" s="1"/>
  <c r="W44" i="7"/>
  <c r="N59" i="7"/>
  <c r="O59" i="7" s="1"/>
  <c r="P59" i="7" s="1"/>
  <c r="Q59" i="7" s="1"/>
  <c r="R59" i="7" s="1"/>
  <c r="N61" i="7"/>
  <c r="O61" i="7" s="1"/>
  <c r="P61" i="7" s="1"/>
  <c r="Q61" i="7" s="1"/>
  <c r="R61" i="7" s="1"/>
  <c r="N42" i="7"/>
  <c r="O42" i="7" s="1"/>
  <c r="P42" i="7" s="1"/>
  <c r="Q42" i="7" s="1"/>
  <c r="R42" i="7" s="1"/>
  <c r="S43" i="7" s="1"/>
  <c r="X38" i="7" s="1"/>
  <c r="N47" i="7"/>
  <c r="O47" i="7" s="1"/>
  <c r="P47" i="7" s="1"/>
  <c r="Q47" i="7" s="1"/>
  <c r="R47" i="7" s="1"/>
  <c r="N55" i="7"/>
  <c r="O55" i="7" s="1"/>
  <c r="P55" i="7" s="1"/>
  <c r="Q55" i="7" s="1"/>
  <c r="R55" i="7" s="1"/>
  <c r="N46" i="7"/>
  <c r="O46" i="7" s="1"/>
  <c r="P46" i="7" s="1"/>
  <c r="Q46" i="7" s="1"/>
  <c r="R46" i="7" s="1"/>
  <c r="T46" i="7" s="1"/>
  <c r="U46" i="7" s="1"/>
  <c r="Y39" i="7" s="1"/>
  <c r="N49" i="7"/>
  <c r="O49" i="7" s="1"/>
  <c r="P49" i="7" s="1"/>
  <c r="Q49" i="7" s="1"/>
  <c r="R49" i="7" s="1"/>
  <c r="O66" i="7"/>
  <c r="P66" i="7" s="1"/>
  <c r="Q66" i="7" s="1"/>
  <c r="R66" i="7" s="1"/>
  <c r="O65" i="7"/>
  <c r="P65" i="7" s="1"/>
  <c r="Q65" i="7" s="1"/>
  <c r="R65" i="7" s="1"/>
  <c r="T58" i="7"/>
  <c r="U58" i="7" s="1"/>
  <c r="Y43" i="7" s="1"/>
  <c r="S58" i="7"/>
  <c r="X43" i="7" s="1"/>
  <c r="S55" i="7"/>
  <c r="X42" i="7" s="1"/>
  <c r="T55" i="7"/>
  <c r="U55" i="7" s="1"/>
  <c r="Y42" i="7" s="1"/>
  <c r="N39" i="7"/>
  <c r="O39" i="7" s="1"/>
  <c r="P39" i="7" s="1"/>
  <c r="Q39" i="7" s="1"/>
  <c r="R39" i="7" s="1"/>
  <c r="N48" i="7"/>
  <c r="O48" i="7" s="1"/>
  <c r="P48" i="7" s="1"/>
  <c r="Q48" i="7" s="1"/>
  <c r="R48" i="7" s="1"/>
  <c r="S49" i="7" s="1"/>
  <c r="X40" i="7" s="1"/>
  <c r="T52" i="7"/>
  <c r="U52" i="7" s="1"/>
  <c r="Y41" i="7" s="1"/>
  <c r="S52" i="7"/>
  <c r="X41" i="7" s="1"/>
  <c r="T64" i="7"/>
  <c r="U64" i="7" s="1"/>
  <c r="Y45" i="7" s="1"/>
  <c r="S64" i="7"/>
  <c r="X45" i="7" s="1"/>
  <c r="S46" i="7"/>
  <c r="X39" i="7" s="1"/>
  <c r="N60" i="7"/>
  <c r="O60" i="7" s="1"/>
  <c r="P60" i="7" s="1"/>
  <c r="Q60" i="7" s="1"/>
  <c r="R60" i="7" s="1"/>
  <c r="S61" i="7" s="1"/>
  <c r="X44" i="7" s="1"/>
  <c r="N38" i="7"/>
  <c r="O38" i="7" s="1"/>
  <c r="P38" i="7" s="1"/>
  <c r="Q38" i="7" s="1"/>
  <c r="R38" i="7" s="1"/>
  <c r="K52" i="4"/>
  <c r="I52" i="4"/>
  <c r="G50" i="3"/>
  <c r="K52" i="3" s="1"/>
  <c r="F50" i="3"/>
  <c r="I52" i="3" s="1"/>
  <c r="H53" i="2"/>
  <c r="O52" i="4" s="1"/>
  <c r="F53" i="2"/>
  <c r="O50" i="4" s="1"/>
  <c r="G53" i="2"/>
  <c r="O51" i="4" s="1"/>
  <c r="H25" i="2"/>
  <c r="O52" i="3" s="1"/>
  <c r="G25" i="2"/>
  <c r="O51" i="3" s="1"/>
  <c r="F25" i="2"/>
  <c r="O50" i="3" s="1"/>
  <c r="K49" i="4"/>
  <c r="I49" i="4"/>
  <c r="G47" i="3"/>
  <c r="J49" i="3" s="1"/>
  <c r="F47" i="3"/>
  <c r="I48" i="3" s="1"/>
  <c r="K46" i="4"/>
  <c r="I46" i="4"/>
  <c r="G44" i="3"/>
  <c r="K46" i="3" s="1"/>
  <c r="F44" i="3"/>
  <c r="I46" i="3" s="1"/>
  <c r="K43" i="4"/>
  <c r="I43" i="4"/>
  <c r="G41" i="3"/>
  <c r="K43" i="3" s="1"/>
  <c r="F41" i="3"/>
  <c r="I43" i="3" s="1"/>
  <c r="K40" i="4"/>
  <c r="I40" i="4"/>
  <c r="G38" i="3"/>
  <c r="K40" i="3" s="1"/>
  <c r="F38" i="3"/>
  <c r="I40" i="3" s="1"/>
  <c r="K37" i="4"/>
  <c r="J37" i="4"/>
  <c r="K36" i="4"/>
  <c r="J36" i="4"/>
  <c r="K35" i="4"/>
  <c r="J35" i="4"/>
  <c r="I37" i="4"/>
  <c r="H37" i="4"/>
  <c r="I36" i="4"/>
  <c r="H36" i="4"/>
  <c r="I35" i="4"/>
  <c r="H35" i="4"/>
  <c r="K37" i="3"/>
  <c r="J37" i="3"/>
  <c r="K36" i="3"/>
  <c r="J36" i="3"/>
  <c r="K35" i="3"/>
  <c r="J35" i="3"/>
  <c r="I37" i="3"/>
  <c r="H37" i="3"/>
  <c r="I36" i="3"/>
  <c r="H36" i="3"/>
  <c r="I35" i="3"/>
  <c r="H35" i="3"/>
  <c r="H52" i="2"/>
  <c r="O49" i="4" s="1"/>
  <c r="G52" i="2"/>
  <c r="O48" i="4" s="1"/>
  <c r="F52" i="2"/>
  <c r="O47" i="4" s="1"/>
  <c r="H24" i="2"/>
  <c r="O49" i="3" s="1"/>
  <c r="G24" i="2"/>
  <c r="O48" i="3" s="1"/>
  <c r="F24" i="2"/>
  <c r="O47" i="3" s="1"/>
  <c r="H51" i="2"/>
  <c r="O46" i="4" s="1"/>
  <c r="G51" i="2"/>
  <c r="O45" i="4" s="1"/>
  <c r="F51" i="2"/>
  <c r="O44" i="4" s="1"/>
  <c r="H23" i="2"/>
  <c r="O46" i="3" s="1"/>
  <c r="G23" i="2"/>
  <c r="O45" i="3" s="1"/>
  <c r="F23" i="2"/>
  <c r="O44" i="3" s="1"/>
  <c r="H50" i="2"/>
  <c r="G50" i="2"/>
  <c r="F50" i="2"/>
  <c r="F22" i="2"/>
  <c r="H22" i="2"/>
  <c r="G22" i="2"/>
  <c r="H49" i="2"/>
  <c r="O43" i="4" s="1"/>
  <c r="G49" i="2"/>
  <c r="O42" i="4" s="1"/>
  <c r="F49" i="2"/>
  <c r="O41" i="4" s="1"/>
  <c r="H21" i="2"/>
  <c r="O43" i="3" s="1"/>
  <c r="G21" i="2"/>
  <c r="O42" i="3" s="1"/>
  <c r="F21" i="2"/>
  <c r="O41" i="3" s="1"/>
  <c r="H48" i="2"/>
  <c r="O40" i="4" s="1"/>
  <c r="G48" i="2"/>
  <c r="O39" i="4" s="1"/>
  <c r="F48" i="2"/>
  <c r="O38" i="4" s="1"/>
  <c r="H20" i="2"/>
  <c r="O40" i="3" s="1"/>
  <c r="G20" i="2"/>
  <c r="O39" i="3" s="1"/>
  <c r="F20" i="2"/>
  <c r="O38" i="3" s="1"/>
  <c r="H47" i="2"/>
  <c r="O37" i="4" s="1"/>
  <c r="G47" i="2"/>
  <c r="O36" i="4" s="1"/>
  <c r="F47" i="2"/>
  <c r="O35" i="4" s="1"/>
  <c r="H19" i="2"/>
  <c r="O37" i="3" s="1"/>
  <c r="G19" i="2"/>
  <c r="O36" i="3" s="1"/>
  <c r="F19" i="2"/>
  <c r="O35" i="3" s="1"/>
  <c r="G17" i="7"/>
  <c r="J18" i="7" s="1"/>
  <c r="M18" i="7" s="1"/>
  <c r="T49" i="7" l="1"/>
  <c r="U49" i="7" s="1"/>
  <c r="Y40" i="7" s="1"/>
  <c r="T43" i="7"/>
  <c r="U43" i="7" s="1"/>
  <c r="Y38" i="7" s="1"/>
  <c r="T67" i="7"/>
  <c r="U67" i="7" s="1"/>
  <c r="Y46" i="7" s="1"/>
  <c r="S67" i="7"/>
  <c r="X46" i="7" s="1"/>
  <c r="T61" i="7"/>
  <c r="U61" i="7" s="1"/>
  <c r="Y44" i="7" s="1"/>
  <c r="S40" i="7"/>
  <c r="X37" i="7" s="1"/>
  <c r="T40" i="7"/>
  <c r="U40" i="7" s="1"/>
  <c r="Y37" i="7" s="1"/>
  <c r="J43" i="4"/>
  <c r="J49" i="4"/>
  <c r="J51" i="4"/>
  <c r="J41" i="4"/>
  <c r="J47" i="4"/>
  <c r="J50" i="4"/>
  <c r="J52" i="4"/>
  <c r="J39" i="4"/>
  <c r="J45" i="4"/>
  <c r="H50" i="4"/>
  <c r="H51" i="4"/>
  <c r="H52" i="4"/>
  <c r="J38" i="4"/>
  <c r="J40" i="4"/>
  <c r="J42" i="4"/>
  <c r="J44" i="4"/>
  <c r="J46" i="4"/>
  <c r="J48" i="4"/>
  <c r="I50" i="4"/>
  <c r="I51" i="4"/>
  <c r="K50" i="4"/>
  <c r="K51" i="4"/>
  <c r="J51" i="3"/>
  <c r="J50" i="3"/>
  <c r="J52" i="3"/>
  <c r="J39" i="3"/>
  <c r="J42" i="3"/>
  <c r="J45" i="3"/>
  <c r="K48" i="3"/>
  <c r="H50" i="3"/>
  <c r="H51" i="3"/>
  <c r="H52" i="3"/>
  <c r="J38" i="3"/>
  <c r="J40" i="3"/>
  <c r="J41" i="3"/>
  <c r="J43" i="3"/>
  <c r="J44" i="3"/>
  <c r="J46" i="3"/>
  <c r="K47" i="3"/>
  <c r="I50" i="3"/>
  <c r="I51" i="3"/>
  <c r="K50" i="3"/>
  <c r="K51" i="3"/>
  <c r="I17" i="7"/>
  <c r="L17" i="7" s="1"/>
  <c r="J19" i="7"/>
  <c r="M19" i="7" s="1"/>
  <c r="H19" i="7"/>
  <c r="K19" i="7" s="1"/>
  <c r="I18" i="7"/>
  <c r="L18" i="7" s="1"/>
  <c r="J17" i="7"/>
  <c r="M17" i="7" s="1"/>
  <c r="H17" i="7"/>
  <c r="K17" i="7" s="1"/>
  <c r="H18" i="7"/>
  <c r="K18" i="7" s="1"/>
  <c r="I19" i="7"/>
  <c r="L19" i="7" s="1"/>
  <c r="H38" i="3"/>
  <c r="H39" i="3"/>
  <c r="H40" i="3"/>
  <c r="H38" i="4"/>
  <c r="H39" i="4"/>
  <c r="H40" i="4"/>
  <c r="H41" i="3"/>
  <c r="H42" i="3"/>
  <c r="H43" i="3"/>
  <c r="H41" i="4"/>
  <c r="H42" i="4"/>
  <c r="H43" i="4"/>
  <c r="H44" i="3"/>
  <c r="H45" i="3"/>
  <c r="H46" i="3"/>
  <c r="H44" i="4"/>
  <c r="H45" i="4"/>
  <c r="H46" i="4"/>
  <c r="H47" i="3"/>
  <c r="H48" i="3"/>
  <c r="H49" i="3"/>
  <c r="H47" i="4"/>
  <c r="H48" i="4"/>
  <c r="H49" i="4"/>
  <c r="I38" i="3"/>
  <c r="I39" i="3"/>
  <c r="K38" i="3"/>
  <c r="K39" i="3"/>
  <c r="I38" i="4"/>
  <c r="I39" i="4"/>
  <c r="K38" i="4"/>
  <c r="K39" i="4"/>
  <c r="I41" i="3"/>
  <c r="I42" i="3"/>
  <c r="K41" i="3"/>
  <c r="K42" i="3"/>
  <c r="I41" i="4"/>
  <c r="I42" i="4"/>
  <c r="K41" i="4"/>
  <c r="K42" i="4"/>
  <c r="I44" i="3"/>
  <c r="I45" i="3"/>
  <c r="K44" i="3"/>
  <c r="K45" i="3"/>
  <c r="I44" i="4"/>
  <c r="I45" i="4"/>
  <c r="K44" i="4"/>
  <c r="K45" i="4"/>
  <c r="I47" i="3"/>
  <c r="J47" i="3"/>
  <c r="J48" i="3"/>
  <c r="I47" i="4"/>
  <c r="I48" i="4"/>
  <c r="K47" i="4"/>
  <c r="K48" i="4"/>
  <c r="O31" i="4"/>
  <c r="O30" i="4"/>
  <c r="O29" i="4"/>
  <c r="O31" i="3"/>
  <c r="O30" i="3"/>
  <c r="O29" i="3"/>
  <c r="K34" i="4"/>
  <c r="H34" i="4"/>
  <c r="G32" i="3"/>
  <c r="K34" i="3" s="1"/>
  <c r="F32" i="3"/>
  <c r="H34" i="3" s="1"/>
  <c r="K31" i="4"/>
  <c r="H31" i="4"/>
  <c r="G29" i="3"/>
  <c r="K31" i="3" s="1"/>
  <c r="F29" i="3"/>
  <c r="I31" i="3" s="1"/>
  <c r="H46" i="2"/>
  <c r="O34" i="4" s="1"/>
  <c r="G46" i="2"/>
  <c r="O33" i="4" s="1"/>
  <c r="F46" i="2"/>
  <c r="O32" i="4" s="1"/>
  <c r="H18" i="2"/>
  <c r="O34" i="3" s="1"/>
  <c r="G18" i="2"/>
  <c r="O33" i="3" s="1"/>
  <c r="F18" i="2"/>
  <c r="O32" i="3" s="1"/>
  <c r="O28" i="4"/>
  <c r="O27" i="4"/>
  <c r="O26" i="4"/>
  <c r="O28" i="3"/>
  <c r="O27" i="3"/>
  <c r="O26" i="3"/>
  <c r="K28" i="4"/>
  <c r="J28" i="4"/>
  <c r="K27" i="4"/>
  <c r="J27" i="4"/>
  <c r="K26" i="4"/>
  <c r="J26" i="4"/>
  <c r="I28" i="4"/>
  <c r="H28" i="4"/>
  <c r="I27" i="4"/>
  <c r="H27" i="4"/>
  <c r="I26" i="4"/>
  <c r="H26" i="4"/>
  <c r="K28" i="3"/>
  <c r="J28" i="3"/>
  <c r="K27" i="3"/>
  <c r="J27" i="3"/>
  <c r="K26" i="3"/>
  <c r="J26" i="3"/>
  <c r="I28" i="3"/>
  <c r="H28" i="3"/>
  <c r="I27" i="3"/>
  <c r="H27" i="3"/>
  <c r="I26" i="3"/>
  <c r="H26" i="3"/>
  <c r="G14" i="7"/>
  <c r="I16" i="7" s="1"/>
  <c r="L16" i="7" s="1"/>
  <c r="I33" i="4" l="1"/>
  <c r="I29" i="4"/>
  <c r="I31" i="4"/>
  <c r="I30" i="4"/>
  <c r="I32" i="4"/>
  <c r="I34" i="4"/>
  <c r="H31" i="3"/>
  <c r="I32" i="3"/>
  <c r="I34" i="3"/>
  <c r="H30" i="3"/>
  <c r="I33" i="3"/>
  <c r="H14" i="7"/>
  <c r="K14" i="7" s="1"/>
  <c r="J14" i="7"/>
  <c r="M14" i="7" s="1"/>
  <c r="I15" i="7"/>
  <c r="L15" i="7" s="1"/>
  <c r="H16" i="7"/>
  <c r="K16" i="7" s="1"/>
  <c r="J16" i="7"/>
  <c r="M16" i="7" s="1"/>
  <c r="I29" i="3"/>
  <c r="I30" i="3"/>
  <c r="J30" i="3"/>
  <c r="J31" i="3"/>
  <c r="H29" i="4"/>
  <c r="H30" i="4"/>
  <c r="J29" i="4"/>
  <c r="J30" i="4"/>
  <c r="J31" i="4"/>
  <c r="H32" i="3"/>
  <c r="H33" i="3"/>
  <c r="J32" i="3"/>
  <c r="J33" i="3"/>
  <c r="J34" i="3"/>
  <c r="H32" i="4"/>
  <c r="H33" i="4"/>
  <c r="J32" i="4"/>
  <c r="J33" i="4"/>
  <c r="J34" i="4"/>
  <c r="I14" i="7"/>
  <c r="L14" i="7" s="1"/>
  <c r="H15" i="7"/>
  <c r="K15" i="7" s="1"/>
  <c r="J15" i="7"/>
  <c r="M15" i="7" s="1"/>
  <c r="K29" i="3"/>
  <c r="K30" i="3"/>
  <c r="K29" i="4"/>
  <c r="K30" i="4"/>
  <c r="K32" i="3"/>
  <c r="K33" i="3"/>
  <c r="K32" i="4"/>
  <c r="K33" i="4"/>
  <c r="O25" i="4"/>
  <c r="O24" i="4"/>
  <c r="O23" i="4"/>
  <c r="O25" i="3"/>
  <c r="O24" i="3"/>
  <c r="K25" i="4"/>
  <c r="J25" i="4"/>
  <c r="K24" i="4"/>
  <c r="J24" i="4"/>
  <c r="K23" i="4"/>
  <c r="J23" i="4"/>
  <c r="I25" i="4"/>
  <c r="H25" i="4"/>
  <c r="I24" i="4"/>
  <c r="H24" i="4"/>
  <c r="I23" i="4"/>
  <c r="H23" i="4"/>
  <c r="K25" i="3"/>
  <c r="J25" i="3"/>
  <c r="K24" i="3"/>
  <c r="J24" i="3"/>
  <c r="K23" i="3"/>
  <c r="J23" i="3"/>
  <c r="F23" i="3"/>
  <c r="I25" i="3" s="1"/>
  <c r="F15" i="2"/>
  <c r="O23" i="3" s="1"/>
  <c r="G11" i="7"/>
  <c r="I13" i="7" s="1"/>
  <c r="L13" i="7" s="1"/>
  <c r="H24" i="3" l="1"/>
  <c r="H23" i="3"/>
  <c r="H25" i="3"/>
  <c r="H12" i="7"/>
  <c r="K12" i="7" s="1"/>
  <c r="J12" i="7"/>
  <c r="M12" i="7" s="1"/>
  <c r="H11" i="7"/>
  <c r="K11" i="7" s="1"/>
  <c r="J11" i="7"/>
  <c r="M11" i="7" s="1"/>
  <c r="I12" i="7"/>
  <c r="L12" i="7" s="1"/>
  <c r="H13" i="7"/>
  <c r="K13" i="7" s="1"/>
  <c r="J13" i="7"/>
  <c r="M13" i="7" s="1"/>
  <c r="I23" i="3"/>
  <c r="I24" i="3"/>
  <c r="I11" i="7"/>
  <c r="L11" i="7" s="1"/>
  <c r="O22" i="4"/>
  <c r="O21" i="4"/>
  <c r="O20" i="4"/>
  <c r="O19" i="4"/>
  <c r="O18" i="4"/>
  <c r="O17" i="4"/>
  <c r="O16" i="4"/>
  <c r="O15" i="4"/>
  <c r="O14" i="4"/>
  <c r="O22" i="3"/>
  <c r="O21" i="3"/>
  <c r="O20" i="3"/>
  <c r="O19" i="3"/>
  <c r="O18" i="3"/>
  <c r="O17" i="3"/>
  <c r="O16" i="3"/>
  <c r="O15" i="3"/>
  <c r="O14" i="3"/>
  <c r="K22" i="4"/>
  <c r="J22" i="4"/>
  <c r="K21" i="4"/>
  <c r="J21" i="4"/>
  <c r="K20" i="4"/>
  <c r="J20" i="4"/>
  <c r="I22" i="4"/>
  <c r="H22" i="4"/>
  <c r="I21" i="4"/>
  <c r="H21" i="4"/>
  <c r="I20" i="4"/>
  <c r="H20" i="4"/>
  <c r="K22" i="3"/>
  <c r="J22" i="3"/>
  <c r="K21" i="3"/>
  <c r="J21" i="3"/>
  <c r="K20" i="3"/>
  <c r="J20" i="3"/>
  <c r="I22" i="3"/>
  <c r="H22" i="3"/>
  <c r="I21" i="3"/>
  <c r="H21" i="3"/>
  <c r="I20" i="3"/>
  <c r="H20" i="3"/>
  <c r="K19" i="4"/>
  <c r="J19" i="4"/>
  <c r="K18" i="4"/>
  <c r="J18" i="4"/>
  <c r="K17" i="4"/>
  <c r="J17" i="4"/>
  <c r="I19" i="4"/>
  <c r="H19" i="4"/>
  <c r="I18" i="4"/>
  <c r="H18" i="4"/>
  <c r="I17" i="4"/>
  <c r="H17" i="4"/>
  <c r="K19" i="3"/>
  <c r="J19" i="3"/>
  <c r="K18" i="3"/>
  <c r="J18" i="3"/>
  <c r="K17" i="3"/>
  <c r="J17" i="3"/>
  <c r="I19" i="3"/>
  <c r="H19" i="3"/>
  <c r="I18" i="3"/>
  <c r="H18" i="3"/>
  <c r="I17" i="3"/>
  <c r="H17" i="3"/>
  <c r="K16" i="4"/>
  <c r="J16" i="4"/>
  <c r="K15" i="4"/>
  <c r="J15" i="4"/>
  <c r="K14" i="4"/>
  <c r="J14" i="4"/>
  <c r="I16" i="4"/>
  <c r="H16" i="4"/>
  <c r="I15" i="4"/>
  <c r="H15" i="4"/>
  <c r="I14" i="4"/>
  <c r="H14" i="4"/>
  <c r="K16" i="3"/>
  <c r="J16" i="3"/>
  <c r="K15" i="3"/>
  <c r="J15" i="3"/>
  <c r="K14" i="3"/>
  <c r="J14" i="3"/>
  <c r="I16" i="3"/>
  <c r="H16" i="3"/>
  <c r="I15" i="3"/>
  <c r="H15" i="3"/>
  <c r="I14" i="3"/>
  <c r="H14" i="3"/>
  <c r="G8" i="7"/>
  <c r="I10" i="7" s="1"/>
  <c r="L10" i="7" s="1"/>
  <c r="J10" i="7" l="1"/>
  <c r="M10" i="7" s="1"/>
  <c r="H8" i="7"/>
  <c r="K8" i="7" s="1"/>
  <c r="J8" i="7"/>
  <c r="M8" i="7" s="1"/>
  <c r="I9" i="7"/>
  <c r="L9" i="7" s="1"/>
  <c r="H10" i="7"/>
  <c r="K10" i="7" s="1"/>
  <c r="I8" i="7"/>
  <c r="L8" i="7" s="1"/>
  <c r="H9" i="7"/>
  <c r="K9" i="7" s="1"/>
  <c r="J9" i="7"/>
  <c r="M9" i="7" s="1"/>
  <c r="O13" i="4"/>
  <c r="O12" i="4"/>
  <c r="O11" i="4"/>
  <c r="K13" i="4"/>
  <c r="J13" i="4"/>
  <c r="K12" i="4"/>
  <c r="J12" i="4"/>
  <c r="K11" i="4"/>
  <c r="J11" i="4"/>
  <c r="I13" i="4"/>
  <c r="H13" i="4"/>
  <c r="I12" i="4"/>
  <c r="H12" i="4"/>
  <c r="I11" i="4"/>
  <c r="H11" i="4"/>
  <c r="O13" i="3"/>
  <c r="O12" i="3"/>
  <c r="O11" i="3"/>
  <c r="K13" i="3"/>
  <c r="J13" i="3"/>
  <c r="K12" i="3"/>
  <c r="J12" i="3"/>
  <c r="K11" i="3"/>
  <c r="J11" i="3"/>
  <c r="I13" i="3"/>
  <c r="H13" i="3"/>
  <c r="I12" i="3"/>
  <c r="H12" i="3"/>
  <c r="I11" i="3"/>
  <c r="H11" i="3"/>
  <c r="D8" i="7"/>
  <c r="D11" i="7" s="1"/>
  <c r="D14" i="7" s="1"/>
  <c r="D17" i="7" s="1"/>
  <c r="D20" i="7" s="1"/>
  <c r="D8" i="3"/>
  <c r="D11" i="3" s="1"/>
  <c r="D14" i="3" s="1"/>
  <c r="D17" i="3" s="1"/>
  <c r="D20" i="3" s="1"/>
  <c r="D23" i="3" s="1"/>
  <c r="D26" i="3" s="1"/>
  <c r="D29" i="3" s="1"/>
  <c r="D32" i="3" s="1"/>
  <c r="D35" i="3" s="1"/>
  <c r="D38" i="3" s="1"/>
  <c r="D44" i="3" s="1"/>
  <c r="D37" i="2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9" i="2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W13" i="7"/>
  <c r="M11" i="4" l="1"/>
  <c r="W5" i="7"/>
  <c r="W6" i="7"/>
  <c r="D26" i="7"/>
  <c r="D23" i="7"/>
  <c r="W10" i="7" s="1"/>
  <c r="W7" i="7"/>
  <c r="W9" i="7"/>
  <c r="W8" i="7"/>
  <c r="D22" i="2"/>
  <c r="D23" i="2" s="1"/>
  <c r="D24" i="2" s="1"/>
  <c r="D21" i="2"/>
  <c r="D50" i="2"/>
  <c r="D51" i="2" s="1"/>
  <c r="D52" i="2" s="1"/>
  <c r="D49" i="2"/>
  <c r="D10" i="2"/>
  <c r="D38" i="2"/>
  <c r="D47" i="3"/>
  <c r="D50" i="3" s="1"/>
  <c r="D53" i="3" s="1"/>
  <c r="D56" i="3" s="1"/>
  <c r="D59" i="3" s="1"/>
  <c r="D41" i="3"/>
  <c r="G5" i="7"/>
  <c r="M34" i="7"/>
  <c r="K34" i="7"/>
  <c r="L33" i="7"/>
  <c r="M32" i="7"/>
  <c r="K32" i="7"/>
  <c r="L34" i="7"/>
  <c r="N28" i="7"/>
  <c r="N19" i="7"/>
  <c r="N34" i="7" l="1"/>
  <c r="O28" i="7"/>
  <c r="P28" i="7" s="1"/>
  <c r="Q28" i="7" s="1"/>
  <c r="R28" i="7" s="1"/>
  <c r="D29" i="7"/>
  <c r="W12" i="7" s="1"/>
  <c r="W11" i="7"/>
  <c r="D54" i="2"/>
  <c r="D55" i="2" s="1"/>
  <c r="D56" i="2" s="1"/>
  <c r="D53" i="2"/>
  <c r="D26" i="2"/>
  <c r="D27" i="2" s="1"/>
  <c r="D28" i="2" s="1"/>
  <c r="D25" i="2"/>
  <c r="I7" i="7"/>
  <c r="L7" i="7" s="1"/>
  <c r="J6" i="7"/>
  <c r="M6" i="7" s="1"/>
  <c r="H6" i="7"/>
  <c r="K6" i="7" s="1"/>
  <c r="I5" i="7"/>
  <c r="L5" i="7" s="1"/>
  <c r="J7" i="7"/>
  <c r="M7" i="7" s="1"/>
  <c r="H7" i="7"/>
  <c r="K7" i="7" s="1"/>
  <c r="I6" i="7"/>
  <c r="L6" i="7" s="1"/>
  <c r="J5" i="7"/>
  <c r="M5" i="7" s="1"/>
  <c r="H5" i="7"/>
  <c r="K5" i="7" s="1"/>
  <c r="O19" i="7"/>
  <c r="P19" i="7" s="1"/>
  <c r="Q19" i="7" s="1"/>
  <c r="R19" i="7" s="1"/>
  <c r="N13" i="7"/>
  <c r="N25" i="7"/>
  <c r="N21" i="7"/>
  <c r="N16" i="7"/>
  <c r="N31" i="7"/>
  <c r="N11" i="7"/>
  <c r="N12" i="7"/>
  <c r="N17" i="7"/>
  <c r="N18" i="7"/>
  <c r="N23" i="7"/>
  <c r="N24" i="7"/>
  <c r="N26" i="7"/>
  <c r="N29" i="7"/>
  <c r="L32" i="7"/>
  <c r="N32" i="7" s="1"/>
  <c r="K33" i="7"/>
  <c r="M33" i="7"/>
  <c r="O34" i="7" l="1"/>
  <c r="P34" i="7" s="1"/>
  <c r="Q34" i="7" s="1"/>
  <c r="R34" i="7" s="1"/>
  <c r="O32" i="7"/>
  <c r="P32" i="7" s="1"/>
  <c r="Q32" i="7" s="1"/>
  <c r="R32" i="7" s="1"/>
  <c r="N5" i="7"/>
  <c r="O5" i="7" s="1"/>
  <c r="P5" i="7" s="1"/>
  <c r="Q5" i="7" s="1"/>
  <c r="R5" i="7" s="1"/>
  <c r="N7" i="7"/>
  <c r="O7" i="7" s="1"/>
  <c r="P7" i="7" s="1"/>
  <c r="Q7" i="7" s="1"/>
  <c r="R7" i="7" s="1"/>
  <c r="N6" i="7"/>
  <c r="O6" i="7" s="1"/>
  <c r="P6" i="7" s="1"/>
  <c r="Q6" i="7" s="1"/>
  <c r="R6" i="7" s="1"/>
  <c r="O23" i="7"/>
  <c r="P23" i="7" s="1"/>
  <c r="Q23" i="7" s="1"/>
  <c r="R23" i="7" s="1"/>
  <c r="O29" i="7"/>
  <c r="P29" i="7" s="1"/>
  <c r="Q29" i="7" s="1"/>
  <c r="R29" i="7" s="1"/>
  <c r="O21" i="7"/>
  <c r="P21" i="7" s="1"/>
  <c r="Q21" i="7" s="1"/>
  <c r="R21" i="7" s="1"/>
  <c r="O26" i="7"/>
  <c r="P26" i="7" s="1"/>
  <c r="Q26" i="7" s="1"/>
  <c r="R26" i="7" s="1"/>
  <c r="O25" i="7"/>
  <c r="P25" i="7" s="1"/>
  <c r="Q25" i="7" s="1"/>
  <c r="R25" i="7" s="1"/>
  <c r="O24" i="7"/>
  <c r="P24" i="7" s="1"/>
  <c r="Q24" i="7" s="1"/>
  <c r="R24" i="7" s="1"/>
  <c r="O31" i="7"/>
  <c r="P31" i="7" s="1"/>
  <c r="Q31" i="7" s="1"/>
  <c r="R31" i="7" s="1"/>
  <c r="O18" i="7"/>
  <c r="P18" i="7" s="1"/>
  <c r="Q18" i="7" s="1"/>
  <c r="R18" i="7" s="1"/>
  <c r="O12" i="7"/>
  <c r="P12" i="7" s="1"/>
  <c r="Q12" i="7" s="1"/>
  <c r="R12" i="7" s="1"/>
  <c r="O13" i="7"/>
  <c r="P13" i="7" s="1"/>
  <c r="Q13" i="7" s="1"/>
  <c r="R13" i="7" s="1"/>
  <c r="O17" i="7"/>
  <c r="P17" i="7" s="1"/>
  <c r="Q17" i="7" s="1"/>
  <c r="R17" i="7" s="1"/>
  <c r="O11" i="7"/>
  <c r="P11" i="7" s="1"/>
  <c r="Q11" i="7" s="1"/>
  <c r="R11" i="7" s="1"/>
  <c r="O16" i="7"/>
  <c r="P16" i="7" s="1"/>
  <c r="Q16" i="7" s="1"/>
  <c r="R16" i="7" s="1"/>
  <c r="N30" i="7"/>
  <c r="N20" i="7"/>
  <c r="N22" i="7"/>
  <c r="N33" i="7"/>
  <c r="N27" i="7"/>
  <c r="N14" i="7"/>
  <c r="N15" i="7"/>
  <c r="N8" i="7"/>
  <c r="N9" i="7"/>
  <c r="N10" i="7"/>
  <c r="O33" i="7" l="1"/>
  <c r="P33" i="7" s="1"/>
  <c r="Q33" i="7" s="1"/>
  <c r="R33" i="7" s="1"/>
  <c r="T7" i="7"/>
  <c r="U7" i="7" s="1"/>
  <c r="Y4" i="7" s="1"/>
  <c r="S7" i="7"/>
  <c r="X4" i="7" s="1"/>
  <c r="T13" i="7"/>
  <c r="U13" i="7" s="1"/>
  <c r="Y6" i="7" s="1"/>
  <c r="S13" i="7"/>
  <c r="X6" i="7" s="1"/>
  <c r="S19" i="7"/>
  <c r="X8" i="7" s="1"/>
  <c r="T19" i="7"/>
  <c r="U19" i="7" s="1"/>
  <c r="Y8" i="7" s="1"/>
  <c r="T25" i="7"/>
  <c r="U25" i="7" s="1"/>
  <c r="Y10" i="7" s="1"/>
  <c r="S25" i="7"/>
  <c r="X10" i="7" s="1"/>
  <c r="O20" i="7"/>
  <c r="P20" i="7" s="1"/>
  <c r="Q20" i="7" s="1"/>
  <c r="R20" i="7" s="1"/>
  <c r="O30" i="7"/>
  <c r="P30" i="7" s="1"/>
  <c r="Q30" i="7" s="1"/>
  <c r="R30" i="7" s="1"/>
  <c r="S31" i="7" s="1"/>
  <c r="X12" i="7" s="1"/>
  <c r="O27" i="7"/>
  <c r="P27" i="7" s="1"/>
  <c r="Q27" i="7" s="1"/>
  <c r="R27" i="7" s="1"/>
  <c r="O22" i="7"/>
  <c r="P22" i="7" s="1"/>
  <c r="Q22" i="7" s="1"/>
  <c r="R22" i="7" s="1"/>
  <c r="O10" i="7"/>
  <c r="P10" i="7" s="1"/>
  <c r="Q10" i="7" s="1"/>
  <c r="R10" i="7" s="1"/>
  <c r="O8" i="7"/>
  <c r="P8" i="7" s="1"/>
  <c r="Q8" i="7" s="1"/>
  <c r="R8" i="7" s="1"/>
  <c r="O14" i="7"/>
  <c r="P14" i="7" s="1"/>
  <c r="Q14" i="7" s="1"/>
  <c r="R14" i="7" s="1"/>
  <c r="O9" i="7"/>
  <c r="P9" i="7" s="1"/>
  <c r="Q9" i="7" s="1"/>
  <c r="R9" i="7" s="1"/>
  <c r="O15" i="7"/>
  <c r="P15" i="7" s="1"/>
  <c r="Q15" i="7" s="1"/>
  <c r="R15" i="7" s="1"/>
  <c r="T34" i="7" l="1"/>
  <c r="U34" i="7" s="1"/>
  <c r="Y13" i="7" s="1"/>
  <c r="S34" i="7"/>
  <c r="X13" i="7" s="1"/>
  <c r="S16" i="7"/>
  <c r="X7" i="7" s="1"/>
  <c r="T31" i="7"/>
  <c r="U31" i="7" s="1"/>
  <c r="Y12" i="7" s="1"/>
  <c r="T22" i="7"/>
  <c r="U22" i="7" s="1"/>
  <c r="Y9" i="7" s="1"/>
  <c r="S22" i="7"/>
  <c r="X9" i="7" s="1"/>
  <c r="T10" i="7"/>
  <c r="U10" i="7" s="1"/>
  <c r="Y5" i="7" s="1"/>
  <c r="S10" i="7"/>
  <c r="X5" i="7" s="1"/>
  <c r="S28" i="7"/>
  <c r="X11" i="7" s="1"/>
  <c r="T28" i="7"/>
  <c r="U28" i="7" s="1"/>
  <c r="Y11" i="7" s="1"/>
  <c r="T16" i="7"/>
  <c r="U16" i="7" s="1"/>
  <c r="Y7" i="7" s="1"/>
  <c r="O10" i="4"/>
  <c r="P10" i="4" s="1"/>
  <c r="Q10" i="4" s="1"/>
  <c r="O9" i="4"/>
  <c r="P9" i="4" s="1"/>
  <c r="Q9" i="4" s="1"/>
  <c r="O8" i="4"/>
  <c r="P8" i="4" s="1"/>
  <c r="Q8" i="4" s="1"/>
  <c r="K10" i="4"/>
  <c r="J10" i="4"/>
  <c r="K9" i="4"/>
  <c r="J9" i="4"/>
  <c r="K8" i="4"/>
  <c r="J8" i="4"/>
  <c r="I10" i="4"/>
  <c r="H10" i="4"/>
  <c r="I9" i="4"/>
  <c r="H9" i="4"/>
  <c r="I8" i="4"/>
  <c r="H8" i="4"/>
  <c r="AD19" i="4"/>
  <c r="AD18" i="4"/>
  <c r="AD17" i="4"/>
  <c r="AD16" i="4"/>
  <c r="AD15" i="4"/>
  <c r="AD14" i="4"/>
  <c r="AD13" i="4"/>
  <c r="AD12" i="4"/>
  <c r="AD11" i="4"/>
  <c r="AD10" i="4"/>
  <c r="AD9" i="4"/>
  <c r="AD8" i="4"/>
  <c r="AD7" i="4"/>
  <c r="AD6" i="4"/>
  <c r="AD23" i="3"/>
  <c r="AD22" i="3"/>
  <c r="AD21" i="3"/>
  <c r="AD19" i="3"/>
  <c r="AD18" i="3"/>
  <c r="AD17" i="3"/>
  <c r="AD16" i="3"/>
  <c r="AD15" i="3"/>
  <c r="AD14" i="3"/>
  <c r="AD13" i="3"/>
  <c r="AD12" i="3"/>
  <c r="AD11" i="3"/>
  <c r="AD10" i="3"/>
  <c r="AD9" i="3"/>
  <c r="AD8" i="3"/>
  <c r="AD7" i="3"/>
  <c r="AD6" i="3"/>
  <c r="AD5" i="3"/>
  <c r="O10" i="3"/>
  <c r="P10" i="3" s="1"/>
  <c r="Q10" i="3" s="1"/>
  <c r="O9" i="3"/>
  <c r="P9" i="3" s="1"/>
  <c r="Q9" i="3" s="1"/>
  <c r="O8" i="3"/>
  <c r="P8" i="3" s="1"/>
  <c r="Q8" i="3" s="1"/>
  <c r="K10" i="3"/>
  <c r="J10" i="3"/>
  <c r="K9" i="3"/>
  <c r="J9" i="3"/>
  <c r="K8" i="3"/>
  <c r="J8" i="3"/>
  <c r="I10" i="3"/>
  <c r="H10" i="3"/>
  <c r="I9" i="3"/>
  <c r="H9" i="3"/>
  <c r="I8" i="3"/>
  <c r="H8" i="3"/>
  <c r="O7" i="4"/>
  <c r="P7" i="4" s="1"/>
  <c r="Q7" i="4" s="1"/>
  <c r="O6" i="4"/>
  <c r="P6" i="4" s="1"/>
  <c r="Q6" i="4" s="1"/>
  <c r="O5" i="4"/>
  <c r="P5" i="4" s="1"/>
  <c r="Q5" i="4" s="1"/>
  <c r="K7" i="4"/>
  <c r="H7" i="4"/>
  <c r="O7" i="3"/>
  <c r="P7" i="3" s="1"/>
  <c r="Q7" i="3" s="1"/>
  <c r="O6" i="3"/>
  <c r="P6" i="3" s="1"/>
  <c r="Q6" i="3" s="1"/>
  <c r="O5" i="3"/>
  <c r="P5" i="3" s="1"/>
  <c r="Q5" i="3" s="1"/>
  <c r="G5" i="3"/>
  <c r="K7" i="3" s="1"/>
  <c r="F5" i="3"/>
  <c r="I7" i="3" s="1"/>
  <c r="D35" i="2"/>
  <c r="D36" i="2" s="1"/>
  <c r="D7" i="2"/>
  <c r="D8" i="2" s="1"/>
  <c r="P61" i="4"/>
  <c r="Q61" i="4" s="1"/>
  <c r="M61" i="4"/>
  <c r="L61" i="4"/>
  <c r="P60" i="4"/>
  <c r="Q60" i="4" s="1"/>
  <c r="M60" i="4"/>
  <c r="L60" i="4"/>
  <c r="P59" i="4"/>
  <c r="Q59" i="4" s="1"/>
  <c r="M59" i="4"/>
  <c r="L59" i="4"/>
  <c r="P58" i="4"/>
  <c r="Q58" i="4" s="1"/>
  <c r="M58" i="4"/>
  <c r="L58" i="4"/>
  <c r="P57" i="4"/>
  <c r="Q57" i="4" s="1"/>
  <c r="M57" i="4"/>
  <c r="L57" i="4"/>
  <c r="P56" i="4"/>
  <c r="Q56" i="4" s="1"/>
  <c r="M56" i="4"/>
  <c r="L56" i="4"/>
  <c r="P55" i="4"/>
  <c r="Q55" i="4" s="1"/>
  <c r="P54" i="4"/>
  <c r="Q54" i="4" s="1"/>
  <c r="M54" i="4"/>
  <c r="P53" i="4"/>
  <c r="Q53" i="4" s="1"/>
  <c r="P52" i="4"/>
  <c r="Q52" i="4" s="1"/>
  <c r="P51" i="4"/>
  <c r="Q51" i="4" s="1"/>
  <c r="L51" i="4"/>
  <c r="P50" i="4"/>
  <c r="Q50" i="4" s="1"/>
  <c r="P49" i="4"/>
  <c r="Q49" i="4" s="1"/>
  <c r="P48" i="4"/>
  <c r="Q48" i="4" s="1"/>
  <c r="M48" i="4"/>
  <c r="P47" i="4"/>
  <c r="Q47" i="4" s="1"/>
  <c r="P46" i="4"/>
  <c r="Q46" i="4" s="1"/>
  <c r="P45" i="4"/>
  <c r="Q45" i="4" s="1"/>
  <c r="P44" i="4"/>
  <c r="Q44" i="4" s="1"/>
  <c r="L44" i="4"/>
  <c r="P43" i="4"/>
  <c r="Q43" i="4" s="1"/>
  <c r="P42" i="4"/>
  <c r="Q42" i="4" s="1"/>
  <c r="P41" i="4"/>
  <c r="Q41" i="4" s="1"/>
  <c r="P40" i="4"/>
  <c r="Q40" i="4" s="1"/>
  <c r="P39" i="4"/>
  <c r="Q39" i="4" s="1"/>
  <c r="P38" i="4"/>
  <c r="Q38" i="4" s="1"/>
  <c r="P37" i="4"/>
  <c r="Q37" i="4" s="1"/>
  <c r="P36" i="4"/>
  <c r="Q36" i="4" s="1"/>
  <c r="P35" i="4"/>
  <c r="Q35" i="4" s="1"/>
  <c r="P34" i="4"/>
  <c r="Q34" i="4" s="1"/>
  <c r="P33" i="4"/>
  <c r="Q33" i="4" s="1"/>
  <c r="P32" i="4"/>
  <c r="Q32" i="4" s="1"/>
  <c r="P31" i="4"/>
  <c r="Q31" i="4" s="1"/>
  <c r="P30" i="4"/>
  <c r="Q30" i="4" s="1"/>
  <c r="P29" i="4"/>
  <c r="Q29" i="4" s="1"/>
  <c r="P28" i="4"/>
  <c r="Q28" i="4" s="1"/>
  <c r="P27" i="4"/>
  <c r="Q27" i="4" s="1"/>
  <c r="P26" i="4"/>
  <c r="Q26" i="4" s="1"/>
  <c r="P25" i="4"/>
  <c r="Q25" i="4" s="1"/>
  <c r="AD23" i="4"/>
  <c r="P24" i="4"/>
  <c r="Q24" i="4" s="1"/>
  <c r="AD22" i="4"/>
  <c r="P23" i="4"/>
  <c r="Q23" i="4" s="1"/>
  <c r="P22" i="4"/>
  <c r="Q22" i="4" s="1"/>
  <c r="P21" i="4"/>
  <c r="Q21" i="4" s="1"/>
  <c r="P20" i="4"/>
  <c r="Q20" i="4" s="1"/>
  <c r="P19" i="4"/>
  <c r="Q19" i="4" s="1"/>
  <c r="P18" i="4"/>
  <c r="Q18" i="4" s="1"/>
  <c r="P17" i="4"/>
  <c r="Q17" i="4" s="1"/>
  <c r="P16" i="4"/>
  <c r="Q16" i="4" s="1"/>
  <c r="P15" i="4"/>
  <c r="Q15" i="4" s="1"/>
  <c r="P14" i="4"/>
  <c r="Q14" i="4" s="1"/>
  <c r="P13" i="4"/>
  <c r="Q13" i="4" s="1"/>
  <c r="P12" i="4"/>
  <c r="Q12" i="4" s="1"/>
  <c r="P11" i="4"/>
  <c r="Q11" i="4" s="1"/>
  <c r="L13" i="4"/>
  <c r="P61" i="3"/>
  <c r="Q61" i="3" s="1"/>
  <c r="P60" i="3"/>
  <c r="Q60" i="3" s="1"/>
  <c r="P59" i="3"/>
  <c r="Q59" i="3" s="1"/>
  <c r="P58" i="3"/>
  <c r="Q58" i="3" s="1"/>
  <c r="P57" i="3"/>
  <c r="Q57" i="3" s="1"/>
  <c r="P56" i="3"/>
  <c r="Q56" i="3" s="1"/>
  <c r="P55" i="3"/>
  <c r="Q55" i="3" s="1"/>
  <c r="P54" i="3"/>
  <c r="Q54" i="3" s="1"/>
  <c r="P53" i="3"/>
  <c r="Q53" i="3" s="1"/>
  <c r="P52" i="3"/>
  <c r="Q52" i="3" s="1"/>
  <c r="P51" i="3"/>
  <c r="Q51" i="3" s="1"/>
  <c r="P50" i="3"/>
  <c r="Q50" i="3" s="1"/>
  <c r="P49" i="3"/>
  <c r="Q49" i="3" s="1"/>
  <c r="P48" i="3"/>
  <c r="Q48" i="3" s="1"/>
  <c r="P47" i="3"/>
  <c r="Q47" i="3" s="1"/>
  <c r="P46" i="3"/>
  <c r="Q46" i="3" s="1"/>
  <c r="P45" i="3"/>
  <c r="Q45" i="3" s="1"/>
  <c r="P44" i="3"/>
  <c r="Q44" i="3" s="1"/>
  <c r="P43" i="3"/>
  <c r="Q43" i="3" s="1"/>
  <c r="P42" i="3"/>
  <c r="Q42" i="3" s="1"/>
  <c r="P41" i="3"/>
  <c r="Q41" i="3" s="1"/>
  <c r="P40" i="3"/>
  <c r="Q40" i="3" s="1"/>
  <c r="P39" i="3"/>
  <c r="Q39" i="3" s="1"/>
  <c r="P38" i="3"/>
  <c r="Q38" i="3" s="1"/>
  <c r="P37" i="3"/>
  <c r="Q37" i="3" s="1"/>
  <c r="P36" i="3"/>
  <c r="Q36" i="3" s="1"/>
  <c r="P35" i="3"/>
  <c r="Q35" i="3" s="1"/>
  <c r="P34" i="3"/>
  <c r="Q34" i="3" s="1"/>
  <c r="P33" i="3"/>
  <c r="Q33" i="3" s="1"/>
  <c r="P32" i="3"/>
  <c r="Q32" i="3" s="1"/>
  <c r="P31" i="3"/>
  <c r="Q31" i="3" s="1"/>
  <c r="P30" i="3"/>
  <c r="Q30" i="3" s="1"/>
  <c r="P29" i="3"/>
  <c r="Q29" i="3" s="1"/>
  <c r="P28" i="3"/>
  <c r="Q28" i="3" s="1"/>
  <c r="P27" i="3"/>
  <c r="Q27" i="3" s="1"/>
  <c r="P26" i="3"/>
  <c r="Q26" i="3" s="1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Q13" i="3" s="1"/>
  <c r="P12" i="3"/>
  <c r="Q12" i="3" s="1"/>
  <c r="P11" i="3"/>
  <c r="Q11" i="3" s="1"/>
  <c r="K56" i="2"/>
  <c r="I56" i="2"/>
  <c r="X56" i="2" s="1"/>
  <c r="J56" i="2"/>
  <c r="K55" i="2"/>
  <c r="I55" i="2"/>
  <c r="X55" i="2" s="1"/>
  <c r="J55" i="2"/>
  <c r="K54" i="2"/>
  <c r="I54" i="2"/>
  <c r="X54" i="2" s="1"/>
  <c r="J54" i="2"/>
  <c r="K53" i="2"/>
  <c r="I53" i="2"/>
  <c r="X53" i="2" s="1"/>
  <c r="J53" i="2"/>
  <c r="K52" i="2"/>
  <c r="I52" i="2"/>
  <c r="X52" i="2" s="1"/>
  <c r="J52" i="2"/>
  <c r="K51" i="2"/>
  <c r="I51" i="2"/>
  <c r="X51" i="2" s="1"/>
  <c r="J51" i="2"/>
  <c r="K50" i="2"/>
  <c r="I50" i="2"/>
  <c r="X50" i="2" s="1"/>
  <c r="J50" i="2"/>
  <c r="K49" i="2"/>
  <c r="I49" i="2"/>
  <c r="X49" i="2" s="1"/>
  <c r="J49" i="2"/>
  <c r="K48" i="2"/>
  <c r="I48" i="2"/>
  <c r="X48" i="2" s="1"/>
  <c r="J48" i="2"/>
  <c r="K47" i="2"/>
  <c r="I47" i="2"/>
  <c r="X47" i="2" s="1"/>
  <c r="J47" i="2"/>
  <c r="K46" i="2"/>
  <c r="I46" i="2"/>
  <c r="X46" i="2" s="1"/>
  <c r="J46" i="2"/>
  <c r="K45" i="2"/>
  <c r="J45" i="2"/>
  <c r="I45" i="2"/>
  <c r="X45" i="2" s="1"/>
  <c r="K44" i="2"/>
  <c r="J44" i="2"/>
  <c r="I44" i="2"/>
  <c r="X44" i="2" s="1"/>
  <c r="K43" i="2"/>
  <c r="J43" i="2"/>
  <c r="I43" i="2"/>
  <c r="X43" i="2" s="1"/>
  <c r="K42" i="2"/>
  <c r="J42" i="2"/>
  <c r="I42" i="2"/>
  <c r="X42" i="2" s="1"/>
  <c r="K41" i="2"/>
  <c r="J41" i="2"/>
  <c r="I41" i="2"/>
  <c r="X41" i="2" s="1"/>
  <c r="K40" i="2"/>
  <c r="J40" i="2"/>
  <c r="I40" i="2"/>
  <c r="K39" i="2"/>
  <c r="J39" i="2"/>
  <c r="I39" i="2"/>
  <c r="X39" i="2" s="1"/>
  <c r="K38" i="2"/>
  <c r="J38" i="2"/>
  <c r="I38" i="2"/>
  <c r="X38" i="2" s="1"/>
  <c r="K37" i="2"/>
  <c r="J37" i="2"/>
  <c r="I37" i="2"/>
  <c r="X37" i="2" s="1"/>
  <c r="K36" i="2"/>
  <c r="J36" i="2"/>
  <c r="I36" i="2"/>
  <c r="K35" i="2"/>
  <c r="J35" i="2"/>
  <c r="I35" i="2"/>
  <c r="X35" i="2" s="1"/>
  <c r="K34" i="2"/>
  <c r="J34" i="2"/>
  <c r="I34" i="2"/>
  <c r="X34" i="2" s="1"/>
  <c r="K33" i="2"/>
  <c r="N33" i="2" s="1"/>
  <c r="J33" i="2"/>
  <c r="M33" i="2" s="1"/>
  <c r="I33" i="2"/>
  <c r="L33" i="2" s="1"/>
  <c r="K28" i="2"/>
  <c r="I28" i="2"/>
  <c r="X28" i="2" s="1"/>
  <c r="J28" i="2"/>
  <c r="K27" i="2"/>
  <c r="I27" i="2"/>
  <c r="X27" i="2" s="1"/>
  <c r="J27" i="2"/>
  <c r="K26" i="2"/>
  <c r="I26" i="2"/>
  <c r="X26" i="2" s="1"/>
  <c r="J26" i="2"/>
  <c r="K25" i="2"/>
  <c r="I25" i="2"/>
  <c r="X25" i="2" s="1"/>
  <c r="J25" i="2"/>
  <c r="K24" i="2"/>
  <c r="I24" i="2"/>
  <c r="X24" i="2" s="1"/>
  <c r="J24" i="2"/>
  <c r="K23" i="2"/>
  <c r="I23" i="2"/>
  <c r="X23" i="2" s="1"/>
  <c r="J23" i="2"/>
  <c r="J22" i="2"/>
  <c r="K22" i="2"/>
  <c r="I22" i="2"/>
  <c r="X22" i="2" s="1"/>
  <c r="J21" i="2"/>
  <c r="K21" i="2"/>
  <c r="I21" i="2"/>
  <c r="X21" i="2" s="1"/>
  <c r="J20" i="2"/>
  <c r="K20" i="2"/>
  <c r="I20" i="2"/>
  <c r="X20" i="2" s="1"/>
  <c r="J19" i="2"/>
  <c r="K19" i="2"/>
  <c r="I19" i="2"/>
  <c r="X19" i="2" s="1"/>
  <c r="J18" i="2"/>
  <c r="K18" i="2"/>
  <c r="I18" i="2"/>
  <c r="X18" i="2" s="1"/>
  <c r="K17" i="2"/>
  <c r="J17" i="2"/>
  <c r="I17" i="2"/>
  <c r="X17" i="2" s="1"/>
  <c r="K16" i="2"/>
  <c r="J16" i="2"/>
  <c r="I16" i="2"/>
  <c r="X16" i="2" s="1"/>
  <c r="K15" i="2"/>
  <c r="J15" i="2"/>
  <c r="I15" i="2"/>
  <c r="X15" i="2" s="1"/>
  <c r="K14" i="2"/>
  <c r="J14" i="2"/>
  <c r="I14" i="2"/>
  <c r="X14" i="2" s="1"/>
  <c r="K13" i="2"/>
  <c r="J13" i="2"/>
  <c r="I13" i="2"/>
  <c r="X13" i="2" s="1"/>
  <c r="K12" i="2"/>
  <c r="J12" i="2"/>
  <c r="I12" i="2"/>
  <c r="X12" i="2" s="1"/>
  <c r="K11" i="2"/>
  <c r="J11" i="2"/>
  <c r="I11" i="2"/>
  <c r="K10" i="2"/>
  <c r="J10" i="2"/>
  <c r="I10" i="2"/>
  <c r="X10" i="2" s="1"/>
  <c r="K9" i="2"/>
  <c r="J9" i="2"/>
  <c r="I9" i="2"/>
  <c r="X9" i="2" s="1"/>
  <c r="K8" i="2"/>
  <c r="J8" i="2"/>
  <c r="I8" i="2"/>
  <c r="K7" i="2"/>
  <c r="J7" i="2"/>
  <c r="I7" i="2"/>
  <c r="X7" i="2" s="1"/>
  <c r="K6" i="2"/>
  <c r="J6" i="2"/>
  <c r="I6" i="2"/>
  <c r="X6" i="2" s="1"/>
  <c r="K5" i="2"/>
  <c r="N5" i="2" s="1"/>
  <c r="J5" i="2"/>
  <c r="M5" i="2" s="1"/>
  <c r="I5" i="2"/>
  <c r="L5" i="2" s="1"/>
  <c r="L10" i="4" l="1"/>
  <c r="M9" i="4"/>
  <c r="M8" i="2"/>
  <c r="Y8" i="2"/>
  <c r="L11" i="2"/>
  <c r="X11" i="2"/>
  <c r="M12" i="2"/>
  <c r="Y12" i="2"/>
  <c r="AA12" i="2" s="1"/>
  <c r="N13" i="2"/>
  <c r="Z13" i="2"/>
  <c r="M16" i="2"/>
  <c r="Y16" i="2"/>
  <c r="AB16" i="2" s="1"/>
  <c r="N20" i="2"/>
  <c r="Z20" i="2"/>
  <c r="M23" i="2"/>
  <c r="Y23" i="2"/>
  <c r="M27" i="2"/>
  <c r="Y27" i="2"/>
  <c r="AA27" i="2" s="1"/>
  <c r="M36" i="2"/>
  <c r="Y36" i="2"/>
  <c r="N37" i="2"/>
  <c r="Z37" i="2"/>
  <c r="M40" i="2"/>
  <c r="Y40" i="2"/>
  <c r="N45" i="2"/>
  <c r="Z45" i="2"/>
  <c r="N49" i="2"/>
  <c r="Z49" i="2"/>
  <c r="N53" i="2"/>
  <c r="Z53" i="2"/>
  <c r="M7" i="2"/>
  <c r="T7" i="2" s="1"/>
  <c r="Y7" i="2"/>
  <c r="N8" i="2"/>
  <c r="Z8" i="2"/>
  <c r="M11" i="2"/>
  <c r="T11" i="2" s="1"/>
  <c r="Y11" i="2"/>
  <c r="N12" i="2"/>
  <c r="Z12" i="2"/>
  <c r="M15" i="2"/>
  <c r="Y15" i="2"/>
  <c r="N16" i="2"/>
  <c r="Z16" i="2"/>
  <c r="N19" i="2"/>
  <c r="Z19" i="2"/>
  <c r="M20" i="2"/>
  <c r="Y20" i="2"/>
  <c r="AA23" i="2"/>
  <c r="N24" i="2"/>
  <c r="Z24" i="2"/>
  <c r="M26" i="2"/>
  <c r="Y26" i="2"/>
  <c r="N28" i="2"/>
  <c r="Z28" i="2"/>
  <c r="M35" i="2"/>
  <c r="Y35" i="2"/>
  <c r="N36" i="2"/>
  <c r="Z36" i="2"/>
  <c r="M39" i="2"/>
  <c r="Y39" i="2"/>
  <c r="N40" i="2"/>
  <c r="Z40" i="2"/>
  <c r="M43" i="2"/>
  <c r="Y43" i="2"/>
  <c r="N44" i="2"/>
  <c r="Z44" i="2"/>
  <c r="M46" i="2"/>
  <c r="T46" i="2" s="1"/>
  <c r="Y46" i="2"/>
  <c r="N48" i="2"/>
  <c r="Z48" i="2"/>
  <c r="M50" i="2"/>
  <c r="Y50" i="2"/>
  <c r="N52" i="2"/>
  <c r="Z52" i="2"/>
  <c r="M54" i="2"/>
  <c r="Y54" i="2"/>
  <c r="N56" i="2"/>
  <c r="Z56" i="2"/>
  <c r="N11" i="2"/>
  <c r="Z11" i="2"/>
  <c r="M14" i="2"/>
  <c r="T14" i="2" s="1"/>
  <c r="Y14" i="2"/>
  <c r="N15" i="2"/>
  <c r="Z15" i="2"/>
  <c r="AB15" i="2" s="1"/>
  <c r="N18" i="2"/>
  <c r="U18" i="2" s="1"/>
  <c r="Z18" i="2"/>
  <c r="M19" i="2"/>
  <c r="Y19" i="2"/>
  <c r="AA19" i="2" s="1"/>
  <c r="N22" i="2"/>
  <c r="U22" i="2" s="1"/>
  <c r="Z22" i="2"/>
  <c r="N23" i="2"/>
  <c r="Z23" i="2"/>
  <c r="M25" i="2"/>
  <c r="T25" i="2" s="1"/>
  <c r="Y25" i="2"/>
  <c r="N27" i="2"/>
  <c r="Z27" i="2"/>
  <c r="AB27" i="2" s="1"/>
  <c r="M34" i="2"/>
  <c r="T34" i="2" s="1"/>
  <c r="Y34" i="2"/>
  <c r="N35" i="2"/>
  <c r="Z35" i="2"/>
  <c r="M38" i="2"/>
  <c r="T38" i="2" s="1"/>
  <c r="Y38" i="2"/>
  <c r="N39" i="2"/>
  <c r="Z39" i="2"/>
  <c r="M42" i="2"/>
  <c r="Y42" i="2"/>
  <c r="N43" i="2"/>
  <c r="Z43" i="2"/>
  <c r="N47" i="2"/>
  <c r="Z47" i="2"/>
  <c r="M49" i="2"/>
  <c r="Y49" i="2"/>
  <c r="AB49" i="2" s="1"/>
  <c r="N51" i="2"/>
  <c r="U51" i="2" s="1"/>
  <c r="Z51" i="2"/>
  <c r="M53" i="2"/>
  <c r="Y53" i="2"/>
  <c r="N55" i="2"/>
  <c r="Z55" i="2"/>
  <c r="N9" i="2"/>
  <c r="U9" i="2" s="1"/>
  <c r="Z9" i="2"/>
  <c r="AA15" i="2"/>
  <c r="N17" i="2"/>
  <c r="U17" i="2" s="1"/>
  <c r="Z17" i="2"/>
  <c r="M21" i="2"/>
  <c r="T21" i="2" s="1"/>
  <c r="Y21" i="2"/>
  <c r="N25" i="2"/>
  <c r="U25" i="2" s="1"/>
  <c r="Z25" i="2"/>
  <c r="AA25" i="2" s="1"/>
  <c r="AB39" i="2"/>
  <c r="N41" i="2"/>
  <c r="Z41" i="2"/>
  <c r="M44" i="2"/>
  <c r="Y44" i="2"/>
  <c r="AB44" i="2" s="1"/>
  <c r="M47" i="2"/>
  <c r="Y47" i="2"/>
  <c r="AA47" i="2" s="1"/>
  <c r="M51" i="2"/>
  <c r="T51" i="2" s="1"/>
  <c r="Y51" i="2"/>
  <c r="AA51" i="2" s="1"/>
  <c r="M55" i="2"/>
  <c r="T55" i="2" s="1"/>
  <c r="Y55" i="2"/>
  <c r="AA55" i="2" s="1"/>
  <c r="M6" i="2"/>
  <c r="T6" i="2" s="1"/>
  <c r="Y6" i="2"/>
  <c r="AA6" i="2" s="1"/>
  <c r="N7" i="2"/>
  <c r="Z7" i="2"/>
  <c r="M10" i="2"/>
  <c r="Y10" i="2"/>
  <c r="AA10" i="2" s="1"/>
  <c r="N6" i="2"/>
  <c r="U6" i="2" s="1"/>
  <c r="Z6" i="2"/>
  <c r="X8" i="2"/>
  <c r="M9" i="2"/>
  <c r="T9" i="2" s="1"/>
  <c r="Y9" i="2"/>
  <c r="N10" i="2"/>
  <c r="U10" i="2" s="1"/>
  <c r="Z10" i="2"/>
  <c r="AB12" i="2"/>
  <c r="M13" i="2"/>
  <c r="T13" i="2" s="1"/>
  <c r="Y13" i="2"/>
  <c r="AB13" i="2" s="1"/>
  <c r="N14" i="2"/>
  <c r="U14" i="2" s="1"/>
  <c r="Z14" i="2"/>
  <c r="M17" i="2"/>
  <c r="T17" i="2" s="1"/>
  <c r="Y17" i="2"/>
  <c r="M18" i="2"/>
  <c r="Y18" i="2"/>
  <c r="AA18" i="2" s="1"/>
  <c r="AB20" i="2"/>
  <c r="AA20" i="2"/>
  <c r="N21" i="2"/>
  <c r="U21" i="2" s="1"/>
  <c r="Z21" i="2"/>
  <c r="AB21" i="2" s="1"/>
  <c r="M22" i="2"/>
  <c r="T22" i="2" s="1"/>
  <c r="Y22" i="2"/>
  <c r="AA22" i="2" s="1"/>
  <c r="M24" i="2"/>
  <c r="T24" i="2" s="1"/>
  <c r="Y24" i="2"/>
  <c r="AB24" i="2" s="1"/>
  <c r="AB25" i="2"/>
  <c r="N26" i="2"/>
  <c r="U26" i="2" s="1"/>
  <c r="Z26" i="2"/>
  <c r="M28" i="2"/>
  <c r="T28" i="2" s="1"/>
  <c r="Y28" i="2"/>
  <c r="AB28" i="2" s="1"/>
  <c r="N34" i="2"/>
  <c r="U34" i="2" s="1"/>
  <c r="Z34" i="2"/>
  <c r="AA34" i="2" s="1"/>
  <c r="L36" i="2"/>
  <c r="S36" i="2" s="1"/>
  <c r="X36" i="2"/>
  <c r="M37" i="2"/>
  <c r="T37" i="2" s="1"/>
  <c r="Y37" i="2"/>
  <c r="AA37" i="2" s="1"/>
  <c r="N38" i="2"/>
  <c r="U38" i="2" s="1"/>
  <c r="Z38" i="2"/>
  <c r="L40" i="2"/>
  <c r="X40" i="2"/>
  <c r="M41" i="2"/>
  <c r="T41" i="2" s="1"/>
  <c r="Y41" i="2"/>
  <c r="N42" i="2"/>
  <c r="U42" i="2" s="1"/>
  <c r="Z42" i="2"/>
  <c r="AB42" i="2" s="1"/>
  <c r="AA44" i="2"/>
  <c r="M45" i="2"/>
  <c r="T45" i="2" s="1"/>
  <c r="Y45" i="2"/>
  <c r="AA45" i="2" s="1"/>
  <c r="N46" i="2"/>
  <c r="U46" i="2" s="1"/>
  <c r="Z46" i="2"/>
  <c r="AB46" i="2" s="1"/>
  <c r="M48" i="2"/>
  <c r="T48" i="2" s="1"/>
  <c r="Y48" i="2"/>
  <c r="AA49" i="2"/>
  <c r="N50" i="2"/>
  <c r="U50" i="2" s="1"/>
  <c r="Z50" i="2"/>
  <c r="AB50" i="2" s="1"/>
  <c r="M52" i="2"/>
  <c r="T52" i="2" s="1"/>
  <c r="Y52" i="2"/>
  <c r="AA53" i="2"/>
  <c r="AB53" i="2"/>
  <c r="N54" i="2"/>
  <c r="U54" i="2" s="1"/>
  <c r="Z54" i="2"/>
  <c r="AB54" i="2" s="1"/>
  <c r="M56" i="2"/>
  <c r="T56" i="2" s="1"/>
  <c r="Y56" i="2"/>
  <c r="AA56" i="2" s="1"/>
  <c r="O9" i="2"/>
  <c r="R37" i="2"/>
  <c r="R41" i="2"/>
  <c r="O35" i="2"/>
  <c r="I5" i="4"/>
  <c r="I7" i="4"/>
  <c r="M7" i="4" s="1"/>
  <c r="I6" i="4"/>
  <c r="H7" i="3"/>
  <c r="N60" i="3"/>
  <c r="R60" i="3" s="1"/>
  <c r="V60" i="3" s="1"/>
  <c r="H6" i="3"/>
  <c r="N61" i="4"/>
  <c r="R61" i="4" s="1"/>
  <c r="V61" i="4" s="1"/>
  <c r="N59" i="4"/>
  <c r="R59" i="4" s="1"/>
  <c r="V59" i="4" s="1"/>
  <c r="N56" i="3"/>
  <c r="R56" i="3" s="1"/>
  <c r="V56" i="3" s="1"/>
  <c r="R34" i="2"/>
  <c r="O38" i="2"/>
  <c r="N57" i="3"/>
  <c r="R57" i="3" s="1"/>
  <c r="V57" i="3" s="1"/>
  <c r="N61" i="3"/>
  <c r="R61" i="3" s="1"/>
  <c r="V61" i="3" s="1"/>
  <c r="N56" i="4"/>
  <c r="R56" i="4" s="1"/>
  <c r="V56" i="4" s="1"/>
  <c r="N58" i="4"/>
  <c r="R58" i="4" s="1"/>
  <c r="V58" i="4" s="1"/>
  <c r="N60" i="4"/>
  <c r="R60" i="4" s="1"/>
  <c r="V60" i="4" s="1"/>
  <c r="H5" i="3"/>
  <c r="I6" i="3"/>
  <c r="J6" i="3"/>
  <c r="J7" i="3"/>
  <c r="H5" i="4"/>
  <c r="H6" i="4"/>
  <c r="J5" i="4"/>
  <c r="J6" i="4"/>
  <c r="J7" i="4"/>
  <c r="L7" i="4" s="1"/>
  <c r="J5" i="3"/>
  <c r="K6" i="3"/>
  <c r="K5" i="4"/>
  <c r="K6" i="4"/>
  <c r="N45" i="3"/>
  <c r="R45" i="3" s="1"/>
  <c r="V45" i="3" s="1"/>
  <c r="N44" i="3"/>
  <c r="R44" i="3" s="1"/>
  <c r="V44" i="3" s="1"/>
  <c r="O43" i="2"/>
  <c r="O15" i="2"/>
  <c r="O13" i="2"/>
  <c r="N59" i="3"/>
  <c r="R59" i="3" s="1"/>
  <c r="V59" i="3" s="1"/>
  <c r="N58" i="3"/>
  <c r="R58" i="3" s="1"/>
  <c r="V58" i="3" s="1"/>
  <c r="O6" i="2"/>
  <c r="Q33" i="2"/>
  <c r="Q5" i="2"/>
  <c r="L35" i="2"/>
  <c r="O36" i="2"/>
  <c r="L38" i="2"/>
  <c r="R39" i="2"/>
  <c r="O40" i="2"/>
  <c r="L43" i="2"/>
  <c r="S43" i="2" s="1"/>
  <c r="L6" i="2"/>
  <c r="S6" i="2" s="1"/>
  <c r="L15" i="2"/>
  <c r="S15" i="2" s="1"/>
  <c r="O22" i="2"/>
  <c r="L9" i="2"/>
  <c r="O11" i="2"/>
  <c r="L13" i="2"/>
  <c r="L25" i="4"/>
  <c r="M10" i="4"/>
  <c r="N10" i="4" s="1"/>
  <c r="R10" i="4" s="1"/>
  <c r="V10" i="4" s="1"/>
  <c r="M8" i="4"/>
  <c r="L16" i="4"/>
  <c r="M15" i="4"/>
  <c r="L19" i="4"/>
  <c r="L22" i="4"/>
  <c r="M21" i="4"/>
  <c r="M31" i="4"/>
  <c r="L36" i="4"/>
  <c r="M50" i="4"/>
  <c r="M12" i="4"/>
  <c r="M13" i="4"/>
  <c r="N13" i="4" s="1"/>
  <c r="R13" i="4" s="1"/>
  <c r="V13" i="4" s="1"/>
  <c r="M14" i="4"/>
  <c r="M16" i="4"/>
  <c r="M17" i="4"/>
  <c r="M18" i="4"/>
  <c r="M19" i="4"/>
  <c r="M20" i="4"/>
  <c r="M22" i="4"/>
  <c r="M23" i="4"/>
  <c r="M28" i="4"/>
  <c r="L26" i="4"/>
  <c r="L28" i="4"/>
  <c r="M29" i="4"/>
  <c r="M34" i="4"/>
  <c r="L32" i="4"/>
  <c r="L34" i="4"/>
  <c r="M35" i="4"/>
  <c r="M37" i="4"/>
  <c r="M40" i="4"/>
  <c r="L38" i="4"/>
  <c r="L40" i="4"/>
  <c r="M41" i="4"/>
  <c r="M43" i="4"/>
  <c r="L8" i="4"/>
  <c r="L9" i="4"/>
  <c r="N9" i="4" s="1"/>
  <c r="R9" i="4" s="1"/>
  <c r="V9" i="4" s="1"/>
  <c r="L12" i="4"/>
  <c r="L14" i="4"/>
  <c r="L15" i="4"/>
  <c r="L17" i="4"/>
  <c r="L18" i="4"/>
  <c r="L20" i="4"/>
  <c r="L21" i="4"/>
  <c r="M25" i="4"/>
  <c r="L23" i="4"/>
  <c r="L24" i="4"/>
  <c r="M27" i="4"/>
  <c r="L31" i="4"/>
  <c r="L30" i="4"/>
  <c r="M33" i="4"/>
  <c r="L37" i="4"/>
  <c r="M39" i="4"/>
  <c r="L43" i="4"/>
  <c r="L42" i="4"/>
  <c r="L29" i="4"/>
  <c r="L35" i="4"/>
  <c r="L41" i="4"/>
  <c r="L46" i="4"/>
  <c r="M45" i="4"/>
  <c r="M44" i="4"/>
  <c r="N44" i="4" s="1"/>
  <c r="R44" i="4" s="1"/>
  <c r="V44" i="4" s="1"/>
  <c r="L45" i="4"/>
  <c r="M46" i="4"/>
  <c r="M49" i="4"/>
  <c r="L48" i="4"/>
  <c r="N48" i="4" s="1"/>
  <c r="R48" i="4" s="1"/>
  <c r="V48" i="4" s="1"/>
  <c r="L47" i="4"/>
  <c r="L49" i="4"/>
  <c r="L52" i="4"/>
  <c r="M52" i="4"/>
  <c r="M55" i="4"/>
  <c r="L54" i="4"/>
  <c r="N54" i="4" s="1"/>
  <c r="R54" i="4" s="1"/>
  <c r="V54" i="4" s="1"/>
  <c r="L53" i="4"/>
  <c r="L55" i="4"/>
  <c r="N57" i="4"/>
  <c r="R57" i="4" s="1"/>
  <c r="V57" i="4" s="1"/>
  <c r="L50" i="4"/>
  <c r="M51" i="4"/>
  <c r="N51" i="4" s="1"/>
  <c r="R51" i="4" s="1"/>
  <c r="V51" i="4" s="1"/>
  <c r="Q14" i="3"/>
  <c r="Q15" i="3"/>
  <c r="N16" i="3"/>
  <c r="Q16" i="3"/>
  <c r="Q17" i="3"/>
  <c r="Q18" i="3"/>
  <c r="N19" i="3"/>
  <c r="Q19" i="3"/>
  <c r="Q20" i="3"/>
  <c r="Q21" i="3"/>
  <c r="N22" i="3"/>
  <c r="Q22" i="3"/>
  <c r="Q23" i="3"/>
  <c r="Q24" i="3"/>
  <c r="N25" i="3"/>
  <c r="Q25" i="3"/>
  <c r="N28" i="3"/>
  <c r="R28" i="3" s="1"/>
  <c r="V28" i="3" s="1"/>
  <c r="N36" i="3"/>
  <c r="R36" i="3" s="1"/>
  <c r="V36" i="3" s="1"/>
  <c r="N46" i="3"/>
  <c r="R46" i="3" s="1"/>
  <c r="V46" i="3" s="1"/>
  <c r="O17" i="2"/>
  <c r="L17" i="2"/>
  <c r="O18" i="2"/>
  <c r="L18" i="2"/>
  <c r="O19" i="2"/>
  <c r="L19" i="2"/>
  <c r="O20" i="2"/>
  <c r="L20" i="2"/>
  <c r="O21" i="2"/>
  <c r="L21" i="2"/>
  <c r="S21" i="2" s="1"/>
  <c r="O7" i="2"/>
  <c r="O8" i="2"/>
  <c r="O10" i="2"/>
  <c r="O12" i="2"/>
  <c r="O14" i="2"/>
  <c r="O16" i="2"/>
  <c r="L22" i="2"/>
  <c r="S22" i="2" s="1"/>
  <c r="L23" i="2"/>
  <c r="O24" i="2"/>
  <c r="O5" i="2"/>
  <c r="L7" i="2"/>
  <c r="S7" i="2" s="1"/>
  <c r="L8" i="2"/>
  <c r="S8" i="2" s="1"/>
  <c r="L10" i="2"/>
  <c r="L12" i="2"/>
  <c r="S12" i="2" s="1"/>
  <c r="L14" i="2"/>
  <c r="S14" i="2" s="1"/>
  <c r="L16" i="2"/>
  <c r="S16" i="2" s="1"/>
  <c r="O23" i="2"/>
  <c r="L24" i="2"/>
  <c r="S24" i="2" s="1"/>
  <c r="Q40" i="2"/>
  <c r="O25" i="2"/>
  <c r="O26" i="2"/>
  <c r="O27" i="2"/>
  <c r="O28" i="2"/>
  <c r="O33" i="2"/>
  <c r="O34" i="2"/>
  <c r="R35" i="2"/>
  <c r="R36" i="2"/>
  <c r="O37" i="2"/>
  <c r="R38" i="2"/>
  <c r="O39" i="2"/>
  <c r="R40" i="2"/>
  <c r="O41" i="2"/>
  <c r="R43" i="2"/>
  <c r="O46" i="2"/>
  <c r="R47" i="2"/>
  <c r="L47" i="2"/>
  <c r="O48" i="2"/>
  <c r="R49" i="2"/>
  <c r="L49" i="2"/>
  <c r="O50" i="2"/>
  <c r="R51" i="2"/>
  <c r="L51" i="2"/>
  <c r="O52" i="2"/>
  <c r="R53" i="2"/>
  <c r="L53" i="2"/>
  <c r="O54" i="2"/>
  <c r="R55" i="2"/>
  <c r="L55" i="2"/>
  <c r="O56" i="2"/>
  <c r="L25" i="2"/>
  <c r="S25" i="2" s="1"/>
  <c r="L26" i="2"/>
  <c r="L27" i="2"/>
  <c r="S27" i="2" s="1"/>
  <c r="L28" i="2"/>
  <c r="S28" i="2" s="1"/>
  <c r="L34" i="2"/>
  <c r="S34" i="2" s="1"/>
  <c r="L37" i="2"/>
  <c r="L39" i="2"/>
  <c r="S39" i="2" s="1"/>
  <c r="L41" i="2"/>
  <c r="S41" i="2" s="1"/>
  <c r="R42" i="2"/>
  <c r="L42" i="2"/>
  <c r="O42" i="2"/>
  <c r="R44" i="2"/>
  <c r="L44" i="2"/>
  <c r="S44" i="2" s="1"/>
  <c r="O44" i="2"/>
  <c r="R45" i="2"/>
  <c r="L45" i="2"/>
  <c r="O45" i="2"/>
  <c r="R46" i="2"/>
  <c r="L46" i="2"/>
  <c r="O47" i="2"/>
  <c r="R48" i="2"/>
  <c r="L48" i="2"/>
  <c r="O49" i="2"/>
  <c r="R50" i="2"/>
  <c r="L50" i="2"/>
  <c r="S50" i="2" s="1"/>
  <c r="O51" i="2"/>
  <c r="R52" i="2"/>
  <c r="L52" i="2"/>
  <c r="O53" i="2"/>
  <c r="R54" i="2"/>
  <c r="L54" i="2"/>
  <c r="O55" i="2"/>
  <c r="R56" i="2"/>
  <c r="L56" i="2"/>
  <c r="U47" i="2" l="1"/>
  <c r="T43" i="2"/>
  <c r="S18" i="2"/>
  <c r="S9" i="2"/>
  <c r="S35" i="2"/>
  <c r="AA48" i="2"/>
  <c r="AA26" i="2"/>
  <c r="AA16" i="2"/>
  <c r="T10" i="2"/>
  <c r="T44" i="2"/>
  <c r="AB23" i="2"/>
  <c r="AB55" i="2"/>
  <c r="U52" i="2"/>
  <c r="U48" i="2"/>
  <c r="T26" i="2"/>
  <c r="U49" i="2"/>
  <c r="T40" i="2"/>
  <c r="T36" i="2"/>
  <c r="T23" i="2"/>
  <c r="T16" i="2"/>
  <c r="T12" i="2"/>
  <c r="T8" i="2"/>
  <c r="S51" i="2"/>
  <c r="U55" i="2"/>
  <c r="T42" i="2"/>
  <c r="U56" i="2"/>
  <c r="T39" i="2"/>
  <c r="S53" i="2"/>
  <c r="S55" i="2"/>
  <c r="S13" i="2"/>
  <c r="S40" i="2"/>
  <c r="T18" i="2"/>
  <c r="AB6" i="2"/>
  <c r="T53" i="2"/>
  <c r="T49" i="2"/>
  <c r="U43" i="2"/>
  <c r="U39" i="2"/>
  <c r="U35" i="2"/>
  <c r="U27" i="2"/>
  <c r="U23" i="2"/>
  <c r="T19" i="2"/>
  <c r="U15" i="2"/>
  <c r="U11" i="2"/>
  <c r="AA50" i="2"/>
  <c r="AB47" i="2"/>
  <c r="U44" i="2"/>
  <c r="U40" i="2"/>
  <c r="U36" i="2"/>
  <c r="W36" i="2" s="1"/>
  <c r="U28" i="2"/>
  <c r="T20" i="2"/>
  <c r="U16" i="2"/>
  <c r="U12" i="2"/>
  <c r="U8" i="2"/>
  <c r="S17" i="2"/>
  <c r="T35" i="2"/>
  <c r="U19" i="2"/>
  <c r="T15" i="2"/>
  <c r="S52" i="2"/>
  <c r="S45" i="2"/>
  <c r="Q36" i="2"/>
  <c r="S54" i="2"/>
  <c r="S46" i="2"/>
  <c r="S47" i="2"/>
  <c r="S23" i="2"/>
  <c r="S19" i="2"/>
  <c r="S56" i="2"/>
  <c r="S48" i="2"/>
  <c r="S42" i="2"/>
  <c r="S37" i="2"/>
  <c r="S26" i="2"/>
  <c r="S49" i="2"/>
  <c r="S10" i="2"/>
  <c r="S20" i="2"/>
  <c r="Q11" i="2"/>
  <c r="S38" i="2"/>
  <c r="AA52" i="2"/>
  <c r="AA41" i="2"/>
  <c r="AB17" i="2"/>
  <c r="AB9" i="2"/>
  <c r="U7" i="2"/>
  <c r="V7" i="2" s="1"/>
  <c r="T47" i="2"/>
  <c r="U41" i="2"/>
  <c r="AA21" i="2"/>
  <c r="AB51" i="2"/>
  <c r="AB38" i="2"/>
  <c r="AA14" i="2"/>
  <c r="T54" i="2"/>
  <c r="T50" i="2"/>
  <c r="AB43" i="2"/>
  <c r="AA39" i="2"/>
  <c r="AB35" i="2"/>
  <c r="U24" i="2"/>
  <c r="AA7" i="2"/>
  <c r="U53" i="2"/>
  <c r="U45" i="2"/>
  <c r="U37" i="2"/>
  <c r="T27" i="2"/>
  <c r="U20" i="2"/>
  <c r="U13" i="2"/>
  <c r="S11" i="2"/>
  <c r="V11" i="2" s="1"/>
  <c r="M6" i="4"/>
  <c r="N40" i="4"/>
  <c r="R40" i="4" s="1"/>
  <c r="V40" i="4" s="1"/>
  <c r="N23" i="4"/>
  <c r="R23" i="4" s="1"/>
  <c r="V23" i="4" s="1"/>
  <c r="N15" i="4"/>
  <c r="R15" i="4" s="1"/>
  <c r="V15" i="4" s="1"/>
  <c r="N45" i="4"/>
  <c r="R45" i="4" s="1"/>
  <c r="V45" i="4" s="1"/>
  <c r="N34" i="4"/>
  <c r="R34" i="4" s="1"/>
  <c r="V34" i="4" s="1"/>
  <c r="N28" i="4"/>
  <c r="R28" i="4" s="1"/>
  <c r="V28" i="4" s="1"/>
  <c r="N7" i="3"/>
  <c r="R7" i="3" s="1"/>
  <c r="V7" i="3" s="1"/>
  <c r="Z28" i="3" s="1"/>
  <c r="Q14" i="2"/>
  <c r="W7" i="2"/>
  <c r="Q18" i="2"/>
  <c r="Q9" i="2"/>
  <c r="Q35" i="2"/>
  <c r="AA54" i="2"/>
  <c r="AA46" i="2"/>
  <c r="AB41" i="2"/>
  <c r="AA17" i="2"/>
  <c r="AA42" i="2"/>
  <c r="AB34" i="2"/>
  <c r="AB22" i="2"/>
  <c r="AB14" i="2"/>
  <c r="AA28" i="2"/>
  <c r="AA24" i="2"/>
  <c r="Q46" i="2"/>
  <c r="Q47" i="2"/>
  <c r="Q12" i="2"/>
  <c r="Q19" i="2"/>
  <c r="Q13" i="2"/>
  <c r="AA40" i="2"/>
  <c r="AB40" i="2"/>
  <c r="AB8" i="2"/>
  <c r="AA8" i="2"/>
  <c r="Q52" i="2"/>
  <c r="Q45" i="2"/>
  <c r="Q41" i="2"/>
  <c r="Q53" i="2"/>
  <c r="Q54" i="2"/>
  <c r="Q39" i="2"/>
  <c r="Q27" i="2"/>
  <c r="Q55" i="2"/>
  <c r="Q23" i="2"/>
  <c r="Q6" i="2"/>
  <c r="Q56" i="2"/>
  <c r="Q48" i="2"/>
  <c r="Q42" i="2"/>
  <c r="Q37" i="2"/>
  <c r="Q26" i="2"/>
  <c r="Q49" i="2"/>
  <c r="Q10" i="2"/>
  <c r="Q20" i="2"/>
  <c r="Q38" i="2"/>
  <c r="W40" i="2"/>
  <c r="V40" i="2"/>
  <c r="AA9" i="2"/>
  <c r="AB45" i="2"/>
  <c r="AB37" i="2"/>
  <c r="AB26" i="2"/>
  <c r="AA13" i="2"/>
  <c r="AA38" i="2"/>
  <c r="AB18" i="2"/>
  <c r="AB10" i="2"/>
  <c r="AB56" i="2"/>
  <c r="AB52" i="2"/>
  <c r="AB48" i="2"/>
  <c r="AA43" i="2"/>
  <c r="AA35" i="2"/>
  <c r="AB19" i="2"/>
  <c r="AA11" i="2"/>
  <c r="AB11" i="2"/>
  <c r="AB7" i="2"/>
  <c r="Q28" i="2"/>
  <c r="Q50" i="2"/>
  <c r="Q44" i="2"/>
  <c r="Q34" i="2"/>
  <c r="Q25" i="2"/>
  <c r="Q51" i="2"/>
  <c r="Q24" i="2"/>
  <c r="Q16" i="2"/>
  <c r="Q8" i="2"/>
  <c r="Q22" i="2"/>
  <c r="Q21" i="2"/>
  <c r="Q17" i="2"/>
  <c r="Q15" i="2"/>
  <c r="Q43" i="2"/>
  <c r="AA36" i="2"/>
  <c r="AB36" i="2"/>
  <c r="W11" i="2"/>
  <c r="R19" i="3"/>
  <c r="V19" i="3" s="1"/>
  <c r="X61" i="3"/>
  <c r="Y61" i="3" s="1"/>
  <c r="AH23" i="3" s="1"/>
  <c r="W61" i="3"/>
  <c r="AG23" i="3" s="1"/>
  <c r="X58" i="4"/>
  <c r="Y58" i="4" s="1"/>
  <c r="AH22" i="4" s="1"/>
  <c r="W58" i="4"/>
  <c r="AG22" i="4" s="1"/>
  <c r="X61" i="4"/>
  <c r="Y61" i="4" s="1"/>
  <c r="AH23" i="4" s="1"/>
  <c r="W61" i="4"/>
  <c r="AG23" i="4" s="1"/>
  <c r="W46" i="3"/>
  <c r="AG18" i="3" s="1"/>
  <c r="X46" i="3"/>
  <c r="Y46" i="3" s="1"/>
  <c r="AH18" i="3" s="1"/>
  <c r="R22" i="3"/>
  <c r="V22" i="3" s="1"/>
  <c r="W58" i="3"/>
  <c r="AG22" i="3" s="1"/>
  <c r="X58" i="3"/>
  <c r="Y58" i="3" s="1"/>
  <c r="AH22" i="3" s="1"/>
  <c r="L5" i="4"/>
  <c r="S61" i="4"/>
  <c r="AE23" i="4" s="1"/>
  <c r="R16" i="3"/>
  <c r="V16" i="3" s="1"/>
  <c r="T46" i="3"/>
  <c r="U46" i="3" s="1"/>
  <c r="AF18" i="3" s="1"/>
  <c r="N5" i="3"/>
  <c r="R5" i="3" s="1"/>
  <c r="V5" i="3" s="1"/>
  <c r="Z44" i="3" s="1"/>
  <c r="T61" i="4"/>
  <c r="U61" i="4" s="1"/>
  <c r="AF23" i="4" s="1"/>
  <c r="S58" i="4"/>
  <c r="AE22" i="4" s="1"/>
  <c r="S61" i="3"/>
  <c r="AE23" i="3" s="1"/>
  <c r="S58" i="3"/>
  <c r="AE22" i="3" s="1"/>
  <c r="N50" i="4"/>
  <c r="R50" i="4" s="1"/>
  <c r="N55" i="4"/>
  <c r="R55" i="4" s="1"/>
  <c r="V55" i="4" s="1"/>
  <c r="N49" i="4"/>
  <c r="R49" i="4" s="1"/>
  <c r="V49" i="4" s="1"/>
  <c r="R25" i="3"/>
  <c r="V25" i="3" s="1"/>
  <c r="Z25" i="3" s="1"/>
  <c r="N21" i="4"/>
  <c r="R21" i="4" s="1"/>
  <c r="V21" i="4" s="1"/>
  <c r="N12" i="4"/>
  <c r="R12" i="4" s="1"/>
  <c r="V12" i="4" s="1"/>
  <c r="N10" i="3"/>
  <c r="R10" i="3" s="1"/>
  <c r="V10" i="3" s="1"/>
  <c r="N52" i="4"/>
  <c r="R52" i="4" s="1"/>
  <c r="V52" i="4" s="1"/>
  <c r="T61" i="3"/>
  <c r="U61" i="3" s="1"/>
  <c r="AF23" i="3" s="1"/>
  <c r="N46" i="4"/>
  <c r="R46" i="4" s="1"/>
  <c r="N41" i="4"/>
  <c r="R41" i="4" s="1"/>
  <c r="V41" i="4" s="1"/>
  <c r="N35" i="4"/>
  <c r="R35" i="4" s="1"/>
  <c r="V35" i="4" s="1"/>
  <c r="N29" i="4"/>
  <c r="R29" i="4" s="1"/>
  <c r="V29" i="4" s="1"/>
  <c r="N37" i="4"/>
  <c r="R37" i="4" s="1"/>
  <c r="V37" i="4" s="1"/>
  <c r="N20" i="4"/>
  <c r="R20" i="4" s="1"/>
  <c r="V20" i="4" s="1"/>
  <c r="N18" i="4"/>
  <c r="R18" i="4" s="1"/>
  <c r="V18" i="4" s="1"/>
  <c r="N17" i="4"/>
  <c r="R17" i="4" s="1"/>
  <c r="V17" i="4" s="1"/>
  <c r="N14" i="4"/>
  <c r="R14" i="4" s="1"/>
  <c r="V14" i="4" s="1"/>
  <c r="M38" i="4"/>
  <c r="N38" i="4" s="1"/>
  <c r="R38" i="4" s="1"/>
  <c r="V38" i="4" s="1"/>
  <c r="M32" i="4"/>
  <c r="N32" i="4" s="1"/>
  <c r="R32" i="4" s="1"/>
  <c r="V32" i="4" s="1"/>
  <c r="M26" i="4"/>
  <c r="N26" i="4" s="1"/>
  <c r="R26" i="4" s="1"/>
  <c r="V26" i="4" s="1"/>
  <c r="T58" i="4"/>
  <c r="U58" i="4" s="1"/>
  <c r="AF22" i="4" s="1"/>
  <c r="N22" i="4"/>
  <c r="R22" i="4" s="1"/>
  <c r="V22" i="4" s="1"/>
  <c r="N19" i="4"/>
  <c r="R19" i="4" s="1"/>
  <c r="V19" i="4" s="1"/>
  <c r="N16" i="4"/>
  <c r="R16" i="4" s="1"/>
  <c r="V16" i="4" s="1"/>
  <c r="AD21" i="4"/>
  <c r="AD20" i="4"/>
  <c r="N25" i="4"/>
  <c r="R25" i="4" s="1"/>
  <c r="V25" i="4" s="1"/>
  <c r="L6" i="4"/>
  <c r="M53" i="4"/>
  <c r="N53" i="4" s="1"/>
  <c r="R53" i="4" s="1"/>
  <c r="V53" i="4" s="1"/>
  <c r="M47" i="4"/>
  <c r="N47" i="4" s="1"/>
  <c r="R47" i="4" s="1"/>
  <c r="V47" i="4" s="1"/>
  <c r="M42" i="4"/>
  <c r="N42" i="4" s="1"/>
  <c r="R42" i="4" s="1"/>
  <c r="V42" i="4" s="1"/>
  <c r="M36" i="4"/>
  <c r="N36" i="4" s="1"/>
  <c r="R36" i="4" s="1"/>
  <c r="V36" i="4" s="1"/>
  <c r="M30" i="4"/>
  <c r="N30" i="4" s="1"/>
  <c r="R30" i="4" s="1"/>
  <c r="V30" i="4" s="1"/>
  <c r="N43" i="4"/>
  <c r="R43" i="4" s="1"/>
  <c r="V43" i="4" s="1"/>
  <c r="N31" i="4"/>
  <c r="R31" i="4" s="1"/>
  <c r="V31" i="4" s="1"/>
  <c r="M24" i="4"/>
  <c r="N24" i="4" s="1"/>
  <c r="R24" i="4" s="1"/>
  <c r="V24" i="4" s="1"/>
  <c r="N8" i="4"/>
  <c r="R8" i="4" s="1"/>
  <c r="V8" i="4" s="1"/>
  <c r="L39" i="4"/>
  <c r="N39" i="4" s="1"/>
  <c r="R39" i="4" s="1"/>
  <c r="V39" i="4" s="1"/>
  <c r="L33" i="4"/>
  <c r="N33" i="4" s="1"/>
  <c r="R33" i="4" s="1"/>
  <c r="V33" i="4" s="1"/>
  <c r="L27" i="4"/>
  <c r="N27" i="4" s="1"/>
  <c r="R27" i="4" s="1"/>
  <c r="V27" i="4" s="1"/>
  <c r="L11" i="4"/>
  <c r="N11" i="4" s="1"/>
  <c r="R11" i="4" s="1"/>
  <c r="V11" i="4" s="1"/>
  <c r="M5" i="4"/>
  <c r="N7" i="4"/>
  <c r="R7" i="4" s="1"/>
  <c r="V7" i="4" s="1"/>
  <c r="Z13" i="4" s="1"/>
  <c r="N37" i="3"/>
  <c r="R37" i="3" s="1"/>
  <c r="V37" i="3" s="1"/>
  <c r="T58" i="3"/>
  <c r="U58" i="3" s="1"/>
  <c r="AF22" i="3" s="1"/>
  <c r="N43" i="3"/>
  <c r="R43" i="3" s="1"/>
  <c r="V43" i="3" s="1"/>
  <c r="N38" i="3"/>
  <c r="R38" i="3" s="1"/>
  <c r="V38" i="3" s="1"/>
  <c r="S46" i="3"/>
  <c r="AE18" i="3" s="1"/>
  <c r="N31" i="3"/>
  <c r="R31" i="3" s="1"/>
  <c r="V31" i="3" s="1"/>
  <c r="N12" i="3"/>
  <c r="R12" i="3" s="1"/>
  <c r="V12" i="3" s="1"/>
  <c r="N8" i="3"/>
  <c r="R8" i="3" s="1"/>
  <c r="V8" i="3" s="1"/>
  <c r="N55" i="3"/>
  <c r="R55" i="3" s="1"/>
  <c r="V55" i="3" s="1"/>
  <c r="N53" i="3"/>
  <c r="R53" i="3" s="1"/>
  <c r="V53" i="3" s="1"/>
  <c r="N52" i="3"/>
  <c r="R52" i="3" s="1"/>
  <c r="V52" i="3" s="1"/>
  <c r="Z52" i="3" s="1"/>
  <c r="N51" i="3"/>
  <c r="R51" i="3" s="1"/>
  <c r="V51" i="3" s="1"/>
  <c r="N50" i="3"/>
  <c r="R50" i="3" s="1"/>
  <c r="V50" i="3" s="1"/>
  <c r="N49" i="3"/>
  <c r="R49" i="3" s="1"/>
  <c r="V49" i="3" s="1"/>
  <c r="N48" i="3"/>
  <c r="R48" i="3" s="1"/>
  <c r="V48" i="3" s="1"/>
  <c r="N47" i="3"/>
  <c r="R47" i="3" s="1"/>
  <c r="V47" i="3" s="1"/>
  <c r="N42" i="3"/>
  <c r="R42" i="3" s="1"/>
  <c r="V42" i="3" s="1"/>
  <c r="N41" i="3"/>
  <c r="R41" i="3" s="1"/>
  <c r="V41" i="3" s="1"/>
  <c r="N35" i="3"/>
  <c r="R35" i="3" s="1"/>
  <c r="V35" i="3" s="1"/>
  <c r="N40" i="3"/>
  <c r="R40" i="3" s="1"/>
  <c r="V40" i="3" s="1"/>
  <c r="N39" i="3"/>
  <c r="R39" i="3" s="1"/>
  <c r="V39" i="3" s="1"/>
  <c r="N33" i="3"/>
  <c r="R33" i="3" s="1"/>
  <c r="V33" i="3" s="1"/>
  <c r="N32" i="3"/>
  <c r="R32" i="3" s="1"/>
  <c r="V32" i="3" s="1"/>
  <c r="N30" i="3"/>
  <c r="R30" i="3" s="1"/>
  <c r="V30" i="3" s="1"/>
  <c r="N29" i="3"/>
  <c r="R29" i="3" s="1"/>
  <c r="V29" i="3" s="1"/>
  <c r="N27" i="3"/>
  <c r="R27" i="3" s="1"/>
  <c r="V27" i="3" s="1"/>
  <c r="N26" i="3"/>
  <c r="R26" i="3" s="1"/>
  <c r="V26" i="3" s="1"/>
  <c r="N24" i="3"/>
  <c r="R24" i="3" s="1"/>
  <c r="V24" i="3" s="1"/>
  <c r="N23" i="3"/>
  <c r="R23" i="3" s="1"/>
  <c r="V23" i="3" s="1"/>
  <c r="N21" i="3"/>
  <c r="R21" i="3" s="1"/>
  <c r="V21" i="3" s="1"/>
  <c r="N20" i="3"/>
  <c r="R20" i="3" s="1"/>
  <c r="V20" i="3" s="1"/>
  <c r="N18" i="3"/>
  <c r="R18" i="3" s="1"/>
  <c r="V18" i="3" s="1"/>
  <c r="N17" i="3"/>
  <c r="R17" i="3" s="1"/>
  <c r="V17" i="3" s="1"/>
  <c r="N15" i="3"/>
  <c r="R15" i="3" s="1"/>
  <c r="V15" i="3" s="1"/>
  <c r="N14" i="3"/>
  <c r="R14" i="3" s="1"/>
  <c r="V14" i="3" s="1"/>
  <c r="N34" i="3"/>
  <c r="R34" i="3" s="1"/>
  <c r="V34" i="3" s="1"/>
  <c r="Z34" i="3" s="1"/>
  <c r="N9" i="3"/>
  <c r="R9" i="3" s="1"/>
  <c r="V9" i="3" s="1"/>
  <c r="AD20" i="3"/>
  <c r="Q7" i="2"/>
  <c r="Z49" i="3" l="1"/>
  <c r="Z43" i="3"/>
  <c r="Z31" i="3"/>
  <c r="Z40" i="3"/>
  <c r="Z55" i="3"/>
  <c r="Z37" i="3"/>
  <c r="Z22" i="3"/>
  <c r="Z16" i="3"/>
  <c r="Z17" i="3"/>
  <c r="Z23" i="3"/>
  <c r="Z29" i="3"/>
  <c r="Z50" i="3"/>
  <c r="Z14" i="3"/>
  <c r="Z20" i="3"/>
  <c r="Z26" i="3"/>
  <c r="Z32" i="3"/>
  <c r="Z35" i="3"/>
  <c r="Z41" i="3"/>
  <c r="Z53" i="3"/>
  <c r="Z8" i="3"/>
  <c r="Z38" i="3"/>
  <c r="V36" i="2"/>
  <c r="Z34" i="4"/>
  <c r="Z49" i="4"/>
  <c r="Z61" i="4"/>
  <c r="Z37" i="4"/>
  <c r="Z58" i="4"/>
  <c r="Z40" i="4"/>
  <c r="N5" i="4"/>
  <c r="R5" i="4" s="1"/>
  <c r="V5" i="4" s="1"/>
  <c r="Z44" i="4" s="1"/>
  <c r="Z43" i="4"/>
  <c r="Z22" i="4"/>
  <c r="N6" i="4"/>
  <c r="R6" i="4" s="1"/>
  <c r="V6" i="4" s="1"/>
  <c r="Z27" i="4" s="1"/>
  <c r="Z16" i="4"/>
  <c r="Z28" i="4"/>
  <c r="Z10" i="4"/>
  <c r="Z38" i="4"/>
  <c r="Z41" i="4"/>
  <c r="Z8" i="4"/>
  <c r="Z14" i="4"/>
  <c r="Z12" i="4"/>
  <c r="Z11" i="4"/>
  <c r="Z53" i="4"/>
  <c r="Z26" i="4"/>
  <c r="Z29" i="4"/>
  <c r="Z47" i="4"/>
  <c r="Z20" i="4"/>
  <c r="Z23" i="4"/>
  <c r="Z56" i="4"/>
  <c r="Z17" i="4"/>
  <c r="Z21" i="4"/>
  <c r="AA22" i="4" s="1"/>
  <c r="Z45" i="4"/>
  <c r="Z57" i="4"/>
  <c r="Z33" i="4"/>
  <c r="Z31" i="4"/>
  <c r="Z42" i="4"/>
  <c r="Z25" i="4"/>
  <c r="Z19" i="4"/>
  <c r="Z32" i="4"/>
  <c r="Z18" i="4"/>
  <c r="Z35" i="4"/>
  <c r="Z52" i="4"/>
  <c r="Z15" i="4"/>
  <c r="Z59" i="4"/>
  <c r="Z54" i="4"/>
  <c r="Z46" i="3"/>
  <c r="Z56" i="3"/>
  <c r="Z58" i="3"/>
  <c r="Z19" i="3"/>
  <c r="Z61" i="3"/>
  <c r="Z59" i="3"/>
  <c r="Z47" i="3"/>
  <c r="Z10" i="3"/>
  <c r="N6" i="3"/>
  <c r="R6" i="3" s="1"/>
  <c r="V6" i="3" s="1"/>
  <c r="Z30" i="3" s="1"/>
  <c r="AB31" i="3" s="1"/>
  <c r="N13" i="3"/>
  <c r="R13" i="3" s="1"/>
  <c r="V13" i="3" s="1"/>
  <c r="Z13" i="3" s="1"/>
  <c r="W20" i="2"/>
  <c r="V20" i="2"/>
  <c r="V49" i="2"/>
  <c r="W49" i="2"/>
  <c r="V37" i="2"/>
  <c r="W37" i="2"/>
  <c r="W48" i="2"/>
  <c r="V48" i="2"/>
  <c r="V6" i="2"/>
  <c r="W6" i="2"/>
  <c r="W55" i="2"/>
  <c r="V55" i="2"/>
  <c r="W39" i="2"/>
  <c r="V39" i="2"/>
  <c r="V53" i="2"/>
  <c r="W53" i="2"/>
  <c r="V45" i="2"/>
  <c r="W45" i="2"/>
  <c r="V13" i="2"/>
  <c r="W13" i="2"/>
  <c r="W12" i="2"/>
  <c r="V12" i="2"/>
  <c r="V46" i="2"/>
  <c r="W46" i="2"/>
  <c r="V9" i="2"/>
  <c r="W9" i="2"/>
  <c r="W15" i="2"/>
  <c r="V15" i="2"/>
  <c r="V21" i="2"/>
  <c r="W21" i="2"/>
  <c r="W8" i="2"/>
  <c r="V8" i="2"/>
  <c r="W24" i="2"/>
  <c r="V24" i="2"/>
  <c r="V25" i="2"/>
  <c r="W25" i="2"/>
  <c r="W44" i="2"/>
  <c r="V44" i="2"/>
  <c r="W28" i="2"/>
  <c r="V28" i="2"/>
  <c r="V38" i="2"/>
  <c r="W38" i="2"/>
  <c r="V10" i="2"/>
  <c r="W10" i="2"/>
  <c r="V26" i="2"/>
  <c r="W26" i="2"/>
  <c r="V42" i="2"/>
  <c r="W42" i="2"/>
  <c r="W56" i="2"/>
  <c r="V56" i="2"/>
  <c r="W23" i="2"/>
  <c r="V23" i="2"/>
  <c r="W27" i="2"/>
  <c r="V27" i="2"/>
  <c r="V54" i="2"/>
  <c r="W54" i="2"/>
  <c r="V41" i="2"/>
  <c r="W41" i="2"/>
  <c r="W52" i="2"/>
  <c r="V52" i="2"/>
  <c r="W19" i="2"/>
  <c r="V19" i="2"/>
  <c r="W47" i="2"/>
  <c r="V47" i="2"/>
  <c r="W35" i="2"/>
  <c r="V35" i="2"/>
  <c r="V18" i="2"/>
  <c r="W18" i="2"/>
  <c r="W14" i="2"/>
  <c r="V14" i="2"/>
  <c r="W43" i="2"/>
  <c r="V43" i="2"/>
  <c r="V17" i="2"/>
  <c r="W17" i="2"/>
  <c r="V22" i="2"/>
  <c r="W22" i="2"/>
  <c r="W16" i="2"/>
  <c r="V16" i="2"/>
  <c r="W51" i="2"/>
  <c r="V51" i="2"/>
  <c r="V34" i="2"/>
  <c r="W34" i="2"/>
  <c r="V50" i="2"/>
  <c r="W50" i="2"/>
  <c r="X25" i="4"/>
  <c r="Y25" i="4" s="1"/>
  <c r="AH11" i="4" s="1"/>
  <c r="X16" i="3"/>
  <c r="Y16" i="3" s="1"/>
  <c r="AH8" i="3" s="1"/>
  <c r="W16" i="3"/>
  <c r="AG8" i="3" s="1"/>
  <c r="X28" i="3"/>
  <c r="Y28" i="3" s="1"/>
  <c r="AH12" i="3" s="1"/>
  <c r="W28" i="3"/>
  <c r="AG12" i="3" s="1"/>
  <c r="X40" i="4"/>
  <c r="Y40" i="4" s="1"/>
  <c r="AH16" i="4" s="1"/>
  <c r="W40" i="4"/>
  <c r="AG16" i="4" s="1"/>
  <c r="W19" i="4"/>
  <c r="AG9" i="4" s="1"/>
  <c r="X19" i="4"/>
  <c r="Y19" i="4" s="1"/>
  <c r="AH9" i="4" s="1"/>
  <c r="W37" i="3"/>
  <c r="AG15" i="3" s="1"/>
  <c r="X37" i="3"/>
  <c r="Y37" i="3" s="1"/>
  <c r="AH15" i="3" s="1"/>
  <c r="W10" i="3"/>
  <c r="AG6" i="3" s="1"/>
  <c r="X10" i="3"/>
  <c r="Y10" i="3" s="1"/>
  <c r="AH6" i="3" s="1"/>
  <c r="X49" i="4"/>
  <c r="Y49" i="4" s="1"/>
  <c r="AH19" i="4" s="1"/>
  <c r="W49" i="4"/>
  <c r="AG19" i="4" s="1"/>
  <c r="X37" i="4"/>
  <c r="Y37" i="4" s="1"/>
  <c r="AH15" i="4" s="1"/>
  <c r="W37" i="4"/>
  <c r="AG15" i="4" s="1"/>
  <c r="T52" i="4"/>
  <c r="U52" i="4" s="1"/>
  <c r="AF20" i="4" s="1"/>
  <c r="V50" i="4"/>
  <c r="Z50" i="4" s="1"/>
  <c r="W25" i="4"/>
  <c r="AG11" i="4" s="1"/>
  <c r="W22" i="3"/>
  <c r="AG10" i="3" s="1"/>
  <c r="X22" i="3"/>
  <c r="Y22" i="3" s="1"/>
  <c r="AH10" i="3" s="1"/>
  <c r="X40" i="3"/>
  <c r="Y40" i="3" s="1"/>
  <c r="AH16" i="3" s="1"/>
  <c r="W40" i="3"/>
  <c r="AG16" i="3" s="1"/>
  <c r="X13" i="4"/>
  <c r="Y13" i="4" s="1"/>
  <c r="AH7" i="4" s="1"/>
  <c r="W13" i="4"/>
  <c r="AG7" i="4" s="1"/>
  <c r="X34" i="4"/>
  <c r="Y34" i="4" s="1"/>
  <c r="AH14" i="4" s="1"/>
  <c r="W34" i="4"/>
  <c r="AG14" i="4" s="1"/>
  <c r="W31" i="4"/>
  <c r="AG13" i="4" s="1"/>
  <c r="X31" i="4"/>
  <c r="Y31" i="4" s="1"/>
  <c r="AH13" i="4" s="1"/>
  <c r="W34" i="3"/>
  <c r="AG14" i="3" s="1"/>
  <c r="X34" i="3"/>
  <c r="Y34" i="3" s="1"/>
  <c r="AH14" i="3" s="1"/>
  <c r="X19" i="3"/>
  <c r="Y19" i="3" s="1"/>
  <c r="AH9" i="3" s="1"/>
  <c r="W19" i="3"/>
  <c r="AG9" i="3" s="1"/>
  <c r="W25" i="3"/>
  <c r="AG11" i="3" s="1"/>
  <c r="X25" i="3"/>
  <c r="Y25" i="3" s="1"/>
  <c r="AH11" i="3" s="1"/>
  <c r="X31" i="3"/>
  <c r="Y31" i="3" s="1"/>
  <c r="AH13" i="3" s="1"/>
  <c r="W31" i="3"/>
  <c r="AG13" i="3" s="1"/>
  <c r="X43" i="3"/>
  <c r="Y43" i="3" s="1"/>
  <c r="AH17" i="3" s="1"/>
  <c r="W43" i="3"/>
  <c r="AG17" i="3" s="1"/>
  <c r="X52" i="3"/>
  <c r="Y52" i="3" s="1"/>
  <c r="AH20" i="3" s="1"/>
  <c r="W52" i="3"/>
  <c r="AG20" i="3" s="1"/>
  <c r="X10" i="4"/>
  <c r="Y10" i="4" s="1"/>
  <c r="AH6" i="4" s="1"/>
  <c r="W10" i="4"/>
  <c r="AG6" i="4" s="1"/>
  <c r="X55" i="4"/>
  <c r="Y55" i="4" s="1"/>
  <c r="AH21" i="4" s="1"/>
  <c r="W55" i="4"/>
  <c r="AG21" i="4" s="1"/>
  <c r="X22" i="4"/>
  <c r="Y22" i="4" s="1"/>
  <c r="AH10" i="4" s="1"/>
  <c r="W22" i="4"/>
  <c r="AG10" i="4" s="1"/>
  <c r="W43" i="4"/>
  <c r="AG17" i="4" s="1"/>
  <c r="X43" i="4"/>
  <c r="Y43" i="4" s="1"/>
  <c r="AH17" i="4" s="1"/>
  <c r="X49" i="3"/>
  <c r="Y49" i="3" s="1"/>
  <c r="AH19" i="3" s="1"/>
  <c r="W49" i="3"/>
  <c r="AG19" i="3" s="1"/>
  <c r="W7" i="4"/>
  <c r="AG5" i="4" s="1"/>
  <c r="X7" i="4"/>
  <c r="Y7" i="4" s="1"/>
  <c r="AH5" i="4" s="1"/>
  <c r="X28" i="4"/>
  <c r="Y28" i="4" s="1"/>
  <c r="AH12" i="4" s="1"/>
  <c r="W28" i="4"/>
  <c r="AG12" i="4" s="1"/>
  <c r="X16" i="4"/>
  <c r="Y16" i="4" s="1"/>
  <c r="AH8" i="4" s="1"/>
  <c r="W16" i="4"/>
  <c r="AG8" i="4" s="1"/>
  <c r="T46" i="4"/>
  <c r="U46" i="4" s="1"/>
  <c r="AF18" i="4" s="1"/>
  <c r="V46" i="4"/>
  <c r="Z46" i="4" s="1"/>
  <c r="S52" i="4"/>
  <c r="AE20" i="4" s="1"/>
  <c r="N11" i="3"/>
  <c r="R11" i="3" s="1"/>
  <c r="S46" i="4"/>
  <c r="AE18" i="4" s="1"/>
  <c r="N54" i="3"/>
  <c r="R54" i="3" s="1"/>
  <c r="V54" i="3" s="1"/>
  <c r="T7" i="4"/>
  <c r="U7" i="4" s="1"/>
  <c r="AF5" i="4" s="1"/>
  <c r="S7" i="4"/>
  <c r="AE5" i="4" s="1"/>
  <c r="S55" i="4"/>
  <c r="AE21" i="4" s="1"/>
  <c r="T55" i="4"/>
  <c r="U55" i="4" s="1"/>
  <c r="AF21" i="4" s="1"/>
  <c r="S25" i="4"/>
  <c r="AE11" i="4" s="1"/>
  <c r="T25" i="4"/>
  <c r="U25" i="4" s="1"/>
  <c r="AF11" i="4" s="1"/>
  <c r="S49" i="4"/>
  <c r="AE19" i="4" s="1"/>
  <c r="T49" i="4"/>
  <c r="U49" i="4" s="1"/>
  <c r="AF19" i="4" s="1"/>
  <c r="T13" i="4"/>
  <c r="U13" i="4" s="1"/>
  <c r="AF7" i="4" s="1"/>
  <c r="S13" i="4"/>
  <c r="AE7" i="4" s="1"/>
  <c r="S28" i="4"/>
  <c r="AE12" i="4" s="1"/>
  <c r="T28" i="4"/>
  <c r="U28" i="4" s="1"/>
  <c r="AF12" i="4" s="1"/>
  <c r="S34" i="4"/>
  <c r="AE14" i="4" s="1"/>
  <c r="T34" i="4"/>
  <c r="U34" i="4" s="1"/>
  <c r="AF14" i="4" s="1"/>
  <c r="S40" i="4"/>
  <c r="AE16" i="4" s="1"/>
  <c r="T40" i="4"/>
  <c r="U40" i="4" s="1"/>
  <c r="AF16" i="4" s="1"/>
  <c r="T16" i="4"/>
  <c r="U16" i="4" s="1"/>
  <c r="AF8" i="4" s="1"/>
  <c r="S16" i="4"/>
  <c r="AE8" i="4" s="1"/>
  <c r="T31" i="4"/>
  <c r="U31" i="4" s="1"/>
  <c r="AF13" i="4" s="1"/>
  <c r="S31" i="4"/>
  <c r="AE13" i="4" s="1"/>
  <c r="T43" i="4"/>
  <c r="U43" i="4" s="1"/>
  <c r="AF17" i="4" s="1"/>
  <c r="S43" i="4"/>
  <c r="AE17" i="4" s="1"/>
  <c r="S10" i="4"/>
  <c r="AE6" i="4" s="1"/>
  <c r="T10" i="4"/>
  <c r="U10" i="4" s="1"/>
  <c r="AF6" i="4" s="1"/>
  <c r="T19" i="4"/>
  <c r="U19" i="4" s="1"/>
  <c r="AF9" i="4" s="1"/>
  <c r="S19" i="4"/>
  <c r="AE9" i="4" s="1"/>
  <c r="T22" i="4"/>
  <c r="U22" i="4" s="1"/>
  <c r="AF10" i="4" s="1"/>
  <c r="S22" i="4"/>
  <c r="AE10" i="4" s="1"/>
  <c r="T37" i="4"/>
  <c r="U37" i="4" s="1"/>
  <c r="AF15" i="4" s="1"/>
  <c r="S37" i="4"/>
  <c r="AE15" i="4" s="1"/>
  <c r="T52" i="3"/>
  <c r="U52" i="3" s="1"/>
  <c r="AF20" i="3" s="1"/>
  <c r="S52" i="3"/>
  <c r="AE20" i="3" s="1"/>
  <c r="S34" i="3"/>
  <c r="AE14" i="3" s="1"/>
  <c r="T34" i="3"/>
  <c r="U34" i="3" s="1"/>
  <c r="AF14" i="3" s="1"/>
  <c r="T16" i="3"/>
  <c r="U16" i="3" s="1"/>
  <c r="AF8" i="3" s="1"/>
  <c r="S16" i="3"/>
  <c r="AE8" i="3" s="1"/>
  <c r="T19" i="3"/>
  <c r="U19" i="3" s="1"/>
  <c r="AF9" i="3" s="1"/>
  <c r="S19" i="3"/>
  <c r="AE9" i="3" s="1"/>
  <c r="T22" i="3"/>
  <c r="U22" i="3" s="1"/>
  <c r="AF10" i="3" s="1"/>
  <c r="S22" i="3"/>
  <c r="AE10" i="3" s="1"/>
  <c r="T25" i="3"/>
  <c r="U25" i="3" s="1"/>
  <c r="AF11" i="3" s="1"/>
  <c r="S25" i="3"/>
  <c r="AE11" i="3" s="1"/>
  <c r="T31" i="3"/>
  <c r="U31" i="3" s="1"/>
  <c r="AF13" i="3" s="1"/>
  <c r="S31" i="3"/>
  <c r="AE13" i="3" s="1"/>
  <c r="S40" i="3"/>
  <c r="AE16" i="3" s="1"/>
  <c r="T40" i="3"/>
  <c r="U40" i="3" s="1"/>
  <c r="AF16" i="3" s="1"/>
  <c r="T43" i="3"/>
  <c r="U43" i="3" s="1"/>
  <c r="AF17" i="3" s="1"/>
  <c r="S43" i="3"/>
  <c r="AE17" i="3" s="1"/>
  <c r="S28" i="3"/>
  <c r="AE12" i="3" s="1"/>
  <c r="T28" i="3"/>
  <c r="U28" i="3" s="1"/>
  <c r="AF12" i="3" s="1"/>
  <c r="T37" i="3"/>
  <c r="U37" i="3" s="1"/>
  <c r="AF15" i="3" s="1"/>
  <c r="S37" i="3"/>
  <c r="AE15" i="3" s="1"/>
  <c r="S49" i="3"/>
  <c r="AE19" i="3" s="1"/>
  <c r="T49" i="3"/>
  <c r="U49" i="3" s="1"/>
  <c r="AF19" i="3" s="1"/>
  <c r="S10" i="3"/>
  <c r="AE6" i="3" s="1"/>
  <c r="T10" i="3"/>
  <c r="U10" i="3" s="1"/>
  <c r="AF6" i="3" s="1"/>
  <c r="S13" i="3" l="1"/>
  <c r="AE7" i="3" s="1"/>
  <c r="AA13" i="4"/>
  <c r="AA46" i="4"/>
  <c r="AB13" i="4"/>
  <c r="Z9" i="4"/>
  <c r="AB10" i="4" s="1"/>
  <c r="Z51" i="4"/>
  <c r="AB52" i="4" s="1"/>
  <c r="Z60" i="4"/>
  <c r="AB61" i="4" s="1"/>
  <c r="Z48" i="4"/>
  <c r="AA49" i="4" s="1"/>
  <c r="Z36" i="4"/>
  <c r="AB37" i="4" s="1"/>
  <c r="Z39" i="4"/>
  <c r="AB46" i="4"/>
  <c r="Z55" i="4"/>
  <c r="AB55" i="4" s="1"/>
  <c r="AA43" i="4"/>
  <c r="Z24" i="4"/>
  <c r="AB25" i="4" s="1"/>
  <c r="Z30" i="4"/>
  <c r="AA31" i="4" s="1"/>
  <c r="W7" i="3"/>
  <c r="AG5" i="3" s="1"/>
  <c r="Z27" i="3"/>
  <c r="AA28" i="3" s="1"/>
  <c r="T7" i="3"/>
  <c r="U7" i="3" s="1"/>
  <c r="AF5" i="3" s="1"/>
  <c r="Z54" i="3"/>
  <c r="AB55" i="3" s="1"/>
  <c r="Z42" i="3"/>
  <c r="AA43" i="3" s="1"/>
  <c r="S7" i="3"/>
  <c r="AE5" i="3" s="1"/>
  <c r="Z51" i="3"/>
  <c r="AB52" i="3" s="1"/>
  <c r="AA34" i="4"/>
  <c r="AB34" i="4"/>
  <c r="AA25" i="4"/>
  <c r="AB31" i="4"/>
  <c r="AB40" i="4"/>
  <c r="AA40" i="4"/>
  <c r="AB19" i="4"/>
  <c r="AA19" i="4"/>
  <c r="AA55" i="4"/>
  <c r="AB22" i="4"/>
  <c r="AB28" i="4"/>
  <c r="AA28" i="4"/>
  <c r="AB16" i="4"/>
  <c r="AA16" i="4"/>
  <c r="AA58" i="4"/>
  <c r="AB58" i="4"/>
  <c r="AA61" i="4"/>
  <c r="AB43" i="4"/>
  <c r="Z39" i="3"/>
  <c r="Z21" i="3"/>
  <c r="X7" i="3"/>
  <c r="Y7" i="3" s="1"/>
  <c r="AH5" i="3" s="1"/>
  <c r="Z36" i="3"/>
  <c r="AB37" i="3" s="1"/>
  <c r="Z45" i="3"/>
  <c r="AB46" i="3" s="1"/>
  <c r="Z57" i="3"/>
  <c r="AB58" i="3" s="1"/>
  <c r="Z60" i="3"/>
  <c r="AA61" i="3" s="1"/>
  <c r="Z48" i="3"/>
  <c r="AA49" i="3" s="1"/>
  <c r="Z24" i="3"/>
  <c r="AB25" i="3" s="1"/>
  <c r="Z33" i="3"/>
  <c r="Z18" i="3"/>
  <c r="AB19" i="3" s="1"/>
  <c r="Z12" i="3"/>
  <c r="Z9" i="3"/>
  <c r="AB10" i="3" s="1"/>
  <c r="AA52" i="3"/>
  <c r="Z15" i="3"/>
  <c r="AB16" i="3" s="1"/>
  <c r="W55" i="3"/>
  <c r="AG21" i="3" s="1"/>
  <c r="AA31" i="3"/>
  <c r="AA58" i="3"/>
  <c r="AA46" i="3"/>
  <c r="T55" i="3"/>
  <c r="U55" i="3" s="1"/>
  <c r="AF21" i="3" s="1"/>
  <c r="W52" i="4"/>
  <c r="AG20" i="4" s="1"/>
  <c r="X52" i="4"/>
  <c r="Y52" i="4" s="1"/>
  <c r="AH20" i="4" s="1"/>
  <c r="X55" i="3"/>
  <c r="Y55" i="3" s="1"/>
  <c r="AH21" i="3" s="1"/>
  <c r="W46" i="4"/>
  <c r="AG18" i="4" s="1"/>
  <c r="X46" i="4"/>
  <c r="Y46" i="4" s="1"/>
  <c r="AH18" i="4" s="1"/>
  <c r="S55" i="3"/>
  <c r="AE21" i="3" s="1"/>
  <c r="T13" i="3"/>
  <c r="U13" i="3" s="1"/>
  <c r="AF7" i="3" s="1"/>
  <c r="V11" i="3"/>
  <c r="Z11" i="3" s="1"/>
  <c r="AA37" i="3" l="1"/>
  <c r="AB43" i="3"/>
  <c r="AA37" i="4"/>
  <c r="AA52" i="4"/>
  <c r="AB49" i="4"/>
  <c r="AA10" i="4"/>
  <c r="AB28" i="3"/>
  <c r="AA13" i="3"/>
  <c r="AB13" i="3"/>
  <c r="AB61" i="3"/>
  <c r="AA19" i="3"/>
  <c r="AA25" i="3"/>
  <c r="AA22" i="3"/>
  <c r="AB22" i="3"/>
  <c r="AB49" i="3"/>
  <c r="AA34" i="3"/>
  <c r="AB34" i="3"/>
  <c r="AB40" i="3"/>
  <c r="AA40" i="3"/>
  <c r="AA55" i="3"/>
  <c r="AA10" i="3"/>
  <c r="AA16" i="3"/>
  <c r="W13" i="3"/>
  <c r="AG7" i="3" s="1"/>
  <c r="X13" i="3"/>
  <c r="Y13" i="3" s="1"/>
  <c r="AH7" i="3" s="1"/>
</calcChain>
</file>

<file path=xl/sharedStrings.xml><?xml version="1.0" encoding="utf-8"?>
<sst xmlns="http://schemas.openxmlformats.org/spreadsheetml/2006/main" count="493" uniqueCount="109">
  <si>
    <t>Spirulina (CeBER and UTEX #1926 strain) growth curves</t>
  </si>
  <si>
    <t>CeBER strain</t>
  </si>
  <si>
    <t>Date</t>
  </si>
  <si>
    <t>Time</t>
  </si>
  <si>
    <t>Hours</t>
  </si>
  <si>
    <t>Days</t>
  </si>
  <si>
    <t>Absorbance at 750 nm</t>
  </si>
  <si>
    <t>Biomass concentration (g/L)</t>
  </si>
  <si>
    <t>Ln of biomass conc.</t>
  </si>
  <si>
    <t>Average biomass concentration</t>
  </si>
  <si>
    <t>Average Ln of biomass concentration</t>
  </si>
  <si>
    <t>Growth rate</t>
  </si>
  <si>
    <t>g/L</t>
  </si>
  <si>
    <t>17/08/2021</t>
  </si>
  <si>
    <t>18/08/2021</t>
  </si>
  <si>
    <t>19/08/2021</t>
  </si>
  <si>
    <t>20/08/2021</t>
  </si>
  <si>
    <t>21/08/2021</t>
  </si>
  <si>
    <t>22/08/2021</t>
  </si>
  <si>
    <t>23/08/2021</t>
  </si>
  <si>
    <t>24/08/2021</t>
  </si>
  <si>
    <t>25/08/2021</t>
  </si>
  <si>
    <t>26/08/2021</t>
  </si>
  <si>
    <t>27/08/2021</t>
  </si>
  <si>
    <t>28/08/2021</t>
  </si>
  <si>
    <t>29/08/2021</t>
  </si>
  <si>
    <t>30/08/2021</t>
  </si>
  <si>
    <t>31/08/2021</t>
  </si>
  <si>
    <t>01/09/2021</t>
  </si>
  <si>
    <t>02/09/2021</t>
  </si>
  <si>
    <t>03/09/2021</t>
  </si>
  <si>
    <t>04/09/2021</t>
  </si>
  <si>
    <t>05/09/2021</t>
  </si>
  <si>
    <t>UTEX #1926 strain</t>
  </si>
  <si>
    <t>620 (Blank)</t>
  </si>
  <si>
    <t>650 (Blank)</t>
  </si>
  <si>
    <t>Biomass concentration</t>
  </si>
  <si>
    <t>Amount of biomass</t>
  </si>
  <si>
    <t>Error</t>
  </si>
  <si>
    <t>nm</t>
  </si>
  <si>
    <t>mg/ml</t>
  </si>
  <si>
    <t>g/l</t>
  </si>
  <si>
    <t>g</t>
  </si>
  <si>
    <t>Nitrate content determination</t>
  </si>
  <si>
    <t>Day</t>
  </si>
  <si>
    <t>Blank</t>
  </si>
  <si>
    <t>Average N content</t>
  </si>
  <si>
    <t>N concentration</t>
  </si>
  <si>
    <t>µg</t>
  </si>
  <si>
    <t>Lab work by: Karen Ssekimpi</t>
  </si>
  <si>
    <t>Project Leader: A. Prof. Marijke Fagan-Endres, Prof. Sue Harrison, Dr Mariette Smart</t>
  </si>
  <si>
    <t>all assays by Karen Ssekimpi</t>
  </si>
  <si>
    <t>Start date:</t>
  </si>
  <si>
    <t>End date:</t>
  </si>
  <si>
    <t>Table of Contents</t>
  </si>
  <si>
    <t>Sheet #</t>
  </si>
  <si>
    <t>Description</t>
  </si>
  <si>
    <t xml:space="preserve">Information Sheet </t>
  </si>
  <si>
    <t>Details experiments conducted</t>
  </si>
  <si>
    <r>
      <t>NO</t>
    </r>
    <r>
      <rPr>
        <vertAlign val="sub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 xml:space="preserve"> concentration</t>
    </r>
  </si>
  <si>
    <r>
      <t>Average NO</t>
    </r>
    <r>
      <rPr>
        <vertAlign val="sub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 xml:space="preserve"> concentration</t>
    </r>
  </si>
  <si>
    <t>Average growth rate</t>
  </si>
  <si>
    <t>Standard error</t>
  </si>
  <si>
    <t>/h</t>
  </si>
  <si>
    <t>Biomass productivity</t>
  </si>
  <si>
    <t>g/L.h</t>
  </si>
  <si>
    <t>Average biomass productivity</t>
  </si>
  <si>
    <t>C-phycocyanin content from CeBER Spirulina</t>
  </si>
  <si>
    <t>C-phycocyanin concentration</t>
  </si>
  <si>
    <t>Average CPC conc.</t>
  </si>
  <si>
    <t>OD at 750</t>
  </si>
  <si>
    <t>Specific CPC conc.</t>
  </si>
  <si>
    <t>Average specific CPC conc.</t>
  </si>
  <si>
    <t>Standard deviation</t>
  </si>
  <si>
    <t>Total CPC</t>
  </si>
  <si>
    <t>Average total CPC</t>
  </si>
  <si>
    <t>Standard Error</t>
  </si>
  <si>
    <t>mg CPC/g biomass</t>
  </si>
  <si>
    <t>mg CPC/L</t>
  </si>
  <si>
    <t>C-phycocyanin content from UTEX #1926 Spirulina</t>
  </si>
  <si>
    <t>OD at 410</t>
  </si>
  <si>
    <t>N content</t>
  </si>
  <si>
    <t>mol/L</t>
  </si>
  <si>
    <t>Growth curves</t>
  </si>
  <si>
    <t>C-phycocyanin CeBER</t>
  </si>
  <si>
    <t>C-phycocyanin UTEX #1926</t>
  </si>
  <si>
    <t>Nitrate content</t>
  </si>
  <si>
    <r>
      <rPr>
        <b/>
        <sz val="10"/>
        <color theme="1"/>
        <rFont val="Arial"/>
        <family val="2"/>
      </rPr>
      <t>Daily measurements:</t>
    </r>
    <r>
      <rPr>
        <sz val="10"/>
        <color theme="1"/>
        <rFont val="Arial"/>
        <family val="2"/>
      </rPr>
      <t xml:space="preserve"> Absorbance at 750 nm for biomass concentration, 620 and 650 nm for c-phycocyanin determination, and 410 nm for nitrate determination</t>
    </r>
  </si>
  <si>
    <r>
      <rPr>
        <i/>
        <sz val="11"/>
        <color theme="1"/>
        <rFont val="Arial"/>
        <family val="2"/>
      </rPr>
      <t>Spirulina</t>
    </r>
    <r>
      <rPr>
        <sz val="11"/>
        <color theme="1"/>
        <rFont val="Arial"/>
        <family val="2"/>
      </rPr>
      <t xml:space="preserve"> was grown in white light at 60 µmol/m^2.s. </t>
    </r>
  </si>
  <si>
    <r>
      <t xml:space="preserve">Details growth data achieved when growing both </t>
    </r>
    <r>
      <rPr>
        <i/>
        <sz val="11"/>
        <color theme="1"/>
        <rFont val="Arial"/>
        <family val="2"/>
      </rPr>
      <t>Spirulina</t>
    </r>
    <r>
      <rPr>
        <sz val="11"/>
        <color theme="1"/>
        <rFont val="Arial"/>
        <family val="2"/>
      </rPr>
      <t xml:space="preserve"> strains in white light at 60 µmol/m^2.s for 20 days. </t>
    </r>
  </si>
  <si>
    <r>
      <t xml:space="preserve">Details c-phycocyanin data achieved when growing the CeBER </t>
    </r>
    <r>
      <rPr>
        <i/>
        <sz val="11"/>
        <color theme="1"/>
        <rFont val="Arial"/>
        <family val="2"/>
      </rPr>
      <t>Spirulina</t>
    </r>
    <r>
      <rPr>
        <sz val="11"/>
        <color theme="1"/>
        <rFont val="Arial"/>
        <family val="2"/>
      </rPr>
      <t xml:space="preserve"> strain in white light at 60 µmol/m^2.s for 20 days. </t>
    </r>
  </si>
  <si>
    <r>
      <t xml:space="preserve">Details c-phycocyanin data achieved when growing the UTEX #1926 </t>
    </r>
    <r>
      <rPr>
        <i/>
        <sz val="11"/>
        <color theme="1"/>
        <rFont val="Arial"/>
        <family val="2"/>
      </rPr>
      <t>Spirulina</t>
    </r>
    <r>
      <rPr>
        <sz val="11"/>
        <color theme="1"/>
        <rFont val="Arial"/>
        <family val="2"/>
      </rPr>
      <t xml:space="preserve"> strain in white light at 60 µmol/m^2.s for 20 days. </t>
    </r>
  </si>
  <si>
    <r>
      <t xml:space="preserve">Details the nitrate data achieved when growing both </t>
    </r>
    <r>
      <rPr>
        <i/>
        <sz val="11"/>
        <color theme="1"/>
        <rFont val="Arial"/>
        <family val="2"/>
      </rPr>
      <t>Spirulina</t>
    </r>
    <r>
      <rPr>
        <sz val="11"/>
        <color theme="1"/>
        <rFont val="Arial"/>
        <family val="2"/>
      </rPr>
      <t xml:space="preserve"> strains in white light at 60 µmol/m^2.s. </t>
    </r>
  </si>
  <si>
    <r>
      <t xml:space="preserve">The two </t>
    </r>
    <r>
      <rPr>
        <i/>
        <sz val="11"/>
        <color theme="1"/>
        <rFont val="Arial"/>
        <family val="2"/>
      </rPr>
      <t>Spirulina</t>
    </r>
    <r>
      <rPr>
        <sz val="11"/>
        <color theme="1"/>
        <rFont val="Arial"/>
        <family val="2"/>
      </rPr>
      <t xml:space="preserve"> strains, a type strain obtained from the University of Texas culture collection (UTEX #1926) and a Centre for Bioprocess Engineering Research (CeBER) strain previously isolated from a local tannery wastewater dam, were grown at room temperature under different conditions. These conditions include fluorescent light, different coloured LEDs, and an additional nitrogen source.</t>
    </r>
  </si>
  <si>
    <t>CPC productivity</t>
  </si>
  <si>
    <t>Average CPC productivity</t>
  </si>
  <si>
    <t>mg CPC/L.h</t>
  </si>
  <si>
    <t>OD at 620 nm</t>
  </si>
  <si>
    <t>OD at 650 nm</t>
  </si>
  <si>
    <t>Reading 1</t>
  </si>
  <si>
    <t>Reading 2</t>
  </si>
  <si>
    <t>Bottle 1</t>
  </si>
  <si>
    <t>Bottle 2</t>
  </si>
  <si>
    <t>Bottle 3</t>
  </si>
  <si>
    <t>OD at 410 nm</t>
  </si>
  <si>
    <t>Redaing 1</t>
  </si>
  <si>
    <t>Reading 3</t>
  </si>
  <si>
    <t>Data extracted for plots</t>
  </si>
  <si>
    <r>
      <t xml:space="preserve">The biomass, c-phycocyanin, and nitrate content of two </t>
    </r>
    <r>
      <rPr>
        <i/>
        <sz val="14"/>
        <rFont val="Arial"/>
        <family val="2"/>
      </rPr>
      <t>Spirulina</t>
    </r>
    <r>
      <rPr>
        <sz val="14"/>
        <rFont val="Arial"/>
        <family val="2"/>
      </rPr>
      <t xml:space="preserve"> cultures grown in white light at 60 µmol/m^2.s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</si>
</sst>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[$-F400]h:mm:ss\ AM/PM"/>
    <numFmt numFmtId="165" formatCode="0.000"/>
    <numFmt numFmtId="166" formatCode="0.00000"/>
    <numFmt numFmtId="167" formatCode="[$-F800]dddd\,\ mmmm\ dd\,\ yyyy"/>
    <numFmt numFmtId="168" formatCode="0.0"/>
    <numFmt numFmtId="169" formatCode="0.000000"/>
    <numFmt numFmtId="170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2"/>
      <name val="Arial"/>
      <family val="2"/>
    </font>
    <font>
      <sz val="9"/>
      <color theme="1"/>
      <name val="Arial"/>
      <family val="2"/>
    </font>
    <font>
      <sz val="12"/>
      <color theme="1"/>
      <name val="Arial"/>
      <family val="2"/>
    </font>
    <font>
      <sz val="14"/>
      <name val="Arial"/>
      <family val="2"/>
    </font>
    <font>
      <i/>
      <sz val="14"/>
      <name val="Arial"/>
      <family val="2"/>
    </font>
    <font>
      <i/>
      <sz val="10"/>
      <color theme="1"/>
      <name val="Arial"/>
      <family val="2"/>
    </font>
    <font>
      <i/>
      <sz val="11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0"/>
      <name val="Arial"/>
      <family val="2"/>
    </font>
    <font>
      <b/>
      <sz val="11"/>
      <color theme="1"/>
      <name val="Arial"/>
      <family val="2"/>
    </font>
    <font>
      <vertAlign val="subscript"/>
      <sz val="10"/>
      <color theme="1"/>
      <name val="Arial"/>
      <family val="2"/>
    </font>
    <font>
      <i/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33993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AEECA"/>
        <bgColor indexed="64"/>
      </patternFill>
    </fill>
    <fill>
      <patternFill patternType="solid">
        <fgColor rgb="FF3B6A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1E8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40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 applyAlignment="1">
      <alignment vertical="top"/>
    </xf>
    <xf numFmtId="0" fontId="6" fillId="0" borderId="0" xfId="0" applyFont="1"/>
    <xf numFmtId="0" fontId="9" fillId="0" borderId="0" xfId="0" applyFont="1"/>
    <xf numFmtId="0" fontId="2" fillId="7" borderId="0" xfId="0" applyFont="1" applyFill="1" applyAlignment="1">
      <alignment horizontal="left" vertical="top" wrapText="1"/>
    </xf>
    <xf numFmtId="0" fontId="2" fillId="7" borderId="0" xfId="0" applyFont="1" applyFill="1" applyAlignment="1">
      <alignment horizontal="center" vertical="top" wrapText="1"/>
    </xf>
    <xf numFmtId="167" fontId="2" fillId="7" borderId="0" xfId="0" applyNumberFormat="1" applyFont="1" applyFill="1" applyAlignment="1">
      <alignment horizontal="left" vertical="top" wrapText="1"/>
    </xf>
    <xf numFmtId="0" fontId="2" fillId="7" borderId="18" xfId="0" applyFont="1" applyFill="1" applyBorder="1" applyAlignment="1">
      <alignment horizontal="left" vertical="top" wrapText="1"/>
    </xf>
    <xf numFmtId="0" fontId="2" fillId="7" borderId="18" xfId="0" applyFont="1" applyFill="1" applyBorder="1" applyAlignment="1">
      <alignment horizontal="center" vertical="top" wrapText="1"/>
    </xf>
    <xf numFmtId="167" fontId="2" fillId="7" borderId="18" xfId="0" applyNumberFormat="1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2" fillId="12" borderId="18" xfId="0" applyFont="1" applyFill="1" applyBorder="1" applyAlignment="1">
      <alignment vertical="top" wrapText="1"/>
    </xf>
    <xf numFmtId="0" fontId="12" fillId="8" borderId="18" xfId="0" applyFont="1" applyFill="1" applyBorder="1" applyAlignment="1">
      <alignment horizontal="center" vertical="top" wrapText="1"/>
    </xf>
    <xf numFmtId="0" fontId="12" fillId="7" borderId="18" xfId="0" applyFont="1" applyFill="1" applyBorder="1" applyAlignment="1">
      <alignment vertical="top" wrapText="1"/>
    </xf>
    <xf numFmtId="0" fontId="1" fillId="12" borderId="0" xfId="0" applyFont="1" applyFill="1" applyAlignment="1">
      <alignment vertical="top" wrapText="1"/>
    </xf>
    <xf numFmtId="0" fontId="1" fillId="8" borderId="0" xfId="0" applyFont="1" applyFill="1" applyAlignment="1">
      <alignment horizontal="center" vertical="top" wrapText="1"/>
    </xf>
    <xf numFmtId="0" fontId="1" fillId="7" borderId="0" xfId="0" applyFont="1" applyFill="1" applyAlignment="1">
      <alignment vertical="top" wrapText="1"/>
    </xf>
    <xf numFmtId="49" fontId="1" fillId="12" borderId="0" xfId="0" applyNumberFormat="1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4" borderId="10" xfId="0" applyFont="1" applyFill="1" applyBorder="1"/>
    <xf numFmtId="0" fontId="1" fillId="4" borderId="11" xfId="0" applyFont="1" applyFill="1" applyBorder="1"/>
    <xf numFmtId="0" fontId="1" fillId="4" borderId="12" xfId="0" applyFont="1" applyFill="1" applyBorder="1"/>
    <xf numFmtId="0" fontId="1" fillId="4" borderId="13" xfId="0" applyFont="1" applyFill="1" applyBorder="1"/>
    <xf numFmtId="0" fontId="1" fillId="4" borderId="12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2" fillId="0" borderId="16" xfId="0" applyFont="1" applyBorder="1"/>
    <xf numFmtId="165" fontId="2" fillId="0" borderId="15" xfId="0" applyNumberFormat="1" applyFont="1" applyBorder="1"/>
    <xf numFmtId="165" fontId="2" fillId="0" borderId="0" xfId="0" applyNumberFormat="1" applyFont="1"/>
    <xf numFmtId="167" fontId="2" fillId="0" borderId="15" xfId="0" applyNumberFormat="1" applyFont="1" applyBorder="1"/>
    <xf numFmtId="0" fontId="2" fillId="0" borderId="15" xfId="0" applyFont="1" applyBorder="1"/>
    <xf numFmtId="0" fontId="2" fillId="0" borderId="17" xfId="0" applyFont="1" applyBorder="1"/>
    <xf numFmtId="164" fontId="2" fillId="0" borderId="18" xfId="0" applyNumberFormat="1" applyFont="1" applyBorder="1"/>
    <xf numFmtId="0" fontId="2" fillId="0" borderId="18" xfId="0" applyFont="1" applyBorder="1"/>
    <xf numFmtId="0" fontId="2" fillId="0" borderId="19" xfId="0" applyFont="1" applyBorder="1"/>
    <xf numFmtId="167" fontId="2" fillId="0" borderId="17" xfId="0" applyNumberFormat="1" applyFont="1" applyBorder="1"/>
    <xf numFmtId="165" fontId="2" fillId="0" borderId="17" xfId="0" applyNumberFormat="1" applyFont="1" applyBorder="1"/>
    <xf numFmtId="165" fontId="2" fillId="0" borderId="18" xfId="0" applyNumberFormat="1" applyFont="1" applyBorder="1"/>
    <xf numFmtId="165" fontId="2" fillId="5" borderId="18" xfId="0" applyNumberFormat="1" applyFont="1" applyFill="1" applyBorder="1"/>
    <xf numFmtId="0" fontId="2" fillId="0" borderId="0" xfId="0" applyFont="1" applyAlignment="1">
      <alignment horizontal="center" vertical="center"/>
    </xf>
    <xf numFmtId="0" fontId="2" fillId="7" borderId="30" xfId="0" applyFont="1" applyFill="1" applyBorder="1" applyAlignment="1">
      <alignment horizontal="center" vertical="center"/>
    </xf>
    <xf numFmtId="0" fontId="2" fillId="7" borderId="23" xfId="0" applyFont="1" applyFill="1" applyBorder="1" applyAlignment="1">
      <alignment horizontal="center" vertical="center"/>
    </xf>
    <xf numFmtId="0" fontId="2" fillId="7" borderId="34" xfId="0" applyFont="1" applyFill="1" applyBorder="1" applyAlignment="1">
      <alignment horizontal="center" vertical="center" wrapText="1"/>
    </xf>
    <xf numFmtId="0" fontId="2" fillId="7" borderId="34" xfId="0" applyFont="1" applyFill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  <xf numFmtId="0" fontId="2" fillId="8" borderId="11" xfId="0" applyFont="1" applyFill="1" applyBorder="1" applyAlignment="1">
      <alignment horizontal="center" vertical="center"/>
    </xf>
    <xf numFmtId="0" fontId="2" fillId="8" borderId="13" xfId="0" applyFont="1" applyFill="1" applyBorder="1" applyAlignment="1">
      <alignment horizontal="center" vertical="center"/>
    </xf>
    <xf numFmtId="0" fontId="2" fillId="8" borderId="14" xfId="0" applyFont="1" applyFill="1" applyBorder="1" applyAlignment="1">
      <alignment horizontal="center" vertical="center"/>
    </xf>
    <xf numFmtId="0" fontId="2" fillId="8" borderId="12" xfId="0" applyFont="1" applyFill="1" applyBorder="1" applyAlignment="1">
      <alignment horizontal="center" vertical="center"/>
    </xf>
    <xf numFmtId="0" fontId="2" fillId="8" borderId="12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5" fontId="2" fillId="0" borderId="15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165" fontId="2" fillId="0" borderId="22" xfId="0" applyNumberFormat="1" applyFont="1" applyBorder="1" applyAlignment="1">
      <alignment horizontal="center" vertical="center"/>
    </xf>
    <xf numFmtId="165" fontId="2" fillId="0" borderId="23" xfId="0" applyNumberFormat="1" applyFont="1" applyBorder="1" applyAlignment="1">
      <alignment horizontal="center" vertical="center"/>
    </xf>
    <xf numFmtId="169" fontId="2" fillId="0" borderId="23" xfId="0" applyNumberFormat="1" applyFont="1" applyBorder="1" applyAlignment="1">
      <alignment horizontal="center" vertical="center"/>
    </xf>
    <xf numFmtId="2" fontId="2" fillId="0" borderId="23" xfId="0" applyNumberFormat="1" applyFont="1" applyBorder="1" applyAlignment="1">
      <alignment horizontal="center" vertical="center" wrapText="1"/>
    </xf>
    <xf numFmtId="2" fontId="2" fillId="9" borderId="23" xfId="0" applyNumberFormat="1" applyFont="1" applyFill="1" applyBorder="1" applyAlignment="1">
      <alignment horizontal="center" vertical="center"/>
    </xf>
    <xf numFmtId="2" fontId="2" fillId="0" borderId="23" xfId="0" applyNumberFormat="1" applyFont="1" applyBorder="1" applyAlignment="1">
      <alignment horizontal="center" vertical="center"/>
    </xf>
    <xf numFmtId="165" fontId="2" fillId="0" borderId="11" xfId="0" applyNumberFormat="1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65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65" fontId="2" fillId="0" borderId="18" xfId="0" applyNumberFormat="1" applyFont="1" applyBorder="1" applyAlignment="1">
      <alignment horizontal="center" vertical="center"/>
    </xf>
    <xf numFmtId="169" fontId="2" fillId="0" borderId="18" xfId="0" applyNumberFormat="1" applyFont="1" applyBorder="1" applyAlignment="1">
      <alignment horizontal="center" vertical="center"/>
    </xf>
    <xf numFmtId="2" fontId="2" fillId="0" borderId="18" xfId="0" applyNumberFormat="1" applyFont="1" applyBorder="1" applyAlignment="1">
      <alignment horizontal="center" vertical="center" wrapText="1"/>
    </xf>
    <xf numFmtId="2" fontId="2" fillId="9" borderId="18" xfId="0" applyNumberFormat="1" applyFont="1" applyFill="1" applyBorder="1" applyAlignment="1">
      <alignment horizontal="center" vertical="center"/>
    </xf>
    <xf numFmtId="2" fontId="2" fillId="0" borderId="18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7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5" fontId="2" fillId="0" borderId="16" xfId="0" applyNumberFormat="1" applyFont="1" applyBorder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165" fontId="2" fillId="0" borderId="23" xfId="0" applyNumberFormat="1" applyFont="1" applyBorder="1" applyAlignment="1">
      <alignment horizontal="center"/>
    </xf>
    <xf numFmtId="2" fontId="2" fillId="9" borderId="23" xfId="0" applyNumberFormat="1" applyFont="1" applyFill="1" applyBorder="1" applyAlignment="1">
      <alignment horizontal="center"/>
    </xf>
    <xf numFmtId="2" fontId="2" fillId="0" borderId="23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165" fontId="2" fillId="0" borderId="18" xfId="0" applyNumberFormat="1" applyFont="1" applyBorder="1" applyAlignment="1">
      <alignment horizontal="center"/>
    </xf>
    <xf numFmtId="2" fontId="2" fillId="9" borderId="18" xfId="0" applyNumberFormat="1" applyFont="1" applyFill="1" applyBorder="1" applyAlignment="1">
      <alignment horizontal="center"/>
    </xf>
    <xf numFmtId="2" fontId="2" fillId="0" borderId="18" xfId="0" applyNumberFormat="1" applyFont="1" applyBorder="1" applyAlignment="1">
      <alignment horizontal="center"/>
    </xf>
    <xf numFmtId="0" fontId="2" fillId="11" borderId="0" xfId="0" applyFont="1" applyFill="1" applyAlignment="1">
      <alignment horizontal="center" vertical="center"/>
    </xf>
    <xf numFmtId="165" fontId="2" fillId="11" borderId="23" xfId="0" applyNumberFormat="1" applyFont="1" applyFill="1" applyBorder="1" applyAlignment="1">
      <alignment horizontal="center" vertical="center"/>
    </xf>
    <xf numFmtId="165" fontId="2" fillId="0" borderId="24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5" fontId="2" fillId="11" borderId="18" xfId="0" applyNumberFormat="1" applyFont="1" applyFill="1" applyBorder="1" applyAlignment="1">
      <alignment horizontal="center" vertical="center"/>
    </xf>
    <xf numFmtId="165" fontId="2" fillId="0" borderId="19" xfId="0" applyNumberFormat="1" applyFont="1" applyBorder="1" applyAlignment="1">
      <alignment horizontal="center" vertical="center"/>
    </xf>
    <xf numFmtId="0" fontId="1" fillId="3" borderId="30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3" borderId="34" xfId="0" applyFont="1" applyFill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/>
    </xf>
    <xf numFmtId="0" fontId="1" fillId="3" borderId="34" xfId="0" applyFont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center" wrapText="1"/>
    </xf>
    <xf numFmtId="0" fontId="1" fillId="4" borderId="14" xfId="0" applyFont="1" applyFill="1" applyBorder="1"/>
    <xf numFmtId="166" fontId="2" fillId="0" borderId="0" xfId="0" applyNumberFormat="1" applyFont="1"/>
    <xf numFmtId="166" fontId="2" fillId="0" borderId="18" xfId="0" applyNumberFormat="1" applyFont="1" applyBorder="1"/>
    <xf numFmtId="164" fontId="2" fillId="0" borderId="0" xfId="0" applyNumberFormat="1" applyFont="1"/>
    <xf numFmtId="1" fontId="2" fillId="0" borderId="0" xfId="0" applyNumberFormat="1" applyFont="1"/>
    <xf numFmtId="165" fontId="2" fillId="5" borderId="0" xfId="0" applyNumberFormat="1" applyFont="1" applyFill="1"/>
    <xf numFmtId="0" fontId="1" fillId="3" borderId="36" xfId="0" applyFont="1" applyFill="1" applyBorder="1" applyAlignment="1">
      <alignment horizontal="center" vertical="center" wrapText="1"/>
    </xf>
    <xf numFmtId="0" fontId="1" fillId="4" borderId="25" xfId="0" applyFont="1" applyFill="1" applyBorder="1"/>
    <xf numFmtId="0" fontId="1" fillId="4" borderId="12" xfId="0" applyFont="1" applyFill="1" applyBorder="1" applyAlignment="1">
      <alignment horizontal="center"/>
    </xf>
    <xf numFmtId="0" fontId="1" fillId="0" borderId="35" xfId="0" applyFont="1" applyBorder="1"/>
    <xf numFmtId="170" fontId="2" fillId="0" borderId="0" xfId="0" applyNumberFormat="1" applyFont="1"/>
    <xf numFmtId="0" fontId="2" fillId="7" borderId="33" xfId="0" applyFont="1" applyFill="1" applyBorder="1" applyAlignment="1">
      <alignment horizontal="center" vertical="center" wrapText="1"/>
    </xf>
    <xf numFmtId="0" fontId="2" fillId="7" borderId="32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165" fontId="2" fillId="0" borderId="17" xfId="0" applyNumberFormat="1" applyFont="1" applyBorder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5" fontId="3" fillId="0" borderId="18" xfId="0" applyNumberFormat="1" applyFont="1" applyBorder="1" applyAlignment="1">
      <alignment horizontal="center" vertical="center"/>
    </xf>
    <xf numFmtId="0" fontId="2" fillId="8" borderId="21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169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 wrapText="1"/>
    </xf>
    <xf numFmtId="0" fontId="2" fillId="9" borderId="0" xfId="0" applyFont="1" applyFill="1" applyAlignment="1">
      <alignment horizontal="center" vertical="center"/>
    </xf>
    <xf numFmtId="2" fontId="2" fillId="9" borderId="0" xfId="0" applyNumberFormat="1" applyFont="1" applyFill="1" applyAlignment="1">
      <alignment horizontal="center" vertical="center"/>
    </xf>
    <xf numFmtId="0" fontId="2" fillId="7" borderId="3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center"/>
    </xf>
    <xf numFmtId="0" fontId="2" fillId="9" borderId="0" xfId="0" applyFont="1" applyFill="1" applyAlignment="1">
      <alignment horizontal="center"/>
    </xf>
    <xf numFmtId="2" fontId="2" fillId="9" borderId="0" xfId="0" applyNumberFormat="1" applyFont="1" applyFill="1" applyAlignment="1">
      <alignment horizontal="center"/>
    </xf>
    <xf numFmtId="165" fontId="2" fillId="0" borderId="19" xfId="0" applyNumberFormat="1" applyFont="1" applyBorder="1" applyAlignment="1">
      <alignment horizontal="center"/>
    </xf>
    <xf numFmtId="0" fontId="2" fillId="7" borderId="4" xfId="0" applyFont="1" applyFill="1" applyBorder="1" applyAlignment="1">
      <alignment horizontal="center" vertical="center" wrapText="1"/>
    </xf>
    <xf numFmtId="0" fontId="2" fillId="7" borderId="26" xfId="0" applyFont="1" applyFill="1" applyBorder="1" applyAlignment="1">
      <alignment horizontal="center" vertical="center" wrapText="1"/>
    </xf>
    <xf numFmtId="0" fontId="2" fillId="8" borderId="27" xfId="0" applyFont="1" applyFill="1" applyBorder="1" applyAlignment="1">
      <alignment horizontal="center" vertical="center"/>
    </xf>
    <xf numFmtId="1" fontId="2" fillId="0" borderId="0" xfId="0" applyNumberFormat="1" applyFont="1" applyAlignment="1">
      <alignment horizontal="center"/>
    </xf>
    <xf numFmtId="0" fontId="2" fillId="0" borderId="24" xfId="0" applyFont="1" applyBorder="1" applyAlignment="1">
      <alignment horizontal="center" vertical="center"/>
    </xf>
    <xf numFmtId="0" fontId="2" fillId="8" borderId="20" xfId="0" applyFont="1" applyFill="1" applyBorder="1" applyAlignment="1">
      <alignment horizontal="center" vertical="center"/>
    </xf>
    <xf numFmtId="0" fontId="2" fillId="8" borderId="21" xfId="0" applyFont="1" applyFill="1" applyBorder="1" applyAlignment="1">
      <alignment horizontal="center" vertical="center"/>
    </xf>
    <xf numFmtId="0" fontId="2" fillId="7" borderId="32" xfId="0" applyFont="1" applyFill="1" applyBorder="1" applyAlignment="1">
      <alignment horizontal="center" vertical="center"/>
    </xf>
    <xf numFmtId="0" fontId="2" fillId="7" borderId="38" xfId="0" applyFont="1" applyFill="1" applyBorder="1" applyAlignment="1">
      <alignment horizontal="center" vertical="center"/>
    </xf>
    <xf numFmtId="165" fontId="2" fillId="11" borderId="0" xfId="0" applyNumberFormat="1" applyFont="1" applyFill="1" applyAlignment="1">
      <alignment horizontal="center" vertical="center"/>
    </xf>
    <xf numFmtId="170" fontId="2" fillId="0" borderId="0" xfId="0" applyNumberFormat="1" applyFont="1" applyAlignment="1">
      <alignment horizontal="center" vertical="center"/>
    </xf>
    <xf numFmtId="0" fontId="2" fillId="9" borderId="23" xfId="0" applyFont="1" applyFill="1" applyBorder="1" applyAlignment="1">
      <alignment horizontal="center"/>
    </xf>
    <xf numFmtId="0" fontId="2" fillId="0" borderId="24" xfId="0" applyFont="1" applyBorder="1" applyAlignment="1">
      <alignment horizontal="center"/>
    </xf>
    <xf numFmtId="165" fontId="2" fillId="9" borderId="0" xfId="0" applyNumberFormat="1" applyFont="1" applyFill="1" applyAlignment="1">
      <alignment horizontal="center"/>
    </xf>
    <xf numFmtId="165" fontId="2" fillId="0" borderId="24" xfId="0" applyNumberFormat="1" applyFont="1" applyBorder="1" applyAlignment="1">
      <alignment horizontal="center"/>
    </xf>
    <xf numFmtId="170" fontId="2" fillId="0" borderId="23" xfId="0" applyNumberFormat="1" applyFont="1" applyBorder="1" applyAlignment="1">
      <alignment horizontal="center" vertical="center"/>
    </xf>
    <xf numFmtId="0" fontId="2" fillId="9" borderId="23" xfId="0" applyFont="1" applyFill="1" applyBorder="1" applyAlignment="1">
      <alignment horizontal="center" vertical="center"/>
    </xf>
    <xf numFmtId="0" fontId="2" fillId="7" borderId="26" xfId="0" applyFont="1" applyFill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166" fontId="2" fillId="0" borderId="16" xfId="0" applyNumberFormat="1" applyFont="1" applyBorder="1"/>
    <xf numFmtId="0" fontId="7" fillId="12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1" fillId="8" borderId="0" xfId="0" applyFont="1" applyFill="1" applyAlignment="1">
      <alignment horizontal="left" vertical="top" wrapText="1"/>
    </xf>
    <xf numFmtId="0" fontId="2" fillId="8" borderId="0" xfId="0" applyFont="1" applyFill="1" applyAlignment="1">
      <alignment horizontal="left" vertical="top" wrapText="1"/>
    </xf>
    <xf numFmtId="0" fontId="4" fillId="12" borderId="0" xfId="0" applyFont="1" applyFill="1" applyAlignment="1">
      <alignment horizontal="left" vertical="top" wrapText="1"/>
    </xf>
    <xf numFmtId="0" fontId="1" fillId="12" borderId="0" xfId="0" applyFont="1" applyFill="1" applyAlignment="1">
      <alignment horizontal="left" vertical="top" wrapText="1"/>
    </xf>
    <xf numFmtId="0" fontId="9" fillId="12" borderId="0" xfId="0" applyFont="1" applyFill="1" applyAlignment="1">
      <alignment horizontal="left" vertical="top" wrapText="1"/>
    </xf>
    <xf numFmtId="0" fontId="1" fillId="7" borderId="0" xfId="0" applyFont="1" applyFill="1" applyAlignment="1">
      <alignment horizontal="left" vertical="top" wrapText="1"/>
    </xf>
    <xf numFmtId="167" fontId="2" fillId="0" borderId="15" xfId="0" applyNumberFormat="1" applyFont="1" applyBorder="1" applyAlignment="1">
      <alignment horizontal="left"/>
    </xf>
    <xf numFmtId="0" fontId="2" fillId="0" borderId="16" xfId="0" applyFont="1" applyBorder="1" applyAlignment="1">
      <alignment horizontal="right"/>
    </xf>
    <xf numFmtId="14" fontId="2" fillId="0" borderId="15" xfId="0" applyNumberFormat="1" applyFont="1" applyBorder="1" applyAlignment="1">
      <alignment horizontal="left"/>
    </xf>
    <xf numFmtId="0" fontId="1" fillId="3" borderId="6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" fillId="3" borderId="30" xfId="0" applyFont="1" applyFill="1" applyBorder="1" applyAlignment="1">
      <alignment horizontal="center" vertical="center"/>
    </xf>
    <xf numFmtId="0" fontId="1" fillId="3" borderId="34" xfId="0" applyFont="1" applyFill="1" applyBorder="1" applyAlignment="1">
      <alignment horizontal="center" vertical="center"/>
    </xf>
    <xf numFmtId="0" fontId="1" fillId="3" borderId="32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3" borderId="33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left" vertical="center"/>
    </xf>
    <xf numFmtId="0" fontId="13" fillId="6" borderId="2" xfId="0" applyFont="1" applyFill="1" applyBorder="1" applyAlignment="1">
      <alignment horizontal="left" vertical="center"/>
    </xf>
    <xf numFmtId="0" fontId="13" fillId="6" borderId="3" xfId="0" applyFont="1" applyFill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20" fontId="2" fillId="0" borderId="0" xfId="0" applyNumberFormat="1" applyFont="1" applyAlignment="1">
      <alignment horizontal="center" vertical="center"/>
    </xf>
    <xf numFmtId="20" fontId="2" fillId="0" borderId="23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8" borderId="11" xfId="0" applyFont="1" applyFill="1" applyBorder="1" applyAlignment="1">
      <alignment horizontal="center" vertical="center"/>
    </xf>
    <xf numFmtId="0" fontId="2" fillId="8" borderId="21" xfId="0" applyFont="1" applyFill="1" applyBorder="1" applyAlignment="1">
      <alignment horizontal="center" vertical="center"/>
    </xf>
    <xf numFmtId="0" fontId="2" fillId="7" borderId="22" xfId="0" applyFont="1" applyFill="1" applyBorder="1" applyAlignment="1">
      <alignment horizontal="center" vertical="center"/>
    </xf>
    <xf numFmtId="0" fontId="2" fillId="7" borderId="23" xfId="0" applyFont="1" applyFill="1" applyBorder="1" applyAlignment="1">
      <alignment horizontal="center" vertical="center"/>
    </xf>
    <xf numFmtId="0" fontId="2" fillId="7" borderId="32" xfId="0" applyFont="1" applyFill="1" applyBorder="1" applyAlignment="1">
      <alignment horizontal="center" vertical="center"/>
    </xf>
    <xf numFmtId="0" fontId="2" fillId="7" borderId="33" xfId="0" applyFont="1" applyFill="1" applyBorder="1" applyAlignment="1">
      <alignment horizontal="center" vertical="center"/>
    </xf>
    <xf numFmtId="0" fontId="2" fillId="7" borderId="23" xfId="0" applyFont="1" applyFill="1" applyBorder="1" applyAlignment="1">
      <alignment horizontal="center" vertical="center" wrapText="1"/>
    </xf>
    <xf numFmtId="0" fontId="2" fillId="7" borderId="33" xfId="0" applyFont="1" applyFill="1" applyBorder="1" applyAlignment="1">
      <alignment horizontal="center" vertical="center" wrapText="1"/>
    </xf>
    <xf numFmtId="165" fontId="2" fillId="0" borderId="15" xfId="0" applyNumberFormat="1" applyFont="1" applyBorder="1" applyAlignment="1">
      <alignment horizontal="center" vertical="center"/>
    </xf>
    <xf numFmtId="165" fontId="2" fillId="0" borderId="22" xfId="0" applyNumberFormat="1" applyFont="1" applyBorder="1" applyAlignment="1">
      <alignment horizontal="center" vertical="center"/>
    </xf>
    <xf numFmtId="165" fontId="2" fillId="0" borderId="16" xfId="0" applyNumberFormat="1" applyFont="1" applyBorder="1" applyAlignment="1">
      <alignment horizontal="center" vertical="center"/>
    </xf>
    <xf numFmtId="165" fontId="2" fillId="0" borderId="24" xfId="0" applyNumberFormat="1" applyFont="1" applyBorder="1" applyAlignment="1">
      <alignment horizontal="center" vertical="center"/>
    </xf>
    <xf numFmtId="168" fontId="2" fillId="0" borderId="0" xfId="0" applyNumberFormat="1" applyFont="1" applyAlignment="1">
      <alignment horizontal="center" vertical="center"/>
    </xf>
    <xf numFmtId="168" fontId="2" fillId="0" borderId="23" xfId="0" applyNumberFormat="1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2" fillId="0" borderId="23" xfId="0" applyNumberFormat="1" applyFont="1" applyBorder="1" applyAlignment="1">
      <alignment horizontal="center" vertical="center"/>
    </xf>
    <xf numFmtId="165" fontId="2" fillId="0" borderId="17" xfId="0" applyNumberFormat="1" applyFont="1" applyBorder="1" applyAlignment="1">
      <alignment horizontal="center" vertical="center"/>
    </xf>
    <xf numFmtId="165" fontId="2" fillId="0" borderId="19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20" fontId="2" fillId="0" borderId="18" xfId="0" applyNumberFormat="1" applyFont="1" applyBorder="1" applyAlignment="1">
      <alignment horizontal="center" vertical="center"/>
    </xf>
    <xf numFmtId="168" fontId="2" fillId="0" borderId="18" xfId="0" applyNumberFormat="1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8" borderId="14" xfId="0" applyFont="1" applyFill="1" applyBorder="1" applyAlignment="1">
      <alignment horizontal="center" vertical="center"/>
    </xf>
    <xf numFmtId="0" fontId="16" fillId="10" borderId="1" xfId="0" applyFont="1" applyFill="1" applyBorder="1" applyAlignment="1">
      <alignment horizontal="left" vertical="center"/>
    </xf>
    <xf numFmtId="0" fontId="16" fillId="10" borderId="2" xfId="0" applyFont="1" applyFill="1" applyBorder="1" applyAlignment="1">
      <alignment horizontal="left" vertical="center"/>
    </xf>
    <xf numFmtId="0" fontId="16" fillId="10" borderId="3" xfId="0" applyFont="1" applyFill="1" applyBorder="1" applyAlignment="1">
      <alignment horizontal="left" vertical="center"/>
    </xf>
    <xf numFmtId="0" fontId="2" fillId="7" borderId="4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 wrapText="1"/>
    </xf>
    <xf numFmtId="0" fontId="2" fillId="8" borderId="20" xfId="0" applyFont="1" applyFill="1" applyBorder="1" applyAlignment="1">
      <alignment horizontal="center" vertical="center"/>
    </xf>
    <xf numFmtId="165" fontId="2" fillId="0" borderId="28" xfId="0" applyNumberFormat="1" applyFont="1" applyBorder="1" applyAlignment="1">
      <alignment horizontal="center" vertical="center"/>
    </xf>
    <xf numFmtId="165" fontId="2" fillId="0" borderId="29" xfId="0" applyNumberFormat="1" applyFont="1" applyBorder="1" applyAlignment="1">
      <alignment horizontal="center" vertical="center"/>
    </xf>
    <xf numFmtId="165" fontId="2" fillId="0" borderId="37" xfId="0" applyNumberFormat="1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E1E8FF"/>
      <color rgb="FFCAEE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 sz="1100"/>
              <a:t>CeBER </a:t>
            </a:r>
            <a:r>
              <a:rPr lang="en-ZA" sz="1100" i="1"/>
              <a:t>Spirulina</a:t>
            </a:r>
            <a:r>
              <a:rPr lang="en-ZA" sz="1100"/>
              <a:t> growth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339933"/>
              </a:solidFill>
              <a:ln w="9525">
                <a:solidFill>
                  <a:srgbClr val="33993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curves'!$R$5:$R$29</c:f>
                <c:numCache>
                  <c:formatCode>General</c:formatCode>
                  <c:ptCount val="25"/>
                  <c:pt idx="0">
                    <c:v>4.7505591890610398E-2</c:v>
                  </c:pt>
                  <c:pt idx="1">
                    <c:v>1.4869266341182684E-2</c:v>
                  </c:pt>
                  <c:pt idx="2">
                    <c:v>9.2306593301733127E-3</c:v>
                  </c:pt>
                  <c:pt idx="3">
                    <c:v>5.1148165723255822E-3</c:v>
                  </c:pt>
                  <c:pt idx="4">
                    <c:v>1.715973408864831E-2</c:v>
                  </c:pt>
                  <c:pt idx="5">
                    <c:v>2.2876992194768592E-2</c:v>
                  </c:pt>
                  <c:pt idx="6">
                    <c:v>1.2392573899838532E-2</c:v>
                  </c:pt>
                  <c:pt idx="7">
                    <c:v>2.8208875872939184E-2</c:v>
                  </c:pt>
                  <c:pt idx="8">
                    <c:v>5.4156524233398928E-4</c:v>
                  </c:pt>
                  <c:pt idx="9">
                    <c:v>1.3785334938387784E-2</c:v>
                  </c:pt>
                  <c:pt idx="10">
                    <c:v>2.5526636203525854E-2</c:v>
                  </c:pt>
                  <c:pt idx="11">
                    <c:v>2.905214238126843E-2</c:v>
                  </c:pt>
                  <c:pt idx="12">
                    <c:v>2.6844967483220274E-2</c:v>
                  </c:pt>
                  <c:pt idx="13">
                    <c:v>4.1261988769501746E-2</c:v>
                  </c:pt>
                  <c:pt idx="14">
                    <c:v>4.1996156464895552E-2</c:v>
                  </c:pt>
                  <c:pt idx="15">
                    <c:v>4.7249194607441675E-2</c:v>
                  </c:pt>
                  <c:pt idx="16">
                    <c:v>3.4466629295368138E-2</c:v>
                  </c:pt>
                  <c:pt idx="17">
                    <c:v>3.9233290415622186E-2</c:v>
                  </c:pt>
                  <c:pt idx="18">
                    <c:v>3.3672597023881666E-2</c:v>
                  </c:pt>
                  <c:pt idx="19">
                    <c:v>4.0474257162846285E-2</c:v>
                  </c:pt>
                  <c:pt idx="20">
                    <c:v>4.9516398592284697E-2</c:v>
                  </c:pt>
                  <c:pt idx="21">
                    <c:v>5.4221305655678072E-2</c:v>
                  </c:pt>
                  <c:pt idx="22">
                    <c:v>5.539235272480264E-2</c:v>
                  </c:pt>
                  <c:pt idx="23">
                    <c:v>5.284835422338674E-2</c:v>
                  </c:pt>
                </c:numCache>
              </c:numRef>
            </c:plus>
            <c:minus>
              <c:numRef>
                <c:f>'Growth curves'!$R$5:$R$29</c:f>
                <c:numCache>
                  <c:formatCode>General</c:formatCode>
                  <c:ptCount val="25"/>
                  <c:pt idx="0">
                    <c:v>4.7505591890610398E-2</c:v>
                  </c:pt>
                  <c:pt idx="1">
                    <c:v>1.4869266341182684E-2</c:v>
                  </c:pt>
                  <c:pt idx="2">
                    <c:v>9.2306593301733127E-3</c:v>
                  </c:pt>
                  <c:pt idx="3">
                    <c:v>5.1148165723255822E-3</c:v>
                  </c:pt>
                  <c:pt idx="4">
                    <c:v>1.715973408864831E-2</c:v>
                  </c:pt>
                  <c:pt idx="5">
                    <c:v>2.2876992194768592E-2</c:v>
                  </c:pt>
                  <c:pt idx="6">
                    <c:v>1.2392573899838532E-2</c:v>
                  </c:pt>
                  <c:pt idx="7">
                    <c:v>2.8208875872939184E-2</c:v>
                  </c:pt>
                  <c:pt idx="8">
                    <c:v>5.4156524233398928E-4</c:v>
                  </c:pt>
                  <c:pt idx="9">
                    <c:v>1.3785334938387784E-2</c:v>
                  </c:pt>
                  <c:pt idx="10">
                    <c:v>2.5526636203525854E-2</c:v>
                  </c:pt>
                  <c:pt idx="11">
                    <c:v>2.905214238126843E-2</c:v>
                  </c:pt>
                  <c:pt idx="12">
                    <c:v>2.6844967483220274E-2</c:v>
                  </c:pt>
                  <c:pt idx="13">
                    <c:v>4.1261988769501746E-2</c:v>
                  </c:pt>
                  <c:pt idx="14">
                    <c:v>4.1996156464895552E-2</c:v>
                  </c:pt>
                  <c:pt idx="15">
                    <c:v>4.7249194607441675E-2</c:v>
                  </c:pt>
                  <c:pt idx="16">
                    <c:v>3.4466629295368138E-2</c:v>
                  </c:pt>
                  <c:pt idx="17">
                    <c:v>3.9233290415622186E-2</c:v>
                  </c:pt>
                  <c:pt idx="18">
                    <c:v>3.3672597023881666E-2</c:v>
                  </c:pt>
                  <c:pt idx="19">
                    <c:v>4.0474257162846285E-2</c:v>
                  </c:pt>
                  <c:pt idx="20">
                    <c:v>4.9516398592284697E-2</c:v>
                  </c:pt>
                  <c:pt idx="21">
                    <c:v>5.4221305655678072E-2</c:v>
                  </c:pt>
                  <c:pt idx="22">
                    <c:v>5.539235272480264E-2</c:v>
                  </c:pt>
                  <c:pt idx="23">
                    <c:v>5.284835422338674E-2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curves'!$D$5:$D$28</c:f>
              <c:numCache>
                <c:formatCode>0</c:formatCode>
                <c:ptCount val="24"/>
                <c:pt idx="0">
                  <c:v>0</c:v>
                </c:pt>
                <c:pt idx="1">
                  <c:v>2.5</c:v>
                </c:pt>
                <c:pt idx="2">
                  <c:v>6.5</c:v>
                </c:pt>
                <c:pt idx="3">
                  <c:v>9.5</c:v>
                </c:pt>
                <c:pt idx="4">
                  <c:v>24</c:v>
                </c:pt>
                <c:pt idx="5">
                  <c:v>30</c:v>
                </c:pt>
                <c:pt idx="6">
                  <c:v>48</c:v>
                </c:pt>
                <c:pt idx="7">
                  <c:v>72</c:v>
                </c:pt>
                <c:pt idx="8">
                  <c:v>96.5</c:v>
                </c:pt>
                <c:pt idx="9">
                  <c:v>120.5</c:v>
                </c:pt>
                <c:pt idx="10">
                  <c:v>144.5</c:v>
                </c:pt>
                <c:pt idx="11">
                  <c:v>168</c:v>
                </c:pt>
                <c:pt idx="12">
                  <c:v>192</c:v>
                </c:pt>
                <c:pt idx="13">
                  <c:v>216</c:v>
                </c:pt>
                <c:pt idx="14">
                  <c:v>240</c:v>
                </c:pt>
                <c:pt idx="15">
                  <c:v>265</c:v>
                </c:pt>
                <c:pt idx="16">
                  <c:v>287.5</c:v>
                </c:pt>
                <c:pt idx="17">
                  <c:v>313</c:v>
                </c:pt>
                <c:pt idx="18">
                  <c:v>337</c:v>
                </c:pt>
                <c:pt idx="19">
                  <c:v>360</c:v>
                </c:pt>
                <c:pt idx="20">
                  <c:v>384.5</c:v>
                </c:pt>
                <c:pt idx="21">
                  <c:v>408</c:v>
                </c:pt>
                <c:pt idx="22">
                  <c:v>433.5</c:v>
                </c:pt>
                <c:pt idx="23">
                  <c:v>458</c:v>
                </c:pt>
              </c:numCache>
            </c:numRef>
          </c:xVal>
          <c:yVal>
            <c:numRef>
              <c:f>'Growth curves'!$O$5:$O$28</c:f>
              <c:numCache>
                <c:formatCode>0.000</c:formatCode>
                <c:ptCount val="24"/>
                <c:pt idx="0">
                  <c:v>0.14266326666666665</c:v>
                </c:pt>
                <c:pt idx="1">
                  <c:v>0.15499726666666669</c:v>
                </c:pt>
                <c:pt idx="2">
                  <c:v>0.19446606666666666</c:v>
                </c:pt>
                <c:pt idx="3">
                  <c:v>0.21296706666666668</c:v>
                </c:pt>
                <c:pt idx="4">
                  <c:v>0.24503546666666673</c:v>
                </c:pt>
                <c:pt idx="5">
                  <c:v>0.29724940000000005</c:v>
                </c:pt>
                <c:pt idx="6">
                  <c:v>0.44443513333333334</c:v>
                </c:pt>
                <c:pt idx="7">
                  <c:v>0.5973767333333333</c:v>
                </c:pt>
                <c:pt idx="8">
                  <c:v>0.75895213333333345</c:v>
                </c:pt>
                <c:pt idx="9">
                  <c:v>0.91230486666666666</c:v>
                </c:pt>
                <c:pt idx="10">
                  <c:v>1.1129379333333334</c:v>
                </c:pt>
                <c:pt idx="11">
                  <c:v>1.2946588666666667</c:v>
                </c:pt>
                <c:pt idx="12">
                  <c:v>1.4895360666666668</c:v>
                </c:pt>
                <c:pt idx="13">
                  <c:v>1.7399162666666668</c:v>
                </c:pt>
                <c:pt idx="14">
                  <c:v>1.9841294666666667</c:v>
                </c:pt>
                <c:pt idx="15">
                  <c:v>2.1337820000000001</c:v>
                </c:pt>
                <c:pt idx="16">
                  <c:v>2.2299872000000001</c:v>
                </c:pt>
                <c:pt idx="17">
                  <c:v>2.4791340000000002</c:v>
                </c:pt>
                <c:pt idx="18">
                  <c:v>2.6123412000000004</c:v>
                </c:pt>
                <c:pt idx="19">
                  <c:v>2.7595269333333334</c:v>
                </c:pt>
                <c:pt idx="20">
                  <c:v>2.9815389333333333</c:v>
                </c:pt>
                <c:pt idx="21">
                  <c:v>3.1361250666666667</c:v>
                </c:pt>
                <c:pt idx="22">
                  <c:v>3.2249298666666668</c:v>
                </c:pt>
                <c:pt idx="23">
                  <c:v>3.3318245333333336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C0-4F19-B482-41D16A4E30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1967840"/>
        <c:axId val="1020632992"/>
      </c:scatterChart>
      <c:valAx>
        <c:axId val="1141967840"/>
        <c:scaling>
          <c:orientation val="minMax"/>
          <c:max val="5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20632992"/>
        <c:crosses val="autoZero"/>
        <c:crossBetween val="midCat"/>
      </c:valAx>
      <c:valAx>
        <c:axId val="10206329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Biomass concentration (g.L</a:t>
                </a:r>
                <a:r>
                  <a:rPr lang="en-ZA" baseline="30000"/>
                  <a:t>-1</a:t>
                </a:r>
                <a:r>
                  <a:rPr lang="en-ZA"/>
                  <a:t>)</a:t>
                </a:r>
              </a:p>
            </c:rich>
          </c:tx>
          <c:layout>
            <c:manualLayout>
              <c:xMode val="edge"/>
              <c:yMode val="edge"/>
              <c:x val="2.5000111529968103E-2"/>
              <c:y val="8.491130737509139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41967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'Nitrate content'!$Y$37:$Y$46</c:f>
                <c:numCache>
                  <c:formatCode>General</c:formatCode>
                  <c:ptCount val="10"/>
                  <c:pt idx="0">
                    <c:v>2.0796836513733218E-2</c:v>
                  </c:pt>
                  <c:pt idx="1">
                    <c:v>5.9583396472128666E-3</c:v>
                  </c:pt>
                  <c:pt idx="2">
                    <c:v>7.3857697739000104E-3</c:v>
                  </c:pt>
                  <c:pt idx="3">
                    <c:v>1.1035208161871812E-2</c:v>
                  </c:pt>
                  <c:pt idx="4">
                    <c:v>3.3177303981398704E-2</c:v>
                  </c:pt>
                  <c:pt idx="5">
                    <c:v>1.8985125242095603E-2</c:v>
                  </c:pt>
                  <c:pt idx="6">
                    <c:v>2.1503990737411671E-2</c:v>
                  </c:pt>
                  <c:pt idx="7">
                    <c:v>2.3942527798083417E-2</c:v>
                  </c:pt>
                  <c:pt idx="8">
                    <c:v>1.6214496072764123E-2</c:v>
                  </c:pt>
                  <c:pt idx="9">
                    <c:v>3.6310887112975303E-2</c:v>
                  </c:pt>
                </c:numCache>
              </c:numRef>
            </c:plus>
            <c:minus>
              <c:numRef>
                <c:f>'Nitrate content'!$Y$37:$Y$46</c:f>
                <c:numCache>
                  <c:formatCode>General</c:formatCode>
                  <c:ptCount val="10"/>
                  <c:pt idx="0">
                    <c:v>2.0796836513733218E-2</c:v>
                  </c:pt>
                  <c:pt idx="1">
                    <c:v>5.9583396472128666E-3</c:v>
                  </c:pt>
                  <c:pt idx="2">
                    <c:v>7.3857697739000104E-3</c:v>
                  </c:pt>
                  <c:pt idx="3">
                    <c:v>1.1035208161871812E-2</c:v>
                  </c:pt>
                  <c:pt idx="4">
                    <c:v>3.3177303981398704E-2</c:v>
                  </c:pt>
                  <c:pt idx="5">
                    <c:v>1.8985125242095603E-2</c:v>
                  </c:pt>
                  <c:pt idx="6">
                    <c:v>2.1503990737411671E-2</c:v>
                  </c:pt>
                  <c:pt idx="7">
                    <c:v>2.3942527798083417E-2</c:v>
                  </c:pt>
                  <c:pt idx="8">
                    <c:v>1.6214496072764123E-2</c:v>
                  </c:pt>
                  <c:pt idx="9">
                    <c:v>3.6310887112975303E-2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'Nitrate content'!$W$37:$W$46</c:f>
              <c:numCache>
                <c:formatCode>General</c:formatCode>
                <c:ptCount val="10"/>
                <c:pt idx="0">
                  <c:v>0</c:v>
                </c:pt>
                <c:pt idx="1">
                  <c:v>48</c:v>
                </c:pt>
                <c:pt idx="2">
                  <c:v>96.5</c:v>
                </c:pt>
                <c:pt idx="3">
                  <c:v>144.5</c:v>
                </c:pt>
                <c:pt idx="4">
                  <c:v>192</c:v>
                </c:pt>
                <c:pt idx="5">
                  <c:v>240</c:v>
                </c:pt>
                <c:pt idx="6">
                  <c:v>287.5</c:v>
                </c:pt>
                <c:pt idx="7">
                  <c:v>337</c:v>
                </c:pt>
                <c:pt idx="8">
                  <c:v>384.5</c:v>
                </c:pt>
                <c:pt idx="9">
                  <c:v>433.5</c:v>
                </c:pt>
              </c:numCache>
            </c:numRef>
          </c:xVal>
          <c:yVal>
            <c:numRef>
              <c:f>'Nitrate content'!$X$37:$X$46</c:f>
              <c:numCache>
                <c:formatCode>0.000</c:formatCode>
                <c:ptCount val="10"/>
                <c:pt idx="0">
                  <c:v>1.5779717625396827</c:v>
                </c:pt>
                <c:pt idx="1">
                  <c:v>1.558376793756614</c:v>
                </c:pt>
                <c:pt idx="2">
                  <c:v>1.358709271005291</c:v>
                </c:pt>
                <c:pt idx="3">
                  <c:v>1.2966724876190476</c:v>
                </c:pt>
                <c:pt idx="4">
                  <c:v>1.1988560422222223</c:v>
                </c:pt>
                <c:pt idx="5">
                  <c:v>1.0956746285714283</c:v>
                </c:pt>
                <c:pt idx="6">
                  <c:v>0.93615785968253984</c:v>
                </c:pt>
                <c:pt idx="7">
                  <c:v>0.87510526560846558</c:v>
                </c:pt>
                <c:pt idx="8">
                  <c:v>0.74489053527777782</c:v>
                </c:pt>
                <c:pt idx="9">
                  <c:v>0.51493936388888883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B7E-F246-958D-0B8DA783D7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5087839"/>
        <c:axId val="1805094495"/>
      </c:scatterChart>
      <c:valAx>
        <c:axId val="1805087839"/>
        <c:scaling>
          <c:orientation val="minMax"/>
          <c:max val="45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</a:t>
                </a:r>
                <a:r>
                  <a:rPr lang="en-ZA" baseline="0"/>
                  <a:t> (h)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05094495"/>
        <c:crosses val="autoZero"/>
        <c:crossBetween val="midCat"/>
      </c:valAx>
      <c:valAx>
        <c:axId val="180509449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Nitrate concentration (gL</a:t>
                </a:r>
                <a:r>
                  <a:rPr lang="en-ZA" baseline="30000"/>
                  <a:t>-1</a:t>
                </a:r>
                <a:r>
                  <a:rPr lang="en-ZA"/>
                  <a:t>)</a:t>
                </a:r>
              </a:p>
            </c:rich>
          </c:tx>
          <c:layout>
            <c:manualLayout>
              <c:xMode val="edge"/>
              <c:yMode val="edge"/>
              <c:x val="2.0592020592020591E-2"/>
              <c:y val="7.094235773284766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050878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1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 sz="1100"/>
              <a:t>UTEX #1926 </a:t>
            </a:r>
            <a:r>
              <a:rPr lang="en-ZA" sz="1100" i="1"/>
              <a:t>Spirulina</a:t>
            </a:r>
            <a:r>
              <a:rPr lang="en-ZA" sz="1100"/>
              <a:t> growth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1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339933"/>
              </a:solidFill>
              <a:ln w="9525">
                <a:solidFill>
                  <a:srgbClr val="33993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curves'!$R$33:$R$57</c:f>
                <c:numCache>
                  <c:formatCode>General</c:formatCode>
                  <c:ptCount val="25"/>
                  <c:pt idx="0">
                    <c:v>1.1460162124460318E-2</c:v>
                  </c:pt>
                  <c:pt idx="1">
                    <c:v>1.5138507955248133E-3</c:v>
                  </c:pt>
                  <c:pt idx="2">
                    <c:v>5.2441329858550776E-3</c:v>
                  </c:pt>
                  <c:pt idx="3">
                    <c:v>7.5575999999999985E-3</c:v>
                  </c:pt>
                  <c:pt idx="4">
                    <c:v>8.0434882062724762E-3</c:v>
                  </c:pt>
                  <c:pt idx="5">
                    <c:v>1.9240707817888036E-3</c:v>
                  </c:pt>
                  <c:pt idx="6">
                    <c:v>7.0632505994840085E-3</c:v>
                  </c:pt>
                  <c:pt idx="7">
                    <c:v>3.7318565626835555E-3</c:v>
                  </c:pt>
                  <c:pt idx="8">
                    <c:v>1.4927426250734311E-2</c:v>
                  </c:pt>
                  <c:pt idx="9">
                    <c:v>1.9527185727936668E-2</c:v>
                  </c:pt>
                  <c:pt idx="10">
                    <c:v>3.827701288960661E-2</c:v>
                  </c:pt>
                  <c:pt idx="11">
                    <c:v>2.8946449669998795E-2</c:v>
                  </c:pt>
                  <c:pt idx="12">
                    <c:v>5.4042238948108383E-2</c:v>
                  </c:pt>
                  <c:pt idx="13">
                    <c:v>4.7405903120087349E-2</c:v>
                  </c:pt>
                  <c:pt idx="14">
                    <c:v>8.2793618614426495E-2</c:v>
                  </c:pt>
                  <c:pt idx="15">
                    <c:v>7.4296234175480091E-2</c:v>
                  </c:pt>
                  <c:pt idx="16">
                    <c:v>8.4862937153139958E-2</c:v>
                  </c:pt>
                  <c:pt idx="17">
                    <c:v>5.7636545758784338E-2</c:v>
                  </c:pt>
                  <c:pt idx="18">
                    <c:v>6.5456122586593238E-2</c:v>
                  </c:pt>
                  <c:pt idx="19">
                    <c:v>4.1624015168169312E-2</c:v>
                  </c:pt>
                  <c:pt idx="20">
                    <c:v>4.3923752874270722E-2</c:v>
                  </c:pt>
                  <c:pt idx="21">
                    <c:v>3.9351161967088051E-2</c:v>
                  </c:pt>
                  <c:pt idx="22">
                    <c:v>5.0718781091557655E-2</c:v>
                  </c:pt>
                  <c:pt idx="23">
                    <c:v>4.8935635619590585E-2</c:v>
                  </c:pt>
                </c:numCache>
              </c:numRef>
            </c:plus>
            <c:minus>
              <c:numRef>
                <c:f>'Growth curves'!$R$33:$R$57</c:f>
                <c:numCache>
                  <c:formatCode>General</c:formatCode>
                  <c:ptCount val="25"/>
                  <c:pt idx="0">
                    <c:v>1.1460162124460318E-2</c:v>
                  </c:pt>
                  <c:pt idx="1">
                    <c:v>1.5138507955248133E-3</c:v>
                  </c:pt>
                  <c:pt idx="2">
                    <c:v>5.2441329858550776E-3</c:v>
                  </c:pt>
                  <c:pt idx="3">
                    <c:v>7.5575999999999985E-3</c:v>
                  </c:pt>
                  <c:pt idx="4">
                    <c:v>8.0434882062724762E-3</c:v>
                  </c:pt>
                  <c:pt idx="5">
                    <c:v>1.9240707817888036E-3</c:v>
                  </c:pt>
                  <c:pt idx="6">
                    <c:v>7.0632505994840085E-3</c:v>
                  </c:pt>
                  <c:pt idx="7">
                    <c:v>3.7318565626835555E-3</c:v>
                  </c:pt>
                  <c:pt idx="8">
                    <c:v>1.4927426250734311E-2</c:v>
                  </c:pt>
                  <c:pt idx="9">
                    <c:v>1.9527185727936668E-2</c:v>
                  </c:pt>
                  <c:pt idx="10">
                    <c:v>3.827701288960661E-2</c:v>
                  </c:pt>
                  <c:pt idx="11">
                    <c:v>2.8946449669998795E-2</c:v>
                  </c:pt>
                  <c:pt idx="12">
                    <c:v>5.4042238948108383E-2</c:v>
                  </c:pt>
                  <c:pt idx="13">
                    <c:v>4.7405903120087349E-2</c:v>
                  </c:pt>
                  <c:pt idx="14">
                    <c:v>8.2793618614426495E-2</c:v>
                  </c:pt>
                  <c:pt idx="15">
                    <c:v>7.4296234175480091E-2</c:v>
                  </c:pt>
                  <c:pt idx="16">
                    <c:v>8.4862937153139958E-2</c:v>
                  </c:pt>
                  <c:pt idx="17">
                    <c:v>5.7636545758784338E-2</c:v>
                  </c:pt>
                  <c:pt idx="18">
                    <c:v>6.5456122586593238E-2</c:v>
                  </c:pt>
                  <c:pt idx="19">
                    <c:v>4.1624015168169312E-2</c:v>
                  </c:pt>
                  <c:pt idx="20">
                    <c:v>4.3923752874270722E-2</c:v>
                  </c:pt>
                  <c:pt idx="21">
                    <c:v>3.9351161967088051E-2</c:v>
                  </c:pt>
                  <c:pt idx="22">
                    <c:v>5.0718781091557655E-2</c:v>
                  </c:pt>
                  <c:pt idx="23">
                    <c:v>4.8935635619590585E-2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curves'!$D$33:$D$56</c:f>
              <c:numCache>
                <c:formatCode>0</c:formatCode>
                <c:ptCount val="24"/>
                <c:pt idx="0">
                  <c:v>0</c:v>
                </c:pt>
                <c:pt idx="1">
                  <c:v>2.5</c:v>
                </c:pt>
                <c:pt idx="2">
                  <c:v>6.5</c:v>
                </c:pt>
                <c:pt idx="3">
                  <c:v>9.5</c:v>
                </c:pt>
                <c:pt idx="4">
                  <c:v>24</c:v>
                </c:pt>
                <c:pt idx="5">
                  <c:v>30</c:v>
                </c:pt>
                <c:pt idx="6">
                  <c:v>48</c:v>
                </c:pt>
                <c:pt idx="7">
                  <c:v>72</c:v>
                </c:pt>
                <c:pt idx="8">
                  <c:v>96.5</c:v>
                </c:pt>
                <c:pt idx="9">
                  <c:v>120.5</c:v>
                </c:pt>
                <c:pt idx="10">
                  <c:v>144.5</c:v>
                </c:pt>
                <c:pt idx="11">
                  <c:v>168</c:v>
                </c:pt>
                <c:pt idx="12">
                  <c:v>192</c:v>
                </c:pt>
                <c:pt idx="13">
                  <c:v>216</c:v>
                </c:pt>
                <c:pt idx="14">
                  <c:v>240</c:v>
                </c:pt>
                <c:pt idx="15">
                  <c:v>265</c:v>
                </c:pt>
                <c:pt idx="16">
                  <c:v>287.5</c:v>
                </c:pt>
                <c:pt idx="17">
                  <c:v>313</c:v>
                </c:pt>
                <c:pt idx="18">
                  <c:v>337</c:v>
                </c:pt>
                <c:pt idx="19">
                  <c:v>360</c:v>
                </c:pt>
                <c:pt idx="20">
                  <c:v>384.5</c:v>
                </c:pt>
                <c:pt idx="21">
                  <c:v>408</c:v>
                </c:pt>
                <c:pt idx="22">
                  <c:v>433.5</c:v>
                </c:pt>
                <c:pt idx="23">
                  <c:v>458</c:v>
                </c:pt>
              </c:numCache>
            </c:numRef>
          </c:xVal>
          <c:yVal>
            <c:numRef>
              <c:f>'Growth curves'!$O$33:$O$56</c:f>
              <c:numCache>
                <c:formatCode>0.000</c:formatCode>
                <c:ptCount val="24"/>
                <c:pt idx="0">
                  <c:v>0.13267786666666667</c:v>
                </c:pt>
                <c:pt idx="1">
                  <c:v>0.14149506666666667</c:v>
                </c:pt>
                <c:pt idx="2">
                  <c:v>0.1738248</c:v>
                </c:pt>
                <c:pt idx="3">
                  <c:v>0.19145920000000002</c:v>
                </c:pt>
                <c:pt idx="4">
                  <c:v>0.22462866666666667</c:v>
                </c:pt>
                <c:pt idx="5">
                  <c:v>0.2632564</c:v>
                </c:pt>
                <c:pt idx="6">
                  <c:v>0.36822306666666665</c:v>
                </c:pt>
                <c:pt idx="7">
                  <c:v>0.5361697333333334</c:v>
                </c:pt>
                <c:pt idx="8">
                  <c:v>0.66548866666666673</c:v>
                </c:pt>
                <c:pt idx="9">
                  <c:v>0.82503800000000005</c:v>
                </c:pt>
                <c:pt idx="10">
                  <c:v>1.0471474666666667</c:v>
                </c:pt>
                <c:pt idx="11">
                  <c:v>1.2100557333333335</c:v>
                </c:pt>
                <c:pt idx="12">
                  <c:v>1.3926977333333335</c:v>
                </c:pt>
                <c:pt idx="13">
                  <c:v>1.6845050666666666</c:v>
                </c:pt>
                <c:pt idx="14">
                  <c:v>1.8810026666666666</c:v>
                </c:pt>
                <c:pt idx="15">
                  <c:v>2.1169677333333334</c:v>
                </c:pt>
                <c:pt idx="16">
                  <c:v>2.280715733333333</c:v>
                </c:pt>
                <c:pt idx="17">
                  <c:v>2.5158410666666668</c:v>
                </c:pt>
                <c:pt idx="18">
                  <c:v>2.6359229333333332</c:v>
                </c:pt>
                <c:pt idx="19">
                  <c:v>2.7761583999999999</c:v>
                </c:pt>
                <c:pt idx="20">
                  <c:v>2.9525024000000002</c:v>
                </c:pt>
                <c:pt idx="21">
                  <c:v>3.0532704000000002</c:v>
                </c:pt>
                <c:pt idx="22">
                  <c:v>3.1641151999999999</c:v>
                </c:pt>
                <c:pt idx="23">
                  <c:v>3.2699216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7D-4DBC-B67B-8C093C3142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6055376"/>
        <c:axId val="1020619264"/>
      </c:scatterChart>
      <c:valAx>
        <c:axId val="1156055376"/>
        <c:scaling>
          <c:orientation val="minMax"/>
          <c:max val="5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20619264"/>
        <c:crosses val="autoZero"/>
        <c:crossBetween val="midCat"/>
      </c:valAx>
      <c:valAx>
        <c:axId val="10206192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Biomass concentration (g.L</a:t>
                </a:r>
                <a:r>
                  <a:rPr lang="en-ZA" baseline="30000"/>
                  <a:t>-1</a:t>
                </a:r>
                <a:r>
                  <a:rPr lang="en-ZA"/>
                  <a:t>)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117738754190379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56055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 sz="1100"/>
              <a:t>CeBER </a:t>
            </a:r>
            <a:r>
              <a:rPr lang="en-ZA" sz="1100" i="1"/>
              <a:t>Spirulina</a:t>
            </a:r>
            <a:r>
              <a:rPr lang="en-ZA" sz="1100"/>
              <a:t> growth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339933"/>
              </a:solidFill>
              <a:ln w="9525">
                <a:solidFill>
                  <a:srgbClr val="33993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curves'!$R$5:$R$27</c:f>
                <c:numCache>
                  <c:formatCode>General</c:formatCode>
                  <c:ptCount val="23"/>
                  <c:pt idx="0">
                    <c:v>4.7505591890610398E-2</c:v>
                  </c:pt>
                  <c:pt idx="1">
                    <c:v>1.4869266341182684E-2</c:v>
                  </c:pt>
                  <c:pt idx="2">
                    <c:v>9.2306593301733127E-3</c:v>
                  </c:pt>
                  <c:pt idx="3">
                    <c:v>5.1148165723255822E-3</c:v>
                  </c:pt>
                  <c:pt idx="4">
                    <c:v>1.715973408864831E-2</c:v>
                  </c:pt>
                  <c:pt idx="5">
                    <c:v>2.2876992194768592E-2</c:v>
                  </c:pt>
                  <c:pt idx="6">
                    <c:v>1.2392573899838532E-2</c:v>
                  </c:pt>
                  <c:pt idx="7">
                    <c:v>2.8208875872939184E-2</c:v>
                  </c:pt>
                  <c:pt idx="8">
                    <c:v>5.4156524233398928E-4</c:v>
                  </c:pt>
                  <c:pt idx="9">
                    <c:v>1.3785334938387784E-2</c:v>
                  </c:pt>
                  <c:pt idx="10">
                    <c:v>2.5526636203525854E-2</c:v>
                  </c:pt>
                  <c:pt idx="11">
                    <c:v>2.905214238126843E-2</c:v>
                  </c:pt>
                  <c:pt idx="12">
                    <c:v>2.6844967483220274E-2</c:v>
                  </c:pt>
                  <c:pt idx="13">
                    <c:v>4.1261988769501746E-2</c:v>
                  </c:pt>
                  <c:pt idx="14">
                    <c:v>4.1996156464895552E-2</c:v>
                  </c:pt>
                  <c:pt idx="15">
                    <c:v>4.7249194607441675E-2</c:v>
                  </c:pt>
                  <c:pt idx="16">
                    <c:v>3.4466629295368138E-2</c:v>
                  </c:pt>
                  <c:pt idx="17">
                    <c:v>3.9233290415622186E-2</c:v>
                  </c:pt>
                  <c:pt idx="18">
                    <c:v>3.3672597023881666E-2</c:v>
                  </c:pt>
                  <c:pt idx="19">
                    <c:v>4.0474257162846285E-2</c:v>
                  </c:pt>
                  <c:pt idx="20">
                    <c:v>4.9516398592284697E-2</c:v>
                  </c:pt>
                  <c:pt idx="21">
                    <c:v>5.4221305655678072E-2</c:v>
                  </c:pt>
                  <c:pt idx="22">
                    <c:v>5.539235272480264E-2</c:v>
                  </c:pt>
                </c:numCache>
              </c:numRef>
            </c:plus>
            <c:minus>
              <c:numRef>
                <c:f>'Growth curves'!$R$5:$R$27</c:f>
                <c:numCache>
                  <c:formatCode>General</c:formatCode>
                  <c:ptCount val="23"/>
                  <c:pt idx="0">
                    <c:v>4.7505591890610398E-2</c:v>
                  </c:pt>
                  <c:pt idx="1">
                    <c:v>1.4869266341182684E-2</c:v>
                  </c:pt>
                  <c:pt idx="2">
                    <c:v>9.2306593301733127E-3</c:v>
                  </c:pt>
                  <c:pt idx="3">
                    <c:v>5.1148165723255822E-3</c:v>
                  </c:pt>
                  <c:pt idx="4">
                    <c:v>1.715973408864831E-2</c:v>
                  </c:pt>
                  <c:pt idx="5">
                    <c:v>2.2876992194768592E-2</c:v>
                  </c:pt>
                  <c:pt idx="6">
                    <c:v>1.2392573899838532E-2</c:v>
                  </c:pt>
                  <c:pt idx="7">
                    <c:v>2.8208875872939184E-2</c:v>
                  </c:pt>
                  <c:pt idx="8">
                    <c:v>5.4156524233398928E-4</c:v>
                  </c:pt>
                  <c:pt idx="9">
                    <c:v>1.3785334938387784E-2</c:v>
                  </c:pt>
                  <c:pt idx="10">
                    <c:v>2.5526636203525854E-2</c:v>
                  </c:pt>
                  <c:pt idx="11">
                    <c:v>2.905214238126843E-2</c:v>
                  </c:pt>
                  <c:pt idx="12">
                    <c:v>2.6844967483220274E-2</c:v>
                  </c:pt>
                  <c:pt idx="13">
                    <c:v>4.1261988769501746E-2</c:v>
                  </c:pt>
                  <c:pt idx="14">
                    <c:v>4.1996156464895552E-2</c:v>
                  </c:pt>
                  <c:pt idx="15">
                    <c:v>4.7249194607441675E-2</c:v>
                  </c:pt>
                  <c:pt idx="16">
                    <c:v>3.4466629295368138E-2</c:v>
                  </c:pt>
                  <c:pt idx="17">
                    <c:v>3.9233290415622186E-2</c:v>
                  </c:pt>
                  <c:pt idx="18">
                    <c:v>3.3672597023881666E-2</c:v>
                  </c:pt>
                  <c:pt idx="19">
                    <c:v>4.0474257162846285E-2</c:v>
                  </c:pt>
                  <c:pt idx="20">
                    <c:v>4.9516398592284697E-2</c:v>
                  </c:pt>
                  <c:pt idx="21">
                    <c:v>5.4221305655678072E-2</c:v>
                  </c:pt>
                  <c:pt idx="22">
                    <c:v>5.539235272480264E-2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curves'!$D$5:$D$28</c:f>
              <c:numCache>
                <c:formatCode>0</c:formatCode>
                <c:ptCount val="24"/>
                <c:pt idx="0">
                  <c:v>0</c:v>
                </c:pt>
                <c:pt idx="1">
                  <c:v>2.5</c:v>
                </c:pt>
                <c:pt idx="2">
                  <c:v>6.5</c:v>
                </c:pt>
                <c:pt idx="3">
                  <c:v>9.5</c:v>
                </c:pt>
                <c:pt idx="4">
                  <c:v>24</c:v>
                </c:pt>
                <c:pt idx="5">
                  <c:v>30</c:v>
                </c:pt>
                <c:pt idx="6">
                  <c:v>48</c:v>
                </c:pt>
                <c:pt idx="7">
                  <c:v>72</c:v>
                </c:pt>
                <c:pt idx="8">
                  <c:v>96.5</c:v>
                </c:pt>
                <c:pt idx="9">
                  <c:v>120.5</c:v>
                </c:pt>
                <c:pt idx="10">
                  <c:v>144.5</c:v>
                </c:pt>
                <c:pt idx="11">
                  <c:v>168</c:v>
                </c:pt>
                <c:pt idx="12">
                  <c:v>192</c:v>
                </c:pt>
                <c:pt idx="13">
                  <c:v>216</c:v>
                </c:pt>
                <c:pt idx="14">
                  <c:v>240</c:v>
                </c:pt>
                <c:pt idx="15">
                  <c:v>265</c:v>
                </c:pt>
                <c:pt idx="16">
                  <c:v>287.5</c:v>
                </c:pt>
                <c:pt idx="17">
                  <c:v>313</c:v>
                </c:pt>
                <c:pt idx="18">
                  <c:v>337</c:v>
                </c:pt>
                <c:pt idx="19">
                  <c:v>360</c:v>
                </c:pt>
                <c:pt idx="20">
                  <c:v>384.5</c:v>
                </c:pt>
                <c:pt idx="21">
                  <c:v>408</c:v>
                </c:pt>
                <c:pt idx="22">
                  <c:v>433.5</c:v>
                </c:pt>
                <c:pt idx="23">
                  <c:v>458</c:v>
                </c:pt>
              </c:numCache>
            </c:numRef>
          </c:xVal>
          <c:yVal>
            <c:numRef>
              <c:f>'Growth curves'!$Q$5:$Q$28</c:f>
              <c:numCache>
                <c:formatCode>0.000</c:formatCode>
                <c:ptCount val="24"/>
                <c:pt idx="0">
                  <c:v>-1.9494896495159395</c:v>
                </c:pt>
                <c:pt idx="1">
                  <c:v>-1.8645678970363935</c:v>
                </c:pt>
                <c:pt idx="2">
                  <c:v>-1.6375827070135347</c:v>
                </c:pt>
                <c:pt idx="3">
                  <c:v>-1.546643878668559</c:v>
                </c:pt>
                <c:pt idx="4">
                  <c:v>-1.4066452756973333</c:v>
                </c:pt>
                <c:pt idx="5">
                  <c:v>-1.2137105807387962</c:v>
                </c:pt>
                <c:pt idx="6">
                  <c:v>-0.81110518088188099</c:v>
                </c:pt>
                <c:pt idx="7">
                  <c:v>-0.51600606750470102</c:v>
                </c:pt>
                <c:pt idx="8">
                  <c:v>-0.27581686235802977</c:v>
                </c:pt>
                <c:pt idx="9">
                  <c:v>-9.1970776529594123E-2</c:v>
                </c:pt>
                <c:pt idx="10">
                  <c:v>0.10634818656721155</c:v>
                </c:pt>
                <c:pt idx="11">
                  <c:v>0.25741103334418997</c:v>
                </c:pt>
                <c:pt idx="12">
                  <c:v>0.3977503663610798</c:v>
                </c:pt>
                <c:pt idx="13">
                  <c:v>0.55212027503312322</c:v>
                </c:pt>
                <c:pt idx="14">
                  <c:v>0.68342393219944275</c:v>
                </c:pt>
                <c:pt idx="15">
                  <c:v>0.75565073464440979</c:v>
                </c:pt>
                <c:pt idx="16">
                  <c:v>0.800812175303101</c:v>
                </c:pt>
                <c:pt idx="17">
                  <c:v>0.90638537342837144</c:v>
                </c:pt>
                <c:pt idx="18">
                  <c:v>0.95911554105253283</c:v>
                </c:pt>
                <c:pt idx="19">
                  <c:v>1.0134415291372354</c:v>
                </c:pt>
                <c:pt idx="20">
                  <c:v>1.0900170120152113</c:v>
                </c:pt>
                <c:pt idx="21">
                  <c:v>1.1400862290886107</c:v>
                </c:pt>
                <c:pt idx="22">
                  <c:v>1.1678686435926344</c:v>
                </c:pt>
                <c:pt idx="23">
                  <c:v>1.2007776898397367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F4-4B0D-938C-A3A9988A15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1967840"/>
        <c:axId val="1020632992"/>
      </c:scatterChart>
      <c:valAx>
        <c:axId val="1141967840"/>
        <c:scaling>
          <c:orientation val="minMax"/>
          <c:max val="5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20632992"/>
        <c:crosses val="autoZero"/>
        <c:crossBetween val="midCat"/>
      </c:valAx>
      <c:valAx>
        <c:axId val="10206329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ln biomass concentration (g.L</a:t>
                </a:r>
                <a:r>
                  <a:rPr lang="en-ZA" baseline="30000"/>
                  <a:t>-1</a:t>
                </a:r>
                <a:r>
                  <a:rPr lang="en-ZA"/>
                  <a:t>)</a:t>
                </a:r>
              </a:p>
            </c:rich>
          </c:tx>
          <c:layout>
            <c:manualLayout>
              <c:xMode val="edge"/>
              <c:yMode val="edge"/>
              <c:x val="2.7777777777777776E-2"/>
              <c:y val="0.145249473766274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41967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1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ZA" sz="1100"/>
              <a:t>UTEX #1926 </a:t>
            </a:r>
            <a:r>
              <a:rPr lang="en-ZA" sz="1100" i="1"/>
              <a:t>Spirulina</a:t>
            </a:r>
            <a:r>
              <a:rPr lang="en-ZA" sz="1100"/>
              <a:t> growth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1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339933"/>
              </a:solidFill>
              <a:ln w="9525">
                <a:solidFill>
                  <a:srgbClr val="33993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'Growth curves'!$R$33:$R$55</c:f>
                <c:numCache>
                  <c:formatCode>General</c:formatCode>
                  <c:ptCount val="23"/>
                  <c:pt idx="0">
                    <c:v>1.1460162124460318E-2</c:v>
                  </c:pt>
                  <c:pt idx="1">
                    <c:v>1.5138507955248133E-3</c:v>
                  </c:pt>
                  <c:pt idx="2">
                    <c:v>5.2441329858550776E-3</c:v>
                  </c:pt>
                  <c:pt idx="3">
                    <c:v>7.5575999999999985E-3</c:v>
                  </c:pt>
                  <c:pt idx="4">
                    <c:v>8.0434882062724762E-3</c:v>
                  </c:pt>
                  <c:pt idx="5">
                    <c:v>1.9240707817888036E-3</c:v>
                  </c:pt>
                  <c:pt idx="6">
                    <c:v>7.0632505994840085E-3</c:v>
                  </c:pt>
                  <c:pt idx="7">
                    <c:v>3.7318565626835555E-3</c:v>
                  </c:pt>
                  <c:pt idx="8">
                    <c:v>1.4927426250734311E-2</c:v>
                  </c:pt>
                  <c:pt idx="9">
                    <c:v>1.9527185727936668E-2</c:v>
                  </c:pt>
                  <c:pt idx="10">
                    <c:v>3.827701288960661E-2</c:v>
                  </c:pt>
                  <c:pt idx="11">
                    <c:v>2.8946449669998795E-2</c:v>
                  </c:pt>
                  <c:pt idx="12">
                    <c:v>5.4042238948108383E-2</c:v>
                  </c:pt>
                  <c:pt idx="13">
                    <c:v>4.7405903120087349E-2</c:v>
                  </c:pt>
                  <c:pt idx="14">
                    <c:v>8.2793618614426495E-2</c:v>
                  </c:pt>
                  <c:pt idx="15">
                    <c:v>7.4296234175480091E-2</c:v>
                  </c:pt>
                  <c:pt idx="16">
                    <c:v>8.4862937153139958E-2</c:v>
                  </c:pt>
                  <c:pt idx="17">
                    <c:v>5.7636545758784338E-2</c:v>
                  </c:pt>
                  <c:pt idx="18">
                    <c:v>6.5456122586593238E-2</c:v>
                  </c:pt>
                  <c:pt idx="19">
                    <c:v>4.1624015168169312E-2</c:v>
                  </c:pt>
                  <c:pt idx="20">
                    <c:v>4.3923752874270722E-2</c:v>
                  </c:pt>
                  <c:pt idx="21">
                    <c:v>3.9351161967088051E-2</c:v>
                  </c:pt>
                  <c:pt idx="22">
                    <c:v>5.0718781091557655E-2</c:v>
                  </c:pt>
                </c:numCache>
              </c:numRef>
            </c:plus>
            <c:minus>
              <c:numRef>
                <c:f>'Growth curves'!$R$33:$R$55</c:f>
                <c:numCache>
                  <c:formatCode>General</c:formatCode>
                  <c:ptCount val="23"/>
                  <c:pt idx="0">
                    <c:v>1.1460162124460318E-2</c:v>
                  </c:pt>
                  <c:pt idx="1">
                    <c:v>1.5138507955248133E-3</c:v>
                  </c:pt>
                  <c:pt idx="2">
                    <c:v>5.2441329858550776E-3</c:v>
                  </c:pt>
                  <c:pt idx="3">
                    <c:v>7.5575999999999985E-3</c:v>
                  </c:pt>
                  <c:pt idx="4">
                    <c:v>8.0434882062724762E-3</c:v>
                  </c:pt>
                  <c:pt idx="5">
                    <c:v>1.9240707817888036E-3</c:v>
                  </c:pt>
                  <c:pt idx="6">
                    <c:v>7.0632505994840085E-3</c:v>
                  </c:pt>
                  <c:pt idx="7">
                    <c:v>3.7318565626835555E-3</c:v>
                  </c:pt>
                  <c:pt idx="8">
                    <c:v>1.4927426250734311E-2</c:v>
                  </c:pt>
                  <c:pt idx="9">
                    <c:v>1.9527185727936668E-2</c:v>
                  </c:pt>
                  <c:pt idx="10">
                    <c:v>3.827701288960661E-2</c:v>
                  </c:pt>
                  <c:pt idx="11">
                    <c:v>2.8946449669998795E-2</c:v>
                  </c:pt>
                  <c:pt idx="12">
                    <c:v>5.4042238948108383E-2</c:v>
                  </c:pt>
                  <c:pt idx="13">
                    <c:v>4.7405903120087349E-2</c:v>
                  </c:pt>
                  <c:pt idx="14">
                    <c:v>8.2793618614426495E-2</c:v>
                  </c:pt>
                  <c:pt idx="15">
                    <c:v>7.4296234175480091E-2</c:v>
                  </c:pt>
                  <c:pt idx="16">
                    <c:v>8.4862937153139958E-2</c:v>
                  </c:pt>
                  <c:pt idx="17">
                    <c:v>5.7636545758784338E-2</c:v>
                  </c:pt>
                  <c:pt idx="18">
                    <c:v>6.5456122586593238E-2</c:v>
                  </c:pt>
                  <c:pt idx="19">
                    <c:v>4.1624015168169312E-2</c:v>
                  </c:pt>
                  <c:pt idx="20">
                    <c:v>4.3923752874270722E-2</c:v>
                  </c:pt>
                  <c:pt idx="21">
                    <c:v>3.9351161967088051E-2</c:v>
                  </c:pt>
                  <c:pt idx="22">
                    <c:v>5.0718781091557655E-2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'Growth curves'!$D$33:$D$56</c:f>
              <c:numCache>
                <c:formatCode>0</c:formatCode>
                <c:ptCount val="24"/>
                <c:pt idx="0">
                  <c:v>0</c:v>
                </c:pt>
                <c:pt idx="1">
                  <c:v>2.5</c:v>
                </c:pt>
                <c:pt idx="2">
                  <c:v>6.5</c:v>
                </c:pt>
                <c:pt idx="3">
                  <c:v>9.5</c:v>
                </c:pt>
                <c:pt idx="4">
                  <c:v>24</c:v>
                </c:pt>
                <c:pt idx="5">
                  <c:v>30</c:v>
                </c:pt>
                <c:pt idx="6">
                  <c:v>48</c:v>
                </c:pt>
                <c:pt idx="7">
                  <c:v>72</c:v>
                </c:pt>
                <c:pt idx="8">
                  <c:v>96.5</c:v>
                </c:pt>
                <c:pt idx="9">
                  <c:v>120.5</c:v>
                </c:pt>
                <c:pt idx="10">
                  <c:v>144.5</c:v>
                </c:pt>
                <c:pt idx="11">
                  <c:v>168</c:v>
                </c:pt>
                <c:pt idx="12">
                  <c:v>192</c:v>
                </c:pt>
                <c:pt idx="13">
                  <c:v>216</c:v>
                </c:pt>
                <c:pt idx="14">
                  <c:v>240</c:v>
                </c:pt>
                <c:pt idx="15">
                  <c:v>265</c:v>
                </c:pt>
                <c:pt idx="16">
                  <c:v>287.5</c:v>
                </c:pt>
                <c:pt idx="17">
                  <c:v>313</c:v>
                </c:pt>
                <c:pt idx="18">
                  <c:v>337</c:v>
                </c:pt>
                <c:pt idx="19">
                  <c:v>360</c:v>
                </c:pt>
                <c:pt idx="20">
                  <c:v>384.5</c:v>
                </c:pt>
                <c:pt idx="21">
                  <c:v>408</c:v>
                </c:pt>
                <c:pt idx="22">
                  <c:v>433.5</c:v>
                </c:pt>
                <c:pt idx="23">
                  <c:v>458</c:v>
                </c:pt>
              </c:numCache>
            </c:numRef>
          </c:xVal>
          <c:yVal>
            <c:numRef>
              <c:f>'Growth curves'!$Q$33:$Q$56</c:f>
              <c:numCache>
                <c:formatCode>0.000</c:formatCode>
                <c:ptCount val="24"/>
                <c:pt idx="0">
                  <c:v>-2.0199620964695346</c:v>
                </c:pt>
                <c:pt idx="1">
                  <c:v>-1.9556055244376536</c:v>
                </c:pt>
                <c:pt idx="2">
                  <c:v>-1.7506065920604847</c:v>
                </c:pt>
                <c:pt idx="3">
                  <c:v>-1.6546835725163251</c:v>
                </c:pt>
                <c:pt idx="4">
                  <c:v>-1.4945818073582131</c:v>
                </c:pt>
                <c:pt idx="5">
                  <c:v>-1.3346804577430325</c:v>
                </c:pt>
                <c:pt idx="6">
                  <c:v>-0.99943174652037292</c:v>
                </c:pt>
                <c:pt idx="7">
                  <c:v>-0.62335309100618896</c:v>
                </c:pt>
                <c:pt idx="8">
                  <c:v>-0.40773244759689048</c:v>
                </c:pt>
                <c:pt idx="9">
                  <c:v>-0.19288235438625564</c:v>
                </c:pt>
                <c:pt idx="10">
                  <c:v>4.4737863085414914E-2</c:v>
                </c:pt>
                <c:pt idx="11">
                  <c:v>0.19008506644722867</c:v>
                </c:pt>
                <c:pt idx="12">
                  <c:v>0.32970288965297989</c:v>
                </c:pt>
                <c:pt idx="13">
                  <c:v>0.5206893254907865</c:v>
                </c:pt>
                <c:pt idx="14">
                  <c:v>0.62980524417669781</c:v>
                </c:pt>
                <c:pt idx="15">
                  <c:v>0.74872885866412819</c:v>
                </c:pt>
                <c:pt idx="16">
                  <c:v>0.82311300926549691</c:v>
                </c:pt>
                <c:pt idx="17">
                  <c:v>0.92208382457730875</c:v>
                </c:pt>
                <c:pt idx="18">
                  <c:v>0.96862416626009473</c:v>
                </c:pt>
                <c:pt idx="19">
                  <c:v>1.0208426183999617</c:v>
                </c:pt>
                <c:pt idx="20">
                  <c:v>1.0824309470302758</c:v>
                </c:pt>
                <c:pt idx="21">
                  <c:v>1.1160474040717208</c:v>
                </c:pt>
                <c:pt idx="22">
                  <c:v>1.1516138329358219</c:v>
                </c:pt>
                <c:pt idx="23">
                  <c:v>1.1845401627017658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7C-43AC-BB7D-AE76B0D418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6055376"/>
        <c:axId val="1020619264"/>
      </c:scatterChart>
      <c:valAx>
        <c:axId val="1156055376"/>
        <c:scaling>
          <c:orientation val="minMax"/>
          <c:max val="5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20619264"/>
        <c:crosses val="autoZero"/>
        <c:crossBetween val="midCat"/>
      </c:valAx>
      <c:valAx>
        <c:axId val="10206192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Ln biomass concentration (g.L</a:t>
                </a:r>
                <a:r>
                  <a:rPr lang="en-ZA" baseline="30000"/>
                  <a:t>-1</a:t>
                </a:r>
                <a:r>
                  <a:rPr lang="en-ZA"/>
                  <a:t>)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127245661456497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56055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CeBER'!$AF$5:$AF$23</c:f>
                <c:numCache>
                  <c:formatCode>General</c:formatCode>
                  <c:ptCount val="19"/>
                  <c:pt idx="0">
                    <c:v>2.8738887292746562</c:v>
                  </c:pt>
                  <c:pt idx="1">
                    <c:v>2.3721993529310126</c:v>
                  </c:pt>
                  <c:pt idx="2">
                    <c:v>0.64809461442733385</c:v>
                  </c:pt>
                  <c:pt idx="3">
                    <c:v>1.2812789670942186</c:v>
                  </c:pt>
                  <c:pt idx="4">
                    <c:v>2.6086175640539859</c:v>
                  </c:pt>
                  <c:pt idx="5">
                    <c:v>7.7326704424321751</c:v>
                  </c:pt>
                  <c:pt idx="6">
                    <c:v>8.9066755877267045</c:v>
                  </c:pt>
                  <c:pt idx="7">
                    <c:v>0.84907741679773707</c:v>
                  </c:pt>
                  <c:pt idx="8">
                    <c:v>1.9447609985845744</c:v>
                  </c:pt>
                  <c:pt idx="9">
                    <c:v>3.3020550609519153</c:v>
                  </c:pt>
                  <c:pt idx="10">
                    <c:v>3.8293790087109216</c:v>
                  </c:pt>
                  <c:pt idx="11">
                    <c:v>4.3410942829360053</c:v>
                  </c:pt>
                  <c:pt idx="12">
                    <c:v>3.4310787913404028</c:v>
                  </c:pt>
                  <c:pt idx="13">
                    <c:v>0.19600379860195918</c:v>
                  </c:pt>
                  <c:pt idx="14">
                    <c:v>4.3708465338660396</c:v>
                  </c:pt>
                  <c:pt idx="15">
                    <c:v>1.7867612911982582</c:v>
                  </c:pt>
                  <c:pt idx="16">
                    <c:v>5.0505781103174412</c:v>
                  </c:pt>
                  <c:pt idx="17">
                    <c:v>2.9670148945245005</c:v>
                  </c:pt>
                  <c:pt idx="18">
                    <c:v>2.1954551529876016</c:v>
                  </c:pt>
                </c:numCache>
              </c:numRef>
            </c:plus>
            <c:minus>
              <c:numRef>
                <c:f>'C-phycocyanin CeBER'!$AF$5:$AF$23</c:f>
                <c:numCache>
                  <c:formatCode>General</c:formatCode>
                  <c:ptCount val="19"/>
                  <c:pt idx="0">
                    <c:v>2.8738887292746562</c:v>
                  </c:pt>
                  <c:pt idx="1">
                    <c:v>2.3721993529310126</c:v>
                  </c:pt>
                  <c:pt idx="2">
                    <c:v>0.64809461442733385</c:v>
                  </c:pt>
                  <c:pt idx="3">
                    <c:v>1.2812789670942186</c:v>
                  </c:pt>
                  <c:pt idx="4">
                    <c:v>2.6086175640539859</c:v>
                  </c:pt>
                  <c:pt idx="5">
                    <c:v>7.7326704424321751</c:v>
                  </c:pt>
                  <c:pt idx="6">
                    <c:v>8.9066755877267045</c:v>
                  </c:pt>
                  <c:pt idx="7">
                    <c:v>0.84907741679773707</c:v>
                  </c:pt>
                  <c:pt idx="8">
                    <c:v>1.9447609985845744</c:v>
                  </c:pt>
                  <c:pt idx="9">
                    <c:v>3.3020550609519153</c:v>
                  </c:pt>
                  <c:pt idx="10">
                    <c:v>3.8293790087109216</c:v>
                  </c:pt>
                  <c:pt idx="11">
                    <c:v>4.3410942829360053</c:v>
                  </c:pt>
                  <c:pt idx="12">
                    <c:v>3.4310787913404028</c:v>
                  </c:pt>
                  <c:pt idx="13">
                    <c:v>0.19600379860195918</c:v>
                  </c:pt>
                  <c:pt idx="14">
                    <c:v>4.3708465338660396</c:v>
                  </c:pt>
                  <c:pt idx="15">
                    <c:v>1.7867612911982582</c:v>
                  </c:pt>
                  <c:pt idx="16">
                    <c:v>5.0505781103174412</c:v>
                  </c:pt>
                  <c:pt idx="17">
                    <c:v>2.9670148945245005</c:v>
                  </c:pt>
                  <c:pt idx="18">
                    <c:v>2.1954551529876016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CeBER'!$AD$5:$AD$23</c:f>
              <c:numCache>
                <c:formatCode>0</c:formatCode>
                <c:ptCount val="19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96.5</c:v>
                </c:pt>
                <c:pt idx="5">
                  <c:v>120.5</c:v>
                </c:pt>
                <c:pt idx="6">
                  <c:v>144.5</c:v>
                </c:pt>
                <c:pt idx="7">
                  <c:v>168</c:v>
                </c:pt>
                <c:pt idx="8">
                  <c:v>192</c:v>
                </c:pt>
                <c:pt idx="9">
                  <c:v>216</c:v>
                </c:pt>
                <c:pt idx="10">
                  <c:v>240</c:v>
                </c:pt>
                <c:pt idx="11">
                  <c:v>265</c:v>
                </c:pt>
                <c:pt idx="12">
                  <c:v>287.5</c:v>
                </c:pt>
                <c:pt idx="13">
                  <c:v>337</c:v>
                </c:pt>
                <c:pt idx="14">
                  <c:v>360</c:v>
                </c:pt>
                <c:pt idx="15">
                  <c:v>384.5</c:v>
                </c:pt>
                <c:pt idx="16">
                  <c:v>408</c:v>
                </c:pt>
                <c:pt idx="17">
                  <c:v>433.5</c:v>
                </c:pt>
                <c:pt idx="18">
                  <c:v>458</c:v>
                </c:pt>
              </c:numCache>
            </c:numRef>
          </c:xVal>
          <c:yVal>
            <c:numRef>
              <c:f>'C-phycocyanin CeBER'!$AE$5:$AE$23</c:f>
              <c:numCache>
                <c:formatCode>0.00</c:formatCode>
                <c:ptCount val="19"/>
                <c:pt idx="0">
                  <c:v>45.294605552283478</c:v>
                </c:pt>
                <c:pt idx="1">
                  <c:v>33.95056356775526</c:v>
                </c:pt>
                <c:pt idx="2">
                  <c:v>24.087754437646208</c:v>
                </c:pt>
                <c:pt idx="3">
                  <c:v>25.127172794047578</c:v>
                </c:pt>
                <c:pt idx="4">
                  <c:v>44.479993264434114</c:v>
                </c:pt>
                <c:pt idx="5">
                  <c:v>50.229756480905088</c:v>
                </c:pt>
                <c:pt idx="6">
                  <c:v>50.656909712646971</c:v>
                </c:pt>
                <c:pt idx="7">
                  <c:v>42.585679229236113</c:v>
                </c:pt>
                <c:pt idx="8">
                  <c:v>45.464253552822548</c:v>
                </c:pt>
                <c:pt idx="9">
                  <c:v>51.834624284512586</c:v>
                </c:pt>
                <c:pt idx="10">
                  <c:v>45.462878853511597</c:v>
                </c:pt>
                <c:pt idx="11">
                  <c:v>51.827363952276244</c:v>
                </c:pt>
                <c:pt idx="12">
                  <c:v>47.726162431574721</c:v>
                </c:pt>
                <c:pt idx="13">
                  <c:v>51.080662751377048</c:v>
                </c:pt>
                <c:pt idx="14">
                  <c:v>56.164588361379458</c:v>
                </c:pt>
                <c:pt idx="15">
                  <c:v>51.132682253150428</c:v>
                </c:pt>
                <c:pt idx="16">
                  <c:v>38.049004081487645</c:v>
                </c:pt>
                <c:pt idx="17">
                  <c:v>46.340674209487332</c:v>
                </c:pt>
                <c:pt idx="18">
                  <c:v>59.619831940413228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C7-4C2A-83B6-1866644384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8529088"/>
        <c:axId val="678536160"/>
      </c:scatterChart>
      <c:valAx>
        <c:axId val="678529088"/>
        <c:scaling>
          <c:orientation val="minMax"/>
          <c:max val="5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</a:t>
                </a:r>
                <a:r>
                  <a:rPr lang="en-ZA" baseline="0"/>
                  <a:t> (h)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78536160"/>
        <c:crosses val="autoZero"/>
        <c:crossBetween val="midCat"/>
      </c:valAx>
      <c:valAx>
        <c:axId val="67853616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Specific</a:t>
                </a:r>
                <a:r>
                  <a:rPr lang="en-ZA" baseline="0"/>
                  <a:t> c-phycocyanin concentration</a:t>
                </a:r>
                <a:r>
                  <a:rPr lang="en-ZA"/>
                  <a:t> (mg CPC.(g biomass)</a:t>
                </a:r>
                <a:r>
                  <a:rPr lang="en-ZA" baseline="30000"/>
                  <a:t>-1</a:t>
                </a:r>
                <a:r>
                  <a:rPr lang="en-ZA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78529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CeBER'!$AH$5:$AH$23</c:f>
                <c:numCache>
                  <c:formatCode>General</c:formatCode>
                  <c:ptCount val="19"/>
                  <c:pt idx="0">
                    <c:v>0.30293030329537318</c:v>
                  </c:pt>
                  <c:pt idx="1">
                    <c:v>0.54336818758582195</c:v>
                  </c:pt>
                  <c:pt idx="2">
                    <c:v>0.21439242464473798</c:v>
                  </c:pt>
                  <c:pt idx="3">
                    <c:v>0.54508251587332646</c:v>
                  </c:pt>
                  <c:pt idx="4">
                    <c:v>1.9817993563159568</c:v>
                  </c:pt>
                  <c:pt idx="5">
                    <c:v>7.5712459524726912</c:v>
                  </c:pt>
                  <c:pt idx="6">
                    <c:v>9.9471609253998619</c:v>
                  </c:pt>
                  <c:pt idx="7">
                    <c:v>2.4321525362212597</c:v>
                  </c:pt>
                  <c:pt idx="8">
                    <c:v>4.4324801231395945</c:v>
                  </c:pt>
                  <c:pt idx="9">
                    <c:v>7.1480064790322118</c:v>
                  </c:pt>
                  <c:pt idx="10">
                    <c:v>9.020277391407074</c:v>
                  </c:pt>
                  <c:pt idx="11">
                    <c:v>14.327884579654048</c:v>
                  </c:pt>
                  <c:pt idx="12">
                    <c:v>9.3274534524425228</c:v>
                  </c:pt>
                  <c:pt idx="13">
                    <c:v>4.9881874751911823</c:v>
                  </c:pt>
                  <c:pt idx="14">
                    <c:v>17.277671714238085</c:v>
                  </c:pt>
                  <c:pt idx="15">
                    <c:v>10.063804516174557</c:v>
                  </c:pt>
                  <c:pt idx="16">
                    <c:v>11.06100351841919</c:v>
                  </c:pt>
                  <c:pt idx="17">
                    <c:v>13.617824531967905</c:v>
                  </c:pt>
                  <c:pt idx="18">
                    <c:v>15.355081012590192</c:v>
                  </c:pt>
                </c:numCache>
              </c:numRef>
            </c:plus>
            <c:minus>
              <c:numRef>
                <c:f>'C-phycocyanin CeBER'!$AH$5:$AH$23</c:f>
                <c:numCache>
                  <c:formatCode>General</c:formatCode>
                  <c:ptCount val="19"/>
                  <c:pt idx="0">
                    <c:v>0.30293030329537318</c:v>
                  </c:pt>
                  <c:pt idx="1">
                    <c:v>0.54336818758582195</c:v>
                  </c:pt>
                  <c:pt idx="2">
                    <c:v>0.21439242464473798</c:v>
                  </c:pt>
                  <c:pt idx="3">
                    <c:v>0.54508251587332646</c:v>
                  </c:pt>
                  <c:pt idx="4">
                    <c:v>1.9817993563159568</c:v>
                  </c:pt>
                  <c:pt idx="5">
                    <c:v>7.5712459524726912</c:v>
                  </c:pt>
                  <c:pt idx="6">
                    <c:v>9.9471609253998619</c:v>
                  </c:pt>
                  <c:pt idx="7">
                    <c:v>2.4321525362212597</c:v>
                  </c:pt>
                  <c:pt idx="8">
                    <c:v>4.4324801231395945</c:v>
                  </c:pt>
                  <c:pt idx="9">
                    <c:v>7.1480064790322118</c:v>
                  </c:pt>
                  <c:pt idx="10">
                    <c:v>9.020277391407074</c:v>
                  </c:pt>
                  <c:pt idx="11">
                    <c:v>14.327884579654048</c:v>
                  </c:pt>
                  <c:pt idx="12">
                    <c:v>9.3274534524425228</c:v>
                  </c:pt>
                  <c:pt idx="13">
                    <c:v>4.9881874751911823</c:v>
                  </c:pt>
                  <c:pt idx="14">
                    <c:v>17.277671714238085</c:v>
                  </c:pt>
                  <c:pt idx="15">
                    <c:v>10.063804516174557</c:v>
                  </c:pt>
                  <c:pt idx="16">
                    <c:v>11.06100351841919</c:v>
                  </c:pt>
                  <c:pt idx="17">
                    <c:v>13.617824531967905</c:v>
                  </c:pt>
                  <c:pt idx="18">
                    <c:v>15.355081012590192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CeBER'!$AD$5:$AD$23</c:f>
              <c:numCache>
                <c:formatCode>0</c:formatCode>
                <c:ptCount val="19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96.5</c:v>
                </c:pt>
                <c:pt idx="5">
                  <c:v>120.5</c:v>
                </c:pt>
                <c:pt idx="6">
                  <c:v>144.5</c:v>
                </c:pt>
                <c:pt idx="7">
                  <c:v>168</c:v>
                </c:pt>
                <c:pt idx="8">
                  <c:v>192</c:v>
                </c:pt>
                <c:pt idx="9">
                  <c:v>216</c:v>
                </c:pt>
                <c:pt idx="10">
                  <c:v>240</c:v>
                </c:pt>
                <c:pt idx="11">
                  <c:v>265</c:v>
                </c:pt>
                <c:pt idx="12">
                  <c:v>287.5</c:v>
                </c:pt>
                <c:pt idx="13">
                  <c:v>337</c:v>
                </c:pt>
                <c:pt idx="14">
                  <c:v>360</c:v>
                </c:pt>
                <c:pt idx="15">
                  <c:v>384.5</c:v>
                </c:pt>
                <c:pt idx="16">
                  <c:v>408</c:v>
                </c:pt>
                <c:pt idx="17">
                  <c:v>433.5</c:v>
                </c:pt>
                <c:pt idx="18">
                  <c:v>458</c:v>
                </c:pt>
              </c:numCache>
            </c:numRef>
          </c:xVal>
          <c:yVal>
            <c:numRef>
              <c:f>'C-phycocyanin CeBER'!$AG$5:$AG$23</c:f>
              <c:numCache>
                <c:formatCode>0.00</c:formatCode>
                <c:ptCount val="19"/>
                <c:pt idx="0">
                  <c:v>6.435257968665586</c:v>
                </c:pt>
                <c:pt idx="1">
                  <c:v>8.3102917341977331</c:v>
                </c:pt>
                <c:pt idx="2">
                  <c:v>10.700276877363587</c:v>
                </c:pt>
                <c:pt idx="3">
                  <c:v>14.97813040248514</c:v>
                </c:pt>
                <c:pt idx="4">
                  <c:v>33.75852782009725</c:v>
                </c:pt>
                <c:pt idx="5">
                  <c:v>46.007985613182065</c:v>
                </c:pt>
                <c:pt idx="6">
                  <c:v>56.433780545650997</c:v>
                </c:pt>
                <c:pt idx="7">
                  <c:v>55.175985953538628</c:v>
                </c:pt>
                <c:pt idx="8">
                  <c:v>67.847177201512679</c:v>
                </c:pt>
                <c:pt idx="9">
                  <c:v>90.269719070772567</c:v>
                </c:pt>
                <c:pt idx="10">
                  <c:v>90.347582387898441</c:v>
                </c:pt>
                <c:pt idx="11">
                  <c:v>111.4234197730956</c:v>
                </c:pt>
                <c:pt idx="12">
                  <c:v>106.6044030253917</c:v>
                </c:pt>
                <c:pt idx="13">
                  <c:v>133.47440572663425</c:v>
                </c:pt>
                <c:pt idx="14">
                  <c:v>155.71988114532687</c:v>
                </c:pt>
                <c:pt idx="15">
                  <c:v>152.53957320367374</c:v>
                </c:pt>
                <c:pt idx="16">
                  <c:v>118.01715289032954</c:v>
                </c:pt>
                <c:pt idx="17">
                  <c:v>149.68976229065368</c:v>
                </c:pt>
                <c:pt idx="18">
                  <c:v>199.03363047001622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6B-2246-8D85-BDCB07FD8F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8529088"/>
        <c:axId val="678536160"/>
      </c:scatterChart>
      <c:valAx>
        <c:axId val="678529088"/>
        <c:scaling>
          <c:orientation val="minMax"/>
          <c:max val="5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</a:t>
                </a:r>
                <a:r>
                  <a:rPr lang="en-ZA" baseline="0"/>
                  <a:t> (h)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78536160"/>
        <c:crosses val="autoZero"/>
        <c:crossBetween val="midCat"/>
      </c:valAx>
      <c:valAx>
        <c:axId val="67853616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Total</a:t>
                </a:r>
                <a:r>
                  <a:rPr lang="en-ZA" baseline="0"/>
                  <a:t> c-phycocyanin</a:t>
                </a:r>
                <a:r>
                  <a:rPr lang="en-ZA"/>
                  <a:t> (mg CPC.L</a:t>
                </a:r>
                <a:r>
                  <a:rPr lang="en-ZA" baseline="30000"/>
                  <a:t>-1</a:t>
                </a:r>
                <a:r>
                  <a:rPr lang="en-ZA"/>
                  <a:t>)</a:t>
                </a:r>
              </a:p>
            </c:rich>
          </c:tx>
          <c:layout>
            <c:manualLayout>
              <c:xMode val="edge"/>
              <c:yMode val="edge"/>
              <c:x val="1.9915063040191184E-2"/>
              <c:y val="0.109309661165157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78529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UTEX #1926'!$AF$5:$AF$23</c:f>
                <c:numCache>
                  <c:formatCode>General</c:formatCode>
                  <c:ptCount val="19"/>
                  <c:pt idx="0">
                    <c:v>7.1610778131108628</c:v>
                  </c:pt>
                  <c:pt idx="1">
                    <c:v>4.5547444731352629</c:v>
                  </c:pt>
                  <c:pt idx="2">
                    <c:v>0.3680571665960653</c:v>
                  </c:pt>
                  <c:pt idx="3">
                    <c:v>2.7064266910309507</c:v>
                  </c:pt>
                  <c:pt idx="4">
                    <c:v>9.8444826813010824</c:v>
                  </c:pt>
                  <c:pt idx="5">
                    <c:v>1.2146404354412907</c:v>
                  </c:pt>
                  <c:pt idx="6">
                    <c:v>3.2953533634729202</c:v>
                  </c:pt>
                  <c:pt idx="7">
                    <c:v>6.2250330864053378</c:v>
                  </c:pt>
                  <c:pt idx="8">
                    <c:v>6.2610906472937637</c:v>
                  </c:pt>
                  <c:pt idx="9">
                    <c:v>1.528845172840174</c:v>
                  </c:pt>
                  <c:pt idx="10">
                    <c:v>5.5628201496170284</c:v>
                  </c:pt>
                  <c:pt idx="11">
                    <c:v>2.68618198397394</c:v>
                  </c:pt>
                  <c:pt idx="12">
                    <c:v>0.79294654836692202</c:v>
                  </c:pt>
                  <c:pt idx="13">
                    <c:v>3.2723292119998528</c:v>
                  </c:pt>
                  <c:pt idx="14">
                    <c:v>12.144122098836711</c:v>
                  </c:pt>
                  <c:pt idx="15">
                    <c:v>3.1813481620742339</c:v>
                  </c:pt>
                  <c:pt idx="16">
                    <c:v>3.5207701767255677</c:v>
                  </c:pt>
                  <c:pt idx="17">
                    <c:v>4.1266209138593641</c:v>
                  </c:pt>
                  <c:pt idx="18">
                    <c:v>4.039027616383259</c:v>
                  </c:pt>
                </c:numCache>
              </c:numRef>
            </c:plus>
            <c:minus>
              <c:numRef>
                <c:f>'C-phycocyanin UTEX #1926'!$AF$5:$AF$23</c:f>
                <c:numCache>
                  <c:formatCode>General</c:formatCode>
                  <c:ptCount val="19"/>
                  <c:pt idx="0">
                    <c:v>7.1610778131108628</c:v>
                  </c:pt>
                  <c:pt idx="1">
                    <c:v>4.5547444731352629</c:v>
                  </c:pt>
                  <c:pt idx="2">
                    <c:v>0.3680571665960653</c:v>
                  </c:pt>
                  <c:pt idx="3">
                    <c:v>2.7064266910309507</c:v>
                  </c:pt>
                  <c:pt idx="4">
                    <c:v>9.8444826813010824</c:v>
                  </c:pt>
                  <c:pt idx="5">
                    <c:v>1.2146404354412907</c:v>
                  </c:pt>
                  <c:pt idx="6">
                    <c:v>3.2953533634729202</c:v>
                  </c:pt>
                  <c:pt idx="7">
                    <c:v>6.2250330864053378</c:v>
                  </c:pt>
                  <c:pt idx="8">
                    <c:v>6.2610906472937637</c:v>
                  </c:pt>
                  <c:pt idx="9">
                    <c:v>1.528845172840174</c:v>
                  </c:pt>
                  <c:pt idx="10">
                    <c:v>5.5628201496170284</c:v>
                  </c:pt>
                  <c:pt idx="11">
                    <c:v>2.68618198397394</c:v>
                  </c:pt>
                  <c:pt idx="12">
                    <c:v>0.79294654836692202</c:v>
                  </c:pt>
                  <c:pt idx="13">
                    <c:v>3.2723292119998528</c:v>
                  </c:pt>
                  <c:pt idx="14">
                    <c:v>12.144122098836711</c:v>
                  </c:pt>
                  <c:pt idx="15">
                    <c:v>3.1813481620742339</c:v>
                  </c:pt>
                  <c:pt idx="16">
                    <c:v>3.5207701767255677</c:v>
                  </c:pt>
                  <c:pt idx="17">
                    <c:v>4.1266209138593641</c:v>
                  </c:pt>
                  <c:pt idx="18">
                    <c:v>4.039027616383259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UTEX #1926'!$AD$5:$AD$23</c:f>
              <c:numCache>
                <c:formatCode>0</c:formatCode>
                <c:ptCount val="19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96.5</c:v>
                </c:pt>
                <c:pt idx="5">
                  <c:v>120.5</c:v>
                </c:pt>
                <c:pt idx="6">
                  <c:v>144.5</c:v>
                </c:pt>
                <c:pt idx="7">
                  <c:v>168</c:v>
                </c:pt>
                <c:pt idx="8">
                  <c:v>192</c:v>
                </c:pt>
                <c:pt idx="9">
                  <c:v>216</c:v>
                </c:pt>
                <c:pt idx="10">
                  <c:v>240</c:v>
                </c:pt>
                <c:pt idx="11">
                  <c:v>265</c:v>
                </c:pt>
                <c:pt idx="12">
                  <c:v>287.5</c:v>
                </c:pt>
                <c:pt idx="13">
                  <c:v>337</c:v>
                </c:pt>
                <c:pt idx="14">
                  <c:v>360</c:v>
                </c:pt>
                <c:pt idx="15">
                  <c:v>384.5</c:v>
                </c:pt>
                <c:pt idx="16">
                  <c:v>408</c:v>
                </c:pt>
                <c:pt idx="17">
                  <c:v>433.5</c:v>
                </c:pt>
                <c:pt idx="18">
                  <c:v>458</c:v>
                </c:pt>
              </c:numCache>
            </c:numRef>
          </c:xVal>
          <c:yVal>
            <c:numRef>
              <c:f>'C-phycocyanin UTEX #1926'!$AE$5:$AE$23</c:f>
              <c:numCache>
                <c:formatCode>0.00</c:formatCode>
                <c:ptCount val="19"/>
                <c:pt idx="0">
                  <c:v>55.965761193195455</c:v>
                </c:pt>
                <c:pt idx="1">
                  <c:v>34.379451120944331</c:v>
                </c:pt>
                <c:pt idx="2">
                  <c:v>36.399605317505852</c:v>
                </c:pt>
                <c:pt idx="3">
                  <c:v>29.14270308950762</c:v>
                </c:pt>
                <c:pt idx="4">
                  <c:v>48.469834510054056</c:v>
                </c:pt>
                <c:pt idx="5">
                  <c:v>53.361148049698095</c:v>
                </c:pt>
                <c:pt idx="6">
                  <c:v>52.908578228174555</c:v>
                </c:pt>
                <c:pt idx="7">
                  <c:v>62.040162824321975</c:v>
                </c:pt>
                <c:pt idx="8">
                  <c:v>62.663287497782711</c:v>
                </c:pt>
                <c:pt idx="9">
                  <c:v>60.247984378101108</c:v>
                </c:pt>
                <c:pt idx="10">
                  <c:v>62.899065055167057</c:v>
                </c:pt>
                <c:pt idx="11">
                  <c:v>69.876971200935813</c:v>
                </c:pt>
                <c:pt idx="12">
                  <c:v>58.433875615815346</c:v>
                </c:pt>
                <c:pt idx="13">
                  <c:v>80.474416737891431</c:v>
                </c:pt>
                <c:pt idx="14">
                  <c:v>83.86273905770804</c:v>
                </c:pt>
                <c:pt idx="15">
                  <c:v>69.735967240915841</c:v>
                </c:pt>
                <c:pt idx="16">
                  <c:v>58.7058379187662</c:v>
                </c:pt>
                <c:pt idx="17">
                  <c:v>73.298580893471623</c:v>
                </c:pt>
                <c:pt idx="18">
                  <c:v>70.116677754458649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352-40DF-8F73-63EF14771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9831088"/>
        <c:axId val="769846480"/>
      </c:scatterChart>
      <c:valAx>
        <c:axId val="769831088"/>
        <c:scaling>
          <c:orientation val="minMax"/>
          <c:max val="5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</a:t>
                </a:r>
                <a:r>
                  <a:rPr lang="en-ZA" baseline="0"/>
                  <a:t> (h)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69846480"/>
        <c:crosses val="autoZero"/>
        <c:crossBetween val="midCat"/>
      </c:valAx>
      <c:valAx>
        <c:axId val="769846480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Specific</a:t>
                </a:r>
                <a:r>
                  <a:rPr lang="en-ZA" baseline="0"/>
                  <a:t> c-phycocyanin concentration</a:t>
                </a:r>
                <a:r>
                  <a:rPr lang="en-ZA"/>
                  <a:t> (mg PC.(g biomass)</a:t>
                </a:r>
                <a:r>
                  <a:rPr lang="en-ZA" baseline="30000"/>
                  <a:t>-1</a:t>
                </a:r>
                <a:r>
                  <a:rPr lang="en-ZA"/>
                  <a:t>)</a:t>
                </a:r>
              </a:p>
            </c:rich>
          </c:tx>
          <c:layout>
            <c:manualLayout>
              <c:xMode val="edge"/>
              <c:yMode val="edge"/>
              <c:x val="1.5154391270551945E-2"/>
              <c:y val="7.130438186670411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69831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'C-phycocyanin UTEX #1926'!$AH$5:$AH$23</c:f>
                <c:numCache>
                  <c:formatCode>General</c:formatCode>
                  <c:ptCount val="19"/>
                  <c:pt idx="0">
                    <c:v>0.95852157719671005</c:v>
                  </c:pt>
                  <c:pt idx="1">
                    <c:v>0.7491087695602181</c:v>
                  </c:pt>
                  <c:pt idx="2">
                    <c:v>0.36812323669188157</c:v>
                  </c:pt>
                  <c:pt idx="3">
                    <c:v>1.4631659913209341</c:v>
                  </c:pt>
                  <c:pt idx="4">
                    <c:v>6.375928288798093</c:v>
                  </c:pt>
                  <c:pt idx="5">
                    <c:v>1.7923673884222833</c:v>
                  </c:pt>
                  <c:pt idx="6">
                    <c:v>1.5633346590575643</c:v>
                  </c:pt>
                  <c:pt idx="7">
                    <c:v>8.7312662739464209</c:v>
                  </c:pt>
                  <c:pt idx="8">
                    <c:v>10.819824406534536</c:v>
                  </c:pt>
                  <c:pt idx="9">
                    <c:v>0.57787609025843223</c:v>
                  </c:pt>
                  <c:pt idx="10">
                    <c:v>14.752820245824577</c:v>
                  </c:pt>
                  <c:pt idx="11">
                    <c:v>8.9062690692687472</c:v>
                  </c:pt>
                  <c:pt idx="12">
                    <c:v>3.7026327494910949</c:v>
                  </c:pt>
                  <c:pt idx="13">
                    <c:v>8.0937087267507959</c:v>
                  </c:pt>
                  <c:pt idx="14">
                    <c:v>36.300081508542149</c:v>
                  </c:pt>
                  <c:pt idx="15">
                    <c:v>11.315747607461331</c:v>
                  </c:pt>
                  <c:pt idx="16">
                    <c:v>8.5146083567627038</c:v>
                  </c:pt>
                  <c:pt idx="17">
                    <c:v>16.258810514783786</c:v>
                  </c:pt>
                  <c:pt idx="18">
                    <c:v>15.560792119615313</c:v>
                  </c:pt>
                </c:numCache>
              </c:numRef>
            </c:plus>
            <c:minus>
              <c:numRef>
                <c:f>'C-phycocyanin UTEX #1926'!$AH$5:$AH$23</c:f>
                <c:numCache>
                  <c:formatCode>General</c:formatCode>
                  <c:ptCount val="19"/>
                  <c:pt idx="0">
                    <c:v>0.95852157719671005</c:v>
                  </c:pt>
                  <c:pt idx="1">
                    <c:v>0.7491087695602181</c:v>
                  </c:pt>
                  <c:pt idx="2">
                    <c:v>0.36812323669188157</c:v>
                  </c:pt>
                  <c:pt idx="3">
                    <c:v>1.4631659913209341</c:v>
                  </c:pt>
                  <c:pt idx="4">
                    <c:v>6.375928288798093</c:v>
                  </c:pt>
                  <c:pt idx="5">
                    <c:v>1.7923673884222833</c:v>
                  </c:pt>
                  <c:pt idx="6">
                    <c:v>1.5633346590575643</c:v>
                  </c:pt>
                  <c:pt idx="7">
                    <c:v>8.7312662739464209</c:v>
                  </c:pt>
                  <c:pt idx="8">
                    <c:v>10.819824406534536</c:v>
                  </c:pt>
                  <c:pt idx="9">
                    <c:v>0.57787609025843223</c:v>
                  </c:pt>
                  <c:pt idx="10">
                    <c:v>14.752820245824577</c:v>
                  </c:pt>
                  <c:pt idx="11">
                    <c:v>8.9062690692687472</c:v>
                  </c:pt>
                  <c:pt idx="12">
                    <c:v>3.7026327494910949</c:v>
                  </c:pt>
                  <c:pt idx="13">
                    <c:v>8.0937087267507959</c:v>
                  </c:pt>
                  <c:pt idx="14">
                    <c:v>36.300081508542149</c:v>
                  </c:pt>
                  <c:pt idx="15">
                    <c:v>11.315747607461331</c:v>
                  </c:pt>
                  <c:pt idx="16">
                    <c:v>8.5146083567627038</c:v>
                  </c:pt>
                  <c:pt idx="17">
                    <c:v>16.258810514783786</c:v>
                  </c:pt>
                  <c:pt idx="18">
                    <c:v>15.560792119615313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'C-phycocyanin UTEX #1926'!$AD$5:$AD$23</c:f>
              <c:numCache>
                <c:formatCode>0</c:formatCode>
                <c:ptCount val="19"/>
                <c:pt idx="0">
                  <c:v>0</c:v>
                </c:pt>
                <c:pt idx="1">
                  <c:v>24</c:v>
                </c:pt>
                <c:pt idx="2">
                  <c:v>48</c:v>
                </c:pt>
                <c:pt idx="3">
                  <c:v>72</c:v>
                </c:pt>
                <c:pt idx="4">
                  <c:v>96.5</c:v>
                </c:pt>
                <c:pt idx="5">
                  <c:v>120.5</c:v>
                </c:pt>
                <c:pt idx="6">
                  <c:v>144.5</c:v>
                </c:pt>
                <c:pt idx="7">
                  <c:v>168</c:v>
                </c:pt>
                <c:pt idx="8">
                  <c:v>192</c:v>
                </c:pt>
                <c:pt idx="9">
                  <c:v>216</c:v>
                </c:pt>
                <c:pt idx="10">
                  <c:v>240</c:v>
                </c:pt>
                <c:pt idx="11">
                  <c:v>265</c:v>
                </c:pt>
                <c:pt idx="12">
                  <c:v>287.5</c:v>
                </c:pt>
                <c:pt idx="13">
                  <c:v>337</c:v>
                </c:pt>
                <c:pt idx="14">
                  <c:v>360</c:v>
                </c:pt>
                <c:pt idx="15">
                  <c:v>384.5</c:v>
                </c:pt>
                <c:pt idx="16">
                  <c:v>408</c:v>
                </c:pt>
                <c:pt idx="17">
                  <c:v>433.5</c:v>
                </c:pt>
                <c:pt idx="18">
                  <c:v>458</c:v>
                </c:pt>
              </c:numCache>
            </c:numRef>
          </c:xVal>
          <c:yVal>
            <c:numRef>
              <c:f>'C-phycocyanin UTEX #1926'!$AG$5:$AG$23</c:f>
              <c:numCache>
                <c:formatCode>0.00</c:formatCode>
                <c:ptCount val="19"/>
                <c:pt idx="0">
                  <c:v>7.4245131086142324</c:v>
                </c:pt>
                <c:pt idx="1">
                  <c:v>7.6509051186017478</c:v>
                </c:pt>
                <c:pt idx="2">
                  <c:v>13.406841448189761</c:v>
                </c:pt>
                <c:pt idx="3">
                  <c:v>15.62592384519351</c:v>
                </c:pt>
                <c:pt idx="4">
                  <c:v>32.187122347066172</c:v>
                </c:pt>
                <c:pt idx="5">
                  <c:v>44.05204744069912</c:v>
                </c:pt>
                <c:pt idx="6">
                  <c:v>55.153558052434448</c:v>
                </c:pt>
                <c:pt idx="7">
                  <c:v>75.300967540574277</c:v>
                </c:pt>
                <c:pt idx="8">
                  <c:v>87.534363295880141</c:v>
                </c:pt>
                <c:pt idx="9">
                  <c:v>101.34647315855182</c:v>
                </c:pt>
                <c:pt idx="10">
                  <c:v>119.07112983770286</c:v>
                </c:pt>
                <c:pt idx="11">
                  <c:v>148.07312734082396</c:v>
                </c:pt>
                <c:pt idx="12">
                  <c:v>133.16729088639204</c:v>
                </c:pt>
                <c:pt idx="13">
                  <c:v>211.9656991260924</c:v>
                </c:pt>
                <c:pt idx="14">
                  <c:v>233.69296712442781</c:v>
                </c:pt>
                <c:pt idx="15">
                  <c:v>206.05724094881398</c:v>
                </c:pt>
                <c:pt idx="16">
                  <c:v>178.96922596754052</c:v>
                </c:pt>
                <c:pt idx="17">
                  <c:v>232.27578027465665</c:v>
                </c:pt>
                <c:pt idx="18">
                  <c:v>229.50062421972538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A7-0F47-B379-32F4305B69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5067584"/>
        <c:axId val="1618619616"/>
      </c:scatterChart>
      <c:valAx>
        <c:axId val="11450675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618619616"/>
        <c:crosses val="autoZero"/>
        <c:crossBetween val="midCat"/>
      </c:valAx>
      <c:valAx>
        <c:axId val="16186196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Total</a:t>
                </a:r>
                <a:r>
                  <a:rPr lang="en-GB" baseline="0"/>
                  <a:t> c-phycocyanin (mg CPC.L</a:t>
                </a:r>
                <a:r>
                  <a:rPr lang="en-GB" baseline="30000"/>
                  <a:t>-1</a:t>
                </a:r>
                <a:r>
                  <a:rPr lang="en-GB" baseline="0"/>
                  <a:t>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6826923076923076E-2"/>
              <c:y val="0.1171731848436072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45067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'Nitrate content'!$Y$4:$Y$24</c:f>
                <c:numCache>
                  <c:formatCode>General</c:formatCode>
                  <c:ptCount val="21"/>
                  <c:pt idx="0">
                    <c:v>2.5626764756758607E-2</c:v>
                  </c:pt>
                  <c:pt idx="1">
                    <c:v>1.265354675460568E-2</c:v>
                  </c:pt>
                  <c:pt idx="2">
                    <c:v>1.4804864642750286E-2</c:v>
                  </c:pt>
                  <c:pt idx="3">
                    <c:v>1.0046292607114015E-2</c:v>
                  </c:pt>
                  <c:pt idx="4">
                    <c:v>3.0276195170589978E-2</c:v>
                  </c:pt>
                  <c:pt idx="5">
                    <c:v>2.042149662942442E-2</c:v>
                  </c:pt>
                  <c:pt idx="6">
                    <c:v>4.9667003360766258E-2</c:v>
                  </c:pt>
                  <c:pt idx="7">
                    <c:v>3.5229572721127228E-2</c:v>
                  </c:pt>
                  <c:pt idx="8">
                    <c:v>2.3078362073007067E-2</c:v>
                  </c:pt>
                  <c:pt idx="9">
                    <c:v>1.456264144359859E-2</c:v>
                  </c:pt>
                </c:numCache>
              </c:numRef>
            </c:plus>
            <c:minus>
              <c:numRef>
                <c:f>'Nitrate content'!$Y$4:$Y$24</c:f>
                <c:numCache>
                  <c:formatCode>General</c:formatCode>
                  <c:ptCount val="21"/>
                  <c:pt idx="0">
                    <c:v>2.5626764756758607E-2</c:v>
                  </c:pt>
                  <c:pt idx="1">
                    <c:v>1.265354675460568E-2</c:v>
                  </c:pt>
                  <c:pt idx="2">
                    <c:v>1.4804864642750286E-2</c:v>
                  </c:pt>
                  <c:pt idx="3">
                    <c:v>1.0046292607114015E-2</c:v>
                  </c:pt>
                  <c:pt idx="4">
                    <c:v>3.0276195170589978E-2</c:v>
                  </c:pt>
                  <c:pt idx="5">
                    <c:v>2.042149662942442E-2</c:v>
                  </c:pt>
                  <c:pt idx="6">
                    <c:v>4.9667003360766258E-2</c:v>
                  </c:pt>
                  <c:pt idx="7">
                    <c:v>3.5229572721127228E-2</c:v>
                  </c:pt>
                  <c:pt idx="8">
                    <c:v>2.3078362073007067E-2</c:v>
                  </c:pt>
                  <c:pt idx="9">
                    <c:v>1.456264144359859E-2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'Nitrate content'!$W$4:$W$24</c:f>
              <c:numCache>
                <c:formatCode>General</c:formatCode>
                <c:ptCount val="21"/>
                <c:pt idx="0">
                  <c:v>0</c:v>
                </c:pt>
                <c:pt idx="1">
                  <c:v>48</c:v>
                </c:pt>
                <c:pt idx="2">
                  <c:v>96.5</c:v>
                </c:pt>
                <c:pt idx="3">
                  <c:v>144.5</c:v>
                </c:pt>
                <c:pt idx="4">
                  <c:v>192</c:v>
                </c:pt>
                <c:pt idx="5">
                  <c:v>240</c:v>
                </c:pt>
                <c:pt idx="6">
                  <c:v>287.5</c:v>
                </c:pt>
                <c:pt idx="7">
                  <c:v>337</c:v>
                </c:pt>
                <c:pt idx="8">
                  <c:v>384.5</c:v>
                </c:pt>
                <c:pt idx="9">
                  <c:v>433.5</c:v>
                </c:pt>
              </c:numCache>
            </c:numRef>
          </c:xVal>
          <c:yVal>
            <c:numRef>
              <c:f>'Nitrate content'!$X$4:$X$24</c:f>
              <c:numCache>
                <c:formatCode>0.000</c:formatCode>
                <c:ptCount val="21"/>
                <c:pt idx="0">
                  <c:v>1.4754431301587305</c:v>
                </c:pt>
                <c:pt idx="1">
                  <c:v>1.4715175985185187</c:v>
                </c:pt>
                <c:pt idx="2">
                  <c:v>1.2906931010052907</c:v>
                </c:pt>
                <c:pt idx="3">
                  <c:v>1.1909145803174603</c:v>
                </c:pt>
                <c:pt idx="4">
                  <c:v>1.0839070088888889</c:v>
                </c:pt>
                <c:pt idx="5">
                  <c:v>0.98564718476190472</c:v>
                </c:pt>
                <c:pt idx="6">
                  <c:v>0.83033597428571426</c:v>
                </c:pt>
                <c:pt idx="7">
                  <c:v>0.76993469841269846</c:v>
                </c:pt>
                <c:pt idx="8">
                  <c:v>0.63370672750000001</c:v>
                </c:pt>
                <c:pt idx="9">
                  <c:v>0.5437381916666667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8C3-40CE-97B2-AEA1CC87E3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5087839"/>
        <c:axId val="1805094495"/>
      </c:scatterChart>
      <c:valAx>
        <c:axId val="1805087839"/>
        <c:scaling>
          <c:orientation val="minMax"/>
          <c:max val="45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Time</a:t>
                </a:r>
                <a:r>
                  <a:rPr lang="en-ZA" baseline="0"/>
                  <a:t> (h)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05094495"/>
        <c:crosses val="autoZero"/>
        <c:crossBetween val="midCat"/>
      </c:valAx>
      <c:valAx>
        <c:axId val="180509449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/>
                  <a:t>Nitrate concentration (g.L</a:t>
                </a:r>
                <a:r>
                  <a:rPr lang="en-ZA" baseline="30000"/>
                  <a:t>-1</a:t>
                </a:r>
                <a:r>
                  <a:rPr lang="en-ZA"/>
                  <a:t>)</a:t>
                </a:r>
              </a:p>
            </c:rich>
          </c:tx>
          <c:layout>
            <c:manualLayout>
              <c:xMode val="edge"/>
              <c:yMode val="edge"/>
              <c:x val="1.7811708403299552E-2"/>
              <c:y val="0.1340666090821239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050878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2</xdr:row>
      <xdr:rowOff>103187</xdr:rowOff>
    </xdr:from>
    <xdr:to>
      <xdr:col>0</xdr:col>
      <xdr:colOff>4610100</xdr:colOff>
      <xdr:row>14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2592261-91DD-41A1-9672-088E0AFFDF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65087</xdr:colOff>
      <xdr:row>30</xdr:row>
      <xdr:rowOff>100012</xdr:rowOff>
    </xdr:from>
    <xdr:to>
      <xdr:col>0</xdr:col>
      <xdr:colOff>4508500</xdr:colOff>
      <xdr:row>43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E171920-B9C9-484C-A569-5CB8A4163A5B}"/>
            </a:ext>
            <a:ext uri="{147F2762-F138-4A5C-976F-8EAC2B608ADB}">
              <a16:predDERef xmlns:a16="http://schemas.microsoft.com/office/drawing/2014/main" pred="{9901AC72-0B6F-426F-8DAA-9321B8D2A4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114300</xdr:colOff>
      <xdr:row>14</xdr:row>
      <xdr:rowOff>82550</xdr:rowOff>
    </xdr:from>
    <xdr:to>
      <xdr:col>0</xdr:col>
      <xdr:colOff>4597400</xdr:colOff>
      <xdr:row>28</xdr:row>
      <xdr:rowOff>25400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717BE25-AAA6-48D1-989B-B90D9015ABA3}"/>
            </a:ext>
            <a:ext uri="{147F2762-F138-4A5C-976F-8EAC2B608ADB}">
              <a16:predDERef xmlns:a16="http://schemas.microsoft.com/office/drawing/2014/main" pred="{1E171920-B9C9-484C-A569-5CB8A4163A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41275</xdr:colOff>
      <xdr:row>43</xdr:row>
      <xdr:rowOff>120650</xdr:rowOff>
    </xdr:from>
    <xdr:to>
      <xdr:col>0</xdr:col>
      <xdr:colOff>4533900</xdr:colOff>
      <xdr:row>57</xdr:row>
      <xdr:rowOff>50800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6C726E6-84CC-4DEB-8587-489AFF22F6C1}"/>
            </a:ext>
            <a:ext uri="{147F2762-F138-4A5C-976F-8EAC2B608ADB}">
              <a16:predDERef xmlns:a16="http://schemas.microsoft.com/office/drawing/2014/main" pred="{EAFC1558-A383-4957-916D-C1C93CC7A2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283134</xdr:colOff>
      <xdr:row>2</xdr:row>
      <xdr:rowOff>323101</xdr:rowOff>
    </xdr:from>
    <xdr:to>
      <xdr:col>0</xdr:col>
      <xdr:colOff>5384800</xdr:colOff>
      <xdr:row>20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709F117-B478-496E-B6F4-89E62097D9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241300</xdr:colOff>
      <xdr:row>21</xdr:row>
      <xdr:rowOff>127000</xdr:rowOff>
    </xdr:from>
    <xdr:to>
      <xdr:col>0</xdr:col>
      <xdr:colOff>5342966</xdr:colOff>
      <xdr:row>40</xdr:row>
      <xdr:rowOff>108699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4DAC6E8-220E-A54B-8F39-0A74967E33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83296</xdr:colOff>
      <xdr:row>2</xdr:row>
      <xdr:rowOff>28758</xdr:rowOff>
    </xdr:from>
    <xdr:to>
      <xdr:col>0</xdr:col>
      <xdr:colOff>5664199</xdr:colOff>
      <xdr:row>17</xdr:row>
      <xdr:rowOff>76199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CDE11AB-C482-4929-BEA0-2DBDACF999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165100</xdr:colOff>
      <xdr:row>19</xdr:row>
      <xdr:rowOff>107950</xdr:rowOff>
    </xdr:from>
    <xdr:to>
      <xdr:col>0</xdr:col>
      <xdr:colOff>5537200</xdr:colOff>
      <xdr:row>42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E55E1DF-D4FB-C646-ACBB-07747425A8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</xdr:row>
      <xdr:rowOff>185737</xdr:rowOff>
    </xdr:from>
    <xdr:to>
      <xdr:col>0</xdr:col>
      <xdr:colOff>5105399</xdr:colOff>
      <xdr:row>18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AB2F4F-8D82-4E87-B06B-5D1C010B10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127000</xdr:colOff>
      <xdr:row>35</xdr:row>
      <xdr:rowOff>46037</xdr:rowOff>
    </xdr:from>
    <xdr:to>
      <xdr:col>0</xdr:col>
      <xdr:colOff>5118100</xdr:colOff>
      <xdr:row>52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F18C0C6-3DF0-9440-BA9A-44736A0F25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5FACB5-61A1-4C41-8EDF-2C4D4AD3A8FE}">
  <dimension ref="A1:F17"/>
  <sheetViews>
    <sheetView tabSelected="1" workbookViewId="0">
      <selection sqref="A1:C2"/>
    </sheetView>
  </sheetViews>
  <sheetFormatPr baseColWidth="10" defaultColWidth="41.1640625" defaultRowHeight="14" x14ac:dyDescent="0.15"/>
  <cols>
    <col min="1" max="1" width="31" style="21" customWidth="1"/>
    <col min="2" max="2" width="9.5" style="22" customWidth="1"/>
    <col min="3" max="3" width="56.1640625" style="21" customWidth="1"/>
    <col min="4" max="4" width="41.1640625" style="3"/>
    <col min="5" max="16384" width="41.1640625" style="1"/>
  </cols>
  <sheetData>
    <row r="1" spans="1:6" s="4" customFormat="1" ht="18" customHeight="1" x14ac:dyDescent="0.2">
      <c r="A1" s="159" t="s">
        <v>108</v>
      </c>
      <c r="B1" s="159"/>
      <c r="C1" s="159"/>
      <c r="D1" s="3"/>
    </row>
    <row r="2" spans="1:6" ht="18" customHeight="1" x14ac:dyDescent="0.15">
      <c r="A2" s="159"/>
      <c r="B2" s="159"/>
      <c r="C2" s="159"/>
    </row>
    <row r="3" spans="1:6" ht="16" x14ac:dyDescent="0.15">
      <c r="A3" s="163" t="s">
        <v>49</v>
      </c>
      <c r="B3" s="163"/>
      <c r="C3" s="163"/>
    </row>
    <row r="4" spans="1:6" s="5" customFormat="1" x14ac:dyDescent="0.15">
      <c r="A4" s="164" t="s">
        <v>50</v>
      </c>
      <c r="B4" s="164"/>
      <c r="C4" s="164"/>
      <c r="D4" s="3"/>
    </row>
    <row r="5" spans="1:6" s="2" customFormat="1" ht="13" x14ac:dyDescent="0.15">
      <c r="A5" s="165" t="s">
        <v>51</v>
      </c>
      <c r="B5" s="165"/>
      <c r="C5" s="165"/>
      <c r="D5" s="3"/>
    </row>
    <row r="6" spans="1:6" ht="60" customHeight="1" x14ac:dyDescent="0.15">
      <c r="A6" s="166" t="s">
        <v>93</v>
      </c>
      <c r="B6" s="166"/>
      <c r="C6" s="166"/>
    </row>
    <row r="7" spans="1:6" ht="17" customHeight="1" x14ac:dyDescent="0.15">
      <c r="A7" s="161" t="s">
        <v>88</v>
      </c>
      <c r="B7" s="161"/>
      <c r="C7" s="161"/>
    </row>
    <row r="8" spans="1:6" ht="30" customHeight="1" x14ac:dyDescent="0.15">
      <c r="A8" s="162" t="s">
        <v>87</v>
      </c>
      <c r="B8" s="162"/>
      <c r="C8" s="162"/>
    </row>
    <row r="9" spans="1:6" x14ac:dyDescent="0.15">
      <c r="A9" s="6" t="s">
        <v>52</v>
      </c>
      <c r="B9" s="7"/>
      <c r="C9" s="8">
        <v>44425</v>
      </c>
    </row>
    <row r="10" spans="1:6" ht="15" thickBot="1" x14ac:dyDescent="0.2">
      <c r="A10" s="9" t="s">
        <v>53</v>
      </c>
      <c r="B10" s="10"/>
      <c r="C10" s="11">
        <v>44444</v>
      </c>
    </row>
    <row r="11" spans="1:6" s="2" customFormat="1" thickBot="1" x14ac:dyDescent="0.2">
      <c r="A11" s="12"/>
      <c r="B11" s="13"/>
      <c r="C11" s="12"/>
      <c r="D11" s="3"/>
    </row>
    <row r="12" spans="1:6" ht="18" thickBot="1" x14ac:dyDescent="0.2">
      <c r="A12" s="14" t="s">
        <v>54</v>
      </c>
      <c r="B12" s="15" t="s">
        <v>55</v>
      </c>
      <c r="C12" s="16" t="s">
        <v>56</v>
      </c>
    </row>
    <row r="13" spans="1:6" ht="15" x14ac:dyDescent="0.15">
      <c r="A13" s="17" t="s">
        <v>57</v>
      </c>
      <c r="B13" s="18">
        <v>1</v>
      </c>
      <c r="C13" s="19" t="s">
        <v>58</v>
      </c>
    </row>
    <row r="14" spans="1:6" ht="30" x14ac:dyDescent="0.15">
      <c r="A14" s="17" t="s">
        <v>83</v>
      </c>
      <c r="B14" s="18">
        <v>2</v>
      </c>
      <c r="C14" s="19" t="s">
        <v>89</v>
      </c>
      <c r="D14" s="160"/>
      <c r="E14" s="160"/>
      <c r="F14" s="160"/>
    </row>
    <row r="15" spans="1:6" ht="30" x14ac:dyDescent="0.15">
      <c r="A15" s="17" t="s">
        <v>84</v>
      </c>
      <c r="B15" s="18">
        <v>3</v>
      </c>
      <c r="C15" s="19" t="s">
        <v>90</v>
      </c>
    </row>
    <row r="16" spans="1:6" ht="30" x14ac:dyDescent="0.15">
      <c r="A16" s="17" t="s">
        <v>85</v>
      </c>
      <c r="B16" s="18">
        <v>4</v>
      </c>
      <c r="C16" s="19" t="s">
        <v>91</v>
      </c>
    </row>
    <row r="17" spans="1:3" ht="30" x14ac:dyDescent="0.15">
      <c r="A17" s="20" t="s">
        <v>86</v>
      </c>
      <c r="B17" s="18">
        <v>5</v>
      </c>
      <c r="C17" s="19" t="s">
        <v>92</v>
      </c>
    </row>
  </sheetData>
  <mergeCells count="8">
    <mergeCell ref="A1:C2"/>
    <mergeCell ref="D14:F14"/>
    <mergeCell ref="A7:C7"/>
    <mergeCell ref="A8:C8"/>
    <mergeCell ref="A3:C3"/>
    <mergeCell ref="A4:C4"/>
    <mergeCell ref="A5:C5"/>
    <mergeCell ref="A6:C6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0D2AD-AB1B-46C6-88D3-202CA5D4B944}">
  <dimension ref="A1:AB58"/>
  <sheetViews>
    <sheetView zoomScaleNormal="100" workbookViewId="0">
      <selection sqref="A1:AB1"/>
    </sheetView>
  </sheetViews>
  <sheetFormatPr baseColWidth="10" defaultColWidth="8.83203125" defaultRowHeight="14" x14ac:dyDescent="0.15"/>
  <cols>
    <col min="1" max="1" width="66.1640625" style="1" customWidth="1"/>
    <col min="2" max="2" width="12" style="1" bestFit="1" customWidth="1"/>
    <col min="3" max="3" width="12" style="1" customWidth="1"/>
    <col min="4" max="14" width="8.83203125" style="1"/>
    <col min="15" max="15" width="20.33203125" style="1" customWidth="1"/>
    <col min="16" max="16" width="10" style="1" customWidth="1"/>
    <col min="17" max="17" width="20.33203125" style="1" customWidth="1"/>
    <col min="18" max="21" width="8.83203125" style="1"/>
    <col min="22" max="22" width="10.5" style="1" customWidth="1"/>
    <col min="23" max="26" width="8.83203125" style="1"/>
    <col min="27" max="27" width="12.1640625" style="1" customWidth="1"/>
    <col min="28" max="16384" width="8.83203125" style="1"/>
  </cols>
  <sheetData>
    <row r="1" spans="1:28" ht="17" customHeight="1" thickBot="1" x14ac:dyDescent="0.2">
      <c r="A1" s="183" t="s">
        <v>0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5"/>
    </row>
    <row r="2" spans="1:28" ht="15" customHeight="1" thickBot="1" x14ac:dyDescent="0.2">
      <c r="B2" s="172" t="s">
        <v>1</v>
      </c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4"/>
    </row>
    <row r="3" spans="1:28" ht="45" x14ac:dyDescent="0.15">
      <c r="B3" s="103" t="s">
        <v>2</v>
      </c>
      <c r="C3" s="104" t="s">
        <v>3</v>
      </c>
      <c r="D3" s="105" t="s">
        <v>4</v>
      </c>
      <c r="E3" s="106" t="s">
        <v>5</v>
      </c>
      <c r="F3" s="186" t="s">
        <v>6</v>
      </c>
      <c r="G3" s="187"/>
      <c r="H3" s="187"/>
      <c r="I3" s="187" t="s">
        <v>7</v>
      </c>
      <c r="J3" s="187"/>
      <c r="K3" s="187"/>
      <c r="L3" s="188" t="s">
        <v>8</v>
      </c>
      <c r="M3" s="189"/>
      <c r="N3" s="190"/>
      <c r="O3" s="107" t="s">
        <v>9</v>
      </c>
      <c r="P3" s="108" t="s">
        <v>62</v>
      </c>
      <c r="Q3" s="108" t="s">
        <v>10</v>
      </c>
      <c r="R3" s="28" t="s">
        <v>62</v>
      </c>
      <c r="S3" s="170" t="s">
        <v>11</v>
      </c>
      <c r="T3" s="170"/>
      <c r="U3" s="170"/>
      <c r="V3" s="27" t="s">
        <v>61</v>
      </c>
      <c r="W3" s="27" t="s">
        <v>62</v>
      </c>
      <c r="X3" s="170" t="s">
        <v>64</v>
      </c>
      <c r="Y3" s="170"/>
      <c r="Z3" s="170"/>
      <c r="AA3" s="27" t="s">
        <v>66</v>
      </c>
      <c r="AB3" s="115" t="s">
        <v>62</v>
      </c>
    </row>
    <row r="4" spans="1:28" ht="15" customHeight="1" x14ac:dyDescent="0.15">
      <c r="B4" s="29"/>
      <c r="C4" s="30"/>
      <c r="D4" s="31"/>
      <c r="E4" s="32"/>
      <c r="F4" s="178"/>
      <c r="G4" s="176"/>
      <c r="H4" s="177"/>
      <c r="I4" s="175" t="s">
        <v>12</v>
      </c>
      <c r="J4" s="176"/>
      <c r="K4" s="177"/>
      <c r="L4" s="175" t="s">
        <v>12</v>
      </c>
      <c r="M4" s="176"/>
      <c r="N4" s="177"/>
      <c r="O4" s="33" t="s">
        <v>12</v>
      </c>
      <c r="P4" s="34"/>
      <c r="Q4" s="34" t="s">
        <v>12</v>
      </c>
      <c r="R4" s="109"/>
      <c r="S4" s="171" t="s">
        <v>63</v>
      </c>
      <c r="T4" s="171"/>
      <c r="U4" s="171"/>
      <c r="V4" s="33" t="s">
        <v>63</v>
      </c>
      <c r="W4" s="31"/>
      <c r="X4" s="171" t="s">
        <v>65</v>
      </c>
      <c r="Y4" s="171"/>
      <c r="Z4" s="171"/>
      <c r="AA4" s="117" t="s">
        <v>65</v>
      </c>
      <c r="AB4" s="116"/>
    </row>
    <row r="5" spans="1:28" s="2" customFormat="1" ht="13" x14ac:dyDescent="0.15">
      <c r="B5" s="169" t="s">
        <v>13</v>
      </c>
      <c r="C5" s="112">
        <v>0.45833333333333331</v>
      </c>
      <c r="D5" s="113">
        <v>0</v>
      </c>
      <c r="E5" s="168">
        <v>1</v>
      </c>
      <c r="F5" s="36">
        <v>0.12</v>
      </c>
      <c r="G5" s="37">
        <v>0.122</v>
      </c>
      <c r="H5" s="37">
        <v>0.105</v>
      </c>
      <c r="I5" s="37">
        <f t="shared" ref="I5:I24" si="0">1.2334*F5</f>
        <v>0.148008</v>
      </c>
      <c r="J5" s="37">
        <f t="shared" ref="J5:K20" si="1">1.2334*G5</f>
        <v>0.15047479999999999</v>
      </c>
      <c r="K5" s="37">
        <f t="shared" si="1"/>
        <v>0.12950700000000001</v>
      </c>
      <c r="L5" s="37">
        <f t="shared" ref="L5:L24" si="2">LN(I5)</f>
        <v>-1.9104889526248356</v>
      </c>
      <c r="M5" s="37">
        <f t="shared" ref="M5:N20" si="3">LN(J5)</f>
        <v>-1.8939596506736252</v>
      </c>
      <c r="N5" s="37">
        <f t="shared" si="3"/>
        <v>-2.0440203452493582</v>
      </c>
      <c r="O5" s="114">
        <f>AVERAGE(I5:K5)</f>
        <v>0.14266326666666665</v>
      </c>
      <c r="P5" s="37">
        <f>STDEV(I5:K5)/SQRT(3)</f>
        <v>6.616564819031427E-3</v>
      </c>
      <c r="Q5" s="114">
        <f>AVERAGE(L5:N5)</f>
        <v>-1.9494896495159395</v>
      </c>
      <c r="R5" s="110">
        <f>STDEV(L5:N5)/SQRT(3)</f>
        <v>4.7505591890610398E-2</v>
      </c>
      <c r="AB5" s="35"/>
    </row>
    <row r="6" spans="1:28" s="2" customFormat="1" ht="13" x14ac:dyDescent="0.15">
      <c r="B6" s="169"/>
      <c r="C6" s="112">
        <v>0.5625</v>
      </c>
      <c r="D6" s="113">
        <v>2.5</v>
      </c>
      <c r="E6" s="168"/>
      <c r="F6" s="36">
        <v>0.128</v>
      </c>
      <c r="G6" s="37">
        <v>0.127</v>
      </c>
      <c r="H6" s="37">
        <v>0.122</v>
      </c>
      <c r="I6" s="37">
        <f t="shared" si="0"/>
        <v>0.15787520000000002</v>
      </c>
      <c r="J6" s="37">
        <f t="shared" si="1"/>
        <v>0.1566418</v>
      </c>
      <c r="K6" s="37">
        <f t="shared" si="1"/>
        <v>0.15047479999999999</v>
      </c>
      <c r="L6" s="37">
        <f t="shared" si="2"/>
        <v>-1.8459504314872643</v>
      </c>
      <c r="M6" s="37">
        <f t="shared" si="3"/>
        <v>-1.8537936089482905</v>
      </c>
      <c r="N6" s="37">
        <f t="shared" si="3"/>
        <v>-1.8939596506736252</v>
      </c>
      <c r="O6" s="114">
        <f t="shared" ref="O6:O28" si="4">AVERAGE(I6:K6)</f>
        <v>0.15499726666666669</v>
      </c>
      <c r="P6" s="37">
        <f t="shared" ref="P6:P27" si="5">STDEV(I6:K6)/SQRT(3)</f>
        <v>2.2890935217048567E-3</v>
      </c>
      <c r="Q6" s="114">
        <f t="shared" ref="Q6:Q28" si="6">AVERAGE(L6:N6)</f>
        <v>-1.8645678970363935</v>
      </c>
      <c r="R6" s="110">
        <f t="shared" ref="R6:R28" si="7">STDEV(L6:N6)/SQRT(3)</f>
        <v>1.4869266341182684E-2</v>
      </c>
      <c r="S6" s="37">
        <f>(L6-L5)/(D6-D5)</f>
        <v>2.581540845502852E-2</v>
      </c>
      <c r="T6" s="37">
        <f>(M6-M5)/(D6-D5)</f>
        <v>1.6066416690133867E-2</v>
      </c>
      <c r="U6" s="37">
        <f>(N6-N5)/(D6-D5)</f>
        <v>6.0024277830293203E-2</v>
      </c>
      <c r="V6" s="114">
        <f>AVERAGE(S6:U6)</f>
        <v>3.3968700991818528E-2</v>
      </c>
      <c r="W6" s="37">
        <f>STDEV(S6:U6)/SQRT(3)</f>
        <v>1.3328297258055127E-2</v>
      </c>
      <c r="X6" s="37">
        <f>I6/D6</f>
        <v>6.3150080000000011E-2</v>
      </c>
      <c r="Y6" s="37">
        <f>J6/D6</f>
        <v>6.2656719999999999E-2</v>
      </c>
      <c r="Z6" s="37">
        <f>K6/D6</f>
        <v>6.0189919999999994E-2</v>
      </c>
      <c r="AA6" s="114">
        <f>AVERAGE(X6:Z6)</f>
        <v>6.1998906666666666E-2</v>
      </c>
      <c r="AB6" s="158">
        <f>STDEV(X6:Z6)/SQRT(3)</f>
        <v>9.1563740868194426E-4</v>
      </c>
    </row>
    <row r="7" spans="1:28" s="2" customFormat="1" ht="13" x14ac:dyDescent="0.15">
      <c r="B7" s="169"/>
      <c r="C7" s="112">
        <v>0.73958333333333337</v>
      </c>
      <c r="D7" s="113">
        <f>4+D6</f>
        <v>6.5</v>
      </c>
      <c r="E7" s="168"/>
      <c r="F7" s="36">
        <v>0.155</v>
      </c>
      <c r="G7" s="37">
        <v>0.16</v>
      </c>
      <c r="H7" s="37">
        <v>0.158</v>
      </c>
      <c r="I7" s="37">
        <f t="shared" si="0"/>
        <v>0.19117700000000001</v>
      </c>
      <c r="J7" s="37">
        <f t="shared" si="1"/>
        <v>0.19734400000000002</v>
      </c>
      <c r="K7" s="37">
        <f t="shared" si="1"/>
        <v>0.1948772</v>
      </c>
      <c r="L7" s="37">
        <f t="shared" si="2"/>
        <v>-1.6545555784876349</v>
      </c>
      <c r="M7" s="37">
        <f t="shared" si="3"/>
        <v>-1.6228068801730546</v>
      </c>
      <c r="N7" s="37">
        <f t="shared" si="3"/>
        <v>-1.6353856623799148</v>
      </c>
      <c r="O7" s="114">
        <f t="shared" si="4"/>
        <v>0.19446606666666666</v>
      </c>
      <c r="P7" s="37">
        <f t="shared" si="5"/>
        <v>1.7920886523210234E-3</v>
      </c>
      <c r="Q7" s="114">
        <f t="shared" si="6"/>
        <v>-1.6375827070135347</v>
      </c>
      <c r="R7" s="110">
        <f t="shared" si="7"/>
        <v>9.2306593301733127E-3</v>
      </c>
      <c r="S7" s="37">
        <f t="shared" ref="S7:S28" si="8">(L7-L6)/(D7-D6)</f>
        <v>4.784871324990736E-2</v>
      </c>
      <c r="T7" s="37">
        <f t="shared" ref="T7:T28" si="9">(M7-M6)/(D7-D6)</f>
        <v>5.7746682193808963E-2</v>
      </c>
      <c r="U7" s="37">
        <f t="shared" ref="U7:U28" si="10">(N7-N6)/(D7-D6)</f>
        <v>6.4643497073427592E-2</v>
      </c>
      <c r="V7" s="114">
        <f t="shared" ref="V7:V28" si="11">AVERAGE(S7:U7)</f>
        <v>5.6746297505714638E-2</v>
      </c>
      <c r="W7" s="37">
        <f t="shared" ref="W7:W28" si="12">STDEV(S7:U7)/SQRT(3)</f>
        <v>4.8739705943178294E-3</v>
      </c>
      <c r="X7" s="37">
        <f t="shared" ref="X7:X28" si="13">I7/D7</f>
        <v>2.9411846153846156E-2</v>
      </c>
      <c r="Y7" s="37">
        <f t="shared" ref="Y7:Y28" si="14">J7/D7</f>
        <v>3.0360615384615389E-2</v>
      </c>
      <c r="Z7" s="37">
        <f t="shared" ref="Z7:Z28" si="15">K7/D7</f>
        <v>2.9981107692307694E-2</v>
      </c>
      <c r="AA7" s="114">
        <f t="shared" ref="AA7:AA28" si="16">AVERAGE(X7:Z7)</f>
        <v>2.9917856410256415E-2</v>
      </c>
      <c r="AB7" s="158">
        <f t="shared" ref="AB7:AB28" si="17">STDEV(X7:Z7)/SQRT(3)</f>
        <v>2.7570594651092688E-4</v>
      </c>
    </row>
    <row r="8" spans="1:28" s="2" customFormat="1" ht="13" x14ac:dyDescent="0.15">
      <c r="B8" s="169"/>
      <c r="C8" s="112">
        <v>0.86111111111111116</v>
      </c>
      <c r="D8" s="113">
        <f>3+D7</f>
        <v>9.5</v>
      </c>
      <c r="E8" s="168"/>
      <c r="F8" s="36">
        <v>0.17100000000000001</v>
      </c>
      <c r="G8" s="37">
        <v>0.17299999999999999</v>
      </c>
      <c r="H8" s="37">
        <v>0.17399999999999999</v>
      </c>
      <c r="I8" s="37">
        <f t="shared" si="0"/>
        <v>0.21091140000000003</v>
      </c>
      <c r="J8" s="37">
        <f t="shared" si="1"/>
        <v>0.21337819999999999</v>
      </c>
      <c r="K8" s="37">
        <f t="shared" si="1"/>
        <v>0.21461159999999999</v>
      </c>
      <c r="L8" s="37">
        <f t="shared" si="2"/>
        <v>-1.5563171389042216</v>
      </c>
      <c r="M8" s="37">
        <f t="shared" si="3"/>
        <v>-1.5446891009091028</v>
      </c>
      <c r="N8" s="37">
        <f t="shared" si="3"/>
        <v>-1.5389253961923528</v>
      </c>
      <c r="O8" s="114">
        <f t="shared" si="4"/>
        <v>0.21296706666666668</v>
      </c>
      <c r="P8" s="37">
        <f t="shared" si="5"/>
        <v>1.0877565556890096E-3</v>
      </c>
      <c r="Q8" s="114">
        <f t="shared" si="6"/>
        <v>-1.546643878668559</v>
      </c>
      <c r="R8" s="110">
        <f t="shared" si="7"/>
        <v>5.1148165723255822E-3</v>
      </c>
      <c r="S8" s="37">
        <f t="shared" si="8"/>
        <v>3.2746146527804422E-2</v>
      </c>
      <c r="T8" s="37">
        <f t="shared" si="9"/>
        <v>2.6039259754650601E-2</v>
      </c>
      <c r="U8" s="37">
        <f t="shared" si="10"/>
        <v>3.2153422062520663E-2</v>
      </c>
      <c r="V8" s="114">
        <f t="shared" si="11"/>
        <v>3.0312942781658563E-2</v>
      </c>
      <c r="W8" s="37">
        <f t="shared" si="12"/>
        <v>2.1436810657090469E-3</v>
      </c>
      <c r="X8" s="37">
        <f t="shared" si="13"/>
        <v>2.2201200000000004E-2</v>
      </c>
      <c r="Y8" s="37">
        <f t="shared" si="14"/>
        <v>2.2460863157894737E-2</v>
      </c>
      <c r="Z8" s="37">
        <f t="shared" si="15"/>
        <v>2.2590694736842103E-2</v>
      </c>
      <c r="AA8" s="114">
        <f t="shared" si="16"/>
        <v>2.2417585964912279E-2</v>
      </c>
      <c r="AB8" s="158">
        <f t="shared" si="17"/>
        <v>1.1450069007252662E-4</v>
      </c>
    </row>
    <row r="9" spans="1:28" s="2" customFormat="1" ht="13" x14ac:dyDescent="0.15">
      <c r="B9" s="167" t="s">
        <v>14</v>
      </c>
      <c r="C9" s="112">
        <v>0.4513888888888889</v>
      </c>
      <c r="D9" s="113">
        <f>D5+24</f>
        <v>24</v>
      </c>
      <c r="E9" s="168">
        <v>2</v>
      </c>
      <c r="F9" s="36">
        <v>0.192</v>
      </c>
      <c r="G9" s="37">
        <v>0.20300000000000001</v>
      </c>
      <c r="H9" s="37">
        <v>0.20100000000000001</v>
      </c>
      <c r="I9" s="37">
        <f t="shared" si="0"/>
        <v>0.23681280000000002</v>
      </c>
      <c r="J9" s="37">
        <f t="shared" si="1"/>
        <v>0.25038020000000005</v>
      </c>
      <c r="K9" s="37">
        <f t="shared" si="1"/>
        <v>0.24791340000000003</v>
      </c>
      <c r="L9" s="37">
        <f t="shared" si="2"/>
        <v>-1.4404853233791</v>
      </c>
      <c r="M9" s="37">
        <f t="shared" si="3"/>
        <v>-1.3847747163650941</v>
      </c>
      <c r="N9" s="37">
        <f t="shared" si="3"/>
        <v>-1.3946757873478057</v>
      </c>
      <c r="O9" s="114">
        <f t="shared" si="4"/>
        <v>0.24503546666666673</v>
      </c>
      <c r="P9" s="37">
        <f t="shared" si="5"/>
        <v>4.1725476187949237E-3</v>
      </c>
      <c r="Q9" s="114">
        <f t="shared" si="6"/>
        <v>-1.4066452756973333</v>
      </c>
      <c r="R9" s="110">
        <f t="shared" si="7"/>
        <v>1.715973408864831E-2</v>
      </c>
      <c r="S9" s="37">
        <f t="shared" si="8"/>
        <v>7.9884010706980473E-3</v>
      </c>
      <c r="T9" s="37">
        <f t="shared" si="9"/>
        <v>1.1028578244414396E-2</v>
      </c>
      <c r="U9" s="37">
        <f t="shared" si="10"/>
        <v>9.9482488858308321E-3</v>
      </c>
      <c r="V9" s="114">
        <f t="shared" si="11"/>
        <v>9.6550760669810911E-3</v>
      </c>
      <c r="W9" s="37">
        <f t="shared" si="12"/>
        <v>8.8978125367618832E-4</v>
      </c>
      <c r="X9" s="37">
        <f t="shared" si="13"/>
        <v>9.8672000000000013E-3</v>
      </c>
      <c r="Y9" s="37">
        <f t="shared" si="14"/>
        <v>1.0432508333333335E-2</v>
      </c>
      <c r="Z9" s="37">
        <f t="shared" si="15"/>
        <v>1.0329725000000001E-2</v>
      </c>
      <c r="AA9" s="114">
        <f t="shared" si="16"/>
        <v>1.0209811111111113E-2</v>
      </c>
      <c r="AB9" s="158">
        <f t="shared" si="17"/>
        <v>1.7385615078312151E-4</v>
      </c>
    </row>
    <row r="10" spans="1:28" s="2" customFormat="1" ht="13" x14ac:dyDescent="0.15">
      <c r="B10" s="167"/>
      <c r="C10" s="112">
        <v>0.70833333333333337</v>
      </c>
      <c r="D10" s="113">
        <f>6+D9</f>
        <v>30</v>
      </c>
      <c r="E10" s="168"/>
      <c r="F10" s="36">
        <v>0.23699999999999999</v>
      </c>
      <c r="G10" s="37">
        <v>0.23400000000000001</v>
      </c>
      <c r="H10" s="37">
        <v>0.252</v>
      </c>
      <c r="I10" s="37">
        <f t="shared" si="0"/>
        <v>0.29231580000000001</v>
      </c>
      <c r="J10" s="37">
        <f t="shared" si="1"/>
        <v>0.28861560000000003</v>
      </c>
      <c r="K10" s="37">
        <f t="shared" si="1"/>
        <v>0.3108168</v>
      </c>
      <c r="L10" s="37">
        <f t="shared" si="2"/>
        <v>-1.2299205542717504</v>
      </c>
      <c r="M10" s="37">
        <f t="shared" si="3"/>
        <v>-1.2426595800491802</v>
      </c>
      <c r="N10" s="37">
        <f t="shared" si="3"/>
        <v>-1.1685516078954583</v>
      </c>
      <c r="O10" s="114">
        <f t="shared" si="4"/>
        <v>0.29724940000000005</v>
      </c>
      <c r="P10" s="37">
        <f t="shared" si="5"/>
        <v>6.8672805651145436E-3</v>
      </c>
      <c r="Q10" s="114">
        <f t="shared" si="6"/>
        <v>-1.2137105807387962</v>
      </c>
      <c r="R10" s="110">
        <f t="shared" si="7"/>
        <v>2.2876992194768592E-2</v>
      </c>
      <c r="S10" s="37">
        <f t="shared" si="8"/>
        <v>3.509412818455826E-2</v>
      </c>
      <c r="T10" s="37">
        <f t="shared" si="9"/>
        <v>2.3685856052652315E-2</v>
      </c>
      <c r="U10" s="37">
        <f t="shared" si="10"/>
        <v>3.7687363242057903E-2</v>
      </c>
      <c r="V10" s="114">
        <f t="shared" si="11"/>
        <v>3.2155782493089494E-2</v>
      </c>
      <c r="W10" s="37">
        <f t="shared" si="12"/>
        <v>4.3006184611701923E-3</v>
      </c>
      <c r="X10" s="37">
        <f t="shared" si="13"/>
        <v>9.74386E-3</v>
      </c>
      <c r="Y10" s="37">
        <f t="shared" si="14"/>
        <v>9.6205200000000005E-3</v>
      </c>
      <c r="Z10" s="37">
        <f t="shared" si="15"/>
        <v>1.036056E-2</v>
      </c>
      <c r="AA10" s="114">
        <f t="shared" si="16"/>
        <v>9.9083133333333333E-3</v>
      </c>
      <c r="AB10" s="158">
        <f t="shared" si="17"/>
        <v>2.2890935217048474E-4</v>
      </c>
    </row>
    <row r="11" spans="1:28" s="2" customFormat="1" ht="13" x14ac:dyDescent="0.15">
      <c r="B11" s="38" t="s">
        <v>15</v>
      </c>
      <c r="C11" s="112">
        <v>0.4548611111111111</v>
      </c>
      <c r="D11" s="113">
        <f>D9+24</f>
        <v>48</v>
      </c>
      <c r="E11" s="35">
        <v>3</v>
      </c>
      <c r="F11" s="36">
        <v>0.35399999999999998</v>
      </c>
      <c r="G11" s="37">
        <v>0.35799999999999998</v>
      </c>
      <c r="H11" s="37">
        <v>0.36899999999999999</v>
      </c>
      <c r="I11" s="37">
        <f t="shared" si="0"/>
        <v>0.4366236</v>
      </c>
      <c r="J11" s="37">
        <f t="shared" si="1"/>
        <v>0.44155719999999998</v>
      </c>
      <c r="K11" s="37">
        <f t="shared" si="1"/>
        <v>0.45512459999999999</v>
      </c>
      <c r="L11" s="37">
        <f t="shared" si="2"/>
        <v>-0.82868378227310724</v>
      </c>
      <c r="M11" s="37">
        <f t="shared" si="3"/>
        <v>-0.81744770900618136</v>
      </c>
      <c r="N11" s="37">
        <f t="shared" si="3"/>
        <v>-0.7871840513663545</v>
      </c>
      <c r="O11" s="114">
        <f t="shared" si="4"/>
        <v>0.44443513333333334</v>
      </c>
      <c r="P11" s="37">
        <f t="shared" si="5"/>
        <v>5.5312332998869035E-3</v>
      </c>
      <c r="Q11" s="114">
        <f t="shared" si="6"/>
        <v>-0.81110518088188099</v>
      </c>
      <c r="R11" s="110">
        <f t="shared" si="7"/>
        <v>1.2392573899838532E-2</v>
      </c>
      <c r="S11" s="37">
        <f t="shared" si="8"/>
        <v>2.2290931777702399E-2</v>
      </c>
      <c r="T11" s="37">
        <f t="shared" si="9"/>
        <v>2.3622881724611047E-2</v>
      </c>
      <c r="U11" s="37">
        <f t="shared" si="10"/>
        <v>2.1187086473839101E-2</v>
      </c>
      <c r="V11" s="114">
        <f t="shared" si="11"/>
        <v>2.2366966658717513E-2</v>
      </c>
      <c r="W11" s="37">
        <f t="shared" si="12"/>
        <v>7.0418051740280094E-4</v>
      </c>
      <c r="X11" s="37">
        <f t="shared" si="13"/>
        <v>9.0963250000000006E-3</v>
      </c>
      <c r="Y11" s="37">
        <f t="shared" si="14"/>
        <v>9.1991083333333324E-3</v>
      </c>
      <c r="Z11" s="37">
        <f t="shared" si="15"/>
        <v>9.4817624999999992E-3</v>
      </c>
      <c r="AA11" s="114">
        <f t="shared" si="16"/>
        <v>9.2590652777777768E-3</v>
      </c>
      <c r="AB11" s="158">
        <f t="shared" si="17"/>
        <v>1.1523402708097688E-4</v>
      </c>
    </row>
    <row r="12" spans="1:28" s="2" customFormat="1" ht="13" x14ac:dyDescent="0.15">
      <c r="B12" s="38" t="s">
        <v>16</v>
      </c>
      <c r="C12" s="112">
        <v>0.4513888888888889</v>
      </c>
      <c r="D12" s="113">
        <f>24+D11</f>
        <v>72</v>
      </c>
      <c r="E12" s="35">
        <v>4</v>
      </c>
      <c r="F12" s="36">
        <v>0.48</v>
      </c>
      <c r="G12" s="37">
        <v>0.46300000000000002</v>
      </c>
      <c r="H12" s="37">
        <v>0.51</v>
      </c>
      <c r="I12" s="37">
        <f t="shared" si="0"/>
        <v>0.592032</v>
      </c>
      <c r="J12" s="37">
        <f t="shared" si="1"/>
        <v>0.57106420000000002</v>
      </c>
      <c r="K12" s="37">
        <f t="shared" si="1"/>
        <v>0.62903399999999998</v>
      </c>
      <c r="L12" s="37">
        <f t="shared" si="2"/>
        <v>-0.52419459150494507</v>
      </c>
      <c r="M12" s="37">
        <f t="shared" si="3"/>
        <v>-0.56025364132064759</v>
      </c>
      <c r="N12" s="37">
        <f t="shared" si="3"/>
        <v>-0.46356996968851022</v>
      </c>
      <c r="O12" s="114">
        <f t="shared" si="4"/>
        <v>0.5973767333333333</v>
      </c>
      <c r="P12" s="37">
        <f t="shared" si="5"/>
        <v>1.6946475138046972E-2</v>
      </c>
      <c r="Q12" s="114">
        <f t="shared" si="6"/>
        <v>-0.51600606750470102</v>
      </c>
      <c r="R12" s="110">
        <f t="shared" si="7"/>
        <v>2.8208875872939184E-2</v>
      </c>
      <c r="S12" s="37">
        <f t="shared" si="8"/>
        <v>1.268704961534009E-2</v>
      </c>
      <c r="T12" s="37">
        <f t="shared" si="9"/>
        <v>1.0716419486897241E-2</v>
      </c>
      <c r="U12" s="37">
        <f t="shared" si="10"/>
        <v>1.3483920069910178E-2</v>
      </c>
      <c r="V12" s="114">
        <f t="shared" si="11"/>
        <v>1.2295796390715838E-2</v>
      </c>
      <c r="W12" s="37">
        <f t="shared" si="12"/>
        <v>8.2251123266461538E-4</v>
      </c>
      <c r="X12" s="37">
        <f t="shared" si="13"/>
        <v>8.2226666666666663E-3</v>
      </c>
      <c r="Y12" s="37">
        <f t="shared" si="14"/>
        <v>7.9314472222222227E-3</v>
      </c>
      <c r="Z12" s="37">
        <f t="shared" si="15"/>
        <v>8.7365833333333323E-3</v>
      </c>
      <c r="AA12" s="114">
        <f t="shared" si="16"/>
        <v>8.2968990740740749E-3</v>
      </c>
      <c r="AB12" s="158">
        <f t="shared" si="17"/>
        <v>2.353677102506521E-4</v>
      </c>
    </row>
    <row r="13" spans="1:28" s="2" customFormat="1" ht="13" x14ac:dyDescent="0.15">
      <c r="B13" s="38" t="s">
        <v>17</v>
      </c>
      <c r="C13" s="112">
        <v>0.47916666666666669</v>
      </c>
      <c r="D13" s="113">
        <f>24.5+D12</f>
        <v>96.5</v>
      </c>
      <c r="E13" s="35">
        <v>5</v>
      </c>
      <c r="F13" s="36">
        <v>0.61499999999999999</v>
      </c>
      <c r="G13" s="37">
        <v>0.61499999999999999</v>
      </c>
      <c r="H13" s="37">
        <v>0.61599999999999999</v>
      </c>
      <c r="I13" s="37">
        <f t="shared" si="0"/>
        <v>0.75854100000000002</v>
      </c>
      <c r="J13" s="37">
        <f t="shared" si="1"/>
        <v>0.75854100000000002</v>
      </c>
      <c r="K13" s="37">
        <f t="shared" si="1"/>
        <v>0.75977440000000007</v>
      </c>
      <c r="L13" s="37">
        <f t="shared" si="2"/>
        <v>-0.27635842760036378</v>
      </c>
      <c r="M13" s="37">
        <f t="shared" si="3"/>
        <v>-0.27635842760036378</v>
      </c>
      <c r="N13" s="37">
        <f t="shared" si="3"/>
        <v>-0.27473373187336181</v>
      </c>
      <c r="O13" s="114">
        <f t="shared" si="4"/>
        <v>0.75895213333333345</v>
      </c>
      <c r="P13" s="37">
        <f t="shared" si="5"/>
        <v>4.1113333333335045E-4</v>
      </c>
      <c r="Q13" s="114">
        <f t="shared" si="6"/>
        <v>-0.27581686235802977</v>
      </c>
      <c r="R13" s="110">
        <f t="shared" si="7"/>
        <v>5.4156524233398928E-4</v>
      </c>
      <c r="S13" s="37">
        <f t="shared" si="8"/>
        <v>1.0115761792023727E-2</v>
      </c>
      <c r="T13" s="37">
        <f t="shared" si="9"/>
        <v>1.1587559743685054E-2</v>
      </c>
      <c r="U13" s="37">
        <f t="shared" si="10"/>
        <v>7.7076015434754458E-3</v>
      </c>
      <c r="V13" s="114">
        <f t="shared" si="11"/>
        <v>9.8036410263947424E-3</v>
      </c>
      <c r="W13" s="37">
        <f t="shared" si="12"/>
        <v>1.1308674307946183E-3</v>
      </c>
      <c r="X13" s="37">
        <f t="shared" si="13"/>
        <v>7.8605284974093258E-3</v>
      </c>
      <c r="Y13" s="37">
        <f t="shared" si="14"/>
        <v>7.8605284974093258E-3</v>
      </c>
      <c r="Z13" s="37">
        <f t="shared" si="15"/>
        <v>7.8733098445595857E-3</v>
      </c>
      <c r="AA13" s="114">
        <f t="shared" si="16"/>
        <v>7.8647889464594136E-3</v>
      </c>
      <c r="AB13" s="158">
        <f t="shared" si="17"/>
        <v>4.2604490500866106E-6</v>
      </c>
    </row>
    <row r="14" spans="1:28" s="2" customFormat="1" ht="13" x14ac:dyDescent="0.15">
      <c r="B14" s="38" t="s">
        <v>18</v>
      </c>
      <c r="C14" s="112">
        <v>0.47916666666666669</v>
      </c>
      <c r="D14" s="113">
        <f>24+D13</f>
        <v>120.5</v>
      </c>
      <c r="E14" s="35">
        <v>6</v>
      </c>
      <c r="F14" s="36">
        <v>0.75600000000000001</v>
      </c>
      <c r="G14" s="37">
        <v>0.72099999999999997</v>
      </c>
      <c r="H14" s="37">
        <v>0.74199999999999999</v>
      </c>
      <c r="I14" s="37">
        <f t="shared" si="0"/>
        <v>0.93245040000000001</v>
      </c>
      <c r="J14" s="37">
        <f t="shared" si="1"/>
        <v>0.8892814</v>
      </c>
      <c r="K14" s="37">
        <f t="shared" si="1"/>
        <v>0.91518280000000007</v>
      </c>
      <c r="L14" s="37">
        <f t="shared" si="2"/>
        <v>-6.9939319227348654E-2</v>
      </c>
      <c r="M14" s="37">
        <f t="shared" si="3"/>
        <v>-0.11734155812193259</v>
      </c>
      <c r="N14" s="37">
        <f t="shared" si="3"/>
        <v>-8.8631452239501141E-2</v>
      </c>
      <c r="O14" s="114">
        <f t="shared" si="4"/>
        <v>0.91230486666666666</v>
      </c>
      <c r="P14" s="37">
        <f t="shared" si="5"/>
        <v>1.2544620566247163E-2</v>
      </c>
      <c r="Q14" s="114">
        <f t="shared" si="6"/>
        <v>-9.1970776529594123E-2</v>
      </c>
      <c r="R14" s="110">
        <f t="shared" si="7"/>
        <v>1.3785334938387784E-2</v>
      </c>
      <c r="S14" s="37">
        <f t="shared" si="8"/>
        <v>8.600796182208964E-3</v>
      </c>
      <c r="T14" s="37">
        <f t="shared" si="9"/>
        <v>6.6257028949346332E-3</v>
      </c>
      <c r="U14" s="37">
        <f t="shared" si="10"/>
        <v>7.7542616514108612E-3</v>
      </c>
      <c r="V14" s="114">
        <f t="shared" si="11"/>
        <v>7.66025357618482E-3</v>
      </c>
      <c r="W14" s="37">
        <f t="shared" si="12"/>
        <v>5.7209454696894571E-4</v>
      </c>
      <c r="X14" s="37">
        <f t="shared" si="13"/>
        <v>7.7381775933609964E-3</v>
      </c>
      <c r="Y14" s="37">
        <f t="shared" si="14"/>
        <v>7.3799286307053942E-3</v>
      </c>
      <c r="Z14" s="37">
        <f t="shared" si="15"/>
        <v>7.594878008298756E-3</v>
      </c>
      <c r="AA14" s="114">
        <f t="shared" si="16"/>
        <v>7.5709947441217158E-3</v>
      </c>
      <c r="AB14" s="158">
        <f t="shared" si="17"/>
        <v>1.0410473498960313E-4</v>
      </c>
    </row>
    <row r="15" spans="1:28" s="2" customFormat="1" ht="13" x14ac:dyDescent="0.15">
      <c r="B15" s="38" t="s">
        <v>19</v>
      </c>
      <c r="C15" s="112">
        <v>0.47916666666666669</v>
      </c>
      <c r="D15" s="113">
        <f>24+D14</f>
        <v>144.5</v>
      </c>
      <c r="E15" s="35">
        <v>7</v>
      </c>
      <c r="F15" s="36">
        <f>0.947</f>
        <v>0.94699999999999995</v>
      </c>
      <c r="G15" s="37">
        <v>0.86899999999999999</v>
      </c>
      <c r="H15" s="37">
        <v>0.89100000000000001</v>
      </c>
      <c r="I15" s="37">
        <f t="shared" si="0"/>
        <v>1.1680298</v>
      </c>
      <c r="J15" s="37">
        <f t="shared" si="1"/>
        <v>1.0718246</v>
      </c>
      <c r="K15" s="37">
        <f t="shared" si="1"/>
        <v>1.0989594</v>
      </c>
      <c r="L15" s="37">
        <f t="shared" si="2"/>
        <v>0.15531839777919659</v>
      </c>
      <c r="M15" s="37">
        <f t="shared" si="3"/>
        <v>6.9362429858510391E-2</v>
      </c>
      <c r="N15" s="37">
        <f t="shared" si="3"/>
        <v>9.4363732063927674E-2</v>
      </c>
      <c r="O15" s="114">
        <f t="shared" si="4"/>
        <v>1.1129379333333334</v>
      </c>
      <c r="P15" s="37">
        <f t="shared" si="5"/>
        <v>2.863802642393113E-2</v>
      </c>
      <c r="Q15" s="114">
        <f t="shared" si="6"/>
        <v>0.10634818656721155</v>
      </c>
      <c r="R15" s="110">
        <f t="shared" si="7"/>
        <v>2.5526636203525854E-2</v>
      </c>
      <c r="S15" s="37">
        <f t="shared" si="8"/>
        <v>9.3857382086060519E-3</v>
      </c>
      <c r="T15" s="37">
        <f t="shared" si="9"/>
        <v>7.7793328325184569E-3</v>
      </c>
      <c r="U15" s="37">
        <f t="shared" si="10"/>
        <v>7.6247993459762006E-3</v>
      </c>
      <c r="V15" s="114">
        <f t="shared" si="11"/>
        <v>8.2632901290335698E-3</v>
      </c>
      <c r="W15" s="37">
        <f t="shared" si="12"/>
        <v>5.6299420308374148E-4</v>
      </c>
      <c r="X15" s="37">
        <f t="shared" si="13"/>
        <v>8.0832512110726642E-3</v>
      </c>
      <c r="Y15" s="37">
        <f t="shared" si="14"/>
        <v>7.4174712802768166E-3</v>
      </c>
      <c r="Z15" s="37">
        <f t="shared" si="15"/>
        <v>7.6052553633217997E-3</v>
      </c>
      <c r="AA15" s="114">
        <f t="shared" si="16"/>
        <v>7.701992618223759E-3</v>
      </c>
      <c r="AB15" s="158">
        <f t="shared" si="17"/>
        <v>1.9818703407564788E-4</v>
      </c>
    </row>
    <row r="16" spans="1:28" s="2" customFormat="1" ht="13" x14ac:dyDescent="0.15">
      <c r="B16" s="38" t="s">
        <v>20</v>
      </c>
      <c r="C16" s="112">
        <v>0.45833333333333331</v>
      </c>
      <c r="D16" s="113">
        <f>23.5+D15</f>
        <v>168</v>
      </c>
      <c r="E16" s="35">
        <v>8</v>
      </c>
      <c r="F16" s="36">
        <v>1.073</v>
      </c>
      <c r="G16" s="37">
        <v>0.99</v>
      </c>
      <c r="H16" s="37">
        <v>1.0860000000000001</v>
      </c>
      <c r="I16" s="37">
        <f t="shared" si="0"/>
        <v>1.3234382</v>
      </c>
      <c r="J16" s="37">
        <f t="shared" si="1"/>
        <v>1.221066</v>
      </c>
      <c r="K16" s="37">
        <f t="shared" si="1"/>
        <v>1.3394724000000002</v>
      </c>
      <c r="L16" s="37">
        <f t="shared" si="2"/>
        <v>0.28023304722381681</v>
      </c>
      <c r="M16" s="37">
        <f t="shared" si="3"/>
        <v>0.19972424772175393</v>
      </c>
      <c r="N16" s="37">
        <f t="shared" si="3"/>
        <v>0.29227580508699924</v>
      </c>
      <c r="O16" s="114">
        <f t="shared" si="4"/>
        <v>1.2946588666666667</v>
      </c>
      <c r="P16" s="37">
        <f t="shared" si="5"/>
        <v>3.7086414451356471E-2</v>
      </c>
      <c r="Q16" s="114">
        <f t="shared" si="6"/>
        <v>0.25741103334418997</v>
      </c>
      <c r="R16" s="110">
        <f t="shared" si="7"/>
        <v>2.905214238126843E-2</v>
      </c>
      <c r="S16" s="37">
        <f t="shared" si="8"/>
        <v>5.3155169976434134E-3</v>
      </c>
      <c r="T16" s="37">
        <f t="shared" si="9"/>
        <v>5.5473113984358946E-3</v>
      </c>
      <c r="U16" s="37">
        <f t="shared" si="10"/>
        <v>8.4217903414073002E-3</v>
      </c>
      <c r="V16" s="114">
        <f t="shared" si="11"/>
        <v>6.42820624582887E-3</v>
      </c>
      <c r="W16" s="37">
        <f t="shared" si="12"/>
        <v>9.9903542157208465E-4</v>
      </c>
      <c r="X16" s="37">
        <f t="shared" si="13"/>
        <v>7.8776083333333326E-3</v>
      </c>
      <c r="Y16" s="37">
        <f t="shared" si="14"/>
        <v>7.2682499999999995E-3</v>
      </c>
      <c r="Z16" s="37">
        <f t="shared" si="15"/>
        <v>7.9730500000000006E-3</v>
      </c>
      <c r="AA16" s="114">
        <f t="shared" si="16"/>
        <v>7.7063027777777779E-3</v>
      </c>
      <c r="AB16" s="158">
        <f t="shared" si="17"/>
        <v>2.2075246697235979E-4</v>
      </c>
    </row>
    <row r="17" spans="1:28" s="2" customFormat="1" ht="13" x14ac:dyDescent="0.15">
      <c r="B17" s="38" t="s">
        <v>21</v>
      </c>
      <c r="C17" s="112">
        <v>0.45833333333333331</v>
      </c>
      <c r="D17" s="113">
        <f>24+D16</f>
        <v>192</v>
      </c>
      <c r="E17" s="35">
        <v>9</v>
      </c>
      <c r="F17" s="36">
        <v>1.2450000000000001</v>
      </c>
      <c r="G17" s="37">
        <v>1.1439999999999999</v>
      </c>
      <c r="H17" s="37">
        <v>1.234</v>
      </c>
      <c r="I17" s="37">
        <f t="shared" si="0"/>
        <v>1.5355830000000001</v>
      </c>
      <c r="J17" s="37">
        <f t="shared" si="1"/>
        <v>1.4110095999999999</v>
      </c>
      <c r="K17" s="37">
        <f t="shared" si="1"/>
        <v>1.5220156</v>
      </c>
      <c r="L17" s="37">
        <f t="shared" si="2"/>
        <v>0.42891011349192643</v>
      </c>
      <c r="M17" s="37">
        <f t="shared" si="3"/>
        <v>0.34430547653286142</v>
      </c>
      <c r="N17" s="37">
        <f t="shared" si="3"/>
        <v>0.42003550905845149</v>
      </c>
      <c r="O17" s="114">
        <f t="shared" si="4"/>
        <v>1.4895360666666668</v>
      </c>
      <c r="P17" s="37">
        <f t="shared" si="5"/>
        <v>3.94580919502086E-2</v>
      </c>
      <c r="Q17" s="114">
        <f t="shared" si="6"/>
        <v>0.3977503663610798</v>
      </c>
      <c r="R17" s="110">
        <f t="shared" si="7"/>
        <v>2.6844967483220274E-2</v>
      </c>
      <c r="S17" s="37">
        <f t="shared" si="8"/>
        <v>6.1948777611712342E-3</v>
      </c>
      <c r="T17" s="37">
        <f t="shared" si="9"/>
        <v>6.0242178671294786E-3</v>
      </c>
      <c r="U17" s="37">
        <f t="shared" si="10"/>
        <v>5.3233209988105103E-3</v>
      </c>
      <c r="V17" s="114">
        <f t="shared" si="11"/>
        <v>5.8474722090370744E-3</v>
      </c>
      <c r="W17" s="37">
        <f t="shared" si="12"/>
        <v>2.6666587598532651E-4</v>
      </c>
      <c r="X17" s="37">
        <f t="shared" si="13"/>
        <v>7.9978281250000002E-3</v>
      </c>
      <c r="Y17" s="37">
        <f t="shared" si="14"/>
        <v>7.3490083333333329E-3</v>
      </c>
      <c r="Z17" s="37">
        <f t="shared" si="15"/>
        <v>7.9271645833333335E-3</v>
      </c>
      <c r="AA17" s="114">
        <f t="shared" si="16"/>
        <v>7.7580003472222216E-3</v>
      </c>
      <c r="AB17" s="158">
        <f t="shared" si="17"/>
        <v>2.0551089557400295E-4</v>
      </c>
    </row>
    <row r="18" spans="1:28" s="2" customFormat="1" ht="13" x14ac:dyDescent="0.15">
      <c r="B18" s="38" t="s">
        <v>22</v>
      </c>
      <c r="C18" s="112">
        <v>0.45833333333333331</v>
      </c>
      <c r="D18" s="113">
        <f>24+D17</f>
        <v>216</v>
      </c>
      <c r="E18" s="35">
        <v>10</v>
      </c>
      <c r="F18" s="36">
        <f>2*0.762</f>
        <v>1.524</v>
      </c>
      <c r="G18" s="37">
        <f>2*0.663</f>
        <v>1.3260000000000001</v>
      </c>
      <c r="H18" s="37">
        <f>2*0.691</f>
        <v>1.3819999999999999</v>
      </c>
      <c r="I18" s="37">
        <f t="shared" si="0"/>
        <v>1.8797016000000002</v>
      </c>
      <c r="J18" s="37">
        <f t="shared" si="1"/>
        <v>1.6354884000000001</v>
      </c>
      <c r="K18" s="37">
        <f t="shared" si="1"/>
        <v>1.7045588</v>
      </c>
      <c r="L18" s="37">
        <f t="shared" si="2"/>
        <v>0.63111304083970998</v>
      </c>
      <c r="M18" s="37">
        <f t="shared" si="3"/>
        <v>0.49194147533892618</v>
      </c>
      <c r="N18" s="37">
        <f t="shared" si="3"/>
        <v>0.53330630892073361</v>
      </c>
      <c r="O18" s="114">
        <f t="shared" si="4"/>
        <v>1.7399162666666668</v>
      </c>
      <c r="P18" s="37">
        <f t="shared" si="5"/>
        <v>7.268111767709079E-2</v>
      </c>
      <c r="Q18" s="114">
        <f t="shared" si="6"/>
        <v>0.55212027503312322</v>
      </c>
      <c r="R18" s="110">
        <f t="shared" si="7"/>
        <v>4.1261988769501746E-2</v>
      </c>
      <c r="S18" s="37">
        <f t="shared" si="8"/>
        <v>8.4251219728243149E-3</v>
      </c>
      <c r="T18" s="37">
        <f t="shared" si="9"/>
        <v>6.1514999502526981E-3</v>
      </c>
      <c r="U18" s="37">
        <f t="shared" si="10"/>
        <v>4.7196166609284216E-3</v>
      </c>
      <c r="V18" s="114">
        <f t="shared" si="11"/>
        <v>6.4320795280018118E-3</v>
      </c>
      <c r="W18" s="37">
        <f t="shared" si="12"/>
        <v>1.0788475454096952E-3</v>
      </c>
      <c r="X18" s="37">
        <f t="shared" si="13"/>
        <v>8.7023222222222234E-3</v>
      </c>
      <c r="Y18" s="37">
        <f t="shared" si="14"/>
        <v>7.5717055555555562E-3</v>
      </c>
      <c r="Z18" s="37">
        <f t="shared" si="15"/>
        <v>7.8914759259259264E-3</v>
      </c>
      <c r="AA18" s="114">
        <f t="shared" si="16"/>
        <v>8.0551679012345681E-3</v>
      </c>
      <c r="AB18" s="158">
        <f t="shared" si="17"/>
        <v>3.3648665591245731E-4</v>
      </c>
    </row>
    <row r="19" spans="1:28" s="2" customFormat="1" ht="13" x14ac:dyDescent="0.15">
      <c r="B19" s="38" t="s">
        <v>23</v>
      </c>
      <c r="C19" s="112">
        <v>0.45833333333333331</v>
      </c>
      <c r="D19" s="113">
        <f>24+D18</f>
        <v>240</v>
      </c>
      <c r="E19" s="35">
        <v>11</v>
      </c>
      <c r="F19" s="36">
        <f>2*0.86</f>
        <v>1.72</v>
      </c>
      <c r="G19" s="37">
        <f>2*0.744</f>
        <v>1.488</v>
      </c>
      <c r="H19" s="37">
        <f>2*0.809</f>
        <v>1.6180000000000001</v>
      </c>
      <c r="I19" s="37">
        <f t="shared" si="0"/>
        <v>2.121448</v>
      </c>
      <c r="J19" s="37">
        <f t="shared" si="1"/>
        <v>1.8352992000000001</v>
      </c>
      <c r="K19" s="37">
        <f t="shared" si="1"/>
        <v>1.9956412000000001</v>
      </c>
      <c r="L19" s="37">
        <f t="shared" si="2"/>
        <v>0.75209887440061707</v>
      </c>
      <c r="M19" s="37">
        <f t="shared" si="3"/>
        <v>0.60720751998615563</v>
      </c>
      <c r="N19" s="37">
        <f t="shared" si="3"/>
        <v>0.69096540221155545</v>
      </c>
      <c r="O19" s="114">
        <f t="shared" si="4"/>
        <v>1.9841294666666667</v>
      </c>
      <c r="P19" s="37">
        <f t="shared" si="5"/>
        <v>8.2804335511721686E-2</v>
      </c>
      <c r="Q19" s="114">
        <f t="shared" si="6"/>
        <v>0.68342393219944275</v>
      </c>
      <c r="R19" s="110">
        <f t="shared" si="7"/>
        <v>4.1996156464895552E-2</v>
      </c>
      <c r="S19" s="37">
        <f t="shared" si="8"/>
        <v>5.0410763983711289E-3</v>
      </c>
      <c r="T19" s="37">
        <f t="shared" si="9"/>
        <v>4.802751860301227E-3</v>
      </c>
      <c r="U19" s="37">
        <f t="shared" si="10"/>
        <v>6.5691288871175769E-3</v>
      </c>
      <c r="V19" s="114">
        <f t="shared" si="11"/>
        <v>5.4709857152633115E-3</v>
      </c>
      <c r="W19" s="37">
        <f t="shared" si="12"/>
        <v>5.5336499882662415E-4</v>
      </c>
      <c r="X19" s="37">
        <f t="shared" si="13"/>
        <v>8.8393666666666659E-3</v>
      </c>
      <c r="Y19" s="37">
        <f t="shared" si="14"/>
        <v>7.6470800000000005E-3</v>
      </c>
      <c r="Z19" s="37">
        <f t="shared" si="15"/>
        <v>8.3151716666666677E-3</v>
      </c>
      <c r="AA19" s="114">
        <f t="shared" si="16"/>
        <v>8.2672061111111125E-3</v>
      </c>
      <c r="AB19" s="158">
        <f t="shared" si="17"/>
        <v>3.4501806463217347E-4</v>
      </c>
    </row>
    <row r="20" spans="1:28" s="2" customFormat="1" ht="13" x14ac:dyDescent="0.15">
      <c r="B20" s="38" t="s">
        <v>24</v>
      </c>
      <c r="C20" s="112">
        <v>0.5</v>
      </c>
      <c r="D20" s="113">
        <f>25+D19</f>
        <v>265</v>
      </c>
      <c r="E20" s="35">
        <v>12</v>
      </c>
      <c r="F20" s="36">
        <f>2*0.942</f>
        <v>1.8839999999999999</v>
      </c>
      <c r="G20" s="37">
        <f>2*0.801</f>
        <v>1.6020000000000001</v>
      </c>
      <c r="H20" s="37">
        <f>2*0.852</f>
        <v>1.704</v>
      </c>
      <c r="I20" s="37">
        <f t="shared" si="0"/>
        <v>2.3237255999999999</v>
      </c>
      <c r="J20" s="37">
        <f t="shared" si="1"/>
        <v>1.9759068000000002</v>
      </c>
      <c r="K20" s="37">
        <f t="shared" si="1"/>
        <v>2.1017136000000001</v>
      </c>
      <c r="L20" s="37">
        <f t="shared" si="2"/>
        <v>0.84317175972942671</v>
      </c>
      <c r="M20" s="37">
        <f t="shared" si="3"/>
        <v>0.68102743222142292</v>
      </c>
      <c r="N20" s="37">
        <f t="shared" si="3"/>
        <v>0.74275301198237942</v>
      </c>
      <c r="O20" s="114">
        <f t="shared" si="4"/>
        <v>2.1337820000000001</v>
      </c>
      <c r="P20" s="37">
        <f t="shared" si="5"/>
        <v>0.10167885082828183</v>
      </c>
      <c r="Q20" s="114">
        <f t="shared" si="6"/>
        <v>0.75565073464440979</v>
      </c>
      <c r="R20" s="110">
        <f t="shared" si="7"/>
        <v>4.7249194607441675E-2</v>
      </c>
      <c r="S20" s="37">
        <f t="shared" si="8"/>
        <v>3.6429154131523856E-3</v>
      </c>
      <c r="T20" s="37">
        <f t="shared" si="9"/>
        <v>2.9527964894106918E-3</v>
      </c>
      <c r="U20" s="37">
        <f t="shared" si="10"/>
        <v>2.0715043908329589E-3</v>
      </c>
      <c r="V20" s="114">
        <f t="shared" si="11"/>
        <v>2.8890720977986784E-3</v>
      </c>
      <c r="W20" s="37">
        <f t="shared" si="12"/>
        <v>4.5474489142503018E-4</v>
      </c>
      <c r="X20" s="37">
        <f t="shared" si="13"/>
        <v>8.768775849056604E-3</v>
      </c>
      <c r="Y20" s="37">
        <f t="shared" si="14"/>
        <v>7.4562520754716992E-3</v>
      </c>
      <c r="Z20" s="37">
        <f t="shared" si="15"/>
        <v>7.9309947169811327E-3</v>
      </c>
      <c r="AA20" s="114">
        <f t="shared" si="16"/>
        <v>8.0520075471698111E-3</v>
      </c>
      <c r="AB20" s="158">
        <f t="shared" si="17"/>
        <v>3.8369377671049746E-4</v>
      </c>
    </row>
    <row r="21" spans="1:28" s="2" customFormat="1" ht="13" x14ac:dyDescent="0.15">
      <c r="B21" s="39" t="s">
        <v>25</v>
      </c>
      <c r="C21" s="112">
        <v>0.4375</v>
      </c>
      <c r="D21" s="113">
        <f>22.5+D20</f>
        <v>287.5</v>
      </c>
      <c r="E21" s="35">
        <v>13</v>
      </c>
      <c r="F21" s="36">
        <f>2*0.955</f>
        <v>1.91</v>
      </c>
      <c r="G21" s="37">
        <f>4*0.424</f>
        <v>1.696</v>
      </c>
      <c r="H21" s="37">
        <f>2*0.909</f>
        <v>1.8180000000000001</v>
      </c>
      <c r="I21" s="37">
        <f t="shared" si="0"/>
        <v>2.3557939999999999</v>
      </c>
      <c r="J21" s="37">
        <f t="shared" ref="J21:K24" si="18">1.2334*G21</f>
        <v>2.0918464000000001</v>
      </c>
      <c r="K21" s="37">
        <f t="shared" si="18"/>
        <v>2.2423212000000001</v>
      </c>
      <c r="L21" s="37">
        <f t="shared" si="2"/>
        <v>0.85687782563379389</v>
      </c>
      <c r="M21" s="37">
        <f t="shared" ref="M21:N24" si="19">LN(J21)</f>
        <v>0.73804712094496672</v>
      </c>
      <c r="N21" s="37">
        <f t="shared" si="19"/>
        <v>0.80751157933054252</v>
      </c>
      <c r="O21" s="114">
        <f t="shared" si="4"/>
        <v>2.2299872000000001</v>
      </c>
      <c r="P21" s="37">
        <f t="shared" si="5"/>
        <v>7.6444270667024666E-2</v>
      </c>
      <c r="Q21" s="114">
        <f t="shared" si="6"/>
        <v>0.800812175303101</v>
      </c>
      <c r="R21" s="110">
        <f t="shared" si="7"/>
        <v>3.4466629295368138E-2</v>
      </c>
      <c r="S21" s="37">
        <f t="shared" si="8"/>
        <v>6.0915848463854137E-4</v>
      </c>
      <c r="T21" s="37">
        <f t="shared" si="9"/>
        <v>2.5342083877130574E-3</v>
      </c>
      <c r="U21" s="37">
        <f t="shared" si="10"/>
        <v>2.8781585488072488E-3</v>
      </c>
      <c r="V21" s="114">
        <f t="shared" si="11"/>
        <v>2.0071751403862824E-3</v>
      </c>
      <c r="W21" s="37">
        <f t="shared" si="12"/>
        <v>7.0602487105395312E-4</v>
      </c>
      <c r="X21" s="37">
        <f t="shared" si="13"/>
        <v>8.1940660869565217E-3</v>
      </c>
      <c r="Y21" s="37">
        <f t="shared" si="14"/>
        <v>7.2759874782608695E-3</v>
      </c>
      <c r="Z21" s="37">
        <f t="shared" si="15"/>
        <v>7.7993780869565219E-3</v>
      </c>
      <c r="AA21" s="114">
        <f t="shared" si="16"/>
        <v>7.7564772173913041E-3</v>
      </c>
      <c r="AB21" s="158">
        <f t="shared" si="17"/>
        <v>2.658931153635642E-4</v>
      </c>
    </row>
    <row r="22" spans="1:28" s="2" customFormat="1" ht="13" x14ac:dyDescent="0.15">
      <c r="B22" s="39" t="s">
        <v>26</v>
      </c>
      <c r="C22" s="112">
        <v>0.5</v>
      </c>
      <c r="D22" s="113">
        <f>D20+48</f>
        <v>313</v>
      </c>
      <c r="E22" s="35">
        <v>14</v>
      </c>
      <c r="F22" s="36">
        <f>4*0.53</f>
        <v>2.12</v>
      </c>
      <c r="G22" s="37">
        <f>4*0.465</f>
        <v>1.86</v>
      </c>
      <c r="H22" s="37">
        <f>2*1.025</f>
        <v>2.0499999999999998</v>
      </c>
      <c r="I22" s="37">
        <f t="shared" si="0"/>
        <v>2.614808</v>
      </c>
      <c r="J22" s="37">
        <f t="shared" si="18"/>
        <v>2.2941240000000001</v>
      </c>
      <c r="K22" s="37">
        <f t="shared" si="18"/>
        <v>2.52847</v>
      </c>
      <c r="L22" s="37">
        <f t="shared" si="2"/>
        <v>0.96119067225917643</v>
      </c>
      <c r="M22" s="37">
        <f t="shared" si="19"/>
        <v>0.83035107130036534</v>
      </c>
      <c r="N22" s="37">
        <f t="shared" si="19"/>
        <v>0.92761437672557223</v>
      </c>
      <c r="O22" s="114">
        <f t="shared" si="4"/>
        <v>2.4791340000000002</v>
      </c>
      <c r="P22" s="37">
        <f t="shared" si="5"/>
        <v>9.5803771039209798E-2</v>
      </c>
      <c r="Q22" s="114">
        <f t="shared" si="6"/>
        <v>0.90638537342837144</v>
      </c>
      <c r="R22" s="110">
        <f t="shared" si="7"/>
        <v>3.9233290415622186E-2</v>
      </c>
      <c r="S22" s="37">
        <f t="shared" si="8"/>
        <v>4.09069986766206E-3</v>
      </c>
      <c r="T22" s="37">
        <f t="shared" si="9"/>
        <v>3.6197627590352399E-3</v>
      </c>
      <c r="U22" s="37">
        <f t="shared" si="10"/>
        <v>4.7099136233344982E-3</v>
      </c>
      <c r="V22" s="114">
        <f t="shared" si="11"/>
        <v>4.1401254166772662E-3</v>
      </c>
      <c r="W22" s="37">
        <f t="shared" si="12"/>
        <v>3.1566828074456888E-4</v>
      </c>
      <c r="X22" s="37">
        <f t="shared" si="13"/>
        <v>8.3540191693290741E-3</v>
      </c>
      <c r="Y22" s="37">
        <f t="shared" si="14"/>
        <v>7.3294696485623001E-3</v>
      </c>
      <c r="Z22" s="37">
        <f t="shared" si="15"/>
        <v>8.0781789137380194E-3</v>
      </c>
      <c r="AA22" s="114">
        <f t="shared" si="16"/>
        <v>7.9205559105431315E-3</v>
      </c>
      <c r="AB22" s="158">
        <f t="shared" si="17"/>
        <v>3.0608233558852995E-4</v>
      </c>
    </row>
    <row r="23" spans="1:28" s="2" customFormat="1" ht="13" x14ac:dyDescent="0.15">
      <c r="B23" s="39" t="s">
        <v>27</v>
      </c>
      <c r="C23" s="112">
        <v>0.5</v>
      </c>
      <c r="D23" s="113">
        <f>24+D22</f>
        <v>337</v>
      </c>
      <c r="E23" s="35">
        <v>15</v>
      </c>
      <c r="F23" s="36">
        <f>2*1.119</f>
        <v>2.238</v>
      </c>
      <c r="G23" s="37">
        <f>2*0.996</f>
        <v>1.992</v>
      </c>
      <c r="H23" s="37">
        <f>2*1.062</f>
        <v>2.1240000000000001</v>
      </c>
      <c r="I23" s="37">
        <f t="shared" si="0"/>
        <v>2.7603492000000003</v>
      </c>
      <c r="J23" s="37">
        <f t="shared" si="18"/>
        <v>2.4569328000000001</v>
      </c>
      <c r="K23" s="37">
        <f t="shared" si="18"/>
        <v>2.6197416000000002</v>
      </c>
      <c r="L23" s="37">
        <f t="shared" si="2"/>
        <v>1.015357193464989</v>
      </c>
      <c r="M23" s="37">
        <f t="shared" si="19"/>
        <v>0.89891374273766189</v>
      </c>
      <c r="N23" s="37">
        <f t="shared" si="19"/>
        <v>0.96307568695494783</v>
      </c>
      <c r="O23" s="114">
        <f t="shared" si="4"/>
        <v>2.6123412000000004</v>
      </c>
      <c r="P23" s="37">
        <f t="shared" si="5"/>
        <v>8.7666893004828259E-2</v>
      </c>
      <c r="Q23" s="114">
        <f t="shared" si="6"/>
        <v>0.95911554105253283</v>
      </c>
      <c r="R23" s="110">
        <f t="shared" si="7"/>
        <v>3.3672597023881666E-2</v>
      </c>
      <c r="S23" s="37">
        <f t="shared" si="8"/>
        <v>2.2569383835755233E-3</v>
      </c>
      <c r="T23" s="37">
        <f t="shared" si="9"/>
        <v>2.856777976554023E-3</v>
      </c>
      <c r="U23" s="37">
        <f t="shared" si="10"/>
        <v>1.4775545928906498E-3</v>
      </c>
      <c r="V23" s="114">
        <f t="shared" si="11"/>
        <v>2.1970903176733989E-3</v>
      </c>
      <c r="W23" s="37">
        <f t="shared" si="12"/>
        <v>3.9927042997410912E-4</v>
      </c>
      <c r="X23" s="37">
        <f t="shared" si="13"/>
        <v>8.1909471810089028E-3</v>
      </c>
      <c r="Y23" s="37">
        <f t="shared" si="14"/>
        <v>7.2906017804154309E-3</v>
      </c>
      <c r="Z23" s="37">
        <f t="shared" si="15"/>
        <v>7.7737139465875382E-3</v>
      </c>
      <c r="AA23" s="114">
        <f t="shared" si="16"/>
        <v>7.7517543026706243E-3</v>
      </c>
      <c r="AB23" s="158">
        <f t="shared" si="17"/>
        <v>2.6013914838227961E-4</v>
      </c>
    </row>
    <row r="24" spans="1:28" s="2" customFormat="1" ht="13" x14ac:dyDescent="0.15">
      <c r="B24" s="39" t="s">
        <v>28</v>
      </c>
      <c r="C24" s="112">
        <v>0.45833333333333331</v>
      </c>
      <c r="D24" s="113">
        <f>23+D23</f>
        <v>360</v>
      </c>
      <c r="E24" s="35">
        <v>16</v>
      </c>
      <c r="F24" s="36">
        <f>2*1.175</f>
        <v>2.35</v>
      </c>
      <c r="G24" s="37">
        <f>2*1.031</f>
        <v>2.0619999999999998</v>
      </c>
      <c r="H24" s="37">
        <f>2*1.15</f>
        <v>2.2999999999999998</v>
      </c>
      <c r="I24" s="37">
        <f t="shared" si="0"/>
        <v>2.8984900000000002</v>
      </c>
      <c r="J24" s="37">
        <f t="shared" si="18"/>
        <v>2.5432707999999997</v>
      </c>
      <c r="K24" s="37">
        <f t="shared" si="18"/>
        <v>2.8368199999999999</v>
      </c>
      <c r="L24" s="37">
        <f t="shared" si="2"/>
        <v>1.0641899117313232</v>
      </c>
      <c r="M24" s="37">
        <f t="shared" si="19"/>
        <v>0.93345096917002346</v>
      </c>
      <c r="N24" s="37">
        <f t="shared" si="19"/>
        <v>1.0426837065103594</v>
      </c>
      <c r="O24" s="114">
        <f t="shared" si="4"/>
        <v>2.7595269333333334</v>
      </c>
      <c r="P24" s="37">
        <f t="shared" si="5"/>
        <v>0.10958380906595863</v>
      </c>
      <c r="Q24" s="114">
        <f t="shared" si="6"/>
        <v>1.0134415291372354</v>
      </c>
      <c r="R24" s="110">
        <f t="shared" si="7"/>
        <v>4.0474257162846285E-2</v>
      </c>
      <c r="S24" s="37">
        <f t="shared" si="8"/>
        <v>2.1231616637536598E-3</v>
      </c>
      <c r="T24" s="37">
        <f t="shared" si="9"/>
        <v>1.5016185405374595E-3</v>
      </c>
      <c r="U24" s="37">
        <f t="shared" si="10"/>
        <v>3.4612182415396315E-3</v>
      </c>
      <c r="V24" s="114">
        <f t="shared" si="11"/>
        <v>2.3619994819435836E-3</v>
      </c>
      <c r="W24" s="37">
        <f t="shared" si="12"/>
        <v>5.7815521981276576E-4</v>
      </c>
      <c r="X24" s="37">
        <f t="shared" si="13"/>
        <v>8.0513611111111116E-3</v>
      </c>
      <c r="Y24" s="37">
        <f t="shared" si="14"/>
        <v>7.0646411111111107E-3</v>
      </c>
      <c r="Z24" s="37">
        <f t="shared" si="15"/>
        <v>7.8800555555555551E-3</v>
      </c>
      <c r="AA24" s="114">
        <f t="shared" si="16"/>
        <v>7.6653525925925933E-3</v>
      </c>
      <c r="AB24" s="158">
        <f t="shared" si="17"/>
        <v>3.0439946962766262E-4</v>
      </c>
    </row>
    <row r="25" spans="1:28" s="2" customFormat="1" ht="13" x14ac:dyDescent="0.15">
      <c r="B25" s="39" t="s">
        <v>29</v>
      </c>
      <c r="C25" s="112">
        <v>0.47916666666666669</v>
      </c>
      <c r="D25" s="113">
        <f>24.5+D24</f>
        <v>384.5</v>
      </c>
      <c r="E25" s="35">
        <v>17</v>
      </c>
      <c r="F25" s="36">
        <f>4*0.647</f>
        <v>2.5880000000000001</v>
      </c>
      <c r="G25" s="37">
        <f>4*0.548</f>
        <v>2.1920000000000002</v>
      </c>
      <c r="H25" s="37">
        <f>4*0.618</f>
        <v>2.472</v>
      </c>
      <c r="I25" s="37">
        <f t="shared" ref="I25:K28" si="20">1.2334*F25</f>
        <v>3.1920392000000004</v>
      </c>
      <c r="J25" s="37">
        <f t="shared" si="20"/>
        <v>2.7036128000000001</v>
      </c>
      <c r="K25" s="37">
        <f t="shared" si="20"/>
        <v>3.0489648000000003</v>
      </c>
      <c r="L25" s="37">
        <f t="shared" ref="L25:N28" si="21">LN(I25)</f>
        <v>1.1606599602139096</v>
      </c>
      <c r="M25" s="37">
        <f t="shared" si="21"/>
        <v>0.99458895266102454</v>
      </c>
      <c r="N25" s="37">
        <f t="shared" si="21"/>
        <v>1.1148021231706997</v>
      </c>
      <c r="O25" s="114">
        <f t="shared" si="4"/>
        <v>2.9815389333333333</v>
      </c>
      <c r="P25" s="37">
        <f t="shared" si="5"/>
        <v>0.14497100017595865</v>
      </c>
      <c r="Q25" s="114">
        <f t="shared" si="6"/>
        <v>1.0900170120152113</v>
      </c>
      <c r="R25" s="110">
        <f t="shared" si="7"/>
        <v>4.9516398592284697E-2</v>
      </c>
      <c r="S25" s="37">
        <f t="shared" si="8"/>
        <v>3.9375529992892429E-3</v>
      </c>
      <c r="T25" s="37">
        <f t="shared" si="9"/>
        <v>2.4954278975918807E-3</v>
      </c>
      <c r="U25" s="37">
        <f t="shared" si="10"/>
        <v>2.9436088432791981E-3</v>
      </c>
      <c r="V25" s="114">
        <f t="shared" si="11"/>
        <v>3.1255299133867739E-3</v>
      </c>
      <c r="W25" s="37">
        <f t="shared" si="12"/>
        <v>4.2612699947637713E-4</v>
      </c>
      <c r="X25" s="37">
        <f t="shared" si="13"/>
        <v>8.3017924577373226E-3</v>
      </c>
      <c r="Y25" s="37">
        <f t="shared" si="14"/>
        <v>7.0315027308192465E-3</v>
      </c>
      <c r="Z25" s="37">
        <f t="shared" si="15"/>
        <v>7.9296873862158661E-3</v>
      </c>
      <c r="AA25" s="114">
        <f t="shared" si="16"/>
        <v>7.754327524924145E-3</v>
      </c>
      <c r="AB25" s="158">
        <f t="shared" si="17"/>
        <v>3.7703771177102378E-4</v>
      </c>
    </row>
    <row r="26" spans="1:28" s="2" customFormat="1" ht="13" x14ac:dyDescent="0.15">
      <c r="B26" s="39" t="s">
        <v>30</v>
      </c>
      <c r="C26" s="112">
        <v>0.45833333333333331</v>
      </c>
      <c r="D26" s="113">
        <f>48+D24</f>
        <v>408</v>
      </c>
      <c r="E26" s="35">
        <f>18</f>
        <v>18</v>
      </c>
      <c r="F26" s="36">
        <f>4*0.685</f>
        <v>2.74</v>
      </c>
      <c r="G26" s="37">
        <f>4*0.571</f>
        <v>2.2839999999999998</v>
      </c>
      <c r="H26" s="37">
        <f>4*0.651</f>
        <v>2.6040000000000001</v>
      </c>
      <c r="I26" s="37">
        <f t="shared" si="20"/>
        <v>3.3795160000000002</v>
      </c>
      <c r="J26" s="37">
        <f t="shared" si="20"/>
        <v>2.8170856</v>
      </c>
      <c r="K26" s="37">
        <f t="shared" si="20"/>
        <v>3.2117736000000003</v>
      </c>
      <c r="L26" s="37">
        <f t="shared" si="21"/>
        <v>1.2177325039752342</v>
      </c>
      <c r="M26" s="37">
        <f t="shared" si="21"/>
        <v>1.0357028753690192</v>
      </c>
      <c r="N26" s="37">
        <f t="shared" si="21"/>
        <v>1.1668233079215784</v>
      </c>
      <c r="O26" s="114">
        <f t="shared" si="4"/>
        <v>3.1361250666666667</v>
      </c>
      <c r="P26" s="37">
        <f t="shared" si="5"/>
        <v>0.16670734252740979</v>
      </c>
      <c r="Q26" s="114">
        <f t="shared" si="6"/>
        <v>1.1400862290886107</v>
      </c>
      <c r="R26" s="110">
        <f t="shared" si="7"/>
        <v>5.4221305655678072E-2</v>
      </c>
      <c r="S26" s="37">
        <f t="shared" si="8"/>
        <v>2.4286188834606232E-3</v>
      </c>
      <c r="T26" s="37">
        <f t="shared" si="9"/>
        <v>1.7495286258721119E-3</v>
      </c>
      <c r="U26" s="37">
        <f t="shared" si="10"/>
        <v>2.2136674362076038E-3</v>
      </c>
      <c r="V26" s="114">
        <f t="shared" si="11"/>
        <v>2.1306049818467796E-3</v>
      </c>
      <c r="W26" s="37">
        <f t="shared" si="12"/>
        <v>2.0038747713803595E-4</v>
      </c>
      <c r="X26" s="37">
        <f t="shared" si="13"/>
        <v>8.2831274509803932E-3</v>
      </c>
      <c r="Y26" s="37">
        <f t="shared" si="14"/>
        <v>6.9046215686274512E-3</v>
      </c>
      <c r="Z26" s="37">
        <f t="shared" si="15"/>
        <v>7.871994117647059E-3</v>
      </c>
      <c r="AA26" s="114">
        <f t="shared" si="16"/>
        <v>7.6865810457516339E-3</v>
      </c>
      <c r="AB26" s="158">
        <f t="shared" si="17"/>
        <v>4.0859642776325939E-4</v>
      </c>
    </row>
    <row r="27" spans="1:28" s="2" customFormat="1" ht="13" x14ac:dyDescent="0.15">
      <c r="B27" s="39" t="s">
        <v>31</v>
      </c>
      <c r="C27" s="112">
        <v>0.52083333333333337</v>
      </c>
      <c r="D27" s="113">
        <f>24+1.5+D26</f>
        <v>433.5</v>
      </c>
      <c r="E27" s="35">
        <v>19</v>
      </c>
      <c r="F27" s="37">
        <f>4*0.711</f>
        <v>2.8439999999999999</v>
      </c>
      <c r="G27" s="37">
        <f>4*0.588</f>
        <v>2.3519999999999999</v>
      </c>
      <c r="H27" s="37">
        <f>8*0.331</f>
        <v>2.6480000000000001</v>
      </c>
      <c r="I27" s="37">
        <f t="shared" si="20"/>
        <v>3.5077896000000002</v>
      </c>
      <c r="J27" s="37">
        <f t="shared" si="20"/>
        <v>2.9009567999999999</v>
      </c>
      <c r="K27" s="37">
        <f t="shared" si="20"/>
        <v>3.2660432000000004</v>
      </c>
      <c r="L27" s="37">
        <f t="shared" si="21"/>
        <v>1.25498609551625</v>
      </c>
      <c r="M27" s="37">
        <f t="shared" si="21"/>
        <v>1.0650406136116359</v>
      </c>
      <c r="N27" s="37">
        <f t="shared" si="21"/>
        <v>1.1835792216500172</v>
      </c>
      <c r="O27" s="114">
        <f t="shared" si="4"/>
        <v>3.2249298666666668</v>
      </c>
      <c r="P27" s="37">
        <f t="shared" si="5"/>
        <v>0.17637955420276039</v>
      </c>
      <c r="Q27" s="114">
        <f t="shared" si="6"/>
        <v>1.1678686435926344</v>
      </c>
      <c r="R27" s="110">
        <f t="shared" si="7"/>
        <v>5.539235272480264E-2</v>
      </c>
      <c r="S27" s="37">
        <f t="shared" si="8"/>
        <v>1.4609251584712041E-3</v>
      </c>
      <c r="T27" s="37">
        <f t="shared" si="9"/>
        <v>1.1504995389261476E-3</v>
      </c>
      <c r="U27" s="37">
        <f t="shared" si="10"/>
        <v>6.5709465601720648E-4</v>
      </c>
      <c r="V27" s="114">
        <f t="shared" si="11"/>
        <v>1.0895064511381861E-3</v>
      </c>
      <c r="W27" s="37">
        <f t="shared" si="12"/>
        <v>2.3404129745075198E-4</v>
      </c>
      <c r="X27" s="37">
        <f t="shared" si="13"/>
        <v>8.0917868512110722E-3</v>
      </c>
      <c r="Y27" s="37">
        <f t="shared" si="14"/>
        <v>6.6919418685121102E-3</v>
      </c>
      <c r="Z27" s="37">
        <f t="shared" si="15"/>
        <v>7.5341250288350646E-3</v>
      </c>
      <c r="AA27" s="114">
        <f t="shared" si="16"/>
        <v>7.4392845828527496E-3</v>
      </c>
      <c r="AB27" s="158">
        <f t="shared" si="17"/>
        <v>4.0687325075607918E-4</v>
      </c>
    </row>
    <row r="28" spans="1:28" s="2" customFormat="1" ht="13" x14ac:dyDescent="0.15">
      <c r="B28" s="39" t="s">
        <v>32</v>
      </c>
      <c r="C28" s="112">
        <v>0.54166666666666663</v>
      </c>
      <c r="D28" s="113">
        <f>24.5+D27</f>
        <v>458</v>
      </c>
      <c r="E28" s="35">
        <v>20</v>
      </c>
      <c r="F28" s="37">
        <f>4*0.713</f>
        <v>2.8519999999999999</v>
      </c>
      <c r="G28" s="37">
        <f>4*0.606</f>
        <v>2.4239999999999999</v>
      </c>
      <c r="H28" s="37">
        <f>4*0.707</f>
        <v>2.8279999999999998</v>
      </c>
      <c r="I28" s="37">
        <f t="shared" si="20"/>
        <v>3.5176568000000001</v>
      </c>
      <c r="J28" s="37">
        <f t="shared" si="20"/>
        <v>2.9897616</v>
      </c>
      <c r="K28" s="37">
        <f t="shared" si="20"/>
        <v>3.4880551999999998</v>
      </c>
      <c r="L28" s="37">
        <f t="shared" si="21"/>
        <v>1.2577950861273048</v>
      </c>
      <c r="M28" s="37">
        <f t="shared" si="21"/>
        <v>1.0951936517823233</v>
      </c>
      <c r="N28" s="37">
        <f t="shared" si="21"/>
        <v>1.2493443316095816</v>
      </c>
      <c r="O28" s="114">
        <f t="shared" si="4"/>
        <v>3.3318245333333336</v>
      </c>
      <c r="P28" s="37">
        <f>STDEV(I28:K28)/SQRT(3)</f>
        <v>0.17124480668630834</v>
      </c>
      <c r="Q28" s="114">
        <f t="shared" si="6"/>
        <v>1.2007776898397367</v>
      </c>
      <c r="R28" s="110">
        <f t="shared" si="7"/>
        <v>5.284835422338674E-2</v>
      </c>
      <c r="S28" s="37">
        <f t="shared" si="8"/>
        <v>1.1465267800224019E-4</v>
      </c>
      <c r="T28" s="37">
        <f t="shared" si="9"/>
        <v>1.2307362518647908E-3</v>
      </c>
      <c r="U28" s="37">
        <f t="shared" si="10"/>
        <v>2.6842902024312005E-3</v>
      </c>
      <c r="V28" s="114">
        <f t="shared" si="11"/>
        <v>1.3432263774327436E-3</v>
      </c>
      <c r="W28" s="37">
        <f t="shared" si="12"/>
        <v>7.4391974768812041E-4</v>
      </c>
      <c r="X28" s="37">
        <f t="shared" si="13"/>
        <v>7.680473362445415E-3</v>
      </c>
      <c r="Y28" s="37">
        <f t="shared" si="14"/>
        <v>6.5278637554585153E-3</v>
      </c>
      <c r="Z28" s="37">
        <f t="shared" si="15"/>
        <v>7.6158410480349345E-3</v>
      </c>
      <c r="AA28" s="114">
        <f t="shared" si="16"/>
        <v>7.2747260553129552E-3</v>
      </c>
      <c r="AB28" s="158">
        <f t="shared" si="17"/>
        <v>3.7389695783036762E-4</v>
      </c>
    </row>
    <row r="29" spans="1:28" s="2" customFormat="1" thickBot="1" x14ac:dyDescent="0.2">
      <c r="B29" s="40"/>
      <c r="C29" s="41"/>
      <c r="D29" s="42"/>
      <c r="E29" s="43"/>
      <c r="F29" s="46"/>
      <c r="G29" s="46"/>
      <c r="H29" s="46"/>
      <c r="I29" s="46"/>
      <c r="J29" s="46"/>
      <c r="K29" s="46"/>
      <c r="L29" s="46"/>
      <c r="M29" s="46"/>
      <c r="N29" s="46"/>
      <c r="O29" s="47"/>
      <c r="P29" s="46"/>
      <c r="Q29" s="47"/>
      <c r="R29" s="111"/>
      <c r="S29" s="42"/>
      <c r="T29" s="42"/>
      <c r="U29" s="42"/>
      <c r="V29" s="42"/>
      <c r="W29" s="42"/>
      <c r="X29" s="42"/>
      <c r="Y29" s="42"/>
      <c r="Z29" s="42"/>
      <c r="AA29" s="42"/>
      <c r="AB29" s="43"/>
    </row>
    <row r="30" spans="1:28" ht="15" customHeight="1" thickBot="1" x14ac:dyDescent="0.2">
      <c r="A30" s="118"/>
      <c r="B30" s="172" t="s">
        <v>33</v>
      </c>
      <c r="C30" s="173"/>
      <c r="D30" s="173"/>
      <c r="E30" s="173"/>
      <c r="F30" s="173"/>
      <c r="G30" s="173"/>
      <c r="H30" s="173"/>
      <c r="I30" s="173"/>
      <c r="J30" s="173"/>
      <c r="K30" s="173"/>
      <c r="L30" s="173"/>
      <c r="M30" s="173"/>
      <c r="N30" s="173"/>
      <c r="O30" s="173"/>
      <c r="P30" s="173"/>
      <c r="Q30" s="173"/>
      <c r="R30" s="173"/>
      <c r="S30" s="173"/>
      <c r="T30" s="173"/>
      <c r="U30" s="173"/>
      <c r="V30" s="173"/>
      <c r="W30" s="173"/>
      <c r="X30" s="173"/>
      <c r="Y30" s="173"/>
      <c r="Z30" s="173"/>
      <c r="AA30" s="173"/>
      <c r="AB30" s="174"/>
    </row>
    <row r="31" spans="1:28" ht="45" x14ac:dyDescent="0.15">
      <c r="B31" s="23" t="s">
        <v>2</v>
      </c>
      <c r="C31" s="24" t="s">
        <v>3</v>
      </c>
      <c r="D31" s="25" t="s">
        <v>4</v>
      </c>
      <c r="E31" s="26" t="s">
        <v>5</v>
      </c>
      <c r="F31" s="179" t="s">
        <v>6</v>
      </c>
      <c r="G31" s="170"/>
      <c r="H31" s="170"/>
      <c r="I31" s="170" t="s">
        <v>7</v>
      </c>
      <c r="J31" s="170"/>
      <c r="K31" s="170"/>
      <c r="L31" s="180" t="s">
        <v>8</v>
      </c>
      <c r="M31" s="181"/>
      <c r="N31" s="182"/>
      <c r="O31" s="27" t="s">
        <v>9</v>
      </c>
      <c r="P31" s="108"/>
      <c r="Q31" s="108" t="s">
        <v>10</v>
      </c>
      <c r="R31" s="28" t="s">
        <v>62</v>
      </c>
      <c r="S31" s="170" t="s">
        <v>11</v>
      </c>
      <c r="T31" s="170"/>
      <c r="U31" s="170"/>
      <c r="V31" s="27" t="s">
        <v>61</v>
      </c>
      <c r="W31" s="27" t="s">
        <v>62</v>
      </c>
      <c r="X31" s="170" t="s">
        <v>64</v>
      </c>
      <c r="Y31" s="170"/>
      <c r="Z31" s="170"/>
      <c r="AA31" s="27" t="s">
        <v>66</v>
      </c>
      <c r="AB31" s="115" t="s">
        <v>62</v>
      </c>
    </row>
    <row r="32" spans="1:28" ht="15" customHeight="1" x14ac:dyDescent="0.15">
      <c r="B32" s="29"/>
      <c r="C32" s="30"/>
      <c r="D32" s="31"/>
      <c r="E32" s="32"/>
      <c r="F32" s="178"/>
      <c r="G32" s="176"/>
      <c r="H32" s="177"/>
      <c r="I32" s="175" t="s">
        <v>12</v>
      </c>
      <c r="J32" s="176"/>
      <c r="K32" s="177"/>
      <c r="L32" s="175" t="s">
        <v>12</v>
      </c>
      <c r="M32" s="176"/>
      <c r="N32" s="177"/>
      <c r="O32" s="33" t="s">
        <v>12</v>
      </c>
      <c r="P32" s="34"/>
      <c r="Q32" s="34" t="s">
        <v>12</v>
      </c>
      <c r="R32" s="109"/>
      <c r="S32" s="171" t="s">
        <v>63</v>
      </c>
      <c r="T32" s="171"/>
      <c r="U32" s="171"/>
      <c r="V32" s="33" t="s">
        <v>63</v>
      </c>
      <c r="W32" s="31"/>
      <c r="X32" s="171" t="s">
        <v>65</v>
      </c>
      <c r="Y32" s="171"/>
      <c r="Z32" s="171"/>
      <c r="AA32" s="33" t="s">
        <v>65</v>
      </c>
      <c r="AB32" s="116"/>
    </row>
    <row r="33" spans="2:28" s="2" customFormat="1" ht="13" x14ac:dyDescent="0.15">
      <c r="B33" s="167" t="s">
        <v>13</v>
      </c>
      <c r="C33" s="112">
        <v>0.45833333333333331</v>
      </c>
      <c r="D33" s="113">
        <v>0</v>
      </c>
      <c r="E33" s="168">
        <v>1</v>
      </c>
      <c r="F33" s="36">
        <v>0.106</v>
      </c>
      <c r="G33" s="37">
        <v>0.10299999999999999</v>
      </c>
      <c r="H33" s="37">
        <v>0.107</v>
      </c>
      <c r="I33" s="37">
        <f>1.2596*F33</f>
        <v>0.13351760000000001</v>
      </c>
      <c r="J33" s="37">
        <f>1.2596*G33</f>
        <v>0.12973879999999999</v>
      </c>
      <c r="K33" s="37">
        <f t="shared" ref="J33:K48" si="22">1.2596*H33</f>
        <v>0.13477720000000001</v>
      </c>
      <c r="L33" s="37">
        <f t="shared" ref="L33:L52" si="23">LN(I33)</f>
        <v>-2.0135219746253372</v>
      </c>
      <c r="M33" s="37">
        <f t="shared" ref="M33:N48" si="24">LN(J33)</f>
        <v>-2.0422320805077687</v>
      </c>
      <c r="N33" s="37">
        <f t="shared" si="24"/>
        <v>-2.0041322342754984</v>
      </c>
      <c r="O33" s="114">
        <f>AVERAGE(I33:K33)</f>
        <v>0.13267786666666667</v>
      </c>
      <c r="P33" s="37">
        <f>STDEV(I33:K33)/SQRT(3)</f>
        <v>1.5138507955248224E-3</v>
      </c>
      <c r="Q33" s="114">
        <f>AVERAGE(L33:N33)</f>
        <v>-2.0199620964695346</v>
      </c>
      <c r="R33" s="119">
        <f>STDEV(L33:N33)/SQRT(3)</f>
        <v>1.1460162124460318E-2</v>
      </c>
      <c r="AB33" s="35"/>
    </row>
    <row r="34" spans="2:28" s="2" customFormat="1" ht="13" x14ac:dyDescent="0.15">
      <c r="B34" s="167"/>
      <c r="C34" s="112">
        <v>0.5625</v>
      </c>
      <c r="D34" s="113">
        <v>2.5</v>
      </c>
      <c r="E34" s="168"/>
      <c r="F34" s="36">
        <v>0.11</v>
      </c>
      <c r="G34" s="37">
        <v>0.113</v>
      </c>
      <c r="H34" s="37">
        <v>0.114</v>
      </c>
      <c r="I34" s="37">
        <f t="shared" ref="I34:I52" si="25">1.2596*F34</f>
        <v>0.13855600000000001</v>
      </c>
      <c r="J34" s="37">
        <f t="shared" si="22"/>
        <v>0.14233480000000001</v>
      </c>
      <c r="K34" s="37">
        <f t="shared" si="22"/>
        <v>0.14359440000000001</v>
      </c>
      <c r="L34" s="37">
        <f t="shared" si="23"/>
        <v>-1.9764807029449882</v>
      </c>
      <c r="M34" s="37">
        <f t="shared" si="24"/>
        <v>-1.9495732500250638</v>
      </c>
      <c r="N34" s="37">
        <f t="shared" si="24"/>
        <v>-1.9407626203429089</v>
      </c>
      <c r="O34" s="114">
        <f t="shared" ref="O34:O56" si="26">AVERAGE(I34:K34)</f>
        <v>0.14149506666666667</v>
      </c>
      <c r="P34" s="37">
        <f t="shared" ref="P34:P56" si="27">STDEV(I34:K34)/SQRT(3)</f>
        <v>1.5138507955248133E-3</v>
      </c>
      <c r="Q34" s="114">
        <f t="shared" ref="Q34:Q56" si="28">AVERAGE(L34:N34)</f>
        <v>-1.9556055244376536</v>
      </c>
      <c r="R34" s="119">
        <f t="shared" ref="R34:R56" si="29">STDEV(I34:K34)/SQRT(3)</f>
        <v>1.5138507955248133E-3</v>
      </c>
      <c r="S34" s="37">
        <f>(L34-L33)/(D34-D33)</f>
        <v>1.4816508672139595E-2</v>
      </c>
      <c r="T34" s="37">
        <f>(M34-M33)/(D34-D33)</f>
        <v>3.7063532193081984E-2</v>
      </c>
      <c r="U34" s="37">
        <f>(N34-N33)/(D34-D33)</f>
        <v>2.5347845573035776E-2</v>
      </c>
      <c r="V34" s="114">
        <f>AVERAGE(S34:U34)</f>
        <v>2.5742628812752452E-2</v>
      </c>
      <c r="W34" s="119">
        <f>STDEV(S34:U34)/SQRT(3)</f>
        <v>6.4251953080590417E-3</v>
      </c>
      <c r="X34" s="37">
        <f>I34/D34</f>
        <v>5.5422400000000004E-2</v>
      </c>
      <c r="Y34" s="37">
        <f>J34/D34</f>
        <v>5.6933920000000006E-2</v>
      </c>
      <c r="Z34" s="37">
        <f>K34/D34</f>
        <v>5.7437760000000004E-2</v>
      </c>
      <c r="AA34" s="114">
        <f>AVERAGE(X34:Z34)</f>
        <v>5.6598026666666669E-2</v>
      </c>
      <c r="AB34" s="158">
        <f>STDEV(X34:Z34)/SQRT(3)</f>
        <v>6.0554031820992586E-4</v>
      </c>
    </row>
    <row r="35" spans="2:28" s="2" customFormat="1" ht="13" x14ac:dyDescent="0.15">
      <c r="B35" s="167"/>
      <c r="C35" s="112">
        <v>0.73958333333333337</v>
      </c>
      <c r="D35" s="113">
        <f>4+D34</f>
        <v>6.5</v>
      </c>
      <c r="E35" s="168"/>
      <c r="F35" s="36">
        <v>0.13600000000000001</v>
      </c>
      <c r="G35" s="37">
        <v>0.14599999999999999</v>
      </c>
      <c r="H35" s="37">
        <v>0.13200000000000001</v>
      </c>
      <c r="I35" s="37">
        <f t="shared" si="25"/>
        <v>0.17130560000000003</v>
      </c>
      <c r="J35" s="37">
        <f t="shared" si="22"/>
        <v>0.1839016</v>
      </c>
      <c r="K35" s="37">
        <f t="shared" si="22"/>
        <v>0.1662672</v>
      </c>
      <c r="L35" s="37">
        <f t="shared" si="23"/>
        <v>-1.7643061830013524</v>
      </c>
      <c r="M35" s="37">
        <f t="shared" si="24"/>
        <v>-1.693354447029068</v>
      </c>
      <c r="N35" s="37">
        <f t="shared" si="24"/>
        <v>-1.7941591461510336</v>
      </c>
      <c r="O35" s="114">
        <f t="shared" si="26"/>
        <v>0.1738248</v>
      </c>
      <c r="P35" s="37">
        <f t="shared" si="27"/>
        <v>5.2441329858550776E-3</v>
      </c>
      <c r="Q35" s="114">
        <f t="shared" si="28"/>
        <v>-1.7506065920604847</v>
      </c>
      <c r="R35" s="119">
        <f t="shared" si="29"/>
        <v>5.2441329858550776E-3</v>
      </c>
      <c r="S35" s="37">
        <f t="shared" ref="S35:S56" si="30">(L35-L34)/(D35-D34)</f>
        <v>5.3043629985908947E-2</v>
      </c>
      <c r="T35" s="37">
        <f t="shared" ref="T35:T56" si="31">(M35-M34)/(D35-D34)</f>
        <v>6.4054700748998938E-2</v>
      </c>
      <c r="U35" s="37">
        <f t="shared" ref="U35:U56" si="32">(N35-N34)/(D35-D34)</f>
        <v>3.665086854796884E-2</v>
      </c>
      <c r="V35" s="114">
        <f t="shared" ref="V35:V56" si="33">AVERAGE(S35:U35)</f>
        <v>5.1249733094292239E-2</v>
      </c>
      <c r="W35" s="119">
        <f t="shared" ref="W35:W56" si="34">STDEV(S35:U35)/SQRT(3)</f>
        <v>7.9614917858582979E-3</v>
      </c>
      <c r="X35" s="37">
        <f t="shared" ref="X35:X56" si="35">I35/D35</f>
        <v>2.6354707692307695E-2</v>
      </c>
      <c r="Y35" s="37">
        <f t="shared" ref="Y35:Y56" si="36">J35/D35</f>
        <v>2.8292553846153846E-2</v>
      </c>
      <c r="Z35" s="37">
        <f t="shared" ref="Z35:Z56" si="37">K35/D35</f>
        <v>2.557956923076923E-2</v>
      </c>
      <c r="AA35" s="114">
        <f t="shared" ref="AA35:AA56" si="38">AVERAGE(X35:Z35)</f>
        <v>2.6742276923076926E-2</v>
      </c>
      <c r="AB35" s="158">
        <f t="shared" ref="AB35:AB56" si="39">STDEV(X35:Z35)/SQRT(3)</f>
        <v>8.0678969013155111E-4</v>
      </c>
    </row>
    <row r="36" spans="2:28" s="2" customFormat="1" ht="13" x14ac:dyDescent="0.15">
      <c r="B36" s="167"/>
      <c r="C36" s="112">
        <v>0.86111111111111116</v>
      </c>
      <c r="D36" s="113">
        <f>3+D35</f>
        <v>9.5</v>
      </c>
      <c r="E36" s="168"/>
      <c r="F36" s="36">
        <v>0.158</v>
      </c>
      <c r="G36" s="37">
        <v>0.158</v>
      </c>
      <c r="H36" s="37">
        <v>0.14000000000000001</v>
      </c>
      <c r="I36" s="37">
        <f t="shared" si="25"/>
        <v>0.19901680000000002</v>
      </c>
      <c r="J36" s="37">
        <f t="shared" si="22"/>
        <v>0.19901680000000002</v>
      </c>
      <c r="K36" s="37">
        <f t="shared" si="22"/>
        <v>0.17634400000000003</v>
      </c>
      <c r="L36" s="37">
        <f t="shared" si="23"/>
        <v>-1.6143660357104377</v>
      </c>
      <c r="M36" s="37">
        <f t="shared" si="24"/>
        <v>-1.6143660357104377</v>
      </c>
      <c r="N36" s="37">
        <f t="shared" si="24"/>
        <v>-1.7353186461281001</v>
      </c>
      <c r="O36" s="114">
        <f t="shared" si="26"/>
        <v>0.19145920000000002</v>
      </c>
      <c r="P36" s="37">
        <f t="shared" si="27"/>
        <v>7.5575999999999985E-3</v>
      </c>
      <c r="Q36" s="114">
        <f t="shared" si="28"/>
        <v>-1.6546835725163251</v>
      </c>
      <c r="R36" s="119">
        <f t="shared" si="29"/>
        <v>7.5575999999999985E-3</v>
      </c>
      <c r="S36" s="37">
        <f t="shared" si="30"/>
        <v>4.9980049096971589E-2</v>
      </c>
      <c r="T36" s="37">
        <f t="shared" si="31"/>
        <v>2.632947043954344E-2</v>
      </c>
      <c r="U36" s="37">
        <f t="shared" si="32"/>
        <v>1.9613500007644502E-2</v>
      </c>
      <c r="V36" s="114">
        <f t="shared" si="33"/>
        <v>3.1974339848053181E-2</v>
      </c>
      <c r="W36" s="119">
        <f t="shared" si="34"/>
        <v>9.209238819033393E-3</v>
      </c>
      <c r="X36" s="37">
        <f t="shared" si="35"/>
        <v>2.0949136842105264E-2</v>
      </c>
      <c r="Y36" s="37">
        <f t="shared" si="36"/>
        <v>2.0949136842105264E-2</v>
      </c>
      <c r="Z36" s="37">
        <f t="shared" si="37"/>
        <v>1.8562526315789477E-2</v>
      </c>
      <c r="AA36" s="114">
        <f t="shared" si="38"/>
        <v>2.0153600000000004E-2</v>
      </c>
      <c r="AB36" s="158">
        <f t="shared" si="39"/>
        <v>7.9553684210526237E-4</v>
      </c>
    </row>
    <row r="37" spans="2:28" s="2" customFormat="1" ht="13" x14ac:dyDescent="0.15">
      <c r="B37" s="167" t="s">
        <v>14</v>
      </c>
      <c r="C37" s="112">
        <v>0.4513888888888889</v>
      </c>
      <c r="D37" s="113">
        <f>24+D33</f>
        <v>24</v>
      </c>
      <c r="E37" s="168">
        <v>2</v>
      </c>
      <c r="F37" s="36">
        <v>0.16800000000000001</v>
      </c>
      <c r="G37" s="37">
        <v>0.17699999999999999</v>
      </c>
      <c r="H37" s="37">
        <v>0.19</v>
      </c>
      <c r="I37" s="37">
        <f t="shared" si="25"/>
        <v>0.21161280000000002</v>
      </c>
      <c r="J37" s="37">
        <f t="shared" si="22"/>
        <v>0.22294919999999999</v>
      </c>
      <c r="K37" s="37">
        <f t="shared" si="22"/>
        <v>0.23932400000000001</v>
      </c>
      <c r="L37" s="37">
        <f t="shared" si="23"/>
        <v>-1.5529970893341456</v>
      </c>
      <c r="M37" s="37">
        <f t="shared" si="24"/>
        <v>-1.5008113361635755</v>
      </c>
      <c r="N37" s="37">
        <f t="shared" si="24"/>
        <v>-1.4299369965769184</v>
      </c>
      <c r="O37" s="114">
        <f t="shared" si="26"/>
        <v>0.22462866666666667</v>
      </c>
      <c r="P37" s="37">
        <f t="shared" si="27"/>
        <v>8.0434882062724762E-3</v>
      </c>
      <c r="Q37" s="114">
        <f t="shared" si="28"/>
        <v>-1.4945818073582131</v>
      </c>
      <c r="R37" s="119">
        <f t="shared" si="29"/>
        <v>8.0434882062724762E-3</v>
      </c>
      <c r="S37" s="37">
        <f t="shared" si="30"/>
        <v>4.2323411293994544E-3</v>
      </c>
      <c r="T37" s="37">
        <f t="shared" si="31"/>
        <v>7.8313585894387687E-3</v>
      </c>
      <c r="U37" s="37">
        <f t="shared" si="32"/>
        <v>2.106080341732287E-2</v>
      </c>
      <c r="V37" s="114">
        <f t="shared" si="33"/>
        <v>1.1041501045387031E-2</v>
      </c>
      <c r="W37" s="119">
        <f t="shared" si="34"/>
        <v>5.1162501464981254E-3</v>
      </c>
      <c r="X37" s="37">
        <f t="shared" si="35"/>
        <v>8.8172000000000007E-3</v>
      </c>
      <c r="Y37" s="37">
        <f t="shared" si="36"/>
        <v>9.2895499999999988E-3</v>
      </c>
      <c r="Z37" s="37">
        <f t="shared" si="37"/>
        <v>9.9718333333333343E-3</v>
      </c>
      <c r="AA37" s="114">
        <f t="shared" si="38"/>
        <v>9.3595277777777774E-3</v>
      </c>
      <c r="AB37" s="158">
        <f t="shared" si="39"/>
        <v>3.3514534192802004E-4</v>
      </c>
    </row>
    <row r="38" spans="2:28" s="2" customFormat="1" ht="13" x14ac:dyDescent="0.15">
      <c r="B38" s="167"/>
      <c r="C38" s="112">
        <v>0.70833333333333337</v>
      </c>
      <c r="D38" s="113">
        <f>6+D37</f>
        <v>30</v>
      </c>
      <c r="E38" s="168"/>
      <c r="F38" s="36">
        <v>0.21</v>
      </c>
      <c r="G38" s="37">
        <v>0.21099999999999999</v>
      </c>
      <c r="H38" s="37">
        <v>0.20599999999999999</v>
      </c>
      <c r="I38" s="37">
        <f t="shared" si="25"/>
        <v>0.26451600000000003</v>
      </c>
      <c r="J38" s="37">
        <f t="shared" si="22"/>
        <v>0.2657756</v>
      </c>
      <c r="K38" s="37">
        <f t="shared" si="22"/>
        <v>0.25947759999999997</v>
      </c>
      <c r="L38" s="37">
        <f t="shared" si="23"/>
        <v>-1.3298535380199357</v>
      </c>
      <c r="M38" s="37">
        <f t="shared" si="24"/>
        <v>-1.3251029352613379</v>
      </c>
      <c r="N38" s="37">
        <f t="shared" si="24"/>
        <v>-1.3490848999478235</v>
      </c>
      <c r="O38" s="114">
        <f t="shared" si="26"/>
        <v>0.2632564</v>
      </c>
      <c r="P38" s="37">
        <f t="shared" si="27"/>
        <v>1.9240707817888036E-3</v>
      </c>
      <c r="Q38" s="114">
        <f t="shared" si="28"/>
        <v>-1.3346804577430325</v>
      </c>
      <c r="R38" s="119">
        <f t="shared" si="29"/>
        <v>1.9240707817888036E-3</v>
      </c>
      <c r="S38" s="37">
        <f t="shared" si="30"/>
        <v>3.7190591885701653E-2</v>
      </c>
      <c r="T38" s="37">
        <f t="shared" si="31"/>
        <v>2.9284733483706266E-2</v>
      </c>
      <c r="U38" s="37">
        <f t="shared" si="32"/>
        <v>1.3475349438182479E-2</v>
      </c>
      <c r="V38" s="114">
        <f t="shared" si="33"/>
        <v>2.6650224935863467E-2</v>
      </c>
      <c r="W38" s="119">
        <f t="shared" si="34"/>
        <v>6.9715769988491208E-3</v>
      </c>
      <c r="X38" s="37">
        <f t="shared" si="35"/>
        <v>8.8172000000000007E-3</v>
      </c>
      <c r="Y38" s="37">
        <f t="shared" si="36"/>
        <v>8.8591866666666661E-3</v>
      </c>
      <c r="Z38" s="37">
        <f t="shared" si="37"/>
        <v>8.6492533333333323E-3</v>
      </c>
      <c r="AA38" s="114">
        <f t="shared" si="38"/>
        <v>8.7752133333333336E-3</v>
      </c>
      <c r="AB38" s="158">
        <f t="shared" si="39"/>
        <v>6.4135692726293383E-5</v>
      </c>
    </row>
    <row r="39" spans="2:28" s="2" customFormat="1" ht="13" x14ac:dyDescent="0.15">
      <c r="B39" s="38" t="s">
        <v>15</v>
      </c>
      <c r="C39" s="112">
        <v>0.4548611111111111</v>
      </c>
      <c r="D39" s="113">
        <f>24+D37</f>
        <v>48</v>
      </c>
      <c r="E39" s="35">
        <v>3</v>
      </c>
      <c r="F39" s="36">
        <v>0.30299999999999999</v>
      </c>
      <c r="G39" s="37">
        <v>0.28999999999999998</v>
      </c>
      <c r="H39" s="37">
        <v>0.28399999999999997</v>
      </c>
      <c r="I39" s="37">
        <f t="shared" si="25"/>
        <v>0.38165880000000002</v>
      </c>
      <c r="J39" s="37">
        <f t="shared" si="22"/>
        <v>0.365284</v>
      </c>
      <c r="K39" s="37">
        <f t="shared" si="22"/>
        <v>0.3577264</v>
      </c>
      <c r="L39" s="37">
        <f t="shared" si="23"/>
        <v>-0.96322826322803534</v>
      </c>
      <c r="M39" s="37">
        <f t="shared" si="24"/>
        <v>-1.0070801457568848</v>
      </c>
      <c r="N39" s="37">
        <f t="shared" si="24"/>
        <v>-1.0279868305761986</v>
      </c>
      <c r="O39" s="114">
        <f t="shared" si="26"/>
        <v>0.36822306666666665</v>
      </c>
      <c r="P39" s="37">
        <f t="shared" si="27"/>
        <v>7.0632505994840085E-3</v>
      </c>
      <c r="Q39" s="114">
        <f t="shared" si="28"/>
        <v>-0.99943174652037292</v>
      </c>
      <c r="R39" s="119">
        <f t="shared" si="29"/>
        <v>7.0632505994840085E-3</v>
      </c>
      <c r="S39" s="37">
        <f t="shared" si="30"/>
        <v>2.0368070821772239E-2</v>
      </c>
      <c r="T39" s="37">
        <f t="shared" si="31"/>
        <v>1.76679327502474E-2</v>
      </c>
      <c r="U39" s="37">
        <f t="shared" si="32"/>
        <v>1.7838781631756943E-2</v>
      </c>
      <c r="V39" s="114">
        <f t="shared" si="33"/>
        <v>1.8624928401258862E-2</v>
      </c>
      <c r="W39" s="119">
        <f t="shared" si="34"/>
        <v>8.7296553172184208E-4</v>
      </c>
      <c r="X39" s="37">
        <f t="shared" si="35"/>
        <v>7.951225000000001E-3</v>
      </c>
      <c r="Y39" s="37">
        <f t="shared" si="36"/>
        <v>7.6100833333333333E-3</v>
      </c>
      <c r="Z39" s="37">
        <f t="shared" si="37"/>
        <v>7.4526333333333333E-3</v>
      </c>
      <c r="AA39" s="114">
        <f t="shared" si="38"/>
        <v>7.6713138888888895E-3</v>
      </c>
      <c r="AB39" s="158">
        <f t="shared" si="39"/>
        <v>1.4715105415591702E-4</v>
      </c>
    </row>
    <row r="40" spans="2:28" s="2" customFormat="1" ht="13" x14ac:dyDescent="0.15">
      <c r="B40" s="38" t="s">
        <v>16</v>
      </c>
      <c r="C40" s="112">
        <v>0.4513888888888889</v>
      </c>
      <c r="D40" s="113">
        <f>24+D39</f>
        <v>72</v>
      </c>
      <c r="E40" s="35">
        <v>4</v>
      </c>
      <c r="F40" s="36">
        <v>0.42699999999999999</v>
      </c>
      <c r="G40" s="37">
        <v>0.42</v>
      </c>
      <c r="H40" s="37">
        <v>0.43</v>
      </c>
      <c r="I40" s="37">
        <f t="shared" si="25"/>
        <v>0.53784920000000003</v>
      </c>
      <c r="J40" s="37">
        <f t="shared" si="22"/>
        <v>0.52903200000000006</v>
      </c>
      <c r="K40" s="37">
        <f t="shared" si="22"/>
        <v>0.541628</v>
      </c>
      <c r="L40" s="37">
        <f t="shared" si="23"/>
        <v>-0.62017705550877988</v>
      </c>
      <c r="M40" s="37">
        <f t="shared" si="24"/>
        <v>-0.63670635745999038</v>
      </c>
      <c r="N40" s="37">
        <f t="shared" si="24"/>
        <v>-0.61317586004979641</v>
      </c>
      <c r="O40" s="114">
        <f t="shared" si="26"/>
        <v>0.5361697333333334</v>
      </c>
      <c r="P40" s="37">
        <f t="shared" si="27"/>
        <v>3.7318565626835555E-3</v>
      </c>
      <c r="Q40" s="114">
        <f t="shared" si="28"/>
        <v>-0.62335309100618896</v>
      </c>
      <c r="R40" s="119">
        <f t="shared" si="29"/>
        <v>3.7318565626835555E-3</v>
      </c>
      <c r="S40" s="37">
        <f t="shared" si="30"/>
        <v>1.4293800321635644E-2</v>
      </c>
      <c r="T40" s="37">
        <f t="shared" si="31"/>
        <v>1.5432241179037265E-2</v>
      </c>
      <c r="U40" s="37">
        <f t="shared" si="32"/>
        <v>1.7283790438600091E-2</v>
      </c>
      <c r="V40" s="114">
        <f t="shared" si="33"/>
        <v>1.5669943979757666E-2</v>
      </c>
      <c r="W40" s="119">
        <f t="shared" si="34"/>
        <v>8.7128012927129407E-4</v>
      </c>
      <c r="X40" s="37">
        <f t="shared" si="35"/>
        <v>7.470127777777778E-3</v>
      </c>
      <c r="Y40" s="37">
        <f t="shared" si="36"/>
        <v>7.3476666666666673E-3</v>
      </c>
      <c r="Z40" s="37">
        <f t="shared" si="37"/>
        <v>7.522611111111111E-3</v>
      </c>
      <c r="AA40" s="114">
        <f t="shared" si="38"/>
        <v>7.4468018518518524E-3</v>
      </c>
      <c r="AB40" s="158">
        <f t="shared" si="39"/>
        <v>5.1831341148382742E-5</v>
      </c>
    </row>
    <row r="41" spans="2:28" s="2" customFormat="1" ht="13" x14ac:dyDescent="0.15">
      <c r="B41" s="38" t="s">
        <v>17</v>
      </c>
      <c r="C41" s="112">
        <v>0.47916666666666669</v>
      </c>
      <c r="D41" s="113">
        <f>24.5+D40</f>
        <v>96.5</v>
      </c>
      <c r="E41" s="35">
        <v>5</v>
      </c>
      <c r="F41" s="36">
        <v>0.52300000000000002</v>
      </c>
      <c r="G41" s="37">
        <v>0.51100000000000001</v>
      </c>
      <c r="H41" s="37">
        <v>0.55100000000000005</v>
      </c>
      <c r="I41" s="37">
        <f t="shared" si="25"/>
        <v>0.6587708000000001</v>
      </c>
      <c r="J41" s="37">
        <f t="shared" si="22"/>
        <v>0.64365559999999999</v>
      </c>
      <c r="K41" s="37">
        <f t="shared" si="22"/>
        <v>0.69403960000000009</v>
      </c>
      <c r="L41" s="37">
        <f t="shared" si="23"/>
        <v>-0.41737960467248147</v>
      </c>
      <c r="M41" s="37">
        <f t="shared" si="24"/>
        <v>-0.44059147853370012</v>
      </c>
      <c r="N41" s="37">
        <f t="shared" si="24"/>
        <v>-0.3652262595844899</v>
      </c>
      <c r="O41" s="114">
        <f t="shared" si="26"/>
        <v>0.66548866666666673</v>
      </c>
      <c r="P41" s="37">
        <f t="shared" si="27"/>
        <v>1.4927426250734311E-2</v>
      </c>
      <c r="Q41" s="114">
        <f t="shared" si="28"/>
        <v>-0.40773244759689048</v>
      </c>
      <c r="R41" s="119">
        <f t="shared" si="29"/>
        <v>1.4927426250734311E-2</v>
      </c>
      <c r="S41" s="37">
        <f t="shared" si="30"/>
        <v>8.2774469729101387E-3</v>
      </c>
      <c r="T41" s="37">
        <f t="shared" si="31"/>
        <v>8.0046889357669494E-3</v>
      </c>
      <c r="U41" s="37">
        <f t="shared" si="32"/>
        <v>1.0120391855726796E-2</v>
      </c>
      <c r="V41" s="114">
        <f t="shared" si="33"/>
        <v>8.8008425881346275E-3</v>
      </c>
      <c r="W41" s="119">
        <f t="shared" si="34"/>
        <v>6.6445640411512863E-4</v>
      </c>
      <c r="X41" s="37">
        <f t="shared" si="35"/>
        <v>6.8266404145077729E-3</v>
      </c>
      <c r="Y41" s="37">
        <f t="shared" si="36"/>
        <v>6.6700062176165802E-3</v>
      </c>
      <c r="Z41" s="37">
        <f t="shared" si="37"/>
        <v>7.1921202072538866E-3</v>
      </c>
      <c r="AA41" s="114">
        <f t="shared" si="38"/>
        <v>6.8962556131260807E-3</v>
      </c>
      <c r="AB41" s="158">
        <f t="shared" si="39"/>
        <v>1.5468835492988916E-4</v>
      </c>
    </row>
    <row r="42" spans="2:28" s="2" customFormat="1" ht="13" x14ac:dyDescent="0.15">
      <c r="B42" s="38" t="s">
        <v>18</v>
      </c>
      <c r="C42" s="112">
        <v>0.47916666666666669</v>
      </c>
      <c r="D42" s="113">
        <f>24+D41</f>
        <v>120.5</v>
      </c>
      <c r="E42" s="35">
        <v>6</v>
      </c>
      <c r="F42" s="36">
        <v>0.65</v>
      </c>
      <c r="G42" s="37">
        <v>0.63100000000000001</v>
      </c>
      <c r="H42" s="37">
        <v>0.68400000000000005</v>
      </c>
      <c r="I42" s="37">
        <f t="shared" si="25"/>
        <v>0.81874000000000002</v>
      </c>
      <c r="J42" s="37">
        <f t="shared" si="22"/>
        <v>0.79480760000000006</v>
      </c>
      <c r="K42" s="37">
        <f t="shared" si="22"/>
        <v>0.86156640000000007</v>
      </c>
      <c r="L42" s="37">
        <f t="shared" si="23"/>
        <v>-0.19998870584772169</v>
      </c>
      <c r="M42" s="37">
        <f t="shared" si="24"/>
        <v>-0.22965520619619129</v>
      </c>
      <c r="N42" s="37">
        <f t="shared" si="24"/>
        <v>-0.14900315111485399</v>
      </c>
      <c r="O42" s="114">
        <f t="shared" si="26"/>
        <v>0.82503800000000005</v>
      </c>
      <c r="P42" s="37">
        <f t="shared" si="27"/>
        <v>1.9527185727936668E-2</v>
      </c>
      <c r="Q42" s="114">
        <f t="shared" si="28"/>
        <v>-0.19288235438625564</v>
      </c>
      <c r="R42" s="119">
        <f t="shared" si="29"/>
        <v>1.9527185727936668E-2</v>
      </c>
      <c r="S42" s="37">
        <f t="shared" si="30"/>
        <v>9.0579541176983251E-3</v>
      </c>
      <c r="T42" s="37">
        <f t="shared" si="31"/>
        <v>8.7890113473962014E-3</v>
      </c>
      <c r="U42" s="37">
        <f t="shared" si="32"/>
        <v>9.0092961862348296E-3</v>
      </c>
      <c r="V42" s="114">
        <f t="shared" si="33"/>
        <v>8.9520872171097842E-3</v>
      </c>
      <c r="W42" s="119">
        <f t="shared" si="34"/>
        <v>8.2738953010271819E-5</v>
      </c>
      <c r="X42" s="37">
        <f t="shared" si="35"/>
        <v>6.794522821576764E-3</v>
      </c>
      <c r="Y42" s="37">
        <f t="shared" si="36"/>
        <v>6.5959136929460583E-3</v>
      </c>
      <c r="Z42" s="37">
        <f t="shared" si="37"/>
        <v>7.1499286307053949E-3</v>
      </c>
      <c r="AA42" s="114">
        <f t="shared" si="38"/>
        <v>6.8467883817427385E-3</v>
      </c>
      <c r="AB42" s="158">
        <f t="shared" si="39"/>
        <v>1.6205133384179817E-4</v>
      </c>
    </row>
    <row r="43" spans="2:28" s="2" customFormat="1" ht="13" x14ac:dyDescent="0.15">
      <c r="B43" s="38" t="s">
        <v>19</v>
      </c>
      <c r="C43" s="112">
        <v>0.47916666666666669</v>
      </c>
      <c r="D43" s="113">
        <f>24+D42</f>
        <v>144.5</v>
      </c>
      <c r="E43" s="35">
        <v>7</v>
      </c>
      <c r="F43" s="36">
        <v>0.82699999999999996</v>
      </c>
      <c r="G43" s="37">
        <v>0.78100000000000003</v>
      </c>
      <c r="H43" s="37">
        <v>0.88600000000000001</v>
      </c>
      <c r="I43" s="37">
        <f t="shared" si="25"/>
        <v>1.0416892</v>
      </c>
      <c r="J43" s="37">
        <f t="shared" si="22"/>
        <v>0.98374760000000006</v>
      </c>
      <c r="K43" s="37">
        <f t="shared" si="22"/>
        <v>1.1160056</v>
      </c>
      <c r="L43" s="37">
        <f t="shared" si="23"/>
        <v>4.0843626286286773E-2</v>
      </c>
      <c r="M43" s="37">
        <f t="shared" si="24"/>
        <v>-1.63859188977185E-2</v>
      </c>
      <c r="N43" s="37">
        <f t="shared" si="24"/>
        <v>0.10975588186767646</v>
      </c>
      <c r="O43" s="114">
        <f t="shared" si="26"/>
        <v>1.0471474666666667</v>
      </c>
      <c r="P43" s="37">
        <f t="shared" si="27"/>
        <v>3.827701288960661E-2</v>
      </c>
      <c r="Q43" s="114">
        <f t="shared" si="28"/>
        <v>4.4737863085414914E-2</v>
      </c>
      <c r="R43" s="119">
        <f t="shared" si="29"/>
        <v>3.827701288960661E-2</v>
      </c>
      <c r="S43" s="37">
        <f t="shared" si="30"/>
        <v>1.0034680505583685E-2</v>
      </c>
      <c r="T43" s="37">
        <f t="shared" si="31"/>
        <v>8.8862203041030329E-3</v>
      </c>
      <c r="U43" s="37">
        <f t="shared" si="32"/>
        <v>1.0781626374272102E-2</v>
      </c>
      <c r="V43" s="114">
        <f t="shared" si="33"/>
        <v>9.9008423946529405E-3</v>
      </c>
      <c r="W43" s="119">
        <f t="shared" si="34"/>
        <v>5.5123362338835714E-4</v>
      </c>
      <c r="X43" s="37">
        <f t="shared" si="35"/>
        <v>7.2089217993079584E-3</v>
      </c>
      <c r="Y43" s="37">
        <f t="shared" si="36"/>
        <v>6.8079418685121108E-3</v>
      </c>
      <c r="Z43" s="37">
        <f t="shared" si="37"/>
        <v>7.7232221453287196E-3</v>
      </c>
      <c r="AA43" s="114">
        <f t="shared" si="38"/>
        <v>7.2466952710495969E-3</v>
      </c>
      <c r="AB43" s="158">
        <f t="shared" si="39"/>
        <v>2.6489282276544369E-4</v>
      </c>
    </row>
    <row r="44" spans="2:28" s="2" customFormat="1" ht="13" x14ac:dyDescent="0.15">
      <c r="B44" s="38" t="s">
        <v>20</v>
      </c>
      <c r="C44" s="112">
        <v>0.45833333333333331</v>
      </c>
      <c r="D44" s="113">
        <f>23.5+D43</f>
        <v>168</v>
      </c>
      <c r="E44" s="35">
        <v>8</v>
      </c>
      <c r="F44" s="36">
        <v>0.97899999999999998</v>
      </c>
      <c r="G44" s="37">
        <v>0.91500000000000004</v>
      </c>
      <c r="H44" s="37">
        <v>0.98799999999999999</v>
      </c>
      <c r="I44" s="37">
        <f t="shared" si="25"/>
        <v>1.2331483999999999</v>
      </c>
      <c r="J44" s="37">
        <f t="shared" si="22"/>
        <v>1.1525340000000002</v>
      </c>
      <c r="K44" s="37">
        <f t="shared" si="22"/>
        <v>1.2444847999999999</v>
      </c>
      <c r="L44" s="37">
        <f t="shared" si="23"/>
        <v>0.20957057379310579</v>
      </c>
      <c r="M44" s="37">
        <f t="shared" si="24"/>
        <v>0.14196299653811695</v>
      </c>
      <c r="N44" s="37">
        <f t="shared" si="24"/>
        <v>0.21872162901046324</v>
      </c>
      <c r="O44" s="114">
        <f t="shared" si="26"/>
        <v>1.2100557333333335</v>
      </c>
      <c r="P44" s="37">
        <f t="shared" si="27"/>
        <v>2.8946449669998795E-2</v>
      </c>
      <c r="Q44" s="114">
        <f t="shared" si="28"/>
        <v>0.19008506644722867</v>
      </c>
      <c r="R44" s="119">
        <f t="shared" si="29"/>
        <v>2.8946449669998795E-2</v>
      </c>
      <c r="S44" s="37">
        <f t="shared" si="30"/>
        <v>7.17987010667315E-3</v>
      </c>
      <c r="T44" s="37">
        <f t="shared" si="31"/>
        <v>6.7382517206738494E-3</v>
      </c>
      <c r="U44" s="37">
        <f t="shared" si="32"/>
        <v>4.636840303948374E-3</v>
      </c>
      <c r="V44" s="114">
        <f t="shared" si="33"/>
        <v>6.1849873770984569E-3</v>
      </c>
      <c r="W44" s="119">
        <f t="shared" si="34"/>
        <v>7.845011620536401E-4</v>
      </c>
      <c r="X44" s="37">
        <f t="shared" si="35"/>
        <v>7.3401690476190473E-3</v>
      </c>
      <c r="Y44" s="37">
        <f t="shared" si="36"/>
        <v>6.8603214285714292E-3</v>
      </c>
      <c r="Z44" s="37">
        <f t="shared" si="37"/>
        <v>7.4076476190476186E-3</v>
      </c>
      <c r="AA44" s="114">
        <f t="shared" si="38"/>
        <v>7.2027126984126983E-3</v>
      </c>
      <c r="AB44" s="158">
        <f t="shared" si="39"/>
        <v>1.7230029565475484E-4</v>
      </c>
    </row>
    <row r="45" spans="2:28" s="2" customFormat="1" ht="13" x14ac:dyDescent="0.15">
      <c r="B45" s="38" t="s">
        <v>21</v>
      </c>
      <c r="C45" s="112">
        <v>0.45833333333333331</v>
      </c>
      <c r="D45" s="113">
        <f>24+D44</f>
        <v>192</v>
      </c>
      <c r="E45" s="35">
        <v>9</v>
      </c>
      <c r="F45" s="36">
        <v>1.131</v>
      </c>
      <c r="G45" s="37">
        <v>1.022</v>
      </c>
      <c r="H45" s="37">
        <v>1.1639999999999999</v>
      </c>
      <c r="I45" s="37">
        <f t="shared" si="25"/>
        <v>1.4246076000000001</v>
      </c>
      <c r="J45" s="37">
        <f t="shared" si="22"/>
        <v>1.2873112</v>
      </c>
      <c r="K45" s="37">
        <f t="shared" si="22"/>
        <v>1.4661743999999999</v>
      </c>
      <c r="L45" s="37">
        <f t="shared" si="23"/>
        <v>0.35389640737871597</v>
      </c>
      <c r="M45" s="37">
        <f t="shared" si="24"/>
        <v>0.25255570202624522</v>
      </c>
      <c r="N45" s="37">
        <f t="shared" si="24"/>
        <v>0.38265655955397854</v>
      </c>
      <c r="O45" s="114">
        <f t="shared" si="26"/>
        <v>1.3926977333333335</v>
      </c>
      <c r="P45" s="37">
        <f t="shared" si="27"/>
        <v>5.4042238948108383E-2</v>
      </c>
      <c r="Q45" s="114">
        <f t="shared" si="28"/>
        <v>0.32970288965297989</v>
      </c>
      <c r="R45" s="119">
        <f t="shared" si="29"/>
        <v>5.4042238948108383E-2</v>
      </c>
      <c r="S45" s="37">
        <f t="shared" si="30"/>
        <v>6.0135763994004247E-3</v>
      </c>
      <c r="T45" s="37">
        <f t="shared" si="31"/>
        <v>4.6080293953386781E-3</v>
      </c>
      <c r="U45" s="37">
        <f t="shared" si="32"/>
        <v>6.8306221059798037E-3</v>
      </c>
      <c r="V45" s="114">
        <f t="shared" si="33"/>
        <v>5.8174093002396352E-3</v>
      </c>
      <c r="W45" s="119">
        <f t="shared" si="34"/>
        <v>6.4906104937405165E-4</v>
      </c>
      <c r="X45" s="37">
        <f t="shared" si="35"/>
        <v>7.4198312500000007E-3</v>
      </c>
      <c r="Y45" s="37">
        <f t="shared" si="36"/>
        <v>6.7047458333333336E-3</v>
      </c>
      <c r="Z45" s="37">
        <f t="shared" si="37"/>
        <v>7.6363249999999994E-3</v>
      </c>
      <c r="AA45" s="114">
        <f t="shared" si="38"/>
        <v>7.2536340277777776E-3</v>
      </c>
      <c r="AB45" s="158">
        <f t="shared" si="39"/>
        <v>2.8146999452139781E-4</v>
      </c>
    </row>
    <row r="46" spans="2:28" s="2" customFormat="1" ht="13" x14ac:dyDescent="0.15">
      <c r="B46" s="38" t="s">
        <v>22</v>
      </c>
      <c r="C46" s="112">
        <v>0.45833333333333331</v>
      </c>
      <c r="D46" s="113">
        <f>24+D45</f>
        <v>216</v>
      </c>
      <c r="E46" s="35">
        <v>10</v>
      </c>
      <c r="F46" s="36">
        <f>2*0.659</f>
        <v>1.3180000000000001</v>
      </c>
      <c r="G46" s="37">
        <f>2*0.642</f>
        <v>1.284</v>
      </c>
      <c r="H46" s="37">
        <f>2*0.705</f>
        <v>1.41</v>
      </c>
      <c r="I46" s="37">
        <f t="shared" si="25"/>
        <v>1.6601528000000001</v>
      </c>
      <c r="J46" s="37">
        <f t="shared" si="22"/>
        <v>1.6173264000000001</v>
      </c>
      <c r="K46" s="37">
        <f t="shared" si="22"/>
        <v>1.7760359999999999</v>
      </c>
      <c r="L46" s="37">
        <f t="shared" si="23"/>
        <v>0.50690964632504809</v>
      </c>
      <c r="M46" s="37">
        <f t="shared" si="24"/>
        <v>0.480774415512502</v>
      </c>
      <c r="N46" s="37">
        <f t="shared" si="24"/>
        <v>0.57438391463480942</v>
      </c>
      <c r="O46" s="114">
        <f t="shared" si="26"/>
        <v>1.6845050666666666</v>
      </c>
      <c r="P46" s="37">
        <f t="shared" si="27"/>
        <v>4.7405903120087349E-2</v>
      </c>
      <c r="Q46" s="114">
        <f t="shared" si="28"/>
        <v>0.5206893254907865</v>
      </c>
      <c r="R46" s="119">
        <f t="shared" si="29"/>
        <v>4.7405903120087349E-2</v>
      </c>
      <c r="S46" s="37">
        <f t="shared" si="30"/>
        <v>6.375551622763838E-3</v>
      </c>
      <c r="T46" s="37">
        <f t="shared" si="31"/>
        <v>9.5091130619273656E-3</v>
      </c>
      <c r="U46" s="37">
        <f t="shared" si="32"/>
        <v>7.9886397950346202E-3</v>
      </c>
      <c r="V46" s="114">
        <f t="shared" si="33"/>
        <v>7.9577681599086077E-3</v>
      </c>
      <c r="W46" s="119">
        <f t="shared" si="34"/>
        <v>9.0471295938632105E-4</v>
      </c>
      <c r="X46" s="37">
        <f t="shared" si="35"/>
        <v>7.6858925925925928E-3</v>
      </c>
      <c r="Y46" s="37">
        <f t="shared" si="36"/>
        <v>7.4876222222222226E-3</v>
      </c>
      <c r="Z46" s="37">
        <f t="shared" si="37"/>
        <v>8.2223888888888885E-3</v>
      </c>
      <c r="AA46" s="114">
        <f t="shared" si="38"/>
        <v>7.7986345679012343E-3</v>
      </c>
      <c r="AB46" s="158">
        <f t="shared" si="39"/>
        <v>2.1947177370410802E-4</v>
      </c>
    </row>
    <row r="47" spans="2:28" s="2" customFormat="1" ht="13" x14ac:dyDescent="0.15">
      <c r="B47" s="38" t="s">
        <v>23</v>
      </c>
      <c r="C47" s="112">
        <v>0.45833333333333331</v>
      </c>
      <c r="D47" s="113">
        <f>24+D46</f>
        <v>240</v>
      </c>
      <c r="E47" s="35">
        <v>11</v>
      </c>
      <c r="F47" s="36">
        <f>2*0.777</f>
        <v>1.554</v>
      </c>
      <c r="G47" s="37">
        <f>2*0.681</f>
        <v>1.3620000000000001</v>
      </c>
      <c r="H47" s="37">
        <f>4*0.391</f>
        <v>1.5640000000000001</v>
      </c>
      <c r="I47" s="37">
        <f t="shared" si="25"/>
        <v>1.9574184000000001</v>
      </c>
      <c r="J47" s="37">
        <f t="shared" si="22"/>
        <v>1.7155752000000002</v>
      </c>
      <c r="K47" s="37">
        <f t="shared" si="22"/>
        <v>1.9700144000000002</v>
      </c>
      <c r="L47" s="37">
        <f t="shared" si="23"/>
        <v>0.67162646219018829</v>
      </c>
      <c r="M47" s="37">
        <f t="shared" si="24"/>
        <v>0.53974841797205331</v>
      </c>
      <c r="N47" s="37">
        <f t="shared" si="24"/>
        <v>0.67804085236785194</v>
      </c>
      <c r="O47" s="114">
        <f t="shared" si="26"/>
        <v>1.8810026666666666</v>
      </c>
      <c r="P47" s="37">
        <f t="shared" si="27"/>
        <v>8.2793618614426495E-2</v>
      </c>
      <c r="Q47" s="114">
        <f t="shared" si="28"/>
        <v>0.62980524417669781</v>
      </c>
      <c r="R47" s="119">
        <f t="shared" si="29"/>
        <v>8.2793618614426495E-2</v>
      </c>
      <c r="S47" s="37">
        <f t="shared" si="30"/>
        <v>6.8632006610475083E-3</v>
      </c>
      <c r="T47" s="37">
        <f t="shared" si="31"/>
        <v>2.4572501024813045E-3</v>
      </c>
      <c r="U47" s="37">
        <f t="shared" si="32"/>
        <v>4.3190390722101053E-3</v>
      </c>
      <c r="V47" s="114">
        <f t="shared" si="33"/>
        <v>4.5464966119129722E-3</v>
      </c>
      <c r="W47" s="119">
        <f t="shared" si="34"/>
        <v>1.2769629047611666E-3</v>
      </c>
      <c r="X47" s="37">
        <f t="shared" si="35"/>
        <v>8.1559100000000006E-3</v>
      </c>
      <c r="Y47" s="37">
        <f t="shared" si="36"/>
        <v>7.1482300000000011E-3</v>
      </c>
      <c r="Z47" s="37">
        <f t="shared" si="37"/>
        <v>8.2083933333333345E-3</v>
      </c>
      <c r="AA47" s="114">
        <f t="shared" si="38"/>
        <v>7.8375111111111118E-3</v>
      </c>
      <c r="AB47" s="158">
        <f t="shared" si="39"/>
        <v>3.4497341089344372E-4</v>
      </c>
    </row>
    <row r="48" spans="2:28" s="2" customFormat="1" ht="13" x14ac:dyDescent="0.15">
      <c r="B48" s="38" t="s">
        <v>24</v>
      </c>
      <c r="C48" s="112">
        <v>0.5</v>
      </c>
      <c r="D48" s="113">
        <f>25+D47</f>
        <v>265</v>
      </c>
      <c r="E48" s="35">
        <v>12</v>
      </c>
      <c r="F48" s="36">
        <f>2*0.857</f>
        <v>1.714</v>
      </c>
      <c r="G48" s="37">
        <f>2*0.783</f>
        <v>1.5660000000000001</v>
      </c>
      <c r="H48" s="37">
        <f>2*0.881</f>
        <v>1.762</v>
      </c>
      <c r="I48" s="37">
        <f t="shared" si="25"/>
        <v>2.1589543999999998</v>
      </c>
      <c r="J48" s="37">
        <f t="shared" si="22"/>
        <v>1.9725336000000002</v>
      </c>
      <c r="K48" s="37">
        <f t="shared" si="22"/>
        <v>2.2194152000000003</v>
      </c>
      <c r="L48" s="37">
        <f t="shared" si="23"/>
        <v>0.76962403042032046</v>
      </c>
      <c r="M48" s="37">
        <f t="shared" si="24"/>
        <v>0.67931880781334397</v>
      </c>
      <c r="N48" s="37">
        <f t="shared" si="24"/>
        <v>0.79724373775872037</v>
      </c>
      <c r="O48" s="114">
        <f t="shared" si="26"/>
        <v>2.1169677333333334</v>
      </c>
      <c r="P48" s="37">
        <f t="shared" si="27"/>
        <v>7.4296234175480091E-2</v>
      </c>
      <c r="Q48" s="114">
        <f t="shared" si="28"/>
        <v>0.74872885866412819</v>
      </c>
      <c r="R48" s="119">
        <f t="shared" si="29"/>
        <v>7.4296234175480091E-2</v>
      </c>
      <c r="S48" s="37">
        <f t="shared" si="30"/>
        <v>3.9199027292052867E-3</v>
      </c>
      <c r="T48" s="37">
        <f t="shared" si="31"/>
        <v>5.5828155936516266E-3</v>
      </c>
      <c r="U48" s="37">
        <f t="shared" si="32"/>
        <v>4.7681154156347374E-3</v>
      </c>
      <c r="V48" s="114">
        <f t="shared" si="33"/>
        <v>4.7569445794972166E-3</v>
      </c>
      <c r="W48" s="119">
        <f t="shared" si="34"/>
        <v>4.8007408781363856E-4</v>
      </c>
      <c r="X48" s="37">
        <f t="shared" si="35"/>
        <v>8.1469977358490566E-3</v>
      </c>
      <c r="Y48" s="37">
        <f t="shared" si="36"/>
        <v>7.4435230188679251E-3</v>
      </c>
      <c r="Z48" s="37">
        <f t="shared" si="37"/>
        <v>8.3751516981132087E-3</v>
      </c>
      <c r="AA48" s="114">
        <f t="shared" si="38"/>
        <v>7.9885574842767301E-3</v>
      </c>
      <c r="AB48" s="158">
        <f t="shared" si="39"/>
        <v>2.8036314783200049E-4</v>
      </c>
    </row>
    <row r="49" spans="1:28" s="2" customFormat="1" ht="13" x14ac:dyDescent="0.15">
      <c r="B49" s="38" t="s">
        <v>25</v>
      </c>
      <c r="C49" s="112">
        <v>0.4375</v>
      </c>
      <c r="D49" s="113">
        <f>22.5+D48</f>
        <v>287.5</v>
      </c>
      <c r="E49" s="35">
        <v>13</v>
      </c>
      <c r="F49" s="36">
        <f>2*0.898</f>
        <v>1.796</v>
      </c>
      <c r="G49" s="37">
        <f>2*0.851</f>
        <v>1.702</v>
      </c>
      <c r="H49" s="37">
        <f>2*0.967</f>
        <v>1.9339999999999999</v>
      </c>
      <c r="I49" s="37">
        <f t="shared" si="25"/>
        <v>2.2622416000000003</v>
      </c>
      <c r="J49" s="37">
        <f t="shared" ref="J49:K52" si="40">1.2596*G49</f>
        <v>2.1438391999999999</v>
      </c>
      <c r="K49" s="37">
        <f t="shared" si="40"/>
        <v>2.4360664000000001</v>
      </c>
      <c r="L49" s="37">
        <f t="shared" si="23"/>
        <v>0.81635618012474054</v>
      </c>
      <c r="M49" s="37">
        <f t="shared" ref="M49:N52" si="41">LN(J49)</f>
        <v>0.76259824039591495</v>
      </c>
      <c r="N49" s="37">
        <f t="shared" si="41"/>
        <v>0.89038460727583513</v>
      </c>
      <c r="O49" s="114">
        <f t="shared" si="26"/>
        <v>2.280715733333333</v>
      </c>
      <c r="P49" s="37">
        <f t="shared" si="27"/>
        <v>8.4862937153139958E-2</v>
      </c>
      <c r="Q49" s="114">
        <f t="shared" si="28"/>
        <v>0.82311300926549691</v>
      </c>
      <c r="R49" s="119">
        <f t="shared" si="29"/>
        <v>8.4862937153139958E-2</v>
      </c>
      <c r="S49" s="37">
        <f t="shared" si="30"/>
        <v>2.0769844313075591E-3</v>
      </c>
      <c r="T49" s="37">
        <f t="shared" si="31"/>
        <v>3.7013081147809325E-3</v>
      </c>
      <c r="U49" s="37">
        <f t="shared" si="32"/>
        <v>4.1395942007606554E-3</v>
      </c>
      <c r="V49" s="114">
        <f t="shared" si="33"/>
        <v>3.3059622489497154E-3</v>
      </c>
      <c r="W49" s="119">
        <f t="shared" si="34"/>
        <v>6.2737908011111713E-4</v>
      </c>
      <c r="X49" s="37">
        <f t="shared" si="35"/>
        <v>7.8686664347826091E-3</v>
      </c>
      <c r="Y49" s="37">
        <f t="shared" si="36"/>
        <v>7.456832E-3</v>
      </c>
      <c r="Z49" s="37">
        <f t="shared" si="37"/>
        <v>8.4732744347826086E-3</v>
      </c>
      <c r="AA49" s="114">
        <f t="shared" si="38"/>
        <v>7.9329242898550732E-3</v>
      </c>
      <c r="AB49" s="158">
        <f t="shared" si="39"/>
        <v>2.9517543357613881E-4</v>
      </c>
    </row>
    <row r="50" spans="1:28" s="2" customFormat="1" ht="13" x14ac:dyDescent="0.15">
      <c r="B50" s="38" t="s">
        <v>26</v>
      </c>
      <c r="C50" s="112">
        <v>0.5</v>
      </c>
      <c r="D50" s="113">
        <f>48+D48</f>
        <v>313</v>
      </c>
      <c r="E50" s="35">
        <v>14</v>
      </c>
      <c r="F50" s="36">
        <f>2*0.995</f>
        <v>1.99</v>
      </c>
      <c r="G50" s="37">
        <f>2*0.961</f>
        <v>1.9219999999999999</v>
      </c>
      <c r="H50" s="37">
        <f>2*1.04</f>
        <v>2.08</v>
      </c>
      <c r="I50" s="37">
        <f t="shared" si="25"/>
        <v>2.5066040000000003</v>
      </c>
      <c r="J50" s="37">
        <f t="shared" si="40"/>
        <v>2.4209512000000002</v>
      </c>
      <c r="K50" s="37">
        <f t="shared" si="40"/>
        <v>2.6199680000000001</v>
      </c>
      <c r="L50" s="37">
        <f t="shared" si="23"/>
        <v>0.91892884898113369</v>
      </c>
      <c r="M50" s="37">
        <f t="shared" si="41"/>
        <v>0.88416052079283336</v>
      </c>
      <c r="N50" s="37">
        <f t="shared" si="41"/>
        <v>0.9631621039579592</v>
      </c>
      <c r="O50" s="114">
        <f t="shared" si="26"/>
        <v>2.5158410666666668</v>
      </c>
      <c r="P50" s="37">
        <f t="shared" si="27"/>
        <v>5.7636545758784338E-2</v>
      </c>
      <c r="Q50" s="114">
        <f t="shared" si="28"/>
        <v>0.92208382457730875</v>
      </c>
      <c r="R50" s="119">
        <f t="shared" si="29"/>
        <v>5.7636545758784338E-2</v>
      </c>
      <c r="S50" s="37">
        <f t="shared" si="30"/>
        <v>4.0224576022114961E-3</v>
      </c>
      <c r="T50" s="37">
        <f t="shared" si="31"/>
        <v>4.7671482508595455E-3</v>
      </c>
      <c r="U50" s="37">
        <f t="shared" si="32"/>
        <v>2.8540194777303559E-3</v>
      </c>
      <c r="V50" s="114">
        <f t="shared" si="33"/>
        <v>3.881208443600466E-3</v>
      </c>
      <c r="W50" s="119">
        <f t="shared" si="34"/>
        <v>5.5677012588977348E-4</v>
      </c>
      <c r="X50" s="37">
        <f t="shared" si="35"/>
        <v>8.0083194888178923E-3</v>
      </c>
      <c r="Y50" s="37">
        <f t="shared" si="36"/>
        <v>7.7346683706070295E-3</v>
      </c>
      <c r="Z50" s="37">
        <f t="shared" si="37"/>
        <v>8.3705047923322683E-3</v>
      </c>
      <c r="AA50" s="114">
        <f t="shared" si="38"/>
        <v>8.037830883919064E-3</v>
      </c>
      <c r="AB50" s="158">
        <f t="shared" si="39"/>
        <v>1.8414231871816068E-4</v>
      </c>
    </row>
    <row r="51" spans="1:28" s="2" customFormat="1" ht="13" x14ac:dyDescent="0.15">
      <c r="B51" s="38" t="s">
        <v>27</v>
      </c>
      <c r="C51" s="112">
        <v>0.5</v>
      </c>
      <c r="D51" s="113">
        <f>24+D50</f>
        <v>337</v>
      </c>
      <c r="E51" s="35">
        <v>15</v>
      </c>
      <c r="F51" s="36">
        <f>2*1.031</f>
        <v>2.0619999999999998</v>
      </c>
      <c r="G51" s="37">
        <f>2*1.011</f>
        <v>2.0219999999999998</v>
      </c>
      <c r="H51" s="37">
        <f>2*1.097</f>
        <v>2.194</v>
      </c>
      <c r="I51" s="37">
        <f t="shared" si="25"/>
        <v>2.5972952</v>
      </c>
      <c r="J51" s="37">
        <f t="shared" si="40"/>
        <v>2.5469111999999998</v>
      </c>
      <c r="K51" s="37">
        <f t="shared" si="40"/>
        <v>2.7635624000000001</v>
      </c>
      <c r="L51" s="37">
        <f t="shared" si="23"/>
        <v>0.95447059583950067</v>
      </c>
      <c r="M51" s="37">
        <f t="shared" si="41"/>
        <v>0.93488133084301217</v>
      </c>
      <c r="N51" s="37">
        <f t="shared" si="41"/>
        <v>1.016520572097771</v>
      </c>
      <c r="O51" s="114">
        <f t="shared" si="26"/>
        <v>2.6359229333333332</v>
      </c>
      <c r="P51" s="37">
        <f t="shared" si="27"/>
        <v>6.5456122586593238E-2</v>
      </c>
      <c r="Q51" s="114">
        <f t="shared" si="28"/>
        <v>0.96862416626009473</v>
      </c>
      <c r="R51" s="119">
        <f t="shared" si="29"/>
        <v>6.5456122586593238E-2</v>
      </c>
      <c r="S51" s="37">
        <f t="shared" si="30"/>
        <v>1.4809061190986239E-3</v>
      </c>
      <c r="T51" s="37">
        <f t="shared" si="31"/>
        <v>2.1133670854241171E-3</v>
      </c>
      <c r="U51" s="37">
        <f t="shared" si="32"/>
        <v>2.2232695058254925E-3</v>
      </c>
      <c r="V51" s="114">
        <f t="shared" si="33"/>
        <v>1.9391809034494112E-3</v>
      </c>
      <c r="W51" s="119">
        <f t="shared" si="34"/>
        <v>2.3132334439145323E-4</v>
      </c>
      <c r="X51" s="37">
        <f t="shared" si="35"/>
        <v>7.7071074183976259E-3</v>
      </c>
      <c r="Y51" s="37">
        <f t="shared" si="36"/>
        <v>7.5575999999999994E-3</v>
      </c>
      <c r="Z51" s="37">
        <f t="shared" si="37"/>
        <v>8.2004818991097926E-3</v>
      </c>
      <c r="AA51" s="114">
        <f t="shared" si="38"/>
        <v>7.8217297725024729E-3</v>
      </c>
      <c r="AB51" s="158">
        <f t="shared" si="39"/>
        <v>1.9423181776437166E-4</v>
      </c>
    </row>
    <row r="52" spans="1:28" s="2" customFormat="1" ht="13" x14ac:dyDescent="0.15">
      <c r="B52" s="38" t="s">
        <v>28</v>
      </c>
      <c r="C52" s="112">
        <v>0.45833333333333331</v>
      </c>
      <c r="D52" s="113">
        <f>23+D51</f>
        <v>360</v>
      </c>
      <c r="E52" s="35">
        <v>16</v>
      </c>
      <c r="F52" s="36">
        <f>2*1.129</f>
        <v>2.258</v>
      </c>
      <c r="G52" s="37">
        <f>2*1.072</f>
        <v>2.1440000000000001</v>
      </c>
      <c r="H52" s="37">
        <f>2*1.105</f>
        <v>2.21</v>
      </c>
      <c r="I52" s="37">
        <f t="shared" si="25"/>
        <v>2.8441768000000001</v>
      </c>
      <c r="J52" s="37">
        <f t="shared" si="40"/>
        <v>2.7005824000000005</v>
      </c>
      <c r="K52" s="37">
        <f t="shared" si="40"/>
        <v>2.7837160000000001</v>
      </c>
      <c r="L52" s="37">
        <f t="shared" si="23"/>
        <v>1.0452736759722028</v>
      </c>
      <c r="M52" s="37">
        <f t="shared" si="41"/>
        <v>0.99346745345328824</v>
      </c>
      <c r="N52" s="37">
        <f t="shared" si="41"/>
        <v>1.023786725774394</v>
      </c>
      <c r="O52" s="114">
        <f t="shared" si="26"/>
        <v>2.7761583999999999</v>
      </c>
      <c r="P52" s="37">
        <f t="shared" si="27"/>
        <v>4.1624015168169312E-2</v>
      </c>
      <c r="Q52" s="114">
        <f t="shared" si="28"/>
        <v>1.0208426183999617</v>
      </c>
      <c r="R52" s="119">
        <f t="shared" si="29"/>
        <v>4.1624015168169312E-2</v>
      </c>
      <c r="S52" s="37">
        <f t="shared" si="30"/>
        <v>3.9479600057696568E-3</v>
      </c>
      <c r="T52" s="37">
        <f t="shared" si="31"/>
        <v>2.5472227221859161E-3</v>
      </c>
      <c r="U52" s="37">
        <f t="shared" si="32"/>
        <v>3.1591972507056425E-4</v>
      </c>
      <c r="V52" s="114">
        <f t="shared" si="33"/>
        <v>2.2703674843420458E-3</v>
      </c>
      <c r="W52" s="119">
        <f t="shared" si="34"/>
        <v>1.0575783292025192E-3</v>
      </c>
      <c r="X52" s="37">
        <f t="shared" si="35"/>
        <v>7.9004911111111107E-3</v>
      </c>
      <c r="Y52" s="37">
        <f t="shared" si="36"/>
        <v>7.5016177777777792E-3</v>
      </c>
      <c r="Z52" s="37">
        <f t="shared" si="37"/>
        <v>7.7325444444444448E-3</v>
      </c>
      <c r="AA52" s="114">
        <f t="shared" si="38"/>
        <v>7.7115511111111113E-3</v>
      </c>
      <c r="AB52" s="158">
        <f t="shared" si="39"/>
        <v>1.1562226435602572E-4</v>
      </c>
    </row>
    <row r="53" spans="1:28" s="2" customFormat="1" ht="13" x14ac:dyDescent="0.15">
      <c r="B53" s="38" t="s">
        <v>29</v>
      </c>
      <c r="C53" s="112">
        <v>0.47916666666666669</v>
      </c>
      <c r="D53" s="113">
        <f>24.5+D52</f>
        <v>384.5</v>
      </c>
      <c r="E53" s="35">
        <v>17</v>
      </c>
      <c r="F53" s="36">
        <f>8*0.294</f>
        <v>2.3519999999999999</v>
      </c>
      <c r="G53" s="37">
        <f>8*0.285</f>
        <v>2.2799999999999998</v>
      </c>
      <c r="H53" s="37">
        <f>4*0.6</f>
        <v>2.4</v>
      </c>
      <c r="I53" s="37">
        <f t="shared" ref="I53:K56" si="42">1.2596*F53</f>
        <v>2.9625792</v>
      </c>
      <c r="J53" s="37">
        <f t="shared" si="42"/>
        <v>2.8718879999999998</v>
      </c>
      <c r="K53" s="37">
        <f t="shared" si="42"/>
        <v>3.0230399999999999</v>
      </c>
      <c r="L53" s="37">
        <f t="shared" ref="L53:N56" si="43">LN(I53)</f>
        <v>1.086060240281113</v>
      </c>
      <c r="M53" s="37">
        <f t="shared" si="43"/>
        <v>1.0549696532110819</v>
      </c>
      <c r="N53" s="37">
        <f t="shared" si="43"/>
        <v>1.1062629475986325</v>
      </c>
      <c r="O53" s="114">
        <f t="shared" si="26"/>
        <v>2.9525024000000002</v>
      </c>
      <c r="P53" s="37">
        <f t="shared" si="27"/>
        <v>4.3923752874270722E-2</v>
      </c>
      <c r="Q53" s="114">
        <f t="shared" si="28"/>
        <v>1.0824309470302758</v>
      </c>
      <c r="R53" s="119">
        <f t="shared" si="29"/>
        <v>4.3923752874270722E-2</v>
      </c>
      <c r="S53" s="37">
        <f t="shared" si="30"/>
        <v>1.6647577268942961E-3</v>
      </c>
      <c r="T53" s="37">
        <f t="shared" si="31"/>
        <v>2.510293867665049E-3</v>
      </c>
      <c r="U53" s="37">
        <f t="shared" si="32"/>
        <v>3.3663764009893276E-3</v>
      </c>
      <c r="V53" s="114">
        <f t="shared" si="33"/>
        <v>2.5138093318495575E-3</v>
      </c>
      <c r="W53" s="119">
        <f t="shared" si="34"/>
        <v>4.9121814464097235E-4</v>
      </c>
      <c r="X53" s="37">
        <f t="shared" si="35"/>
        <v>7.7050174252275682E-3</v>
      </c>
      <c r="Y53" s="37">
        <f t="shared" si="36"/>
        <v>7.4691495448634586E-3</v>
      </c>
      <c r="Z53" s="37">
        <f t="shared" si="37"/>
        <v>7.8622626788036401E-3</v>
      </c>
      <c r="AA53" s="114">
        <f t="shared" si="38"/>
        <v>7.6788098829648896E-3</v>
      </c>
      <c r="AB53" s="158">
        <f t="shared" si="39"/>
        <v>1.1423602828158804E-4</v>
      </c>
    </row>
    <row r="54" spans="1:28" s="2" customFormat="1" ht="13" x14ac:dyDescent="0.15">
      <c r="B54" s="38" t="s">
        <v>30</v>
      </c>
      <c r="C54" s="112">
        <v>0.45833333333333331</v>
      </c>
      <c r="D54" s="113">
        <f>48+D52</f>
        <v>408</v>
      </c>
      <c r="E54" s="35">
        <v>18</v>
      </c>
      <c r="F54" s="36">
        <f>4*0.62</f>
        <v>2.48</v>
      </c>
      <c r="G54" s="37">
        <f>4*0.593</f>
        <v>2.3719999999999999</v>
      </c>
      <c r="H54" s="37">
        <f>4*0.605</f>
        <v>2.42</v>
      </c>
      <c r="I54" s="37">
        <f t="shared" si="42"/>
        <v>3.1238079999999999</v>
      </c>
      <c r="J54" s="37">
        <f t="shared" si="42"/>
        <v>2.9877712000000001</v>
      </c>
      <c r="K54" s="37">
        <f t="shared" si="42"/>
        <v>3.0482320000000001</v>
      </c>
      <c r="L54" s="37">
        <f t="shared" si="43"/>
        <v>1.1390527704216233</v>
      </c>
      <c r="M54" s="37">
        <f t="shared" si="43"/>
        <v>1.0945276913802116</v>
      </c>
      <c r="N54" s="37">
        <f t="shared" si="43"/>
        <v>1.1145617504133276</v>
      </c>
      <c r="O54" s="114">
        <f t="shared" si="26"/>
        <v>3.0532704000000002</v>
      </c>
      <c r="P54" s="37">
        <f t="shared" si="27"/>
        <v>3.9351161967088051E-2</v>
      </c>
      <c r="Q54" s="114">
        <f t="shared" si="28"/>
        <v>1.1160474040717208</v>
      </c>
      <c r="R54" s="119">
        <f t="shared" si="29"/>
        <v>3.9351161967088051E-2</v>
      </c>
      <c r="S54" s="37">
        <f t="shared" si="30"/>
        <v>2.2550012825749066E-3</v>
      </c>
      <c r="T54" s="37">
        <f t="shared" si="31"/>
        <v>1.6833207731544518E-3</v>
      </c>
      <c r="U54" s="37">
        <f t="shared" si="32"/>
        <v>3.5314054530617375E-4</v>
      </c>
      <c r="V54" s="114">
        <f t="shared" si="33"/>
        <v>1.4304875336785105E-3</v>
      </c>
      <c r="W54" s="119">
        <f t="shared" si="34"/>
        <v>5.6338620596917241E-4</v>
      </c>
      <c r="X54" s="37">
        <f t="shared" si="35"/>
        <v>7.6563921568627447E-3</v>
      </c>
      <c r="Y54" s="37">
        <f t="shared" si="36"/>
        <v>7.3229686274509809E-3</v>
      </c>
      <c r="Z54" s="37">
        <f t="shared" si="37"/>
        <v>7.4711568627450981E-3</v>
      </c>
      <c r="AA54" s="114">
        <f t="shared" si="38"/>
        <v>7.4835058823529413E-3</v>
      </c>
      <c r="AB54" s="158">
        <f t="shared" si="39"/>
        <v>9.6448926389921516E-5</v>
      </c>
    </row>
    <row r="55" spans="1:28" s="2" customFormat="1" ht="13" x14ac:dyDescent="0.15">
      <c r="B55" s="38" t="s">
        <v>31</v>
      </c>
      <c r="C55" s="112">
        <v>0.52083333333333337</v>
      </c>
      <c r="D55" s="113">
        <f>1.5+24+D54</f>
        <v>433.5</v>
      </c>
      <c r="E55" s="35">
        <v>19</v>
      </c>
      <c r="F55" s="36">
        <f>4*0.64</f>
        <v>2.56</v>
      </c>
      <c r="G55" s="37">
        <f>4*0.608</f>
        <v>2.4319999999999999</v>
      </c>
      <c r="H55" s="37">
        <f>4*0.636</f>
        <v>2.544</v>
      </c>
      <c r="I55" s="37">
        <f t="shared" si="42"/>
        <v>3.2245760000000003</v>
      </c>
      <c r="J55" s="37">
        <f t="shared" si="42"/>
        <v>3.0633471999999999</v>
      </c>
      <c r="K55" s="37">
        <f t="shared" si="42"/>
        <v>3.2044224000000003</v>
      </c>
      <c r="L55" s="37">
        <f t="shared" si="43"/>
        <v>1.1708014687362038</v>
      </c>
      <c r="M55" s="37">
        <f t="shared" si="43"/>
        <v>1.119508174348653</v>
      </c>
      <c r="N55" s="37">
        <f t="shared" si="43"/>
        <v>1.1645318557226083</v>
      </c>
      <c r="O55" s="114">
        <f t="shared" si="26"/>
        <v>3.1641151999999999</v>
      </c>
      <c r="P55" s="37">
        <f t="shared" si="27"/>
        <v>5.0718781091557655E-2</v>
      </c>
      <c r="Q55" s="114">
        <f t="shared" si="28"/>
        <v>1.1516138329358219</v>
      </c>
      <c r="R55" s="119">
        <f t="shared" si="29"/>
        <v>5.0718781091557655E-2</v>
      </c>
      <c r="S55" s="37">
        <f t="shared" si="30"/>
        <v>1.2450469927286468E-3</v>
      </c>
      <c r="T55" s="37">
        <f t="shared" si="31"/>
        <v>9.7962678307613577E-4</v>
      </c>
      <c r="U55" s="37">
        <f t="shared" si="32"/>
        <v>1.9596119729129685E-3</v>
      </c>
      <c r="V55" s="114">
        <f t="shared" si="33"/>
        <v>1.3947619162392501E-3</v>
      </c>
      <c r="W55" s="119">
        <f t="shared" si="34"/>
        <v>2.9263382227408524E-4</v>
      </c>
      <c r="X55" s="37">
        <f t="shared" si="35"/>
        <v>7.4384682814302196E-3</v>
      </c>
      <c r="Y55" s="37">
        <f t="shared" si="36"/>
        <v>7.0665448673587084E-3</v>
      </c>
      <c r="Z55" s="37">
        <f t="shared" si="37"/>
        <v>7.3919778546712809E-3</v>
      </c>
      <c r="AA55" s="114">
        <f t="shared" si="38"/>
        <v>7.2989970011534027E-3</v>
      </c>
      <c r="AB55" s="158">
        <f t="shared" si="39"/>
        <v>1.1699834161835656E-4</v>
      </c>
    </row>
    <row r="56" spans="1:28" s="2" customFormat="1" ht="13" x14ac:dyDescent="0.15">
      <c r="B56" s="38" t="s">
        <v>32</v>
      </c>
      <c r="C56" s="112">
        <v>0.54166666666666663</v>
      </c>
      <c r="D56" s="113">
        <f>24.5+D55</f>
        <v>458</v>
      </c>
      <c r="E56" s="35">
        <v>20</v>
      </c>
      <c r="F56" s="36">
        <f>4*0.655</f>
        <v>2.62</v>
      </c>
      <c r="G56" s="37">
        <f>4*0.63</f>
        <v>2.52</v>
      </c>
      <c r="H56" s="37">
        <f>4*0.662</f>
        <v>2.6480000000000001</v>
      </c>
      <c r="I56" s="37">
        <f t="shared" si="42"/>
        <v>3.3001520000000002</v>
      </c>
      <c r="J56" s="37">
        <f t="shared" si="42"/>
        <v>3.1741920000000001</v>
      </c>
      <c r="K56" s="37">
        <f t="shared" si="42"/>
        <v>3.3354208000000005</v>
      </c>
      <c r="L56" s="37">
        <f t="shared" si="43"/>
        <v>1.1939685280177381</v>
      </c>
      <c r="M56" s="37">
        <f t="shared" si="43"/>
        <v>1.1550531117680645</v>
      </c>
      <c r="N56" s="37">
        <f t="shared" si="43"/>
        <v>1.2045988483194945</v>
      </c>
      <c r="O56" s="114">
        <f t="shared" si="26"/>
        <v>3.2699216</v>
      </c>
      <c r="P56" s="37">
        <f t="shared" si="27"/>
        <v>4.8935635619590585E-2</v>
      </c>
      <c r="Q56" s="114">
        <f t="shared" si="28"/>
        <v>1.1845401627017658</v>
      </c>
      <c r="R56" s="119">
        <f t="shared" si="29"/>
        <v>4.8935635619590585E-2</v>
      </c>
      <c r="S56" s="37">
        <f t="shared" si="30"/>
        <v>9.455942563891545E-4</v>
      </c>
      <c r="T56" s="37">
        <f t="shared" si="31"/>
        <v>1.4508137722208754E-3</v>
      </c>
      <c r="U56" s="37">
        <f t="shared" si="32"/>
        <v>1.6353874529341295E-3</v>
      </c>
      <c r="V56" s="114">
        <f t="shared" si="33"/>
        <v>1.3439318271813864E-3</v>
      </c>
      <c r="W56" s="119">
        <f t="shared" si="34"/>
        <v>2.0617264297306915E-4</v>
      </c>
      <c r="X56" s="37">
        <f t="shared" si="35"/>
        <v>7.2055720524017474E-3</v>
      </c>
      <c r="Y56" s="37">
        <f t="shared" si="36"/>
        <v>6.9305502183406118E-3</v>
      </c>
      <c r="Z56" s="37">
        <f t="shared" si="37"/>
        <v>7.2825781659388656E-3</v>
      </c>
      <c r="AA56" s="114">
        <f t="shared" si="38"/>
        <v>7.1395668122270746E-3</v>
      </c>
      <c r="AB56" s="158">
        <f t="shared" si="39"/>
        <v>1.0684636598163875E-4</v>
      </c>
    </row>
    <row r="57" spans="1:28" s="2" customFormat="1" ht="13" x14ac:dyDescent="0.15">
      <c r="B57" s="38"/>
      <c r="C57" s="112"/>
      <c r="E57" s="35"/>
      <c r="F57" s="36"/>
      <c r="G57" s="37"/>
      <c r="H57" s="37"/>
      <c r="I57" s="37"/>
      <c r="J57" s="37"/>
      <c r="K57" s="37"/>
      <c r="L57" s="37"/>
      <c r="M57" s="37"/>
      <c r="N57" s="37"/>
      <c r="O57" s="114"/>
      <c r="P57" s="37"/>
      <c r="Q57" s="114"/>
      <c r="R57" s="110"/>
      <c r="AB57" s="35"/>
    </row>
    <row r="58" spans="1:28" s="2" customFormat="1" thickBot="1" x14ac:dyDescent="0.2">
      <c r="A58" s="43"/>
      <c r="B58" s="44"/>
      <c r="C58" s="41"/>
      <c r="D58" s="42"/>
      <c r="E58" s="43"/>
      <c r="F58" s="45"/>
      <c r="G58" s="46"/>
      <c r="H58" s="46"/>
      <c r="I58" s="46"/>
      <c r="J58" s="46"/>
      <c r="K58" s="46"/>
      <c r="L58" s="46"/>
      <c r="M58" s="46"/>
      <c r="N58" s="46"/>
      <c r="O58" s="47"/>
      <c r="P58" s="46"/>
      <c r="Q58" s="47"/>
      <c r="R58" s="111"/>
      <c r="S58" s="42"/>
      <c r="T58" s="42"/>
      <c r="U58" s="42"/>
      <c r="V58" s="42"/>
      <c r="W58" s="42"/>
      <c r="X58" s="42"/>
      <c r="Y58" s="42"/>
      <c r="Z58" s="42"/>
      <c r="AA58" s="42"/>
      <c r="AB58" s="43"/>
    </row>
  </sheetData>
  <mergeCells count="31">
    <mergeCell ref="S3:U3"/>
    <mergeCell ref="S4:U4"/>
    <mergeCell ref="X3:Z3"/>
    <mergeCell ref="X4:Z4"/>
    <mergeCell ref="A1:AB1"/>
    <mergeCell ref="B2:AB2"/>
    <mergeCell ref="I4:K4"/>
    <mergeCell ref="L4:N4"/>
    <mergeCell ref="F4:H4"/>
    <mergeCell ref="F3:H3"/>
    <mergeCell ref="I3:K3"/>
    <mergeCell ref="L3:N3"/>
    <mergeCell ref="S31:U31"/>
    <mergeCell ref="X31:Z31"/>
    <mergeCell ref="S32:U32"/>
    <mergeCell ref="X32:Z32"/>
    <mergeCell ref="B30:AB30"/>
    <mergeCell ref="I32:K32"/>
    <mergeCell ref="L32:N32"/>
    <mergeCell ref="F32:H32"/>
    <mergeCell ref="F31:H31"/>
    <mergeCell ref="I31:K31"/>
    <mergeCell ref="L31:N31"/>
    <mergeCell ref="B37:B38"/>
    <mergeCell ref="E37:E38"/>
    <mergeCell ref="E33:E36"/>
    <mergeCell ref="B5:B8"/>
    <mergeCell ref="B9:B10"/>
    <mergeCell ref="E9:E10"/>
    <mergeCell ref="E5:E8"/>
    <mergeCell ref="B33:B36"/>
  </mergeCells>
  <pageMargins left="0.7" right="0.7" top="0.75" bottom="0.75" header="0.3" footer="0.3"/>
  <pageSetup orientation="portrait" horizontalDpi="300" verticalDpi="300" r:id="rId1"/>
  <ignoredErrors>
    <ignoredError sqref="D13 D16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7EBC8-557D-42E5-AD4A-7F3054C01850}">
  <dimension ref="A1:AH61"/>
  <sheetViews>
    <sheetView zoomScaleNormal="100" workbookViewId="0">
      <selection sqref="A1:AB1"/>
    </sheetView>
  </sheetViews>
  <sheetFormatPr baseColWidth="10" defaultColWidth="9.1640625" defaultRowHeight="13" x14ac:dyDescent="0.2"/>
  <cols>
    <col min="1" max="1" width="78.83203125" style="48" customWidth="1"/>
    <col min="2" max="2" width="10" style="48" customWidth="1"/>
    <col min="3" max="3" width="9.5" style="48" customWidth="1"/>
    <col min="4" max="4" width="11.5" style="48" bestFit="1" customWidth="1"/>
    <col min="5" max="7" width="11.5" style="48" customWidth="1"/>
    <col min="8" max="8" width="9.83203125" style="48" customWidth="1"/>
    <col min="9" max="11" width="9.6640625" style="48" customWidth="1"/>
    <col min="12" max="15" width="9.1640625" style="48"/>
    <col min="16" max="16" width="12.1640625" style="48" customWidth="1"/>
    <col min="17" max="17" width="11.83203125" style="48" customWidth="1"/>
    <col min="18" max="18" width="11.6640625" style="48" bestFit="1" customWidth="1"/>
    <col min="19" max="19" width="9.1640625" style="48"/>
    <col min="20" max="21" width="9.5" style="48" bestFit="1" customWidth="1"/>
    <col min="22" max="25" width="9.5" style="48" customWidth="1"/>
    <col min="26" max="26" width="10" style="48" customWidth="1"/>
    <col min="27" max="27" width="9.5" style="48" customWidth="1"/>
    <col min="28" max="16384" width="9.1640625" style="48"/>
  </cols>
  <sheetData>
    <row r="1" spans="1:34" ht="17" thickBot="1" x14ac:dyDescent="0.25">
      <c r="A1" s="191" t="s">
        <v>67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  <c r="AA1" s="192"/>
      <c r="AB1" s="193"/>
    </row>
    <row r="2" spans="1:34" ht="16" customHeight="1" thickBot="1" x14ac:dyDescent="0.25">
      <c r="A2" s="59"/>
      <c r="B2" s="194" t="s">
        <v>1</v>
      </c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6"/>
    </row>
    <row r="3" spans="1:34" ht="47" customHeight="1" x14ac:dyDescent="0.2">
      <c r="A3" s="59"/>
      <c r="B3" s="49" t="s">
        <v>2</v>
      </c>
      <c r="C3" s="50" t="s">
        <v>3</v>
      </c>
      <c r="D3" s="144" t="s">
        <v>4</v>
      </c>
      <c r="E3" s="154"/>
      <c r="F3" s="145" t="s">
        <v>34</v>
      </c>
      <c r="G3" s="50" t="s">
        <v>35</v>
      </c>
      <c r="H3" s="205" t="s">
        <v>97</v>
      </c>
      <c r="I3" s="206"/>
      <c r="J3" s="207" t="s">
        <v>98</v>
      </c>
      <c r="K3" s="208"/>
      <c r="L3" s="209" t="s">
        <v>68</v>
      </c>
      <c r="M3" s="210"/>
      <c r="N3" s="51" t="s">
        <v>69</v>
      </c>
      <c r="O3" s="52" t="s">
        <v>70</v>
      </c>
      <c r="P3" s="51" t="s">
        <v>36</v>
      </c>
      <c r="Q3" s="51" t="s">
        <v>37</v>
      </c>
      <c r="R3" s="51" t="s">
        <v>71</v>
      </c>
      <c r="S3" s="51" t="s">
        <v>72</v>
      </c>
      <c r="T3" s="51" t="s">
        <v>73</v>
      </c>
      <c r="U3" s="121" t="s">
        <v>62</v>
      </c>
      <c r="V3" s="52" t="s">
        <v>74</v>
      </c>
      <c r="W3" s="51" t="s">
        <v>75</v>
      </c>
      <c r="X3" s="51" t="s">
        <v>73</v>
      </c>
      <c r="Y3" s="82" t="s">
        <v>62</v>
      </c>
      <c r="Z3" s="82" t="s">
        <v>94</v>
      </c>
      <c r="AA3" s="51" t="s">
        <v>95</v>
      </c>
      <c r="AB3" s="132" t="s">
        <v>62</v>
      </c>
    </row>
    <row r="4" spans="1:34" ht="29" customHeight="1" x14ac:dyDescent="0.2">
      <c r="A4" s="59"/>
      <c r="B4" s="53"/>
      <c r="C4" s="54"/>
      <c r="D4" s="56"/>
      <c r="E4" s="139"/>
      <c r="F4" s="142" t="s">
        <v>39</v>
      </c>
      <c r="G4" s="54" t="s">
        <v>39</v>
      </c>
      <c r="H4" s="142" t="s">
        <v>99</v>
      </c>
      <c r="I4" s="54" t="s">
        <v>100</v>
      </c>
      <c r="J4" s="56" t="s">
        <v>99</v>
      </c>
      <c r="K4" s="143" t="s">
        <v>100</v>
      </c>
      <c r="L4" s="203" t="s">
        <v>40</v>
      </c>
      <c r="M4" s="204"/>
      <c r="N4" s="57" t="s">
        <v>40</v>
      </c>
      <c r="O4" s="57" t="s">
        <v>39</v>
      </c>
      <c r="P4" s="57" t="s">
        <v>41</v>
      </c>
      <c r="Q4" s="57" t="s">
        <v>42</v>
      </c>
      <c r="R4" s="58" t="s">
        <v>77</v>
      </c>
      <c r="S4" s="58" t="s">
        <v>77</v>
      </c>
      <c r="T4" s="57"/>
      <c r="U4" s="56"/>
      <c r="V4" s="58" t="s">
        <v>78</v>
      </c>
      <c r="W4" s="58" t="s">
        <v>78</v>
      </c>
      <c r="X4" s="57"/>
      <c r="Y4" s="57"/>
      <c r="Z4" s="58" t="s">
        <v>96</v>
      </c>
      <c r="AA4" s="58" t="s">
        <v>96</v>
      </c>
      <c r="AB4" s="55"/>
      <c r="AD4" s="48" t="s">
        <v>4</v>
      </c>
      <c r="AE4" s="83" t="str">
        <f>R3</f>
        <v>Specific CPC conc.</v>
      </c>
      <c r="AF4" s="83" t="s">
        <v>76</v>
      </c>
      <c r="AG4" s="48" t="str">
        <f>V3</f>
        <v>Total CPC</v>
      </c>
      <c r="AH4" s="83" t="s">
        <v>76</v>
      </c>
    </row>
    <row r="5" spans="1:34" x14ac:dyDescent="0.2">
      <c r="A5" s="59"/>
      <c r="B5" s="197" t="s">
        <v>13</v>
      </c>
      <c r="C5" s="199">
        <v>0.45833333333333331</v>
      </c>
      <c r="D5" s="201">
        <v>0</v>
      </c>
      <c r="E5" s="155" t="s">
        <v>101</v>
      </c>
      <c r="F5" s="211">
        <f>(0.0428+0.0467)/2</f>
        <v>4.4749999999999998E-2</v>
      </c>
      <c r="G5" s="213">
        <f>(0.0396+0.0445)/2</f>
        <v>4.2050000000000004E-2</v>
      </c>
      <c r="H5" s="62">
        <f>0.1757-F5</f>
        <v>0.13095000000000001</v>
      </c>
      <c r="I5" s="61"/>
      <c r="J5" s="61">
        <f>0.138-G5</f>
        <v>9.5950000000000008E-2</v>
      </c>
      <c r="K5" s="61"/>
      <c r="L5" s="61">
        <f>(H5-(0.605*J5))/6.17</f>
        <v>1.1815275526742301E-2</v>
      </c>
      <c r="M5" s="61"/>
      <c r="N5" s="61">
        <f>AVERAGE(L5:M5)</f>
        <v>1.1815275526742301E-2</v>
      </c>
      <c r="O5" s="48">
        <f>'Growth curves'!F5</f>
        <v>0.12</v>
      </c>
      <c r="P5" s="61">
        <f>1.2334*O5</f>
        <v>0.148008</v>
      </c>
      <c r="Q5" s="128">
        <f t="shared" ref="Q5:Q13" si="0">P5*1/1000</f>
        <v>1.4800800000000001E-4</v>
      </c>
      <c r="R5" s="129">
        <f>(N5*0.5)/Q5</f>
        <v>39.914313843651357</v>
      </c>
      <c r="S5" s="130"/>
      <c r="V5" s="63">
        <f>R5*P5</f>
        <v>5.9076377633711497</v>
      </c>
      <c r="W5" s="130"/>
      <c r="AA5" s="130"/>
      <c r="AB5" s="60"/>
      <c r="AD5" s="72">
        <f>D5</f>
        <v>0</v>
      </c>
      <c r="AE5" s="63">
        <f>S7</f>
        <v>45.294605552283478</v>
      </c>
      <c r="AF5" s="63">
        <f>U7</f>
        <v>2.8738887292746562</v>
      </c>
      <c r="AG5" s="63">
        <f>W7</f>
        <v>6.435257968665586</v>
      </c>
      <c r="AH5" s="63">
        <f>Y7</f>
        <v>0.30293030329537318</v>
      </c>
    </row>
    <row r="6" spans="1:34" ht="15" customHeight="1" x14ac:dyDescent="0.2">
      <c r="A6" s="59"/>
      <c r="B6" s="197"/>
      <c r="C6" s="199"/>
      <c r="D6" s="201"/>
      <c r="E6" s="155" t="s">
        <v>102</v>
      </c>
      <c r="F6" s="211"/>
      <c r="G6" s="213"/>
      <c r="H6" s="62">
        <f>0.1763-F5</f>
        <v>0.13155</v>
      </c>
      <c r="I6" s="61">
        <f>0.1771-F5</f>
        <v>0.13235000000000002</v>
      </c>
      <c r="J6" s="61">
        <f>0.1166-G5</f>
        <v>7.4549999999999991E-2</v>
      </c>
      <c r="K6" s="61">
        <f>0.1199-G5</f>
        <v>7.7850000000000003E-2</v>
      </c>
      <c r="L6" s="61">
        <f t="shared" ref="L6:L27" si="1">(H6-(0.605*J6))/6.17</f>
        <v>1.4010899513776338E-2</v>
      </c>
      <c r="M6" s="61">
        <f>(I6-(0.605*K6))/6.17</f>
        <v>1.3816977309562401E-2</v>
      </c>
      <c r="N6" s="61">
        <f t="shared" ref="N6:N61" si="2">AVERAGE(L6:M6)</f>
        <v>1.3913938411669369E-2</v>
      </c>
      <c r="O6" s="48">
        <f>'Growth curves'!G5</f>
        <v>0.122</v>
      </c>
      <c r="P6" s="61">
        <f t="shared" ref="P6:P61" si="3">1.2334*O6</f>
        <v>0.15047479999999999</v>
      </c>
      <c r="Q6" s="128">
        <f t="shared" si="0"/>
        <v>1.504748E-4</v>
      </c>
      <c r="R6" s="129">
        <f t="shared" ref="R6:R61" si="4">(N6*0.5)/Q6</f>
        <v>46.233450423823022</v>
      </c>
      <c r="S6" s="130"/>
      <c r="V6" s="63">
        <f t="shared" ref="V6:V61" si="5">R6*P6</f>
        <v>6.9569692058346844</v>
      </c>
      <c r="W6" s="130"/>
      <c r="AA6" s="130"/>
      <c r="AB6" s="60"/>
      <c r="AD6" s="72">
        <f>D8</f>
        <v>24</v>
      </c>
      <c r="AE6" s="63">
        <f>S10</f>
        <v>33.95056356775526</v>
      </c>
      <c r="AF6" s="63">
        <f>U10</f>
        <v>2.3721993529310126</v>
      </c>
      <c r="AG6" s="63">
        <f>W10</f>
        <v>8.3102917341977331</v>
      </c>
      <c r="AH6" s="63">
        <f>Y10</f>
        <v>0.54336818758582195</v>
      </c>
    </row>
    <row r="7" spans="1:34" ht="15" customHeight="1" x14ac:dyDescent="0.2">
      <c r="A7" s="59"/>
      <c r="B7" s="198"/>
      <c r="C7" s="200"/>
      <c r="D7" s="202"/>
      <c r="E7" s="156" t="s">
        <v>103</v>
      </c>
      <c r="F7" s="212"/>
      <c r="G7" s="214"/>
      <c r="H7" s="65">
        <f>0.1791-F5</f>
        <v>0.13435000000000002</v>
      </c>
      <c r="I7" s="66">
        <f>0.1773-F5</f>
        <v>0.13255</v>
      </c>
      <c r="J7" s="66">
        <f>0.1321-G5</f>
        <v>9.0049999999999991E-2</v>
      </c>
      <c r="K7" s="66">
        <f>0.1304-G5</f>
        <v>8.8349999999999984E-2</v>
      </c>
      <c r="L7" s="61">
        <f t="shared" si="1"/>
        <v>1.294485413290114E-2</v>
      </c>
      <c r="M7" s="61">
        <f t="shared" ref="M7:M48" si="6">(I7-(0.605*K7))/6.17</f>
        <v>1.2819813614262562E-2</v>
      </c>
      <c r="N7" s="66">
        <f t="shared" si="2"/>
        <v>1.2882333873581852E-2</v>
      </c>
      <c r="O7" s="64">
        <f>'Growth curves'!H5</f>
        <v>0.105</v>
      </c>
      <c r="P7" s="66">
        <f t="shared" si="3"/>
        <v>0.12950700000000001</v>
      </c>
      <c r="Q7" s="67">
        <f t="shared" si="0"/>
        <v>1.2950700000000001E-4</v>
      </c>
      <c r="R7" s="68">
        <f t="shared" si="4"/>
        <v>49.736052389376063</v>
      </c>
      <c r="S7" s="69">
        <f>AVERAGE(R5:R7)</f>
        <v>45.294605552283478</v>
      </c>
      <c r="T7" s="70">
        <f>STDEV(R5:R7)</f>
        <v>4.9777212944032625</v>
      </c>
      <c r="U7" s="70">
        <f>T7/SQRT(3)</f>
        <v>2.8738887292746562</v>
      </c>
      <c r="V7" s="70">
        <f t="shared" si="5"/>
        <v>6.4411669367909266</v>
      </c>
      <c r="W7" s="69">
        <f>AVERAGE(V5:V7)</f>
        <v>6.435257968665586</v>
      </c>
      <c r="X7" s="70">
        <f>STDEV(V5:V7)</f>
        <v>0.52469067645983603</v>
      </c>
      <c r="Y7" s="70">
        <f>X7/SQRT(3)</f>
        <v>0.30293030329537318</v>
      </c>
      <c r="Z7" s="64"/>
      <c r="AA7" s="153"/>
      <c r="AB7" s="141"/>
      <c r="AD7" s="72">
        <f>D11</f>
        <v>48</v>
      </c>
      <c r="AE7" s="63">
        <f>S13</f>
        <v>24.087754437646208</v>
      </c>
      <c r="AF7" s="63">
        <f>U13</f>
        <v>0.64809461442733385</v>
      </c>
      <c r="AG7" s="63">
        <f>W13</f>
        <v>10.700276877363587</v>
      </c>
      <c r="AH7" s="63">
        <f>Y13</f>
        <v>0.21439242464473798</v>
      </c>
    </row>
    <row r="8" spans="1:34" x14ac:dyDescent="0.2">
      <c r="A8" s="59"/>
      <c r="B8" s="197" t="s">
        <v>14</v>
      </c>
      <c r="C8" s="199">
        <v>0.4513888888888889</v>
      </c>
      <c r="D8" s="201">
        <f>24+D5</f>
        <v>24</v>
      </c>
      <c r="E8" s="155" t="s">
        <v>101</v>
      </c>
      <c r="F8" s="211">
        <v>4.2200000000000001E-2</v>
      </c>
      <c r="G8" s="213">
        <v>4.0300000000000002E-2</v>
      </c>
      <c r="H8" s="62">
        <f>0.228-F8</f>
        <v>0.18580000000000002</v>
      </c>
      <c r="I8" s="61">
        <f>0.1919-F8</f>
        <v>0.1497</v>
      </c>
      <c r="J8" s="61">
        <f>0.166-G8</f>
        <v>0.12570000000000001</v>
      </c>
      <c r="K8" s="61">
        <f>0.1281-G8</f>
        <v>8.7799999999999989E-2</v>
      </c>
      <c r="L8" s="61">
        <f t="shared" si="1"/>
        <v>1.7787925445705028E-2</v>
      </c>
      <c r="M8" s="61">
        <f t="shared" si="6"/>
        <v>1.5653322528363049E-2</v>
      </c>
      <c r="N8" s="61">
        <f t="shared" si="2"/>
        <v>1.6720623987034038E-2</v>
      </c>
      <c r="O8" s="61">
        <f>'Growth curves'!F9</f>
        <v>0.192</v>
      </c>
      <c r="P8" s="61">
        <f t="shared" si="3"/>
        <v>0.23681280000000002</v>
      </c>
      <c r="Q8" s="128">
        <f t="shared" si="0"/>
        <v>2.3681280000000001E-4</v>
      </c>
      <c r="R8" s="129">
        <f t="shared" si="4"/>
        <v>35.303463298930708</v>
      </c>
      <c r="S8" s="131"/>
      <c r="T8" s="63"/>
      <c r="U8" s="63"/>
      <c r="V8" s="63">
        <f t="shared" si="5"/>
        <v>8.3603119935170191</v>
      </c>
      <c r="W8" s="131"/>
      <c r="X8" s="63"/>
      <c r="Y8" s="63"/>
      <c r="Z8" s="63">
        <f>(V8-$V$5)/(D8-$D$5)</f>
        <v>0.10219475958941122</v>
      </c>
      <c r="AA8" s="131"/>
      <c r="AB8" s="73"/>
      <c r="AD8" s="72">
        <f>D14</f>
        <v>72</v>
      </c>
      <c r="AE8" s="63">
        <f>S16</f>
        <v>25.127172794047578</v>
      </c>
      <c r="AF8" s="63">
        <f>U16</f>
        <v>1.2812789670942186</v>
      </c>
      <c r="AG8" s="63">
        <f>W16</f>
        <v>14.97813040248514</v>
      </c>
      <c r="AH8" s="63">
        <f>Y16</f>
        <v>0.54508251587332646</v>
      </c>
    </row>
    <row r="9" spans="1:34" x14ac:dyDescent="0.2">
      <c r="A9" s="59"/>
      <c r="B9" s="197"/>
      <c r="C9" s="199"/>
      <c r="D9" s="201"/>
      <c r="E9" s="155" t="s">
        <v>102</v>
      </c>
      <c r="F9" s="211"/>
      <c r="G9" s="213"/>
      <c r="H9" s="62">
        <f>0.19-F8</f>
        <v>0.14779999999999999</v>
      </c>
      <c r="I9" s="61">
        <f>0.1824-F8</f>
        <v>0.14019999999999999</v>
      </c>
      <c r="J9" s="61">
        <f>0.1326-G8</f>
        <v>9.2299999999999993E-2</v>
      </c>
      <c r="K9" s="61">
        <f>0.1244-G8</f>
        <v>8.4099999999999994E-2</v>
      </c>
      <c r="L9" s="61">
        <f t="shared" si="1"/>
        <v>1.4904132901134522E-2</v>
      </c>
      <c r="M9" s="61">
        <f t="shared" si="6"/>
        <v>1.447641815235008E-2</v>
      </c>
      <c r="N9" s="61">
        <f t="shared" si="2"/>
        <v>1.4690275526742302E-2</v>
      </c>
      <c r="O9" s="61">
        <f>'Growth curves'!G9</f>
        <v>0.20300000000000001</v>
      </c>
      <c r="P9" s="61">
        <f t="shared" si="3"/>
        <v>0.25038020000000005</v>
      </c>
      <c r="Q9" s="128">
        <f t="shared" si="0"/>
        <v>2.5038020000000004E-4</v>
      </c>
      <c r="R9" s="129">
        <f t="shared" si="4"/>
        <v>29.335936960554985</v>
      </c>
      <c r="S9" s="130"/>
      <c r="T9" s="63"/>
      <c r="U9" s="63"/>
      <c r="V9" s="63">
        <f t="shared" si="5"/>
        <v>7.3451377633711505</v>
      </c>
      <c r="W9" s="131"/>
      <c r="X9" s="63"/>
      <c r="Y9" s="63"/>
      <c r="Z9" s="63">
        <f>(V9-$V$6)/(D8-$D$5)</f>
        <v>1.6173689897352756E-2</v>
      </c>
      <c r="AA9" s="131"/>
      <c r="AB9" s="73"/>
      <c r="AD9" s="72">
        <f>D17</f>
        <v>96.5</v>
      </c>
      <c r="AE9" s="63">
        <f>S19</f>
        <v>44.479993264434114</v>
      </c>
      <c r="AF9" s="63">
        <f>U19</f>
        <v>2.6086175640539859</v>
      </c>
      <c r="AG9" s="63">
        <f>W19</f>
        <v>33.75852782009725</v>
      </c>
      <c r="AH9" s="63">
        <f>Y19</f>
        <v>1.9817993563159568</v>
      </c>
    </row>
    <row r="10" spans="1:34" x14ac:dyDescent="0.2">
      <c r="A10" s="59"/>
      <c r="B10" s="198"/>
      <c r="C10" s="200"/>
      <c r="D10" s="202"/>
      <c r="E10" s="156" t="s">
        <v>103</v>
      </c>
      <c r="F10" s="212"/>
      <c r="G10" s="214"/>
      <c r="H10" s="65">
        <f>0.2135-F8</f>
        <v>0.17130000000000001</v>
      </c>
      <c r="I10" s="66">
        <f>0.2361-F8</f>
        <v>0.19390000000000002</v>
      </c>
      <c r="J10" s="66">
        <f>0.143-G8</f>
        <v>0.10269999999999999</v>
      </c>
      <c r="K10" s="66">
        <f>0.1649-G8</f>
        <v>0.12459999999999999</v>
      </c>
      <c r="L10" s="61">
        <f t="shared" si="1"/>
        <v>1.7693111831442468E-2</v>
      </c>
      <c r="M10" s="61">
        <f t="shared" si="6"/>
        <v>1.9208589951377638E-2</v>
      </c>
      <c r="N10" s="66">
        <f t="shared" si="2"/>
        <v>1.8450850891410055E-2</v>
      </c>
      <c r="O10" s="66">
        <f>'Growth curves'!H9</f>
        <v>0.20100000000000001</v>
      </c>
      <c r="P10" s="66">
        <f t="shared" si="3"/>
        <v>0.24791340000000003</v>
      </c>
      <c r="Q10" s="67">
        <f t="shared" si="0"/>
        <v>2.4791340000000002E-4</v>
      </c>
      <c r="R10" s="68">
        <f t="shared" si="4"/>
        <v>37.21229044378007</v>
      </c>
      <c r="S10" s="69">
        <f>AVERAGE(R8:R10)</f>
        <v>33.95056356775526</v>
      </c>
      <c r="T10" s="70">
        <f>STDEV(R8:R10)</f>
        <v>4.1087698049585279</v>
      </c>
      <c r="U10" s="70">
        <f>T10/SQRT(3)</f>
        <v>2.3721993529310126</v>
      </c>
      <c r="V10" s="70">
        <f t="shared" si="5"/>
        <v>9.225425445705028</v>
      </c>
      <c r="W10" s="69">
        <f>AVERAGE(V8:V10)</f>
        <v>8.3102917341977331</v>
      </c>
      <c r="X10" s="70">
        <f>STDEV(V8:V10)</f>
        <v>0.94114130811525998</v>
      </c>
      <c r="Y10" s="70">
        <f>X10/SQRT(3)</f>
        <v>0.54336818758582195</v>
      </c>
      <c r="Z10" s="70">
        <f>(V10-$V$7)/(D8-$D$5)</f>
        <v>0.11601077120475423</v>
      </c>
      <c r="AA10" s="69">
        <f>AVERAGE(Z8:Z10)</f>
        <v>7.8126406897172734E-2</v>
      </c>
      <c r="AB10" s="99">
        <f>STDEV(Z8:Z10)/SQRT(3)</f>
        <v>3.1232060994986443E-2</v>
      </c>
      <c r="AD10" s="72">
        <f>D20</f>
        <v>120.5</v>
      </c>
      <c r="AE10" s="63">
        <f>S22</f>
        <v>50.229756480905088</v>
      </c>
      <c r="AF10" s="63">
        <f>U22</f>
        <v>7.7326704424321751</v>
      </c>
      <c r="AG10" s="63">
        <f>W22</f>
        <v>46.007985613182065</v>
      </c>
      <c r="AH10" s="63">
        <f>Y22</f>
        <v>7.5712459524726912</v>
      </c>
    </row>
    <row r="11" spans="1:34" x14ac:dyDescent="0.2">
      <c r="A11" s="59"/>
      <c r="B11" s="197" t="s">
        <v>15</v>
      </c>
      <c r="C11" s="199">
        <v>0.4548611111111111</v>
      </c>
      <c r="D11" s="201">
        <f>24+D8</f>
        <v>48</v>
      </c>
      <c r="E11" s="155" t="s">
        <v>101</v>
      </c>
      <c r="F11" s="211">
        <v>4.5999999999999999E-2</v>
      </c>
      <c r="G11" s="213">
        <v>4.41E-2</v>
      </c>
      <c r="H11" s="62">
        <f>0.2881-F11</f>
        <v>0.24210000000000004</v>
      </c>
      <c r="I11" s="61">
        <f>0.284-F11</f>
        <v>0.23799999999999999</v>
      </c>
      <c r="J11" s="61">
        <f>0.227-G11</f>
        <v>0.18290000000000001</v>
      </c>
      <c r="K11" s="61">
        <f>0.2253-G11</f>
        <v>0.1812</v>
      </c>
      <c r="L11" s="61">
        <f t="shared" si="1"/>
        <v>2.1303970826580233E-2</v>
      </c>
      <c r="M11" s="61">
        <f t="shared" si="6"/>
        <v>2.0806158833063207E-2</v>
      </c>
      <c r="N11" s="61">
        <f t="shared" si="2"/>
        <v>2.105506482982172E-2</v>
      </c>
      <c r="O11" s="61">
        <f>'Growth curves'!F11</f>
        <v>0.35399999999999998</v>
      </c>
      <c r="P11" s="61">
        <f t="shared" si="3"/>
        <v>0.4366236</v>
      </c>
      <c r="Q11" s="128">
        <f t="shared" si="0"/>
        <v>4.3662360000000001E-4</v>
      </c>
      <c r="R11" s="129">
        <f t="shared" si="4"/>
        <v>24.111230851724137</v>
      </c>
      <c r="S11" s="131"/>
      <c r="T11" s="63"/>
      <c r="U11" s="63"/>
      <c r="V11" s="63">
        <f t="shared" si="5"/>
        <v>10.527532414910858</v>
      </c>
      <c r="W11" s="131"/>
      <c r="X11" s="63"/>
      <c r="Y11" s="63"/>
      <c r="Z11" s="63">
        <f>(V11-$V$5)/(D11-$D$5)</f>
        <v>9.62478052404106E-2</v>
      </c>
      <c r="AA11" s="131"/>
      <c r="AB11" s="73"/>
      <c r="AD11" s="72">
        <f>D23</f>
        <v>144.5</v>
      </c>
      <c r="AE11" s="63">
        <f>S25</f>
        <v>50.656909712646971</v>
      </c>
      <c r="AF11" s="63">
        <f>U25</f>
        <v>8.9066755877267045</v>
      </c>
      <c r="AG11" s="63">
        <f>W25</f>
        <v>56.433780545650997</v>
      </c>
      <c r="AH11" s="63">
        <f>Y25</f>
        <v>9.9471609253998619</v>
      </c>
    </row>
    <row r="12" spans="1:34" x14ac:dyDescent="0.2">
      <c r="A12" s="59"/>
      <c r="B12" s="197"/>
      <c r="C12" s="199"/>
      <c r="D12" s="201"/>
      <c r="E12" s="155" t="s">
        <v>102</v>
      </c>
      <c r="F12" s="211"/>
      <c r="G12" s="213"/>
      <c r="H12" s="62">
        <f>0.2899-F11</f>
        <v>0.24390000000000001</v>
      </c>
      <c r="I12" s="61">
        <f>0.2821-F11</f>
        <v>0.23610000000000003</v>
      </c>
      <c r="J12" s="61">
        <f>0.2152-G11</f>
        <v>0.1711</v>
      </c>
      <c r="K12" s="61">
        <f>0.2125-G11</f>
        <v>0.16839999999999999</v>
      </c>
      <c r="L12" s="61">
        <f t="shared" si="1"/>
        <v>2.2752755267423017E-2</v>
      </c>
      <c r="M12" s="61">
        <f t="shared" si="6"/>
        <v>2.1753322528363053E-2</v>
      </c>
      <c r="N12" s="61">
        <f t="shared" si="2"/>
        <v>2.2253038897893034E-2</v>
      </c>
      <c r="O12" s="61">
        <f>'Growth curves'!G11</f>
        <v>0.35799999999999998</v>
      </c>
      <c r="P12" s="61">
        <f t="shared" si="3"/>
        <v>0.44155719999999998</v>
      </c>
      <c r="Q12" s="128">
        <f t="shared" si="0"/>
        <v>4.4155719999999999E-4</v>
      </c>
      <c r="R12" s="129">
        <f t="shared" si="4"/>
        <v>25.198364898016649</v>
      </c>
      <c r="S12" s="130"/>
      <c r="T12" s="63"/>
      <c r="U12" s="63"/>
      <c r="V12" s="63">
        <f t="shared" si="5"/>
        <v>11.126519448946517</v>
      </c>
      <c r="W12" s="131"/>
      <c r="X12" s="63"/>
      <c r="Y12" s="63"/>
      <c r="Z12" s="63">
        <f>(V12-$V$6)/(D11-$D$5)</f>
        <v>8.6865630064829849E-2</v>
      </c>
      <c r="AA12" s="131"/>
      <c r="AB12" s="73"/>
      <c r="AD12" s="72">
        <f>D26</f>
        <v>168</v>
      </c>
      <c r="AE12" s="63">
        <f>S28</f>
        <v>42.585679229236113</v>
      </c>
      <c r="AF12" s="63">
        <f>U28</f>
        <v>0.84907741679773707</v>
      </c>
      <c r="AG12" s="63">
        <f>W28</f>
        <v>55.175985953538628</v>
      </c>
      <c r="AH12" s="63">
        <f>Y28</f>
        <v>2.4321525362212597</v>
      </c>
    </row>
    <row r="13" spans="1:34" x14ac:dyDescent="0.2">
      <c r="A13" s="59"/>
      <c r="B13" s="198"/>
      <c r="C13" s="200"/>
      <c r="D13" s="202"/>
      <c r="E13" s="156" t="s">
        <v>103</v>
      </c>
      <c r="F13" s="212"/>
      <c r="G13" s="214"/>
      <c r="H13" s="65">
        <f>0.2494-F11</f>
        <v>0.20340000000000003</v>
      </c>
      <c r="I13" s="66">
        <f>0.2763-F11</f>
        <v>0.2303</v>
      </c>
      <c r="J13" s="66">
        <f>0.1789-G11</f>
        <v>0.1348</v>
      </c>
      <c r="K13" s="66">
        <f>0.2-G11</f>
        <v>0.15590000000000001</v>
      </c>
      <c r="L13" s="61">
        <f t="shared" si="1"/>
        <v>1.9748136142625612E-2</v>
      </c>
      <c r="M13" s="61">
        <f t="shared" si="6"/>
        <v>2.2038978930307943E-2</v>
      </c>
      <c r="N13" s="66">
        <f t="shared" si="2"/>
        <v>2.0893557536466777E-2</v>
      </c>
      <c r="O13" s="66">
        <f>'Growth curves'!H11</f>
        <v>0.36899999999999999</v>
      </c>
      <c r="P13" s="66">
        <f t="shared" si="3"/>
        <v>0.45512459999999999</v>
      </c>
      <c r="Q13" s="67">
        <f t="shared" si="0"/>
        <v>4.5512459999999999E-4</v>
      </c>
      <c r="R13" s="68">
        <f t="shared" si="4"/>
        <v>22.953667563197833</v>
      </c>
      <c r="S13" s="69">
        <f>AVERAGE(R11:R13)</f>
        <v>24.087754437646208</v>
      </c>
      <c r="T13" s="70">
        <f>STDEV(R11:R13)</f>
        <v>1.1225328002999038</v>
      </c>
      <c r="U13" s="70">
        <f>T13/SQRT(3)</f>
        <v>0.64809461442733385</v>
      </c>
      <c r="V13" s="70">
        <f t="shared" si="5"/>
        <v>10.446778768233388</v>
      </c>
      <c r="W13" s="69">
        <f>AVERAGE(V11:V13)</f>
        <v>10.700276877363587</v>
      </c>
      <c r="X13" s="70">
        <f>STDEV(V11:V13)</f>
        <v>0.37133857224256805</v>
      </c>
      <c r="Y13" s="70">
        <f>X13/SQRT(3)</f>
        <v>0.21439242464473798</v>
      </c>
      <c r="Z13" s="70">
        <f>(V13-$V$7)/(D11-$D$5)</f>
        <v>8.3450246488384616E-2</v>
      </c>
      <c r="AA13" s="69">
        <f>AVERAGE(Z11:Z13)</f>
        <v>8.8854560597875012E-2</v>
      </c>
      <c r="AB13" s="99">
        <f>STDEV(Z11:Z13)/SQRT(3)</f>
        <v>3.8258446127118445E-3</v>
      </c>
      <c r="AD13" s="72">
        <f>D29</f>
        <v>192</v>
      </c>
      <c r="AE13" s="63">
        <f>S31</f>
        <v>45.464253552822548</v>
      </c>
      <c r="AF13" s="63">
        <f>U31</f>
        <v>1.9447609985845744</v>
      </c>
      <c r="AG13" s="63">
        <f>W31</f>
        <v>67.847177201512679</v>
      </c>
      <c r="AH13" s="63">
        <f>Y31</f>
        <v>4.4324801231395945</v>
      </c>
    </row>
    <row r="14" spans="1:34" x14ac:dyDescent="0.2">
      <c r="A14" s="59"/>
      <c r="B14" s="197" t="s">
        <v>16</v>
      </c>
      <c r="C14" s="199">
        <v>0.4513888888888889</v>
      </c>
      <c r="D14" s="201">
        <f>24+D11</f>
        <v>72</v>
      </c>
      <c r="E14" s="155" t="s">
        <v>101</v>
      </c>
      <c r="F14" s="211">
        <v>5.11E-2</v>
      </c>
      <c r="G14" s="213">
        <v>4.87E-2</v>
      </c>
      <c r="H14" s="62">
        <f>0.172-F14</f>
        <v>0.12089999999999998</v>
      </c>
      <c r="I14" s="61">
        <f>0.1966-F14</f>
        <v>0.14549999999999999</v>
      </c>
      <c r="J14" s="61">
        <f>0.1235-G14</f>
        <v>7.4800000000000005E-2</v>
      </c>
      <c r="K14" s="61">
        <f>0.1487-G14</f>
        <v>0.1</v>
      </c>
      <c r="L14" s="61">
        <f t="shared" si="1"/>
        <v>1.2260291734197728E-2</v>
      </c>
      <c r="M14" s="61">
        <f t="shared" si="6"/>
        <v>1.3776337115072932E-2</v>
      </c>
      <c r="N14" s="61">
        <f t="shared" si="2"/>
        <v>1.301831442463533E-2</v>
      </c>
      <c r="O14" s="61">
        <f>'Growth curves'!F12</f>
        <v>0.48</v>
      </c>
      <c r="P14" s="61">
        <f t="shared" si="3"/>
        <v>0.592032</v>
      </c>
      <c r="Q14" s="128">
        <f t="shared" ref="Q14:Q19" si="7">O14*0.5/1000</f>
        <v>2.3999999999999998E-4</v>
      </c>
      <c r="R14" s="129">
        <f t="shared" si="4"/>
        <v>27.121488384656939</v>
      </c>
      <c r="S14" s="131"/>
      <c r="T14" s="63"/>
      <c r="U14" s="63"/>
      <c r="V14" s="63">
        <f t="shared" si="5"/>
        <v>16.056789011345217</v>
      </c>
      <c r="W14" s="131"/>
      <c r="X14" s="63"/>
      <c r="Y14" s="63"/>
      <c r="Z14" s="63">
        <f>(V14-$V$5)/(D14-$D$5)</f>
        <v>0.14096043399963984</v>
      </c>
      <c r="AA14" s="131"/>
      <c r="AB14" s="73"/>
      <c r="AD14" s="72">
        <f>D32</f>
        <v>216</v>
      </c>
      <c r="AE14" s="63">
        <f>S34</f>
        <v>51.834624284512586</v>
      </c>
      <c r="AF14" s="61">
        <f>U34</f>
        <v>3.3020550609519153</v>
      </c>
      <c r="AG14" s="63">
        <f>W34</f>
        <v>90.269719070772567</v>
      </c>
      <c r="AH14" s="63">
        <f>Y34</f>
        <v>7.1480064790322118</v>
      </c>
    </row>
    <row r="15" spans="1:34" x14ac:dyDescent="0.2">
      <c r="A15" s="59"/>
      <c r="B15" s="197"/>
      <c r="C15" s="199"/>
      <c r="D15" s="201"/>
      <c r="E15" s="155" t="s">
        <v>102</v>
      </c>
      <c r="F15" s="211"/>
      <c r="G15" s="213"/>
      <c r="H15" s="62">
        <f>0.1654-F14</f>
        <v>0.11429999999999998</v>
      </c>
      <c r="I15" s="61">
        <f>0.1689-F14</f>
        <v>0.11779999999999999</v>
      </c>
      <c r="J15" s="61">
        <f>0.1189-G14</f>
        <v>7.0200000000000012E-2</v>
      </c>
      <c r="K15" s="61">
        <f>0.1211-G14</f>
        <v>7.2399999999999992E-2</v>
      </c>
      <c r="L15" s="61">
        <f t="shared" si="1"/>
        <v>1.1641653160453805E-2</v>
      </c>
      <c r="M15" s="61">
        <f t="shared" si="6"/>
        <v>1.199319286871961E-2</v>
      </c>
      <c r="N15" s="61">
        <f t="shared" si="2"/>
        <v>1.1817423014586707E-2</v>
      </c>
      <c r="O15" s="61">
        <f>'Growth curves'!G12</f>
        <v>0.46300000000000002</v>
      </c>
      <c r="P15" s="61">
        <f t="shared" si="3"/>
        <v>0.57106420000000002</v>
      </c>
      <c r="Q15" s="128">
        <f t="shared" si="7"/>
        <v>2.3150000000000002E-4</v>
      </c>
      <c r="R15" s="129">
        <f t="shared" si="4"/>
        <v>25.523591824161354</v>
      </c>
      <c r="S15" s="130"/>
      <c r="T15" s="63"/>
      <c r="U15" s="63"/>
      <c r="V15" s="63">
        <f t="shared" si="5"/>
        <v>14.575609546191245</v>
      </c>
      <c r="W15" s="131"/>
      <c r="X15" s="63"/>
      <c r="Y15" s="63"/>
      <c r="Z15" s="63">
        <f>(V15-$V$6)/(D14-$D$5)</f>
        <v>0.1058144491716189</v>
      </c>
      <c r="AA15" s="131"/>
      <c r="AB15" s="73"/>
      <c r="AD15" s="72">
        <f>D35</f>
        <v>240</v>
      </c>
      <c r="AE15" s="63">
        <f>S37</f>
        <v>45.462878853511597</v>
      </c>
      <c r="AF15" s="63">
        <f>U37</f>
        <v>3.8293790087109216</v>
      </c>
      <c r="AG15" s="63">
        <f>W37</f>
        <v>90.347582387898441</v>
      </c>
      <c r="AH15" s="63">
        <f>Y37</f>
        <v>9.020277391407074</v>
      </c>
    </row>
    <row r="16" spans="1:34" x14ac:dyDescent="0.2">
      <c r="A16" s="59"/>
      <c r="B16" s="198"/>
      <c r="C16" s="200"/>
      <c r="D16" s="202"/>
      <c r="E16" s="156" t="s">
        <v>103</v>
      </c>
      <c r="F16" s="212"/>
      <c r="G16" s="214"/>
      <c r="H16" s="65">
        <f>0.1633-F14</f>
        <v>0.11219999999999999</v>
      </c>
      <c r="I16" s="66">
        <f>0.1728-F14</f>
        <v>0.1217</v>
      </c>
      <c r="J16" s="66">
        <f>0.1185-G14</f>
        <v>6.9800000000000001E-2</v>
      </c>
      <c r="K16" s="66">
        <f>0.129-G14</f>
        <v>8.030000000000001E-2</v>
      </c>
      <c r="L16" s="61">
        <f t="shared" si="1"/>
        <v>1.1340518638573743E-2</v>
      </c>
      <c r="M16" s="61">
        <f t="shared" si="6"/>
        <v>1.185064829821718E-2</v>
      </c>
      <c r="N16" s="66">
        <f t="shared" si="2"/>
        <v>1.1595583468395461E-2</v>
      </c>
      <c r="O16" s="66">
        <f>'Growth curves'!H12</f>
        <v>0.51</v>
      </c>
      <c r="P16" s="66">
        <f t="shared" si="3"/>
        <v>0.62903399999999998</v>
      </c>
      <c r="Q16" s="67">
        <f t="shared" si="7"/>
        <v>2.5500000000000002E-4</v>
      </c>
      <c r="R16" s="68">
        <f t="shared" si="4"/>
        <v>22.73643817332443</v>
      </c>
      <c r="S16" s="69">
        <f>AVERAGE(R14:R16)</f>
        <v>25.127172794047578</v>
      </c>
      <c r="T16" s="70">
        <f>STDEV(R14:R16)</f>
        <v>2.2192402696765581</v>
      </c>
      <c r="U16" s="70">
        <f>T16/SQRT(3)</f>
        <v>1.2812789670942186</v>
      </c>
      <c r="V16" s="70">
        <f t="shared" si="5"/>
        <v>14.30199264991896</v>
      </c>
      <c r="W16" s="69">
        <f>AVERAGE(V14:V16)</f>
        <v>14.97813040248514</v>
      </c>
      <c r="X16" s="70">
        <f>STDEV(V14:V16)</f>
        <v>0.94411061181007039</v>
      </c>
      <c r="Y16" s="70">
        <f>X16/SQRT(3)</f>
        <v>0.54508251587332646</v>
      </c>
      <c r="Z16" s="70">
        <f>(V16-$V$7)/(D14-$D$5)</f>
        <v>0.10917813490455602</v>
      </c>
      <c r="AA16" s="69">
        <f>AVERAGE(Z14:Z16)</f>
        <v>0.11865100602527158</v>
      </c>
      <c r="AB16" s="99">
        <f>STDEV(Z14:Z16)/SQRT(3)</f>
        <v>1.1196897305878016E-2</v>
      </c>
      <c r="AD16" s="72">
        <f>D38</f>
        <v>265</v>
      </c>
      <c r="AE16" s="63">
        <f>S40</f>
        <v>51.827363952276244</v>
      </c>
      <c r="AF16" s="63">
        <f>U40</f>
        <v>4.3410942829360053</v>
      </c>
      <c r="AG16" s="63">
        <f>W40</f>
        <v>111.4234197730956</v>
      </c>
      <c r="AH16" s="63">
        <f>Y40</f>
        <v>14.327884579654048</v>
      </c>
    </row>
    <row r="17" spans="1:34" x14ac:dyDescent="0.2">
      <c r="A17" s="59"/>
      <c r="B17" s="197" t="s">
        <v>17</v>
      </c>
      <c r="C17" s="199">
        <v>0.47916666666666669</v>
      </c>
      <c r="D17" s="215">
        <f>24.5+D14</f>
        <v>96.5</v>
      </c>
      <c r="E17" s="155" t="s">
        <v>101</v>
      </c>
      <c r="F17" s="211">
        <v>4.9000000000000002E-2</v>
      </c>
      <c r="G17" s="213">
        <v>4.6600000000000003E-2</v>
      </c>
      <c r="H17" s="62">
        <f>0.3914-F17</f>
        <v>0.34240000000000004</v>
      </c>
      <c r="I17" s="61">
        <f>0.3874-F17</f>
        <v>0.33840000000000003</v>
      </c>
      <c r="J17" s="61">
        <f>0.3093-G17</f>
        <v>0.26270000000000004</v>
      </c>
      <c r="K17" s="61">
        <f>0.3005-G17</f>
        <v>0.25390000000000001</v>
      </c>
      <c r="L17" s="61">
        <f t="shared" si="1"/>
        <v>2.9735251215559158E-2</v>
      </c>
      <c r="M17" s="61">
        <f t="shared" si="6"/>
        <v>2.994983792544571E-2</v>
      </c>
      <c r="N17" s="61">
        <f t="shared" si="2"/>
        <v>2.9842544570502436E-2</v>
      </c>
      <c r="O17" s="48">
        <f>'Growth curves'!F13</f>
        <v>0.61499999999999999</v>
      </c>
      <c r="P17" s="61">
        <f t="shared" si="3"/>
        <v>0.75854100000000002</v>
      </c>
      <c r="Q17" s="128">
        <f t="shared" si="7"/>
        <v>3.0749999999999999E-4</v>
      </c>
      <c r="R17" s="129">
        <f t="shared" si="4"/>
        <v>48.524462716264125</v>
      </c>
      <c r="S17" s="130"/>
      <c r="V17" s="63">
        <f t="shared" si="5"/>
        <v>36.807794473257708</v>
      </c>
      <c r="W17" s="131"/>
      <c r="X17" s="63"/>
      <c r="Y17" s="63"/>
      <c r="Z17" s="63">
        <f>(V17-$V$5)/(D17-$D$5)</f>
        <v>0.32020887782265867</v>
      </c>
      <c r="AA17" s="131"/>
      <c r="AB17" s="73"/>
      <c r="AD17" s="72">
        <f>D41</f>
        <v>287.5</v>
      </c>
      <c r="AE17" s="63">
        <f>S43</f>
        <v>47.726162431574721</v>
      </c>
      <c r="AF17" s="63">
        <f>U43</f>
        <v>3.4310787913404028</v>
      </c>
      <c r="AG17" s="63">
        <f>W43</f>
        <v>106.6044030253917</v>
      </c>
      <c r="AH17" s="63">
        <f>Y43</f>
        <v>9.3274534524425228</v>
      </c>
    </row>
    <row r="18" spans="1:34" ht="15" customHeight="1" x14ac:dyDescent="0.2">
      <c r="A18" s="59"/>
      <c r="B18" s="197"/>
      <c r="C18" s="199"/>
      <c r="D18" s="215"/>
      <c r="E18" s="155" t="s">
        <v>102</v>
      </c>
      <c r="F18" s="211"/>
      <c r="G18" s="213"/>
      <c r="H18" s="62">
        <f>0.3008-F17</f>
        <v>0.25180000000000002</v>
      </c>
      <c r="I18" s="61">
        <f>0.3161-F17</f>
        <v>0.2671</v>
      </c>
      <c r="J18" s="61">
        <f>0.2222-G17</f>
        <v>0.17560000000000001</v>
      </c>
      <c r="K18" s="61">
        <f>0.2319-G17</f>
        <v>0.18529999999999999</v>
      </c>
      <c r="L18" s="61">
        <f t="shared" si="1"/>
        <v>2.3591896272285254E-2</v>
      </c>
      <c r="M18" s="61">
        <f t="shared" si="6"/>
        <v>2.5120502431118314E-2</v>
      </c>
      <c r="N18" s="61">
        <f t="shared" si="2"/>
        <v>2.4356199351701784E-2</v>
      </c>
      <c r="O18" s="48">
        <f>'Growth curves'!G13</f>
        <v>0.61499999999999999</v>
      </c>
      <c r="P18" s="61">
        <f t="shared" si="3"/>
        <v>0.75854100000000002</v>
      </c>
      <c r="Q18" s="128">
        <f t="shared" si="7"/>
        <v>3.0749999999999999E-4</v>
      </c>
      <c r="R18" s="129">
        <f t="shared" si="4"/>
        <v>39.603576181628917</v>
      </c>
      <c r="S18" s="130"/>
      <c r="V18" s="63">
        <f t="shared" si="5"/>
        <v>30.04093628038898</v>
      </c>
      <c r="W18" s="131"/>
      <c r="X18" s="63"/>
      <c r="Y18" s="63"/>
      <c r="Z18" s="63">
        <f>(V18-$V$6)/(D17-$D$5)</f>
        <v>0.23921209403683208</v>
      </c>
      <c r="AA18" s="131"/>
      <c r="AB18" s="73"/>
      <c r="AD18" s="72">
        <f>D44</f>
        <v>337</v>
      </c>
      <c r="AE18" s="63">
        <f>S46</f>
        <v>51.080662751377048</v>
      </c>
      <c r="AF18" s="63">
        <f>U46</f>
        <v>0.19600379860195918</v>
      </c>
      <c r="AG18" s="63">
        <f>W46</f>
        <v>133.47440572663425</v>
      </c>
      <c r="AH18" s="63">
        <f>Y46</f>
        <v>4.9881874751911823</v>
      </c>
    </row>
    <row r="19" spans="1:34" ht="15" customHeight="1" x14ac:dyDescent="0.2">
      <c r="A19" s="59"/>
      <c r="B19" s="198"/>
      <c r="C19" s="200"/>
      <c r="D19" s="216"/>
      <c r="E19" s="156" t="s">
        <v>103</v>
      </c>
      <c r="F19" s="212"/>
      <c r="G19" s="214"/>
      <c r="H19" s="65">
        <f>0.3197-F17</f>
        <v>0.2707</v>
      </c>
      <c r="I19" s="66">
        <f>0.3386-F17</f>
        <v>0.28960000000000002</v>
      </c>
      <c r="J19" s="66">
        <f>0.2198-G17</f>
        <v>0.17319999999999999</v>
      </c>
      <c r="K19" s="66">
        <f>0.2302-G17</f>
        <v>0.18359999999999999</v>
      </c>
      <c r="L19" s="61">
        <f t="shared" si="1"/>
        <v>2.6890437601296599E-2</v>
      </c>
      <c r="M19" s="61">
        <f t="shared" si="6"/>
        <v>2.8933873581847656E-2</v>
      </c>
      <c r="N19" s="66">
        <f t="shared" si="2"/>
        <v>2.7912155591572126E-2</v>
      </c>
      <c r="O19" s="64">
        <f>'Growth curves'!H13</f>
        <v>0.61599999999999999</v>
      </c>
      <c r="P19" s="66">
        <f t="shared" si="3"/>
        <v>0.75977440000000007</v>
      </c>
      <c r="Q19" s="67">
        <f t="shared" si="7"/>
        <v>3.0800000000000001E-4</v>
      </c>
      <c r="R19" s="68">
        <f t="shared" si="4"/>
        <v>45.311940895409293</v>
      </c>
      <c r="S19" s="69">
        <f>AVERAGE(R17:R19)</f>
        <v>44.479993264434114</v>
      </c>
      <c r="T19" s="70">
        <f>STDEV(R17:R19)</f>
        <v>4.5182581584580639</v>
      </c>
      <c r="U19" s="70">
        <f>T19/SQRT(3)</f>
        <v>2.6086175640539859</v>
      </c>
      <c r="V19" s="70">
        <f t="shared" si="5"/>
        <v>34.426852706645064</v>
      </c>
      <c r="W19" s="69">
        <f>AVERAGE(V17:V19)</f>
        <v>33.75852782009725</v>
      </c>
      <c r="X19" s="70">
        <f>STDEV(V17:V19)</f>
        <v>3.432577175546534</v>
      </c>
      <c r="Y19" s="70">
        <f>X19/SQRT(3)</f>
        <v>1.9817993563159568</v>
      </c>
      <c r="Z19" s="70">
        <f>(V19-$V$7)/(D17-$D$5)</f>
        <v>0.29000710642335892</v>
      </c>
      <c r="AA19" s="69">
        <f>AVERAGE(Z17:Z19)</f>
        <v>0.28314269276094989</v>
      </c>
      <c r="AB19" s="99">
        <f>STDEV(Z17:Z19)/SQRT(3)</f>
        <v>2.3632321631672875E-2</v>
      </c>
      <c r="AD19" s="72">
        <f>D47</f>
        <v>360</v>
      </c>
      <c r="AE19" s="63">
        <f>S49</f>
        <v>56.164588361379458</v>
      </c>
      <c r="AF19" s="63">
        <f>U49</f>
        <v>4.3708465338660396</v>
      </c>
      <c r="AG19" s="63">
        <f>W49</f>
        <v>155.71988114532687</v>
      </c>
      <c r="AH19" s="63">
        <f>Y49</f>
        <v>17.277671714238085</v>
      </c>
    </row>
    <row r="20" spans="1:34" x14ac:dyDescent="0.2">
      <c r="A20" s="59"/>
      <c r="B20" s="197" t="s">
        <v>18</v>
      </c>
      <c r="C20" s="199">
        <v>0.47916666666666669</v>
      </c>
      <c r="D20" s="215">
        <f>24+D17</f>
        <v>120.5</v>
      </c>
      <c r="E20" s="155" t="s">
        <v>101</v>
      </c>
      <c r="F20" s="211">
        <v>4.9799999999999997E-2</v>
      </c>
      <c r="G20" s="213">
        <v>4.7399999999999998E-2</v>
      </c>
      <c r="H20" s="62">
        <f>0.3069-F20</f>
        <v>0.2571</v>
      </c>
      <c r="I20" s="61">
        <f>0.2534-F20</f>
        <v>0.2036</v>
      </c>
      <c r="J20" s="61">
        <f>0.2269-G20</f>
        <v>0.17949999999999999</v>
      </c>
      <c r="K20" s="61">
        <f>0.1752-G20</f>
        <v>0.1278</v>
      </c>
      <c r="L20" s="61">
        <f t="shared" si="1"/>
        <v>2.4068476499189629E-2</v>
      </c>
      <c r="M20" s="61">
        <f t="shared" si="6"/>
        <v>2.0466936790923825E-2</v>
      </c>
      <c r="N20" s="61">
        <f t="shared" si="2"/>
        <v>2.2267706645056728E-2</v>
      </c>
      <c r="O20" s="48">
        <f>'Growth curves'!F14</f>
        <v>0.75600000000000001</v>
      </c>
      <c r="P20" s="61">
        <f t="shared" si="3"/>
        <v>0.93245040000000001</v>
      </c>
      <c r="Q20" s="128">
        <f t="shared" ref="Q20:Q25" si="8">O20*0.25/1000</f>
        <v>1.8900000000000001E-4</v>
      </c>
      <c r="R20" s="129">
        <f t="shared" si="4"/>
        <v>58.90927683877441</v>
      </c>
      <c r="S20" s="130"/>
      <c r="V20" s="63">
        <f t="shared" si="5"/>
        <v>54.929978752025931</v>
      </c>
      <c r="W20" s="131"/>
      <c r="X20" s="63"/>
      <c r="Y20" s="63"/>
      <c r="Z20" s="63">
        <f>(V20-$V$5)/(D20-$D$5)</f>
        <v>0.40682440654485297</v>
      </c>
      <c r="AA20" s="131"/>
      <c r="AB20" s="73"/>
      <c r="AD20" s="72">
        <f>D50</f>
        <v>384.5</v>
      </c>
      <c r="AE20" s="63">
        <f>S52</f>
        <v>51.132682253150428</v>
      </c>
      <c r="AF20" s="63">
        <f>U52</f>
        <v>1.7867612911982582</v>
      </c>
      <c r="AG20" s="63">
        <f>W52</f>
        <v>152.53957320367374</v>
      </c>
      <c r="AH20" s="63">
        <f>Y52</f>
        <v>10.063804516174557</v>
      </c>
    </row>
    <row r="21" spans="1:34" x14ac:dyDescent="0.2">
      <c r="A21" s="59"/>
      <c r="B21" s="197"/>
      <c r="C21" s="199"/>
      <c r="D21" s="215"/>
      <c r="E21" s="155" t="s">
        <v>102</v>
      </c>
      <c r="F21" s="211"/>
      <c r="G21" s="213"/>
      <c r="H21" s="62">
        <f>0.1728-F20</f>
        <v>0.12300000000000001</v>
      </c>
      <c r="I21" s="61">
        <f>0.1843-F20</f>
        <v>0.13450000000000001</v>
      </c>
      <c r="J21" s="61">
        <f>0.1266-G20</f>
        <v>7.9199999999999993E-2</v>
      </c>
      <c r="K21" s="61">
        <f>0.1379-G20</f>
        <v>9.0499999999999997E-2</v>
      </c>
      <c r="L21" s="61">
        <f t="shared" si="1"/>
        <v>1.2169205834683956E-2</v>
      </c>
      <c r="M21" s="61">
        <f t="shared" si="6"/>
        <v>1.2925040518638575E-2</v>
      </c>
      <c r="N21" s="61">
        <f t="shared" si="2"/>
        <v>1.2547123176661266E-2</v>
      </c>
      <c r="O21" s="48">
        <f>'Growth curves'!G14</f>
        <v>0.72099999999999997</v>
      </c>
      <c r="P21" s="61">
        <f t="shared" si="3"/>
        <v>0.8892814</v>
      </c>
      <c r="Q21" s="128">
        <f t="shared" si="8"/>
        <v>1.8024999999999999E-4</v>
      </c>
      <c r="R21" s="129">
        <f t="shared" si="4"/>
        <v>34.804779962999355</v>
      </c>
      <c r="S21" s="130"/>
      <c r="V21" s="63">
        <f t="shared" si="5"/>
        <v>30.951243452188013</v>
      </c>
      <c r="W21" s="131"/>
      <c r="X21" s="63"/>
      <c r="Y21" s="63"/>
      <c r="Z21" s="63">
        <f>(V21-$V$6)/(D20-$D$5)</f>
        <v>0.1991226078535546</v>
      </c>
      <c r="AA21" s="131"/>
      <c r="AB21" s="73"/>
      <c r="AD21" s="72">
        <f>D53</f>
        <v>408</v>
      </c>
      <c r="AE21" s="63">
        <f>S55</f>
        <v>38.049004081487645</v>
      </c>
      <c r="AF21" s="63">
        <f>U55</f>
        <v>5.0505781103174412</v>
      </c>
      <c r="AG21" s="63">
        <f>W55</f>
        <v>118.01715289032954</v>
      </c>
      <c r="AH21" s="63">
        <f>Y55</f>
        <v>11.06100351841919</v>
      </c>
    </row>
    <row r="22" spans="1:34" x14ac:dyDescent="0.2">
      <c r="A22" s="59"/>
      <c r="B22" s="198"/>
      <c r="C22" s="200"/>
      <c r="D22" s="216"/>
      <c r="E22" s="156" t="s">
        <v>103</v>
      </c>
      <c r="F22" s="212"/>
      <c r="G22" s="214"/>
      <c r="H22" s="65">
        <f>0.2574-F20</f>
        <v>0.20760000000000001</v>
      </c>
      <c r="I22" s="66">
        <f>0.2748-F20</f>
        <v>0.22499999999999998</v>
      </c>
      <c r="J22" s="66">
        <f>0.1807-G20</f>
        <v>0.1333</v>
      </c>
      <c r="K22" s="66">
        <f>0.198-G20</f>
        <v>0.15060000000000001</v>
      </c>
      <c r="L22" s="61">
        <f t="shared" si="1"/>
        <v>2.0575931928687195E-2</v>
      </c>
      <c r="M22" s="61">
        <f t="shared" si="6"/>
        <v>2.1699675850891408E-2</v>
      </c>
      <c r="N22" s="66">
        <f t="shared" si="2"/>
        <v>2.1137803889789301E-2</v>
      </c>
      <c r="O22" s="64">
        <f>'Growth curves'!H14</f>
        <v>0.74199999999999999</v>
      </c>
      <c r="P22" s="66">
        <f t="shared" si="3"/>
        <v>0.91518280000000007</v>
      </c>
      <c r="Q22" s="67">
        <f t="shared" si="8"/>
        <v>1.8550000000000001E-4</v>
      </c>
      <c r="R22" s="68">
        <f t="shared" si="4"/>
        <v>56.975212640941507</v>
      </c>
      <c r="S22" s="69">
        <f>AVERAGE(R20:R22)</f>
        <v>50.229756480905088</v>
      </c>
      <c r="T22" s="70">
        <f>STDEV(R20:R22)</f>
        <v>13.393378084478636</v>
      </c>
      <c r="U22" s="70">
        <f>T22/SQRT(3)</f>
        <v>7.7326704424321751</v>
      </c>
      <c r="V22" s="70">
        <f t="shared" si="5"/>
        <v>52.142734635332246</v>
      </c>
      <c r="W22" s="69">
        <f>AVERAGE(V20:V22)</f>
        <v>46.007985613182065</v>
      </c>
      <c r="X22" s="70">
        <f>STDEV(V20:V22)</f>
        <v>13.113782666282917</v>
      </c>
      <c r="Y22" s="70">
        <f>X22/SQRT(3)</f>
        <v>7.5712459524726912</v>
      </c>
      <c r="Z22" s="70">
        <f>(V22-$V$7)/(D20-$D$5)</f>
        <v>0.37926612197959603</v>
      </c>
      <c r="AA22" s="69">
        <f>AVERAGE(Z20:Z22)</f>
        <v>0.32840437879266787</v>
      </c>
      <c r="AB22" s="99">
        <f>STDEV(Z20:Z22)/SQRT(3)</f>
        <v>6.5128583036200852E-2</v>
      </c>
      <c r="AD22" s="72">
        <f>D56</f>
        <v>433.5</v>
      </c>
      <c r="AE22" s="63">
        <f>S58</f>
        <v>46.340674209487332</v>
      </c>
      <c r="AF22" s="63">
        <f>U58</f>
        <v>2.9670148945245005</v>
      </c>
      <c r="AG22" s="63">
        <f>W58</f>
        <v>149.68976229065368</v>
      </c>
      <c r="AH22" s="63">
        <f>Y58</f>
        <v>13.617824531967905</v>
      </c>
    </row>
    <row r="23" spans="1:34" x14ac:dyDescent="0.2">
      <c r="A23" s="59"/>
      <c r="B23" s="197" t="s">
        <v>19</v>
      </c>
      <c r="C23" s="199">
        <v>0.47916666666666669</v>
      </c>
      <c r="D23" s="215">
        <f>24+D20</f>
        <v>144.5</v>
      </c>
      <c r="E23" s="155" t="s">
        <v>101</v>
      </c>
      <c r="F23" s="211">
        <f>0.0558</f>
        <v>5.5800000000000002E-2</v>
      </c>
      <c r="G23" s="213">
        <v>5.4800000000000001E-2</v>
      </c>
      <c r="H23" s="62">
        <f>0.3031-F23</f>
        <v>0.24729999999999996</v>
      </c>
      <c r="I23" s="61">
        <f>0.2932-F23</f>
        <v>0.2374</v>
      </c>
      <c r="J23" s="61">
        <f>0.2294-G23</f>
        <v>0.17459999999999998</v>
      </c>
      <c r="K23" s="61">
        <f>0.2208-G23</f>
        <v>0.16599999999999998</v>
      </c>
      <c r="L23" s="61">
        <f t="shared" si="1"/>
        <v>2.2960615883306321E-2</v>
      </c>
      <c r="M23" s="61">
        <f t="shared" si="6"/>
        <v>2.2199351701782822E-2</v>
      </c>
      <c r="N23" s="61">
        <f t="shared" si="2"/>
        <v>2.257998379254457E-2</v>
      </c>
      <c r="O23" s="61">
        <f>'Growth curves'!F15</f>
        <v>0.94699999999999995</v>
      </c>
      <c r="P23" s="61">
        <f t="shared" si="3"/>
        <v>1.1680298</v>
      </c>
      <c r="Q23" s="128">
        <f t="shared" si="8"/>
        <v>2.3674999999999998E-4</v>
      </c>
      <c r="R23" s="129">
        <f t="shared" si="4"/>
        <v>47.687399773061394</v>
      </c>
      <c r="S23" s="130"/>
      <c r="V23" s="63">
        <f t="shared" si="5"/>
        <v>55.700304019448943</v>
      </c>
      <c r="W23" s="131"/>
      <c r="X23" s="63"/>
      <c r="Y23" s="63"/>
      <c r="Z23" s="63">
        <f>(V23-$V$5)/(D23-$D$5)</f>
        <v>0.34458592564759721</v>
      </c>
      <c r="AA23" s="131"/>
      <c r="AB23" s="73"/>
      <c r="AD23" s="72">
        <f>D59</f>
        <v>458</v>
      </c>
      <c r="AE23" s="63">
        <f>S61</f>
        <v>59.619831940413228</v>
      </c>
      <c r="AF23" s="63">
        <f>U61</f>
        <v>2.1954551529876016</v>
      </c>
      <c r="AG23" s="63">
        <f>W61</f>
        <v>199.03363047001622</v>
      </c>
      <c r="AH23" s="63">
        <f>Y61</f>
        <v>15.355081012590192</v>
      </c>
    </row>
    <row r="24" spans="1:34" x14ac:dyDescent="0.2">
      <c r="A24" s="59"/>
      <c r="B24" s="197"/>
      <c r="C24" s="199"/>
      <c r="D24" s="215"/>
      <c r="E24" s="155" t="s">
        <v>102</v>
      </c>
      <c r="F24" s="211"/>
      <c r="G24" s="213"/>
      <c r="H24" s="62">
        <f>0.2211-F23</f>
        <v>0.1653</v>
      </c>
      <c r="I24" s="61">
        <f>0.2322-F23</f>
        <v>0.1764</v>
      </c>
      <c r="J24" s="61">
        <f>0.1683-G23</f>
        <v>0.1135</v>
      </c>
      <c r="K24" s="61">
        <f>0.1788-G23</f>
        <v>0.12399999999999999</v>
      </c>
      <c r="L24" s="61">
        <f t="shared" si="1"/>
        <v>1.5661669367909237E-2</v>
      </c>
      <c r="M24" s="61">
        <f t="shared" si="6"/>
        <v>1.6431118314424637E-2</v>
      </c>
      <c r="N24" s="61">
        <f t="shared" si="2"/>
        <v>1.6046393841166937E-2</v>
      </c>
      <c r="O24" s="61">
        <f>'Growth curves'!G15</f>
        <v>0.86899999999999999</v>
      </c>
      <c r="P24" s="61">
        <f t="shared" si="3"/>
        <v>1.0718246</v>
      </c>
      <c r="Q24" s="128">
        <f t="shared" si="8"/>
        <v>2.1725E-4</v>
      </c>
      <c r="R24" s="129">
        <f t="shared" si="4"/>
        <v>36.93071079670181</v>
      </c>
      <c r="S24" s="130"/>
      <c r="V24" s="63">
        <f t="shared" si="5"/>
        <v>39.583244327390602</v>
      </c>
      <c r="W24" s="131"/>
      <c r="X24" s="63"/>
      <c r="Y24" s="63"/>
      <c r="Z24" s="63">
        <f>(V24-$V$6)/(D23-$D$5)</f>
        <v>0.22578737108343197</v>
      </c>
      <c r="AA24" s="131"/>
      <c r="AB24" s="73"/>
    </row>
    <row r="25" spans="1:34" x14ac:dyDescent="0.2">
      <c r="A25" s="59"/>
      <c r="B25" s="198"/>
      <c r="C25" s="200"/>
      <c r="D25" s="216"/>
      <c r="E25" s="156" t="s">
        <v>103</v>
      </c>
      <c r="F25" s="212"/>
      <c r="G25" s="214"/>
      <c r="H25" s="65">
        <f>0.3429-F23</f>
        <v>0.28709999999999997</v>
      </c>
      <c r="I25" s="66">
        <f>0.346-F23</f>
        <v>0.29019999999999996</v>
      </c>
      <c r="J25" s="66">
        <f>0.2246-G23</f>
        <v>0.16980000000000001</v>
      </c>
      <c r="K25" s="66">
        <f>0.2272-G23</f>
        <v>0.1724</v>
      </c>
      <c r="L25" s="61">
        <f t="shared" si="1"/>
        <v>2.9881847649918955E-2</v>
      </c>
      <c r="M25" s="61">
        <f t="shared" si="6"/>
        <v>3.0129335494327385E-2</v>
      </c>
      <c r="N25" s="66">
        <f t="shared" si="2"/>
        <v>3.000559157212317E-2</v>
      </c>
      <c r="O25" s="66">
        <f>'Growth curves'!H15</f>
        <v>0.89100000000000001</v>
      </c>
      <c r="P25" s="66">
        <f t="shared" si="3"/>
        <v>1.0989594</v>
      </c>
      <c r="Q25" s="67">
        <f t="shared" si="8"/>
        <v>2.2274999999999999E-4</v>
      </c>
      <c r="R25" s="68">
        <f t="shared" si="4"/>
        <v>67.352618568177718</v>
      </c>
      <c r="S25" s="69">
        <f>AVERAGE(R23:R25)</f>
        <v>50.656909712646971</v>
      </c>
      <c r="T25" s="70">
        <f>STDEV(R23:R25)</f>
        <v>15.426814644476043</v>
      </c>
      <c r="U25" s="70">
        <f>T25/SQRT(3)</f>
        <v>8.9066755877267045</v>
      </c>
      <c r="V25" s="70">
        <f t="shared" si="5"/>
        <v>74.017793290113445</v>
      </c>
      <c r="W25" s="69">
        <f>AVERAGE(V23:V25)</f>
        <v>56.433780545650997</v>
      </c>
      <c r="X25" s="70">
        <f>STDEV(V23:V25)</f>
        <v>17.22898811385641</v>
      </c>
      <c r="Y25" s="70">
        <f>X25/SQRT(3)</f>
        <v>9.9471609253998619</v>
      </c>
      <c r="Z25" s="70">
        <f>(V25-$V$7)/(D23-$D$5)</f>
        <v>0.46765831386382367</v>
      </c>
      <c r="AA25" s="69">
        <f>AVERAGE(Z23:Z25)</f>
        <v>0.34601053686495092</v>
      </c>
      <c r="AB25" s="99">
        <f>STDEV(Z23:Z25)/SQRT(3)</f>
        <v>6.9825760237439943E-2</v>
      </c>
    </row>
    <row r="26" spans="1:34" x14ac:dyDescent="0.2">
      <c r="A26" s="59"/>
      <c r="B26" s="197" t="s">
        <v>20</v>
      </c>
      <c r="C26" s="199">
        <v>0.45833333333333331</v>
      </c>
      <c r="D26" s="215">
        <f>23.5+D23</f>
        <v>168</v>
      </c>
      <c r="E26" s="155" t="s">
        <v>101</v>
      </c>
      <c r="F26" s="211">
        <v>5.4199999999999998E-2</v>
      </c>
      <c r="G26" s="213">
        <v>5.2900000000000003E-2</v>
      </c>
      <c r="H26" s="62">
        <f>0.1816-F26</f>
        <v>0.12740000000000001</v>
      </c>
      <c r="I26" s="61">
        <f>0.1876-F26</f>
        <v>0.13339999999999999</v>
      </c>
      <c r="J26" s="61">
        <f>0.1464-G26</f>
        <v>9.35E-2</v>
      </c>
      <c r="K26" s="61">
        <f>0.1519-G26</f>
        <v>9.9000000000000005E-2</v>
      </c>
      <c r="L26" s="61">
        <f t="shared" si="1"/>
        <v>1.1480145867098869E-2</v>
      </c>
      <c r="M26" s="61">
        <f t="shared" si="6"/>
        <v>1.1913290113452187E-2</v>
      </c>
      <c r="N26" s="61">
        <f t="shared" si="2"/>
        <v>1.1696717990275527E-2</v>
      </c>
      <c r="O26" s="48">
        <f>'Growth curves'!F16</f>
        <v>1.073</v>
      </c>
      <c r="P26" s="61">
        <f t="shared" si="3"/>
        <v>1.3234382</v>
      </c>
      <c r="Q26" s="128">
        <f>P26*0.1/1000</f>
        <v>1.3234381999999999E-4</v>
      </c>
      <c r="R26" s="129">
        <f t="shared" si="4"/>
        <v>44.190646719565478</v>
      </c>
      <c r="S26" s="130"/>
      <c r="V26" s="63">
        <f t="shared" si="5"/>
        <v>58.483589951377645</v>
      </c>
      <c r="W26" s="131"/>
      <c r="X26" s="63"/>
      <c r="Y26" s="63"/>
      <c r="Z26" s="63">
        <f>(V26-$V$5)/(D26-$D$5)</f>
        <v>0.31295209635718152</v>
      </c>
      <c r="AA26" s="131"/>
      <c r="AB26" s="73"/>
    </row>
    <row r="27" spans="1:34" x14ac:dyDescent="0.2">
      <c r="A27" s="59"/>
      <c r="B27" s="197"/>
      <c r="C27" s="199"/>
      <c r="D27" s="215"/>
      <c r="E27" s="155" t="s">
        <v>102</v>
      </c>
      <c r="F27" s="211"/>
      <c r="G27" s="213"/>
      <c r="H27" s="62">
        <f>0.167-F26</f>
        <v>0.11280000000000001</v>
      </c>
      <c r="I27" s="61">
        <f>0.1591-F26</f>
        <v>0.10489999999999999</v>
      </c>
      <c r="J27" s="61">
        <f>0.1343-G26</f>
        <v>8.14E-2</v>
      </c>
      <c r="K27" s="61">
        <f>0.1256-G26</f>
        <v>7.2699999999999987E-2</v>
      </c>
      <c r="L27" s="61">
        <f t="shared" si="1"/>
        <v>1.0300324149108591E-2</v>
      </c>
      <c r="M27" s="61">
        <f t="shared" si="6"/>
        <v>9.8730145867098867E-3</v>
      </c>
      <c r="N27" s="61">
        <f t="shared" si="2"/>
        <v>1.0086669367909239E-2</v>
      </c>
      <c r="O27" s="48">
        <f>'Growth curves'!G16</f>
        <v>0.99</v>
      </c>
      <c r="P27" s="61">
        <f t="shared" si="3"/>
        <v>1.221066</v>
      </c>
      <c r="Q27" s="128">
        <f>P27*0.1/1000</f>
        <v>1.2210660000000001E-4</v>
      </c>
      <c r="R27" s="129">
        <f t="shared" si="4"/>
        <v>41.302719787092748</v>
      </c>
      <c r="S27" s="130"/>
      <c r="V27" s="63">
        <f t="shared" si="5"/>
        <v>50.433346839546196</v>
      </c>
      <c r="W27" s="131"/>
      <c r="X27" s="63"/>
      <c r="Y27" s="63"/>
      <c r="Z27" s="63">
        <f>(V27-$V$6)/(D26-$D$5)</f>
        <v>0.25878796210542571</v>
      </c>
      <c r="AA27" s="131"/>
      <c r="AB27" s="73"/>
    </row>
    <row r="28" spans="1:34" x14ac:dyDescent="0.2">
      <c r="A28" s="59"/>
      <c r="B28" s="198"/>
      <c r="C28" s="200"/>
      <c r="D28" s="216"/>
      <c r="E28" s="156" t="s">
        <v>103</v>
      </c>
      <c r="F28" s="212"/>
      <c r="G28" s="214"/>
      <c r="H28" s="65">
        <f>0.1661-F26</f>
        <v>0.1119</v>
      </c>
      <c r="I28" s="66">
        <f>0.1672-F26</f>
        <v>0.11299999999999999</v>
      </c>
      <c r="J28" s="66">
        <f>0.1232-G26</f>
        <v>7.0300000000000001E-2</v>
      </c>
      <c r="K28" s="66">
        <f>0.1234-G26</f>
        <v>7.0499999999999993E-2</v>
      </c>
      <c r="L28" s="61">
        <f>(H28-(0.605*J28))/6.17</f>
        <v>1.1242868719611021E-2</v>
      </c>
      <c r="M28" s="61">
        <f t="shared" si="6"/>
        <v>1.1401539708265801E-2</v>
      </c>
      <c r="N28" s="66">
        <f t="shared" si="2"/>
        <v>1.1322204213938411E-2</v>
      </c>
      <c r="O28" s="64">
        <f>'Growth curves'!H16</f>
        <v>1.0860000000000001</v>
      </c>
      <c r="P28" s="66">
        <f t="shared" si="3"/>
        <v>1.3394724000000002</v>
      </c>
      <c r="Q28" s="67">
        <f>P28*0.1/1000</f>
        <v>1.3394724000000003E-4</v>
      </c>
      <c r="R28" s="68">
        <f t="shared" si="4"/>
        <v>42.263671181050121</v>
      </c>
      <c r="S28" s="69">
        <f>AVERAGE(R26:R28)</f>
        <v>42.585679229236113</v>
      </c>
      <c r="T28" s="70">
        <f>STDEV(R26:R28)</f>
        <v>1.4706452254530167</v>
      </c>
      <c r="U28" s="70">
        <f>T28/SQRT(3)</f>
        <v>0.84907741679773707</v>
      </c>
      <c r="V28" s="70">
        <f t="shared" si="5"/>
        <v>56.61102106969205</v>
      </c>
      <c r="W28" s="69">
        <f>AVERAGE(V26:V28)</f>
        <v>55.175985953538628</v>
      </c>
      <c r="X28" s="70">
        <f>STDEV(V26:V28)</f>
        <v>4.2126117644927259</v>
      </c>
      <c r="Y28" s="70">
        <f>X28/SQRT(3)</f>
        <v>2.4321525362212597</v>
      </c>
      <c r="Z28" s="70">
        <f>(V28-$V$7)/(D26-$D$5)</f>
        <v>0.29863008412441144</v>
      </c>
      <c r="AA28" s="69">
        <f>AVERAGE(Z26:Z28)</f>
        <v>0.29012338086233957</v>
      </c>
      <c r="AB28" s="99">
        <f>STDEV(Z26:Z28)/SQRT(3)</f>
        <v>1.6204025838273087E-2</v>
      </c>
    </row>
    <row r="29" spans="1:34" x14ac:dyDescent="0.2">
      <c r="A29" s="59"/>
      <c r="B29" s="197" t="s">
        <v>21</v>
      </c>
      <c r="C29" s="199">
        <v>0.45833333333333331</v>
      </c>
      <c r="D29" s="217">
        <f>24+D26</f>
        <v>192</v>
      </c>
      <c r="E29" s="155" t="s">
        <v>101</v>
      </c>
      <c r="F29" s="211">
        <f>(0.0552+0.0495+0.0529)/3</f>
        <v>5.2533333333333342E-2</v>
      </c>
      <c r="G29" s="213">
        <f>(0.0528+0.0478+0.051)/3</f>
        <v>5.0533333333333326E-2</v>
      </c>
      <c r="H29" s="62"/>
      <c r="I29" s="61">
        <f>0.1894-F29</f>
        <v>0.13686666666666666</v>
      </c>
      <c r="J29" s="61"/>
      <c r="K29" s="61">
        <f>0.1341-G29</f>
        <v>8.3566666666666678E-2</v>
      </c>
      <c r="L29" s="61"/>
      <c r="M29" s="61">
        <f t="shared" si="6"/>
        <v>1.3988465694219342E-2</v>
      </c>
      <c r="N29" s="61">
        <f t="shared" si="2"/>
        <v>1.3988465694219342E-2</v>
      </c>
      <c r="O29" s="48">
        <f>'Growth curves'!F17</f>
        <v>1.2450000000000001</v>
      </c>
      <c r="P29" s="61">
        <f t="shared" si="3"/>
        <v>1.5355830000000001</v>
      </c>
      <c r="Q29" s="128">
        <f t="shared" ref="Q29:Q40" si="9">P29*0.1/1000</f>
        <v>1.5355830000000003E-4</v>
      </c>
      <c r="R29" s="129">
        <f t="shared" si="4"/>
        <v>45.547735596901433</v>
      </c>
      <c r="S29" s="130"/>
      <c r="V29" s="63">
        <f t="shared" si="5"/>
        <v>69.942328471096701</v>
      </c>
      <c r="W29" s="131"/>
      <c r="X29" s="63"/>
      <c r="Y29" s="63"/>
      <c r="Z29" s="63">
        <f>(V29-$V$5)/(D29-$D$5)</f>
        <v>0.33351401410273723</v>
      </c>
      <c r="AA29" s="131"/>
      <c r="AB29" s="73"/>
    </row>
    <row r="30" spans="1:34" x14ac:dyDescent="0.2">
      <c r="A30" s="59"/>
      <c r="B30" s="197"/>
      <c r="C30" s="199"/>
      <c r="D30" s="217"/>
      <c r="E30" s="155" t="s">
        <v>102</v>
      </c>
      <c r="F30" s="211"/>
      <c r="G30" s="213"/>
      <c r="H30" s="62">
        <f>0.1976-F29</f>
        <v>0.14506666666666665</v>
      </c>
      <c r="I30" s="61">
        <f>0.1583-F29</f>
        <v>0.10576666666666665</v>
      </c>
      <c r="J30" s="61">
        <f>0.1545-G29</f>
        <v>0.10396666666666668</v>
      </c>
      <c r="K30" s="61">
        <f>0.1191-G29</f>
        <v>6.8566666666666665E-2</v>
      </c>
      <c r="L30" s="61">
        <f>(H30-(0.605*J30))/6.17</f>
        <v>1.3317152890329548E-2</v>
      </c>
      <c r="M30" s="61">
        <f t="shared" si="6"/>
        <v>1.04187736358725E-2</v>
      </c>
      <c r="N30" s="61">
        <f t="shared" si="2"/>
        <v>1.1867963263101024E-2</v>
      </c>
      <c r="O30" s="48">
        <f>'Growth curves'!G17</f>
        <v>1.1439999999999999</v>
      </c>
      <c r="P30" s="61">
        <f t="shared" si="3"/>
        <v>1.4110095999999999</v>
      </c>
      <c r="Q30" s="128">
        <f t="shared" si="9"/>
        <v>1.4110096E-4</v>
      </c>
      <c r="R30" s="129">
        <f t="shared" si="4"/>
        <v>42.05486363487897</v>
      </c>
      <c r="S30" s="130"/>
      <c r="V30" s="63">
        <f t="shared" si="5"/>
        <v>59.339816315505118</v>
      </c>
      <c r="W30" s="131"/>
      <c r="X30" s="63"/>
      <c r="Y30" s="63"/>
      <c r="Z30" s="63">
        <f>(V30-$V$6)/(D29-$D$5)</f>
        <v>0.27282732869620019</v>
      </c>
      <c r="AA30" s="131"/>
      <c r="AB30" s="73"/>
    </row>
    <row r="31" spans="1:34" x14ac:dyDescent="0.2">
      <c r="A31" s="59"/>
      <c r="B31" s="198"/>
      <c r="C31" s="200"/>
      <c r="D31" s="218"/>
      <c r="E31" s="156" t="s">
        <v>103</v>
      </c>
      <c r="F31" s="212"/>
      <c r="G31" s="214"/>
      <c r="H31" s="65">
        <f>0.191-F29</f>
        <v>0.13846666666666665</v>
      </c>
      <c r="I31" s="66">
        <f>0.2088-F29</f>
        <v>0.15626666666666666</v>
      </c>
      <c r="J31" s="66">
        <f>0.1342-G29</f>
        <v>8.3666666666666695E-2</v>
      </c>
      <c r="K31" s="66">
        <f>0.1511-G29</f>
        <v>0.10056666666666669</v>
      </c>
      <c r="L31" s="61">
        <f t="shared" ref="L31:L61" si="10">(H31-(0.605*J31))/6.17</f>
        <v>1.4237979470556451E-2</v>
      </c>
      <c r="M31" s="61">
        <f t="shared" si="6"/>
        <v>1.5465775256618042E-2</v>
      </c>
      <c r="N31" s="66">
        <f t="shared" si="2"/>
        <v>1.4851877363587247E-2</v>
      </c>
      <c r="O31" s="64">
        <f>'Growth curves'!H17</f>
        <v>1.234</v>
      </c>
      <c r="P31" s="66">
        <f t="shared" si="3"/>
        <v>1.5220156</v>
      </c>
      <c r="Q31" s="67">
        <f t="shared" si="9"/>
        <v>1.5220156000000001E-4</v>
      </c>
      <c r="R31" s="68">
        <f t="shared" si="4"/>
        <v>48.790161426687234</v>
      </c>
      <c r="S31" s="69">
        <f>AVERAGE(R29:R31)</f>
        <v>45.464253552822548</v>
      </c>
      <c r="T31" s="70">
        <f>STDEV(R29:R31)</f>
        <v>3.3684248581268683</v>
      </c>
      <c r="U31" s="70">
        <f>T31/SQRT(3)</f>
        <v>1.9447609985845744</v>
      </c>
      <c r="V31" s="70">
        <f t="shared" si="5"/>
        <v>74.259386817936232</v>
      </c>
      <c r="W31" s="69">
        <f>AVERAGE(V29:V31)</f>
        <v>67.847177201512679</v>
      </c>
      <c r="X31" s="70">
        <f>STDEV(V29:V31)</f>
        <v>7.6772807768169313</v>
      </c>
      <c r="Y31" s="70">
        <f>X31/SQRT(3)</f>
        <v>4.4324801231395945</v>
      </c>
      <c r="Z31" s="70">
        <f>(V31-$V$7)/(D29-$D$5)</f>
        <v>0.35321989521429847</v>
      </c>
      <c r="AA31" s="69">
        <f>AVERAGE(Z29:Z31)</f>
        <v>0.31985374600441197</v>
      </c>
      <c r="AB31" s="99">
        <f>STDEV(Z29:Z31)/SQRT(3)</f>
        <v>2.4191550737329072E-2</v>
      </c>
    </row>
    <row r="32" spans="1:34" x14ac:dyDescent="0.2">
      <c r="A32" s="59"/>
      <c r="B32" s="197" t="s">
        <v>22</v>
      </c>
      <c r="C32" s="199">
        <v>0.45833333333333331</v>
      </c>
      <c r="D32" s="217">
        <f>24+D29</f>
        <v>216</v>
      </c>
      <c r="E32" s="155" t="s">
        <v>101</v>
      </c>
      <c r="F32" s="211">
        <f>(0.0561+0.0493+0.0499)/3</f>
        <v>5.1766666666666662E-2</v>
      </c>
      <c r="G32" s="213">
        <f>(0.0535+0.0464+0.0475)/3</f>
        <v>4.9133333333333327E-2</v>
      </c>
      <c r="H32" s="62">
        <f>0.2643-F32</f>
        <v>0.21253333333333332</v>
      </c>
      <c r="I32" s="61">
        <f>0.2435-F32</f>
        <v>0.19173333333333334</v>
      </c>
      <c r="J32" s="61">
        <f>0.1961-G32</f>
        <v>0.14696666666666666</v>
      </c>
      <c r="K32" s="61">
        <f>0.1783-G32</f>
        <v>0.12916666666666665</v>
      </c>
      <c r="L32" s="61">
        <f t="shared" si="10"/>
        <v>2.0035413290113453E-2</v>
      </c>
      <c r="M32" s="61">
        <f t="shared" si="6"/>
        <v>1.8409643435980554E-2</v>
      </c>
      <c r="N32" s="61">
        <f t="shared" si="2"/>
        <v>1.9222528363047005E-2</v>
      </c>
      <c r="O32" s="48">
        <f>'Growth curves'!F18</f>
        <v>1.524</v>
      </c>
      <c r="P32" s="61">
        <f t="shared" si="3"/>
        <v>1.8797016000000002</v>
      </c>
      <c r="Q32" s="128">
        <f t="shared" si="9"/>
        <v>1.8797016000000002E-4</v>
      </c>
      <c r="R32" s="129">
        <f t="shared" si="4"/>
        <v>51.131861469519961</v>
      </c>
      <c r="S32" s="130"/>
      <c r="V32" s="63">
        <f t="shared" si="5"/>
        <v>96.112641815235037</v>
      </c>
      <c r="W32" s="131"/>
      <c r="X32" s="63"/>
      <c r="Y32" s="63"/>
      <c r="Z32" s="63">
        <f>(V32-$V$5)/(D32-$D$5)</f>
        <v>0.4176157594993698</v>
      </c>
      <c r="AA32" s="131"/>
      <c r="AB32" s="73"/>
    </row>
    <row r="33" spans="1:28" x14ac:dyDescent="0.2">
      <c r="A33" s="59"/>
      <c r="B33" s="197"/>
      <c r="C33" s="199"/>
      <c r="D33" s="217"/>
      <c r="E33" s="155" t="s">
        <v>102</v>
      </c>
      <c r="F33" s="211"/>
      <c r="G33" s="213"/>
      <c r="H33" s="62">
        <f>0.2021-F32</f>
        <v>0.15033333333333335</v>
      </c>
      <c r="I33" s="61">
        <f>0.1978-F32</f>
        <v>0.14603333333333335</v>
      </c>
      <c r="J33" s="61">
        <f>0.1414-G32</f>
        <v>9.2266666666666663E-2</v>
      </c>
      <c r="K33" s="61">
        <f>0.1365-G32</f>
        <v>8.7366666666666676E-2</v>
      </c>
      <c r="L33" s="61">
        <f t="shared" si="10"/>
        <v>1.5317990275526744E-2</v>
      </c>
      <c r="M33" s="61">
        <f t="shared" si="6"/>
        <v>1.5101539708265804E-2</v>
      </c>
      <c r="N33" s="61">
        <f t="shared" si="2"/>
        <v>1.5209764991896274E-2</v>
      </c>
      <c r="O33" s="48">
        <f>'Growth curves'!G18</f>
        <v>1.3260000000000001</v>
      </c>
      <c r="P33" s="61">
        <f t="shared" si="3"/>
        <v>1.6354884000000001</v>
      </c>
      <c r="Q33" s="128">
        <f t="shared" si="9"/>
        <v>1.6354884000000002E-4</v>
      </c>
      <c r="R33" s="129">
        <f t="shared" si="4"/>
        <v>46.499152766526109</v>
      </c>
      <c r="S33" s="130"/>
      <c r="V33" s="63">
        <f t="shared" si="5"/>
        <v>76.048824959481365</v>
      </c>
      <c r="W33" s="131"/>
      <c r="X33" s="63"/>
      <c r="Y33" s="63"/>
      <c r="Z33" s="63">
        <f>(V33-$V$6)/(D32-$D$5)</f>
        <v>0.31986970256317909</v>
      </c>
      <c r="AA33" s="131"/>
      <c r="AB33" s="73"/>
    </row>
    <row r="34" spans="1:28" x14ac:dyDescent="0.2">
      <c r="A34" s="59"/>
      <c r="B34" s="198"/>
      <c r="C34" s="200"/>
      <c r="D34" s="218"/>
      <c r="E34" s="156" t="s">
        <v>103</v>
      </c>
      <c r="F34" s="212"/>
      <c r="G34" s="214"/>
      <c r="H34" s="65">
        <f>0.2436-F32</f>
        <v>0.19183333333333336</v>
      </c>
      <c r="I34" s="66">
        <f>0.237-F32</f>
        <v>0.18523333333333333</v>
      </c>
      <c r="J34" s="66">
        <f>0.164-G32</f>
        <v>0.11486666666666667</v>
      </c>
      <c r="K34" s="66">
        <f>0.1551-G32</f>
        <v>0.10596666666666665</v>
      </c>
      <c r="L34" s="61">
        <f t="shared" si="10"/>
        <v>1.9828038897893033E-2</v>
      </c>
      <c r="M34" s="61">
        <f t="shared" si="6"/>
        <v>1.9631037277147489E-2</v>
      </c>
      <c r="N34" s="66">
        <f t="shared" si="2"/>
        <v>1.972953808752026E-2</v>
      </c>
      <c r="O34" s="64">
        <f>'Growth curves'!H18</f>
        <v>1.3819999999999999</v>
      </c>
      <c r="P34" s="66">
        <f t="shared" si="3"/>
        <v>1.7045588</v>
      </c>
      <c r="Q34" s="67">
        <f t="shared" si="9"/>
        <v>1.7045588E-4</v>
      </c>
      <c r="R34" s="68">
        <f t="shared" si="4"/>
        <v>57.872858617491694</v>
      </c>
      <c r="S34" s="69">
        <f>AVERAGE(R32:R34)</f>
        <v>51.834624284512586</v>
      </c>
      <c r="T34" s="70">
        <f>STDEV(R32:R34)</f>
        <v>5.7193271349586627</v>
      </c>
      <c r="U34" s="70">
        <f>T34/SQRT(3)</f>
        <v>3.3020550609519153</v>
      </c>
      <c r="V34" s="70">
        <f t="shared" si="5"/>
        <v>98.647690437601298</v>
      </c>
      <c r="W34" s="69">
        <f>AVERAGE(V32:V34)</f>
        <v>90.269719070772567</v>
      </c>
      <c r="X34" s="70">
        <f>STDEV(V32:V34)</f>
        <v>12.380710394515308</v>
      </c>
      <c r="Y34" s="70">
        <f>X34/SQRT(3)</f>
        <v>7.1480064790322118</v>
      </c>
      <c r="Z34" s="70">
        <f>(V34-$V$7)/(D32-$D$5)</f>
        <v>0.42688205324449247</v>
      </c>
      <c r="AA34" s="69">
        <f>AVERAGE(Z32:Z34)</f>
        <v>0.38812250510234714</v>
      </c>
      <c r="AB34" s="99">
        <f>STDEV(Z32:Z34)/SQRT(3)</f>
        <v>3.423107672267358E-2</v>
      </c>
    </row>
    <row r="35" spans="1:28" x14ac:dyDescent="0.2">
      <c r="A35" s="59"/>
      <c r="B35" s="197" t="s">
        <v>23</v>
      </c>
      <c r="C35" s="199">
        <v>0.45833333333333331</v>
      </c>
      <c r="D35" s="217">
        <f>24+D32</f>
        <v>240</v>
      </c>
      <c r="E35" s="155" t="s">
        <v>101</v>
      </c>
      <c r="F35" s="211">
        <v>4.9599999999999998E-2</v>
      </c>
      <c r="G35" s="213">
        <v>4.82E-2</v>
      </c>
      <c r="H35" s="62">
        <f>0.2293-F35</f>
        <v>0.1797</v>
      </c>
      <c r="I35" s="61">
        <f>0.2422-F35</f>
        <v>0.19259999999999999</v>
      </c>
      <c r="J35" s="61">
        <f>0.1644-G35</f>
        <v>0.1162</v>
      </c>
      <c r="K35" s="61">
        <f>0.1776-G35</f>
        <v>0.12940000000000002</v>
      </c>
      <c r="L35" s="61">
        <f t="shared" si="10"/>
        <v>1.7730794165316047E-2</v>
      </c>
      <c r="M35" s="61">
        <f t="shared" si="6"/>
        <v>1.8527228525121554E-2</v>
      </c>
      <c r="N35" s="61">
        <f t="shared" si="2"/>
        <v>1.8129011345218798E-2</v>
      </c>
      <c r="O35" s="48">
        <f>'Growth curves'!F19</f>
        <v>1.72</v>
      </c>
      <c r="P35" s="61">
        <f t="shared" si="3"/>
        <v>2.121448</v>
      </c>
      <c r="Q35" s="128">
        <f t="shared" si="9"/>
        <v>2.1214480000000002E-4</v>
      </c>
      <c r="R35" s="129">
        <f t="shared" si="4"/>
        <v>42.727918254934359</v>
      </c>
      <c r="S35" s="130"/>
      <c r="V35" s="63">
        <f t="shared" si="5"/>
        <v>90.645056726093983</v>
      </c>
      <c r="W35" s="131"/>
      <c r="X35" s="63"/>
      <c r="Y35" s="63"/>
      <c r="Z35" s="63">
        <f>(V35-$V$5)/(D35-$D$5)</f>
        <v>0.35307257901134509</v>
      </c>
      <c r="AA35" s="131"/>
      <c r="AB35" s="73"/>
    </row>
    <row r="36" spans="1:28" x14ac:dyDescent="0.2">
      <c r="A36" s="59"/>
      <c r="B36" s="197"/>
      <c r="C36" s="199"/>
      <c r="D36" s="217"/>
      <c r="E36" s="155" t="s">
        <v>102</v>
      </c>
      <c r="F36" s="211"/>
      <c r="G36" s="213"/>
      <c r="H36" s="62">
        <f>0.1998-F35</f>
        <v>0.1502</v>
      </c>
      <c r="I36" s="61">
        <f>0.2024-F35</f>
        <v>0.15279999999999999</v>
      </c>
      <c r="J36" s="61">
        <f>0.1452-G35</f>
        <v>9.7000000000000003E-2</v>
      </c>
      <c r="K36" s="61">
        <f>0.1478-G35</f>
        <v>9.9599999999999994E-2</v>
      </c>
      <c r="L36" s="61">
        <f t="shared" si="10"/>
        <v>1.48322528363047E-2</v>
      </c>
      <c r="M36" s="61">
        <f t="shared" si="6"/>
        <v>1.499870340356564E-2</v>
      </c>
      <c r="N36" s="61">
        <f t="shared" si="2"/>
        <v>1.4915478119935169E-2</v>
      </c>
      <c r="O36" s="48">
        <f>'Growth curves'!G19</f>
        <v>1.488</v>
      </c>
      <c r="P36" s="61">
        <f t="shared" si="3"/>
        <v>1.8352992000000001</v>
      </c>
      <c r="Q36" s="128">
        <f t="shared" si="9"/>
        <v>1.8352992000000002E-4</v>
      </c>
      <c r="R36" s="129">
        <f t="shared" si="4"/>
        <v>40.635004145196511</v>
      </c>
      <c r="S36" s="130"/>
      <c r="V36" s="63">
        <f t="shared" si="5"/>
        <v>74.577390599675851</v>
      </c>
      <c r="W36" s="131"/>
      <c r="X36" s="63"/>
      <c r="Y36" s="63"/>
      <c r="Z36" s="63">
        <f>(V36-$V$6)/(D35-$D$5)</f>
        <v>0.28175175580767153</v>
      </c>
      <c r="AA36" s="131"/>
      <c r="AB36" s="73"/>
    </row>
    <row r="37" spans="1:28" x14ac:dyDescent="0.2">
      <c r="A37" s="59"/>
      <c r="B37" s="198"/>
      <c r="C37" s="200"/>
      <c r="D37" s="218"/>
      <c r="E37" s="156" t="s">
        <v>103</v>
      </c>
      <c r="F37" s="212"/>
      <c r="G37" s="214"/>
      <c r="H37" s="65">
        <f>0.2778-F35</f>
        <v>0.22819999999999999</v>
      </c>
      <c r="I37" s="66">
        <f>0.3337-F35</f>
        <v>0.28410000000000002</v>
      </c>
      <c r="J37" s="66">
        <f>0.2276-G35</f>
        <v>0.1794</v>
      </c>
      <c r="K37" s="66">
        <f>0.2839-G35</f>
        <v>0.23569999999999999</v>
      </c>
      <c r="L37" s="61">
        <f t="shared" si="10"/>
        <v>1.9394327390599674E-2</v>
      </c>
      <c r="M37" s="61">
        <f t="shared" si="6"/>
        <v>2.2933792544570508E-2</v>
      </c>
      <c r="N37" s="66">
        <f t="shared" si="2"/>
        <v>2.1164059967585091E-2</v>
      </c>
      <c r="O37" s="64">
        <f>'Growth curves'!H19</f>
        <v>1.6180000000000001</v>
      </c>
      <c r="P37" s="66">
        <f t="shared" si="3"/>
        <v>1.9956412000000001</v>
      </c>
      <c r="Q37" s="67">
        <f t="shared" si="9"/>
        <v>1.9956412000000001E-4</v>
      </c>
      <c r="R37" s="68">
        <f t="shared" si="4"/>
        <v>53.025714160403908</v>
      </c>
      <c r="S37" s="69">
        <f>AVERAGE(R35:R37)</f>
        <v>45.462878853511597</v>
      </c>
      <c r="T37" s="70">
        <f>STDEV(R35:R37)</f>
        <v>6.6326790045250581</v>
      </c>
      <c r="U37" s="70">
        <f>T37/SQRT(3)</f>
        <v>3.8293790087109216</v>
      </c>
      <c r="V37" s="70">
        <f t="shared" si="5"/>
        <v>105.82029983792545</v>
      </c>
      <c r="W37" s="69">
        <f>AVERAGE(V35:V37)</f>
        <v>90.347582387898441</v>
      </c>
      <c r="X37" s="70">
        <f>STDEV(V35:V37)</f>
        <v>15.623578740281909</v>
      </c>
      <c r="Y37" s="70">
        <f>X37/SQRT(3)</f>
        <v>9.020277391407074</v>
      </c>
      <c r="Z37" s="70">
        <f>(V37-$V$7)/(D35-$D$5)</f>
        <v>0.41407972042139385</v>
      </c>
      <c r="AA37" s="69">
        <f>AVERAGE(Z35:Z37)</f>
        <v>0.34963468508013679</v>
      </c>
      <c r="AB37" s="99">
        <f>STDEV(Z35:Z37)/SQRT(3)</f>
        <v>3.8238448760004026E-2</v>
      </c>
    </row>
    <row r="38" spans="1:28" x14ac:dyDescent="0.2">
      <c r="A38" s="59"/>
      <c r="B38" s="197" t="s">
        <v>24</v>
      </c>
      <c r="C38" s="199">
        <v>0.5</v>
      </c>
      <c r="D38" s="215">
        <f>25+D35</f>
        <v>265</v>
      </c>
      <c r="E38" s="155" t="s">
        <v>101</v>
      </c>
      <c r="F38" s="211">
        <f>(0.0535+0.048)/2</f>
        <v>5.0750000000000003E-2</v>
      </c>
      <c r="G38" s="213">
        <f>(0.0509+0.0455)/2</f>
        <v>4.82E-2</v>
      </c>
      <c r="H38" s="62">
        <f>0.4013-F38</f>
        <v>0.35054999999999997</v>
      </c>
      <c r="I38" s="61">
        <f>0.2851-F38</f>
        <v>0.23435</v>
      </c>
      <c r="J38" s="61">
        <f>0.3116-G38</f>
        <v>0.26339999999999997</v>
      </c>
      <c r="K38" s="61">
        <f>0.1971-G38</f>
        <v>0.1489</v>
      </c>
      <c r="L38" s="61">
        <f t="shared" si="10"/>
        <v>3.0987520259319286E-2</v>
      </c>
      <c r="M38" s="61">
        <f t="shared" si="6"/>
        <v>2.3381766612641814E-2</v>
      </c>
      <c r="N38" s="61">
        <f t="shared" si="2"/>
        <v>2.7184643435980552E-2</v>
      </c>
      <c r="O38" s="48">
        <f>'Growth curves'!F20</f>
        <v>1.8839999999999999</v>
      </c>
      <c r="P38" s="61">
        <f t="shared" si="3"/>
        <v>2.3237255999999999</v>
      </c>
      <c r="Q38" s="128">
        <f t="shared" si="9"/>
        <v>2.3237256000000002E-4</v>
      </c>
      <c r="R38" s="129">
        <f t="shared" si="4"/>
        <v>58.493660860775798</v>
      </c>
      <c r="S38" s="130"/>
      <c r="V38" s="63">
        <f t="shared" si="5"/>
        <v>135.92321717990276</v>
      </c>
      <c r="W38" s="131"/>
      <c r="X38" s="63"/>
      <c r="Y38" s="63"/>
      <c r="Z38" s="63">
        <f>(V38-$V$5)/(D38-$D$5)</f>
        <v>0.4906248279869117</v>
      </c>
      <c r="AA38" s="131"/>
      <c r="AB38" s="73"/>
    </row>
    <row r="39" spans="1:28" x14ac:dyDescent="0.2">
      <c r="A39" s="59"/>
      <c r="B39" s="197"/>
      <c r="C39" s="199"/>
      <c r="D39" s="215"/>
      <c r="E39" s="155" t="s">
        <v>102</v>
      </c>
      <c r="F39" s="211"/>
      <c r="G39" s="213"/>
      <c r="H39" s="62">
        <f>0.2278-F38</f>
        <v>0.17704999999999999</v>
      </c>
      <c r="I39" s="61">
        <f>0.2207-F38</f>
        <v>0.16994999999999999</v>
      </c>
      <c r="J39" s="61">
        <f>0.1616-G38</f>
        <v>0.1134</v>
      </c>
      <c r="K39" s="61">
        <f>0.1563-G38</f>
        <v>0.1081</v>
      </c>
      <c r="L39" s="61">
        <f t="shared" si="10"/>
        <v>1.7575850891410047E-2</v>
      </c>
      <c r="M39" s="61">
        <f t="shared" si="6"/>
        <v>1.694481361426256E-2</v>
      </c>
      <c r="N39" s="61">
        <f t="shared" si="2"/>
        <v>1.7260332252836304E-2</v>
      </c>
      <c r="O39" s="48">
        <f>'Growth curves'!G20</f>
        <v>1.6020000000000001</v>
      </c>
      <c r="P39" s="61">
        <f t="shared" si="3"/>
        <v>1.9759068000000002</v>
      </c>
      <c r="Q39" s="128">
        <f t="shared" si="9"/>
        <v>1.9759068000000003E-4</v>
      </c>
      <c r="R39" s="129">
        <f t="shared" si="4"/>
        <v>43.676989858115526</v>
      </c>
      <c r="S39" s="130"/>
      <c r="V39" s="63">
        <f t="shared" si="5"/>
        <v>86.301661264181504</v>
      </c>
      <c r="W39" s="131"/>
      <c r="X39" s="63"/>
      <c r="Y39" s="63"/>
      <c r="Z39" s="63">
        <f>(V39-$V$6)/(D38-$D$5)</f>
        <v>0.29941393229564839</v>
      </c>
      <c r="AA39" s="131"/>
      <c r="AB39" s="73"/>
    </row>
    <row r="40" spans="1:28" x14ac:dyDescent="0.2">
      <c r="A40" s="59"/>
      <c r="B40" s="198"/>
      <c r="C40" s="200"/>
      <c r="D40" s="216"/>
      <c r="E40" s="156" t="s">
        <v>103</v>
      </c>
      <c r="F40" s="212"/>
      <c r="G40" s="214"/>
      <c r="H40" s="65">
        <f>0.2535-F38</f>
        <v>0.20274999999999999</v>
      </c>
      <c r="I40" s="66">
        <f>0.2615-F38</f>
        <v>0.21074999999999999</v>
      </c>
      <c r="J40" s="66">
        <f>0.158-G38</f>
        <v>0.10980000000000001</v>
      </c>
      <c r="K40" s="66">
        <f>0.1648-G38</f>
        <v>0.11660000000000001</v>
      </c>
      <c r="L40" s="61">
        <f t="shared" si="10"/>
        <v>2.2094165316045376E-2</v>
      </c>
      <c r="M40" s="61">
        <f t="shared" si="6"/>
        <v>2.272398703403565E-2</v>
      </c>
      <c r="N40" s="66">
        <f t="shared" si="2"/>
        <v>2.2409076175040513E-2</v>
      </c>
      <c r="O40" s="64">
        <f>'Growth curves'!H20</f>
        <v>1.704</v>
      </c>
      <c r="P40" s="66">
        <f t="shared" si="3"/>
        <v>2.1017136000000001</v>
      </c>
      <c r="Q40" s="67">
        <f t="shared" si="9"/>
        <v>2.1017136000000002E-4</v>
      </c>
      <c r="R40" s="68">
        <f t="shared" si="4"/>
        <v>53.311441137937422</v>
      </c>
      <c r="S40" s="69">
        <f>AVERAGE(R38:R40)</f>
        <v>51.827363952276244</v>
      </c>
      <c r="T40" s="70">
        <f>STDEV(R38:R40)</f>
        <v>7.5189958584919436</v>
      </c>
      <c r="U40" s="70">
        <f>T40/SQRT(3)</f>
        <v>4.3410942829360053</v>
      </c>
      <c r="V40" s="70">
        <f t="shared" si="5"/>
        <v>112.04538087520255</v>
      </c>
      <c r="W40" s="69">
        <f>AVERAGE(V38:V40)</f>
        <v>111.4234197730956</v>
      </c>
      <c r="X40" s="70">
        <f>STDEV(V38:V40)</f>
        <v>24.816624056943457</v>
      </c>
      <c r="Y40" s="70">
        <f>X40/SQRT(3)</f>
        <v>14.327884579654048</v>
      </c>
      <c r="Z40" s="70">
        <f>(V40-$V$7)/(D38-$D$5)</f>
        <v>0.39850646769211939</v>
      </c>
      <c r="AA40" s="69">
        <f>AVERAGE(Z38:Z40)</f>
        <v>0.39618174265822653</v>
      </c>
      <c r="AB40" s="99">
        <f>STDEV(Z38:Z40)/SQRT(3)</f>
        <v>5.5210068277522735E-2</v>
      </c>
    </row>
    <row r="41" spans="1:28" x14ac:dyDescent="0.2">
      <c r="A41" s="59"/>
      <c r="B41" s="197" t="s">
        <v>25</v>
      </c>
      <c r="C41" s="199">
        <v>0.4375</v>
      </c>
      <c r="D41" s="217">
        <f>22.5+D38</f>
        <v>287.5</v>
      </c>
      <c r="E41" s="155" t="s">
        <v>101</v>
      </c>
      <c r="F41" s="211">
        <f>(0.056+0.051)/2</f>
        <v>5.3499999999999999E-2</v>
      </c>
      <c r="G41" s="213">
        <f>(0.0542+0.0496)/2</f>
        <v>5.1900000000000002E-2</v>
      </c>
      <c r="H41" s="62">
        <f>0.2935-F41</f>
        <v>0.24</v>
      </c>
      <c r="I41" s="61">
        <f>0.2407-F41</f>
        <v>0.18720000000000001</v>
      </c>
      <c r="J41" s="61">
        <f>0.2095-G41</f>
        <v>0.15759999999999999</v>
      </c>
      <c r="K41" s="61">
        <f>0.1589-G41</f>
        <v>0.10700000000000001</v>
      </c>
      <c r="L41" s="61">
        <f t="shared" si="10"/>
        <v>2.3444408427876824E-2</v>
      </c>
      <c r="M41" s="61">
        <f t="shared" si="6"/>
        <v>1.9848460291734198E-2</v>
      </c>
      <c r="N41" s="61">
        <f t="shared" si="2"/>
        <v>2.1646434359805511E-2</v>
      </c>
      <c r="O41" s="48">
        <f>'Growth curves'!F21</f>
        <v>1.91</v>
      </c>
      <c r="P41" s="61">
        <f t="shared" si="3"/>
        <v>2.3557939999999999</v>
      </c>
      <c r="Q41" s="128">
        <f t="shared" ref="Q41:Q46" si="11">P41*0.1/1000</f>
        <v>2.355794E-4</v>
      </c>
      <c r="R41" s="129">
        <f t="shared" si="4"/>
        <v>45.942969461263402</v>
      </c>
      <c r="S41" s="130"/>
      <c r="V41" s="63">
        <f t="shared" si="5"/>
        <v>108.23217179902755</v>
      </c>
      <c r="W41" s="131"/>
      <c r="X41" s="63"/>
      <c r="Y41" s="63"/>
      <c r="Z41" s="63">
        <f>(V41-$V$5)/(D41-$D$5)</f>
        <v>0.35591142273271792</v>
      </c>
      <c r="AA41" s="131"/>
      <c r="AB41" s="73"/>
    </row>
    <row r="42" spans="1:28" x14ac:dyDescent="0.2">
      <c r="A42" s="59"/>
      <c r="B42" s="197"/>
      <c r="C42" s="199"/>
      <c r="D42" s="217"/>
      <c r="E42" s="155" t="s">
        <v>102</v>
      </c>
      <c r="F42" s="211"/>
      <c r="G42" s="213"/>
      <c r="H42" s="62">
        <f>0.2349-F41</f>
        <v>0.18140000000000001</v>
      </c>
      <c r="I42" s="61">
        <f>0.2325-F41</f>
        <v>0.17900000000000002</v>
      </c>
      <c r="J42" s="61">
        <f>0.1682-G41</f>
        <v>0.11629999999999999</v>
      </c>
      <c r="K42" s="61">
        <f>0.1654-G41</f>
        <v>0.11349999999999999</v>
      </c>
      <c r="L42" s="61">
        <f t="shared" si="10"/>
        <v>1.799651539708266E-2</v>
      </c>
      <c r="M42" s="61">
        <f t="shared" si="6"/>
        <v>1.7882090761750409E-2</v>
      </c>
      <c r="N42" s="61">
        <f t="shared" si="2"/>
        <v>1.7939303079416533E-2</v>
      </c>
      <c r="O42" s="48">
        <f>'Growth curves'!G21</f>
        <v>1.696</v>
      </c>
      <c r="P42" s="61">
        <f t="shared" si="3"/>
        <v>2.0918464000000001</v>
      </c>
      <c r="Q42" s="128">
        <f t="shared" si="11"/>
        <v>2.0918464000000003E-4</v>
      </c>
      <c r="R42" s="129">
        <f t="shared" si="4"/>
        <v>42.879111677168389</v>
      </c>
      <c r="S42" s="130"/>
      <c r="V42" s="63">
        <f t="shared" si="5"/>
        <v>89.696515397082663</v>
      </c>
      <c r="W42" s="131"/>
      <c r="X42" s="63"/>
      <c r="Y42" s="63"/>
      <c r="Z42" s="63">
        <f>(V42-$V$6)/(D41-$D$5)</f>
        <v>0.28778972588260165</v>
      </c>
      <c r="AA42" s="131"/>
      <c r="AB42" s="73"/>
    </row>
    <row r="43" spans="1:28" x14ac:dyDescent="0.2">
      <c r="A43" s="59"/>
      <c r="B43" s="198"/>
      <c r="C43" s="200"/>
      <c r="D43" s="218"/>
      <c r="E43" s="156" t="s">
        <v>103</v>
      </c>
      <c r="F43" s="212"/>
      <c r="G43" s="214"/>
      <c r="H43" s="65">
        <f>0.3002-F41</f>
        <v>0.24670000000000003</v>
      </c>
      <c r="I43" s="66">
        <f>0.3144-F41</f>
        <v>0.26090000000000002</v>
      </c>
      <c r="J43" s="66">
        <f>0.2177-G41</f>
        <v>0.1658</v>
      </c>
      <c r="K43" s="66">
        <f>0.2279-G41</f>
        <v>0.17599999999999999</v>
      </c>
      <c r="L43" s="61">
        <f t="shared" si="10"/>
        <v>2.3726256077795795E-2</v>
      </c>
      <c r="M43" s="61">
        <f t="shared" si="6"/>
        <v>2.5027552674230152E-2</v>
      </c>
      <c r="N43" s="66">
        <f t="shared" si="2"/>
        <v>2.4376904376012976E-2</v>
      </c>
      <c r="O43" s="64">
        <f>'Growth curves'!H21</f>
        <v>1.8180000000000001</v>
      </c>
      <c r="P43" s="66">
        <f t="shared" si="3"/>
        <v>2.2423212000000001</v>
      </c>
      <c r="Q43" s="67">
        <f t="shared" si="11"/>
        <v>2.2423212000000003E-4</v>
      </c>
      <c r="R43" s="68">
        <f t="shared" si="4"/>
        <v>54.356406156292358</v>
      </c>
      <c r="S43" s="69">
        <f>AVERAGE(R41:R43)</f>
        <v>47.726162431574721</v>
      </c>
      <c r="T43" s="70">
        <f>STDEV(R41:R43)</f>
        <v>5.9428027913735919</v>
      </c>
      <c r="U43" s="70">
        <f>T43/SQRT(3)</f>
        <v>3.4310787913404028</v>
      </c>
      <c r="V43" s="70">
        <f t="shared" si="5"/>
        <v>121.88452188006488</v>
      </c>
      <c r="W43" s="69">
        <f>AVERAGE(V41:V43)</f>
        <v>106.6044030253917</v>
      </c>
      <c r="X43" s="70">
        <f>STDEV(V41:V43)</f>
        <v>16.155623284864184</v>
      </c>
      <c r="Y43" s="70">
        <f>X43/SQRT(3)</f>
        <v>9.3274534524425228</v>
      </c>
      <c r="Z43" s="70">
        <f>(V43-$V$7)/(D41-$D$5)</f>
        <v>0.40154210415051811</v>
      </c>
      <c r="AA43" s="69">
        <f>AVERAGE(Z41:Z43)</f>
        <v>0.34841441758861258</v>
      </c>
      <c r="AB43" s="99">
        <f>STDEV(Z41:Z43)/SQRT(3)</f>
        <v>3.3050742326508786E-2</v>
      </c>
    </row>
    <row r="44" spans="1:28" x14ac:dyDescent="0.2">
      <c r="A44" s="59"/>
      <c r="B44" s="197" t="s">
        <v>27</v>
      </c>
      <c r="C44" s="199">
        <v>0.5</v>
      </c>
      <c r="D44" s="217">
        <f>24+D38+48</f>
        <v>337</v>
      </c>
      <c r="E44" s="155" t="s">
        <v>101</v>
      </c>
      <c r="F44" s="211">
        <f>(0.0513+0.0511)/2</f>
        <v>5.1199999999999996E-2</v>
      </c>
      <c r="G44" s="213">
        <f>(0.0503+0.0494)/2</f>
        <v>4.9849999999999998E-2</v>
      </c>
      <c r="H44" s="61">
        <f>0.3278-F44</f>
        <v>0.27659999999999996</v>
      </c>
      <c r="I44" s="61">
        <f>0.3287-F44</f>
        <v>0.27749999999999997</v>
      </c>
      <c r="J44" s="61">
        <f>0.2176-G44</f>
        <v>0.16774999999999998</v>
      </c>
      <c r="K44" s="61">
        <f>0.2189-G44</f>
        <v>0.16905000000000001</v>
      </c>
      <c r="L44" s="61">
        <f t="shared" si="10"/>
        <v>2.8381077795786056E-2</v>
      </c>
      <c r="M44" s="61">
        <f t="shared" si="6"/>
        <v>2.8399473257698538E-2</v>
      </c>
      <c r="N44" s="61">
        <f t="shared" si="2"/>
        <v>2.8390275526742295E-2</v>
      </c>
      <c r="O44" s="48">
        <f>'Growth curves'!F23</f>
        <v>2.238</v>
      </c>
      <c r="P44" s="61">
        <f t="shared" si="3"/>
        <v>2.7603492000000003</v>
      </c>
      <c r="Q44" s="128">
        <f t="shared" si="11"/>
        <v>2.7603491999999999E-4</v>
      </c>
      <c r="R44" s="129">
        <f t="shared" si="4"/>
        <v>51.4251521632522</v>
      </c>
      <c r="S44" s="130"/>
      <c r="V44" s="63">
        <f t="shared" si="5"/>
        <v>141.9513776337115</v>
      </c>
      <c r="W44" s="131"/>
      <c r="X44" s="63"/>
      <c r="Y44" s="63"/>
      <c r="Z44" s="63">
        <f>(V44-$V$5)/(D44-$D$5)</f>
        <v>0.40369062276065387</v>
      </c>
      <c r="AA44" s="131"/>
      <c r="AB44" s="73"/>
    </row>
    <row r="45" spans="1:28" x14ac:dyDescent="0.2">
      <c r="A45" s="59"/>
      <c r="B45" s="197"/>
      <c r="C45" s="199"/>
      <c r="D45" s="217"/>
      <c r="E45" s="155" t="s">
        <v>102</v>
      </c>
      <c r="F45" s="211"/>
      <c r="G45" s="213"/>
      <c r="H45" s="61">
        <f>0.2981-F44</f>
        <v>0.24689999999999998</v>
      </c>
      <c r="I45" s="61">
        <f>0.2897-F44</f>
        <v>0.23850000000000002</v>
      </c>
      <c r="J45" s="61">
        <f>0.1997-G44</f>
        <v>0.14984999999999998</v>
      </c>
      <c r="K45" s="61">
        <f>0.1937-G44</f>
        <v>0.14385000000000001</v>
      </c>
      <c r="L45" s="61">
        <f t="shared" si="10"/>
        <v>2.5322649918962721E-2</v>
      </c>
      <c r="M45" s="61">
        <f t="shared" si="6"/>
        <v>2.4549554294975691E-2</v>
      </c>
      <c r="N45" s="61">
        <f t="shared" si="2"/>
        <v>2.4936102106969206E-2</v>
      </c>
      <c r="O45" s="48">
        <f>'Growth curves'!G23</f>
        <v>1.992</v>
      </c>
      <c r="P45" s="61">
        <f t="shared" si="3"/>
        <v>2.4569328000000001</v>
      </c>
      <c r="Q45" s="128">
        <f t="shared" si="11"/>
        <v>2.4569328000000003E-4</v>
      </c>
      <c r="R45" s="129">
        <f t="shared" si="4"/>
        <v>50.746406468604278</v>
      </c>
      <c r="S45" s="130"/>
      <c r="V45" s="63">
        <f t="shared" si="5"/>
        <v>124.68051053484602</v>
      </c>
      <c r="W45" s="131"/>
      <c r="X45" s="63"/>
      <c r="Y45" s="63"/>
      <c r="Z45" s="63">
        <f>(V45-$V$6)/(D44-$D$5)</f>
        <v>0.34932801581309003</v>
      </c>
      <c r="AA45" s="131"/>
      <c r="AB45" s="73"/>
    </row>
    <row r="46" spans="1:28" x14ac:dyDescent="0.2">
      <c r="A46" s="59"/>
      <c r="B46" s="198"/>
      <c r="C46" s="200"/>
      <c r="D46" s="218"/>
      <c r="E46" s="156" t="s">
        <v>103</v>
      </c>
      <c r="F46" s="212"/>
      <c r="G46" s="214"/>
      <c r="H46" s="66">
        <f>0.3003-F44</f>
        <v>0.24910000000000002</v>
      </c>
      <c r="I46" s="66">
        <f>0.319-F44</f>
        <v>0.26780000000000004</v>
      </c>
      <c r="J46" s="66">
        <f>0.1949-G44</f>
        <v>0.14504999999999998</v>
      </c>
      <c r="K46" s="66">
        <f>0.2134-G44</f>
        <v>0.16355</v>
      </c>
      <c r="L46" s="61">
        <f t="shared" si="10"/>
        <v>2.6149878444084285E-2</v>
      </c>
      <c r="M46" s="61">
        <f t="shared" si="6"/>
        <v>2.7366653160453815E-2</v>
      </c>
      <c r="N46" s="66">
        <f t="shared" si="2"/>
        <v>2.675826580226905E-2</v>
      </c>
      <c r="O46" s="64">
        <f>'Growth curves'!H23</f>
        <v>2.1240000000000001</v>
      </c>
      <c r="P46" s="66">
        <f t="shared" si="3"/>
        <v>2.6197416000000002</v>
      </c>
      <c r="Q46" s="67">
        <f t="shared" si="11"/>
        <v>2.6197416000000001E-4</v>
      </c>
      <c r="R46" s="68">
        <f t="shared" si="4"/>
        <v>51.070429622274673</v>
      </c>
      <c r="S46" s="69">
        <f>AVERAGE(R44:R46)</f>
        <v>51.080662751377048</v>
      </c>
      <c r="T46" s="70">
        <f>STDEV(R44:R46)</f>
        <v>0.33948853765509096</v>
      </c>
      <c r="U46" s="70">
        <f>T46/SQRT(3)</f>
        <v>0.19600379860195918</v>
      </c>
      <c r="V46" s="70">
        <f t="shared" si="5"/>
        <v>133.79132901134525</v>
      </c>
      <c r="W46" s="69">
        <f>AVERAGE(V44:V46)</f>
        <v>133.47440572663425</v>
      </c>
      <c r="X46" s="70">
        <f>STDEV(V44:V46)</f>
        <v>8.6397941447098461</v>
      </c>
      <c r="Y46" s="70">
        <f>X46/SQRT(3)</f>
        <v>4.9881874751911823</v>
      </c>
      <c r="Z46" s="70">
        <f>(V46-$V$7)/(D44-$D$5)</f>
        <v>0.37789365600757963</v>
      </c>
      <c r="AA46" s="69">
        <f>AVERAGE(Z44:Z46)</f>
        <v>0.37697076486044118</v>
      </c>
      <c r="AB46" s="99">
        <f>STDEV(Z44:Z46)/SQRT(3)</f>
        <v>1.5699915653551867E-2</v>
      </c>
    </row>
    <row r="47" spans="1:28" x14ac:dyDescent="0.2">
      <c r="A47" s="59"/>
      <c r="B47" s="197" t="s">
        <v>28</v>
      </c>
      <c r="C47" s="199">
        <v>0.45833333333333331</v>
      </c>
      <c r="D47" s="217">
        <f>23+D44</f>
        <v>360</v>
      </c>
      <c r="E47" s="155" t="s">
        <v>101</v>
      </c>
      <c r="F47" s="211">
        <f>(0.0504+0.0477)/2</f>
        <v>4.9049999999999996E-2</v>
      </c>
      <c r="G47" s="213">
        <f>(0.0483+0.0452)/2</f>
        <v>4.675E-2</v>
      </c>
      <c r="H47" s="61">
        <f>0.3239-F47</f>
        <v>0.27485000000000004</v>
      </c>
      <c r="I47" s="61">
        <f>0.3559-F47</f>
        <v>0.30685000000000001</v>
      </c>
      <c r="J47" s="61">
        <f>0.2283-G47</f>
        <v>0.18154999999999999</v>
      </c>
      <c r="K47" s="61">
        <f>0.2524-G47</f>
        <v>0.20565</v>
      </c>
      <c r="L47" s="61">
        <f t="shared" si="10"/>
        <v>2.674428687196111E-2</v>
      </c>
      <c r="M47" s="61">
        <f t="shared" si="6"/>
        <v>2.9567544570502431E-2</v>
      </c>
      <c r="N47" s="61">
        <f t="shared" si="2"/>
        <v>2.8155915721231772E-2</v>
      </c>
      <c r="O47" s="61">
        <f>'Growth curves'!F24</f>
        <v>2.35</v>
      </c>
      <c r="P47" s="61">
        <f t="shared" si="3"/>
        <v>2.8984900000000002</v>
      </c>
      <c r="Q47" s="128">
        <f>P47*0.075/1000</f>
        <v>2.1738675000000001E-4</v>
      </c>
      <c r="R47" s="129">
        <f t="shared" si="4"/>
        <v>64.759962880055411</v>
      </c>
      <c r="S47" s="130"/>
      <c r="V47" s="63">
        <f t="shared" si="5"/>
        <v>187.70610480821182</v>
      </c>
      <c r="W47" s="131"/>
      <c r="X47" s="63"/>
      <c r="Y47" s="63"/>
      <c r="Z47" s="63">
        <f>(V47-$V$5)/(D47-$D$5)</f>
        <v>0.50499574179122408</v>
      </c>
      <c r="AA47" s="131"/>
      <c r="AB47" s="73"/>
    </row>
    <row r="48" spans="1:28" x14ac:dyDescent="0.2">
      <c r="A48" s="59"/>
      <c r="B48" s="197"/>
      <c r="C48" s="199"/>
      <c r="D48" s="217"/>
      <c r="E48" s="155" t="s">
        <v>102</v>
      </c>
      <c r="F48" s="211"/>
      <c r="G48" s="213"/>
      <c r="H48" s="61">
        <f>0.244-F47</f>
        <v>0.19495000000000001</v>
      </c>
      <c r="I48" s="61">
        <f>0.2521-F47</f>
        <v>0.20305000000000001</v>
      </c>
      <c r="J48" s="61">
        <f>0.1773-G47</f>
        <v>0.13055</v>
      </c>
      <c r="K48" s="61">
        <f>0.1812-G47</f>
        <v>0.13445000000000001</v>
      </c>
      <c r="L48" s="61">
        <f t="shared" si="10"/>
        <v>1.8795340356564022E-2</v>
      </c>
      <c r="M48" s="61">
        <f t="shared" si="6"/>
        <v>1.9725729335494328E-2</v>
      </c>
      <c r="N48" s="61">
        <f t="shared" si="2"/>
        <v>1.9260534846029173E-2</v>
      </c>
      <c r="O48" s="48">
        <f>'Growth curves'!G24</f>
        <v>2.0619999999999998</v>
      </c>
      <c r="P48" s="61">
        <f t="shared" si="3"/>
        <v>2.5432707999999997</v>
      </c>
      <c r="Q48" s="128">
        <f>P48*0.075/1000</f>
        <v>1.9074530999999999E-4</v>
      </c>
      <c r="R48" s="129">
        <f t="shared" si="4"/>
        <v>50.487571217423834</v>
      </c>
      <c r="S48" s="130"/>
      <c r="V48" s="63">
        <f t="shared" si="5"/>
        <v>128.40356564019447</v>
      </c>
      <c r="W48" s="131"/>
      <c r="X48" s="63"/>
      <c r="Y48" s="63"/>
      <c r="Z48" s="63">
        <f>(V48-$V$6)/(D47-$D$5)</f>
        <v>0.33735165676211054</v>
      </c>
      <c r="AA48" s="131"/>
      <c r="AB48" s="73"/>
    </row>
    <row r="49" spans="1:28" x14ac:dyDescent="0.2">
      <c r="A49" s="59"/>
      <c r="B49" s="198"/>
      <c r="C49" s="200"/>
      <c r="D49" s="218"/>
      <c r="E49" s="156" t="s">
        <v>103</v>
      </c>
      <c r="F49" s="212"/>
      <c r="G49" s="214"/>
      <c r="H49" s="66">
        <f>0.3175-F47</f>
        <v>0.26845000000000002</v>
      </c>
      <c r="I49" s="66"/>
      <c r="J49" s="66">
        <f>0.2594-G47</f>
        <v>0.21265000000000001</v>
      </c>
      <c r="K49" s="66"/>
      <c r="L49" s="61">
        <f t="shared" si="10"/>
        <v>2.2657495948136146E-2</v>
      </c>
      <c r="M49" s="66"/>
      <c r="N49" s="66">
        <f t="shared" si="2"/>
        <v>2.2657495948136146E-2</v>
      </c>
      <c r="O49" s="64">
        <f>'Growth curves'!H24</f>
        <v>2.2999999999999998</v>
      </c>
      <c r="P49" s="66">
        <f t="shared" si="3"/>
        <v>2.8368199999999999</v>
      </c>
      <c r="Q49" s="67">
        <f>P49*0.075/1000</f>
        <v>2.1276149999999999E-4</v>
      </c>
      <c r="R49" s="68">
        <f t="shared" si="4"/>
        <v>53.246230986659114</v>
      </c>
      <c r="S49" s="69">
        <f>AVERAGE(R47:R49)</f>
        <v>56.164588361379458</v>
      </c>
      <c r="T49" s="70">
        <f>STDEV(R47:R49)</f>
        <v>7.5705282687423017</v>
      </c>
      <c r="U49" s="70">
        <f>T49/SQRT(3)</f>
        <v>4.3708465338660396</v>
      </c>
      <c r="V49" s="70">
        <f t="shared" si="5"/>
        <v>151.04997298757431</v>
      </c>
      <c r="W49" s="69">
        <f>AVERAGE(V47:V49)</f>
        <v>155.71988114532687</v>
      </c>
      <c r="X49" s="70">
        <f>STDEV(V47:V49)</f>
        <v>29.925805245556024</v>
      </c>
      <c r="Y49" s="70">
        <f>X49/SQRT(3)</f>
        <v>17.277671714238085</v>
      </c>
      <c r="Z49" s="70">
        <f>(V49-$V$7)/(D47-$D$5)</f>
        <v>0.40169112791884276</v>
      </c>
      <c r="AA49" s="69">
        <f>AVERAGE(Z47:Z49)</f>
        <v>0.41467950882405913</v>
      </c>
      <c r="AB49" s="99">
        <f>STDEV(Z47:Z49)/SQRT(3)</f>
        <v>4.8828469633389049E-2</v>
      </c>
    </row>
    <row r="50" spans="1:28" x14ac:dyDescent="0.2">
      <c r="A50" s="59"/>
      <c r="B50" s="197" t="s">
        <v>29</v>
      </c>
      <c r="C50" s="199">
        <v>0.47916666666666669</v>
      </c>
      <c r="D50" s="217">
        <f>24.5+D47</f>
        <v>384.5</v>
      </c>
      <c r="E50" s="155" t="s">
        <v>101</v>
      </c>
      <c r="F50" s="211">
        <f>(0.0472+0.0457)/2</f>
        <v>4.6449999999999998E-2</v>
      </c>
      <c r="G50" s="213">
        <f>(0.045+0.0439)/2</f>
        <v>4.4450000000000003E-2</v>
      </c>
      <c r="H50" s="61">
        <f>0.212-F50</f>
        <v>0.16555</v>
      </c>
      <c r="I50" s="61">
        <f>0.2189-F50</f>
        <v>0.17245000000000002</v>
      </c>
      <c r="J50" s="61">
        <f>0.1441-G50</f>
        <v>9.9650000000000002E-2</v>
      </c>
      <c r="K50" s="61">
        <f>0.152-G50</f>
        <v>0.10754999999999999</v>
      </c>
      <c r="L50" s="61">
        <f t="shared" si="10"/>
        <v>1.7060251215559159E-2</v>
      </c>
      <c r="M50" s="61">
        <f>(I50-(0.605*K50))/6.17</f>
        <v>1.7403930307941656E-2</v>
      </c>
      <c r="N50" s="61">
        <f t="shared" si="2"/>
        <v>1.7232090761750408E-2</v>
      </c>
      <c r="O50" s="61">
        <f>'Growth curves'!F25</f>
        <v>2.5880000000000001</v>
      </c>
      <c r="P50" s="61">
        <f t="shared" si="3"/>
        <v>3.1920392000000004</v>
      </c>
      <c r="Q50" s="128">
        <f t="shared" ref="Q50:Q55" si="12">P50*0.05/1000</f>
        <v>1.5960196000000003E-4</v>
      </c>
      <c r="R50" s="129">
        <f t="shared" si="4"/>
        <v>53.984583778765639</v>
      </c>
      <c r="S50" s="130"/>
      <c r="V50" s="63">
        <f t="shared" si="5"/>
        <v>172.32090761750408</v>
      </c>
      <c r="W50" s="131"/>
      <c r="X50" s="63"/>
      <c r="Y50" s="63"/>
      <c r="Z50" s="63">
        <f>(V50-$V$5)/(D50-$D$5)</f>
        <v>0.43280434292362269</v>
      </c>
      <c r="AA50" s="131"/>
      <c r="AB50" s="73"/>
    </row>
    <row r="51" spans="1:28" x14ac:dyDescent="0.2">
      <c r="A51" s="59"/>
      <c r="B51" s="197"/>
      <c r="C51" s="199"/>
      <c r="D51" s="217"/>
      <c r="E51" s="155" t="s">
        <v>102</v>
      </c>
      <c r="F51" s="211"/>
      <c r="G51" s="213"/>
      <c r="H51" s="61">
        <f>0.1803-F50</f>
        <v>0.13385</v>
      </c>
      <c r="I51" s="61">
        <f>0.1771-F50</f>
        <v>0.13065000000000002</v>
      </c>
      <c r="J51" s="61">
        <f>0.1229-G50</f>
        <v>7.8449999999999992E-2</v>
      </c>
      <c r="K51" s="61">
        <f>0.1188-G50</f>
        <v>7.4349999999999999E-2</v>
      </c>
      <c r="L51" s="61">
        <f t="shared" si="10"/>
        <v>1.4001256077795789E-2</v>
      </c>
      <c r="M51" s="61">
        <f t="shared" ref="M51:M61" si="13">(I51-(0.605*K51))/6.17</f>
        <v>1.3884643435980554E-2</v>
      </c>
      <c r="N51" s="61">
        <f t="shared" si="2"/>
        <v>1.3942949756888172E-2</v>
      </c>
      <c r="O51" s="48">
        <f>'Growth curves'!G25</f>
        <v>2.1920000000000002</v>
      </c>
      <c r="P51" s="61">
        <f t="shared" si="3"/>
        <v>2.7036128000000001</v>
      </c>
      <c r="Q51" s="128">
        <f t="shared" si="12"/>
        <v>1.3518064000000001E-4</v>
      </c>
      <c r="R51" s="129">
        <f t="shared" si="4"/>
        <v>51.571548103664</v>
      </c>
      <c r="S51" s="130"/>
      <c r="V51" s="63">
        <f t="shared" si="5"/>
        <v>139.42949756888171</v>
      </c>
      <c r="W51" s="131"/>
      <c r="X51" s="63"/>
      <c r="Y51" s="63"/>
      <c r="Z51" s="63">
        <f>(V51-$V$6)/(D50-$D$5)</f>
        <v>0.3445319333239194</v>
      </c>
      <c r="AA51" s="131"/>
      <c r="AB51" s="73"/>
    </row>
    <row r="52" spans="1:28" x14ac:dyDescent="0.2">
      <c r="A52" s="59"/>
      <c r="B52" s="198"/>
      <c r="C52" s="200"/>
      <c r="D52" s="218"/>
      <c r="E52" s="156" t="s">
        <v>103</v>
      </c>
      <c r="F52" s="212"/>
      <c r="G52" s="214"/>
      <c r="H52" s="66">
        <f>0.2005-F50</f>
        <v>0.15405000000000002</v>
      </c>
      <c r="I52" s="66">
        <f>0.1908-F50</f>
        <v>0.14435000000000001</v>
      </c>
      <c r="J52" s="66">
        <f>0.1472-G50</f>
        <v>0.10274999999999999</v>
      </c>
      <c r="K52" s="66">
        <f>0.1374-G50</f>
        <v>9.2949999999999991E-2</v>
      </c>
      <c r="L52" s="61">
        <f t="shared" si="10"/>
        <v>1.4892423014586716E-2</v>
      </c>
      <c r="M52" s="61">
        <f t="shared" si="13"/>
        <v>1.4281239870340358E-2</v>
      </c>
      <c r="N52" s="66">
        <f t="shared" si="2"/>
        <v>1.4586831442463536E-2</v>
      </c>
      <c r="O52" s="64">
        <f>'Growth curves'!H25</f>
        <v>2.472</v>
      </c>
      <c r="P52" s="66">
        <f t="shared" si="3"/>
        <v>3.0489648000000003</v>
      </c>
      <c r="Q52" s="67">
        <f t="shared" si="12"/>
        <v>1.5244824E-4</v>
      </c>
      <c r="R52" s="68">
        <f t="shared" si="4"/>
        <v>47.841914877021658</v>
      </c>
      <c r="S52" s="69">
        <f>AVERAGE(R50:R52)</f>
        <v>51.132682253150428</v>
      </c>
      <c r="T52" s="70">
        <f>STDEV(R50:R52)</f>
        <v>3.0947613373527529</v>
      </c>
      <c r="U52" s="70">
        <f>T52/SQRT(3)</f>
        <v>1.7867612911982582</v>
      </c>
      <c r="V52" s="70">
        <f t="shared" si="5"/>
        <v>145.86831442463537</v>
      </c>
      <c r="W52" s="69">
        <f>AVERAGE(V50:V52)</f>
        <v>152.53957320367374</v>
      </c>
      <c r="X52" s="70">
        <f>STDEV(V50:V52)</f>
        <v>17.431020739455455</v>
      </c>
      <c r="Y52" s="70">
        <f>X52/SQRT(3)</f>
        <v>10.063804516174557</v>
      </c>
      <c r="Z52" s="70">
        <f>(V52-$V$7)/(D50-$D$5)</f>
        <v>0.36261936927917932</v>
      </c>
      <c r="AA52" s="69">
        <f>AVERAGE(Z50:Z52)</f>
        <v>0.37998521517557382</v>
      </c>
      <c r="AB52" s="99">
        <f>STDEV(Z50:Z52)/SQRT(3)</f>
        <v>2.6920772815228505E-2</v>
      </c>
    </row>
    <row r="53" spans="1:28" x14ac:dyDescent="0.2">
      <c r="A53" s="59"/>
      <c r="B53" s="197" t="s">
        <v>30</v>
      </c>
      <c r="C53" s="199">
        <v>0.45833333333333331</v>
      </c>
      <c r="D53" s="217">
        <f>23.5+D50</f>
        <v>408</v>
      </c>
      <c r="E53" s="155" t="s">
        <v>101</v>
      </c>
      <c r="F53" s="211">
        <f>(0.0442+0.0381+0.0384)/3</f>
        <v>4.0233333333333336E-2</v>
      </c>
      <c r="G53" s="213">
        <f>(0.0429+0.0361+0.0366)/3</f>
        <v>3.8533333333333336E-2</v>
      </c>
      <c r="H53" s="61">
        <f>0.1779-F53</f>
        <v>0.13766666666666666</v>
      </c>
      <c r="I53" s="61">
        <f>0.1741-F53</f>
        <v>0.13386666666666666</v>
      </c>
      <c r="J53" s="61">
        <f>0.1392-G53</f>
        <v>0.10066666666666665</v>
      </c>
      <c r="K53" s="61">
        <f>0.134-G53</f>
        <v>9.5466666666666672E-2</v>
      </c>
      <c r="L53" s="61">
        <f t="shared" si="10"/>
        <v>1.2441383036196652E-2</v>
      </c>
      <c r="M53" s="61">
        <f t="shared" si="13"/>
        <v>1.2335386277687736E-2</v>
      </c>
      <c r="N53" s="61">
        <f t="shared" si="2"/>
        <v>1.2388384656942194E-2</v>
      </c>
      <c r="O53" s="48">
        <f>'Growth curves'!F26</f>
        <v>2.74</v>
      </c>
      <c r="P53" s="61">
        <f t="shared" si="3"/>
        <v>3.3795160000000002</v>
      </c>
      <c r="Q53" s="128">
        <f t="shared" si="12"/>
        <v>1.689758E-4</v>
      </c>
      <c r="R53" s="129">
        <f t="shared" si="4"/>
        <v>36.657274760475147</v>
      </c>
      <c r="S53" s="130"/>
      <c r="T53" s="63"/>
      <c r="U53" s="63"/>
      <c r="V53" s="63">
        <f t="shared" si="5"/>
        <v>123.88384656942193</v>
      </c>
      <c r="W53" s="131"/>
      <c r="X53" s="63"/>
      <c r="Y53" s="63"/>
      <c r="Z53" s="63">
        <f>(V53-$V$5)/(D53-$D$5)</f>
        <v>0.28915737452463425</v>
      </c>
      <c r="AA53" s="131"/>
      <c r="AB53" s="73"/>
    </row>
    <row r="54" spans="1:28" x14ac:dyDescent="0.2">
      <c r="A54" s="59"/>
      <c r="B54" s="197"/>
      <c r="C54" s="199"/>
      <c r="D54" s="217"/>
      <c r="E54" s="155" t="s">
        <v>102</v>
      </c>
      <c r="F54" s="211"/>
      <c r="G54" s="213"/>
      <c r="H54" s="61">
        <f>0.1933-F53</f>
        <v>0.15306666666666666</v>
      </c>
      <c r="I54" s="61">
        <f>0.2099-F53</f>
        <v>0.16966666666666666</v>
      </c>
      <c r="J54" s="61">
        <f>0.1603-G53</f>
        <v>0.12176666666666666</v>
      </c>
      <c r="K54" s="61">
        <f>0.1778-G53</f>
        <v>0.13926666666666668</v>
      </c>
      <c r="L54" s="61">
        <f t="shared" si="10"/>
        <v>1.2868368449486764E-2</v>
      </c>
      <c r="M54" s="61">
        <f t="shared" si="13"/>
        <v>1.3842841707185303E-2</v>
      </c>
      <c r="N54" s="61">
        <f t="shared" si="2"/>
        <v>1.3355605078336033E-2</v>
      </c>
      <c r="O54" s="48">
        <f>'Growth curves'!G26</f>
        <v>2.2839999999999998</v>
      </c>
      <c r="P54" s="61">
        <f t="shared" si="3"/>
        <v>2.8170856</v>
      </c>
      <c r="Q54" s="128">
        <f t="shared" si="12"/>
        <v>1.4085428000000001E-4</v>
      </c>
      <c r="R54" s="129">
        <f t="shared" si="4"/>
        <v>47.409298028913398</v>
      </c>
      <c r="S54" s="130"/>
      <c r="T54" s="63"/>
      <c r="U54" s="63"/>
      <c r="V54" s="63">
        <f t="shared" si="5"/>
        <v>133.55605078336032</v>
      </c>
      <c r="W54" s="131"/>
      <c r="X54" s="63"/>
      <c r="Y54" s="63"/>
      <c r="Z54" s="63">
        <f>(V54-$V$6)/(D53-$D$5)</f>
        <v>0.31029186661158242</v>
      </c>
      <c r="AA54" s="131"/>
      <c r="AB54" s="73"/>
    </row>
    <row r="55" spans="1:28" x14ac:dyDescent="0.2">
      <c r="A55" s="59"/>
      <c r="B55" s="198"/>
      <c r="C55" s="200"/>
      <c r="D55" s="218"/>
      <c r="E55" s="156" t="s">
        <v>103</v>
      </c>
      <c r="F55" s="212"/>
      <c r="G55" s="214"/>
      <c r="H55" s="66">
        <f>0.1404-F53</f>
        <v>0.10016666666666665</v>
      </c>
      <c r="I55" s="66">
        <f>0.1385-F53</f>
        <v>9.8266666666666669E-2</v>
      </c>
      <c r="J55" s="66">
        <f>0.1054-G53</f>
        <v>6.6866666666666658E-2</v>
      </c>
      <c r="K55" s="66">
        <f>0.1026-G53</f>
        <v>6.4066666666666661E-2</v>
      </c>
      <c r="L55" s="61">
        <f t="shared" si="10"/>
        <v>9.6778498109130195E-3</v>
      </c>
      <c r="M55" s="61">
        <f t="shared" si="13"/>
        <v>9.6444624527282571E-3</v>
      </c>
      <c r="N55" s="66">
        <f t="shared" si="2"/>
        <v>9.6611561318206383E-3</v>
      </c>
      <c r="O55" s="64">
        <f>'Growth curves'!H26</f>
        <v>2.6040000000000001</v>
      </c>
      <c r="P55" s="66">
        <f t="shared" si="3"/>
        <v>3.2117736000000003</v>
      </c>
      <c r="Q55" s="67">
        <f t="shared" si="12"/>
        <v>1.6058868000000005E-4</v>
      </c>
      <c r="R55" s="68">
        <f t="shared" si="4"/>
        <v>30.080439455074401</v>
      </c>
      <c r="S55" s="69">
        <f>AVERAGE(R53:R55)</f>
        <v>38.049004081487645</v>
      </c>
      <c r="T55" s="70">
        <f>STDEV(R53:R55)</f>
        <v>8.7478578946650174</v>
      </c>
      <c r="U55" s="70">
        <f>T55/SQRT(3)</f>
        <v>5.0505781103174412</v>
      </c>
      <c r="V55" s="70">
        <f t="shared" si="5"/>
        <v>96.611561318206356</v>
      </c>
      <c r="W55" s="69">
        <f>AVERAGE(V53:V55)</f>
        <v>118.01715289032954</v>
      </c>
      <c r="X55" s="70">
        <f>STDEV(V53:V55)</f>
        <v>19.158220076600148</v>
      </c>
      <c r="Y55" s="70">
        <f>X55/SQRT(3)</f>
        <v>11.06100351841919</v>
      </c>
      <c r="Z55" s="70">
        <f>(V55-$V$7)/(D53-$D$5)</f>
        <v>0.22100586858190058</v>
      </c>
      <c r="AA55" s="69">
        <f>AVERAGE(Z53:Z55)</f>
        <v>0.27348503657270573</v>
      </c>
      <c r="AB55" s="99">
        <f>STDEV(Z53:Z55)/SQRT(3)</f>
        <v>2.6939524826907545E-2</v>
      </c>
    </row>
    <row r="56" spans="1:28" x14ac:dyDescent="0.2">
      <c r="A56" s="59"/>
      <c r="B56" s="197" t="s">
        <v>31</v>
      </c>
      <c r="C56" s="199">
        <v>0.52083333333333337</v>
      </c>
      <c r="D56" s="215">
        <f>25.5+D53</f>
        <v>433.5</v>
      </c>
      <c r="E56" s="155" t="s">
        <v>101</v>
      </c>
      <c r="F56" s="211">
        <f>(0.0428+0.0362)/2</f>
        <v>3.95E-2</v>
      </c>
      <c r="G56" s="213">
        <f>(0.0412+0.0349)/2</f>
        <v>3.805E-2</v>
      </c>
      <c r="H56" s="61">
        <f>0.2079-F56</f>
        <v>0.16839999999999999</v>
      </c>
      <c r="I56" s="61">
        <f>0.2098-F56</f>
        <v>0.17029999999999998</v>
      </c>
      <c r="J56" s="61">
        <f>0.1601-G56</f>
        <v>0.12204999999999999</v>
      </c>
      <c r="K56" s="61">
        <f>0.161-G56</f>
        <v>0.12295</v>
      </c>
      <c r="L56" s="61">
        <f t="shared" si="10"/>
        <v>1.5325729335494327E-2</v>
      </c>
      <c r="M56" s="61">
        <f t="shared" si="13"/>
        <v>1.5545421393841163E-2</v>
      </c>
      <c r="N56" s="61">
        <f t="shared" si="2"/>
        <v>1.5435575364667744E-2</v>
      </c>
      <c r="O56" s="48">
        <f>'Growth curves'!F27</f>
        <v>2.8439999999999999</v>
      </c>
      <c r="P56" s="61">
        <f t="shared" si="3"/>
        <v>3.5077896000000002</v>
      </c>
      <c r="Q56" s="128">
        <f t="shared" ref="Q56:Q61" si="14">P56*0.05/1000</f>
        <v>1.7538948E-4</v>
      </c>
      <c r="R56" s="129">
        <f t="shared" si="4"/>
        <v>44.00370924375779</v>
      </c>
      <c r="S56" s="130"/>
      <c r="T56" s="63"/>
      <c r="U56" s="63"/>
      <c r="V56" s="63">
        <f t="shared" si="5"/>
        <v>154.35575364667744</v>
      </c>
      <c r="W56" s="131"/>
      <c r="X56" s="63"/>
      <c r="Y56" s="63"/>
      <c r="Z56" s="63">
        <f>(V56-$V$5)/(D56-$D$5)</f>
        <v>0.34244086708951854</v>
      </c>
      <c r="AA56" s="131"/>
      <c r="AB56" s="73"/>
    </row>
    <row r="57" spans="1:28" x14ac:dyDescent="0.2">
      <c r="A57" s="59"/>
      <c r="B57" s="197"/>
      <c r="C57" s="199"/>
      <c r="D57" s="215"/>
      <c r="E57" s="155" t="s">
        <v>102</v>
      </c>
      <c r="F57" s="211"/>
      <c r="G57" s="213"/>
      <c r="H57" s="61">
        <f>0.1771-F56</f>
        <v>0.1376</v>
      </c>
      <c r="I57" s="61">
        <f>0.1806-F56</f>
        <v>0.1411</v>
      </c>
      <c r="J57" s="61">
        <f>0.1401-G56</f>
        <v>0.10205</v>
      </c>
      <c r="K57" s="61">
        <f>0.1435-G56</f>
        <v>0.10544999999999999</v>
      </c>
      <c r="L57" s="61">
        <f t="shared" si="10"/>
        <v>1.2294935170178283E-2</v>
      </c>
      <c r="M57" s="61">
        <f t="shared" si="13"/>
        <v>1.2528808752025935E-2</v>
      </c>
      <c r="N57" s="61">
        <f t="shared" si="2"/>
        <v>1.2411871961102109E-2</v>
      </c>
      <c r="O57" s="48">
        <f>'Growth curves'!G27</f>
        <v>2.3519999999999999</v>
      </c>
      <c r="P57" s="61">
        <f t="shared" si="3"/>
        <v>2.9009567999999999</v>
      </c>
      <c r="Q57" s="128">
        <f t="shared" si="14"/>
        <v>1.4504784000000001E-4</v>
      </c>
      <c r="R57" s="129">
        <f t="shared" si="4"/>
        <v>42.785442241339503</v>
      </c>
      <c r="S57" s="130"/>
      <c r="T57" s="63"/>
      <c r="U57" s="63"/>
      <c r="V57" s="63">
        <f t="shared" si="5"/>
        <v>124.11871961102106</v>
      </c>
      <c r="W57" s="131"/>
      <c r="X57" s="63"/>
      <c r="Y57" s="63"/>
      <c r="Z57" s="63">
        <f>(V57-$V$6)/(D56-$D$5)</f>
        <v>0.27026932042718887</v>
      </c>
      <c r="AA57" s="131"/>
      <c r="AB57" s="73"/>
    </row>
    <row r="58" spans="1:28" x14ac:dyDescent="0.2">
      <c r="A58" s="59"/>
      <c r="B58" s="198"/>
      <c r="C58" s="200"/>
      <c r="D58" s="216"/>
      <c r="E58" s="156" t="s">
        <v>103</v>
      </c>
      <c r="F58" s="212"/>
      <c r="G58" s="214"/>
      <c r="H58" s="66">
        <f>0.1979-F56</f>
        <v>0.15839999999999999</v>
      </c>
      <c r="I58" s="66">
        <f>0.2206-F56</f>
        <v>0.18109999999999998</v>
      </c>
      <c r="J58" s="66">
        <f>0.1353-G56</f>
        <v>9.7250000000000003E-2</v>
      </c>
      <c r="K58" s="66">
        <f>0.154-G56</f>
        <v>0.11595</v>
      </c>
      <c r="L58" s="61">
        <f t="shared" si="10"/>
        <v>1.6136750405186383E-2</v>
      </c>
      <c r="M58" s="61">
        <f t="shared" si="13"/>
        <v>1.7982212317666123E-2</v>
      </c>
      <c r="N58" s="66">
        <f t="shared" si="2"/>
        <v>1.7059481361426251E-2</v>
      </c>
      <c r="O58" s="64">
        <f>'Growth curves'!H27</f>
        <v>2.6480000000000001</v>
      </c>
      <c r="P58" s="66">
        <f t="shared" si="3"/>
        <v>3.2660432000000004</v>
      </c>
      <c r="Q58" s="67">
        <f t="shared" si="14"/>
        <v>1.6330216000000003E-4</v>
      </c>
      <c r="R58" s="68">
        <f t="shared" si="4"/>
        <v>52.232871143364697</v>
      </c>
      <c r="S58" s="69">
        <f>AVERAGE(R56:R58)</f>
        <v>46.340674209487332</v>
      </c>
      <c r="T58" s="70">
        <f>STDEV(R56:R58)</f>
        <v>5.1390205441300481</v>
      </c>
      <c r="U58" s="70">
        <f>T58/SQRT(3)</f>
        <v>2.9670148945245005</v>
      </c>
      <c r="V58" s="70">
        <f t="shared" si="5"/>
        <v>170.59481361426251</v>
      </c>
      <c r="W58" s="69">
        <f>AVERAGE(V56:V58)</f>
        <v>149.68976229065368</v>
      </c>
      <c r="X58" s="70">
        <f>STDEV(V56:V58)</f>
        <v>23.586763977926278</v>
      </c>
      <c r="Y58" s="70">
        <f>X58/SQRT(3)</f>
        <v>13.617824531967905</v>
      </c>
      <c r="Z58" s="70">
        <f>(V58-$V$7)/(D56-$D$5)</f>
        <v>0.37867046523061498</v>
      </c>
      <c r="AA58" s="69">
        <f>AVERAGE(Z56:Z58)</f>
        <v>0.33046021758244076</v>
      </c>
      <c r="AB58" s="99">
        <f>STDEV(Z56:Z58)/SQRT(3)</f>
        <v>3.1860916604475049E-2</v>
      </c>
    </row>
    <row r="59" spans="1:28" x14ac:dyDescent="0.2">
      <c r="A59" s="59"/>
      <c r="B59" s="197" t="s">
        <v>32</v>
      </c>
      <c r="C59" s="199">
        <v>0.54166666666666663</v>
      </c>
      <c r="D59" s="215">
        <f>24.5+D56</f>
        <v>458</v>
      </c>
      <c r="E59" s="155" t="s">
        <v>101</v>
      </c>
      <c r="F59" s="211">
        <f>(0.0451+0.0382+0.039)/3</f>
        <v>4.0766666666666666E-2</v>
      </c>
      <c r="G59" s="213">
        <f>(0.0444+0.0374+0.0382)/3</f>
        <v>0.04</v>
      </c>
      <c r="H59" s="61">
        <f>0.2428-F59</f>
        <v>0.20203333333333331</v>
      </c>
      <c r="I59" s="61">
        <f>0.2662-F59</f>
        <v>0.22543333333333332</v>
      </c>
      <c r="J59" s="61">
        <f>0.1522-G59</f>
        <v>0.11219999999999999</v>
      </c>
      <c r="K59" s="61">
        <f>0.1751-G59</f>
        <v>0.1351</v>
      </c>
      <c r="L59" s="61">
        <f t="shared" si="10"/>
        <v>2.1742679632631007E-2</v>
      </c>
      <c r="M59" s="61">
        <f t="shared" si="13"/>
        <v>2.3289762290653698E-2</v>
      </c>
      <c r="N59" s="61">
        <f t="shared" si="2"/>
        <v>2.2516220961642353E-2</v>
      </c>
      <c r="O59" s="48">
        <f>'Growth curves'!F28</f>
        <v>2.8519999999999999</v>
      </c>
      <c r="P59" s="61">
        <f t="shared" si="3"/>
        <v>3.5176568000000001</v>
      </c>
      <c r="Q59" s="128">
        <f t="shared" si="14"/>
        <v>1.7588284000000001E-4</v>
      </c>
      <c r="R59" s="129">
        <f t="shared" si="4"/>
        <v>64.009146547901864</v>
      </c>
      <c r="S59" s="130"/>
      <c r="T59" s="63"/>
      <c r="U59" s="63"/>
      <c r="V59" s="63">
        <f t="shared" si="5"/>
        <v>225.16220961642352</v>
      </c>
      <c r="W59" s="131"/>
      <c r="X59" s="63"/>
      <c r="Y59" s="63"/>
      <c r="Z59" s="63">
        <f>(V59-$V$5)/(D59-$D$5)</f>
        <v>0.47872177260491783</v>
      </c>
      <c r="AA59" s="131"/>
      <c r="AB59" s="73"/>
    </row>
    <row r="60" spans="1:28" ht="15" customHeight="1" x14ac:dyDescent="0.2">
      <c r="A60" s="59"/>
      <c r="B60" s="197"/>
      <c r="C60" s="199"/>
      <c r="D60" s="215"/>
      <c r="E60" s="155" t="s">
        <v>102</v>
      </c>
      <c r="F60" s="211"/>
      <c r="G60" s="213"/>
      <c r="H60" s="61">
        <f>0.2055-F59</f>
        <v>0.16473333333333331</v>
      </c>
      <c r="I60" s="61">
        <f>0.21-F59</f>
        <v>0.16923333333333332</v>
      </c>
      <c r="J60" s="61">
        <f>0.1387-G59</f>
        <v>9.8699999999999982E-2</v>
      </c>
      <c r="K60" s="61">
        <f>0.1425-G59</f>
        <v>0.10249999999999998</v>
      </c>
      <c r="L60" s="61">
        <f t="shared" si="10"/>
        <v>1.7021042679632632E-2</v>
      </c>
      <c r="M60" s="61">
        <f t="shared" si="13"/>
        <v>1.7377768773635872E-2</v>
      </c>
      <c r="N60" s="61">
        <f t="shared" si="2"/>
        <v>1.7199405726634254E-2</v>
      </c>
      <c r="O60" s="48">
        <f>'Growth curves'!G28</f>
        <v>2.4239999999999999</v>
      </c>
      <c r="P60" s="61">
        <f t="shared" si="3"/>
        <v>2.9897616</v>
      </c>
      <c r="Q60" s="128">
        <f t="shared" si="14"/>
        <v>1.4948808000000001E-4</v>
      </c>
      <c r="R60" s="129">
        <f t="shared" si="4"/>
        <v>57.527682898309529</v>
      </c>
      <c r="S60" s="130"/>
      <c r="T60" s="63"/>
      <c r="U60" s="63"/>
      <c r="V60" s="63">
        <f t="shared" si="5"/>
        <v>171.99405726634254</v>
      </c>
      <c r="W60" s="131"/>
      <c r="X60" s="63"/>
      <c r="Y60" s="63"/>
      <c r="Z60" s="63">
        <f>(V60-$V$6)/(D59-$D$5)</f>
        <v>0.3603429870316765</v>
      </c>
      <c r="AA60" s="131"/>
      <c r="AB60" s="73"/>
    </row>
    <row r="61" spans="1:28" ht="16" customHeight="1" thickBot="1" x14ac:dyDescent="0.25">
      <c r="A61" s="74"/>
      <c r="B61" s="221"/>
      <c r="C61" s="222"/>
      <c r="D61" s="223"/>
      <c r="E61" s="157" t="s">
        <v>103</v>
      </c>
      <c r="F61" s="219"/>
      <c r="G61" s="220"/>
      <c r="H61" s="76">
        <f>0.2372-F59</f>
        <v>0.19643333333333332</v>
      </c>
      <c r="I61" s="76">
        <f>0.2284-F59</f>
        <v>0.18763333333333332</v>
      </c>
      <c r="J61" s="76">
        <f>0.1596-G59</f>
        <v>0.11959999999999998</v>
      </c>
      <c r="K61" s="76">
        <f>0.1474-G59</f>
        <v>0.1074</v>
      </c>
      <c r="L61" s="76">
        <f t="shared" si="10"/>
        <v>2.0109454349000539E-2</v>
      </c>
      <c r="M61" s="76">
        <f t="shared" si="13"/>
        <v>1.9879470556455968E-2</v>
      </c>
      <c r="N61" s="76">
        <f t="shared" si="2"/>
        <v>1.9994462452728255E-2</v>
      </c>
      <c r="O61" s="75">
        <f>'Growth curves'!H28</f>
        <v>2.8279999999999998</v>
      </c>
      <c r="P61" s="76">
        <f t="shared" si="3"/>
        <v>3.4880551999999998</v>
      </c>
      <c r="Q61" s="77">
        <f t="shared" si="14"/>
        <v>1.7440275999999999E-4</v>
      </c>
      <c r="R61" s="78">
        <f t="shared" si="4"/>
        <v>57.322666375028284</v>
      </c>
      <c r="S61" s="79">
        <f>AVERAGE(R59:R61)</f>
        <v>59.619831940413228</v>
      </c>
      <c r="T61" s="80">
        <f>STDEV(R59:R61)</f>
        <v>3.8026398707134281</v>
      </c>
      <c r="U61" s="80">
        <f>T61/SQRT(3)</f>
        <v>2.1954551529876016</v>
      </c>
      <c r="V61" s="80">
        <f t="shared" si="5"/>
        <v>199.94462452728254</v>
      </c>
      <c r="W61" s="79">
        <f>AVERAGE(V59:V61)</f>
        <v>199.03363047001622</v>
      </c>
      <c r="X61" s="80">
        <f>STDEV(V59:V61)</f>
        <v>26.595780468142376</v>
      </c>
      <c r="Y61" s="80">
        <f>X61/SQRT(3)</f>
        <v>15.355081012590192</v>
      </c>
      <c r="Z61" s="80">
        <f>(V61-$V$7)/(D59-$D$5)</f>
        <v>0.42249663229364981</v>
      </c>
      <c r="AA61" s="79">
        <f>AVERAGE(Z59:Z61)</f>
        <v>0.42052046397674808</v>
      </c>
      <c r="AB61" s="102">
        <f>STDEV(Z59:Z61)/SQRT(3)</f>
        <v>3.4187293689134174E-2</v>
      </c>
    </row>
  </sheetData>
  <mergeCells count="101">
    <mergeCell ref="F59:F61"/>
    <mergeCell ref="G59:G61"/>
    <mergeCell ref="G56:G58"/>
    <mergeCell ref="F56:F58"/>
    <mergeCell ref="F53:F55"/>
    <mergeCell ref="G53:G55"/>
    <mergeCell ref="B53:B55"/>
    <mergeCell ref="B56:B58"/>
    <mergeCell ref="B59:B61"/>
    <mergeCell ref="C59:C61"/>
    <mergeCell ref="C56:C58"/>
    <mergeCell ref="C53:C55"/>
    <mergeCell ref="D53:D55"/>
    <mergeCell ref="D56:D58"/>
    <mergeCell ref="D59:D61"/>
    <mergeCell ref="F50:F52"/>
    <mergeCell ref="B44:B46"/>
    <mergeCell ref="C44:C46"/>
    <mergeCell ref="D44:D46"/>
    <mergeCell ref="F44:F46"/>
    <mergeCell ref="G44:G46"/>
    <mergeCell ref="B41:B43"/>
    <mergeCell ref="C41:C43"/>
    <mergeCell ref="D41:D43"/>
    <mergeCell ref="F41:F43"/>
    <mergeCell ref="G41:G43"/>
    <mergeCell ref="G50:G52"/>
    <mergeCell ref="B47:B49"/>
    <mergeCell ref="C47:C49"/>
    <mergeCell ref="D47:D49"/>
    <mergeCell ref="F47:F49"/>
    <mergeCell ref="G47:G49"/>
    <mergeCell ref="B50:B52"/>
    <mergeCell ref="C50:C52"/>
    <mergeCell ref="D50:D52"/>
    <mergeCell ref="B38:B40"/>
    <mergeCell ref="C38:C40"/>
    <mergeCell ref="D38:D40"/>
    <mergeCell ref="F38:F40"/>
    <mergeCell ref="G38:G40"/>
    <mergeCell ref="B35:B37"/>
    <mergeCell ref="C35:C37"/>
    <mergeCell ref="D35:D37"/>
    <mergeCell ref="F35:F37"/>
    <mergeCell ref="G35:G37"/>
    <mergeCell ref="G23:G25"/>
    <mergeCell ref="F26:F28"/>
    <mergeCell ref="G26:G28"/>
    <mergeCell ref="F29:F31"/>
    <mergeCell ref="G29:G31"/>
    <mergeCell ref="B32:B34"/>
    <mergeCell ref="C32:C34"/>
    <mergeCell ref="D32:D34"/>
    <mergeCell ref="F8:F10"/>
    <mergeCell ref="G8:G10"/>
    <mergeCell ref="F11:F13"/>
    <mergeCell ref="G11:G13"/>
    <mergeCell ref="F14:F16"/>
    <mergeCell ref="G14:G16"/>
    <mergeCell ref="F17:F19"/>
    <mergeCell ref="G17:G19"/>
    <mergeCell ref="F32:F34"/>
    <mergeCell ref="G32:G34"/>
    <mergeCell ref="F20:F22"/>
    <mergeCell ref="G20:G22"/>
    <mergeCell ref="F23:F25"/>
    <mergeCell ref="B26:B28"/>
    <mergeCell ref="C26:C28"/>
    <mergeCell ref="D26:D28"/>
    <mergeCell ref="B29:B31"/>
    <mergeCell ref="C29:C31"/>
    <mergeCell ref="D29:D31"/>
    <mergeCell ref="B20:B22"/>
    <mergeCell ref="C20:C22"/>
    <mergeCell ref="D20:D22"/>
    <mergeCell ref="B23:B25"/>
    <mergeCell ref="C23:C25"/>
    <mergeCell ref="D23:D25"/>
    <mergeCell ref="B14:B16"/>
    <mergeCell ref="C14:C16"/>
    <mergeCell ref="D14:D16"/>
    <mergeCell ref="B17:B19"/>
    <mergeCell ref="C17:C19"/>
    <mergeCell ref="D17:D19"/>
    <mergeCell ref="B8:B10"/>
    <mergeCell ref="C8:C10"/>
    <mergeCell ref="D8:D10"/>
    <mergeCell ref="B11:B13"/>
    <mergeCell ref="C11:C13"/>
    <mergeCell ref="D11:D13"/>
    <mergeCell ref="A1:AB1"/>
    <mergeCell ref="B2:AB2"/>
    <mergeCell ref="B5:B7"/>
    <mergeCell ref="C5:C7"/>
    <mergeCell ref="D5:D7"/>
    <mergeCell ref="L4:M4"/>
    <mergeCell ref="H3:I3"/>
    <mergeCell ref="J3:K3"/>
    <mergeCell ref="L3:M3"/>
    <mergeCell ref="F5:F7"/>
    <mergeCell ref="G5:G7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4218C-195A-4DD1-B41E-B75D0EB94C6D}">
  <dimension ref="A1:AH65"/>
  <sheetViews>
    <sheetView zoomScaleNormal="100" workbookViewId="0">
      <selection sqref="A1:AB1"/>
    </sheetView>
  </sheetViews>
  <sheetFormatPr baseColWidth="10" defaultColWidth="9.1640625" defaultRowHeight="13" x14ac:dyDescent="0.15"/>
  <cols>
    <col min="1" max="1" width="78.83203125" style="81" customWidth="1"/>
    <col min="2" max="2" width="9.5" style="81" bestFit="1" customWidth="1"/>
    <col min="3" max="3" width="9.5" style="81" customWidth="1"/>
    <col min="4" max="4" width="11.5" style="81" bestFit="1" customWidth="1"/>
    <col min="5" max="7" width="11.5" style="81" customWidth="1"/>
    <col min="8" max="11" width="9.6640625" style="81" customWidth="1"/>
    <col min="12" max="12" width="9.83203125" style="81" customWidth="1"/>
    <col min="13" max="13" width="8.5" style="81" customWidth="1"/>
    <col min="14" max="15" width="9.1640625" style="81"/>
    <col min="16" max="16" width="12.1640625" style="81" customWidth="1"/>
    <col min="17" max="17" width="11.83203125" style="81" customWidth="1"/>
    <col min="18" max="18" width="11.6640625" style="81" bestFit="1" customWidth="1"/>
    <col min="19" max="21" width="9.1640625" style="81"/>
    <col min="22" max="22" width="9.6640625" style="81" bestFit="1" customWidth="1"/>
    <col min="23" max="25" width="9.1640625" style="81"/>
    <col min="26" max="26" width="9.6640625" style="81" customWidth="1"/>
    <col min="27" max="27" width="10.33203125" style="81" customWidth="1"/>
    <col min="28" max="16384" width="9.1640625" style="81"/>
  </cols>
  <sheetData>
    <row r="1" spans="1:34" ht="17" thickBot="1" x14ac:dyDescent="0.2">
      <c r="A1" s="191" t="s">
        <v>79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  <c r="AA1" s="192"/>
      <c r="AB1" s="193"/>
    </row>
    <row r="2" spans="1:34" ht="16" customHeight="1" thickBot="1" x14ac:dyDescent="0.2">
      <c r="A2" s="86"/>
      <c r="B2" s="224" t="s">
        <v>33</v>
      </c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6"/>
    </row>
    <row r="3" spans="1:34" ht="51" customHeight="1" x14ac:dyDescent="0.15">
      <c r="A3" s="59"/>
      <c r="B3" s="49" t="s">
        <v>2</v>
      </c>
      <c r="C3" s="50" t="s">
        <v>3</v>
      </c>
      <c r="D3" s="144" t="s">
        <v>4</v>
      </c>
      <c r="E3" s="154"/>
      <c r="F3" s="145" t="s">
        <v>34</v>
      </c>
      <c r="G3" s="50" t="s">
        <v>35</v>
      </c>
      <c r="H3" s="205" t="s">
        <v>97</v>
      </c>
      <c r="I3" s="206"/>
      <c r="J3" s="207" t="s">
        <v>98</v>
      </c>
      <c r="K3" s="208"/>
      <c r="L3" s="209" t="s">
        <v>68</v>
      </c>
      <c r="M3" s="210"/>
      <c r="N3" s="51" t="s">
        <v>69</v>
      </c>
      <c r="O3" s="52" t="s">
        <v>70</v>
      </c>
      <c r="P3" s="51" t="s">
        <v>36</v>
      </c>
      <c r="Q3" s="51" t="s">
        <v>37</v>
      </c>
      <c r="R3" s="51" t="s">
        <v>71</v>
      </c>
      <c r="S3" s="51" t="s">
        <v>72</v>
      </c>
      <c r="T3" s="51" t="s">
        <v>73</v>
      </c>
      <c r="U3" s="121" t="s">
        <v>62</v>
      </c>
      <c r="V3" s="52" t="s">
        <v>74</v>
      </c>
      <c r="W3" s="51" t="s">
        <v>75</v>
      </c>
      <c r="X3" s="51" t="s">
        <v>73</v>
      </c>
      <c r="Y3" s="121" t="s">
        <v>62</v>
      </c>
      <c r="Z3" s="120" t="s">
        <v>94</v>
      </c>
      <c r="AA3" s="51" t="s">
        <v>95</v>
      </c>
      <c r="AB3" s="132" t="s">
        <v>62</v>
      </c>
    </row>
    <row r="4" spans="1:34" ht="36" customHeight="1" x14ac:dyDescent="0.15">
      <c r="A4" s="59"/>
      <c r="B4" s="53"/>
      <c r="C4" s="54"/>
      <c r="D4" s="56"/>
      <c r="E4" s="139"/>
      <c r="F4" s="142" t="s">
        <v>39</v>
      </c>
      <c r="G4" s="54" t="s">
        <v>39</v>
      </c>
      <c r="H4" s="142" t="s">
        <v>99</v>
      </c>
      <c r="I4" s="54" t="s">
        <v>100</v>
      </c>
      <c r="J4" s="56" t="s">
        <v>99</v>
      </c>
      <c r="K4" s="143" t="s">
        <v>100</v>
      </c>
      <c r="L4" s="203" t="s">
        <v>40</v>
      </c>
      <c r="M4" s="204"/>
      <c r="N4" s="57" t="s">
        <v>40</v>
      </c>
      <c r="O4" s="57" t="s">
        <v>39</v>
      </c>
      <c r="P4" s="57" t="s">
        <v>41</v>
      </c>
      <c r="Q4" s="57" t="s">
        <v>42</v>
      </c>
      <c r="R4" s="58" t="s">
        <v>77</v>
      </c>
      <c r="S4" s="58" t="s">
        <v>77</v>
      </c>
      <c r="T4" s="57"/>
      <c r="U4" s="56"/>
      <c r="V4" s="58" t="s">
        <v>78</v>
      </c>
      <c r="W4" s="58" t="s">
        <v>78</v>
      </c>
      <c r="X4" s="57"/>
      <c r="Y4" s="56"/>
      <c r="Z4" s="126" t="s">
        <v>96</v>
      </c>
      <c r="AA4" s="58" t="s">
        <v>96</v>
      </c>
      <c r="AB4" s="55"/>
      <c r="AD4" s="83" t="s">
        <v>4</v>
      </c>
      <c r="AE4" s="83" t="str">
        <f>R3</f>
        <v>Specific CPC conc.</v>
      </c>
      <c r="AF4" s="83" t="s">
        <v>38</v>
      </c>
      <c r="AG4" s="48" t="str">
        <f>V3</f>
        <v>Total CPC</v>
      </c>
      <c r="AH4" s="48" t="s">
        <v>38</v>
      </c>
    </row>
    <row r="5" spans="1:34" x14ac:dyDescent="0.15">
      <c r="A5" s="86"/>
      <c r="B5" s="197" t="s">
        <v>13</v>
      </c>
      <c r="C5" s="199">
        <v>0.45833333333333331</v>
      </c>
      <c r="D5" s="201">
        <v>0</v>
      </c>
      <c r="E5" s="155" t="s">
        <v>101</v>
      </c>
      <c r="F5" s="211">
        <f>(0.0428+0.0467)/2</f>
        <v>4.4749999999999998E-2</v>
      </c>
      <c r="G5" s="213">
        <f>(0.0396+0.0445)/2</f>
        <v>4.2050000000000004E-2</v>
      </c>
      <c r="H5" s="62">
        <f>0.1296-F5</f>
        <v>8.4849999999999995E-2</v>
      </c>
      <c r="I5" s="61">
        <f>0.1314-F5</f>
        <v>8.6649999999999991E-2</v>
      </c>
      <c r="J5" s="61">
        <f>0.0944-G5</f>
        <v>5.2349999999999994E-2</v>
      </c>
      <c r="K5" s="61">
        <f>0.0985-G5</f>
        <v>5.645E-2</v>
      </c>
      <c r="L5" s="61">
        <f>(H5-(0.474*J5))/5.34</f>
        <v>1.1242715355805243E-2</v>
      </c>
      <c r="M5" s="61">
        <f>(I5-(0.474*K5))/5.34</f>
        <v>1.1215861423220973E-2</v>
      </c>
      <c r="N5" s="61">
        <f>AVERAGE(L5:M5)</f>
        <v>1.1229288389513108E-2</v>
      </c>
      <c r="O5" s="48">
        <f>'Growth curves'!F33</f>
        <v>0.106</v>
      </c>
      <c r="P5" s="61">
        <f>1.2596*O5</f>
        <v>0.13351760000000001</v>
      </c>
      <c r="Q5" s="128">
        <f t="shared" ref="Q5:Q13" si="0">P5*1/1000</f>
        <v>1.335176E-4</v>
      </c>
      <c r="R5" s="129">
        <f>(N5*0.5)/Q5</f>
        <v>42.051715989177112</v>
      </c>
      <c r="S5" s="130"/>
      <c r="T5" s="48"/>
      <c r="U5" s="48"/>
      <c r="V5" s="63">
        <f>R5*P5</f>
        <v>5.6146441947565542</v>
      </c>
      <c r="W5" s="130"/>
      <c r="X5" s="48"/>
      <c r="Y5" s="48"/>
      <c r="AA5" s="134"/>
      <c r="AB5" s="87"/>
      <c r="AD5" s="72">
        <v>0</v>
      </c>
      <c r="AE5" s="63">
        <f>S7</f>
        <v>55.965761193195455</v>
      </c>
      <c r="AF5" s="63">
        <f>U7</f>
        <v>7.1610778131108628</v>
      </c>
      <c r="AG5" s="63">
        <f>W7</f>
        <v>7.4245131086142324</v>
      </c>
      <c r="AH5" s="63">
        <f>Y7</f>
        <v>0.95852157719671005</v>
      </c>
    </row>
    <row r="6" spans="1:34" x14ac:dyDescent="0.15">
      <c r="A6" s="86"/>
      <c r="B6" s="197"/>
      <c r="C6" s="199"/>
      <c r="D6" s="201"/>
      <c r="E6" s="155" t="s">
        <v>102</v>
      </c>
      <c r="F6" s="211"/>
      <c r="G6" s="213"/>
      <c r="H6" s="62">
        <f>0.1887-F5</f>
        <v>0.14395000000000002</v>
      </c>
      <c r="I6" s="61">
        <f>0.1623-F5</f>
        <v>0.11755</v>
      </c>
      <c r="J6" s="61">
        <f>0.1558-G5</f>
        <v>0.11374999999999999</v>
      </c>
      <c r="K6" s="61">
        <f>0.1293-G5</f>
        <v>8.7249999999999994E-2</v>
      </c>
      <c r="L6" s="61">
        <f t="shared" ref="L6:M21" si="1">(H6-(0.474*J6))/5.34</f>
        <v>1.6860018726591767E-2</v>
      </c>
      <c r="M6" s="61">
        <f t="shared" si="1"/>
        <v>1.4268445692883895E-2</v>
      </c>
      <c r="N6" s="61">
        <f t="shared" ref="N6:N45" si="2">AVERAGE(L6:M6)</f>
        <v>1.5564232209737832E-2</v>
      </c>
      <c r="O6" s="61">
        <f>'Growth curves'!G33</f>
        <v>0.10299999999999999</v>
      </c>
      <c r="P6" s="61">
        <f t="shared" ref="P6:P61" si="3">1.2596*O6</f>
        <v>0.12973879999999999</v>
      </c>
      <c r="Q6" s="128">
        <f t="shared" si="0"/>
        <v>1.2973879999999999E-4</v>
      </c>
      <c r="R6" s="129">
        <f t="shared" ref="R6:R61" si="4">(N6*0.5)/Q6</f>
        <v>59.982951167028808</v>
      </c>
      <c r="S6" s="130"/>
      <c r="T6" s="48"/>
      <c r="U6" s="48"/>
      <c r="V6" s="63">
        <f t="shared" ref="V6:V61" si="5">R6*P6</f>
        <v>7.7821161048689165</v>
      </c>
      <c r="W6" s="130"/>
      <c r="X6" s="48"/>
      <c r="Y6" s="48"/>
      <c r="AA6" s="134"/>
      <c r="AB6" s="87"/>
      <c r="AD6" s="72">
        <f>D8</f>
        <v>24</v>
      </c>
      <c r="AE6" s="63">
        <f>S10</f>
        <v>34.379451120944331</v>
      </c>
      <c r="AF6" s="63">
        <f>U10</f>
        <v>4.5547444731352629</v>
      </c>
      <c r="AG6" s="63">
        <f>W10</f>
        <v>7.6509051186017478</v>
      </c>
      <c r="AH6" s="63">
        <f>Y10</f>
        <v>0.7491087695602181</v>
      </c>
    </row>
    <row r="7" spans="1:34" x14ac:dyDescent="0.15">
      <c r="A7" s="86"/>
      <c r="B7" s="198"/>
      <c r="C7" s="200"/>
      <c r="D7" s="202"/>
      <c r="E7" s="156" t="s">
        <v>103</v>
      </c>
      <c r="F7" s="212"/>
      <c r="G7" s="214"/>
      <c r="H7" s="65">
        <f>0.2142-F5</f>
        <v>0.16944999999999999</v>
      </c>
      <c r="I7" s="66">
        <f>0.1635-F5</f>
        <v>0.11875000000000001</v>
      </c>
      <c r="J7" s="66">
        <f>0.1708-G5</f>
        <v>0.12875</v>
      </c>
      <c r="K7" s="66">
        <f>0.1213-G5</f>
        <v>7.9250000000000001E-2</v>
      </c>
      <c r="L7" s="66">
        <f t="shared" si="1"/>
        <v>2.0303838951310861E-2</v>
      </c>
      <c r="M7" s="66">
        <f t="shared" si="1"/>
        <v>1.5203277153558055E-2</v>
      </c>
      <c r="N7" s="66">
        <f t="shared" si="2"/>
        <v>1.7753558052434459E-2</v>
      </c>
      <c r="O7" s="66">
        <f>'Growth curves'!H33</f>
        <v>0.107</v>
      </c>
      <c r="P7" s="66">
        <f t="shared" si="3"/>
        <v>0.13477720000000001</v>
      </c>
      <c r="Q7" s="67">
        <f t="shared" si="0"/>
        <v>1.347772E-4</v>
      </c>
      <c r="R7" s="68">
        <f t="shared" si="4"/>
        <v>65.86261642338043</v>
      </c>
      <c r="S7" s="69">
        <f>AVERAGE(R5:R7)</f>
        <v>55.965761193195455</v>
      </c>
      <c r="T7" s="70">
        <f>STDEV(R5:R7)</f>
        <v>12.403350609262239</v>
      </c>
      <c r="U7" s="70">
        <f>T7/SQRT(3)</f>
        <v>7.1610778131108628</v>
      </c>
      <c r="V7" s="70">
        <f t="shared" si="5"/>
        <v>8.8767790262172301</v>
      </c>
      <c r="W7" s="69">
        <f>AVERAGE(V5:V7)</f>
        <v>7.4245131086142324</v>
      </c>
      <c r="X7" s="70">
        <f>STDEV(V5:V7)</f>
        <v>1.6602080718557555</v>
      </c>
      <c r="Y7" s="70">
        <f>X7/SQRT(3)</f>
        <v>0.95852157719671005</v>
      </c>
      <c r="Z7" s="88"/>
      <c r="AA7" s="148"/>
      <c r="AB7" s="149"/>
      <c r="AD7" s="72">
        <f>D11</f>
        <v>48</v>
      </c>
      <c r="AE7" s="63">
        <f>S13</f>
        <v>36.399605317505852</v>
      </c>
      <c r="AF7" s="63">
        <f>U13</f>
        <v>0.3680571665960653</v>
      </c>
      <c r="AG7" s="63">
        <f>W13</f>
        <v>13.406841448189761</v>
      </c>
      <c r="AH7" s="63">
        <f>Y13</f>
        <v>0.36812323669188157</v>
      </c>
    </row>
    <row r="8" spans="1:34" x14ac:dyDescent="0.15">
      <c r="A8" s="86"/>
      <c r="B8" s="197" t="s">
        <v>14</v>
      </c>
      <c r="C8" s="199">
        <v>0.4513888888888889</v>
      </c>
      <c r="D8" s="201">
        <f>24+D5</f>
        <v>24</v>
      </c>
      <c r="E8" s="155" t="s">
        <v>101</v>
      </c>
      <c r="F8" s="211">
        <v>4.2200000000000001E-2</v>
      </c>
      <c r="G8" s="213">
        <v>4.0300000000000002E-2</v>
      </c>
      <c r="H8" s="62">
        <f>0.1989-F8</f>
        <v>0.15670000000000001</v>
      </c>
      <c r="I8" s="61">
        <f>0.161-F8</f>
        <v>0.1188</v>
      </c>
      <c r="J8" s="61">
        <f>0.1474-G8</f>
        <v>0.1071</v>
      </c>
      <c r="K8" s="61">
        <f>0.1073-G8</f>
        <v>6.7000000000000004E-2</v>
      </c>
      <c r="L8" s="61">
        <f t="shared" si="1"/>
        <v>1.9837940074906371E-2</v>
      </c>
      <c r="M8" s="61">
        <f t="shared" si="1"/>
        <v>1.6300000000000002E-2</v>
      </c>
      <c r="N8" s="61">
        <f t="shared" si="2"/>
        <v>1.8068970037453187E-2</v>
      </c>
      <c r="O8" s="61">
        <f>'Growth curves'!F37</f>
        <v>0.16800000000000001</v>
      </c>
      <c r="P8" s="61">
        <f t="shared" si="3"/>
        <v>0.21161280000000002</v>
      </c>
      <c r="Q8" s="128">
        <f t="shared" si="0"/>
        <v>2.1161280000000002E-4</v>
      </c>
      <c r="R8" s="129">
        <f t="shared" si="4"/>
        <v>42.693471371895235</v>
      </c>
      <c r="S8" s="131"/>
      <c r="T8" s="63"/>
      <c r="U8" s="63"/>
      <c r="V8" s="63">
        <f t="shared" si="5"/>
        <v>9.0344850187265919</v>
      </c>
      <c r="W8" s="131"/>
      <c r="X8" s="63"/>
      <c r="Y8" s="63"/>
      <c r="Z8" s="85">
        <f>(V8-$V$5)/(D8-$D$5)</f>
        <v>0.14249336766541823</v>
      </c>
      <c r="AA8" s="150"/>
      <c r="AB8" s="84"/>
      <c r="AD8" s="72">
        <f>D14</f>
        <v>72</v>
      </c>
      <c r="AE8" s="63">
        <f>S16</f>
        <v>29.14270308950762</v>
      </c>
      <c r="AF8" s="63">
        <f>U16</f>
        <v>2.7064266910309507</v>
      </c>
      <c r="AG8" s="63">
        <f>W16</f>
        <v>15.62592384519351</v>
      </c>
      <c r="AH8" s="63">
        <f>Y16</f>
        <v>1.4631659913209341</v>
      </c>
    </row>
    <row r="9" spans="1:34" x14ac:dyDescent="0.15">
      <c r="A9" s="86"/>
      <c r="B9" s="197"/>
      <c r="C9" s="199"/>
      <c r="D9" s="201"/>
      <c r="E9" s="155" t="s">
        <v>102</v>
      </c>
      <c r="F9" s="211"/>
      <c r="G9" s="213"/>
      <c r="H9" s="62">
        <f>0.1485-F8</f>
        <v>0.10629999999999999</v>
      </c>
      <c r="I9" s="61">
        <f>0.1504-F8</f>
        <v>0.1082</v>
      </c>
      <c r="J9" s="61">
        <f>0.099-G8</f>
        <v>5.8700000000000002E-2</v>
      </c>
      <c r="K9" s="61">
        <f>0.0981-G8</f>
        <v>5.7800000000000004E-2</v>
      </c>
      <c r="L9" s="61">
        <f t="shared" si="1"/>
        <v>1.4695917602996255E-2</v>
      </c>
      <c r="M9" s="71">
        <f t="shared" si="1"/>
        <v>1.5131610486891389E-2</v>
      </c>
      <c r="N9" s="61">
        <f t="shared" si="2"/>
        <v>1.4913764044943822E-2</v>
      </c>
      <c r="O9" s="61">
        <f>'Growth curves'!G37</f>
        <v>0.17699999999999999</v>
      </c>
      <c r="P9" s="61">
        <f t="shared" si="3"/>
        <v>0.22294919999999999</v>
      </c>
      <c r="Q9" s="128">
        <f t="shared" si="0"/>
        <v>2.229492E-4</v>
      </c>
      <c r="R9" s="129">
        <f t="shared" si="4"/>
        <v>33.446552050744792</v>
      </c>
      <c r="S9" s="130"/>
      <c r="T9" s="63"/>
      <c r="U9" s="63"/>
      <c r="V9" s="63">
        <f t="shared" si="5"/>
        <v>7.4568820224719099</v>
      </c>
      <c r="W9" s="131"/>
      <c r="X9" s="63"/>
      <c r="Y9" s="63"/>
      <c r="Z9" s="85">
        <f>(V9-$V$6)/(D8-$D$5)</f>
        <v>-1.3551420099875275E-2</v>
      </c>
      <c r="AA9" s="150"/>
      <c r="AB9" s="84"/>
      <c r="AD9" s="72">
        <f>D17</f>
        <v>96.5</v>
      </c>
      <c r="AE9" s="63">
        <f>S19</f>
        <v>48.469834510054056</v>
      </c>
      <c r="AF9" s="63">
        <f>U19</f>
        <v>9.8444826813010824</v>
      </c>
      <c r="AG9" s="63">
        <f>W19</f>
        <v>32.187122347066172</v>
      </c>
      <c r="AH9" s="63">
        <f>Y19</f>
        <v>6.375928288798093</v>
      </c>
    </row>
    <row r="10" spans="1:34" x14ac:dyDescent="0.15">
      <c r="A10" s="86"/>
      <c r="B10" s="198"/>
      <c r="C10" s="200"/>
      <c r="D10" s="202"/>
      <c r="E10" s="156" t="s">
        <v>103</v>
      </c>
      <c r="F10" s="212"/>
      <c r="G10" s="214"/>
      <c r="H10" s="65">
        <f>0.1332-F8</f>
        <v>9.1000000000000011E-2</v>
      </c>
      <c r="I10" s="66">
        <f>0.1387-F8</f>
        <v>9.6499999999999989E-2</v>
      </c>
      <c r="J10" s="66">
        <f>0.0893-G8</f>
        <v>4.9000000000000002E-2</v>
      </c>
      <c r="K10" s="66">
        <f>0.0957-G8</f>
        <v>5.5399999999999991E-2</v>
      </c>
      <c r="L10" s="66">
        <f t="shared" si="1"/>
        <v>1.2691760299625472E-2</v>
      </c>
      <c r="M10" s="66">
        <f t="shared" si="1"/>
        <v>1.3153632958801497E-2</v>
      </c>
      <c r="N10" s="66">
        <f t="shared" si="2"/>
        <v>1.2922696629213484E-2</v>
      </c>
      <c r="O10" s="66">
        <f>'Growth curves'!H37</f>
        <v>0.19</v>
      </c>
      <c r="P10" s="66">
        <f t="shared" si="3"/>
        <v>0.23932400000000001</v>
      </c>
      <c r="Q10" s="67">
        <f t="shared" si="0"/>
        <v>2.3932400000000001E-4</v>
      </c>
      <c r="R10" s="68">
        <f t="shared" si="4"/>
        <v>26.998329940192967</v>
      </c>
      <c r="S10" s="69">
        <f>AVERAGE(R8:R10)</f>
        <v>34.379451120944331</v>
      </c>
      <c r="T10" s="70">
        <f>STDEV(R8:R10)</f>
        <v>7.8890488429638115</v>
      </c>
      <c r="U10" s="70">
        <f>T10/SQRT(3)</f>
        <v>4.5547444731352629</v>
      </c>
      <c r="V10" s="70">
        <f t="shared" si="5"/>
        <v>6.4613483146067416</v>
      </c>
      <c r="W10" s="69">
        <f>AVERAGE(V8:V10)</f>
        <v>7.6509051186017478</v>
      </c>
      <c r="X10" s="70">
        <f>STDEV(V8:V10)</f>
        <v>1.2974944492737037</v>
      </c>
      <c r="Y10" s="70">
        <f>X10/SQRT(3)</f>
        <v>0.7491087695602181</v>
      </c>
      <c r="Z10" s="91">
        <f>(V10-$V$7)/(D8-$D$5)</f>
        <v>-0.10064294631710369</v>
      </c>
      <c r="AA10" s="90">
        <f>AVERAGE(Z8:Z10)</f>
        <v>9.4330004161464198E-3</v>
      </c>
      <c r="AB10" s="151">
        <f>STDEV(Z8:Z10)/SQRT(3)</f>
        <v>7.1122030070611408E-2</v>
      </c>
      <c r="AD10" s="72">
        <f>D20</f>
        <v>120.5</v>
      </c>
      <c r="AE10" s="63">
        <f>S22</f>
        <v>53.361148049698095</v>
      </c>
      <c r="AF10" s="63">
        <f>U22</f>
        <v>1.2146404354412907</v>
      </c>
      <c r="AG10" s="63">
        <f>W22</f>
        <v>44.05204744069912</v>
      </c>
      <c r="AH10" s="63">
        <f>Y22</f>
        <v>1.7923673884222833</v>
      </c>
    </row>
    <row r="11" spans="1:34" x14ac:dyDescent="0.15">
      <c r="A11" s="86"/>
      <c r="B11" s="197" t="s">
        <v>15</v>
      </c>
      <c r="C11" s="199">
        <v>0.4548611111111111</v>
      </c>
      <c r="D11" s="201">
        <f>24+D8</f>
        <v>48</v>
      </c>
      <c r="E11" s="155" t="s">
        <v>101</v>
      </c>
      <c r="F11" s="211">
        <v>4.5999999999999999E-2</v>
      </c>
      <c r="G11" s="213">
        <v>4.41E-2</v>
      </c>
      <c r="H11" s="62">
        <f>0.3253-F11</f>
        <v>0.27929999999999999</v>
      </c>
      <c r="I11" s="61">
        <f>0.2288-F11</f>
        <v>0.18280000000000002</v>
      </c>
      <c r="J11" s="61">
        <f>0.26-G11</f>
        <v>0.21590000000000001</v>
      </c>
      <c r="K11" s="61">
        <f>0.1658-G11</f>
        <v>0.1217</v>
      </c>
      <c r="L11" s="61">
        <f t="shared" si="1"/>
        <v>3.3139213483146066E-2</v>
      </c>
      <c r="M11" s="61">
        <f t="shared" si="1"/>
        <v>2.3429625468164798E-2</v>
      </c>
      <c r="N11" s="61">
        <f t="shared" si="2"/>
        <v>2.828441947565543E-2</v>
      </c>
      <c r="O11" s="61">
        <f>'Growth curves'!F39</f>
        <v>0.30299999999999999</v>
      </c>
      <c r="P11" s="61">
        <f t="shared" si="3"/>
        <v>0.38165880000000002</v>
      </c>
      <c r="Q11" s="128">
        <f t="shared" si="0"/>
        <v>3.816588E-4</v>
      </c>
      <c r="R11" s="129">
        <f t="shared" si="4"/>
        <v>37.054588385824495</v>
      </c>
      <c r="S11" s="131"/>
      <c r="T11" s="63"/>
      <c r="U11" s="63"/>
      <c r="V11" s="63">
        <f t="shared" si="5"/>
        <v>14.142209737827715</v>
      </c>
      <c r="W11" s="131"/>
      <c r="X11" s="63"/>
      <c r="Y11" s="63"/>
      <c r="Z11" s="85">
        <f>(V11-$V$5)/(D11-$D$5)</f>
        <v>0.17765761548064918</v>
      </c>
      <c r="AA11" s="135"/>
      <c r="AB11" s="84"/>
      <c r="AD11" s="72">
        <f>D23</f>
        <v>144.5</v>
      </c>
      <c r="AE11" s="63">
        <f>S25</f>
        <v>52.908578228174555</v>
      </c>
      <c r="AF11" s="63">
        <f>U25</f>
        <v>3.2953533634729202</v>
      </c>
      <c r="AG11" s="63">
        <f>W25</f>
        <v>55.153558052434448</v>
      </c>
      <c r="AH11" s="63">
        <f>Y25</f>
        <v>1.5633346590575643</v>
      </c>
    </row>
    <row r="12" spans="1:34" x14ac:dyDescent="0.15">
      <c r="A12" s="86"/>
      <c r="B12" s="197"/>
      <c r="C12" s="199"/>
      <c r="D12" s="201"/>
      <c r="E12" s="155" t="s">
        <v>102</v>
      </c>
      <c r="F12" s="211"/>
      <c r="G12" s="213"/>
      <c r="H12" s="62">
        <f>0.245-F11</f>
        <v>0.19900000000000001</v>
      </c>
      <c r="I12" s="61">
        <f>0.2726-F11</f>
        <v>0.22660000000000002</v>
      </c>
      <c r="J12" s="61">
        <f>0.1864-G11</f>
        <v>0.14230000000000001</v>
      </c>
      <c r="K12" s="61">
        <f>0.2107-G11</f>
        <v>0.1666</v>
      </c>
      <c r="L12" s="61">
        <f t="shared" si="1"/>
        <v>2.4634794007490635E-2</v>
      </c>
      <c r="M12" s="61">
        <f t="shared" si="1"/>
        <v>2.7646367041198508E-2</v>
      </c>
      <c r="N12" s="61">
        <f t="shared" si="2"/>
        <v>2.6140580524344571E-2</v>
      </c>
      <c r="O12" s="61">
        <f>'Growth curves'!G39</f>
        <v>0.28999999999999998</v>
      </c>
      <c r="P12" s="61">
        <f t="shared" si="3"/>
        <v>0.365284</v>
      </c>
      <c r="Q12" s="128">
        <f t="shared" si="0"/>
        <v>3.6528400000000001E-4</v>
      </c>
      <c r="R12" s="129">
        <f t="shared" si="4"/>
        <v>35.781173722835618</v>
      </c>
      <c r="S12" s="130"/>
      <c r="T12" s="63"/>
      <c r="U12" s="63"/>
      <c r="V12" s="63">
        <f t="shared" si="5"/>
        <v>13.070290262172286</v>
      </c>
      <c r="W12" s="131"/>
      <c r="X12" s="63"/>
      <c r="Y12" s="63"/>
      <c r="Z12" s="85">
        <f>(V12-$V$6)/(D11-$D$5)</f>
        <v>0.11017029494382019</v>
      </c>
      <c r="AA12" s="135"/>
      <c r="AB12" s="84"/>
      <c r="AD12" s="72">
        <f>D26</f>
        <v>168</v>
      </c>
      <c r="AE12" s="85">
        <f>S28</f>
        <v>62.040162824321975</v>
      </c>
      <c r="AF12" s="85">
        <f>U28</f>
        <v>6.2250330864053378</v>
      </c>
      <c r="AG12" s="63">
        <f>W28</f>
        <v>75.300967540574277</v>
      </c>
      <c r="AH12" s="63">
        <f>Y28</f>
        <v>8.7312662739464209</v>
      </c>
    </row>
    <row r="13" spans="1:34" x14ac:dyDescent="0.15">
      <c r="A13" s="86"/>
      <c r="B13" s="198"/>
      <c r="C13" s="200"/>
      <c r="D13" s="202"/>
      <c r="E13" s="156" t="s">
        <v>103</v>
      </c>
      <c r="F13" s="212"/>
      <c r="G13" s="214"/>
      <c r="H13" s="65">
        <f>0.2385-F11</f>
        <v>0.1925</v>
      </c>
      <c r="I13" s="66">
        <f>0.2754-F11</f>
        <v>0.22939999999999999</v>
      </c>
      <c r="J13" s="66">
        <f>0.1791-G11</f>
        <v>0.13500000000000001</v>
      </c>
      <c r="K13" s="66">
        <f>0.213-G11</f>
        <v>0.16889999999999999</v>
      </c>
      <c r="L13" s="66">
        <f t="shared" si="1"/>
        <v>2.4065543071161051E-2</v>
      </c>
      <c r="M13" s="66">
        <f t="shared" si="1"/>
        <v>2.7966554307116108E-2</v>
      </c>
      <c r="N13" s="66">
        <f t="shared" si="2"/>
        <v>2.6016048689138579E-2</v>
      </c>
      <c r="O13" s="66">
        <f>'Growth curves'!H39</f>
        <v>0.28399999999999997</v>
      </c>
      <c r="P13" s="66">
        <f t="shared" si="3"/>
        <v>0.3577264</v>
      </c>
      <c r="Q13" s="67">
        <f t="shared" si="0"/>
        <v>3.5772640000000002E-4</v>
      </c>
      <c r="R13" s="68">
        <f t="shared" si="4"/>
        <v>36.36305384385745</v>
      </c>
      <c r="S13" s="69">
        <f>AVERAGE(R11:R13)</f>
        <v>36.399605317505852</v>
      </c>
      <c r="T13" s="70">
        <f>STDEV(R11:R13)</f>
        <v>0.63749371263422772</v>
      </c>
      <c r="U13" s="70">
        <f>T13/SQRT(3)</f>
        <v>0.3680571665960653</v>
      </c>
      <c r="V13" s="70">
        <f t="shared" si="5"/>
        <v>13.008024344569288</v>
      </c>
      <c r="W13" s="69">
        <f>AVERAGE(V11:V13)</f>
        <v>13.406841448189761</v>
      </c>
      <c r="X13" s="70">
        <f>STDEV(V11:V13)</f>
        <v>0.63760814939704236</v>
      </c>
      <c r="Y13" s="70">
        <f>X13/SQRT(3)</f>
        <v>0.36812323669188157</v>
      </c>
      <c r="Z13" s="91">
        <f>(V13-$V$7)/(D11-$D$5)</f>
        <v>8.6067610799001201E-2</v>
      </c>
      <c r="AA13" s="90">
        <f>AVERAGE(Z11:Z13)</f>
        <v>0.12463184040782353</v>
      </c>
      <c r="AB13" s="151">
        <f>STDEV(Z11:Z13)/SQRT(3)</f>
        <v>2.7410669834340366E-2</v>
      </c>
      <c r="AD13" s="72">
        <f>D29</f>
        <v>192</v>
      </c>
      <c r="AE13" s="85">
        <f>S31</f>
        <v>62.663287497782711</v>
      </c>
      <c r="AF13" s="85">
        <f>U31</f>
        <v>6.2610906472937637</v>
      </c>
      <c r="AG13" s="63">
        <f>W31</f>
        <v>87.534363295880141</v>
      </c>
      <c r="AH13" s="63">
        <f>Y31</f>
        <v>10.819824406534536</v>
      </c>
    </row>
    <row r="14" spans="1:34" x14ac:dyDescent="0.15">
      <c r="A14" s="86"/>
      <c r="B14" s="197" t="s">
        <v>16</v>
      </c>
      <c r="C14" s="199">
        <v>0.4513888888888889</v>
      </c>
      <c r="D14" s="201">
        <f>24+D11</f>
        <v>72</v>
      </c>
      <c r="E14" s="155" t="s">
        <v>101</v>
      </c>
      <c r="F14" s="211">
        <v>5.11E-2</v>
      </c>
      <c r="G14" s="213">
        <v>4.87E-2</v>
      </c>
      <c r="H14" s="61">
        <f>0.2428-F14</f>
        <v>0.19169999999999998</v>
      </c>
      <c r="I14" s="61">
        <f>0.1677-F14</f>
        <v>0.11659999999999998</v>
      </c>
      <c r="J14" s="61">
        <f>0.2016-G14</f>
        <v>0.15290000000000001</v>
      </c>
      <c r="K14" s="61">
        <f>0.1288-G14</f>
        <v>8.0100000000000005E-2</v>
      </c>
      <c r="L14" s="61">
        <f t="shared" si="1"/>
        <v>2.2326853932584267E-2</v>
      </c>
      <c r="M14" s="61">
        <f t="shared" si="1"/>
        <v>1.4725205992509361E-2</v>
      </c>
      <c r="N14" s="61">
        <f t="shared" si="2"/>
        <v>1.8526029962546813E-2</v>
      </c>
      <c r="O14" s="61">
        <f>'Growth curves'!F40</f>
        <v>0.42699999999999999</v>
      </c>
      <c r="P14" s="61">
        <f t="shared" si="3"/>
        <v>0.53784920000000003</v>
      </c>
      <c r="Q14" s="128">
        <f t="shared" ref="Q14:Q19" si="6">P14*0.5/1000</f>
        <v>2.6892460000000002E-4</v>
      </c>
      <c r="R14" s="129">
        <f t="shared" si="4"/>
        <v>34.444654677457571</v>
      </c>
      <c r="S14" s="131"/>
      <c r="T14" s="63"/>
      <c r="U14" s="63"/>
      <c r="V14" s="63">
        <f t="shared" si="5"/>
        <v>18.526029962546815</v>
      </c>
      <c r="W14" s="131"/>
      <c r="X14" s="63"/>
      <c r="Y14" s="63"/>
      <c r="Z14" s="85">
        <f>(V14-$V$5)/(D14-$D$5)</f>
        <v>0.17932480233042028</v>
      </c>
      <c r="AA14" s="135"/>
      <c r="AB14" s="84"/>
      <c r="AD14" s="140">
        <f>D32</f>
        <v>216</v>
      </c>
      <c r="AE14" s="85">
        <f>S34</f>
        <v>60.247984378101108</v>
      </c>
      <c r="AF14" s="85">
        <f>U34</f>
        <v>1.528845172840174</v>
      </c>
      <c r="AG14" s="63">
        <f>W34</f>
        <v>101.34647315855182</v>
      </c>
      <c r="AH14" s="63">
        <f>Y34</f>
        <v>0.57787609025843223</v>
      </c>
    </row>
    <row r="15" spans="1:34" x14ac:dyDescent="0.15">
      <c r="A15" s="86"/>
      <c r="B15" s="197"/>
      <c r="C15" s="199"/>
      <c r="D15" s="201"/>
      <c r="E15" s="155" t="s">
        <v>102</v>
      </c>
      <c r="F15" s="211"/>
      <c r="G15" s="213"/>
      <c r="H15" s="61">
        <f>0.16-F14</f>
        <v>0.1089</v>
      </c>
      <c r="I15" s="61">
        <f>0.1713-F14</f>
        <v>0.1202</v>
      </c>
      <c r="J15" s="61">
        <f>0.1201-G14</f>
        <v>7.1399999999999991E-2</v>
      </c>
      <c r="K15" s="61">
        <f>0.1336-G14</f>
        <v>8.4900000000000003E-2</v>
      </c>
      <c r="L15" s="61">
        <f t="shared" si="1"/>
        <v>1.4055505617977528E-2</v>
      </c>
      <c r="M15" s="61">
        <f t="shared" si="1"/>
        <v>1.4973295880149815E-2</v>
      </c>
      <c r="N15" s="61">
        <f t="shared" si="2"/>
        <v>1.4514400749063672E-2</v>
      </c>
      <c r="O15" s="61">
        <f>'Growth curves'!G40</f>
        <v>0.42</v>
      </c>
      <c r="P15" s="61">
        <f t="shared" si="3"/>
        <v>0.52903200000000006</v>
      </c>
      <c r="Q15" s="128">
        <f t="shared" si="6"/>
        <v>2.6451600000000001E-4</v>
      </c>
      <c r="R15" s="129">
        <f t="shared" si="4"/>
        <v>27.435770896776891</v>
      </c>
      <c r="S15" s="130"/>
      <c r="T15" s="63"/>
      <c r="U15" s="63"/>
      <c r="V15" s="63">
        <f t="shared" si="5"/>
        <v>14.514400749063674</v>
      </c>
      <c r="W15" s="131"/>
      <c r="X15" s="63"/>
      <c r="Y15" s="63"/>
      <c r="Z15" s="85">
        <f>(V15-$V$6)/(D14-$D$5)</f>
        <v>9.3503953391593841E-2</v>
      </c>
      <c r="AA15" s="135"/>
      <c r="AB15" s="84"/>
      <c r="AD15" s="140">
        <f>D35</f>
        <v>240</v>
      </c>
      <c r="AE15" s="85">
        <f>S37</f>
        <v>62.899065055167057</v>
      </c>
      <c r="AF15" s="85">
        <f>U37</f>
        <v>5.5628201496170284</v>
      </c>
      <c r="AG15" s="63">
        <f>W37</f>
        <v>119.07112983770286</v>
      </c>
      <c r="AH15" s="63">
        <f>Y37</f>
        <v>14.752820245824577</v>
      </c>
    </row>
    <row r="16" spans="1:34" x14ac:dyDescent="0.15">
      <c r="A16" s="86"/>
      <c r="B16" s="198"/>
      <c r="C16" s="200"/>
      <c r="D16" s="202"/>
      <c r="E16" s="156" t="s">
        <v>103</v>
      </c>
      <c r="F16" s="212"/>
      <c r="G16" s="214"/>
      <c r="H16" s="66">
        <f>0.1534-F14</f>
        <v>0.1023</v>
      </c>
      <c r="I16" s="66">
        <f>0.1619-F14</f>
        <v>0.11079999999999998</v>
      </c>
      <c r="J16" s="66">
        <f>0.1131-G14</f>
        <v>6.4400000000000013E-2</v>
      </c>
      <c r="K16" s="66">
        <f>0.1221-G14</f>
        <v>7.3399999999999993E-2</v>
      </c>
      <c r="L16" s="66">
        <f t="shared" si="1"/>
        <v>1.3440898876404496E-2</v>
      </c>
      <c r="M16" s="66">
        <f t="shared" si="1"/>
        <v>1.4233782771535579E-2</v>
      </c>
      <c r="N16" s="66">
        <f t="shared" si="2"/>
        <v>1.3837340823970038E-2</v>
      </c>
      <c r="O16" s="66">
        <f>'Growth curves'!H40</f>
        <v>0.43</v>
      </c>
      <c r="P16" s="66">
        <f t="shared" si="3"/>
        <v>0.541628</v>
      </c>
      <c r="Q16" s="67">
        <f t="shared" si="6"/>
        <v>2.7081399999999997E-4</v>
      </c>
      <c r="R16" s="68">
        <f t="shared" si="4"/>
        <v>25.547683694288402</v>
      </c>
      <c r="S16" s="69">
        <f>AVERAGE(R14:R16)</f>
        <v>29.14270308950762</v>
      </c>
      <c r="T16" s="70">
        <f>STDEV(R14:R16)</f>
        <v>4.6876685358261225</v>
      </c>
      <c r="U16" s="70">
        <f>T16/SQRT(3)</f>
        <v>2.7064266910309507</v>
      </c>
      <c r="V16" s="70">
        <f t="shared" si="5"/>
        <v>13.837340823970038</v>
      </c>
      <c r="W16" s="69">
        <f>AVERAGE(V14:V16)</f>
        <v>15.62592384519351</v>
      </c>
      <c r="X16" s="70">
        <f>STDEV(V14:V16)</f>
        <v>2.5342778368747405</v>
      </c>
      <c r="Y16" s="70">
        <f>X16/SQRT(3)</f>
        <v>1.4631659913209341</v>
      </c>
      <c r="Z16" s="91">
        <f>(V16-$V$7)/(D14-$D$5)</f>
        <v>6.889669163545567E-2</v>
      </c>
      <c r="AA16" s="90">
        <f>AVERAGE(Z14:Z16)</f>
        <v>0.11390848245248993</v>
      </c>
      <c r="AB16" s="151">
        <f>STDEV(Z14:Z16)/SQRT(3)</f>
        <v>3.3470636447302846E-2</v>
      </c>
      <c r="AD16" s="140">
        <f>D38</f>
        <v>265</v>
      </c>
      <c r="AE16" s="85">
        <f>S40</f>
        <v>69.876971200935813</v>
      </c>
      <c r="AF16" s="85">
        <f>U40</f>
        <v>2.68618198397394</v>
      </c>
      <c r="AG16" s="63">
        <f>W40</f>
        <v>148.07312734082396</v>
      </c>
      <c r="AH16" s="63">
        <f>Y40</f>
        <v>8.9062690692687472</v>
      </c>
    </row>
    <row r="17" spans="1:34" x14ac:dyDescent="0.15">
      <c r="A17" s="86"/>
      <c r="B17" s="197" t="s">
        <v>17</v>
      </c>
      <c r="C17" s="199">
        <v>0.47916666666666669</v>
      </c>
      <c r="D17" s="215">
        <f>24.5+D14</f>
        <v>96.5</v>
      </c>
      <c r="E17" s="155" t="s">
        <v>101</v>
      </c>
      <c r="F17" s="211">
        <v>4.9000000000000002E-2</v>
      </c>
      <c r="G17" s="213">
        <v>4.6600000000000003E-2</v>
      </c>
      <c r="H17" s="61">
        <f>0.4108-F17</f>
        <v>0.36180000000000001</v>
      </c>
      <c r="I17" s="147">
        <f>0.4919-F17</f>
        <v>0.44290000000000002</v>
      </c>
      <c r="J17" s="61">
        <f>0.3536-G17</f>
        <v>0.30700000000000005</v>
      </c>
      <c r="K17" s="61">
        <f>0.4256-G17</f>
        <v>0.379</v>
      </c>
      <c r="L17" s="61">
        <f t="shared" si="1"/>
        <v>4.050224719101124E-2</v>
      </c>
      <c r="M17" s="61">
        <f t="shared" si="1"/>
        <v>4.9298501872659176E-2</v>
      </c>
      <c r="N17" s="61">
        <f t="shared" si="2"/>
        <v>4.4900374531835208E-2</v>
      </c>
      <c r="O17" s="48">
        <f>'Growth curves'!F41</f>
        <v>0.52300000000000002</v>
      </c>
      <c r="P17" s="61">
        <f t="shared" si="3"/>
        <v>0.6587708000000001</v>
      </c>
      <c r="Q17" s="128">
        <f t="shared" si="6"/>
        <v>3.2938540000000005E-4</v>
      </c>
      <c r="R17" s="129">
        <f t="shared" si="4"/>
        <v>68.157809259055199</v>
      </c>
      <c r="S17" s="130"/>
      <c r="T17" s="48"/>
      <c r="U17" s="48"/>
      <c r="V17" s="63">
        <f t="shared" si="5"/>
        <v>44.900374531835205</v>
      </c>
      <c r="W17" s="131"/>
      <c r="X17" s="63"/>
      <c r="Y17" s="63"/>
      <c r="Z17" s="85">
        <f>(V17-$V$5)/(D17-$D$5)</f>
        <v>0.40710601385573725</v>
      </c>
      <c r="AA17" s="135"/>
      <c r="AB17" s="84"/>
      <c r="AD17" s="140">
        <f>D41</f>
        <v>287.5</v>
      </c>
      <c r="AE17" s="85">
        <f>S43</f>
        <v>58.433875615815346</v>
      </c>
      <c r="AF17" s="85">
        <f>U43</f>
        <v>0.79294654836692202</v>
      </c>
      <c r="AG17" s="63">
        <f>W43</f>
        <v>133.16729088639204</v>
      </c>
      <c r="AH17" s="63">
        <f>Y43</f>
        <v>3.7026327494910949</v>
      </c>
    </row>
    <row r="18" spans="1:34" x14ac:dyDescent="0.15">
      <c r="A18" s="86"/>
      <c r="B18" s="197"/>
      <c r="C18" s="199"/>
      <c r="D18" s="215"/>
      <c r="E18" s="155" t="s">
        <v>102</v>
      </c>
      <c r="F18" s="211"/>
      <c r="G18" s="213"/>
      <c r="H18" s="147">
        <f>0.2609-F17</f>
        <v>0.21190000000000003</v>
      </c>
      <c r="I18" s="61">
        <f>0.2314-F17</f>
        <v>0.18240000000000001</v>
      </c>
      <c r="J18" s="61">
        <f>0.1938-G17</f>
        <v>0.1472</v>
      </c>
      <c r="K18" s="61">
        <f>0.1686-G17</f>
        <v>0.122</v>
      </c>
      <c r="L18" s="61">
        <f t="shared" si="1"/>
        <v>2.6615580524344578E-2</v>
      </c>
      <c r="M18" s="61">
        <f t="shared" si="1"/>
        <v>2.3328089887640454E-2</v>
      </c>
      <c r="N18" s="61">
        <f t="shared" si="2"/>
        <v>2.4971835205992516E-2</v>
      </c>
      <c r="O18" s="48">
        <f>'Growth curves'!G41</f>
        <v>0.51100000000000001</v>
      </c>
      <c r="P18" s="61">
        <f t="shared" si="3"/>
        <v>0.64365559999999999</v>
      </c>
      <c r="Q18" s="128">
        <f t="shared" si="6"/>
        <v>3.2182780000000001E-4</v>
      </c>
      <c r="R18" s="129">
        <f t="shared" si="4"/>
        <v>38.796889526001969</v>
      </c>
      <c r="S18" s="130"/>
      <c r="T18" s="48"/>
      <c r="U18" s="48"/>
      <c r="V18" s="63">
        <f t="shared" si="5"/>
        <v>24.971835205992512</v>
      </c>
      <c r="W18" s="131"/>
      <c r="X18" s="63"/>
      <c r="Y18" s="63"/>
      <c r="Z18" s="85">
        <f>(V18-$V$6)/(D17-$D$5)</f>
        <v>0.17813180415672122</v>
      </c>
      <c r="AA18" s="135"/>
      <c r="AB18" s="84"/>
      <c r="AD18" s="140">
        <f>D44</f>
        <v>337</v>
      </c>
      <c r="AE18" s="85">
        <f>S46</f>
        <v>80.474416737891431</v>
      </c>
      <c r="AF18" s="85">
        <f>U46</f>
        <v>3.2723292119998528</v>
      </c>
      <c r="AG18" s="63">
        <f>W46</f>
        <v>211.9656991260924</v>
      </c>
      <c r="AH18" s="63">
        <f>Y46</f>
        <v>8.0937087267507959</v>
      </c>
    </row>
    <row r="19" spans="1:34" x14ac:dyDescent="0.15">
      <c r="A19" s="86"/>
      <c r="B19" s="198"/>
      <c r="C19" s="200"/>
      <c r="D19" s="216"/>
      <c r="E19" s="156" t="s">
        <v>103</v>
      </c>
      <c r="F19" s="212"/>
      <c r="G19" s="214"/>
      <c r="H19" s="152">
        <f>0.2504-F17</f>
        <v>0.20140000000000002</v>
      </c>
      <c r="I19" s="66">
        <f>0.2619-F17</f>
        <v>0.21290000000000003</v>
      </c>
      <c r="J19" s="66">
        <f>0.1794-G17</f>
        <v>0.1328</v>
      </c>
      <c r="K19" s="66">
        <f>0.1865-G17</f>
        <v>0.1399</v>
      </c>
      <c r="L19" s="66">
        <f t="shared" si="1"/>
        <v>2.5927490636704128E-2</v>
      </c>
      <c r="M19" s="66">
        <f t="shared" si="1"/>
        <v>2.7450823970037459E-2</v>
      </c>
      <c r="N19" s="66">
        <f t="shared" si="2"/>
        <v>2.6689157303370792E-2</v>
      </c>
      <c r="O19" s="64">
        <f>'Growth curves'!H41</f>
        <v>0.55100000000000005</v>
      </c>
      <c r="P19" s="66">
        <f t="shared" si="3"/>
        <v>0.69403960000000009</v>
      </c>
      <c r="Q19" s="67">
        <f t="shared" si="6"/>
        <v>3.4701980000000006E-4</v>
      </c>
      <c r="R19" s="68">
        <f t="shared" si="4"/>
        <v>38.454804745105015</v>
      </c>
      <c r="S19" s="69">
        <f>AVERAGE(R17:R19)</f>
        <v>48.469834510054056</v>
      </c>
      <c r="T19" s="70">
        <f>STDEV(R17:R19)</f>
        <v>17.051144178245366</v>
      </c>
      <c r="U19" s="70">
        <f>T19/SQRT(3)</f>
        <v>9.8444826813010824</v>
      </c>
      <c r="V19" s="70">
        <f t="shared" si="5"/>
        <v>26.689157303370791</v>
      </c>
      <c r="W19" s="69">
        <f>AVERAGE(V17:V19)</f>
        <v>32.187122347066172</v>
      </c>
      <c r="X19" s="70">
        <f>STDEV(V17:V19)</f>
        <v>11.043431741613986</v>
      </c>
      <c r="Y19" s="70">
        <f>X19/SQRT(3)</f>
        <v>6.375928288798093</v>
      </c>
      <c r="Z19" s="91">
        <f>(V19-$V$7)/(D17-$D$5)</f>
        <v>0.18458423085133227</v>
      </c>
      <c r="AA19" s="90">
        <f>AVERAGE(Z17:Z19)</f>
        <v>0.25660734962126358</v>
      </c>
      <c r="AB19" s="151">
        <f>STDEV(Z17:Z19)/SQRT(3)</f>
        <v>7.5272381842729427E-2</v>
      </c>
      <c r="AD19" s="140">
        <f>D47</f>
        <v>360</v>
      </c>
      <c r="AE19" s="85">
        <f>S49</f>
        <v>83.86273905770804</v>
      </c>
      <c r="AF19" s="85">
        <f>U49</f>
        <v>12.144122098836711</v>
      </c>
      <c r="AG19" s="63">
        <f>W49</f>
        <v>233.69296712442781</v>
      </c>
      <c r="AH19" s="63">
        <f>Y49</f>
        <v>36.300081508542149</v>
      </c>
    </row>
    <row r="20" spans="1:34" x14ac:dyDescent="0.15">
      <c r="A20" s="86"/>
      <c r="B20" s="197" t="s">
        <v>18</v>
      </c>
      <c r="C20" s="199">
        <v>0.47916666666666669</v>
      </c>
      <c r="D20" s="215">
        <f>24+D17</f>
        <v>120.5</v>
      </c>
      <c r="E20" s="155" t="s">
        <v>101</v>
      </c>
      <c r="F20" s="211">
        <v>4.9799999999999997E-2</v>
      </c>
      <c r="G20" s="213">
        <v>4.7399999999999998E-2</v>
      </c>
      <c r="H20" s="61">
        <f>0.1842-F20</f>
        <v>0.13440000000000002</v>
      </c>
      <c r="I20" s="61">
        <f>0.2635-F20</f>
        <v>0.2137</v>
      </c>
      <c r="J20" s="61">
        <f>0.124-G20</f>
        <v>7.6600000000000001E-2</v>
      </c>
      <c r="K20" s="61">
        <f>0.1969-G20</f>
        <v>0.14949999999999999</v>
      </c>
      <c r="L20" s="61">
        <f t="shared" si="1"/>
        <v>1.8369213483146074E-2</v>
      </c>
      <c r="M20" s="61">
        <f t="shared" si="1"/>
        <v>2.6748501872659175E-2</v>
      </c>
      <c r="N20" s="61">
        <f t="shared" si="2"/>
        <v>2.2558857677902625E-2</v>
      </c>
      <c r="O20" s="48">
        <f>'Growth curves'!F42</f>
        <v>0.65</v>
      </c>
      <c r="P20" s="61">
        <f t="shared" si="3"/>
        <v>0.81874000000000002</v>
      </c>
      <c r="Q20" s="128">
        <f t="shared" ref="Q20:Q25" si="7">P20*0.25/1000</f>
        <v>2.04685E-4</v>
      </c>
      <c r="R20" s="129">
        <f t="shared" si="4"/>
        <v>55.106279595238107</v>
      </c>
      <c r="S20" s="130"/>
      <c r="T20" s="48"/>
      <c r="U20" s="48"/>
      <c r="V20" s="63">
        <f t="shared" si="5"/>
        <v>45.117715355805245</v>
      </c>
      <c r="W20" s="131"/>
      <c r="X20" s="63"/>
      <c r="Y20" s="63"/>
      <c r="Z20" s="85">
        <f>(V20-$V$5)/(D20-$D$5)</f>
        <v>0.32782631668920076</v>
      </c>
      <c r="AA20" s="135"/>
      <c r="AB20" s="84"/>
      <c r="AD20" s="140">
        <f>D50</f>
        <v>384.5</v>
      </c>
      <c r="AE20" s="85">
        <f>S52</f>
        <v>69.735967240915841</v>
      </c>
      <c r="AF20" s="85">
        <f>U52</f>
        <v>3.1813481620742339</v>
      </c>
      <c r="AG20" s="63">
        <f>W52</f>
        <v>206.05724094881398</v>
      </c>
      <c r="AH20" s="63">
        <f>Y52</f>
        <v>11.315747607461331</v>
      </c>
    </row>
    <row r="21" spans="1:34" x14ac:dyDescent="0.15">
      <c r="A21" s="86"/>
      <c r="B21" s="197"/>
      <c r="C21" s="199"/>
      <c r="D21" s="215"/>
      <c r="E21" s="155" t="s">
        <v>102</v>
      </c>
      <c r="F21" s="211"/>
      <c r="G21" s="213"/>
      <c r="H21" s="61">
        <f>0.2254-F20</f>
        <v>0.17559999999999998</v>
      </c>
      <c r="I21" s="61">
        <f>0.184-F20</f>
        <v>0.13419999999999999</v>
      </c>
      <c r="J21" s="61">
        <f>0.1668-G20</f>
        <v>0.11940000000000001</v>
      </c>
      <c r="K21" s="61">
        <f>0.1247-G20</f>
        <v>7.7300000000000008E-2</v>
      </c>
      <c r="L21" s="61">
        <f t="shared" si="1"/>
        <v>2.2285468164794004E-2</v>
      </c>
      <c r="M21" s="61">
        <f t="shared" si="1"/>
        <v>1.8269625468164789E-2</v>
      </c>
      <c r="N21" s="61">
        <f t="shared" si="2"/>
        <v>2.0277546816479398E-2</v>
      </c>
      <c r="O21" s="48">
        <f>'Growth curves'!G42</f>
        <v>0.63100000000000001</v>
      </c>
      <c r="P21" s="61">
        <f t="shared" si="3"/>
        <v>0.79480760000000006</v>
      </c>
      <c r="Q21" s="128">
        <f t="shared" si="7"/>
        <v>1.987019E-4</v>
      </c>
      <c r="R21" s="129">
        <f t="shared" si="4"/>
        <v>51.02504509639666</v>
      </c>
      <c r="S21" s="130"/>
      <c r="T21" s="48"/>
      <c r="U21" s="48"/>
      <c r="V21" s="63">
        <f t="shared" si="5"/>
        <v>40.555093632958801</v>
      </c>
      <c r="W21" s="131"/>
      <c r="X21" s="63"/>
      <c r="Y21" s="63"/>
      <c r="Z21" s="85">
        <f>(V21-$V$6)/(D20-$D$5)</f>
        <v>0.27197491724555917</v>
      </c>
      <c r="AA21" s="135"/>
      <c r="AB21" s="84"/>
      <c r="AD21" s="140">
        <f>D53</f>
        <v>408</v>
      </c>
      <c r="AE21" s="85">
        <f>S55</f>
        <v>58.7058379187662</v>
      </c>
      <c r="AF21" s="85">
        <f>U55</f>
        <v>3.5207701767255677</v>
      </c>
      <c r="AG21" s="63">
        <f>W55</f>
        <v>178.96922596754052</v>
      </c>
      <c r="AH21" s="63">
        <f>Y55</f>
        <v>8.5146083567627038</v>
      </c>
    </row>
    <row r="22" spans="1:34" x14ac:dyDescent="0.15">
      <c r="A22" s="86"/>
      <c r="B22" s="198"/>
      <c r="C22" s="200"/>
      <c r="D22" s="216"/>
      <c r="E22" s="156" t="s">
        <v>103</v>
      </c>
      <c r="F22" s="212"/>
      <c r="G22" s="214"/>
      <c r="H22" s="66">
        <f>0.216-F20</f>
        <v>0.16620000000000001</v>
      </c>
      <c r="I22" s="66">
        <f>0.2425-F20</f>
        <v>0.19269999999999998</v>
      </c>
      <c r="J22" s="66">
        <f>0.1516-G20</f>
        <v>0.10420000000000001</v>
      </c>
      <c r="K22" s="66">
        <f>0.1767-G20</f>
        <v>0.1293</v>
      </c>
      <c r="L22" s="66">
        <f t="shared" ref="L22:M39" si="8">(H22-(0.474*J22))/5.34</f>
        <v>2.1874382022471911E-2</v>
      </c>
      <c r="M22" s="66">
        <f t="shared" si="8"/>
        <v>2.4608951310861424E-2</v>
      </c>
      <c r="N22" s="66">
        <f t="shared" si="2"/>
        <v>2.3241666666666667E-2</v>
      </c>
      <c r="O22" s="64">
        <f>'Growth curves'!H42</f>
        <v>0.68400000000000005</v>
      </c>
      <c r="P22" s="66">
        <f t="shared" si="3"/>
        <v>0.86156640000000007</v>
      </c>
      <c r="Q22" s="67">
        <f t="shared" si="7"/>
        <v>2.1539160000000001E-4</v>
      </c>
      <c r="R22" s="68">
        <f t="shared" si="4"/>
        <v>53.952119457459496</v>
      </c>
      <c r="S22" s="69">
        <f>AVERAGE(R20:R22)</f>
        <v>53.361148049698095</v>
      </c>
      <c r="T22" s="70">
        <f>STDEV(R20:R22)</f>
        <v>2.1038189471119004</v>
      </c>
      <c r="U22" s="70">
        <f>T22/SQRT(3)</f>
        <v>1.2146404354412907</v>
      </c>
      <c r="V22" s="70">
        <f t="shared" si="5"/>
        <v>46.483333333333334</v>
      </c>
      <c r="W22" s="69">
        <f>AVERAGE(V20:V22)</f>
        <v>44.05204744069912</v>
      </c>
      <c r="X22" s="70">
        <f>STDEV(V20:V22)</f>
        <v>3.1044713825769352</v>
      </c>
      <c r="Y22" s="70">
        <f>X22/SQRT(3)</f>
        <v>1.7923673884222833</v>
      </c>
      <c r="Z22" s="91">
        <f>(V22-$V$7)/(D20-$D$5)</f>
        <v>0.31208758761092203</v>
      </c>
      <c r="AA22" s="90">
        <f>AVERAGE(Z20:Z22)</f>
        <v>0.30396294051522732</v>
      </c>
      <c r="AB22" s="151">
        <f>STDEV(Z20:Z22)/SQRT(3)</f>
        <v>1.6626806897051195E-2</v>
      </c>
      <c r="AD22" s="140">
        <f>D56</f>
        <v>433.5</v>
      </c>
      <c r="AE22" s="85">
        <f>S58</f>
        <v>73.298580893471623</v>
      </c>
      <c r="AF22" s="85">
        <f>U58</f>
        <v>4.1266209138593641</v>
      </c>
      <c r="AG22" s="63">
        <f>W58</f>
        <v>232.27578027465665</v>
      </c>
      <c r="AH22" s="63">
        <f>Y58</f>
        <v>16.258810514783786</v>
      </c>
    </row>
    <row r="23" spans="1:34" x14ac:dyDescent="0.15">
      <c r="A23" s="86"/>
      <c r="B23" s="197" t="s">
        <v>19</v>
      </c>
      <c r="C23" s="199">
        <v>0.47916666666666669</v>
      </c>
      <c r="D23" s="215">
        <f>24+D20</f>
        <v>144.5</v>
      </c>
      <c r="E23" s="155" t="s">
        <v>101</v>
      </c>
      <c r="F23" s="211">
        <f>0.0558</f>
        <v>5.5800000000000002E-2</v>
      </c>
      <c r="G23" s="213">
        <v>5.4800000000000001E-2</v>
      </c>
      <c r="H23" s="61">
        <f>0.353-F23</f>
        <v>0.29719999999999996</v>
      </c>
      <c r="I23" s="61">
        <f>0.2209-F23</f>
        <v>0.16510000000000002</v>
      </c>
      <c r="J23" s="61">
        <f>0.2883-G23</f>
        <v>0.23349999999999999</v>
      </c>
      <c r="K23" s="61">
        <f>0.1589-G23</f>
        <v>0.10410000000000001</v>
      </c>
      <c r="L23" s="61">
        <f t="shared" si="8"/>
        <v>3.4929026217228466E-2</v>
      </c>
      <c r="M23" s="61">
        <f t="shared" si="8"/>
        <v>2.1677265917602998E-2</v>
      </c>
      <c r="N23" s="61">
        <f t="shared" si="2"/>
        <v>2.8303146067415734E-2</v>
      </c>
      <c r="O23" s="48">
        <f>'Growth curves'!F43</f>
        <v>0.82699999999999996</v>
      </c>
      <c r="P23" s="61">
        <f t="shared" si="3"/>
        <v>1.0416892</v>
      </c>
      <c r="Q23" s="128">
        <f t="shared" si="7"/>
        <v>2.604223E-4</v>
      </c>
      <c r="R23" s="129">
        <f t="shared" si="4"/>
        <v>54.340864947847656</v>
      </c>
      <c r="S23" s="130"/>
      <c r="T23" s="48"/>
      <c r="U23" s="48"/>
      <c r="V23" s="63">
        <f t="shared" si="5"/>
        <v>56.606292134831463</v>
      </c>
      <c r="W23" s="131"/>
      <c r="X23" s="63"/>
      <c r="Y23" s="63"/>
      <c r="Z23" s="85">
        <f>(V23-$V$5)/(D23-$D$5)</f>
        <v>0.35288337674792325</v>
      </c>
      <c r="AA23" s="135"/>
      <c r="AB23" s="84"/>
      <c r="AD23" s="140">
        <f>D59</f>
        <v>458</v>
      </c>
      <c r="AE23" s="85">
        <f>S61</f>
        <v>70.116677754458649</v>
      </c>
      <c r="AF23" s="85">
        <f>U61</f>
        <v>4.039027616383259</v>
      </c>
      <c r="AG23" s="63">
        <f>W61</f>
        <v>229.50062421972538</v>
      </c>
      <c r="AH23" s="63">
        <f>Y61</f>
        <v>15.560792119615313</v>
      </c>
    </row>
    <row r="24" spans="1:34" x14ac:dyDescent="0.15">
      <c r="A24" s="86"/>
      <c r="B24" s="197"/>
      <c r="C24" s="199"/>
      <c r="D24" s="215"/>
      <c r="E24" s="155" t="s">
        <v>102</v>
      </c>
      <c r="F24" s="211"/>
      <c r="G24" s="213"/>
      <c r="H24" s="61">
        <f>0.2637-F23</f>
        <v>0.20789999999999997</v>
      </c>
      <c r="I24" s="61">
        <f>0.2652-F23</f>
        <v>0.20939999999999998</v>
      </c>
      <c r="J24" s="61">
        <f>0.1748-G23</f>
        <v>0.12000000000000001</v>
      </c>
      <c r="K24" s="61">
        <f>0.175-G23</f>
        <v>0.12019999999999999</v>
      </c>
      <c r="L24" s="61">
        <f t="shared" si="8"/>
        <v>2.8280898876404493E-2</v>
      </c>
      <c r="M24" s="61">
        <f t="shared" si="8"/>
        <v>2.8544044943820221E-2</v>
      </c>
      <c r="N24" s="61">
        <f t="shared" si="2"/>
        <v>2.8412471910112355E-2</v>
      </c>
      <c r="O24" s="48">
        <f>'Growth curves'!G43</f>
        <v>0.78100000000000003</v>
      </c>
      <c r="P24" s="61">
        <f t="shared" si="3"/>
        <v>0.98374760000000006</v>
      </c>
      <c r="Q24" s="128">
        <f t="shared" si="7"/>
        <v>2.4593690000000002E-4</v>
      </c>
      <c r="R24" s="129">
        <f t="shared" si="4"/>
        <v>57.7637432815335</v>
      </c>
      <c r="S24" s="130"/>
      <c r="T24" s="48"/>
      <c r="U24" s="48"/>
      <c r="V24" s="63">
        <f t="shared" si="5"/>
        <v>56.824943820224711</v>
      </c>
      <c r="W24" s="131"/>
      <c r="X24" s="63"/>
      <c r="Y24" s="63"/>
      <c r="Z24" s="85">
        <f>(V24-$V$6)/(D23-$D$5)</f>
        <v>0.33939673159415773</v>
      </c>
      <c r="AA24" s="135"/>
      <c r="AB24" s="84"/>
    </row>
    <row r="25" spans="1:34" x14ac:dyDescent="0.15">
      <c r="A25" s="86"/>
      <c r="B25" s="198"/>
      <c r="C25" s="200"/>
      <c r="D25" s="216"/>
      <c r="E25" s="156" t="s">
        <v>103</v>
      </c>
      <c r="F25" s="212"/>
      <c r="G25" s="214"/>
      <c r="H25" s="66">
        <f>0.2555-F23</f>
        <v>0.19969999999999999</v>
      </c>
      <c r="I25" s="66">
        <f>0.2914-F23</f>
        <v>0.23559999999999998</v>
      </c>
      <c r="J25" s="66">
        <f>0.2029-G23</f>
        <v>0.14810000000000001</v>
      </c>
      <c r="K25" s="66">
        <f>0.2389-G23</f>
        <v>0.18409999999999999</v>
      </c>
      <c r="L25" s="66">
        <f t="shared" si="8"/>
        <v>2.4251048689138577E-2</v>
      </c>
      <c r="M25" s="66">
        <f t="shared" si="8"/>
        <v>2.7778389513108612E-2</v>
      </c>
      <c r="N25" s="66">
        <f t="shared" si="2"/>
        <v>2.6014719101123594E-2</v>
      </c>
      <c r="O25" s="64">
        <f>'Growth curves'!H43</f>
        <v>0.88600000000000001</v>
      </c>
      <c r="P25" s="66">
        <f t="shared" si="3"/>
        <v>1.1160056</v>
      </c>
      <c r="Q25" s="67">
        <f t="shared" si="7"/>
        <v>2.7900139999999999E-4</v>
      </c>
      <c r="R25" s="68">
        <f t="shared" si="4"/>
        <v>46.621126455142509</v>
      </c>
      <c r="S25" s="69">
        <f>AVERAGE(R23:R25)</f>
        <v>52.908578228174555</v>
      </c>
      <c r="T25" s="70">
        <f>STDEV(R23:R25)</f>
        <v>5.7077194544280871</v>
      </c>
      <c r="U25" s="70">
        <f>T25/SQRT(3)</f>
        <v>3.2953533634729202</v>
      </c>
      <c r="V25" s="70">
        <f t="shared" si="5"/>
        <v>52.029438202247192</v>
      </c>
      <c r="W25" s="69">
        <f>AVERAGE(V23:V25)</f>
        <v>55.153558052434448</v>
      </c>
      <c r="X25" s="70">
        <f>STDEV(V23:V25)</f>
        <v>2.7077750587210696</v>
      </c>
      <c r="Y25" s="70">
        <f>X25/SQRT(3)</f>
        <v>1.5633346590575643</v>
      </c>
      <c r="Z25" s="91">
        <f>(V25-$V$7)/(D23-$D$5)</f>
        <v>0.2986343195573008</v>
      </c>
      <c r="AA25" s="90">
        <f>AVERAGE(Z23:Z25)</f>
        <v>0.33030480929979394</v>
      </c>
      <c r="AB25" s="151">
        <f>STDEV(Z23:Z25)/SQRT(3)</f>
        <v>1.6306822087426256E-2</v>
      </c>
      <c r="AC25" s="85"/>
    </row>
    <row r="26" spans="1:34" x14ac:dyDescent="0.15">
      <c r="A26" s="86"/>
      <c r="B26" s="197" t="s">
        <v>20</v>
      </c>
      <c r="C26" s="199">
        <v>0.45833333333333331</v>
      </c>
      <c r="D26" s="215">
        <f>23.5+D23</f>
        <v>168</v>
      </c>
      <c r="E26" s="155" t="s">
        <v>101</v>
      </c>
      <c r="F26" s="211">
        <v>5.4199999999999998E-2</v>
      </c>
      <c r="G26" s="213">
        <v>5.2900000000000003E-2</v>
      </c>
      <c r="H26" s="61">
        <f>0.24-F26</f>
        <v>0.18579999999999999</v>
      </c>
      <c r="I26" s="61">
        <f>0.1636-F26</f>
        <v>0.1094</v>
      </c>
      <c r="J26" s="61">
        <f>0.1966-G26</f>
        <v>0.14369999999999999</v>
      </c>
      <c r="K26" s="61">
        <f>0.1207-G26</f>
        <v>6.7799999999999999E-2</v>
      </c>
      <c r="L26" s="61">
        <f t="shared" si="8"/>
        <v>2.2038614232209739E-2</v>
      </c>
      <c r="M26" s="61">
        <f t="shared" si="8"/>
        <v>1.4468689138576778E-2</v>
      </c>
      <c r="N26" s="61">
        <f t="shared" si="2"/>
        <v>1.8253651685393259E-2</v>
      </c>
      <c r="O26" s="48">
        <f>'Growth curves'!F44</f>
        <v>0.97899999999999998</v>
      </c>
      <c r="P26" s="61">
        <f t="shared" si="3"/>
        <v>1.2331483999999999</v>
      </c>
      <c r="Q26" s="128">
        <f>P26*0.1/1000</f>
        <v>1.2331484E-4</v>
      </c>
      <c r="R26" s="129">
        <f t="shared" si="4"/>
        <v>74.012388474060614</v>
      </c>
      <c r="S26" s="130"/>
      <c r="T26" s="48"/>
      <c r="U26" s="48"/>
      <c r="V26" s="63">
        <f t="shared" si="5"/>
        <v>91.268258426966284</v>
      </c>
      <c r="W26" s="131"/>
      <c r="X26" s="63"/>
      <c r="Y26" s="63"/>
      <c r="Z26" s="85">
        <f>(V26-$V$5)/(D26-$D$5)</f>
        <v>0.5098429418583913</v>
      </c>
      <c r="AA26" s="135"/>
      <c r="AB26" s="84"/>
    </row>
    <row r="27" spans="1:34" x14ac:dyDescent="0.15">
      <c r="A27" s="86"/>
      <c r="B27" s="197"/>
      <c r="C27" s="199"/>
      <c r="D27" s="215"/>
      <c r="E27" s="155" t="s">
        <v>102</v>
      </c>
      <c r="F27" s="211"/>
      <c r="G27" s="213"/>
      <c r="H27" s="61">
        <f>0.1481-F26</f>
        <v>9.3900000000000011E-2</v>
      </c>
      <c r="I27" s="61">
        <f>0.145-F26</f>
        <v>9.0799999999999992E-2</v>
      </c>
      <c r="J27" s="61">
        <f>0.1112-G26</f>
        <v>5.8299999999999991E-2</v>
      </c>
      <c r="K27" s="61">
        <f>0.1085-G26</f>
        <v>5.5599999999999997E-2</v>
      </c>
      <c r="L27" s="61">
        <f t="shared" si="8"/>
        <v>1.2409325842696632E-2</v>
      </c>
      <c r="M27" s="61">
        <f t="shared" si="8"/>
        <v>1.2068464419475655E-2</v>
      </c>
      <c r="N27" s="61">
        <f t="shared" si="2"/>
        <v>1.2238895131086143E-2</v>
      </c>
      <c r="O27" s="48">
        <f>'Growth curves'!G44</f>
        <v>0.91500000000000004</v>
      </c>
      <c r="P27" s="61">
        <f t="shared" si="3"/>
        <v>1.1525340000000002</v>
      </c>
      <c r="Q27" s="128">
        <f>P27*0.1/1000</f>
        <v>1.1525340000000002E-4</v>
      </c>
      <c r="R27" s="129">
        <f t="shared" si="4"/>
        <v>53.095592542545994</v>
      </c>
      <c r="S27" s="130"/>
      <c r="T27" s="48"/>
      <c r="U27" s="48"/>
      <c r="V27" s="63">
        <f t="shared" si="5"/>
        <v>61.194475655430715</v>
      </c>
      <c r="W27" s="131"/>
      <c r="X27" s="63"/>
      <c r="Y27" s="63"/>
      <c r="Z27" s="85">
        <f>(V27-$V$6)/(D26-$D$5)</f>
        <v>0.31793071161048686</v>
      </c>
      <c r="AA27" s="135"/>
      <c r="AB27" s="84"/>
    </row>
    <row r="28" spans="1:34" x14ac:dyDescent="0.15">
      <c r="A28" s="86"/>
      <c r="B28" s="198"/>
      <c r="C28" s="200"/>
      <c r="D28" s="216"/>
      <c r="E28" s="156" t="s">
        <v>103</v>
      </c>
      <c r="F28" s="212"/>
      <c r="G28" s="214"/>
      <c r="H28" s="66">
        <f>0.1657-F26</f>
        <v>0.11149999999999999</v>
      </c>
      <c r="I28" s="66">
        <f>0.171-F26</f>
        <v>0.11680000000000001</v>
      </c>
      <c r="J28" s="66">
        <f>0.1262-G26</f>
        <v>7.3300000000000004E-2</v>
      </c>
      <c r="K28" s="66">
        <f>0.1303-G26</f>
        <v>7.7399999999999997E-2</v>
      </c>
      <c r="L28" s="66">
        <f t="shared" si="8"/>
        <v>1.4373745318352057E-2</v>
      </c>
      <c r="M28" s="66">
        <f t="shared" si="8"/>
        <v>1.5002322097378283E-2</v>
      </c>
      <c r="N28" s="66">
        <f t="shared" si="2"/>
        <v>1.4688033707865169E-2</v>
      </c>
      <c r="O28" s="64">
        <f>'Growth curves'!H44</f>
        <v>0.98799999999999999</v>
      </c>
      <c r="P28" s="66">
        <f t="shared" si="3"/>
        <v>1.2444847999999999</v>
      </c>
      <c r="Q28" s="67">
        <f>P28*0.1/1000</f>
        <v>1.2444847999999999E-4</v>
      </c>
      <c r="R28" s="68">
        <f t="shared" si="4"/>
        <v>59.01250745635933</v>
      </c>
      <c r="S28" s="69">
        <f>AVERAGE(R26:R28)</f>
        <v>62.040162824321975</v>
      </c>
      <c r="T28" s="70">
        <f>STDEV(R26:R28)</f>
        <v>10.782073584451345</v>
      </c>
      <c r="U28" s="70">
        <f>T28/SQRT(3)</f>
        <v>6.2250330864053378</v>
      </c>
      <c r="V28" s="70">
        <f t="shared" si="5"/>
        <v>73.440168539325853</v>
      </c>
      <c r="W28" s="69">
        <f>AVERAGE(V26:V28)</f>
        <v>75.300967540574277</v>
      </c>
      <c r="X28" s="70">
        <f>STDEV(V26:V28)</f>
        <v>15.122996800887799</v>
      </c>
      <c r="Y28" s="70">
        <f>X28/SQRT(3)</f>
        <v>8.7312662739464209</v>
      </c>
      <c r="Z28" s="91">
        <f>(V28-$V$7)/(D26-$D$5)</f>
        <v>0.38430588995897985</v>
      </c>
      <c r="AA28" s="90">
        <f>AVERAGE(Z26:Z28)</f>
        <v>0.40402651447595267</v>
      </c>
      <c r="AB28" s="151">
        <f>STDEV(Z26:Z28)/SQRT(3)</f>
        <v>5.6270931818556184E-2</v>
      </c>
    </row>
    <row r="29" spans="1:34" x14ac:dyDescent="0.15">
      <c r="A29" s="86"/>
      <c r="B29" s="197" t="s">
        <v>21</v>
      </c>
      <c r="C29" s="199">
        <v>0.45833333333333331</v>
      </c>
      <c r="D29" s="217">
        <f>24+D26</f>
        <v>192</v>
      </c>
      <c r="E29" s="155" t="s">
        <v>101</v>
      </c>
      <c r="F29" s="211">
        <f>(0.0552+0.0495+0.0529)/3</f>
        <v>5.2533333333333342E-2</v>
      </c>
      <c r="G29" s="213">
        <f>(0.0528+0.0478+0.051)/3</f>
        <v>5.0533333333333326E-2</v>
      </c>
      <c r="H29" s="61">
        <f>0.1715-F29</f>
        <v>0.11896666666666667</v>
      </c>
      <c r="I29" s="61">
        <f>0.1654-F29</f>
        <v>0.11286666666666664</v>
      </c>
      <c r="J29" s="61">
        <f>0.1276-G29</f>
        <v>7.7066666666666672E-2</v>
      </c>
      <c r="K29" s="61">
        <f>0.1218-G29</f>
        <v>7.1266666666666673E-2</v>
      </c>
      <c r="L29" s="61">
        <f t="shared" si="8"/>
        <v>1.543765293383271E-2</v>
      </c>
      <c r="M29" s="61">
        <f t="shared" si="8"/>
        <v>1.4810162297128586E-2</v>
      </c>
      <c r="N29" s="61">
        <f t="shared" si="2"/>
        <v>1.5123907615480648E-2</v>
      </c>
      <c r="O29" s="48">
        <f>'Growth curves'!F45</f>
        <v>1.131</v>
      </c>
      <c r="P29" s="61">
        <f t="shared" si="3"/>
        <v>1.4246076000000001</v>
      </c>
      <c r="Q29" s="128">
        <f t="shared" ref="Q29:Q37" si="9">P29*0.1/1000</f>
        <v>1.4246076000000001E-4</v>
      </c>
      <c r="R29" s="129">
        <f t="shared" si="4"/>
        <v>53.080959330417187</v>
      </c>
      <c r="S29" s="130"/>
      <c r="T29" s="48"/>
      <c r="U29" s="48"/>
      <c r="V29" s="63">
        <f t="shared" si="5"/>
        <v>75.619538077403234</v>
      </c>
      <c r="W29" s="131"/>
      <c r="X29" s="63"/>
      <c r="Y29" s="63"/>
      <c r="Z29" s="85">
        <f>(V29-$V$5)/(D29-$D$5)</f>
        <v>0.3646088223054515</v>
      </c>
      <c r="AA29" s="135"/>
      <c r="AB29" s="84"/>
    </row>
    <row r="30" spans="1:34" x14ac:dyDescent="0.15">
      <c r="A30" s="86"/>
      <c r="B30" s="197"/>
      <c r="C30" s="199"/>
      <c r="D30" s="217"/>
      <c r="E30" s="155" t="s">
        <v>102</v>
      </c>
      <c r="F30" s="211"/>
      <c r="G30" s="213"/>
      <c r="H30" s="61">
        <f>0.1757-F29</f>
        <v>0.12316666666666665</v>
      </c>
      <c r="I30" s="61">
        <f>0.1634-F29</f>
        <v>0.11086666666666664</v>
      </c>
      <c r="J30" s="61">
        <f>0.1283-G29</f>
        <v>7.7766666666666678E-2</v>
      </c>
      <c r="K30" s="61">
        <f>0.1157-G29</f>
        <v>6.5166666666666678E-2</v>
      </c>
      <c r="L30" s="61">
        <f t="shared" si="8"/>
        <v>1.6162034956304614E-2</v>
      </c>
      <c r="M30" s="61">
        <f t="shared" si="8"/>
        <v>1.4977091136079895E-2</v>
      </c>
      <c r="N30" s="61">
        <f t="shared" si="2"/>
        <v>1.5569563046192255E-2</v>
      </c>
      <c r="O30" s="48">
        <f>'Growth curves'!G45</f>
        <v>1.022</v>
      </c>
      <c r="P30" s="61">
        <f t="shared" si="3"/>
        <v>1.2873112</v>
      </c>
      <c r="Q30" s="128">
        <f t="shared" si="9"/>
        <v>1.2873111999999999E-4</v>
      </c>
      <c r="R30" s="129">
        <f t="shared" si="4"/>
        <v>60.473190345086159</v>
      </c>
      <c r="S30" s="130"/>
      <c r="T30" s="48"/>
      <c r="U30" s="48"/>
      <c r="V30" s="63">
        <f t="shared" si="5"/>
        <v>77.847815230961274</v>
      </c>
      <c r="W30" s="131"/>
      <c r="X30" s="63"/>
      <c r="Y30" s="63"/>
      <c r="Z30" s="85">
        <f>(V30-$V$6)/(D29-$D$5)</f>
        <v>0.36492551628173103</v>
      </c>
      <c r="AA30" s="135"/>
      <c r="AB30" s="84"/>
    </row>
    <row r="31" spans="1:34" x14ac:dyDescent="0.15">
      <c r="A31" s="86"/>
      <c r="B31" s="198"/>
      <c r="C31" s="200"/>
      <c r="D31" s="218"/>
      <c r="E31" s="156" t="s">
        <v>103</v>
      </c>
      <c r="F31" s="212"/>
      <c r="G31" s="214"/>
      <c r="H31" s="66">
        <f>0.22-F29</f>
        <v>0.16746666666666665</v>
      </c>
      <c r="I31" s="66">
        <f>0.2184-F29</f>
        <v>0.16586666666666666</v>
      </c>
      <c r="J31" s="66">
        <f>0.1564-G29</f>
        <v>0.10586666666666669</v>
      </c>
      <c r="K31" s="66">
        <f>0.1561-G29</f>
        <v>0.10556666666666667</v>
      </c>
      <c r="L31" s="66">
        <f t="shared" si="8"/>
        <v>2.1963645443196001E-2</v>
      </c>
      <c r="M31" s="66">
        <f t="shared" si="8"/>
        <v>2.169064918851436E-2</v>
      </c>
      <c r="N31" s="66">
        <f t="shared" si="2"/>
        <v>2.182714731585518E-2</v>
      </c>
      <c r="O31" s="64">
        <f>'Growth curves'!H45</f>
        <v>1.1639999999999999</v>
      </c>
      <c r="P31" s="66">
        <f t="shared" si="3"/>
        <v>1.4661743999999999</v>
      </c>
      <c r="Q31" s="67">
        <f t="shared" si="9"/>
        <v>1.4661743999999999E-4</v>
      </c>
      <c r="R31" s="68">
        <f t="shared" si="4"/>
        <v>74.435712817844802</v>
      </c>
      <c r="S31" s="69">
        <f>AVERAGE(R29:R31)</f>
        <v>62.663287497782711</v>
      </c>
      <c r="T31" s="70">
        <f>STDEV(R29:R31)</f>
        <v>10.844527111907107</v>
      </c>
      <c r="U31" s="70">
        <f>T31/SQRT(3)</f>
        <v>6.2610906472937637</v>
      </c>
      <c r="V31" s="70">
        <f t="shared" si="5"/>
        <v>109.1357365792759</v>
      </c>
      <c r="W31" s="69">
        <f>AVERAGE(V29:V31)</f>
        <v>87.534363295880141</v>
      </c>
      <c r="X31" s="70">
        <f>STDEV(V29:V31)</f>
        <v>18.740485601091592</v>
      </c>
      <c r="Y31" s="70">
        <f>X31/SQRT(3)</f>
        <v>10.819824406534536</v>
      </c>
      <c r="Z31" s="91">
        <f>(V31-$V$7)/(D29-$D$5)</f>
        <v>0.52218207058884725</v>
      </c>
      <c r="AA31" s="90">
        <f>AVERAGE(Z29:Z31)</f>
        <v>0.41723880305867661</v>
      </c>
      <c r="AB31" s="151">
        <f>STDEV(Z29:Z31)/SQRT(3)</f>
        <v>5.2471713407321985E-2</v>
      </c>
    </row>
    <row r="32" spans="1:34" x14ac:dyDescent="0.15">
      <c r="A32" s="86"/>
      <c r="B32" s="197" t="s">
        <v>22</v>
      </c>
      <c r="C32" s="199">
        <v>0.45833333333333331</v>
      </c>
      <c r="D32" s="217">
        <f>24+D29</f>
        <v>216</v>
      </c>
      <c r="E32" s="155" t="s">
        <v>101</v>
      </c>
      <c r="F32" s="211">
        <f>(0.0561+0.0493+0.0499)/3</f>
        <v>5.1766666666666662E-2</v>
      </c>
      <c r="G32" s="213">
        <f>(0.0535+0.0464+0.0475)/3</f>
        <v>4.9133333333333327E-2</v>
      </c>
      <c r="H32" s="62">
        <f>0.2143-F32</f>
        <v>0.16253333333333334</v>
      </c>
      <c r="I32" s="61">
        <f>0.1947-F32</f>
        <v>0.14293333333333336</v>
      </c>
      <c r="J32" s="61">
        <f>0.1547-G32</f>
        <v>0.10556666666666667</v>
      </c>
      <c r="K32" s="61">
        <f>0.1363-G32</f>
        <v>8.716666666666667E-2</v>
      </c>
      <c r="L32" s="61">
        <f t="shared" si="8"/>
        <v>2.1066429463171041E-2</v>
      </c>
      <c r="M32" s="61">
        <f t="shared" si="8"/>
        <v>1.9029275905118607E-2</v>
      </c>
      <c r="N32" s="61">
        <f t="shared" si="2"/>
        <v>2.0047852684144822E-2</v>
      </c>
      <c r="O32" s="48">
        <f>'Growth curves'!F46</f>
        <v>1.3180000000000001</v>
      </c>
      <c r="P32" s="61">
        <f t="shared" si="3"/>
        <v>1.6601528000000001</v>
      </c>
      <c r="Q32" s="128">
        <f t="shared" si="9"/>
        <v>1.6601528000000001E-4</v>
      </c>
      <c r="R32" s="129">
        <f t="shared" si="4"/>
        <v>60.37954061862505</v>
      </c>
      <c r="S32" s="130"/>
      <c r="T32" s="48"/>
      <c r="U32" s="48"/>
      <c r="V32" s="63">
        <f t="shared" si="5"/>
        <v>100.23926342072411</v>
      </c>
      <c r="W32" s="131"/>
      <c r="X32" s="63"/>
      <c r="Y32" s="63"/>
      <c r="Z32" s="85">
        <f>(V32-$V$5)/(D32-$D$5)</f>
        <v>0.43807694086096094</v>
      </c>
      <c r="AA32" s="135"/>
      <c r="AB32" s="84"/>
    </row>
    <row r="33" spans="1:28" x14ac:dyDescent="0.15">
      <c r="A33" s="86"/>
      <c r="B33" s="197"/>
      <c r="C33" s="199"/>
      <c r="D33" s="217"/>
      <c r="E33" s="155" t="s">
        <v>102</v>
      </c>
      <c r="F33" s="211"/>
      <c r="G33" s="213"/>
      <c r="H33" s="62">
        <f>0.1999-F32</f>
        <v>0.14813333333333334</v>
      </c>
      <c r="I33" s="61">
        <f>0.1999-F32</f>
        <v>0.14813333333333334</v>
      </c>
      <c r="J33" s="61">
        <f>0.1331-G32</f>
        <v>8.3966666666666662E-2</v>
      </c>
      <c r="K33" s="61">
        <f>0.1323-G32</f>
        <v>8.3166666666666667E-2</v>
      </c>
      <c r="L33" s="61">
        <f t="shared" si="8"/>
        <v>2.0287103620474409E-2</v>
      </c>
      <c r="M33" s="61">
        <f t="shared" si="8"/>
        <v>2.0358114856429466E-2</v>
      </c>
      <c r="N33" s="61">
        <f t="shared" si="2"/>
        <v>2.0322609238451937E-2</v>
      </c>
      <c r="O33" s="61">
        <f>'Growth curves'!G46</f>
        <v>1.284</v>
      </c>
      <c r="P33" s="61">
        <f t="shared" si="3"/>
        <v>1.6173264000000001</v>
      </c>
      <c r="Q33" s="128">
        <f t="shared" si="9"/>
        <v>1.6173264000000001E-4</v>
      </c>
      <c r="R33" s="129">
        <f t="shared" si="4"/>
        <v>62.827791713694701</v>
      </c>
      <c r="S33" s="130"/>
      <c r="T33" s="48"/>
      <c r="U33" s="48"/>
      <c r="V33" s="63">
        <f t="shared" si="5"/>
        <v>101.61304619225969</v>
      </c>
      <c r="W33" s="131"/>
      <c r="X33" s="63"/>
      <c r="Y33" s="63"/>
      <c r="Z33" s="85">
        <f>(V33-$V$6)/(D32-$D$5)</f>
        <v>0.43440245410829059</v>
      </c>
      <c r="AA33" s="135"/>
      <c r="AB33" s="84"/>
    </row>
    <row r="34" spans="1:28" x14ac:dyDescent="0.15">
      <c r="A34" s="86"/>
      <c r="B34" s="198"/>
      <c r="C34" s="200"/>
      <c r="D34" s="218"/>
      <c r="E34" s="156" t="s">
        <v>103</v>
      </c>
      <c r="F34" s="212"/>
      <c r="G34" s="214"/>
      <c r="H34" s="65">
        <f>0.1913-F32</f>
        <v>0.13953333333333334</v>
      </c>
      <c r="I34" s="66">
        <f>0.2257-F32</f>
        <v>0.17393333333333336</v>
      </c>
      <c r="J34" s="66">
        <f>0.1329-G32</f>
        <v>8.3766666666666656E-2</v>
      </c>
      <c r="K34" s="66">
        <f>0.1662-G32</f>
        <v>0.11706666666666665</v>
      </c>
      <c r="L34" s="66">
        <f t="shared" si="8"/>
        <v>1.8694369538077404E-2</v>
      </c>
      <c r="M34" s="66">
        <f t="shared" si="8"/>
        <v>2.2180474406991266E-2</v>
      </c>
      <c r="N34" s="66">
        <f t="shared" si="2"/>
        <v>2.0437421972534335E-2</v>
      </c>
      <c r="O34" s="64">
        <f>'Growth curves'!H46</f>
        <v>1.41</v>
      </c>
      <c r="P34" s="66">
        <f t="shared" si="3"/>
        <v>1.7760359999999999</v>
      </c>
      <c r="Q34" s="67">
        <f t="shared" si="9"/>
        <v>1.7760359999999999E-4</v>
      </c>
      <c r="R34" s="68">
        <f t="shared" si="4"/>
        <v>57.536620801983567</v>
      </c>
      <c r="S34" s="69">
        <f>AVERAGE(R32:R34)</f>
        <v>60.247984378101108</v>
      </c>
      <c r="T34" s="70">
        <f>STDEV(R32:R34)</f>
        <v>2.6480375162656031</v>
      </c>
      <c r="U34" s="70">
        <f>T34/SQRT(3)</f>
        <v>1.528845172840174</v>
      </c>
      <c r="V34" s="70">
        <f t="shared" si="5"/>
        <v>102.18710986267169</v>
      </c>
      <c r="W34" s="69">
        <f>AVERAGE(V32:V34)</f>
        <v>101.34647315855182</v>
      </c>
      <c r="X34" s="70">
        <f>STDEV(V32:V34)</f>
        <v>1.0009107488068629</v>
      </c>
      <c r="Y34" s="70">
        <f>X34/SQRT(3)</f>
        <v>0.57787609025843223</v>
      </c>
      <c r="Z34" s="91">
        <f>(V34-$V$7)/(D32-$D$5)</f>
        <v>0.43199227239099286</v>
      </c>
      <c r="AA34" s="90">
        <f>AVERAGE(Z32:Z34)</f>
        <v>0.43482388912008146</v>
      </c>
      <c r="AB34" s="151">
        <f>STDEV(Z32:Z34)/SQRT(3)</f>
        <v>1.7690866946184691E-3</v>
      </c>
    </row>
    <row r="35" spans="1:28" x14ac:dyDescent="0.15">
      <c r="A35" s="86"/>
      <c r="B35" s="197" t="s">
        <v>23</v>
      </c>
      <c r="C35" s="199">
        <v>0.45833333333333331</v>
      </c>
      <c r="D35" s="217">
        <f>24+D32</f>
        <v>240</v>
      </c>
      <c r="E35" s="155" t="s">
        <v>101</v>
      </c>
      <c r="F35" s="211">
        <v>4.9599999999999998E-2</v>
      </c>
      <c r="G35" s="213">
        <v>4.82E-2</v>
      </c>
      <c r="H35" s="62">
        <f>0.3171-F35</f>
        <v>0.26750000000000002</v>
      </c>
      <c r="I35" s="61">
        <f>0.2385-F35</f>
        <v>0.18889999999999998</v>
      </c>
      <c r="J35" s="61">
        <f>0.247-G35</f>
        <v>0.1988</v>
      </c>
      <c r="K35" s="61">
        <f>0.1707-G35</f>
        <v>0.1225</v>
      </c>
      <c r="L35" s="61">
        <f t="shared" si="8"/>
        <v>3.2447340823970036E-2</v>
      </c>
      <c r="M35" s="61">
        <f t="shared" si="8"/>
        <v>2.4500936329588011E-2</v>
      </c>
      <c r="N35" s="61">
        <f t="shared" si="2"/>
        <v>2.8474138576779023E-2</v>
      </c>
      <c r="O35" s="61">
        <f>'Growth curves'!F47</f>
        <v>1.554</v>
      </c>
      <c r="P35" s="61">
        <f t="shared" si="3"/>
        <v>1.9574184000000001</v>
      </c>
      <c r="Q35" s="128">
        <f t="shared" si="9"/>
        <v>1.9574184000000004E-4</v>
      </c>
      <c r="R35" s="129">
        <f t="shared" si="4"/>
        <v>72.733909563686069</v>
      </c>
      <c r="S35" s="130"/>
      <c r="T35" s="48"/>
      <c r="U35" s="48"/>
      <c r="V35" s="63">
        <f t="shared" si="5"/>
        <v>142.37069288389509</v>
      </c>
      <c r="W35" s="131"/>
      <c r="X35" s="63"/>
      <c r="Y35" s="63"/>
      <c r="Z35" s="85">
        <f>(V35-$V$5)/(D35-$D$5)</f>
        <v>0.5698168695380772</v>
      </c>
      <c r="AA35" s="135"/>
      <c r="AB35" s="84"/>
    </row>
    <row r="36" spans="1:28" x14ac:dyDescent="0.15">
      <c r="A36" s="86"/>
      <c r="B36" s="197"/>
      <c r="C36" s="199"/>
      <c r="D36" s="217"/>
      <c r="E36" s="155" t="s">
        <v>102</v>
      </c>
      <c r="F36" s="211"/>
      <c r="G36" s="213"/>
      <c r="H36" s="62">
        <f>0.1914-F35</f>
        <v>0.14179999999999998</v>
      </c>
      <c r="I36" s="61">
        <f>0.1961-F35</f>
        <v>0.14649999999999999</v>
      </c>
      <c r="J36" s="61">
        <f>0.1432-G35</f>
        <v>9.5000000000000001E-2</v>
      </c>
      <c r="K36" s="61">
        <f>0.148-G35</f>
        <v>9.98E-2</v>
      </c>
      <c r="L36" s="61">
        <f t="shared" si="8"/>
        <v>1.8121722846441944E-2</v>
      </c>
      <c r="M36" s="61">
        <f t="shared" si="8"/>
        <v>1.8575805243445695E-2</v>
      </c>
      <c r="N36" s="61">
        <f t="shared" si="2"/>
        <v>1.834876404494382E-2</v>
      </c>
      <c r="O36" s="61">
        <f>'Growth curves'!G47</f>
        <v>1.3620000000000001</v>
      </c>
      <c r="P36" s="61">
        <f t="shared" si="3"/>
        <v>1.7155752000000002</v>
      </c>
      <c r="Q36" s="128">
        <f t="shared" si="9"/>
        <v>1.7155752000000001E-4</v>
      </c>
      <c r="R36" s="129">
        <f t="shared" si="4"/>
        <v>53.477003062715696</v>
      </c>
      <c r="S36" s="130"/>
      <c r="T36" s="48"/>
      <c r="U36" s="48"/>
      <c r="V36" s="63">
        <f t="shared" si="5"/>
        <v>91.743820224719101</v>
      </c>
      <c r="W36" s="131"/>
      <c r="X36" s="63"/>
      <c r="Y36" s="63"/>
      <c r="Z36" s="85">
        <f>(V36-$V$6)/(D35-$D$5)</f>
        <v>0.34984043383270907</v>
      </c>
      <c r="AA36" s="135"/>
      <c r="AB36" s="84"/>
    </row>
    <row r="37" spans="1:28" x14ac:dyDescent="0.15">
      <c r="A37" s="86"/>
      <c r="B37" s="198"/>
      <c r="C37" s="200"/>
      <c r="D37" s="218"/>
      <c r="E37" s="156" t="s">
        <v>103</v>
      </c>
      <c r="F37" s="212"/>
      <c r="G37" s="214"/>
      <c r="H37" s="65">
        <f>0.2245-F35</f>
        <v>0.1749</v>
      </c>
      <c r="I37" s="66">
        <f>0.2368-F35</f>
        <v>0.18720000000000001</v>
      </c>
      <c r="J37" s="66">
        <f>0.1472-G35</f>
        <v>9.9000000000000005E-2</v>
      </c>
      <c r="K37" s="66">
        <f>0.1584-G35</f>
        <v>0.11020000000000002</v>
      </c>
      <c r="L37" s="66">
        <f t="shared" si="8"/>
        <v>2.3965168539325843E-2</v>
      </c>
      <c r="M37" s="66">
        <f t="shared" si="8"/>
        <v>2.5274382022471911E-2</v>
      </c>
      <c r="N37" s="66">
        <f t="shared" si="2"/>
        <v>2.4619775280898877E-2</v>
      </c>
      <c r="O37" s="66">
        <f>'Growth curves'!H47</f>
        <v>1.5640000000000001</v>
      </c>
      <c r="P37" s="66">
        <f t="shared" si="3"/>
        <v>1.9700144000000002</v>
      </c>
      <c r="Q37" s="67">
        <f t="shared" si="9"/>
        <v>1.9700144000000004E-4</v>
      </c>
      <c r="R37" s="68">
        <f t="shared" si="4"/>
        <v>62.486282539099392</v>
      </c>
      <c r="S37" s="69">
        <f>AVERAGE(R35:R37)</f>
        <v>62.899065055167057</v>
      </c>
      <c r="T37" s="70">
        <f>STDEV(R35:R37)</f>
        <v>9.6350871325045961</v>
      </c>
      <c r="U37" s="70">
        <f>T37/SQRT(3)</f>
        <v>5.5628201496170284</v>
      </c>
      <c r="V37" s="70">
        <f t="shared" si="5"/>
        <v>123.09887640449438</v>
      </c>
      <c r="W37" s="69">
        <f>AVERAGE(V35:V37)</f>
        <v>119.07112983770286</v>
      </c>
      <c r="X37" s="70">
        <f>STDEV(V35:V37)</f>
        <v>25.552634220698938</v>
      </c>
      <c r="Y37" s="70">
        <f>X37/SQRT(3)</f>
        <v>14.752820245824577</v>
      </c>
      <c r="Z37" s="91">
        <f>(V37-$V$7)/(D35-$D$5)</f>
        <v>0.47592540574282144</v>
      </c>
      <c r="AA37" s="90">
        <f>AVERAGE(Z35:Z37)</f>
        <v>0.46519423637120255</v>
      </c>
      <c r="AB37" s="151">
        <f>STDEV(Z35:Z37)/SQRT(3)</f>
        <v>6.3728006829732384E-2</v>
      </c>
    </row>
    <row r="38" spans="1:28" x14ac:dyDescent="0.15">
      <c r="A38" s="86"/>
      <c r="B38" s="197" t="s">
        <v>24</v>
      </c>
      <c r="C38" s="199">
        <v>0.5</v>
      </c>
      <c r="D38" s="215">
        <f>25+D35</f>
        <v>265</v>
      </c>
      <c r="E38" s="155" t="s">
        <v>101</v>
      </c>
      <c r="F38" s="211">
        <f>(0.0535+0.048)/2</f>
        <v>5.0750000000000003E-2</v>
      </c>
      <c r="G38" s="213">
        <f>(0.0509+0.0455)/2</f>
        <v>4.82E-2</v>
      </c>
      <c r="H38" s="62">
        <f>0.3446-F38</f>
        <v>0.29385</v>
      </c>
      <c r="I38" s="61">
        <f>0.2564-F38</f>
        <v>0.20565</v>
      </c>
      <c r="J38" s="61">
        <f>0.2522-G38</f>
        <v>0.20399999999999999</v>
      </c>
      <c r="K38" s="61">
        <f>0.1661-G38</f>
        <v>0.1179</v>
      </c>
      <c r="L38" s="61">
        <f t="shared" si="8"/>
        <v>3.692022471910112E-2</v>
      </c>
      <c r="M38" s="61">
        <f t="shared" si="8"/>
        <v>2.8045955056179774E-2</v>
      </c>
      <c r="N38" s="61">
        <f t="shared" si="2"/>
        <v>3.2483089887640447E-2</v>
      </c>
      <c r="O38" s="61">
        <f>'Growth curves'!F48</f>
        <v>1.714</v>
      </c>
      <c r="P38" s="61">
        <f t="shared" si="3"/>
        <v>2.1589543999999998</v>
      </c>
      <c r="Q38" s="128">
        <f>P38*0.1/1000</f>
        <v>2.1589544E-4</v>
      </c>
      <c r="R38" s="129">
        <f t="shared" si="4"/>
        <v>75.228753992303979</v>
      </c>
      <c r="S38" s="131"/>
      <c r="T38" s="63"/>
      <c r="U38" s="63"/>
      <c r="V38" s="63">
        <f t="shared" si="5"/>
        <v>162.41544943820222</v>
      </c>
      <c r="W38" s="131"/>
      <c r="X38" s="63"/>
      <c r="Y38" s="63"/>
      <c r="Z38" s="85">
        <f>(V38-$V$5)/(D38-$D$5)</f>
        <v>0.59170115186205907</v>
      </c>
      <c r="AA38" s="135"/>
      <c r="AB38" s="84"/>
    </row>
    <row r="39" spans="1:28" x14ac:dyDescent="0.15">
      <c r="A39" s="86"/>
      <c r="B39" s="197"/>
      <c r="C39" s="199"/>
      <c r="D39" s="215"/>
      <c r="E39" s="155" t="s">
        <v>102</v>
      </c>
      <c r="F39" s="211"/>
      <c r="G39" s="213"/>
      <c r="H39" s="62">
        <f>0.2499-F38</f>
        <v>0.19914999999999999</v>
      </c>
      <c r="I39" s="61">
        <f>0.2438-F38</f>
        <v>0.19305</v>
      </c>
      <c r="J39" s="61">
        <f>0.167-G38</f>
        <v>0.11880000000000002</v>
      </c>
      <c r="K39" s="61">
        <f>0.1631-G38</f>
        <v>0.1149</v>
      </c>
      <c r="L39" s="61">
        <f t="shared" si="8"/>
        <v>2.674883895131086E-2</v>
      </c>
      <c r="M39" s="61">
        <f t="shared" si="8"/>
        <v>2.5952696629213484E-2</v>
      </c>
      <c r="N39" s="61">
        <f t="shared" si="2"/>
        <v>2.6350767790262172E-2</v>
      </c>
      <c r="O39" s="61">
        <f>'Growth curves'!G48</f>
        <v>1.5660000000000001</v>
      </c>
      <c r="P39" s="61">
        <f t="shared" si="3"/>
        <v>1.9725336000000002</v>
      </c>
      <c r="Q39" s="128">
        <f>P39*0.1/1000</f>
        <v>1.9725336000000004E-4</v>
      </c>
      <c r="R39" s="129">
        <f t="shared" si="4"/>
        <v>66.794217827929941</v>
      </c>
      <c r="S39" s="131"/>
      <c r="T39" s="63"/>
      <c r="U39" s="63"/>
      <c r="V39" s="63">
        <f t="shared" si="5"/>
        <v>131.75383895131085</v>
      </c>
      <c r="W39" s="131"/>
      <c r="X39" s="63"/>
      <c r="Y39" s="63"/>
      <c r="Z39" s="85">
        <f>(V39-$V$6)/(D38-$D$5)</f>
        <v>0.46781782206204503</v>
      </c>
      <c r="AA39" s="135"/>
      <c r="AB39" s="84"/>
    </row>
    <row r="40" spans="1:28" x14ac:dyDescent="0.15">
      <c r="A40" s="86"/>
      <c r="B40" s="198"/>
      <c r="C40" s="200"/>
      <c r="D40" s="216"/>
      <c r="E40" s="156" t="s">
        <v>103</v>
      </c>
      <c r="F40" s="212"/>
      <c r="G40" s="214"/>
      <c r="H40" s="65">
        <f>0.2648-F38</f>
        <v>0.21404999999999996</v>
      </c>
      <c r="I40" s="66">
        <f>0.2731-F38</f>
        <v>0.22234999999999999</v>
      </c>
      <c r="J40" s="66">
        <f>0.1678-G38</f>
        <v>0.11960000000000001</v>
      </c>
      <c r="K40" s="66">
        <f>0.1731-G38</f>
        <v>0.12490000000000001</v>
      </c>
      <c r="L40" s="66">
        <f t="shared" ref="L40:M52" si="10">(H40-(0.474*J40))/5.34</f>
        <v>2.9468089887640443E-2</v>
      </c>
      <c r="M40" s="66">
        <f t="shared" si="10"/>
        <v>3.055194756554307E-2</v>
      </c>
      <c r="N40" s="66">
        <f t="shared" si="2"/>
        <v>3.0010018726591758E-2</v>
      </c>
      <c r="O40" s="66">
        <f>'Growth curves'!H48</f>
        <v>1.762</v>
      </c>
      <c r="P40" s="66">
        <f t="shared" si="3"/>
        <v>2.2194152000000003</v>
      </c>
      <c r="Q40" s="67">
        <f>P40*0.1/1000</f>
        <v>2.2194152000000003E-4</v>
      </c>
      <c r="R40" s="68">
        <f t="shared" si="4"/>
        <v>67.607941782573519</v>
      </c>
      <c r="S40" s="69">
        <f>AVERAGE(R38:R40)</f>
        <v>69.876971200935813</v>
      </c>
      <c r="T40" s="70">
        <f>STDEV(R38:R40)</f>
        <v>4.6526036746190318</v>
      </c>
      <c r="U40" s="70">
        <f>T40/SQRT(3)</f>
        <v>2.68618198397394</v>
      </c>
      <c r="V40" s="70">
        <f t="shared" si="5"/>
        <v>150.05009363295878</v>
      </c>
      <c r="W40" s="69">
        <f>AVERAGE(V38:V40)</f>
        <v>148.07312734082396</v>
      </c>
      <c r="X40" s="70">
        <f>STDEV(V38:V40)</f>
        <v>15.426110533852647</v>
      </c>
      <c r="Y40" s="70">
        <f>X40/SQRT(3)</f>
        <v>8.9062690692687472</v>
      </c>
      <c r="Z40" s="91">
        <f>(V40-$V$7)/(D38-$D$5)</f>
        <v>0.53272948908204354</v>
      </c>
      <c r="AA40" s="90">
        <f>AVERAGE(Z38:Z40)</f>
        <v>0.53074948766871588</v>
      </c>
      <c r="AB40" s="151">
        <f>STDEV(Z38:Z40)/SQRT(3)</f>
        <v>3.5775737377829811E-2</v>
      </c>
    </row>
    <row r="41" spans="1:28" x14ac:dyDescent="0.15">
      <c r="A41" s="86"/>
      <c r="B41" s="197" t="s">
        <v>25</v>
      </c>
      <c r="C41" s="199">
        <v>0.4375</v>
      </c>
      <c r="D41" s="217">
        <f>22.5+D38</f>
        <v>287.5</v>
      </c>
      <c r="E41" s="155" t="s">
        <v>101</v>
      </c>
      <c r="F41" s="211">
        <f>(0.056+0.051)/2</f>
        <v>5.3499999999999999E-2</v>
      </c>
      <c r="G41" s="213">
        <f>(0.0542+0.0496)/2</f>
        <v>5.1900000000000002E-2</v>
      </c>
      <c r="H41" s="62">
        <f>0.2526-F41</f>
        <v>0.1991</v>
      </c>
      <c r="I41" s="61">
        <f>0.249-F41</f>
        <v>0.19550000000000001</v>
      </c>
      <c r="J41" s="61">
        <f>0.1656-G41</f>
        <v>0.1137</v>
      </c>
      <c r="K41" s="61">
        <f>0.1634-G41</f>
        <v>0.11149999999999999</v>
      </c>
      <c r="L41" s="61">
        <f t="shared" si="10"/>
        <v>2.7192172284644198E-2</v>
      </c>
      <c r="M41" s="61">
        <f t="shared" si="10"/>
        <v>2.6713295880149819E-2</v>
      </c>
      <c r="N41" s="61">
        <f t="shared" si="2"/>
        <v>2.6952734082397008E-2</v>
      </c>
      <c r="O41" s="61">
        <f>'Growth curves'!F49</f>
        <v>1.796</v>
      </c>
      <c r="P41" s="61">
        <f t="shared" si="3"/>
        <v>2.2622416000000003</v>
      </c>
      <c r="Q41" s="128">
        <f t="shared" ref="Q41:Q46" si="11">P41*0.1/1000</f>
        <v>2.2622416000000003E-4</v>
      </c>
      <c r="R41" s="129">
        <f t="shared" si="4"/>
        <v>59.570856805031354</v>
      </c>
      <c r="S41" s="130"/>
      <c r="V41" s="63">
        <f t="shared" si="5"/>
        <v>134.76367041198503</v>
      </c>
      <c r="W41" s="131"/>
      <c r="X41" s="63"/>
      <c r="Y41" s="63"/>
      <c r="Z41" s="85">
        <f>(V41-$V$5)/(D41-$D$5)</f>
        <v>0.44921400423383817</v>
      </c>
      <c r="AA41" s="135"/>
      <c r="AB41" s="84"/>
    </row>
    <row r="42" spans="1:28" x14ac:dyDescent="0.15">
      <c r="A42" s="86"/>
      <c r="B42" s="197"/>
      <c r="C42" s="199"/>
      <c r="D42" s="217"/>
      <c r="E42" s="155" t="s">
        <v>102</v>
      </c>
      <c r="F42" s="211"/>
      <c r="G42" s="213"/>
      <c r="H42" s="62">
        <f>0.2354-F41</f>
        <v>0.18190000000000001</v>
      </c>
      <c r="I42" s="61">
        <f>0.2424-F41</f>
        <v>0.18890000000000001</v>
      </c>
      <c r="J42" s="61">
        <f>0.1568-G41</f>
        <v>0.10489999999999999</v>
      </c>
      <c r="K42" s="61">
        <f>0.161-G41</f>
        <v>0.1091</v>
      </c>
      <c r="L42" s="61">
        <f t="shared" si="10"/>
        <v>2.4752322097378279E-2</v>
      </c>
      <c r="M42" s="61">
        <f t="shared" si="10"/>
        <v>2.569037453183521E-2</v>
      </c>
      <c r="N42" s="61">
        <f t="shared" si="2"/>
        <v>2.5221348314606745E-2</v>
      </c>
      <c r="O42" s="61">
        <f>'Growth curves'!G49</f>
        <v>1.702</v>
      </c>
      <c r="P42" s="61">
        <f t="shared" si="3"/>
        <v>2.1438391999999999</v>
      </c>
      <c r="Q42" s="128">
        <f t="shared" si="11"/>
        <v>2.1438391999999999E-4</v>
      </c>
      <c r="R42" s="129">
        <f t="shared" si="4"/>
        <v>58.822854611966108</v>
      </c>
      <c r="S42" s="130"/>
      <c r="V42" s="63">
        <f t="shared" si="5"/>
        <v>126.10674157303373</v>
      </c>
      <c r="W42" s="131"/>
      <c r="X42" s="63"/>
      <c r="Y42" s="63"/>
      <c r="Z42" s="85">
        <f>(V42-$V$6)/(D41-$D$5)</f>
        <v>0.41156391467187758</v>
      </c>
      <c r="AA42" s="135"/>
      <c r="AB42" s="84"/>
    </row>
    <row r="43" spans="1:28" x14ac:dyDescent="0.15">
      <c r="A43" s="86"/>
      <c r="B43" s="198"/>
      <c r="C43" s="200"/>
      <c r="D43" s="218"/>
      <c r="E43" s="156" t="s">
        <v>103</v>
      </c>
      <c r="F43" s="212"/>
      <c r="G43" s="214"/>
      <c r="H43" s="65">
        <f>0.2559-F41</f>
        <v>0.20240000000000002</v>
      </c>
      <c r="I43" s="66">
        <f>0.2642-F41</f>
        <v>0.2107</v>
      </c>
      <c r="J43" s="66">
        <f>0.1712-G41</f>
        <v>0.11929999999999999</v>
      </c>
      <c r="K43" s="66">
        <f>0.1794-G41</f>
        <v>0.1275</v>
      </c>
      <c r="L43" s="66">
        <f t="shared" si="10"/>
        <v>2.7313071161048696E-2</v>
      </c>
      <c r="M43" s="66">
        <f t="shared" si="10"/>
        <v>2.8139513108614234E-2</v>
      </c>
      <c r="N43" s="66">
        <f t="shared" si="2"/>
        <v>2.7726292134831465E-2</v>
      </c>
      <c r="O43" s="66">
        <f>'Growth curves'!H49</f>
        <v>1.9339999999999999</v>
      </c>
      <c r="P43" s="66">
        <f t="shared" si="3"/>
        <v>2.4360664000000001</v>
      </c>
      <c r="Q43" s="67">
        <f t="shared" si="11"/>
        <v>2.4360664000000002E-4</v>
      </c>
      <c r="R43" s="68">
        <f t="shared" si="4"/>
        <v>56.907915430448575</v>
      </c>
      <c r="S43" s="69">
        <f>AVERAGE(R41:R43)</f>
        <v>58.433875615815346</v>
      </c>
      <c r="T43" s="70">
        <f>STDEV(R41:R43)</f>
        <v>1.3734237094578809</v>
      </c>
      <c r="U43" s="70">
        <f>T43/SQRT(3)</f>
        <v>0.79294654836692202</v>
      </c>
      <c r="V43" s="70">
        <f t="shared" si="5"/>
        <v>138.63146067415732</v>
      </c>
      <c r="W43" s="69">
        <f>AVERAGE(V41:V43)</f>
        <v>133.16729088639204</v>
      </c>
      <c r="X43" s="70">
        <f>STDEV(V41:V43)</f>
        <v>6.4131480438870234</v>
      </c>
      <c r="Y43" s="70">
        <f>X43/SQRT(3)</f>
        <v>3.7026327494910949</v>
      </c>
      <c r="Z43" s="91">
        <f>(V43-$V$7)/(D41-$D$5)</f>
        <v>0.45132063181892207</v>
      </c>
      <c r="AA43" s="90">
        <f>AVERAGE(Z41:Z43)</f>
        <v>0.43736618357487927</v>
      </c>
      <c r="AB43" s="151">
        <f>STDEV(Z41:Z43)/SQRT(3)</f>
        <v>1.2915459475020175E-2</v>
      </c>
    </row>
    <row r="44" spans="1:28" x14ac:dyDescent="0.15">
      <c r="A44" s="86"/>
      <c r="B44" s="197" t="s">
        <v>27</v>
      </c>
      <c r="C44" s="199">
        <v>0.5</v>
      </c>
      <c r="D44" s="217">
        <f>24+D38+48</f>
        <v>337</v>
      </c>
      <c r="E44" s="155" t="s">
        <v>101</v>
      </c>
      <c r="F44" s="211">
        <f>(0.0513+0.0511)/2</f>
        <v>5.1199999999999996E-2</v>
      </c>
      <c r="G44" s="213">
        <f>(0.0503+0.0494)/2</f>
        <v>4.9849999999999998E-2</v>
      </c>
      <c r="H44" s="61">
        <f>0.403-F44</f>
        <v>0.3518</v>
      </c>
      <c r="I44" s="61">
        <f>0.2981-F44</f>
        <v>0.24689999999999998</v>
      </c>
      <c r="J44" s="61">
        <f>0.2899-G44</f>
        <v>0.24004999999999999</v>
      </c>
      <c r="K44" s="61">
        <f>0.1906-G44</f>
        <v>0.14074999999999999</v>
      </c>
      <c r="L44" s="61">
        <f t="shared" si="10"/>
        <v>4.457234082397004E-2</v>
      </c>
      <c r="M44" s="61">
        <f t="shared" si="10"/>
        <v>3.3742415730337073E-2</v>
      </c>
      <c r="N44" s="61">
        <f t="shared" si="2"/>
        <v>3.9157378277153557E-2</v>
      </c>
      <c r="O44" s="81">
        <f>'Growth curves'!F51</f>
        <v>2.0619999999999998</v>
      </c>
      <c r="P44" s="61">
        <f t="shared" si="3"/>
        <v>2.5972952</v>
      </c>
      <c r="Q44" s="128">
        <f t="shared" si="11"/>
        <v>2.5972951999999998E-4</v>
      </c>
      <c r="R44" s="129">
        <f t="shared" si="4"/>
        <v>75.381070040004616</v>
      </c>
      <c r="S44" s="134"/>
      <c r="V44" s="63">
        <f t="shared" si="5"/>
        <v>195.7868913857678</v>
      </c>
      <c r="W44" s="131"/>
      <c r="X44" s="63"/>
      <c r="Y44" s="63"/>
      <c r="Z44" s="85">
        <f>(V44-$V$5)/(D44-$D$5)</f>
        <v>0.56430933884573076</v>
      </c>
      <c r="AA44" s="135"/>
      <c r="AB44" s="84"/>
    </row>
    <row r="45" spans="1:28" x14ac:dyDescent="0.15">
      <c r="A45" s="86"/>
      <c r="B45" s="197"/>
      <c r="C45" s="199"/>
      <c r="D45" s="217"/>
      <c r="E45" s="155" t="s">
        <v>102</v>
      </c>
      <c r="F45" s="211"/>
      <c r="G45" s="213"/>
      <c r="H45" s="61">
        <f>0.4293-F44</f>
        <v>0.37809999999999999</v>
      </c>
      <c r="I45" s="61">
        <f>0.3203-F44</f>
        <v>0.26910000000000001</v>
      </c>
      <c r="J45" s="61">
        <f>0.2722-G44</f>
        <v>0.22234999999999999</v>
      </c>
      <c r="K45" s="61">
        <f>0.1992-G44</f>
        <v>0.14934999999999998</v>
      </c>
      <c r="L45" s="61">
        <f t="shared" si="10"/>
        <v>5.106855805243446E-2</v>
      </c>
      <c r="M45" s="61">
        <f t="shared" si="10"/>
        <v>3.7136348314606743E-2</v>
      </c>
      <c r="N45" s="61">
        <f t="shared" si="2"/>
        <v>4.4102453183520601E-2</v>
      </c>
      <c r="O45" s="81">
        <f>'Growth curves'!G51</f>
        <v>2.0219999999999998</v>
      </c>
      <c r="P45" s="61">
        <f t="shared" si="3"/>
        <v>2.5469111999999998</v>
      </c>
      <c r="Q45" s="128">
        <f t="shared" si="11"/>
        <v>2.5469111999999999E-4</v>
      </c>
      <c r="R45" s="129">
        <f t="shared" si="4"/>
        <v>86.580272573933087</v>
      </c>
      <c r="S45" s="134"/>
      <c r="V45" s="63">
        <f t="shared" si="5"/>
        <v>220.512265917603</v>
      </c>
      <c r="W45" s="131"/>
      <c r="X45" s="63"/>
      <c r="Y45" s="63"/>
      <c r="Z45" s="85">
        <f>(V45-$V$6)/(D44-$D$5)</f>
        <v>0.63124673534935927</v>
      </c>
      <c r="AA45" s="135"/>
      <c r="AB45" s="84"/>
    </row>
    <row r="46" spans="1:28" x14ac:dyDescent="0.15">
      <c r="A46" s="86"/>
      <c r="B46" s="198"/>
      <c r="C46" s="200"/>
      <c r="D46" s="218"/>
      <c r="E46" s="156" t="s">
        <v>103</v>
      </c>
      <c r="F46" s="212"/>
      <c r="G46" s="214"/>
      <c r="H46" s="66">
        <f>0.3608-F44</f>
        <v>0.30959999999999999</v>
      </c>
      <c r="I46" s="66">
        <f>0.4032-F44</f>
        <v>0.35199999999999998</v>
      </c>
      <c r="J46" s="66">
        <f>0.2338-G44</f>
        <v>0.18395</v>
      </c>
      <c r="K46" s="66">
        <f>0.2721-G44</f>
        <v>0.22225</v>
      </c>
      <c r="L46" s="66">
        <f t="shared" si="10"/>
        <v>4.1649382022471912E-2</v>
      </c>
      <c r="M46" s="66">
        <f t="shared" si="10"/>
        <v>4.6189794007490632E-2</v>
      </c>
      <c r="N46" s="66">
        <f>AVERAGE(L46:M46)</f>
        <v>4.3919588014981276E-2</v>
      </c>
      <c r="O46" s="89">
        <f>'Growth curves'!H51</f>
        <v>2.194</v>
      </c>
      <c r="P46" s="66">
        <f t="shared" si="3"/>
        <v>2.7635624000000001</v>
      </c>
      <c r="Q46" s="67">
        <f t="shared" si="11"/>
        <v>2.7635624000000003E-4</v>
      </c>
      <c r="R46" s="68">
        <f t="shared" si="4"/>
        <v>79.46190759973662</v>
      </c>
      <c r="S46" s="90">
        <f>AVERAGE(R44:R46)</f>
        <v>80.474416737891431</v>
      </c>
      <c r="T46" s="91">
        <f>STDEV(R44:R46)</f>
        <v>5.6678404542755727</v>
      </c>
      <c r="U46" s="91">
        <f>T46/SQRT(3)</f>
        <v>3.2723292119998528</v>
      </c>
      <c r="V46" s="70">
        <f t="shared" si="5"/>
        <v>219.59794007490638</v>
      </c>
      <c r="W46" s="69">
        <f>AVERAGE(V44:V46)</f>
        <v>211.9656991260924</v>
      </c>
      <c r="X46" s="70">
        <f>STDEV(V44:V46)</f>
        <v>14.018714736395985</v>
      </c>
      <c r="Y46" s="70">
        <f>X46/SQRT(3)</f>
        <v>8.0937087267507959</v>
      </c>
      <c r="Z46" s="91">
        <f>(V46-$V$7)/(D44-$D$5)</f>
        <v>0.62528534435812799</v>
      </c>
      <c r="AA46" s="90">
        <f>AVERAGE(Z44:Z46)</f>
        <v>0.60694713951773938</v>
      </c>
      <c r="AB46" s="151">
        <f>STDEV(Z44:Z46)/SQRT(3)</f>
        <v>2.138824506005604E-2</v>
      </c>
    </row>
    <row r="47" spans="1:28" x14ac:dyDescent="0.15">
      <c r="A47" s="86"/>
      <c r="B47" s="197" t="s">
        <v>28</v>
      </c>
      <c r="C47" s="199">
        <v>0.45833333333333331</v>
      </c>
      <c r="D47" s="217">
        <f>23+D44</f>
        <v>360</v>
      </c>
      <c r="E47" s="155" t="s">
        <v>101</v>
      </c>
      <c r="F47" s="211">
        <f>(0.0504+0.0477)/2</f>
        <v>4.9049999999999996E-2</v>
      </c>
      <c r="G47" s="213">
        <f>(0.0483+0.0452)/2</f>
        <v>4.675E-2</v>
      </c>
      <c r="H47" s="133">
        <f>0.4406-F47</f>
        <v>0.39155000000000001</v>
      </c>
      <c r="I47" s="133">
        <f>0.3816-F47</f>
        <v>0.33255000000000001</v>
      </c>
      <c r="J47" s="133">
        <f>0.3846-G47</f>
        <v>0.33784999999999998</v>
      </c>
      <c r="K47" s="133">
        <f>0.332-G47</f>
        <v>0.28525</v>
      </c>
      <c r="L47" s="61">
        <f t="shared" si="10"/>
        <v>4.3335037453183525E-2</v>
      </c>
      <c r="M47" s="61">
        <f t="shared" si="10"/>
        <v>3.6955337078651694E-2</v>
      </c>
      <c r="N47" s="61">
        <f t="shared" ref="N47:N61" si="12">AVERAGE(L47:M47)</f>
        <v>4.0145187265917606E-2</v>
      </c>
      <c r="O47" s="81">
        <f>'Growth curves'!F52</f>
        <v>2.258</v>
      </c>
      <c r="P47" s="61">
        <f t="shared" si="3"/>
        <v>2.8441768000000001</v>
      </c>
      <c r="Q47" s="128">
        <f>P47*0.075/1000</f>
        <v>2.1331326000000001E-4</v>
      </c>
      <c r="R47" s="129">
        <f t="shared" si="4"/>
        <v>94.099136795147203</v>
      </c>
      <c r="S47" s="134"/>
      <c r="V47" s="63">
        <f t="shared" si="5"/>
        <v>267.63458177278403</v>
      </c>
      <c r="W47" s="131"/>
      <c r="X47" s="63"/>
      <c r="Y47" s="63"/>
      <c r="Z47" s="85">
        <f>(V47-$V$5)/(D47-$D$5)</f>
        <v>0.72783315993896514</v>
      </c>
      <c r="AA47" s="135"/>
      <c r="AB47" s="84"/>
    </row>
    <row r="48" spans="1:28" x14ac:dyDescent="0.15">
      <c r="A48" s="86"/>
      <c r="B48" s="197"/>
      <c r="C48" s="199"/>
      <c r="D48" s="217"/>
      <c r="E48" s="155" t="s">
        <v>102</v>
      </c>
      <c r="F48" s="211"/>
      <c r="G48" s="213"/>
      <c r="H48" s="133">
        <f>0.2529-F47</f>
        <v>0.20385000000000003</v>
      </c>
      <c r="I48" s="133">
        <f>0.2246-F47</f>
        <v>0.17554999999999998</v>
      </c>
      <c r="J48" s="133">
        <f>0.191-G47</f>
        <v>0.14424999999999999</v>
      </c>
      <c r="K48" s="133">
        <f>0.1583-G47</f>
        <v>0.11155</v>
      </c>
      <c r="L48" s="61">
        <f t="shared" si="10"/>
        <v>2.5369943820224724E-2</v>
      </c>
      <c r="M48" s="61">
        <f t="shared" si="10"/>
        <v>2.2972902621722843E-2</v>
      </c>
      <c r="N48" s="61">
        <f t="shared" si="12"/>
        <v>2.4171423220973785E-2</v>
      </c>
      <c r="O48" s="81">
        <f>'Growth curves'!G52</f>
        <v>2.1440000000000001</v>
      </c>
      <c r="P48" s="61">
        <f t="shared" si="3"/>
        <v>2.7005824000000005</v>
      </c>
      <c r="Q48" s="128">
        <f>P48*0.075/1000</f>
        <v>2.0254368000000004E-4</v>
      </c>
      <c r="R48" s="129">
        <f t="shared" si="4"/>
        <v>59.669655505848866</v>
      </c>
      <c r="S48" s="134"/>
      <c r="V48" s="63">
        <f t="shared" si="5"/>
        <v>161.14282147315856</v>
      </c>
      <c r="W48" s="131"/>
      <c r="X48" s="63"/>
      <c r="Y48" s="63"/>
      <c r="Z48" s="85">
        <f>(V48-$V$6)/(D47-$D$5)</f>
        <v>0.42600195935636009</v>
      </c>
      <c r="AA48" s="135"/>
      <c r="AB48" s="84"/>
    </row>
    <row r="49" spans="1:28" x14ac:dyDescent="0.15">
      <c r="A49" s="86"/>
      <c r="B49" s="198"/>
      <c r="C49" s="200"/>
      <c r="D49" s="218"/>
      <c r="E49" s="156" t="s">
        <v>103</v>
      </c>
      <c r="F49" s="212"/>
      <c r="G49" s="214"/>
      <c r="H49" s="89">
        <f>0.4006-F47</f>
        <v>0.35155000000000003</v>
      </c>
      <c r="I49" s="89">
        <f>0.3539-F47</f>
        <v>0.30485000000000001</v>
      </c>
      <c r="J49" s="89">
        <f>0.2987-G47</f>
        <v>0.25195000000000001</v>
      </c>
      <c r="K49" s="89">
        <f>0.2593-G47</f>
        <v>0.21254999999999996</v>
      </c>
      <c r="L49" s="66">
        <f t="shared" si="10"/>
        <v>4.3469232209737835E-2</v>
      </c>
      <c r="M49" s="66">
        <f t="shared" si="10"/>
        <v>3.822121722846443E-2</v>
      </c>
      <c r="N49" s="66">
        <f t="shared" si="12"/>
        <v>4.0845224719101132E-2</v>
      </c>
      <c r="O49" s="88">
        <f>'Growth curves'!H52</f>
        <v>2.21</v>
      </c>
      <c r="P49" s="66">
        <f t="shared" si="3"/>
        <v>2.7837160000000001</v>
      </c>
      <c r="Q49" s="67">
        <f>P49*0.075/1000</f>
        <v>2.0877870000000001E-4</v>
      </c>
      <c r="R49" s="68">
        <f t="shared" si="4"/>
        <v>97.819424872128067</v>
      </c>
      <c r="S49" s="90">
        <f>AVERAGE(R47:R49)</f>
        <v>83.86273905770804</v>
      </c>
      <c r="T49" s="91">
        <f>STDEV(R47:R49)</f>
        <v>21.034236488505172</v>
      </c>
      <c r="U49" s="91">
        <f>T49/SQRT(3)</f>
        <v>12.144122098836711</v>
      </c>
      <c r="V49" s="70">
        <f t="shared" si="5"/>
        <v>272.30149812734084</v>
      </c>
      <c r="W49" s="69">
        <f>AVERAGE(V47:V49)</f>
        <v>233.69296712442781</v>
      </c>
      <c r="X49" s="70">
        <f>STDEV(V47:V49)</f>
        <v>62.873585491686491</v>
      </c>
      <c r="Y49" s="70">
        <f>X49/SQRT(3)</f>
        <v>36.300081508542149</v>
      </c>
      <c r="Z49" s="91">
        <f>(V49-$V$7)/(D47-$D$5)</f>
        <v>0.73173533083645448</v>
      </c>
      <c r="AA49" s="90">
        <f>AVERAGE(Z47:Z49)</f>
        <v>0.62852348337725983</v>
      </c>
      <c r="AB49" s="151">
        <f>STDEV(Z47:Z49)/SQRT(3)</f>
        <v>0.10126702738015511</v>
      </c>
    </row>
    <row r="50" spans="1:28" x14ac:dyDescent="0.15">
      <c r="A50" s="86"/>
      <c r="B50" s="197" t="s">
        <v>29</v>
      </c>
      <c r="C50" s="199">
        <v>0.47916666666666669</v>
      </c>
      <c r="D50" s="217">
        <f>24.5+D47</f>
        <v>384.5</v>
      </c>
      <c r="E50" s="155" t="s">
        <v>101</v>
      </c>
      <c r="F50" s="211">
        <f>(0.0472+0.0457)/2</f>
        <v>4.6449999999999998E-2</v>
      </c>
      <c r="G50" s="213">
        <f>(0.045+0.0439)/2</f>
        <v>4.4450000000000003E-2</v>
      </c>
      <c r="H50" s="133">
        <f>0.2446-F50</f>
        <v>0.19815000000000002</v>
      </c>
      <c r="I50" s="133">
        <f>0.185-F50</f>
        <v>0.13855000000000001</v>
      </c>
      <c r="J50" s="133">
        <f>0.1771-G50</f>
        <v>0.13264999999999999</v>
      </c>
      <c r="K50" s="133">
        <f>0.1194-G50</f>
        <v>7.4950000000000003E-2</v>
      </c>
      <c r="L50" s="61">
        <f t="shared" si="10"/>
        <v>2.5332191011235961E-2</v>
      </c>
      <c r="M50" s="61">
        <f t="shared" si="10"/>
        <v>1.9292827715355808E-2</v>
      </c>
      <c r="N50" s="61">
        <f t="shared" si="12"/>
        <v>2.2312509363295884E-2</v>
      </c>
      <c r="O50" s="81">
        <f>'Growth curves'!F53</f>
        <v>2.3519999999999999</v>
      </c>
      <c r="P50" s="61">
        <f t="shared" si="3"/>
        <v>2.9625792</v>
      </c>
      <c r="Q50" s="128">
        <f t="shared" ref="Q50:Q55" si="13">P50*0.05/1000</f>
        <v>1.4812896000000002E-4</v>
      </c>
      <c r="R50" s="129">
        <f t="shared" si="4"/>
        <v>75.314473831774293</v>
      </c>
      <c r="S50" s="134"/>
      <c r="V50" s="63">
        <f t="shared" si="5"/>
        <v>223.12509363295882</v>
      </c>
      <c r="W50" s="131"/>
      <c r="X50" s="63"/>
      <c r="Y50" s="63"/>
      <c r="Z50" s="85">
        <f>(V50-$V$5)/(D50-$D$5)</f>
        <v>0.56569687760260667</v>
      </c>
      <c r="AA50" s="135"/>
      <c r="AB50" s="84"/>
    </row>
    <row r="51" spans="1:28" x14ac:dyDescent="0.15">
      <c r="A51" s="86"/>
      <c r="B51" s="197"/>
      <c r="C51" s="199"/>
      <c r="D51" s="217"/>
      <c r="E51" s="155" t="s">
        <v>102</v>
      </c>
      <c r="F51" s="211"/>
      <c r="G51" s="213"/>
      <c r="H51" s="133">
        <f>0.1889-F50</f>
        <v>0.14245000000000002</v>
      </c>
      <c r="I51" s="133">
        <f>0.1825-F50</f>
        <v>0.13605</v>
      </c>
      <c r="J51" s="133">
        <f>0.133-G50</f>
        <v>8.8550000000000004E-2</v>
      </c>
      <c r="K51" s="133">
        <f>0.1274-G50</f>
        <v>8.295000000000001E-2</v>
      </c>
      <c r="L51" s="61">
        <f t="shared" si="10"/>
        <v>1.8815973782771538E-2</v>
      </c>
      <c r="M51" s="61">
        <f t="shared" si="10"/>
        <v>1.8114550561797754E-2</v>
      </c>
      <c r="N51" s="61">
        <f t="shared" si="12"/>
        <v>1.8465262172284648E-2</v>
      </c>
      <c r="O51" s="81">
        <f>'Growth curves'!G53</f>
        <v>2.2799999999999998</v>
      </c>
      <c r="P51" s="61">
        <f t="shared" si="3"/>
        <v>2.8718879999999998</v>
      </c>
      <c r="Q51" s="128">
        <f t="shared" si="13"/>
        <v>1.4359439999999998E-4</v>
      </c>
      <c r="R51" s="129">
        <f t="shared" si="4"/>
        <v>64.296595731743892</v>
      </c>
      <c r="S51" s="134"/>
      <c r="V51" s="63">
        <f t="shared" si="5"/>
        <v>184.65262172284648</v>
      </c>
      <c r="W51" s="131"/>
      <c r="X51" s="63"/>
      <c r="Y51" s="63"/>
      <c r="Z51" s="85">
        <f>(V51-$V$6)/(D50-$D$5)</f>
        <v>0.46000131500124203</v>
      </c>
      <c r="AA51" s="135"/>
      <c r="AB51" s="84"/>
    </row>
    <row r="52" spans="1:28" x14ac:dyDescent="0.15">
      <c r="A52" s="86"/>
      <c r="B52" s="198"/>
      <c r="C52" s="200"/>
      <c r="D52" s="218"/>
      <c r="E52" s="156" t="s">
        <v>103</v>
      </c>
      <c r="F52" s="212"/>
      <c r="G52" s="214"/>
      <c r="H52" s="89">
        <f>0.2009-F50</f>
        <v>0.15445</v>
      </c>
      <c r="I52" s="89">
        <f>0.2261-F50</f>
        <v>0.17965</v>
      </c>
      <c r="J52" s="89">
        <f>0.1479-G50</f>
        <v>0.10345</v>
      </c>
      <c r="K52" s="89">
        <f>0.1718-G50</f>
        <v>0.12735000000000002</v>
      </c>
      <c r="L52" s="66">
        <f t="shared" si="10"/>
        <v>1.9740580524344568E-2</v>
      </c>
      <c r="M52" s="66">
        <f t="shared" si="10"/>
        <v>2.2338220973782772E-2</v>
      </c>
      <c r="N52" s="66">
        <f t="shared" si="12"/>
        <v>2.1039400749063672E-2</v>
      </c>
      <c r="O52" s="88">
        <f>'Growth curves'!H53</f>
        <v>2.4</v>
      </c>
      <c r="P52" s="66">
        <f t="shared" si="3"/>
        <v>3.0230399999999999</v>
      </c>
      <c r="Q52" s="67">
        <f t="shared" si="13"/>
        <v>1.5115200000000002E-4</v>
      </c>
      <c r="R52" s="68">
        <f t="shared" si="4"/>
        <v>69.596832159229351</v>
      </c>
      <c r="S52" s="90">
        <f>AVERAGE(R50:R52)</f>
        <v>69.735967240915841</v>
      </c>
      <c r="T52" s="91">
        <f>STDEV(R50:R52)</f>
        <v>5.5102566532784403</v>
      </c>
      <c r="U52" s="91">
        <f>T52/SQRT(3)</f>
        <v>3.1813481620742339</v>
      </c>
      <c r="V52" s="70">
        <f t="shared" si="5"/>
        <v>210.39400749063668</v>
      </c>
      <c r="W52" s="69">
        <f>AVERAGE(V50:V52)</f>
        <v>206.05724094881398</v>
      </c>
      <c r="X52" s="70">
        <f>STDEV(V50:V52)</f>
        <v>19.599449781748987</v>
      </c>
      <c r="Y52" s="70">
        <f>X52/SQRT(3)</f>
        <v>11.315747607461331</v>
      </c>
      <c r="Z52" s="91">
        <f>(V52-$V$7)/(D50-$D$5)</f>
        <v>0.52410202461487498</v>
      </c>
      <c r="AA52" s="90">
        <f>AVERAGE(Z50:Z52)</f>
        <v>0.51660007240624128</v>
      </c>
      <c r="AB52" s="151">
        <f>STDEV(Z50:Z52)/SQRT(3)</f>
        <v>3.0741380654367805E-2</v>
      </c>
    </row>
    <row r="53" spans="1:28" x14ac:dyDescent="0.15">
      <c r="A53" s="86"/>
      <c r="B53" s="197" t="s">
        <v>30</v>
      </c>
      <c r="C53" s="199">
        <v>0.45833333333333331</v>
      </c>
      <c r="D53" s="217">
        <f>23.5+D50</f>
        <v>408</v>
      </c>
      <c r="E53" s="155" t="s">
        <v>101</v>
      </c>
      <c r="F53" s="211">
        <f>(0.0442+0.0381+0.0384)/3</f>
        <v>4.0233333333333336E-2</v>
      </c>
      <c r="G53" s="213">
        <f>(0.0429+0.0361+0.0366)/3</f>
        <v>3.8533333333333336E-2</v>
      </c>
      <c r="H53" s="133">
        <f>0.1674-F53</f>
        <v>0.12716666666666665</v>
      </c>
      <c r="I53" s="133">
        <f>0.1609-F53</f>
        <v>0.12066666666666664</v>
      </c>
      <c r="J53" s="133">
        <f>0.1203-G53</f>
        <v>8.1766666666666668E-2</v>
      </c>
      <c r="K53" s="133">
        <f>0.1129-G53</f>
        <v>7.4366666666666664E-2</v>
      </c>
      <c r="L53" s="61">
        <f t="shared" ref="L53:M61" si="14">(H53-(0.474*J53))/5.34</f>
        <v>1.6556042446941321E-2</v>
      </c>
      <c r="M53" s="61">
        <f t="shared" si="14"/>
        <v>1.5995667915106114E-2</v>
      </c>
      <c r="N53" s="61">
        <f t="shared" si="12"/>
        <v>1.6275855181023716E-2</v>
      </c>
      <c r="O53" s="81">
        <f>'Growth curves'!F54</f>
        <v>2.48</v>
      </c>
      <c r="P53" s="61">
        <f t="shared" si="3"/>
        <v>3.1238079999999999</v>
      </c>
      <c r="Q53" s="128">
        <f t="shared" si="13"/>
        <v>1.5619040000000001E-4</v>
      </c>
      <c r="R53" s="129">
        <f t="shared" si="4"/>
        <v>52.102610599062793</v>
      </c>
      <c r="S53" s="134"/>
      <c r="T53" s="85"/>
      <c r="U53" s="85"/>
      <c r="V53" s="63">
        <f t="shared" si="5"/>
        <v>162.75855181023715</v>
      </c>
      <c r="W53" s="131"/>
      <c r="X53" s="63"/>
      <c r="Y53" s="63"/>
      <c r="Z53" s="85">
        <f>(V53-$V$5)/(D53-$D$5)</f>
        <v>0.38515663631245245</v>
      </c>
      <c r="AA53" s="135"/>
      <c r="AB53" s="84"/>
    </row>
    <row r="54" spans="1:28" x14ac:dyDescent="0.15">
      <c r="A54" s="86"/>
      <c r="B54" s="197"/>
      <c r="C54" s="199"/>
      <c r="D54" s="217"/>
      <c r="E54" s="155" t="s">
        <v>102</v>
      </c>
      <c r="F54" s="211"/>
      <c r="G54" s="213"/>
      <c r="H54" s="133">
        <f>0.1862-F53</f>
        <v>0.14596666666666666</v>
      </c>
      <c r="I54" s="133">
        <f>0.1819-F53</f>
        <v>0.14166666666666666</v>
      </c>
      <c r="J54" s="133">
        <f>0.1272-G53</f>
        <v>8.8666666666666671E-2</v>
      </c>
      <c r="K54" s="133">
        <f>0.125-G53</f>
        <v>8.6466666666666664E-2</v>
      </c>
      <c r="L54" s="61">
        <f t="shared" si="14"/>
        <v>1.946416978776529E-2</v>
      </c>
      <c r="M54" s="61">
        <f t="shared" si="14"/>
        <v>1.8854207240948814E-2</v>
      </c>
      <c r="N54" s="61">
        <f t="shared" si="12"/>
        <v>1.9159188514357051E-2</v>
      </c>
      <c r="O54" s="81">
        <f>'Growth curves'!G54</f>
        <v>2.3719999999999999</v>
      </c>
      <c r="P54" s="61">
        <f t="shared" si="3"/>
        <v>2.9877712000000001</v>
      </c>
      <c r="Q54" s="128">
        <f t="shared" si="13"/>
        <v>1.4938856000000001E-4</v>
      </c>
      <c r="R54" s="129">
        <f t="shared" si="4"/>
        <v>64.125353756529449</v>
      </c>
      <c r="S54" s="134"/>
      <c r="T54" s="85"/>
      <c r="U54" s="85"/>
      <c r="V54" s="63">
        <f t="shared" si="5"/>
        <v>191.59188514357049</v>
      </c>
      <c r="W54" s="131"/>
      <c r="X54" s="63"/>
      <c r="Y54" s="63"/>
      <c r="Z54" s="85">
        <f>(V54-$V$6)/(D53-$D$5)</f>
        <v>0.45051413980073918</v>
      </c>
      <c r="AA54" s="135"/>
      <c r="AB54" s="84"/>
    </row>
    <row r="55" spans="1:28" x14ac:dyDescent="0.15">
      <c r="A55" s="86"/>
      <c r="B55" s="198"/>
      <c r="C55" s="200"/>
      <c r="D55" s="218"/>
      <c r="E55" s="156" t="s">
        <v>103</v>
      </c>
      <c r="F55" s="212"/>
      <c r="G55" s="214"/>
      <c r="H55" s="89">
        <f>0.1776-F53</f>
        <v>0.13736666666666666</v>
      </c>
      <c r="I55" s="89">
        <f>0.1754-F53</f>
        <v>0.13516666666666666</v>
      </c>
      <c r="J55" s="89">
        <f>0.1223-G53</f>
        <v>8.376666666666667E-2</v>
      </c>
      <c r="K55" s="89">
        <f>0.1184-G53</f>
        <v>7.9866666666666669E-2</v>
      </c>
      <c r="L55" s="66">
        <f t="shared" si="14"/>
        <v>1.8288626716604243E-2</v>
      </c>
      <c r="M55" s="66">
        <f t="shared" si="14"/>
        <v>1.8222821473158551E-2</v>
      </c>
      <c r="N55" s="66">
        <f t="shared" si="12"/>
        <v>1.8255724094881395E-2</v>
      </c>
      <c r="O55" s="88">
        <f>'Growth curves'!H54</f>
        <v>2.42</v>
      </c>
      <c r="P55" s="66">
        <f t="shared" si="3"/>
        <v>3.0482320000000001</v>
      </c>
      <c r="Q55" s="67">
        <f t="shared" si="13"/>
        <v>1.5241160000000002E-4</v>
      </c>
      <c r="R55" s="68">
        <f t="shared" si="4"/>
        <v>59.889549400706358</v>
      </c>
      <c r="S55" s="90">
        <f>AVERAGE(R53:R55)</f>
        <v>58.7058379187662</v>
      </c>
      <c r="T55" s="91">
        <f>STDEV(R53:R55)</f>
        <v>6.0981528278619379</v>
      </c>
      <c r="U55" s="91">
        <f>T55/SQRT(3)</f>
        <v>3.5207701767255677</v>
      </c>
      <c r="V55" s="70">
        <f t="shared" si="5"/>
        <v>182.55724094881396</v>
      </c>
      <c r="W55" s="69">
        <f>AVERAGE(V53:V55)</f>
        <v>178.96922596754052</v>
      </c>
      <c r="X55" s="70">
        <f>STDEV(V53:V55)</f>
        <v>14.747734280463552</v>
      </c>
      <c r="Y55" s="70">
        <f>X55/SQRT(3)</f>
        <v>8.5146083567627038</v>
      </c>
      <c r="Z55" s="91">
        <f>(V55-$V$6)/(D53-$D$5)</f>
        <v>0.42837040402927706</v>
      </c>
      <c r="AA55" s="90">
        <f>AVERAGE(Z53:Z55)</f>
        <v>0.42134706004748956</v>
      </c>
      <c r="AB55" s="151">
        <f>STDEV(Z53:Z55)/SQRT(3)</f>
        <v>1.9191111971172452E-2</v>
      </c>
    </row>
    <row r="56" spans="1:28" x14ac:dyDescent="0.15">
      <c r="A56" s="86"/>
      <c r="B56" s="197" t="s">
        <v>31</v>
      </c>
      <c r="C56" s="199">
        <v>0.52083333333333337</v>
      </c>
      <c r="D56" s="215">
        <f>25.5+D53</f>
        <v>433.5</v>
      </c>
      <c r="E56" s="155" t="s">
        <v>101</v>
      </c>
      <c r="F56" s="211">
        <f>(0.0428+0.0362)/2</f>
        <v>3.95E-2</v>
      </c>
      <c r="G56" s="213">
        <f>(0.0412+0.0349)/2</f>
        <v>3.805E-2</v>
      </c>
      <c r="H56" s="133">
        <f>0.2611-F56</f>
        <v>0.22159999999999999</v>
      </c>
      <c r="I56" s="133">
        <f>0.2444-F56</f>
        <v>0.2049</v>
      </c>
      <c r="J56" s="133">
        <f>0.2025-G56</f>
        <v>0.16445000000000001</v>
      </c>
      <c r="K56" s="133">
        <f>0.1846-G56</f>
        <v>0.14654999999999999</v>
      </c>
      <c r="L56" s="61">
        <f t="shared" si="14"/>
        <v>2.6900880149812734E-2</v>
      </c>
      <c r="M56" s="61">
        <f t="shared" si="14"/>
        <v>2.5362415730337082E-2</v>
      </c>
      <c r="N56" s="61">
        <f t="shared" si="12"/>
        <v>2.6131647940074908E-2</v>
      </c>
      <c r="O56" s="81">
        <f>'Growth curves'!F55</f>
        <v>2.56</v>
      </c>
      <c r="P56" s="61">
        <f t="shared" si="3"/>
        <v>3.2245760000000003</v>
      </c>
      <c r="Q56" s="128">
        <f t="shared" ref="Q56:Q61" si="15">P56*0.05/1000</f>
        <v>1.6122880000000002E-4</v>
      </c>
      <c r="R56" s="129">
        <f t="shared" si="4"/>
        <v>81.039020138073667</v>
      </c>
      <c r="S56" s="134"/>
      <c r="T56" s="85"/>
      <c r="U56" s="85"/>
      <c r="V56" s="63">
        <f t="shared" si="5"/>
        <v>261.31647940074907</v>
      </c>
      <c r="W56" s="131"/>
      <c r="X56" s="63"/>
      <c r="Y56" s="63"/>
      <c r="Z56" s="85">
        <f>(V56-$V$5)/(D56-$D$5)</f>
        <v>0.589854291132624</v>
      </c>
      <c r="AA56" s="135"/>
      <c r="AB56" s="84"/>
    </row>
    <row r="57" spans="1:28" x14ac:dyDescent="0.15">
      <c r="A57" s="86"/>
      <c r="B57" s="197"/>
      <c r="C57" s="199"/>
      <c r="D57" s="215"/>
      <c r="E57" s="155" t="s">
        <v>102</v>
      </c>
      <c r="F57" s="211"/>
      <c r="G57" s="213"/>
      <c r="H57" s="133">
        <f>0.1924-F56</f>
        <v>0.15289999999999998</v>
      </c>
      <c r="I57" s="133">
        <f>0.1928-F56</f>
        <v>0.15329999999999999</v>
      </c>
      <c r="J57" s="133">
        <f>0.1298-G56</f>
        <v>9.1749999999999998E-2</v>
      </c>
      <c r="K57" s="133">
        <f>0.1302-G56</f>
        <v>9.215000000000001E-2</v>
      </c>
      <c r="L57" s="61">
        <f t="shared" si="14"/>
        <v>2.0488857677902619E-2</v>
      </c>
      <c r="M57" s="61">
        <f t="shared" si="14"/>
        <v>2.0528258426966293E-2</v>
      </c>
      <c r="N57" s="61">
        <f t="shared" si="12"/>
        <v>2.0508558052434456E-2</v>
      </c>
      <c r="O57" s="81">
        <f>'Growth curves'!G55</f>
        <v>2.4319999999999999</v>
      </c>
      <c r="P57" s="61">
        <f t="shared" si="3"/>
        <v>3.0633471999999999</v>
      </c>
      <c r="Q57" s="128">
        <f t="shared" si="15"/>
        <v>1.5316736E-4</v>
      </c>
      <c r="R57" s="129">
        <f t="shared" si="4"/>
        <v>66.948199839817221</v>
      </c>
      <c r="S57" s="134"/>
      <c r="T57" s="85"/>
      <c r="U57" s="85"/>
      <c r="V57" s="63">
        <f t="shared" si="5"/>
        <v>205.08558052434452</v>
      </c>
      <c r="W57" s="131"/>
      <c r="X57" s="63"/>
      <c r="Y57" s="63"/>
      <c r="Z57" s="85">
        <f>(V57-$V$6)/(D56-$D$5)</f>
        <v>0.45514063303223901</v>
      </c>
      <c r="AA57" s="135"/>
      <c r="AB57" s="84"/>
    </row>
    <row r="58" spans="1:28" x14ac:dyDescent="0.15">
      <c r="A58" s="86"/>
      <c r="B58" s="198"/>
      <c r="C58" s="200"/>
      <c r="D58" s="216"/>
      <c r="E58" s="156" t="s">
        <v>103</v>
      </c>
      <c r="F58" s="212"/>
      <c r="G58" s="214"/>
      <c r="H58" s="89">
        <f>0.2097-F56</f>
        <v>0.17019999999999999</v>
      </c>
      <c r="I58" s="89">
        <f>0.2584-F56</f>
        <v>0.21890000000000001</v>
      </c>
      <c r="J58" s="89">
        <f>0.1658-G56</f>
        <v>0.12775</v>
      </c>
      <c r="K58" s="89">
        <f>0.212-G56</f>
        <v>0.17394999999999999</v>
      </c>
      <c r="L58" s="66">
        <f t="shared" si="14"/>
        <v>2.0533052434456928E-2</v>
      </c>
      <c r="M58" s="66">
        <f t="shared" si="14"/>
        <v>2.5552003745318352E-2</v>
      </c>
      <c r="N58" s="66">
        <f t="shared" si="12"/>
        <v>2.3042528089887639E-2</v>
      </c>
      <c r="O58" s="88">
        <f>'Growth curves'!H55</f>
        <v>2.544</v>
      </c>
      <c r="P58" s="66">
        <f t="shared" si="3"/>
        <v>3.2044224000000003</v>
      </c>
      <c r="Q58" s="67">
        <f t="shared" si="15"/>
        <v>1.6022112000000003E-4</v>
      </c>
      <c r="R58" s="68">
        <f t="shared" si="4"/>
        <v>71.908522702523967</v>
      </c>
      <c r="S58" s="90">
        <f>AVERAGE(R56:R58)</f>
        <v>73.298580893471623</v>
      </c>
      <c r="T58" s="91">
        <f>STDEV(R56:R58)</f>
        <v>7.1475170863807289</v>
      </c>
      <c r="U58" s="91">
        <f>T58/SQRT(3)</f>
        <v>4.1266209138593641</v>
      </c>
      <c r="V58" s="70">
        <f t="shared" si="5"/>
        <v>230.42528089887637</v>
      </c>
      <c r="W58" s="69">
        <f>AVERAGE(V56:V58)</f>
        <v>232.27578027465665</v>
      </c>
      <c r="X58" s="70">
        <f>STDEV(V56:V58)</f>
        <v>28.161085882240606</v>
      </c>
      <c r="Y58" s="70">
        <f>X58/SQRT(3)</f>
        <v>16.258810514783786</v>
      </c>
      <c r="Z58" s="91">
        <f>(V58-$V$7)/(D56-$D$5)</f>
        <v>0.51106920847210868</v>
      </c>
      <c r="AA58" s="90">
        <f>AVERAGE(Z56:Z58)</f>
        <v>0.51868804421232395</v>
      </c>
      <c r="AB58" s="151">
        <f>STDEV(Z56:Z58)/SQRT(3)</f>
        <v>3.9074618416665714E-2</v>
      </c>
    </row>
    <row r="59" spans="1:28" x14ac:dyDescent="0.15">
      <c r="A59" s="86"/>
      <c r="B59" s="197" t="s">
        <v>32</v>
      </c>
      <c r="C59" s="199">
        <v>0.54166666666666663</v>
      </c>
      <c r="D59" s="215">
        <f>24.5+D56</f>
        <v>458</v>
      </c>
      <c r="E59" s="155" t="s">
        <v>101</v>
      </c>
      <c r="F59" s="211">
        <f>(0.0451+0.0382+0.039)/3</f>
        <v>4.0766666666666666E-2</v>
      </c>
      <c r="G59" s="213">
        <f>(0.0444+0.0374+0.0382)/3</f>
        <v>0.04</v>
      </c>
      <c r="H59" s="133">
        <f>0.2154-F59</f>
        <v>0.17463333333333333</v>
      </c>
      <c r="I59" s="133">
        <f>0.1958-F59</f>
        <v>0.15503333333333333</v>
      </c>
      <c r="J59" s="133">
        <f>0.1553-G59</f>
        <v>0.11529999999999999</v>
      </c>
      <c r="K59" s="133">
        <f>0.1353-G59</f>
        <v>9.5299999999999996E-2</v>
      </c>
      <c r="L59" s="61">
        <f t="shared" si="14"/>
        <v>2.2468377028714112E-2</v>
      </c>
      <c r="M59" s="61">
        <f t="shared" si="14"/>
        <v>2.0573245942571785E-2</v>
      </c>
      <c r="N59" s="61">
        <f t="shared" si="12"/>
        <v>2.152081148564295E-2</v>
      </c>
      <c r="O59" s="81">
        <f>'Growth curves'!F56</f>
        <v>2.62</v>
      </c>
      <c r="P59" s="61">
        <f t="shared" si="3"/>
        <v>3.3001520000000002</v>
      </c>
      <c r="Q59" s="128">
        <f t="shared" si="15"/>
        <v>1.6500760000000004E-4</v>
      </c>
      <c r="R59" s="129">
        <f t="shared" si="4"/>
        <v>65.211576574784871</v>
      </c>
      <c r="S59" s="134"/>
      <c r="T59" s="85"/>
      <c r="U59" s="85"/>
      <c r="V59" s="63">
        <f t="shared" si="5"/>
        <v>215.20811485642946</v>
      </c>
      <c r="W59" s="131"/>
      <c r="X59" s="63"/>
      <c r="Y59" s="63"/>
      <c r="Z59" s="85">
        <f>(V59-$V$5)/(D59-$D$5)</f>
        <v>0.45762766520015918</v>
      </c>
      <c r="AA59" s="135"/>
      <c r="AB59" s="84"/>
    </row>
    <row r="60" spans="1:28" x14ac:dyDescent="0.15">
      <c r="A60" s="86"/>
      <c r="B60" s="197"/>
      <c r="C60" s="199"/>
      <c r="D60" s="215"/>
      <c r="E60" s="155" t="s">
        <v>102</v>
      </c>
      <c r="F60" s="211"/>
      <c r="G60" s="213"/>
      <c r="H60" s="133">
        <f>0.1956-F59</f>
        <v>0.15483333333333332</v>
      </c>
      <c r="I60" s="133">
        <f>0.2043-F59</f>
        <v>0.16353333333333334</v>
      </c>
      <c r="J60" s="133">
        <f>0.1313-G59</f>
        <v>9.1299999999999992E-2</v>
      </c>
      <c r="K60" s="133">
        <f>0.1411-G59</f>
        <v>0.1011</v>
      </c>
      <c r="L60" s="61">
        <f t="shared" si="14"/>
        <v>2.0890848938826468E-2</v>
      </c>
      <c r="M60" s="61">
        <f t="shared" si="14"/>
        <v>2.1650174781523097E-2</v>
      </c>
      <c r="N60" s="61">
        <f t="shared" si="12"/>
        <v>2.1270511860174784E-2</v>
      </c>
      <c r="O60" s="81">
        <f>'Growth curves'!G56</f>
        <v>2.52</v>
      </c>
      <c r="P60" s="61">
        <f t="shared" si="3"/>
        <v>3.1741920000000001</v>
      </c>
      <c r="Q60" s="128">
        <f t="shared" si="15"/>
        <v>1.587096E-4</v>
      </c>
      <c r="R60" s="129">
        <f t="shared" si="4"/>
        <v>67.010791597278256</v>
      </c>
      <c r="S60" s="134"/>
      <c r="T60" s="85"/>
      <c r="U60" s="85"/>
      <c r="V60" s="63">
        <f t="shared" si="5"/>
        <v>212.70511860174787</v>
      </c>
      <c r="W60" s="131"/>
      <c r="X60" s="63"/>
      <c r="Y60" s="63"/>
      <c r="Z60" s="85">
        <f>(V60-$V$6)/(D59-$D$5)</f>
        <v>0.44743013645606755</v>
      </c>
      <c r="AA60" s="135"/>
      <c r="AB60" s="84"/>
    </row>
    <row r="61" spans="1:28" ht="14" thickBot="1" x14ac:dyDescent="0.2">
      <c r="A61" s="92"/>
      <c r="B61" s="221"/>
      <c r="C61" s="222"/>
      <c r="D61" s="223"/>
      <c r="E61" s="157" t="s">
        <v>103</v>
      </c>
      <c r="F61" s="219"/>
      <c r="G61" s="220"/>
      <c r="H61" s="94">
        <f>0.2338-F59</f>
        <v>0.19303333333333333</v>
      </c>
      <c r="I61" s="94">
        <f>0.2289-F59</f>
        <v>0.18813333333333332</v>
      </c>
      <c r="J61" s="94">
        <f>0.1506-G59</f>
        <v>0.1106</v>
      </c>
      <c r="K61" s="94">
        <f>0.1464-G59</f>
        <v>0.10639999999999999</v>
      </c>
      <c r="L61" s="76">
        <f t="shared" si="14"/>
        <v>2.6331260923845197E-2</v>
      </c>
      <c r="M61" s="76">
        <f t="shared" si="14"/>
        <v>2.5786466916354556E-2</v>
      </c>
      <c r="N61" s="76">
        <f t="shared" si="12"/>
        <v>2.6058863920099876E-2</v>
      </c>
      <c r="O61" s="93">
        <f>'Growth curves'!H56</f>
        <v>2.6480000000000001</v>
      </c>
      <c r="P61" s="76">
        <f t="shared" si="3"/>
        <v>3.3354208000000005</v>
      </c>
      <c r="Q61" s="77">
        <f t="shared" si="15"/>
        <v>1.6677104000000005E-4</v>
      </c>
      <c r="R61" s="78">
        <f t="shared" si="4"/>
        <v>78.127665091312821</v>
      </c>
      <c r="S61" s="95">
        <f>AVERAGE(R59:R61)</f>
        <v>70.116677754458649</v>
      </c>
      <c r="T61" s="96">
        <f>STDEV(R59:R61)</f>
        <v>6.9958010447496211</v>
      </c>
      <c r="U61" s="96">
        <f>T61/SQRT(3)</f>
        <v>4.039027616383259</v>
      </c>
      <c r="V61" s="80">
        <f t="shared" si="5"/>
        <v>260.58863920099873</v>
      </c>
      <c r="W61" s="79">
        <f>AVERAGE(V59:V61)</f>
        <v>229.50062421972538</v>
      </c>
      <c r="X61" s="80">
        <f>STDEV(V59:V61)</f>
        <v>26.952082557191122</v>
      </c>
      <c r="Y61" s="80">
        <f>X61/SQRT(3)</f>
        <v>15.560792119615313</v>
      </c>
      <c r="Z61" s="96">
        <f>(V61-$V$7)/(D59-$D$5)</f>
        <v>0.54958921435541808</v>
      </c>
      <c r="AA61" s="95">
        <f>AVERAGE(Z59:Z61)</f>
        <v>0.48488233867054831</v>
      </c>
      <c r="AB61" s="136">
        <f>STDEV(Z59:Z61)/SQRT(3)</f>
        <v>3.2487085735691659E-2</v>
      </c>
    </row>
    <row r="65" s="81" customFormat="1" x14ac:dyDescent="0.15"/>
  </sheetData>
  <mergeCells count="101">
    <mergeCell ref="B59:B61"/>
    <mergeCell ref="C59:C61"/>
    <mergeCell ref="D59:D61"/>
    <mergeCell ref="F59:F61"/>
    <mergeCell ref="G59:G61"/>
    <mergeCell ref="B56:B58"/>
    <mergeCell ref="C56:C58"/>
    <mergeCell ref="D56:D58"/>
    <mergeCell ref="F56:F58"/>
    <mergeCell ref="G56:G58"/>
    <mergeCell ref="B53:B55"/>
    <mergeCell ref="C53:C55"/>
    <mergeCell ref="D53:D55"/>
    <mergeCell ref="F53:F55"/>
    <mergeCell ref="G53:G55"/>
    <mergeCell ref="B50:B52"/>
    <mergeCell ref="C50:C52"/>
    <mergeCell ref="D50:D52"/>
    <mergeCell ref="F50:F52"/>
    <mergeCell ref="G50:G52"/>
    <mergeCell ref="B47:B49"/>
    <mergeCell ref="C47:C49"/>
    <mergeCell ref="D47:D49"/>
    <mergeCell ref="F47:F49"/>
    <mergeCell ref="G47:G49"/>
    <mergeCell ref="B44:B46"/>
    <mergeCell ref="C44:C46"/>
    <mergeCell ref="D44:D46"/>
    <mergeCell ref="F44:F46"/>
    <mergeCell ref="G44:G46"/>
    <mergeCell ref="B41:B43"/>
    <mergeCell ref="C41:C43"/>
    <mergeCell ref="D41:D43"/>
    <mergeCell ref="F41:F43"/>
    <mergeCell ref="G41:G43"/>
    <mergeCell ref="B38:B40"/>
    <mergeCell ref="C38:C40"/>
    <mergeCell ref="D38:D40"/>
    <mergeCell ref="F38:F40"/>
    <mergeCell ref="G38:G40"/>
    <mergeCell ref="B35:B37"/>
    <mergeCell ref="C35:C37"/>
    <mergeCell ref="D35:D37"/>
    <mergeCell ref="F35:F37"/>
    <mergeCell ref="G35:G37"/>
    <mergeCell ref="B32:B34"/>
    <mergeCell ref="C32:C34"/>
    <mergeCell ref="D32:D34"/>
    <mergeCell ref="F32:F34"/>
    <mergeCell ref="G32:G34"/>
    <mergeCell ref="B29:B31"/>
    <mergeCell ref="C29:C31"/>
    <mergeCell ref="D29:D31"/>
    <mergeCell ref="F29:F31"/>
    <mergeCell ref="G29:G31"/>
    <mergeCell ref="B26:B28"/>
    <mergeCell ref="C26:C28"/>
    <mergeCell ref="D26:D28"/>
    <mergeCell ref="F26:F28"/>
    <mergeCell ref="G26:G28"/>
    <mergeCell ref="B23:B25"/>
    <mergeCell ref="C23:C25"/>
    <mergeCell ref="D23:D25"/>
    <mergeCell ref="F23:F25"/>
    <mergeCell ref="G23:G25"/>
    <mergeCell ref="B20:B22"/>
    <mergeCell ref="C20:C22"/>
    <mergeCell ref="D20:D22"/>
    <mergeCell ref="F20:F22"/>
    <mergeCell ref="G20:G22"/>
    <mergeCell ref="B17:B19"/>
    <mergeCell ref="C17:C19"/>
    <mergeCell ref="D17:D19"/>
    <mergeCell ref="F17:F19"/>
    <mergeCell ref="G17:G19"/>
    <mergeCell ref="B14:B16"/>
    <mergeCell ref="C14:C16"/>
    <mergeCell ref="D14:D16"/>
    <mergeCell ref="F14:F16"/>
    <mergeCell ref="G14:G16"/>
    <mergeCell ref="B11:B13"/>
    <mergeCell ref="C11:C13"/>
    <mergeCell ref="D11:D13"/>
    <mergeCell ref="F11:F13"/>
    <mergeCell ref="G11:G13"/>
    <mergeCell ref="B8:B10"/>
    <mergeCell ref="C8:C10"/>
    <mergeCell ref="D8:D10"/>
    <mergeCell ref="F8:F10"/>
    <mergeCell ref="G8:G10"/>
    <mergeCell ref="A1:AB1"/>
    <mergeCell ref="B2:AB2"/>
    <mergeCell ref="B5:B7"/>
    <mergeCell ref="C5:C7"/>
    <mergeCell ref="D5:D7"/>
    <mergeCell ref="F5:F7"/>
    <mergeCell ref="G5:G7"/>
    <mergeCell ref="L4:M4"/>
    <mergeCell ref="H3:I3"/>
    <mergeCell ref="J3:K3"/>
    <mergeCell ref="L3:M3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1694B-977D-4547-AE80-8526401EF0EB}">
  <dimension ref="A1:Z71"/>
  <sheetViews>
    <sheetView zoomScaleNormal="100" workbookViewId="0">
      <selection sqref="A1:U1"/>
    </sheetView>
  </sheetViews>
  <sheetFormatPr baseColWidth="10" defaultColWidth="9.1640625" defaultRowHeight="13" x14ac:dyDescent="0.15"/>
  <cols>
    <col min="1" max="1" width="73.5" style="2" customWidth="1"/>
    <col min="2" max="2" width="10.33203125" style="2" bestFit="1" customWidth="1"/>
    <col min="3" max="10" width="9.1640625" style="2"/>
    <col min="11" max="14" width="9.6640625" style="2" bestFit="1" customWidth="1"/>
    <col min="15" max="15" width="12.1640625" style="2" customWidth="1"/>
    <col min="16" max="16" width="12.5" style="2" bestFit="1" customWidth="1"/>
    <col min="17" max="18" width="13.6640625" style="2" customWidth="1"/>
    <col min="19" max="19" width="14.5" style="2" customWidth="1"/>
    <col min="20" max="21" width="10.5" style="2" bestFit="1" customWidth="1"/>
    <col min="22" max="23" width="9.1640625" style="2"/>
    <col min="24" max="24" width="11.6640625" style="2" customWidth="1"/>
    <col min="25" max="25" width="9.6640625" style="2" bestFit="1" customWidth="1"/>
    <col min="26" max="16384" width="9.1640625" style="2"/>
  </cols>
  <sheetData>
    <row r="1" spans="1:25" ht="17" thickBot="1" x14ac:dyDescent="0.2">
      <c r="A1" s="229" t="s">
        <v>43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230"/>
      <c r="U1" s="231"/>
    </row>
    <row r="2" spans="1:25" ht="16" customHeight="1" thickBot="1" x14ac:dyDescent="0.2">
      <c r="B2" s="194" t="s">
        <v>1</v>
      </c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6"/>
      <c r="W2" s="201" t="s">
        <v>107</v>
      </c>
      <c r="X2" s="201"/>
      <c r="Y2" s="201"/>
    </row>
    <row r="3" spans="1:25" ht="33.75" customHeight="1" x14ac:dyDescent="0.15">
      <c r="A3" s="39"/>
      <c r="B3" s="137" t="s">
        <v>2</v>
      </c>
      <c r="C3" s="82" t="s">
        <v>3</v>
      </c>
      <c r="D3" s="82" t="s">
        <v>4</v>
      </c>
      <c r="E3" s="127" t="s">
        <v>44</v>
      </c>
      <c r="F3" s="138"/>
      <c r="G3" s="138" t="s">
        <v>45</v>
      </c>
      <c r="H3" s="232" t="s">
        <v>104</v>
      </c>
      <c r="I3" s="233"/>
      <c r="J3" s="233"/>
      <c r="K3" s="234" t="s">
        <v>81</v>
      </c>
      <c r="L3" s="234"/>
      <c r="M3" s="234"/>
      <c r="N3" s="82" t="s">
        <v>46</v>
      </c>
      <c r="O3" s="82" t="s">
        <v>47</v>
      </c>
      <c r="P3" s="82" t="s">
        <v>47</v>
      </c>
      <c r="Q3" s="82" t="s">
        <v>59</v>
      </c>
      <c r="R3" s="127" t="s">
        <v>59</v>
      </c>
      <c r="S3" s="82" t="s">
        <v>60</v>
      </c>
      <c r="T3" s="82" t="s">
        <v>73</v>
      </c>
      <c r="U3" s="122" t="s">
        <v>62</v>
      </c>
      <c r="W3" s="48" t="s">
        <v>4</v>
      </c>
      <c r="X3" s="83" t="str">
        <f>S3</f>
        <v>Average NO3 concentration</v>
      </c>
      <c r="Y3" s="48" t="s">
        <v>38</v>
      </c>
    </row>
    <row r="4" spans="1:25" ht="15" customHeight="1" x14ac:dyDescent="0.15">
      <c r="A4" s="39"/>
      <c r="B4" s="53"/>
      <c r="C4" s="57"/>
      <c r="D4" s="57"/>
      <c r="E4" s="56"/>
      <c r="F4" s="139"/>
      <c r="G4" s="139"/>
      <c r="H4" s="142" t="s">
        <v>105</v>
      </c>
      <c r="I4" s="54" t="s">
        <v>100</v>
      </c>
      <c r="J4" s="143" t="s">
        <v>106</v>
      </c>
      <c r="K4" s="228" t="s">
        <v>48</v>
      </c>
      <c r="L4" s="203"/>
      <c r="M4" s="204"/>
      <c r="N4" s="57" t="s">
        <v>48</v>
      </c>
      <c r="O4" s="57" t="s">
        <v>12</v>
      </c>
      <c r="P4" s="57" t="s">
        <v>82</v>
      </c>
      <c r="Q4" s="57" t="s">
        <v>82</v>
      </c>
      <c r="R4" s="56" t="s">
        <v>12</v>
      </c>
      <c r="S4" s="57" t="s">
        <v>12</v>
      </c>
      <c r="T4" s="57"/>
      <c r="U4" s="55"/>
      <c r="W4" s="48">
        <v>0</v>
      </c>
      <c r="X4" s="61">
        <f>S7</f>
        <v>1.4754431301587305</v>
      </c>
      <c r="Y4" s="61">
        <f>U7</f>
        <v>2.5626764756758607E-2</v>
      </c>
    </row>
    <row r="5" spans="1:25" x14ac:dyDescent="0.15">
      <c r="A5" s="39"/>
      <c r="B5" s="197" t="s">
        <v>13</v>
      </c>
      <c r="C5" s="199">
        <v>0.45833333333333331</v>
      </c>
      <c r="D5" s="201">
        <v>0</v>
      </c>
      <c r="E5" s="201">
        <v>1</v>
      </c>
      <c r="F5" s="155" t="s">
        <v>101</v>
      </c>
      <c r="G5" s="236">
        <f>(0.074+0.078)/2</f>
        <v>7.5999999999999998E-2</v>
      </c>
      <c r="H5" s="62">
        <f>0.688-G5</f>
        <v>0.61199999999999999</v>
      </c>
      <c r="I5" s="61">
        <f>0.709-G5</f>
        <v>0.63300000000000001</v>
      </c>
      <c r="J5" s="61">
        <f>0.702-G5</f>
        <v>0.626</v>
      </c>
      <c r="K5" s="61">
        <f t="shared" ref="K5:M7" si="0">5.1832*H5</f>
        <v>3.1721184</v>
      </c>
      <c r="L5" s="61">
        <f t="shared" si="0"/>
        <v>3.2809656</v>
      </c>
      <c r="M5" s="61">
        <f t="shared" si="0"/>
        <v>3.2446832000000003</v>
      </c>
      <c r="N5" s="61">
        <f t="shared" ref="N5:N14" si="1">AVERAGE(K5:M5)</f>
        <v>3.2325890666666672</v>
      </c>
      <c r="O5" s="61">
        <f>N5/10</f>
        <v>0.32325890666666673</v>
      </c>
      <c r="P5" s="61">
        <f t="shared" ref="P5:P11" si="2">O5/14</f>
        <v>2.3089921904761911E-2</v>
      </c>
      <c r="Q5" s="61">
        <f t="shared" ref="Q5:Q14" si="3">P5</f>
        <v>2.3089921904761911E-2</v>
      </c>
      <c r="R5" s="61">
        <f t="shared" ref="R5:R14" si="4">Q5*62</f>
        <v>1.4315751580952385</v>
      </c>
      <c r="S5" s="97"/>
      <c r="T5" s="48"/>
      <c r="U5" s="60"/>
      <c r="W5" s="48">
        <f>D8</f>
        <v>48</v>
      </c>
      <c r="X5" s="61">
        <f>S10</f>
        <v>1.4715175985185187</v>
      </c>
      <c r="Y5" s="61">
        <f>U10</f>
        <v>1.265354675460568E-2</v>
      </c>
    </row>
    <row r="6" spans="1:25" x14ac:dyDescent="0.15">
      <c r="A6" s="39"/>
      <c r="B6" s="197"/>
      <c r="C6" s="199"/>
      <c r="D6" s="201"/>
      <c r="E6" s="201"/>
      <c r="F6" s="155" t="s">
        <v>102</v>
      </c>
      <c r="G6" s="236"/>
      <c r="H6" s="62">
        <f>0.703-G5</f>
        <v>0.627</v>
      </c>
      <c r="I6" s="61">
        <f>0.724-G5</f>
        <v>0.64800000000000002</v>
      </c>
      <c r="J6" s="61">
        <f>0.728-G5</f>
        <v>0.65200000000000002</v>
      </c>
      <c r="K6" s="61">
        <f t="shared" si="0"/>
        <v>3.2498664000000002</v>
      </c>
      <c r="L6" s="61">
        <f t="shared" si="0"/>
        <v>3.3587136000000002</v>
      </c>
      <c r="M6" s="61">
        <f t="shared" si="0"/>
        <v>3.3794464000000004</v>
      </c>
      <c r="N6" s="61">
        <f t="shared" si="1"/>
        <v>3.3293421333333337</v>
      </c>
      <c r="O6" s="61">
        <f>N6/10</f>
        <v>0.3329342133333334</v>
      </c>
      <c r="P6" s="61">
        <f t="shared" si="2"/>
        <v>2.3781015238095244E-2</v>
      </c>
      <c r="Q6" s="61">
        <f t="shared" si="3"/>
        <v>2.3781015238095244E-2</v>
      </c>
      <c r="R6" s="61">
        <f t="shared" si="4"/>
        <v>1.4744229447619051</v>
      </c>
      <c r="S6" s="97"/>
      <c r="T6" s="48"/>
      <c r="U6" s="60"/>
      <c r="W6" s="48">
        <f>D11</f>
        <v>96.5</v>
      </c>
      <c r="X6" s="61">
        <f>S13</f>
        <v>1.2906931010052907</v>
      </c>
      <c r="Y6" s="61">
        <f>U13</f>
        <v>1.4804864642750286E-2</v>
      </c>
    </row>
    <row r="7" spans="1:25" x14ac:dyDescent="0.15">
      <c r="A7" s="39"/>
      <c r="B7" s="198"/>
      <c r="C7" s="200"/>
      <c r="D7" s="202"/>
      <c r="E7" s="202"/>
      <c r="F7" s="156" t="s">
        <v>103</v>
      </c>
      <c r="G7" s="237"/>
      <c r="H7" s="65">
        <f>0.72-G5</f>
        <v>0.64400000000000002</v>
      </c>
      <c r="I7" s="66">
        <f>0.75-G5</f>
        <v>0.67400000000000004</v>
      </c>
      <c r="J7" s="66">
        <f>0.745-G5</f>
        <v>0.66900000000000004</v>
      </c>
      <c r="K7" s="66">
        <f t="shared" si="0"/>
        <v>3.3379808000000004</v>
      </c>
      <c r="L7" s="66">
        <f t="shared" si="0"/>
        <v>3.4934768000000003</v>
      </c>
      <c r="M7" s="66">
        <f t="shared" si="0"/>
        <v>3.4675608000000002</v>
      </c>
      <c r="N7" s="66">
        <f t="shared" si="1"/>
        <v>3.4330061333333339</v>
      </c>
      <c r="O7" s="66">
        <f>N7/10</f>
        <v>0.34330061333333339</v>
      </c>
      <c r="P7" s="66">
        <f t="shared" si="2"/>
        <v>2.4521472380952387E-2</v>
      </c>
      <c r="Q7" s="66">
        <f t="shared" si="3"/>
        <v>2.4521472380952387E-2</v>
      </c>
      <c r="R7" s="66">
        <f t="shared" si="4"/>
        <v>1.520331287619048</v>
      </c>
      <c r="S7" s="98">
        <f>AVERAGE(R5:R7)</f>
        <v>1.4754431301587305</v>
      </c>
      <c r="T7" s="66">
        <f>STDEV(R5:R7)</f>
        <v>4.4386858592321388E-2</v>
      </c>
      <c r="U7" s="99">
        <f>T7/SQRT(3)</f>
        <v>2.5626764756758607E-2</v>
      </c>
      <c r="W7" s="48">
        <f>D14</f>
        <v>144.5</v>
      </c>
      <c r="X7" s="61">
        <f>S16</f>
        <v>1.1909145803174603</v>
      </c>
      <c r="Y7" s="61">
        <f>U16</f>
        <v>1.0046292607114015E-2</v>
      </c>
    </row>
    <row r="8" spans="1:25" x14ac:dyDescent="0.15">
      <c r="A8" s="39"/>
      <c r="B8" s="197" t="s">
        <v>15</v>
      </c>
      <c r="C8" s="199">
        <v>0.4548611111111111</v>
      </c>
      <c r="D8" s="201">
        <f>48+D5</f>
        <v>48</v>
      </c>
      <c r="E8" s="201">
        <v>3</v>
      </c>
      <c r="F8" s="155" t="s">
        <v>101</v>
      </c>
      <c r="G8" s="236">
        <f>(0.073+0.071)/2</f>
        <v>7.1999999999999995E-2</v>
      </c>
      <c r="H8" s="62">
        <f>0.989-G8</f>
        <v>0.91700000000000004</v>
      </c>
      <c r="I8" s="61">
        <f>1.016-G8</f>
        <v>0.94400000000000006</v>
      </c>
      <c r="J8" s="61">
        <f>0.993-G8</f>
        <v>0.92100000000000004</v>
      </c>
      <c r="K8" s="61">
        <f t="shared" ref="K8:M10" si="5">5.3491*H8</f>
        <v>4.9051247</v>
      </c>
      <c r="L8" s="61">
        <f t="shared" si="5"/>
        <v>5.0495504000000002</v>
      </c>
      <c r="M8" s="61">
        <f t="shared" si="5"/>
        <v>4.9265211000000004</v>
      </c>
      <c r="N8" s="61">
        <f t="shared" si="1"/>
        <v>4.9603987333333333</v>
      </c>
      <c r="O8" s="61">
        <f t="shared" ref="O8:O13" si="6">N8/15</f>
        <v>0.3306932488888889</v>
      </c>
      <c r="P8" s="61">
        <f t="shared" si="2"/>
        <v>2.3620946349206352E-2</v>
      </c>
      <c r="Q8" s="61">
        <f t="shared" si="3"/>
        <v>2.3620946349206352E-2</v>
      </c>
      <c r="R8" s="61">
        <f t="shared" si="4"/>
        <v>1.4644986736507939</v>
      </c>
      <c r="S8" s="146"/>
      <c r="T8" s="61"/>
      <c r="U8" s="73"/>
      <c r="W8" s="48">
        <f>D17</f>
        <v>192</v>
      </c>
      <c r="X8" s="61">
        <f>S19</f>
        <v>1.0839070088888889</v>
      </c>
      <c r="Y8" s="61">
        <f>U19</f>
        <v>3.0276195170589978E-2</v>
      </c>
    </row>
    <row r="9" spans="1:25" x14ac:dyDescent="0.15">
      <c r="A9" s="39"/>
      <c r="B9" s="197"/>
      <c r="C9" s="199"/>
      <c r="D9" s="201"/>
      <c r="E9" s="201"/>
      <c r="F9" s="155" t="s">
        <v>102</v>
      </c>
      <c r="G9" s="236"/>
      <c r="H9" s="62">
        <f>0.989-G8</f>
        <v>0.91700000000000004</v>
      </c>
      <c r="I9" s="61">
        <f>1.003-G8</f>
        <v>0.93099999999999994</v>
      </c>
      <c r="J9" s="61">
        <f>0.986-G8</f>
        <v>0.91400000000000003</v>
      </c>
      <c r="K9" s="61">
        <f t="shared" si="5"/>
        <v>4.9051247</v>
      </c>
      <c r="L9" s="61">
        <f t="shared" si="5"/>
        <v>4.9800120999999997</v>
      </c>
      <c r="M9" s="61">
        <f t="shared" si="5"/>
        <v>4.8890774000000006</v>
      </c>
      <c r="N9" s="61">
        <f t="shared" si="1"/>
        <v>4.9247380666666665</v>
      </c>
      <c r="O9" s="61">
        <f t="shared" si="6"/>
        <v>0.3283158711111111</v>
      </c>
      <c r="P9" s="61">
        <f t="shared" si="2"/>
        <v>2.3451133650793651E-2</v>
      </c>
      <c r="Q9" s="61">
        <f t="shared" si="3"/>
        <v>2.3451133650793651E-2</v>
      </c>
      <c r="R9" s="61">
        <f t="shared" si="4"/>
        <v>1.4539702863492063</v>
      </c>
      <c r="S9" s="146"/>
      <c r="T9" s="61"/>
      <c r="U9" s="73"/>
      <c r="W9" s="48">
        <f>D20</f>
        <v>240</v>
      </c>
      <c r="X9" s="61">
        <f>S22</f>
        <v>0.98564718476190472</v>
      </c>
      <c r="Y9" s="61">
        <f>U22</f>
        <v>2.042149662942442E-2</v>
      </c>
    </row>
    <row r="10" spans="1:25" x14ac:dyDescent="0.15">
      <c r="A10" s="39"/>
      <c r="B10" s="198"/>
      <c r="C10" s="200"/>
      <c r="D10" s="202"/>
      <c r="E10" s="202"/>
      <c r="F10" s="156" t="s">
        <v>103</v>
      </c>
      <c r="G10" s="237"/>
      <c r="H10" s="65">
        <f>1.014-G8</f>
        <v>0.94200000000000006</v>
      </c>
      <c r="I10" s="66">
        <f>1.024-G8</f>
        <v>0.95200000000000007</v>
      </c>
      <c r="J10" s="66">
        <f>1.02-G8</f>
        <v>0.94800000000000006</v>
      </c>
      <c r="K10" s="66">
        <f t="shared" si="5"/>
        <v>5.0388522</v>
      </c>
      <c r="L10" s="66">
        <f t="shared" si="5"/>
        <v>5.0923432000000002</v>
      </c>
      <c r="M10" s="66">
        <f t="shared" si="5"/>
        <v>5.0709468000000006</v>
      </c>
      <c r="N10" s="66">
        <f t="shared" si="1"/>
        <v>5.0673807333333336</v>
      </c>
      <c r="O10" s="66">
        <f t="shared" si="6"/>
        <v>0.33782538222222225</v>
      </c>
      <c r="P10" s="66">
        <f t="shared" si="2"/>
        <v>2.4130384444444448E-2</v>
      </c>
      <c r="Q10" s="66">
        <f t="shared" si="3"/>
        <v>2.4130384444444448E-2</v>
      </c>
      <c r="R10" s="66">
        <f t="shared" si="4"/>
        <v>1.4960838355555557</v>
      </c>
      <c r="S10" s="98">
        <f>AVERAGE(R8:R10)</f>
        <v>1.4715175985185187</v>
      </c>
      <c r="T10" s="66">
        <f>STDEV(R8:R10)</f>
        <v>2.1916585874925312E-2</v>
      </c>
      <c r="U10" s="99">
        <f>T10/SQRT(3)</f>
        <v>1.265354675460568E-2</v>
      </c>
      <c r="W10" s="48">
        <f>D23</f>
        <v>287.5</v>
      </c>
      <c r="X10" s="61">
        <f>S25</f>
        <v>0.83033597428571426</v>
      </c>
      <c r="Y10" s="61">
        <f>U25</f>
        <v>4.9667003360766258E-2</v>
      </c>
    </row>
    <row r="11" spans="1:25" x14ac:dyDescent="0.15">
      <c r="A11" s="39"/>
      <c r="B11" s="197" t="s">
        <v>17</v>
      </c>
      <c r="C11" s="199">
        <v>0.47916666666666669</v>
      </c>
      <c r="D11" s="201">
        <f>48.5+D8</f>
        <v>96.5</v>
      </c>
      <c r="E11" s="201">
        <v>5</v>
      </c>
      <c r="F11" s="155" t="s">
        <v>101</v>
      </c>
      <c r="G11" s="236">
        <f>(0.085+0.074)/2</f>
        <v>7.9500000000000001E-2</v>
      </c>
      <c r="H11" s="62">
        <f>0.887-G11</f>
        <v>0.8075</v>
      </c>
      <c r="I11" s="61">
        <f>0.918-G11</f>
        <v>0.83850000000000002</v>
      </c>
      <c r="J11" s="61">
        <f>0.921-G11</f>
        <v>0.84150000000000003</v>
      </c>
      <c r="K11" s="61">
        <f t="shared" ref="K11:M13" si="7">5.2151*H11</f>
        <v>4.21119325</v>
      </c>
      <c r="L11" s="61">
        <f t="shared" si="7"/>
        <v>4.37286135</v>
      </c>
      <c r="M11" s="61">
        <f t="shared" si="7"/>
        <v>4.3885066500000001</v>
      </c>
      <c r="N11" s="61">
        <f t="shared" si="1"/>
        <v>4.3241870833333333</v>
      </c>
      <c r="O11" s="61">
        <f t="shared" si="6"/>
        <v>0.2882791388888889</v>
      </c>
      <c r="P11" s="61">
        <f t="shared" si="2"/>
        <v>2.0591367063492065E-2</v>
      </c>
      <c r="Q11" s="61">
        <f t="shared" si="3"/>
        <v>2.0591367063492065E-2</v>
      </c>
      <c r="R11" s="61">
        <f t="shared" si="4"/>
        <v>1.276664757936508</v>
      </c>
      <c r="S11" s="146"/>
      <c r="T11" s="61"/>
      <c r="U11" s="73"/>
      <c r="W11" s="48">
        <f>D26</f>
        <v>337</v>
      </c>
      <c r="X11" s="61">
        <f>S28</f>
        <v>0.76993469841269846</v>
      </c>
      <c r="Y11" s="61">
        <f>U28</f>
        <v>3.5229572721127228E-2</v>
      </c>
    </row>
    <row r="12" spans="1:25" ht="15" customHeight="1" x14ac:dyDescent="0.15">
      <c r="A12" s="39"/>
      <c r="B12" s="197"/>
      <c r="C12" s="199"/>
      <c r="D12" s="201"/>
      <c r="E12" s="201"/>
      <c r="F12" s="155" t="s">
        <v>102</v>
      </c>
      <c r="G12" s="236"/>
      <c r="H12" s="62">
        <f>0.912-G11</f>
        <v>0.83250000000000002</v>
      </c>
      <c r="I12" s="61">
        <f>0.947-G11</f>
        <v>0.86749999999999994</v>
      </c>
      <c r="J12" s="61">
        <f>0.952-G11</f>
        <v>0.87249999999999994</v>
      </c>
      <c r="K12" s="61">
        <f t="shared" si="7"/>
        <v>4.3415707499999998</v>
      </c>
      <c r="L12" s="61">
        <f t="shared" si="7"/>
        <v>4.524099249999999</v>
      </c>
      <c r="M12" s="61">
        <f t="shared" si="7"/>
        <v>4.5501747499999992</v>
      </c>
      <c r="N12" s="61">
        <f t="shared" si="1"/>
        <v>4.4719482499999996</v>
      </c>
      <c r="O12" s="61">
        <f t="shared" si="6"/>
        <v>0.29812988333333329</v>
      </c>
      <c r="P12" s="61">
        <f t="shared" ref="P12:P34" si="8">O12/14</f>
        <v>2.1294991666666662E-2</v>
      </c>
      <c r="Q12" s="61">
        <f t="shared" si="3"/>
        <v>2.1294991666666662E-2</v>
      </c>
      <c r="R12" s="61">
        <f t="shared" si="4"/>
        <v>1.320289483333333</v>
      </c>
      <c r="S12" s="146"/>
      <c r="T12" s="61"/>
      <c r="U12" s="73"/>
      <c r="W12" s="48">
        <f>D29</f>
        <v>384.5</v>
      </c>
      <c r="X12" s="61">
        <f>S31</f>
        <v>0.63370672750000001</v>
      </c>
      <c r="Y12" s="61">
        <f>U31</f>
        <v>2.3078362073007067E-2</v>
      </c>
    </row>
    <row r="13" spans="1:25" ht="15" customHeight="1" x14ac:dyDescent="0.15">
      <c r="A13" s="39"/>
      <c r="B13" s="198"/>
      <c r="C13" s="200"/>
      <c r="D13" s="202"/>
      <c r="E13" s="202"/>
      <c r="F13" s="156" t="s">
        <v>103</v>
      </c>
      <c r="G13" s="237"/>
      <c r="H13" s="65">
        <f>0.887-G11</f>
        <v>0.8075</v>
      </c>
      <c r="I13" s="66">
        <f>0.916-G11</f>
        <v>0.83650000000000002</v>
      </c>
      <c r="J13" s="66">
        <f>0.92-G11</f>
        <v>0.84050000000000002</v>
      </c>
      <c r="K13" s="66">
        <f t="shared" si="7"/>
        <v>4.21119325</v>
      </c>
      <c r="L13" s="66">
        <f t="shared" si="7"/>
        <v>4.3624311499999999</v>
      </c>
      <c r="M13" s="66">
        <f t="shared" si="7"/>
        <v>4.38329155</v>
      </c>
      <c r="N13" s="66">
        <f t="shared" si="1"/>
        <v>4.3189719833333333</v>
      </c>
      <c r="O13" s="66">
        <f t="shared" si="6"/>
        <v>0.28793146555555554</v>
      </c>
      <c r="P13" s="66">
        <f t="shared" si="8"/>
        <v>2.0566533253968254E-2</v>
      </c>
      <c r="Q13" s="66">
        <f t="shared" si="3"/>
        <v>2.0566533253968254E-2</v>
      </c>
      <c r="R13" s="66">
        <f t="shared" si="4"/>
        <v>1.2751250617460317</v>
      </c>
      <c r="S13" s="98">
        <f>AVERAGE(R11:R13)</f>
        <v>1.2906931010052907</v>
      </c>
      <c r="T13" s="66">
        <f>STDEV(R11:R13)</f>
        <v>2.5642777760423549E-2</v>
      </c>
      <c r="U13" s="99">
        <f>T13/SQRT(3)</f>
        <v>1.4804864642750286E-2</v>
      </c>
      <c r="W13" s="48">
        <f>D32</f>
        <v>433.5</v>
      </c>
      <c r="X13" s="61">
        <f>S34</f>
        <v>0.5437381916666667</v>
      </c>
      <c r="Y13" s="61">
        <f>U34</f>
        <v>1.456264144359859E-2</v>
      </c>
    </row>
    <row r="14" spans="1:25" x14ac:dyDescent="0.15">
      <c r="A14" s="39"/>
      <c r="B14" s="197" t="s">
        <v>19</v>
      </c>
      <c r="C14" s="199">
        <v>0.47916666666666669</v>
      </c>
      <c r="D14" s="201">
        <f>48+D11</f>
        <v>144.5</v>
      </c>
      <c r="E14" s="201">
        <v>7</v>
      </c>
      <c r="F14" s="155" t="s">
        <v>101</v>
      </c>
      <c r="G14" s="236">
        <f>(0.095+0.082)/2</f>
        <v>8.8499999999999995E-2</v>
      </c>
      <c r="H14" s="62">
        <f>0.835-G14</f>
        <v>0.74649999999999994</v>
      </c>
      <c r="I14" s="61">
        <f>0.863-G14</f>
        <v>0.77449999999999997</v>
      </c>
      <c r="J14" s="61">
        <f>0.838-G14</f>
        <v>0.74949999999999994</v>
      </c>
      <c r="K14" s="61">
        <f t="shared" ref="K14:M16" si="9">5.3376*H14</f>
        <v>3.9845183999999998</v>
      </c>
      <c r="L14" s="61">
        <f t="shared" si="9"/>
        <v>4.1339711999999995</v>
      </c>
      <c r="M14" s="61">
        <f t="shared" si="9"/>
        <v>4.0005312000000002</v>
      </c>
      <c r="N14" s="61">
        <f t="shared" si="1"/>
        <v>4.0396736000000004</v>
      </c>
      <c r="O14" s="61">
        <f t="shared" ref="O14:O19" si="10">N14/15</f>
        <v>0.26931157333333339</v>
      </c>
      <c r="P14" s="61">
        <f t="shared" si="8"/>
        <v>1.9236540952380955E-2</v>
      </c>
      <c r="Q14" s="61">
        <f t="shared" si="3"/>
        <v>1.9236540952380955E-2</v>
      </c>
      <c r="R14" s="61">
        <f t="shared" si="4"/>
        <v>1.1926655390476193</v>
      </c>
      <c r="S14" s="97"/>
      <c r="T14" s="48"/>
      <c r="U14" s="60"/>
      <c r="W14" s="48"/>
      <c r="X14" s="61"/>
      <c r="Y14" s="48"/>
    </row>
    <row r="15" spans="1:25" x14ac:dyDescent="0.15">
      <c r="A15" s="39"/>
      <c r="B15" s="197"/>
      <c r="C15" s="199"/>
      <c r="D15" s="201"/>
      <c r="E15" s="201"/>
      <c r="F15" s="155" t="s">
        <v>102</v>
      </c>
      <c r="G15" s="236"/>
      <c r="H15" s="62">
        <f>0.835-G14</f>
        <v>0.74649999999999994</v>
      </c>
      <c r="I15" s="61">
        <f>0.873-G14</f>
        <v>0.78449999999999998</v>
      </c>
      <c r="J15" s="61">
        <f>0.856-G14</f>
        <v>0.76749999999999996</v>
      </c>
      <c r="K15" s="61">
        <f t="shared" si="9"/>
        <v>3.9845183999999998</v>
      </c>
      <c r="L15" s="61">
        <f t="shared" si="9"/>
        <v>4.1873471999999996</v>
      </c>
      <c r="M15" s="61">
        <f t="shared" si="9"/>
        <v>4.0966079999999998</v>
      </c>
      <c r="N15" s="61">
        <f t="shared" ref="N15:N34" si="11">AVERAGE(K15:M15)</f>
        <v>4.0894912000000003</v>
      </c>
      <c r="O15" s="61">
        <f t="shared" si="10"/>
        <v>0.2726327466666667</v>
      </c>
      <c r="P15" s="61">
        <f t="shared" si="8"/>
        <v>1.9473767619047622E-2</v>
      </c>
      <c r="Q15" s="61">
        <f t="shared" ref="Q15:Q34" si="12">P15</f>
        <v>1.9473767619047622E-2</v>
      </c>
      <c r="R15" s="61">
        <f t="shared" ref="R15:R31" si="13">Q15*62</f>
        <v>1.2073735923809525</v>
      </c>
      <c r="S15" s="97"/>
      <c r="T15" s="48"/>
      <c r="U15" s="60"/>
      <c r="W15" s="48"/>
      <c r="X15" s="61"/>
      <c r="Y15" s="61"/>
    </row>
    <row r="16" spans="1:25" x14ac:dyDescent="0.15">
      <c r="A16" s="39"/>
      <c r="B16" s="198"/>
      <c r="C16" s="200"/>
      <c r="D16" s="202"/>
      <c r="E16" s="202"/>
      <c r="F16" s="156" t="s">
        <v>103</v>
      </c>
      <c r="G16" s="237"/>
      <c r="H16" s="65">
        <f>0.829-G14</f>
        <v>0.74049999999999994</v>
      </c>
      <c r="I16" s="66">
        <f>0.84-G14</f>
        <v>0.75149999999999995</v>
      </c>
      <c r="J16" s="66">
        <f>0.829-G14</f>
        <v>0.74049999999999994</v>
      </c>
      <c r="K16" s="66">
        <f t="shared" si="9"/>
        <v>3.9524927999999999</v>
      </c>
      <c r="L16" s="66">
        <f t="shared" si="9"/>
        <v>4.0112063999999998</v>
      </c>
      <c r="M16" s="66">
        <f t="shared" si="9"/>
        <v>3.9524927999999999</v>
      </c>
      <c r="N16" s="66">
        <f t="shared" si="11"/>
        <v>3.9720639999999996</v>
      </c>
      <c r="O16" s="66">
        <f t="shared" si="10"/>
        <v>0.26480426666666662</v>
      </c>
      <c r="P16" s="66">
        <f t="shared" si="8"/>
        <v>1.8914590476190474E-2</v>
      </c>
      <c r="Q16" s="66">
        <f t="shared" si="12"/>
        <v>1.8914590476190474E-2</v>
      </c>
      <c r="R16" s="66">
        <f t="shared" si="13"/>
        <v>1.1727046095238094</v>
      </c>
      <c r="S16" s="98">
        <f>AVERAGE(R14:R16)</f>
        <v>1.1909145803174603</v>
      </c>
      <c r="T16" s="66">
        <f>STDEV(R14:R16)</f>
        <v>1.7400689223225071E-2</v>
      </c>
      <c r="U16" s="99">
        <f>T16/SQRT(3)</f>
        <v>1.0046292607114015E-2</v>
      </c>
      <c r="W16" s="48"/>
      <c r="X16" s="61"/>
      <c r="Y16" s="61"/>
    </row>
    <row r="17" spans="1:25" x14ac:dyDescent="0.15">
      <c r="A17" s="39"/>
      <c r="B17" s="197" t="s">
        <v>21</v>
      </c>
      <c r="C17" s="199">
        <v>0.45833333333333331</v>
      </c>
      <c r="D17" s="201">
        <f>47.5+D14</f>
        <v>192</v>
      </c>
      <c r="E17" s="201">
        <v>9</v>
      </c>
      <c r="F17" s="155" t="s">
        <v>101</v>
      </c>
      <c r="G17" s="236">
        <f>(0.081+0.075)/2</f>
        <v>7.8E-2</v>
      </c>
      <c r="H17" s="62">
        <f>0.726-G17</f>
        <v>0.64800000000000002</v>
      </c>
      <c r="I17" s="61">
        <f>0.683-G17</f>
        <v>0.60500000000000009</v>
      </c>
      <c r="J17" s="61">
        <f>0.741-G17</f>
        <v>0.66300000000000003</v>
      </c>
      <c r="K17" s="61">
        <f t="shared" ref="K17:M19" si="14">5.4327*H17</f>
        <v>3.5203895999999997</v>
      </c>
      <c r="L17" s="61">
        <f t="shared" si="14"/>
        <v>3.2867835000000003</v>
      </c>
      <c r="M17" s="61">
        <f t="shared" si="14"/>
        <v>3.6018800999999998</v>
      </c>
      <c r="N17" s="61">
        <f t="shared" si="11"/>
        <v>3.4696843999999998</v>
      </c>
      <c r="O17" s="61">
        <f t="shared" si="10"/>
        <v>0.23131229333333331</v>
      </c>
      <c r="P17" s="61">
        <f t="shared" si="8"/>
        <v>1.6522306666666663E-2</v>
      </c>
      <c r="Q17" s="61">
        <f t="shared" si="12"/>
        <v>1.6522306666666663E-2</v>
      </c>
      <c r="R17" s="61">
        <f t="shared" si="13"/>
        <v>1.0243830133333331</v>
      </c>
      <c r="S17" s="97"/>
      <c r="T17" s="48"/>
      <c r="U17" s="60"/>
      <c r="W17" s="48"/>
      <c r="X17" s="61"/>
      <c r="Y17" s="61"/>
    </row>
    <row r="18" spans="1:25" x14ac:dyDescent="0.15">
      <c r="A18" s="39"/>
      <c r="B18" s="197"/>
      <c r="C18" s="199"/>
      <c r="D18" s="201"/>
      <c r="E18" s="201"/>
      <c r="F18" s="155" t="s">
        <v>102</v>
      </c>
      <c r="G18" s="236"/>
      <c r="H18" s="62">
        <f>0.77-G17</f>
        <v>0.69200000000000006</v>
      </c>
      <c r="I18" s="61">
        <f>0.788-G17</f>
        <v>0.71000000000000008</v>
      </c>
      <c r="J18" s="61">
        <f>0.777-G17</f>
        <v>0.69900000000000007</v>
      </c>
      <c r="K18" s="61">
        <f t="shared" si="14"/>
        <v>3.7594284</v>
      </c>
      <c r="L18" s="61">
        <f t="shared" si="14"/>
        <v>3.8572170000000003</v>
      </c>
      <c r="M18" s="61">
        <f t="shared" si="14"/>
        <v>3.7974573</v>
      </c>
      <c r="N18" s="61">
        <f t="shared" si="11"/>
        <v>3.8047009000000003</v>
      </c>
      <c r="O18" s="61">
        <f t="shared" si="10"/>
        <v>0.25364672666666671</v>
      </c>
      <c r="P18" s="61">
        <f t="shared" si="8"/>
        <v>1.8117623333333336E-2</v>
      </c>
      <c r="Q18" s="61">
        <f t="shared" si="12"/>
        <v>1.8117623333333336E-2</v>
      </c>
      <c r="R18" s="61">
        <f t="shared" si="13"/>
        <v>1.1232926466666668</v>
      </c>
      <c r="S18" s="97"/>
      <c r="T18" s="48"/>
      <c r="U18" s="60"/>
      <c r="W18" s="48"/>
      <c r="X18" s="61"/>
      <c r="Y18" s="61"/>
    </row>
    <row r="19" spans="1:25" x14ac:dyDescent="0.15">
      <c r="A19" s="39"/>
      <c r="B19" s="198"/>
      <c r="C19" s="200"/>
      <c r="D19" s="202"/>
      <c r="E19" s="202"/>
      <c r="F19" s="156" t="s">
        <v>103</v>
      </c>
      <c r="G19" s="237"/>
      <c r="H19" s="65">
        <f>0.738-G17</f>
        <v>0.66</v>
      </c>
      <c r="I19" s="66">
        <f>0.777-G17</f>
        <v>0.69900000000000007</v>
      </c>
      <c r="J19" s="66">
        <f>0.784-G17</f>
        <v>0.70600000000000007</v>
      </c>
      <c r="K19" s="66">
        <f t="shared" si="14"/>
        <v>3.585582</v>
      </c>
      <c r="L19" s="66">
        <f t="shared" si="14"/>
        <v>3.7974573</v>
      </c>
      <c r="M19" s="66">
        <f t="shared" si="14"/>
        <v>3.8354862000000001</v>
      </c>
      <c r="N19" s="66">
        <f t="shared" si="11"/>
        <v>3.7395084999999999</v>
      </c>
      <c r="O19" s="66">
        <f t="shared" si="10"/>
        <v>0.24930056666666667</v>
      </c>
      <c r="P19" s="66">
        <f t="shared" si="8"/>
        <v>1.7807183333333334E-2</v>
      </c>
      <c r="Q19" s="66">
        <f t="shared" si="12"/>
        <v>1.7807183333333334E-2</v>
      </c>
      <c r="R19" s="66">
        <f t="shared" si="13"/>
        <v>1.1040453666666667</v>
      </c>
      <c r="S19" s="98">
        <f>AVERAGE(R17:R19)</f>
        <v>1.0839070088888889</v>
      </c>
      <c r="T19" s="66">
        <f>STDEV(R17:R19)</f>
        <v>5.2439908295333314E-2</v>
      </c>
      <c r="U19" s="99">
        <f>T19/SQRT(3)</f>
        <v>3.0276195170589978E-2</v>
      </c>
      <c r="W19" s="48"/>
      <c r="X19" s="61"/>
      <c r="Y19" s="48"/>
    </row>
    <row r="20" spans="1:25" x14ac:dyDescent="0.15">
      <c r="A20" s="39"/>
      <c r="B20" s="197" t="s">
        <v>23</v>
      </c>
      <c r="C20" s="199">
        <v>0.45833333333333331</v>
      </c>
      <c r="D20" s="201">
        <f>48+D17</f>
        <v>240</v>
      </c>
      <c r="E20" s="201">
        <v>11</v>
      </c>
      <c r="F20" s="155" t="s">
        <v>101</v>
      </c>
      <c r="G20" s="236">
        <f>(0.08+0.074)/2</f>
        <v>7.6999999999999999E-2</v>
      </c>
      <c r="H20" s="62">
        <f>0.626-G20</f>
        <v>0.54900000000000004</v>
      </c>
      <c r="I20" s="61">
        <f>0.654-G20</f>
        <v>0.57700000000000007</v>
      </c>
      <c r="J20" s="61">
        <f>0.666-G20</f>
        <v>0.58900000000000008</v>
      </c>
      <c r="K20" s="61">
        <f t="shared" ref="K20:M22" si="15">5.6088*H20</f>
        <v>3.0792312000000002</v>
      </c>
      <c r="L20" s="61">
        <f t="shared" si="15"/>
        <v>3.2362776000000002</v>
      </c>
      <c r="M20" s="61">
        <f t="shared" si="15"/>
        <v>3.3035832000000003</v>
      </c>
      <c r="N20" s="61">
        <f t="shared" si="11"/>
        <v>3.2063640000000002</v>
      </c>
      <c r="O20" s="61">
        <f t="shared" ref="O20:O28" si="16">N20/15</f>
        <v>0.21375760000000002</v>
      </c>
      <c r="P20" s="61">
        <f t="shared" si="8"/>
        <v>1.5268400000000001E-2</v>
      </c>
      <c r="Q20" s="61">
        <f t="shared" si="12"/>
        <v>1.5268400000000001E-2</v>
      </c>
      <c r="R20" s="61">
        <f t="shared" si="13"/>
        <v>0.94664080000000006</v>
      </c>
      <c r="S20" s="146"/>
      <c r="T20" s="61"/>
      <c r="U20" s="73"/>
      <c r="W20" s="48"/>
      <c r="X20" s="61"/>
      <c r="Y20" s="48"/>
    </row>
    <row r="21" spans="1:25" ht="15" customHeight="1" x14ac:dyDescent="0.15">
      <c r="A21" s="39"/>
      <c r="B21" s="197"/>
      <c r="C21" s="199"/>
      <c r="D21" s="201"/>
      <c r="E21" s="201"/>
      <c r="F21" s="155" t="s">
        <v>102</v>
      </c>
      <c r="G21" s="236"/>
      <c r="H21" s="62">
        <f>0.675-G20</f>
        <v>0.59800000000000009</v>
      </c>
      <c r="I21" s="61">
        <f>0.704-G20</f>
        <v>0.627</v>
      </c>
      <c r="J21" s="61">
        <f>0.692-G20</f>
        <v>0.61499999999999999</v>
      </c>
      <c r="K21" s="61">
        <f t="shared" si="15"/>
        <v>3.3540624000000001</v>
      </c>
      <c r="L21" s="61">
        <f t="shared" si="15"/>
        <v>3.5167175999999998</v>
      </c>
      <c r="M21" s="61">
        <f t="shared" si="15"/>
        <v>3.4494119999999997</v>
      </c>
      <c r="N21" s="61">
        <f t="shared" si="11"/>
        <v>3.4400639999999996</v>
      </c>
      <c r="O21" s="61">
        <f t="shared" si="16"/>
        <v>0.22933759999999997</v>
      </c>
      <c r="P21" s="61">
        <f t="shared" si="8"/>
        <v>1.6381257142857143E-2</v>
      </c>
      <c r="Q21" s="61">
        <f t="shared" si="12"/>
        <v>1.6381257142857143E-2</v>
      </c>
      <c r="R21" s="61">
        <f t="shared" si="13"/>
        <v>1.0156379428571429</v>
      </c>
      <c r="S21" s="146"/>
      <c r="T21" s="61"/>
      <c r="U21" s="73"/>
      <c r="X21" s="37"/>
    </row>
    <row r="22" spans="1:25" ht="15" customHeight="1" x14ac:dyDescent="0.15">
      <c r="A22" s="39"/>
      <c r="B22" s="198"/>
      <c r="C22" s="200"/>
      <c r="D22" s="202"/>
      <c r="E22" s="202"/>
      <c r="F22" s="156" t="s">
        <v>103</v>
      </c>
      <c r="G22" s="237"/>
      <c r="H22" s="65">
        <f>0.666-G20</f>
        <v>0.58900000000000008</v>
      </c>
      <c r="I22" s="66">
        <f>0.68-G20</f>
        <v>0.60300000000000009</v>
      </c>
      <c r="J22" s="66">
        <f>0.687-G20</f>
        <v>0.6100000000000001</v>
      </c>
      <c r="K22" s="66">
        <f t="shared" si="15"/>
        <v>3.3035832000000003</v>
      </c>
      <c r="L22" s="66">
        <f t="shared" si="15"/>
        <v>3.3821064000000001</v>
      </c>
      <c r="M22" s="66">
        <f t="shared" si="15"/>
        <v>3.4213680000000002</v>
      </c>
      <c r="N22" s="66">
        <f t="shared" si="11"/>
        <v>3.3690192000000003</v>
      </c>
      <c r="O22" s="66">
        <f t="shared" si="16"/>
        <v>0.22460128000000001</v>
      </c>
      <c r="P22" s="66">
        <f t="shared" si="8"/>
        <v>1.6042948571428572E-2</v>
      </c>
      <c r="Q22" s="66">
        <f t="shared" si="12"/>
        <v>1.6042948571428572E-2</v>
      </c>
      <c r="R22" s="66">
        <f t="shared" si="13"/>
        <v>0.99466281142857149</v>
      </c>
      <c r="S22" s="98">
        <f>AVERAGE(R20:R22)</f>
        <v>0.98564718476190472</v>
      </c>
      <c r="T22" s="66">
        <f>STDEV(R20:R22)</f>
        <v>3.5371069728759669E-2</v>
      </c>
      <c r="U22" s="99">
        <f>T22/SQRT(3)</f>
        <v>2.042149662942442E-2</v>
      </c>
      <c r="X22" s="37"/>
    </row>
    <row r="23" spans="1:25" x14ac:dyDescent="0.15">
      <c r="A23" s="39"/>
      <c r="B23" s="197" t="s">
        <v>25</v>
      </c>
      <c r="C23" s="199">
        <v>0.4375</v>
      </c>
      <c r="D23" s="201">
        <f>47.5+D20</f>
        <v>287.5</v>
      </c>
      <c r="E23" s="201">
        <v>13</v>
      </c>
      <c r="F23" s="155" t="s">
        <v>101</v>
      </c>
      <c r="G23" s="236">
        <f>(0.078+0.076)/2</f>
        <v>7.6999999999999999E-2</v>
      </c>
      <c r="H23" s="62">
        <f>0.525-G23</f>
        <v>0.44800000000000001</v>
      </c>
      <c r="I23" s="61">
        <f>0.544-G23</f>
        <v>0.46700000000000003</v>
      </c>
      <c r="J23" s="61">
        <f>0.548-G23</f>
        <v>0.47100000000000003</v>
      </c>
      <c r="K23" s="61">
        <f t="shared" ref="K23:M25" si="17">5.4399*H23</f>
        <v>2.4370751999999998</v>
      </c>
      <c r="L23" s="61">
        <f t="shared" si="17"/>
        <v>2.5404333000000001</v>
      </c>
      <c r="M23" s="61">
        <f t="shared" si="17"/>
        <v>2.5621928999999999</v>
      </c>
      <c r="N23" s="61">
        <f t="shared" si="11"/>
        <v>2.5132338000000001</v>
      </c>
      <c r="O23" s="61">
        <f t="shared" si="16"/>
        <v>0.16754892000000002</v>
      </c>
      <c r="P23" s="61">
        <f t="shared" si="8"/>
        <v>1.1967780000000001E-2</v>
      </c>
      <c r="Q23" s="61">
        <f t="shared" si="12"/>
        <v>1.1967780000000001E-2</v>
      </c>
      <c r="R23" s="61">
        <f t="shared" si="13"/>
        <v>0.74200236000000008</v>
      </c>
      <c r="S23" s="146"/>
      <c r="T23" s="61"/>
      <c r="U23" s="73"/>
      <c r="X23" s="37"/>
    </row>
    <row r="24" spans="1:25" x14ac:dyDescent="0.15">
      <c r="A24" s="39"/>
      <c r="B24" s="197"/>
      <c r="C24" s="199"/>
      <c r="D24" s="201"/>
      <c r="E24" s="201"/>
      <c r="F24" s="155" t="s">
        <v>102</v>
      </c>
      <c r="G24" s="236"/>
      <c r="H24" s="62">
        <f>0.621-G23</f>
        <v>0.54400000000000004</v>
      </c>
      <c r="I24" s="61">
        <f>0.68-G23</f>
        <v>0.60300000000000009</v>
      </c>
      <c r="J24" s="61">
        <f>0.637-G23</f>
        <v>0.56000000000000005</v>
      </c>
      <c r="K24" s="61">
        <f t="shared" si="17"/>
        <v>2.9593056</v>
      </c>
      <c r="L24" s="61">
        <f t="shared" si="17"/>
        <v>3.2802597000000002</v>
      </c>
      <c r="M24" s="61">
        <f t="shared" si="17"/>
        <v>3.0463439999999999</v>
      </c>
      <c r="N24" s="61">
        <f t="shared" si="11"/>
        <v>3.0953031000000002</v>
      </c>
      <c r="O24" s="61">
        <f t="shared" si="16"/>
        <v>0.20635354</v>
      </c>
      <c r="P24" s="61">
        <f t="shared" si="8"/>
        <v>1.4739538571428571E-2</v>
      </c>
      <c r="Q24" s="61">
        <f t="shared" si="12"/>
        <v>1.4739538571428571E-2</v>
      </c>
      <c r="R24" s="61">
        <f t="shared" si="13"/>
        <v>0.91385139142857141</v>
      </c>
      <c r="S24" s="146"/>
      <c r="T24" s="61"/>
      <c r="U24" s="73"/>
    </row>
    <row r="25" spans="1:25" x14ac:dyDescent="0.15">
      <c r="A25" s="39"/>
      <c r="B25" s="198"/>
      <c r="C25" s="200"/>
      <c r="D25" s="202"/>
      <c r="E25" s="202"/>
      <c r="F25" s="156" t="s">
        <v>103</v>
      </c>
      <c r="G25" s="237"/>
      <c r="H25" s="65">
        <f>0.571-G23</f>
        <v>0.49399999999999994</v>
      </c>
      <c r="I25" s="66">
        <f>0.599-G23</f>
        <v>0.52200000000000002</v>
      </c>
      <c r="J25" s="66">
        <f>0.621-G23</f>
        <v>0.54400000000000004</v>
      </c>
      <c r="K25" s="66">
        <f t="shared" si="17"/>
        <v>2.6873105999999995</v>
      </c>
      <c r="L25" s="66">
        <f t="shared" si="17"/>
        <v>2.8396278000000001</v>
      </c>
      <c r="M25" s="66">
        <f t="shared" si="17"/>
        <v>2.9593056</v>
      </c>
      <c r="N25" s="66">
        <f t="shared" si="11"/>
        <v>2.8287479999999996</v>
      </c>
      <c r="O25" s="66">
        <f t="shared" si="16"/>
        <v>0.18858319999999998</v>
      </c>
      <c r="P25" s="66">
        <f t="shared" si="8"/>
        <v>1.347022857142857E-2</v>
      </c>
      <c r="Q25" s="66">
        <f t="shared" si="12"/>
        <v>1.347022857142857E-2</v>
      </c>
      <c r="R25" s="66">
        <f t="shared" si="13"/>
        <v>0.8351541714285714</v>
      </c>
      <c r="S25" s="98">
        <f>AVERAGE(R23:R25)</f>
        <v>0.83033597428571426</v>
      </c>
      <c r="T25" s="66">
        <f>STDEV(R23:R25)</f>
        <v>8.602577328054134E-2</v>
      </c>
      <c r="U25" s="99">
        <f>T25/SQRT(3)</f>
        <v>4.9667003360766258E-2</v>
      </c>
    </row>
    <row r="26" spans="1:25" x14ac:dyDescent="0.15">
      <c r="A26" s="39"/>
      <c r="B26" s="197" t="s">
        <v>27</v>
      </c>
      <c r="C26" s="199">
        <v>0.5</v>
      </c>
      <c r="D26" s="201">
        <f>97+D20</f>
        <v>337</v>
      </c>
      <c r="E26" s="201">
        <v>15</v>
      </c>
      <c r="F26" s="155" t="s">
        <v>101</v>
      </c>
      <c r="G26" s="236">
        <f>(0.082+0.074)/2</f>
        <v>7.8E-2</v>
      </c>
      <c r="H26" s="62">
        <f>0.503-G26</f>
        <v>0.42499999999999999</v>
      </c>
      <c r="I26" s="61">
        <f>0.529-G26</f>
        <v>0.45100000000000001</v>
      </c>
      <c r="J26" s="61">
        <f>0.53-G26</f>
        <v>0.45200000000000001</v>
      </c>
      <c r="K26" s="61">
        <f t="shared" ref="K26:M28" si="18">5.471*H26</f>
        <v>2.3251749999999998</v>
      </c>
      <c r="L26" s="61">
        <f t="shared" si="18"/>
        <v>2.4674210000000003</v>
      </c>
      <c r="M26" s="61">
        <f t="shared" si="18"/>
        <v>2.4728920000000003</v>
      </c>
      <c r="N26" s="61">
        <f t="shared" si="11"/>
        <v>2.4218293333333332</v>
      </c>
      <c r="O26" s="61">
        <f t="shared" si="16"/>
        <v>0.16145528888888888</v>
      </c>
      <c r="P26" s="61">
        <f t="shared" si="8"/>
        <v>1.1532520634920634E-2</v>
      </c>
      <c r="Q26" s="61">
        <f t="shared" si="12"/>
        <v>1.1532520634920634E-2</v>
      </c>
      <c r="R26" s="61">
        <f t="shared" si="13"/>
        <v>0.71501627936507939</v>
      </c>
      <c r="S26" s="97"/>
      <c r="T26" s="48"/>
      <c r="U26" s="60"/>
    </row>
    <row r="27" spans="1:25" x14ac:dyDescent="0.15">
      <c r="A27" s="39"/>
      <c r="B27" s="197"/>
      <c r="C27" s="199"/>
      <c r="D27" s="201"/>
      <c r="E27" s="201"/>
      <c r="F27" s="155" t="s">
        <v>102</v>
      </c>
      <c r="G27" s="236"/>
      <c r="H27" s="62">
        <f>0.583-G26</f>
        <v>0.505</v>
      </c>
      <c r="I27" s="61">
        <f>0.606-G26</f>
        <v>0.52800000000000002</v>
      </c>
      <c r="J27" s="61">
        <f>0.597-G26</f>
        <v>0.51900000000000002</v>
      </c>
      <c r="K27" s="61">
        <f t="shared" si="18"/>
        <v>2.7628550000000001</v>
      </c>
      <c r="L27" s="61">
        <f t="shared" si="18"/>
        <v>2.8886880000000001</v>
      </c>
      <c r="M27" s="61">
        <f t="shared" si="18"/>
        <v>2.8394490000000001</v>
      </c>
      <c r="N27" s="61">
        <f t="shared" si="11"/>
        <v>2.8303306666666668</v>
      </c>
      <c r="O27" s="61">
        <f t="shared" si="16"/>
        <v>0.18868871111111113</v>
      </c>
      <c r="P27" s="61">
        <f t="shared" si="8"/>
        <v>1.3477765079365081E-2</v>
      </c>
      <c r="Q27" s="61">
        <f t="shared" si="12"/>
        <v>1.3477765079365081E-2</v>
      </c>
      <c r="R27" s="61">
        <f t="shared" si="13"/>
        <v>0.83562143492063501</v>
      </c>
      <c r="S27" s="97"/>
      <c r="T27" s="48"/>
      <c r="U27" s="60"/>
    </row>
    <row r="28" spans="1:25" x14ac:dyDescent="0.15">
      <c r="A28" s="39"/>
      <c r="B28" s="198"/>
      <c r="C28" s="200"/>
      <c r="D28" s="202"/>
      <c r="E28" s="202"/>
      <c r="F28" s="156" t="s">
        <v>103</v>
      </c>
      <c r="G28" s="237"/>
      <c r="H28" s="65">
        <f>0.537-G26</f>
        <v>0.45900000000000002</v>
      </c>
      <c r="I28" s="66">
        <f>0.55-G26</f>
        <v>0.47200000000000003</v>
      </c>
      <c r="J28" s="66">
        <f>0.557-G26</f>
        <v>0.47900000000000004</v>
      </c>
      <c r="K28" s="66">
        <f t="shared" si="18"/>
        <v>2.5111890000000003</v>
      </c>
      <c r="L28" s="66">
        <f t="shared" si="18"/>
        <v>2.5823120000000004</v>
      </c>
      <c r="M28" s="66">
        <f t="shared" si="18"/>
        <v>2.6206090000000004</v>
      </c>
      <c r="N28" s="66">
        <f t="shared" si="11"/>
        <v>2.5713700000000004</v>
      </c>
      <c r="O28" s="66">
        <f t="shared" si="16"/>
        <v>0.1714246666666667</v>
      </c>
      <c r="P28" s="66">
        <f t="shared" si="8"/>
        <v>1.2244619047619049E-2</v>
      </c>
      <c r="Q28" s="66">
        <f t="shared" si="12"/>
        <v>1.2244619047619049E-2</v>
      </c>
      <c r="R28" s="66">
        <f t="shared" si="13"/>
        <v>0.75916638095238109</v>
      </c>
      <c r="S28" s="98">
        <f>AVERAGE(R26:R28)</f>
        <v>0.76993469841269846</v>
      </c>
      <c r="T28" s="66">
        <f>STDEV(R26:R28)</f>
        <v>6.1019409881934904E-2</v>
      </c>
      <c r="U28" s="99">
        <f>T28/SQRT(3)</f>
        <v>3.5229572721127228E-2</v>
      </c>
    </row>
    <row r="29" spans="1:25" x14ac:dyDescent="0.15">
      <c r="A29" s="39"/>
      <c r="B29" s="197" t="s">
        <v>29</v>
      </c>
      <c r="C29" s="199">
        <v>0.47916666666666669</v>
      </c>
      <c r="D29" s="201">
        <f>47.5+D26</f>
        <v>384.5</v>
      </c>
      <c r="E29" s="201">
        <v>17</v>
      </c>
      <c r="F29" s="155" t="s">
        <v>101</v>
      </c>
      <c r="G29" s="236">
        <f>(0.084+0.073)/2</f>
        <v>7.85E-2</v>
      </c>
      <c r="H29" s="62">
        <f>0.563-G29</f>
        <v>0.48449999999999993</v>
      </c>
      <c r="I29" s="61">
        <f>0.558-G29</f>
        <v>0.47950000000000004</v>
      </c>
      <c r="J29" s="61">
        <f>0.575-G29</f>
        <v>0.49649999999999994</v>
      </c>
      <c r="K29" s="61">
        <f t="shared" ref="K29:M31" si="19">5.5517*H29</f>
        <v>2.6897986499999997</v>
      </c>
      <c r="L29" s="61">
        <f t="shared" si="19"/>
        <v>2.6620401500000002</v>
      </c>
      <c r="M29" s="61">
        <f t="shared" si="19"/>
        <v>2.7564190499999999</v>
      </c>
      <c r="N29" s="61">
        <f t="shared" si="11"/>
        <v>2.7027526166666664</v>
      </c>
      <c r="O29" s="61">
        <f t="shared" ref="O29:O34" si="20">N29/20</f>
        <v>0.13513763083333333</v>
      </c>
      <c r="P29" s="61">
        <f t="shared" si="8"/>
        <v>9.6526879166666663E-3</v>
      </c>
      <c r="Q29" s="61">
        <f t="shared" si="12"/>
        <v>9.6526879166666663E-3</v>
      </c>
      <c r="R29" s="61">
        <f t="shared" si="13"/>
        <v>0.59846665083333328</v>
      </c>
      <c r="S29" s="97"/>
      <c r="T29" s="48"/>
      <c r="U29" s="60"/>
    </row>
    <row r="30" spans="1:25" x14ac:dyDescent="0.15">
      <c r="A30" s="39"/>
      <c r="B30" s="197"/>
      <c r="C30" s="199"/>
      <c r="D30" s="201"/>
      <c r="E30" s="201"/>
      <c r="F30" s="155" t="s">
        <v>102</v>
      </c>
      <c r="G30" s="236"/>
      <c r="H30" s="62">
        <f>0.622-G29</f>
        <v>0.54349999999999998</v>
      </c>
      <c r="I30" s="61">
        <f>0.632-G29</f>
        <v>0.55349999999999999</v>
      </c>
      <c r="J30" s="61">
        <f>0.634-G29</f>
        <v>0.55549999999999999</v>
      </c>
      <c r="K30" s="61">
        <f t="shared" si="19"/>
        <v>3.0173489500000001</v>
      </c>
      <c r="L30" s="61">
        <f t="shared" si="19"/>
        <v>3.0728659500000002</v>
      </c>
      <c r="M30" s="61">
        <f t="shared" si="19"/>
        <v>3.0839693500000003</v>
      </c>
      <c r="N30" s="61">
        <f t="shared" si="11"/>
        <v>3.0580614166666664</v>
      </c>
      <c r="O30" s="61">
        <f t="shared" si="20"/>
        <v>0.15290307083333332</v>
      </c>
      <c r="P30" s="61">
        <f t="shared" si="8"/>
        <v>1.0921647916666666E-2</v>
      </c>
      <c r="Q30" s="61">
        <f t="shared" si="12"/>
        <v>1.0921647916666666E-2</v>
      </c>
      <c r="R30" s="61">
        <f t="shared" si="13"/>
        <v>0.67714217083333328</v>
      </c>
      <c r="S30" s="97"/>
      <c r="T30" s="48"/>
      <c r="U30" s="60"/>
    </row>
    <row r="31" spans="1:25" x14ac:dyDescent="0.15">
      <c r="A31" s="39"/>
      <c r="B31" s="198"/>
      <c r="C31" s="200"/>
      <c r="D31" s="202"/>
      <c r="E31" s="202"/>
      <c r="F31" s="156" t="s">
        <v>103</v>
      </c>
      <c r="G31" s="237"/>
      <c r="H31" s="65">
        <f>0.566-G29</f>
        <v>0.48749999999999993</v>
      </c>
      <c r="I31" s="66">
        <f>0.602-G29</f>
        <v>0.52349999999999997</v>
      </c>
      <c r="J31" s="66">
        <f>0.594-G29</f>
        <v>0.51549999999999996</v>
      </c>
      <c r="K31" s="66">
        <f t="shared" si="19"/>
        <v>2.7064537499999997</v>
      </c>
      <c r="L31" s="66">
        <f t="shared" si="19"/>
        <v>2.9063149500000001</v>
      </c>
      <c r="M31" s="66">
        <f t="shared" si="19"/>
        <v>2.8619013500000001</v>
      </c>
      <c r="N31" s="66">
        <f t="shared" si="11"/>
        <v>2.8248900166666666</v>
      </c>
      <c r="O31" s="66">
        <f t="shared" si="20"/>
        <v>0.14124450083333334</v>
      </c>
      <c r="P31" s="66">
        <f t="shared" si="8"/>
        <v>1.0088892916666667E-2</v>
      </c>
      <c r="Q31" s="66">
        <f t="shared" si="12"/>
        <v>1.0088892916666667E-2</v>
      </c>
      <c r="R31" s="66">
        <f t="shared" si="13"/>
        <v>0.62551136083333336</v>
      </c>
      <c r="S31" s="98">
        <f>AVERAGE(R29:R31)</f>
        <v>0.63370672750000001</v>
      </c>
      <c r="T31" s="66">
        <f>STDEV(R29:R31)</f>
        <v>3.9972895665918835E-2</v>
      </c>
      <c r="U31" s="99">
        <f>T31/SQRT(3)</f>
        <v>2.3078362073007067E-2</v>
      </c>
      <c r="W31" s="100"/>
    </row>
    <row r="32" spans="1:25" x14ac:dyDescent="0.15">
      <c r="A32" s="39"/>
      <c r="B32" s="197" t="s">
        <v>31</v>
      </c>
      <c r="C32" s="199">
        <v>0.52083333333333337</v>
      </c>
      <c r="D32" s="201">
        <v>433.5</v>
      </c>
      <c r="E32" s="201">
        <v>19</v>
      </c>
      <c r="F32" s="155" t="s">
        <v>101</v>
      </c>
      <c r="G32" s="236">
        <f>(0.084+0.073)/2</f>
        <v>7.85E-2</v>
      </c>
      <c r="H32" s="62">
        <f>0.62-G32</f>
        <v>0.54149999999999998</v>
      </c>
      <c r="I32" s="61">
        <f>0.58-G32</f>
        <v>0.50149999999999995</v>
      </c>
      <c r="J32" s="61">
        <f>0.61-G32</f>
        <v>0.53149999999999997</v>
      </c>
      <c r="K32" s="61">
        <f>4.739*H32</f>
        <v>2.5661684999999999</v>
      </c>
      <c r="L32" s="61">
        <f t="shared" ref="L32:M34" si="21">4.739*I32</f>
        <v>2.3766084999999997</v>
      </c>
      <c r="M32" s="61">
        <f t="shared" si="21"/>
        <v>2.5187784999999998</v>
      </c>
      <c r="N32" s="61">
        <f t="shared" si="11"/>
        <v>2.4871851666666664</v>
      </c>
      <c r="O32" s="61">
        <f t="shared" si="20"/>
        <v>0.12435925833333332</v>
      </c>
      <c r="P32" s="61">
        <f t="shared" si="8"/>
        <v>8.8828041666666659E-3</v>
      </c>
      <c r="Q32" s="61">
        <f t="shared" si="12"/>
        <v>8.8828041666666659E-3</v>
      </c>
      <c r="R32" s="124">
        <f>Q32*62</f>
        <v>0.55073385833333333</v>
      </c>
      <c r="S32" s="97"/>
      <c r="T32" s="48"/>
      <c r="U32" s="60"/>
      <c r="W32" s="100"/>
    </row>
    <row r="33" spans="1:26" ht="15" customHeight="1" x14ac:dyDescent="0.15">
      <c r="A33" s="39"/>
      <c r="B33" s="197"/>
      <c r="C33" s="199"/>
      <c r="D33" s="201"/>
      <c r="E33" s="201"/>
      <c r="F33" s="155" t="s">
        <v>102</v>
      </c>
      <c r="G33" s="236"/>
      <c r="H33" s="62">
        <f>0.58-G32</f>
        <v>0.50149999999999995</v>
      </c>
      <c r="I33" s="61">
        <f>0.56-G32</f>
        <v>0.48150000000000004</v>
      </c>
      <c r="J33" s="61">
        <f>0.57-G32</f>
        <v>0.49149999999999994</v>
      </c>
      <c r="K33" s="61">
        <f>4.739*H33</f>
        <v>2.3766084999999997</v>
      </c>
      <c r="L33" s="61">
        <f t="shared" si="21"/>
        <v>2.2818285</v>
      </c>
      <c r="M33" s="61">
        <f t="shared" si="21"/>
        <v>2.3292184999999996</v>
      </c>
      <c r="N33" s="61">
        <f t="shared" si="11"/>
        <v>2.3292184999999996</v>
      </c>
      <c r="O33" s="61">
        <f t="shared" si="20"/>
        <v>0.11646092499999998</v>
      </c>
      <c r="P33" s="61">
        <f t="shared" si="8"/>
        <v>8.3186374999999983E-3</v>
      </c>
      <c r="Q33" s="61">
        <f t="shared" si="12"/>
        <v>8.3186374999999983E-3</v>
      </c>
      <c r="R33" s="124">
        <f>Q33*62</f>
        <v>0.51575552499999988</v>
      </c>
      <c r="S33" s="97"/>
      <c r="T33" s="48"/>
      <c r="U33" s="60"/>
      <c r="W33" s="100"/>
      <c r="X33" s="100"/>
      <c r="Z33" s="100"/>
    </row>
    <row r="34" spans="1:26" ht="16" customHeight="1" thickBot="1" x14ac:dyDescent="0.2">
      <c r="A34" s="40"/>
      <c r="B34" s="221"/>
      <c r="C34" s="222"/>
      <c r="D34" s="239"/>
      <c r="E34" s="239"/>
      <c r="F34" s="157" t="s">
        <v>103</v>
      </c>
      <c r="G34" s="238"/>
      <c r="H34" s="123">
        <f>0.61-G32</f>
        <v>0.53149999999999997</v>
      </c>
      <c r="I34" s="76">
        <f>0.6-G32</f>
        <v>0.52149999999999996</v>
      </c>
      <c r="J34" s="76">
        <f>0.64-G32</f>
        <v>0.5615</v>
      </c>
      <c r="K34" s="76">
        <f>4.739*H34</f>
        <v>2.5187784999999998</v>
      </c>
      <c r="L34" s="76">
        <f t="shared" si="21"/>
        <v>2.4713884999999998</v>
      </c>
      <c r="M34" s="76">
        <f t="shared" si="21"/>
        <v>2.6609484999999999</v>
      </c>
      <c r="N34" s="76">
        <f t="shared" si="11"/>
        <v>2.5503718333333332</v>
      </c>
      <c r="O34" s="76">
        <f t="shared" si="20"/>
        <v>0.12751859166666665</v>
      </c>
      <c r="P34" s="76">
        <f t="shared" si="8"/>
        <v>9.1084708333333316E-3</v>
      </c>
      <c r="Q34" s="76">
        <f t="shared" si="12"/>
        <v>9.1084708333333316E-3</v>
      </c>
      <c r="R34" s="125">
        <f>Q34*62</f>
        <v>0.56472519166666657</v>
      </c>
      <c r="S34" s="101">
        <f>AVERAGE(R32:R34)</f>
        <v>0.5437381916666667</v>
      </c>
      <c r="T34" s="76">
        <f>STDEV(R32:R34)</f>
        <v>2.5223234872720938E-2</v>
      </c>
      <c r="U34" s="102">
        <f>T34/SQRT(3)</f>
        <v>1.456264144359859E-2</v>
      </c>
      <c r="W34" s="100"/>
      <c r="X34" s="124"/>
      <c r="Y34" s="37"/>
      <c r="Z34" s="100"/>
    </row>
    <row r="35" spans="1:26" ht="16" customHeight="1" thickBot="1" x14ac:dyDescent="0.2">
      <c r="B35" s="194" t="s">
        <v>33</v>
      </c>
      <c r="C35" s="195"/>
      <c r="D35" s="195"/>
      <c r="E35" s="195"/>
      <c r="F35" s="195"/>
      <c r="G35" s="195"/>
      <c r="H35" s="195"/>
      <c r="I35" s="195"/>
      <c r="J35" s="195"/>
      <c r="K35" s="195"/>
      <c r="L35" s="195"/>
      <c r="M35" s="195"/>
      <c r="N35" s="195"/>
      <c r="O35" s="195"/>
      <c r="P35" s="195"/>
      <c r="Q35" s="195"/>
      <c r="R35" s="195"/>
      <c r="S35" s="195"/>
      <c r="T35" s="195"/>
      <c r="U35" s="196"/>
      <c r="W35" s="227" t="s">
        <v>107</v>
      </c>
      <c r="X35" s="227"/>
      <c r="Y35" s="227"/>
    </row>
    <row r="36" spans="1:26" ht="30" x14ac:dyDescent="0.15">
      <c r="A36" s="39"/>
      <c r="B36" s="137" t="s">
        <v>2</v>
      </c>
      <c r="C36" s="82" t="s">
        <v>3</v>
      </c>
      <c r="D36" s="82" t="s">
        <v>4</v>
      </c>
      <c r="E36" s="127" t="s">
        <v>44</v>
      </c>
      <c r="F36" s="138"/>
      <c r="G36" s="138" t="s">
        <v>45</v>
      </c>
      <c r="H36" s="232" t="s">
        <v>80</v>
      </c>
      <c r="I36" s="233"/>
      <c r="J36" s="233"/>
      <c r="K36" s="234" t="s">
        <v>81</v>
      </c>
      <c r="L36" s="234"/>
      <c r="M36" s="234"/>
      <c r="N36" s="82" t="s">
        <v>46</v>
      </c>
      <c r="O36" s="82" t="s">
        <v>47</v>
      </c>
      <c r="P36" s="82" t="s">
        <v>47</v>
      </c>
      <c r="Q36" s="82" t="s">
        <v>59</v>
      </c>
      <c r="R36" s="127" t="s">
        <v>59</v>
      </c>
      <c r="S36" s="82" t="s">
        <v>60</v>
      </c>
      <c r="T36" s="82" t="s">
        <v>73</v>
      </c>
      <c r="U36" s="122" t="s">
        <v>62</v>
      </c>
      <c r="W36" s="48" t="s">
        <v>4</v>
      </c>
      <c r="X36" s="48" t="str">
        <f>S37</f>
        <v>g/L</v>
      </c>
      <c r="Y36" s="48" t="s">
        <v>38</v>
      </c>
    </row>
    <row r="37" spans="1:26" x14ac:dyDescent="0.15">
      <c r="A37" s="39"/>
      <c r="B37" s="53"/>
      <c r="C37" s="57"/>
      <c r="D37" s="57"/>
      <c r="E37" s="56"/>
      <c r="F37" s="139"/>
      <c r="G37" s="139"/>
      <c r="H37" s="235" t="s">
        <v>39</v>
      </c>
      <c r="I37" s="203"/>
      <c r="J37" s="204"/>
      <c r="K37" s="228" t="s">
        <v>48</v>
      </c>
      <c r="L37" s="203"/>
      <c r="M37" s="204"/>
      <c r="N37" s="57" t="s">
        <v>48</v>
      </c>
      <c r="O37" s="57" t="s">
        <v>12</v>
      </c>
      <c r="P37" s="57" t="s">
        <v>82</v>
      </c>
      <c r="Q37" s="57" t="s">
        <v>82</v>
      </c>
      <c r="R37" s="56" t="s">
        <v>12</v>
      </c>
      <c r="S37" s="57" t="s">
        <v>12</v>
      </c>
      <c r="T37" s="57"/>
      <c r="U37" s="55"/>
      <c r="W37" s="48">
        <v>0</v>
      </c>
      <c r="X37" s="61">
        <f>S40</f>
        <v>1.5779717625396827</v>
      </c>
      <c r="Y37" s="61">
        <f>U40</f>
        <v>2.0796836513733218E-2</v>
      </c>
    </row>
    <row r="38" spans="1:26" x14ac:dyDescent="0.15">
      <c r="A38" s="39"/>
      <c r="B38" s="197" t="s">
        <v>13</v>
      </c>
      <c r="C38" s="199">
        <v>0.45833333333333331</v>
      </c>
      <c r="D38" s="201">
        <v>0</v>
      </c>
      <c r="E38" s="201">
        <v>1</v>
      </c>
      <c r="F38" s="155" t="s">
        <v>101</v>
      </c>
      <c r="G38" s="236">
        <f>(0.074+0.078)/2</f>
        <v>7.5999999999999998E-2</v>
      </c>
      <c r="H38" s="62">
        <f>0.733-G38</f>
        <v>0.65700000000000003</v>
      </c>
      <c r="I38" s="61">
        <f>0.748-G38</f>
        <v>0.67200000000000004</v>
      </c>
      <c r="J38" s="61">
        <f>0.755-G38</f>
        <v>0.67900000000000005</v>
      </c>
      <c r="K38" s="61">
        <f>5.1832*H38</f>
        <v>3.4053624000000005</v>
      </c>
      <c r="L38" s="61">
        <f t="shared" ref="L38:M40" si="22">5.1832*I38</f>
        <v>3.4831104000000006</v>
      </c>
      <c r="M38" s="61">
        <f t="shared" si="22"/>
        <v>3.5193928000000003</v>
      </c>
      <c r="N38" s="61">
        <f t="shared" ref="N38:N47" si="23">AVERAGE(K38:M38)</f>
        <v>3.4692885333333336</v>
      </c>
      <c r="O38" s="61">
        <f>N38/10</f>
        <v>0.34692885333333334</v>
      </c>
      <c r="P38" s="61">
        <f t="shared" ref="P38:P44" si="24">O38/14</f>
        <v>2.4780632380952381E-2</v>
      </c>
      <c r="Q38" s="61">
        <f t="shared" ref="Q38:Q47" si="25">P38</f>
        <v>2.4780632380952381E-2</v>
      </c>
      <c r="R38" s="61">
        <f t="shared" ref="R38:R47" si="26">Q38*62</f>
        <v>1.5363992076190476</v>
      </c>
      <c r="S38" s="97"/>
      <c r="T38" s="48"/>
      <c r="U38" s="60"/>
      <c r="W38" s="48">
        <f>D41</f>
        <v>48</v>
      </c>
      <c r="X38" s="61">
        <f>S43</f>
        <v>1.558376793756614</v>
      </c>
      <c r="Y38" s="61">
        <f>U43</f>
        <v>5.9583396472128666E-3</v>
      </c>
    </row>
    <row r="39" spans="1:26" x14ac:dyDescent="0.15">
      <c r="A39" s="39"/>
      <c r="B39" s="197"/>
      <c r="C39" s="199"/>
      <c r="D39" s="201"/>
      <c r="E39" s="201"/>
      <c r="F39" s="155" t="s">
        <v>102</v>
      </c>
      <c r="G39" s="236"/>
      <c r="H39" s="62">
        <f>0.745-G38</f>
        <v>0.66900000000000004</v>
      </c>
      <c r="I39" s="61">
        <f>0.813-G38</f>
        <v>0.73699999999999999</v>
      </c>
      <c r="J39" s="61">
        <f>0.761-G38</f>
        <v>0.68500000000000005</v>
      </c>
      <c r="K39" s="61">
        <f>5.1832*H39</f>
        <v>3.4675608000000002</v>
      </c>
      <c r="L39" s="61">
        <f t="shared" si="22"/>
        <v>3.8200183999999999</v>
      </c>
      <c r="M39" s="61">
        <f t="shared" si="22"/>
        <v>3.5504920000000006</v>
      </c>
      <c r="N39" s="61">
        <f t="shared" si="23"/>
        <v>3.6126904</v>
      </c>
      <c r="O39" s="61">
        <f>N39/10</f>
        <v>0.36126903999999999</v>
      </c>
      <c r="P39" s="61">
        <f t="shared" si="24"/>
        <v>2.5804931428571428E-2</v>
      </c>
      <c r="Q39" s="61">
        <f t="shared" si="25"/>
        <v>2.5804931428571428E-2</v>
      </c>
      <c r="R39" s="61">
        <f t="shared" si="26"/>
        <v>1.5999057485714285</v>
      </c>
      <c r="S39" s="97"/>
      <c r="T39" s="48"/>
      <c r="U39" s="60"/>
      <c r="W39" s="48">
        <f>D44</f>
        <v>96.5</v>
      </c>
      <c r="X39" s="61">
        <f>S46</f>
        <v>1.358709271005291</v>
      </c>
      <c r="Y39" s="61">
        <f>U46</f>
        <v>7.3857697739000104E-3</v>
      </c>
    </row>
    <row r="40" spans="1:26" x14ac:dyDescent="0.15">
      <c r="A40" s="39"/>
      <c r="B40" s="198"/>
      <c r="C40" s="200"/>
      <c r="D40" s="202"/>
      <c r="E40" s="202"/>
      <c r="F40" s="156" t="s">
        <v>103</v>
      </c>
      <c r="G40" s="237"/>
      <c r="H40" s="65">
        <f>0.744-G38</f>
        <v>0.66800000000000004</v>
      </c>
      <c r="I40" s="66">
        <f>0.794-G38</f>
        <v>0.71800000000000008</v>
      </c>
      <c r="J40" s="66">
        <f>0.778-G38</f>
        <v>0.70200000000000007</v>
      </c>
      <c r="K40" s="66">
        <f>5.1832*H40</f>
        <v>3.4623776000000004</v>
      </c>
      <c r="L40" s="66">
        <f t="shared" si="22"/>
        <v>3.7215376000000004</v>
      </c>
      <c r="M40" s="66">
        <f t="shared" si="22"/>
        <v>3.6386064000000005</v>
      </c>
      <c r="N40" s="66">
        <f t="shared" si="23"/>
        <v>3.6075072000000006</v>
      </c>
      <c r="O40" s="66">
        <f>N40/10</f>
        <v>0.36075072000000008</v>
      </c>
      <c r="P40" s="66">
        <f t="shared" si="24"/>
        <v>2.5767908571428577E-2</v>
      </c>
      <c r="Q40" s="66">
        <f t="shared" si="25"/>
        <v>2.5767908571428577E-2</v>
      </c>
      <c r="R40" s="66">
        <f t="shared" si="26"/>
        <v>1.5976103314285717</v>
      </c>
      <c r="S40" s="98">
        <f>AVERAGE(R38:R40)</f>
        <v>1.5779717625396827</v>
      </c>
      <c r="T40" s="66">
        <f>STDEV(R38:R40)</f>
        <v>3.6021177478489534E-2</v>
      </c>
      <c r="U40" s="99">
        <f>T40/SQRT(3)</f>
        <v>2.0796836513733218E-2</v>
      </c>
      <c r="W40" s="48">
        <f>D47</f>
        <v>144.5</v>
      </c>
      <c r="X40" s="61">
        <f>S49</f>
        <v>1.2966724876190476</v>
      </c>
      <c r="Y40" s="61">
        <f>U49</f>
        <v>1.1035208161871812E-2</v>
      </c>
    </row>
    <row r="41" spans="1:26" x14ac:dyDescent="0.15">
      <c r="A41" s="39"/>
      <c r="B41" s="197" t="s">
        <v>15</v>
      </c>
      <c r="C41" s="199">
        <v>0.4548611111111111</v>
      </c>
      <c r="D41" s="201">
        <f>48+D38</f>
        <v>48</v>
      </c>
      <c r="E41" s="201">
        <v>3</v>
      </c>
      <c r="F41" s="155" t="s">
        <v>101</v>
      </c>
      <c r="G41" s="236">
        <f>(0.073+0.071)/2</f>
        <v>7.1999999999999995E-2</v>
      </c>
      <c r="H41" s="62">
        <f>1.053-G41</f>
        <v>0.98099999999999998</v>
      </c>
      <c r="I41" s="61">
        <f>1.063-G41</f>
        <v>0.99099999999999999</v>
      </c>
      <c r="J41" s="61">
        <f>1.042-G41</f>
        <v>0.97000000000000008</v>
      </c>
      <c r="K41" s="61">
        <f>5.3491*H41</f>
        <v>5.2474670999999997</v>
      </c>
      <c r="L41" s="61">
        <f t="shared" ref="L41:M43" si="27">5.3491*I41</f>
        <v>5.3009580999999999</v>
      </c>
      <c r="M41" s="61">
        <f t="shared" si="27"/>
        <v>5.1886270000000003</v>
      </c>
      <c r="N41" s="61">
        <f t="shared" si="23"/>
        <v>5.2456840666666666</v>
      </c>
      <c r="O41" s="61">
        <f t="shared" ref="O41:O61" si="28">N41/15</f>
        <v>0.34971227111111108</v>
      </c>
      <c r="P41" s="61">
        <f t="shared" si="24"/>
        <v>2.4979447936507936E-2</v>
      </c>
      <c r="Q41" s="61">
        <f t="shared" si="25"/>
        <v>2.4979447936507936E-2</v>
      </c>
      <c r="R41" s="61">
        <f t="shared" si="26"/>
        <v>1.5487257720634919</v>
      </c>
      <c r="S41" s="146"/>
      <c r="T41" s="61"/>
      <c r="U41" s="73"/>
      <c r="W41" s="48">
        <f>D50</f>
        <v>192</v>
      </c>
      <c r="X41" s="61">
        <f>S52</f>
        <v>1.1988560422222223</v>
      </c>
      <c r="Y41" s="61">
        <f>U52</f>
        <v>3.3177303981398704E-2</v>
      </c>
    </row>
    <row r="42" spans="1:26" x14ac:dyDescent="0.15">
      <c r="A42" s="39"/>
      <c r="B42" s="197"/>
      <c r="C42" s="199"/>
      <c r="D42" s="201"/>
      <c r="E42" s="201"/>
      <c r="F42" s="155" t="s">
        <v>102</v>
      </c>
      <c r="G42" s="236"/>
      <c r="H42" s="62">
        <f>1.046-G41</f>
        <v>0.97400000000000009</v>
      </c>
      <c r="I42" s="61">
        <f>1.084-G41</f>
        <v>1.012</v>
      </c>
      <c r="J42" s="61">
        <f>1.044-G41</f>
        <v>0.97200000000000009</v>
      </c>
      <c r="K42" s="61">
        <f>5.3491*H42</f>
        <v>5.2100234000000007</v>
      </c>
      <c r="L42" s="61">
        <f t="shared" si="27"/>
        <v>5.4132892000000004</v>
      </c>
      <c r="M42" s="61">
        <f t="shared" si="27"/>
        <v>5.1993252000000005</v>
      </c>
      <c r="N42" s="61">
        <f t="shared" si="23"/>
        <v>5.2742126000000011</v>
      </c>
      <c r="O42" s="61">
        <f t="shared" si="28"/>
        <v>0.35161417333333339</v>
      </c>
      <c r="P42" s="61">
        <f t="shared" si="24"/>
        <v>2.51152980952381E-2</v>
      </c>
      <c r="Q42" s="61">
        <f t="shared" si="25"/>
        <v>2.51152980952381E-2</v>
      </c>
      <c r="R42" s="61">
        <f t="shared" si="26"/>
        <v>1.5571484819047623</v>
      </c>
      <c r="S42" s="146"/>
      <c r="T42" s="61"/>
      <c r="U42" s="73"/>
      <c r="W42" s="48">
        <f>D53</f>
        <v>240</v>
      </c>
      <c r="X42" s="61">
        <f>S55</f>
        <v>1.0956746285714283</v>
      </c>
      <c r="Y42" s="61">
        <f>U55</f>
        <v>1.8985125242095603E-2</v>
      </c>
    </row>
    <row r="43" spans="1:26" x14ac:dyDescent="0.15">
      <c r="A43" s="39"/>
      <c r="B43" s="198"/>
      <c r="C43" s="200"/>
      <c r="D43" s="202"/>
      <c r="E43" s="202"/>
      <c r="F43" s="156" t="s">
        <v>103</v>
      </c>
      <c r="G43" s="237"/>
      <c r="H43" s="65">
        <f>1.062-G41</f>
        <v>0.9900000000000001</v>
      </c>
      <c r="I43" s="66">
        <f>1.071-G41</f>
        <v>0.999</v>
      </c>
      <c r="J43" s="66">
        <f>1.064-G41</f>
        <v>0.9920000000000001</v>
      </c>
      <c r="K43" s="66">
        <f>5.3491*H43</f>
        <v>5.2956090000000007</v>
      </c>
      <c r="L43" s="66">
        <f t="shared" si="27"/>
        <v>5.3437508999999999</v>
      </c>
      <c r="M43" s="66">
        <f t="shared" si="27"/>
        <v>5.3063072000000009</v>
      </c>
      <c r="N43" s="66">
        <f t="shared" si="23"/>
        <v>5.3152223666666671</v>
      </c>
      <c r="O43" s="66">
        <f t="shared" si="28"/>
        <v>0.35434815777777778</v>
      </c>
      <c r="P43" s="66">
        <f t="shared" si="24"/>
        <v>2.5310582698412697E-2</v>
      </c>
      <c r="Q43" s="66">
        <f t="shared" si="25"/>
        <v>2.5310582698412697E-2</v>
      </c>
      <c r="R43" s="66">
        <f t="shared" si="26"/>
        <v>1.5692561273015873</v>
      </c>
      <c r="S43" s="98">
        <f>AVERAGE(R41:R43)</f>
        <v>1.558376793756614</v>
      </c>
      <c r="T43" s="66">
        <f>STDEV(R41:R43)</f>
        <v>1.0320146997724704E-2</v>
      </c>
      <c r="U43" s="99">
        <f>T43/SQRT(3)</f>
        <v>5.9583396472128666E-3</v>
      </c>
      <c r="W43" s="48">
        <f>D56</f>
        <v>287.5</v>
      </c>
      <c r="X43" s="61">
        <f>S58</f>
        <v>0.93615785968253984</v>
      </c>
      <c r="Y43" s="61">
        <f>U58</f>
        <v>2.1503990737411671E-2</v>
      </c>
    </row>
    <row r="44" spans="1:26" x14ac:dyDescent="0.15">
      <c r="A44" s="39"/>
      <c r="B44" s="197" t="s">
        <v>17</v>
      </c>
      <c r="C44" s="199">
        <v>0.47916666666666669</v>
      </c>
      <c r="D44" s="201">
        <f>48.5+D41</f>
        <v>96.5</v>
      </c>
      <c r="E44" s="201">
        <v>5</v>
      </c>
      <c r="F44" s="155" t="s">
        <v>101</v>
      </c>
      <c r="G44" s="236">
        <f>(0.085+0.074)/2</f>
        <v>7.9500000000000001E-2</v>
      </c>
      <c r="H44" s="62">
        <f>0.955-G44</f>
        <v>0.87549999999999994</v>
      </c>
      <c r="I44" s="61">
        <f>0.988-G44</f>
        <v>0.90849999999999997</v>
      </c>
      <c r="J44" s="61">
        <f>0.999-G44</f>
        <v>0.91949999999999998</v>
      </c>
      <c r="K44" s="61">
        <f>5.0662*H44</f>
        <v>4.4354581</v>
      </c>
      <c r="L44" s="61">
        <f t="shared" ref="L44:M46" si="29">5.0662*I44</f>
        <v>4.6026427000000005</v>
      </c>
      <c r="M44" s="61">
        <f t="shared" si="29"/>
        <v>4.6583709000000004</v>
      </c>
      <c r="N44" s="61">
        <f t="shared" si="23"/>
        <v>4.565490566666667</v>
      </c>
      <c r="O44" s="61">
        <f t="shared" si="28"/>
        <v>0.30436603777777782</v>
      </c>
      <c r="P44" s="61">
        <f t="shared" si="24"/>
        <v>2.1740431269841272E-2</v>
      </c>
      <c r="Q44" s="61">
        <f t="shared" si="25"/>
        <v>2.1740431269841272E-2</v>
      </c>
      <c r="R44" s="61">
        <f t="shared" si="26"/>
        <v>1.3479067387301589</v>
      </c>
      <c r="S44" s="146"/>
      <c r="T44" s="61"/>
      <c r="U44" s="73"/>
      <c r="W44" s="48">
        <f>D59</f>
        <v>337</v>
      </c>
      <c r="X44" s="61">
        <f>S61</f>
        <v>0.87510526560846558</v>
      </c>
      <c r="Y44" s="61">
        <f>U61</f>
        <v>2.3942527798083417E-2</v>
      </c>
    </row>
    <row r="45" spans="1:26" ht="15" customHeight="1" x14ac:dyDescent="0.15">
      <c r="A45" s="39"/>
      <c r="B45" s="197"/>
      <c r="C45" s="199"/>
      <c r="D45" s="201"/>
      <c r="E45" s="201"/>
      <c r="F45" s="155" t="s">
        <v>102</v>
      </c>
      <c r="G45" s="236"/>
      <c r="H45" s="62">
        <f>0.975-G44</f>
        <v>0.89549999999999996</v>
      </c>
      <c r="I45" s="61">
        <f>1.015-G44</f>
        <v>0.93549999999999989</v>
      </c>
      <c r="J45" s="61">
        <f>1.002-G44</f>
        <v>0.92249999999999999</v>
      </c>
      <c r="K45" s="61">
        <f>5.0662*H45</f>
        <v>4.5367820999999999</v>
      </c>
      <c r="L45" s="61">
        <f t="shared" si="29"/>
        <v>4.7394300999999999</v>
      </c>
      <c r="M45" s="61">
        <f t="shared" si="29"/>
        <v>4.6735695000000002</v>
      </c>
      <c r="N45" s="61">
        <f t="shared" si="23"/>
        <v>4.649927233333333</v>
      </c>
      <c r="O45" s="61">
        <f t="shared" si="28"/>
        <v>0.30999514888888885</v>
      </c>
      <c r="P45" s="61">
        <f t="shared" ref="P45:P67" si="30">O45/14</f>
        <v>2.2142510634920631E-2</v>
      </c>
      <c r="Q45" s="61">
        <f t="shared" si="25"/>
        <v>2.2142510634920631E-2</v>
      </c>
      <c r="R45" s="61">
        <f t="shared" si="26"/>
        <v>1.372835659365079</v>
      </c>
      <c r="S45" s="146"/>
      <c r="T45" s="61"/>
      <c r="U45" s="73"/>
      <c r="W45" s="48">
        <f>D62</f>
        <v>384.5</v>
      </c>
      <c r="X45" s="61">
        <f>S64</f>
        <v>0.74489053527777782</v>
      </c>
      <c r="Y45" s="61">
        <f>U64</f>
        <v>1.6214496072764123E-2</v>
      </c>
    </row>
    <row r="46" spans="1:26" ht="15" customHeight="1" x14ac:dyDescent="0.15">
      <c r="A46" s="39"/>
      <c r="B46" s="198"/>
      <c r="C46" s="200"/>
      <c r="D46" s="202"/>
      <c r="E46" s="202"/>
      <c r="F46" s="156" t="s">
        <v>103</v>
      </c>
      <c r="G46" s="237"/>
      <c r="H46" s="65">
        <f>0.961-G44</f>
        <v>0.88149999999999995</v>
      </c>
      <c r="I46" s="66">
        <f>0.995-G44</f>
        <v>0.91549999999999998</v>
      </c>
      <c r="J46" s="66">
        <f>1.001-G44</f>
        <v>0.92149999999999987</v>
      </c>
      <c r="K46" s="66">
        <f>5.0662*H46</f>
        <v>4.4658553000000003</v>
      </c>
      <c r="L46" s="66">
        <f t="shared" si="29"/>
        <v>4.6381060999999999</v>
      </c>
      <c r="M46" s="66">
        <f t="shared" si="29"/>
        <v>4.6685032999999994</v>
      </c>
      <c r="N46" s="66">
        <f t="shared" si="23"/>
        <v>4.5908215666666665</v>
      </c>
      <c r="O46" s="66">
        <f t="shared" si="28"/>
        <v>0.30605477111111112</v>
      </c>
      <c r="P46" s="66">
        <f t="shared" si="30"/>
        <v>2.1861055079365081E-2</v>
      </c>
      <c r="Q46" s="66">
        <f t="shared" si="25"/>
        <v>2.1861055079365081E-2</v>
      </c>
      <c r="R46" s="66">
        <f t="shared" si="26"/>
        <v>1.355385414920635</v>
      </c>
      <c r="S46" s="98">
        <f>AVERAGE(R44:R46)</f>
        <v>1.358709271005291</v>
      </c>
      <c r="T46" s="66">
        <f>STDEV(R44:R46)</f>
        <v>1.2792528501401317E-2</v>
      </c>
      <c r="U46" s="99">
        <f>T46/SQRT(3)</f>
        <v>7.3857697739000104E-3</v>
      </c>
      <c r="W46" s="48">
        <f>D65</f>
        <v>433.5</v>
      </c>
      <c r="X46" s="61">
        <f>S67</f>
        <v>0.51493936388888883</v>
      </c>
      <c r="Y46" s="61">
        <f>U67</f>
        <v>3.6310887112975303E-2</v>
      </c>
    </row>
    <row r="47" spans="1:26" x14ac:dyDescent="0.15">
      <c r="A47" s="39"/>
      <c r="B47" s="197" t="s">
        <v>19</v>
      </c>
      <c r="C47" s="199">
        <v>0.47916666666666669</v>
      </c>
      <c r="D47" s="201">
        <f>48+D44</f>
        <v>144.5</v>
      </c>
      <c r="E47" s="201">
        <v>7</v>
      </c>
      <c r="F47" s="155" t="s">
        <v>101</v>
      </c>
      <c r="G47" s="236">
        <f>(0.095+0.082)/2</f>
        <v>8.8499999999999995E-2</v>
      </c>
      <c r="H47" s="62">
        <f>0.917-G47</f>
        <v>0.82850000000000001</v>
      </c>
      <c r="I47" s="61">
        <f>0.927-G47</f>
        <v>0.83850000000000002</v>
      </c>
      <c r="J47" s="61">
        <f>0.91-G47</f>
        <v>0.82150000000000001</v>
      </c>
      <c r="K47" s="61">
        <f>5.3376*H47</f>
        <v>4.4222016000000002</v>
      </c>
      <c r="L47" s="61">
        <f t="shared" ref="L47:M49" si="31">5.3376*I47</f>
        <v>4.4755776000000003</v>
      </c>
      <c r="M47" s="61">
        <f t="shared" si="31"/>
        <v>4.3848384000000005</v>
      </c>
      <c r="N47" s="61">
        <f t="shared" si="23"/>
        <v>4.4275392000000009</v>
      </c>
      <c r="O47" s="61">
        <f t="shared" si="28"/>
        <v>0.29516928000000003</v>
      </c>
      <c r="P47" s="61">
        <f t="shared" si="30"/>
        <v>2.1083520000000001E-2</v>
      </c>
      <c r="Q47" s="61">
        <f t="shared" si="25"/>
        <v>2.1083520000000001E-2</v>
      </c>
      <c r="R47" s="61">
        <f t="shared" si="26"/>
        <v>1.30717824</v>
      </c>
      <c r="S47" s="97"/>
      <c r="T47" s="48"/>
      <c r="U47" s="60"/>
    </row>
    <row r="48" spans="1:26" x14ac:dyDescent="0.15">
      <c r="B48" s="197"/>
      <c r="C48" s="199"/>
      <c r="D48" s="201"/>
      <c r="E48" s="201"/>
      <c r="F48" s="155" t="s">
        <v>102</v>
      </c>
      <c r="G48" s="236"/>
      <c r="H48" s="62">
        <f>0.879-G47</f>
        <v>0.79049999999999998</v>
      </c>
      <c r="I48" s="61">
        <f>0.943-G47</f>
        <v>0.85449999999999993</v>
      </c>
      <c r="J48" s="61">
        <f>0.934-G47</f>
        <v>0.84550000000000003</v>
      </c>
      <c r="K48" s="61">
        <f>5.3376*H48</f>
        <v>4.2193728000000004</v>
      </c>
      <c r="L48" s="61">
        <f t="shared" si="31"/>
        <v>4.5609791999999993</v>
      </c>
      <c r="M48" s="61">
        <f t="shared" si="31"/>
        <v>4.5129408</v>
      </c>
      <c r="N48" s="61">
        <f t="shared" ref="N48:N67" si="32">AVERAGE(K48:M48)</f>
        <v>4.4310976000000002</v>
      </c>
      <c r="O48" s="61">
        <f t="shared" si="28"/>
        <v>0.29540650666666668</v>
      </c>
      <c r="P48" s="61">
        <f t="shared" si="30"/>
        <v>2.1100464761904764E-2</v>
      </c>
      <c r="Q48" s="61">
        <f t="shared" ref="Q48:Q67" si="33">P48</f>
        <v>2.1100464761904764E-2</v>
      </c>
      <c r="R48" s="61">
        <f t="shared" ref="R48:R64" si="34">Q48*62</f>
        <v>1.3082288152380954</v>
      </c>
      <c r="S48" s="97"/>
      <c r="T48" s="48"/>
      <c r="U48" s="60"/>
    </row>
    <row r="49" spans="2:21" x14ac:dyDescent="0.15">
      <c r="B49" s="198"/>
      <c r="C49" s="200"/>
      <c r="D49" s="202"/>
      <c r="E49" s="202"/>
      <c r="F49" s="156" t="s">
        <v>103</v>
      </c>
      <c r="G49" s="237"/>
      <c r="H49" s="65">
        <f>0.895-G47</f>
        <v>0.80649999999999999</v>
      </c>
      <c r="I49" s="66">
        <f>0.909-G47</f>
        <v>0.82050000000000001</v>
      </c>
      <c r="J49" s="66">
        <f>0.888-G47</f>
        <v>0.79949999999999999</v>
      </c>
      <c r="K49" s="66">
        <f>5.3376*H49</f>
        <v>4.3047744000000003</v>
      </c>
      <c r="L49" s="66">
        <f t="shared" si="31"/>
        <v>4.3795007999999997</v>
      </c>
      <c r="M49" s="66">
        <f t="shared" si="31"/>
        <v>4.2674111999999997</v>
      </c>
      <c r="N49" s="66">
        <f t="shared" si="32"/>
        <v>4.3172287999999996</v>
      </c>
      <c r="O49" s="66">
        <f t="shared" si="28"/>
        <v>0.2878152533333333</v>
      </c>
      <c r="P49" s="66">
        <f t="shared" si="30"/>
        <v>2.055823238095238E-2</v>
      </c>
      <c r="Q49" s="66">
        <f t="shared" si="33"/>
        <v>2.055823238095238E-2</v>
      </c>
      <c r="R49" s="66">
        <f t="shared" si="34"/>
        <v>1.2746104076190476</v>
      </c>
      <c r="S49" s="98">
        <f>AVERAGE(R47:R49)</f>
        <v>1.2966724876190476</v>
      </c>
      <c r="T49" s="66">
        <f>STDEV(R47:R49)</f>
        <v>1.9113541208460736E-2</v>
      </c>
      <c r="U49" s="99">
        <f>T49/SQRT(3)</f>
        <v>1.1035208161871812E-2</v>
      </c>
    </row>
    <row r="50" spans="2:21" x14ac:dyDescent="0.15">
      <c r="B50" s="197" t="s">
        <v>21</v>
      </c>
      <c r="C50" s="199">
        <v>0.45833333333333331</v>
      </c>
      <c r="D50" s="201">
        <f>47.5+D47</f>
        <v>192</v>
      </c>
      <c r="E50" s="201">
        <v>9</v>
      </c>
      <c r="F50" s="155" t="s">
        <v>101</v>
      </c>
      <c r="G50" s="236">
        <f>(0.081+0.075)/2</f>
        <v>7.8E-2</v>
      </c>
      <c r="H50" s="62">
        <f>0.783-G50</f>
        <v>0.70500000000000007</v>
      </c>
      <c r="I50" s="61">
        <f>0.814-G50</f>
        <v>0.73599999999999999</v>
      </c>
      <c r="J50" s="61">
        <f>0.848-G50</f>
        <v>0.77</v>
      </c>
      <c r="K50" s="61">
        <f>5.4327*H50</f>
        <v>3.8300535</v>
      </c>
      <c r="L50" s="61">
        <f t="shared" ref="L50:M52" si="35">5.4327*I50</f>
        <v>3.9984671999999999</v>
      </c>
      <c r="M50" s="61">
        <f t="shared" si="35"/>
        <v>4.183179</v>
      </c>
      <c r="N50" s="61">
        <f t="shared" si="32"/>
        <v>4.0038999000000004</v>
      </c>
      <c r="O50" s="61">
        <f t="shared" si="28"/>
        <v>0.26692666000000004</v>
      </c>
      <c r="P50" s="61">
        <f t="shared" si="30"/>
        <v>1.9066190000000004E-2</v>
      </c>
      <c r="Q50" s="61">
        <f t="shared" si="33"/>
        <v>1.9066190000000004E-2</v>
      </c>
      <c r="R50" s="61">
        <f t="shared" si="34"/>
        <v>1.1821037800000003</v>
      </c>
      <c r="S50" s="97"/>
      <c r="T50" s="48"/>
      <c r="U50" s="60"/>
    </row>
    <row r="51" spans="2:21" x14ac:dyDescent="0.15">
      <c r="B51" s="197"/>
      <c r="C51" s="199"/>
      <c r="D51" s="201"/>
      <c r="E51" s="201"/>
      <c r="F51" s="155" t="s">
        <v>102</v>
      </c>
      <c r="G51" s="236"/>
      <c r="H51" s="62">
        <f>0.827-G50</f>
        <v>0.749</v>
      </c>
      <c r="I51" s="61">
        <f>0.86-G50</f>
        <v>0.78200000000000003</v>
      </c>
      <c r="J51" s="61">
        <f>0.909-G50</f>
        <v>0.83100000000000007</v>
      </c>
      <c r="K51" s="61">
        <f>5.4327*H51</f>
        <v>4.0690922999999994</v>
      </c>
      <c r="L51" s="61">
        <f t="shared" si="35"/>
        <v>4.2483713999999999</v>
      </c>
      <c r="M51" s="61">
        <f t="shared" si="35"/>
        <v>4.5145736999999997</v>
      </c>
      <c r="N51" s="61">
        <f t="shared" si="32"/>
        <v>4.2773458</v>
      </c>
      <c r="O51" s="61">
        <f t="shared" si="28"/>
        <v>0.28515638666666665</v>
      </c>
      <c r="P51" s="61">
        <f t="shared" si="30"/>
        <v>2.0368313333333332E-2</v>
      </c>
      <c r="Q51" s="61">
        <f t="shared" si="33"/>
        <v>2.0368313333333332E-2</v>
      </c>
      <c r="R51" s="61">
        <f t="shared" si="34"/>
        <v>1.2628354266666666</v>
      </c>
      <c r="S51" s="97"/>
      <c r="T51" s="48"/>
      <c r="U51" s="60"/>
    </row>
    <row r="52" spans="2:21" x14ac:dyDescent="0.15">
      <c r="B52" s="198"/>
      <c r="C52" s="200"/>
      <c r="D52" s="202"/>
      <c r="E52" s="202"/>
      <c r="F52" s="156" t="s">
        <v>103</v>
      </c>
      <c r="G52" s="237"/>
      <c r="H52" s="65">
        <f>0.775-G50</f>
        <v>0.69700000000000006</v>
      </c>
      <c r="I52" s="66">
        <f>0.8-G50</f>
        <v>0.72200000000000009</v>
      </c>
      <c r="J52" s="66">
        <f>0.813-G50</f>
        <v>0.73499999999999999</v>
      </c>
      <c r="K52" s="66">
        <f>5.4327*H52</f>
        <v>3.7865918999999999</v>
      </c>
      <c r="L52" s="66">
        <f t="shared" si="35"/>
        <v>3.9224094000000003</v>
      </c>
      <c r="M52" s="66">
        <f t="shared" si="35"/>
        <v>3.9930344999999998</v>
      </c>
      <c r="N52" s="66">
        <f t="shared" si="32"/>
        <v>3.9006786000000004</v>
      </c>
      <c r="O52" s="66">
        <f t="shared" si="28"/>
        <v>0.26004524000000001</v>
      </c>
      <c r="P52" s="66">
        <f t="shared" si="30"/>
        <v>1.857466E-2</v>
      </c>
      <c r="Q52" s="66">
        <f t="shared" si="33"/>
        <v>1.857466E-2</v>
      </c>
      <c r="R52" s="66">
        <f t="shared" si="34"/>
        <v>1.1516289200000001</v>
      </c>
      <c r="S52" s="98">
        <f>AVERAGE(R50:R52)</f>
        <v>1.1988560422222223</v>
      </c>
      <c r="T52" s="66">
        <f>STDEV(R50:R52)</f>
        <v>5.7464776153939752E-2</v>
      </c>
      <c r="U52" s="99">
        <f>T52/SQRT(3)</f>
        <v>3.3177303981398704E-2</v>
      </c>
    </row>
    <row r="53" spans="2:21" x14ac:dyDescent="0.15">
      <c r="B53" s="197" t="s">
        <v>23</v>
      </c>
      <c r="C53" s="199">
        <v>0.45833333333333331</v>
      </c>
      <c r="D53" s="201">
        <f>48+D50</f>
        <v>240</v>
      </c>
      <c r="E53" s="201">
        <v>11</v>
      </c>
      <c r="F53" s="155" t="s">
        <v>101</v>
      </c>
      <c r="G53" s="236">
        <f>(0.08+0.074)/2</f>
        <v>7.6999999999999999E-2</v>
      </c>
      <c r="H53" s="62">
        <f>0.723-G53</f>
        <v>0.64600000000000002</v>
      </c>
      <c r="I53" s="61">
        <f>0.735-G53</f>
        <v>0.65800000000000003</v>
      </c>
      <c r="J53" s="61">
        <f>0.738-G53</f>
        <v>0.66100000000000003</v>
      </c>
      <c r="K53" s="61">
        <f>5.6088*H53</f>
        <v>3.6232848</v>
      </c>
      <c r="L53" s="61">
        <f t="shared" ref="L53:M55" si="36">5.6088*I53</f>
        <v>3.6905904</v>
      </c>
      <c r="M53" s="61">
        <f t="shared" si="36"/>
        <v>3.7074167999999998</v>
      </c>
      <c r="N53" s="61">
        <f t="shared" si="32"/>
        <v>3.6737639999999998</v>
      </c>
      <c r="O53" s="61">
        <f t="shared" si="28"/>
        <v>0.24491759999999999</v>
      </c>
      <c r="P53" s="61">
        <f t="shared" si="30"/>
        <v>1.7494114285714284E-2</v>
      </c>
      <c r="Q53" s="61">
        <f t="shared" si="33"/>
        <v>1.7494114285714284E-2</v>
      </c>
      <c r="R53" s="61">
        <f t="shared" si="34"/>
        <v>1.0846350857142857</v>
      </c>
      <c r="S53" s="146"/>
      <c r="T53" s="61"/>
      <c r="U53" s="73"/>
    </row>
    <row r="54" spans="2:21" ht="15" customHeight="1" x14ac:dyDescent="0.15">
      <c r="B54" s="197"/>
      <c r="C54" s="199"/>
      <c r="D54" s="201"/>
      <c r="E54" s="201"/>
      <c r="F54" s="155" t="s">
        <v>102</v>
      </c>
      <c r="G54" s="236"/>
      <c r="H54" s="62">
        <f>0.737-G53</f>
        <v>0.66</v>
      </c>
      <c r="I54" s="61">
        <f>0.784-G53</f>
        <v>0.70700000000000007</v>
      </c>
      <c r="J54" s="61">
        <f>0.762-G53</f>
        <v>0.68500000000000005</v>
      </c>
      <c r="K54" s="61">
        <f>5.6088*H54</f>
        <v>3.7018079999999998</v>
      </c>
      <c r="L54" s="61">
        <f t="shared" si="36"/>
        <v>3.9654216</v>
      </c>
      <c r="M54" s="61">
        <f t="shared" si="36"/>
        <v>3.842028</v>
      </c>
      <c r="N54" s="61">
        <f t="shared" si="32"/>
        <v>3.8364191999999999</v>
      </c>
      <c r="O54" s="61">
        <f t="shared" si="28"/>
        <v>0.25576127999999998</v>
      </c>
      <c r="P54" s="61">
        <f t="shared" si="30"/>
        <v>1.8268662857142855E-2</v>
      </c>
      <c r="Q54" s="61">
        <f t="shared" si="33"/>
        <v>1.8268662857142855E-2</v>
      </c>
      <c r="R54" s="61">
        <f t="shared" si="34"/>
        <v>1.1326570971428569</v>
      </c>
      <c r="S54" s="146"/>
      <c r="T54" s="61"/>
      <c r="U54" s="73"/>
    </row>
    <row r="55" spans="2:21" ht="15" customHeight="1" x14ac:dyDescent="0.15">
      <c r="B55" s="198"/>
      <c r="C55" s="200"/>
      <c r="D55" s="202"/>
      <c r="E55" s="202"/>
      <c r="F55" s="156" t="s">
        <v>103</v>
      </c>
      <c r="G55" s="237"/>
      <c r="H55" s="65">
        <f>0.709-G53</f>
        <v>0.63200000000000001</v>
      </c>
      <c r="I55" s="66">
        <f>0.732-G53</f>
        <v>0.65500000000000003</v>
      </c>
      <c r="J55" s="66">
        <f>0.728-G53</f>
        <v>0.65100000000000002</v>
      </c>
      <c r="K55" s="66">
        <f>5.6088*H55</f>
        <v>3.5447615999999997</v>
      </c>
      <c r="L55" s="66">
        <f t="shared" si="36"/>
        <v>3.6737639999999998</v>
      </c>
      <c r="M55" s="66">
        <f t="shared" si="36"/>
        <v>3.6513287999999999</v>
      </c>
      <c r="N55" s="66">
        <f t="shared" si="32"/>
        <v>3.6232848</v>
      </c>
      <c r="O55" s="66">
        <f t="shared" si="28"/>
        <v>0.24155231999999999</v>
      </c>
      <c r="P55" s="66">
        <f t="shared" si="30"/>
        <v>1.7253737142857141E-2</v>
      </c>
      <c r="Q55" s="66">
        <f t="shared" si="33"/>
        <v>1.7253737142857141E-2</v>
      </c>
      <c r="R55" s="66">
        <f t="shared" si="34"/>
        <v>1.0697317028571427</v>
      </c>
      <c r="S55" s="98">
        <f>AVERAGE(R53:R55)</f>
        <v>1.0956746285714283</v>
      </c>
      <c r="T55" s="66">
        <f>STDEV(R53:R55)</f>
        <v>3.2883201507367961E-2</v>
      </c>
      <c r="U55" s="99">
        <f>T55/SQRT(3)</f>
        <v>1.8985125242095603E-2</v>
      </c>
    </row>
    <row r="56" spans="2:21" x14ac:dyDescent="0.15">
      <c r="B56" s="197" t="s">
        <v>25</v>
      </c>
      <c r="C56" s="199">
        <v>0.4375</v>
      </c>
      <c r="D56" s="201">
        <f>47.5+D53</f>
        <v>287.5</v>
      </c>
      <c r="E56" s="201">
        <v>13</v>
      </c>
      <c r="F56" s="155" t="s">
        <v>101</v>
      </c>
      <c r="G56" s="236">
        <f>(0.078+0.076)/2</f>
        <v>7.6999999999999999E-2</v>
      </c>
      <c r="H56" s="62">
        <f>0.637-G56</f>
        <v>0.56000000000000005</v>
      </c>
      <c r="I56" s="61">
        <f>0.676-G56</f>
        <v>0.59900000000000009</v>
      </c>
      <c r="J56" s="61">
        <f>0.663-G56</f>
        <v>0.58600000000000008</v>
      </c>
      <c r="K56" s="61">
        <f>5.4399*H56</f>
        <v>3.0463439999999999</v>
      </c>
      <c r="L56" s="61">
        <f t="shared" ref="L56:M58" si="37">5.4399*I56</f>
        <v>3.2585001000000005</v>
      </c>
      <c r="M56" s="61">
        <f t="shared" si="37"/>
        <v>3.1877814000000004</v>
      </c>
      <c r="N56" s="61">
        <f t="shared" si="32"/>
        <v>3.1642085000000004</v>
      </c>
      <c r="O56" s="61">
        <f t="shared" si="28"/>
        <v>0.21094723333333337</v>
      </c>
      <c r="P56" s="61">
        <f t="shared" si="30"/>
        <v>1.5067659523809526E-2</v>
      </c>
      <c r="Q56" s="61">
        <f t="shared" si="33"/>
        <v>1.5067659523809526E-2</v>
      </c>
      <c r="R56" s="61">
        <f t="shared" si="34"/>
        <v>0.93419489047619064</v>
      </c>
      <c r="S56" s="146"/>
      <c r="T56" s="61"/>
      <c r="U56" s="73"/>
    </row>
    <row r="57" spans="2:21" x14ac:dyDescent="0.15">
      <c r="B57" s="197"/>
      <c r="C57" s="199"/>
      <c r="D57" s="201"/>
      <c r="E57" s="201"/>
      <c r="F57" s="155" t="s">
        <v>102</v>
      </c>
      <c r="G57" s="236"/>
      <c r="H57" s="62">
        <f>0.665-G56</f>
        <v>0.58800000000000008</v>
      </c>
      <c r="I57" s="61">
        <f>0.69-G56</f>
        <v>0.61299999999999999</v>
      </c>
      <c r="J57" s="61">
        <f>0.696-G56</f>
        <v>0.61899999999999999</v>
      </c>
      <c r="K57" s="61">
        <f>5.4399*H57</f>
        <v>3.1986612000000001</v>
      </c>
      <c r="L57" s="61">
        <f t="shared" si="37"/>
        <v>3.3346586999999999</v>
      </c>
      <c r="M57" s="61">
        <f t="shared" si="37"/>
        <v>3.3672980999999997</v>
      </c>
      <c r="N57" s="61">
        <f t="shared" si="32"/>
        <v>3.3002059999999998</v>
      </c>
      <c r="O57" s="61">
        <f t="shared" si="28"/>
        <v>0.22001373333333332</v>
      </c>
      <c r="P57" s="61">
        <f t="shared" si="30"/>
        <v>1.5715266666666665E-2</v>
      </c>
      <c r="Q57" s="61">
        <f t="shared" si="33"/>
        <v>1.5715266666666665E-2</v>
      </c>
      <c r="R57" s="61">
        <f t="shared" si="34"/>
        <v>0.97434653333333321</v>
      </c>
      <c r="S57" s="146"/>
      <c r="T57" s="61"/>
      <c r="U57" s="73"/>
    </row>
    <row r="58" spans="2:21" x14ac:dyDescent="0.15">
      <c r="B58" s="198"/>
      <c r="C58" s="200"/>
      <c r="D58" s="202"/>
      <c r="E58" s="202"/>
      <c r="F58" s="156" t="s">
        <v>103</v>
      </c>
      <c r="G58" s="237"/>
      <c r="H58" s="65">
        <f>0.616-G56</f>
        <v>0.53900000000000003</v>
      </c>
      <c r="I58" s="66">
        <f>0.635-G56</f>
        <v>0.55800000000000005</v>
      </c>
      <c r="J58" s="66">
        <f>0.661-G56</f>
        <v>0.58400000000000007</v>
      </c>
      <c r="K58" s="66">
        <f>5.4399*H58</f>
        <v>2.9321060999999999</v>
      </c>
      <c r="L58" s="66">
        <f t="shared" si="37"/>
        <v>3.0354642000000003</v>
      </c>
      <c r="M58" s="66">
        <f t="shared" si="37"/>
        <v>3.1769016000000003</v>
      </c>
      <c r="N58" s="66">
        <f t="shared" si="32"/>
        <v>3.0481573000000002</v>
      </c>
      <c r="O58" s="66">
        <f t="shared" si="28"/>
        <v>0.20321048666666669</v>
      </c>
      <c r="P58" s="66">
        <f t="shared" si="30"/>
        <v>1.4515034761904763E-2</v>
      </c>
      <c r="Q58" s="66">
        <f t="shared" si="33"/>
        <v>1.4515034761904763E-2</v>
      </c>
      <c r="R58" s="66">
        <f t="shared" si="34"/>
        <v>0.89993215523809533</v>
      </c>
      <c r="S58" s="98">
        <f>AVERAGE(R56:R58)</f>
        <v>0.93615785968253984</v>
      </c>
      <c r="T58" s="66">
        <f>STDEV(R56:R58)</f>
        <v>3.7246004522687538E-2</v>
      </c>
      <c r="U58" s="99">
        <f>T58/SQRT(3)</f>
        <v>2.1503990737411671E-2</v>
      </c>
    </row>
    <row r="59" spans="2:21" x14ac:dyDescent="0.15">
      <c r="B59" s="197" t="s">
        <v>27</v>
      </c>
      <c r="C59" s="199">
        <v>0.5</v>
      </c>
      <c r="D59" s="201">
        <f>97+D53</f>
        <v>337</v>
      </c>
      <c r="E59" s="201">
        <v>15</v>
      </c>
      <c r="F59" s="155" t="s">
        <v>101</v>
      </c>
      <c r="G59" s="236">
        <f>(0.082+0.074)/2</f>
        <v>7.8E-2</v>
      </c>
      <c r="H59" s="62">
        <f>0.607-G59</f>
        <v>0.52900000000000003</v>
      </c>
      <c r="I59" s="61">
        <f>0.615-G59</f>
        <v>0.53700000000000003</v>
      </c>
      <c r="J59" s="61">
        <f>0.627-G59</f>
        <v>0.54900000000000004</v>
      </c>
      <c r="K59" s="61">
        <f>5.471*H59</f>
        <v>2.8941590000000001</v>
      </c>
      <c r="L59" s="61">
        <f t="shared" ref="L59:M61" si="38">5.471*I59</f>
        <v>2.9379270000000002</v>
      </c>
      <c r="M59" s="61">
        <f t="shared" si="38"/>
        <v>3.0035790000000002</v>
      </c>
      <c r="N59" s="61">
        <f t="shared" si="32"/>
        <v>2.9452216666666668</v>
      </c>
      <c r="O59" s="61">
        <f t="shared" si="28"/>
        <v>0.19634811111111111</v>
      </c>
      <c r="P59" s="61">
        <f t="shared" si="30"/>
        <v>1.402486507936508E-2</v>
      </c>
      <c r="Q59" s="61">
        <f t="shared" si="33"/>
        <v>1.402486507936508E-2</v>
      </c>
      <c r="R59" s="61">
        <f t="shared" si="34"/>
        <v>0.86954163492063496</v>
      </c>
      <c r="S59" s="97"/>
      <c r="T59" s="48"/>
      <c r="U59" s="60"/>
    </row>
    <row r="60" spans="2:21" x14ac:dyDescent="0.15">
      <c r="B60" s="197"/>
      <c r="C60" s="199"/>
      <c r="D60" s="201"/>
      <c r="E60" s="201"/>
      <c r="F60" s="155" t="s">
        <v>102</v>
      </c>
      <c r="G60" s="236"/>
      <c r="H60" s="62">
        <f>0.626-G59</f>
        <v>0.54800000000000004</v>
      </c>
      <c r="I60" s="61">
        <f>0.669-G59</f>
        <v>0.59100000000000008</v>
      </c>
      <c r="J60" s="61">
        <f>0.646-G59</f>
        <v>0.56800000000000006</v>
      </c>
      <c r="K60" s="61">
        <f>5.471*H60</f>
        <v>2.9981080000000002</v>
      </c>
      <c r="L60" s="61">
        <f t="shared" si="38"/>
        <v>3.2333610000000004</v>
      </c>
      <c r="M60" s="61">
        <f t="shared" si="38"/>
        <v>3.1075280000000003</v>
      </c>
      <c r="N60" s="61">
        <f t="shared" si="32"/>
        <v>3.1129990000000003</v>
      </c>
      <c r="O60" s="61">
        <f t="shared" si="28"/>
        <v>0.20753326666666669</v>
      </c>
      <c r="P60" s="61">
        <f t="shared" si="30"/>
        <v>1.4823804761904763E-2</v>
      </c>
      <c r="Q60" s="61">
        <f t="shared" si="33"/>
        <v>1.4823804761904763E-2</v>
      </c>
      <c r="R60" s="61">
        <f t="shared" si="34"/>
        <v>0.9190758952380953</v>
      </c>
      <c r="S60" s="97"/>
      <c r="T60" s="48"/>
      <c r="U60" s="60"/>
    </row>
    <row r="61" spans="2:21" x14ac:dyDescent="0.15">
      <c r="B61" s="198"/>
      <c r="C61" s="200"/>
      <c r="D61" s="202"/>
      <c r="E61" s="202"/>
      <c r="F61" s="156" t="s">
        <v>103</v>
      </c>
      <c r="G61" s="237"/>
      <c r="H61" s="65">
        <f>0.581-G59</f>
        <v>0.503</v>
      </c>
      <c r="I61" s="66">
        <f>0.596-G59</f>
        <v>0.51800000000000002</v>
      </c>
      <c r="J61" s="66">
        <f>0.611-G59</f>
        <v>0.53300000000000003</v>
      </c>
      <c r="K61" s="66">
        <f>5.471*H61</f>
        <v>2.7519130000000001</v>
      </c>
      <c r="L61" s="66">
        <f t="shared" si="38"/>
        <v>2.8339780000000001</v>
      </c>
      <c r="M61" s="66">
        <f t="shared" si="38"/>
        <v>2.9160430000000002</v>
      </c>
      <c r="N61" s="66">
        <f t="shared" si="32"/>
        <v>2.8339780000000001</v>
      </c>
      <c r="O61" s="66">
        <f t="shared" si="28"/>
        <v>0.18893186666666667</v>
      </c>
      <c r="P61" s="66">
        <f t="shared" si="30"/>
        <v>1.3495133333333334E-2</v>
      </c>
      <c r="Q61" s="66">
        <f t="shared" si="33"/>
        <v>1.3495133333333334E-2</v>
      </c>
      <c r="R61" s="66">
        <f t="shared" si="34"/>
        <v>0.83669826666666669</v>
      </c>
      <c r="S61" s="98">
        <f>AVERAGE(R59:R61)</f>
        <v>0.87510526560846558</v>
      </c>
      <c r="T61" s="66">
        <f>STDEV(R59:R61)</f>
        <v>4.1469674607910671E-2</v>
      </c>
      <c r="U61" s="99">
        <f>T61/SQRT(3)</f>
        <v>2.3942527798083417E-2</v>
      </c>
    </row>
    <row r="62" spans="2:21" x14ac:dyDescent="0.15">
      <c r="B62" s="197" t="s">
        <v>29</v>
      </c>
      <c r="C62" s="199">
        <v>0.47916666666666669</v>
      </c>
      <c r="D62" s="201">
        <f>47.5+D59</f>
        <v>384.5</v>
      </c>
      <c r="E62" s="201">
        <v>17</v>
      </c>
      <c r="F62" s="155" t="s">
        <v>101</v>
      </c>
      <c r="G62" s="236">
        <f>(0.084+0.073)/2</f>
        <v>7.85E-2</v>
      </c>
      <c r="H62" s="62">
        <f>0.65-G62</f>
        <v>0.57150000000000001</v>
      </c>
      <c r="I62" s="61">
        <f>0.67-G62</f>
        <v>0.59150000000000003</v>
      </c>
      <c r="J62" s="61">
        <f>0.678-G62</f>
        <v>0.59950000000000003</v>
      </c>
      <c r="K62" s="61">
        <f>5.5517*H62</f>
        <v>3.1727965500000002</v>
      </c>
      <c r="L62" s="61">
        <f t="shared" ref="L62:M64" si="39">5.5517*I62</f>
        <v>3.2838305500000002</v>
      </c>
      <c r="M62" s="61">
        <f t="shared" si="39"/>
        <v>3.3282441500000002</v>
      </c>
      <c r="N62" s="61">
        <f t="shared" si="32"/>
        <v>3.26162375</v>
      </c>
      <c r="O62" s="61">
        <f t="shared" ref="O62:O67" si="40">N62/20</f>
        <v>0.1630811875</v>
      </c>
      <c r="P62" s="61">
        <f t="shared" si="30"/>
        <v>1.164865625E-2</v>
      </c>
      <c r="Q62" s="61">
        <f t="shared" si="33"/>
        <v>1.164865625E-2</v>
      </c>
      <c r="R62" s="61">
        <f t="shared" si="34"/>
        <v>0.72221668750000001</v>
      </c>
      <c r="S62" s="97"/>
      <c r="T62" s="48"/>
      <c r="U62" s="60"/>
    </row>
    <row r="63" spans="2:21" x14ac:dyDescent="0.15">
      <c r="B63" s="197"/>
      <c r="C63" s="199"/>
      <c r="D63" s="201"/>
      <c r="E63" s="201"/>
      <c r="F63" s="155" t="s">
        <v>102</v>
      </c>
      <c r="G63" s="236"/>
      <c r="H63" s="62">
        <f>0.707-G62</f>
        <v>0.62849999999999995</v>
      </c>
      <c r="I63" s="61">
        <f>0.719-G62</f>
        <v>0.64049999999999996</v>
      </c>
      <c r="J63" s="61">
        <f>0.704-G62</f>
        <v>0.62549999999999994</v>
      </c>
      <c r="K63" s="61">
        <f>5.5517*H63</f>
        <v>3.48924345</v>
      </c>
      <c r="L63" s="61">
        <f t="shared" si="39"/>
        <v>3.5558638500000002</v>
      </c>
      <c r="M63" s="61">
        <f t="shared" si="39"/>
        <v>3.4725883500000001</v>
      </c>
      <c r="N63" s="61">
        <f t="shared" si="32"/>
        <v>3.5058985499999999</v>
      </c>
      <c r="O63" s="61">
        <f t="shared" si="40"/>
        <v>0.1752949275</v>
      </c>
      <c r="P63" s="61">
        <f t="shared" si="30"/>
        <v>1.2521066250000001E-2</v>
      </c>
      <c r="Q63" s="61">
        <f t="shared" si="33"/>
        <v>1.2521066250000001E-2</v>
      </c>
      <c r="R63" s="61">
        <f t="shared" si="34"/>
        <v>0.77630610750000006</v>
      </c>
      <c r="S63" s="97"/>
      <c r="T63" s="48"/>
      <c r="U63" s="60"/>
    </row>
    <row r="64" spans="2:21" x14ac:dyDescent="0.15">
      <c r="B64" s="198"/>
      <c r="C64" s="200"/>
      <c r="D64" s="202"/>
      <c r="E64" s="202"/>
      <c r="F64" s="156" t="s">
        <v>103</v>
      </c>
      <c r="G64" s="237"/>
      <c r="H64" s="65">
        <f>0.651-G62</f>
        <v>0.57250000000000001</v>
      </c>
      <c r="I64" s="66">
        <f>0.696-G62</f>
        <v>0.61749999999999994</v>
      </c>
      <c r="J64" s="66">
        <f>0.685-G62</f>
        <v>0.60650000000000004</v>
      </c>
      <c r="K64" s="66">
        <f>5.5517*H64</f>
        <v>3.1783482500000004</v>
      </c>
      <c r="L64" s="66">
        <f t="shared" si="39"/>
        <v>3.4281747499999997</v>
      </c>
      <c r="M64" s="66">
        <f t="shared" si="39"/>
        <v>3.3671060500000003</v>
      </c>
      <c r="N64" s="66">
        <f t="shared" si="32"/>
        <v>3.3245430166666665</v>
      </c>
      <c r="O64" s="66">
        <f t="shared" si="40"/>
        <v>0.16622715083333334</v>
      </c>
      <c r="P64" s="66">
        <f t="shared" si="30"/>
        <v>1.1873367916666667E-2</v>
      </c>
      <c r="Q64" s="66">
        <f t="shared" si="33"/>
        <v>1.1873367916666667E-2</v>
      </c>
      <c r="R64" s="66">
        <f t="shared" si="34"/>
        <v>0.73614881083333339</v>
      </c>
      <c r="S64" s="98">
        <f>AVERAGE(R62:R64)</f>
        <v>0.74489053527777782</v>
      </c>
      <c r="T64" s="66">
        <f>STDEV(R62:R64)</f>
        <v>2.8084331017153488E-2</v>
      </c>
      <c r="U64" s="99">
        <f>T64/SQRT(3)</f>
        <v>1.6214496072764123E-2</v>
      </c>
    </row>
    <row r="65" spans="1:21" x14ac:dyDescent="0.15">
      <c r="B65" s="197" t="s">
        <v>31</v>
      </c>
      <c r="C65" s="199">
        <v>0.52083333333333337</v>
      </c>
      <c r="D65" s="201">
        <v>433.5</v>
      </c>
      <c r="E65" s="201">
        <v>19</v>
      </c>
      <c r="F65" s="155" t="s">
        <v>101</v>
      </c>
      <c r="G65" s="236">
        <f>(0.084+0.073)/2</f>
        <v>7.85E-2</v>
      </c>
      <c r="H65" s="62">
        <f>0.487-G65</f>
        <v>0.40849999999999997</v>
      </c>
      <c r="I65" s="61">
        <f>0.513-G65</f>
        <v>0.4345</v>
      </c>
      <c r="J65" s="61">
        <f>0.515-G65</f>
        <v>0.4365</v>
      </c>
      <c r="K65" s="61">
        <f>4.739*H65</f>
        <v>1.9358814999999998</v>
      </c>
      <c r="L65" s="61">
        <f t="shared" ref="L65:M67" si="41">4.739*I65</f>
        <v>2.0590954999999997</v>
      </c>
      <c r="M65" s="61">
        <f t="shared" si="41"/>
        <v>2.0685734999999998</v>
      </c>
      <c r="N65" s="61">
        <f t="shared" si="32"/>
        <v>2.0211834999999998</v>
      </c>
      <c r="O65" s="61">
        <f t="shared" si="40"/>
        <v>0.10105917499999999</v>
      </c>
      <c r="P65" s="61">
        <f t="shared" si="30"/>
        <v>7.2185124999999987E-3</v>
      </c>
      <c r="Q65" s="61">
        <f t="shared" si="33"/>
        <v>7.2185124999999987E-3</v>
      </c>
      <c r="R65" s="124">
        <f>Q65*62</f>
        <v>0.44754777499999993</v>
      </c>
      <c r="S65" s="97"/>
      <c r="T65" s="48"/>
      <c r="U65" s="60"/>
    </row>
    <row r="66" spans="1:21" ht="15" customHeight="1" x14ac:dyDescent="0.15">
      <c r="B66" s="197"/>
      <c r="C66" s="199"/>
      <c r="D66" s="201"/>
      <c r="E66" s="201"/>
      <c r="F66" s="155" t="s">
        <v>102</v>
      </c>
      <c r="G66" s="236"/>
      <c r="H66" s="62">
        <f>0.589-G65</f>
        <v>0.51049999999999995</v>
      </c>
      <c r="I66" s="61">
        <f>0.579-G65</f>
        <v>0.50049999999999994</v>
      </c>
      <c r="J66" s="61">
        <f>0.569-G65</f>
        <v>0.49049999999999994</v>
      </c>
      <c r="K66" s="61">
        <f>4.739*H66</f>
        <v>2.4192594999999999</v>
      </c>
      <c r="L66" s="61">
        <f t="shared" si="41"/>
        <v>2.3718694999999999</v>
      </c>
      <c r="M66" s="61">
        <f t="shared" si="41"/>
        <v>2.3244794999999998</v>
      </c>
      <c r="N66" s="61">
        <f t="shared" si="32"/>
        <v>2.3718694999999999</v>
      </c>
      <c r="O66" s="61">
        <f t="shared" si="40"/>
        <v>0.11859347499999999</v>
      </c>
      <c r="P66" s="61">
        <f t="shared" si="30"/>
        <v>8.4709625E-3</v>
      </c>
      <c r="Q66" s="61">
        <f t="shared" si="33"/>
        <v>8.4709625E-3</v>
      </c>
      <c r="R66" s="124">
        <f>Q66*62</f>
        <v>0.52519967499999998</v>
      </c>
      <c r="S66" s="97"/>
      <c r="T66" s="48"/>
      <c r="U66" s="60"/>
    </row>
    <row r="67" spans="1:21" ht="16" customHeight="1" thickBot="1" x14ac:dyDescent="0.2">
      <c r="A67" s="42"/>
      <c r="B67" s="221"/>
      <c r="C67" s="222"/>
      <c r="D67" s="239"/>
      <c r="E67" s="239"/>
      <c r="F67" s="157" t="s">
        <v>103</v>
      </c>
      <c r="G67" s="238"/>
      <c r="H67" s="123">
        <f>0.632-G65</f>
        <v>0.55349999999999999</v>
      </c>
      <c r="I67" s="76">
        <f>0.601-G65</f>
        <v>0.52249999999999996</v>
      </c>
      <c r="J67" s="76">
        <f>0.638-G65</f>
        <v>0.5595</v>
      </c>
      <c r="K67" s="76">
        <f>4.739*H67</f>
        <v>2.6230365</v>
      </c>
      <c r="L67" s="76">
        <f t="shared" si="41"/>
        <v>2.4761274999999996</v>
      </c>
      <c r="M67" s="76">
        <f t="shared" si="41"/>
        <v>2.6514704999999998</v>
      </c>
      <c r="N67" s="76">
        <f t="shared" si="32"/>
        <v>2.5835448333333333</v>
      </c>
      <c r="O67" s="76">
        <f t="shared" si="40"/>
        <v>0.12917724166666666</v>
      </c>
      <c r="P67" s="76">
        <f t="shared" si="30"/>
        <v>9.2269458333333332E-3</v>
      </c>
      <c r="Q67" s="76">
        <f t="shared" si="33"/>
        <v>9.2269458333333332E-3</v>
      </c>
      <c r="R67" s="125">
        <f>Q67*62</f>
        <v>0.57207064166666666</v>
      </c>
      <c r="S67" s="101">
        <f>AVERAGE(R65:R67)</f>
        <v>0.51493936388888883</v>
      </c>
      <c r="T67" s="76">
        <f>STDEV(R65:R67)</f>
        <v>6.2892301347571206E-2</v>
      </c>
      <c r="U67" s="102">
        <f>T67/SQRT(3)</f>
        <v>3.6310887112975303E-2</v>
      </c>
    </row>
    <row r="69" spans="1:21" x14ac:dyDescent="0.15">
      <c r="R69" s="100"/>
    </row>
    <row r="70" spans="1:21" x14ac:dyDescent="0.15">
      <c r="R70" s="100"/>
    </row>
    <row r="71" spans="1:21" x14ac:dyDescent="0.15">
      <c r="R71" s="100"/>
      <c r="S71" s="37"/>
      <c r="T71" s="37"/>
    </row>
  </sheetData>
  <mergeCells count="112">
    <mergeCell ref="G59:G61"/>
    <mergeCell ref="G62:G64"/>
    <mergeCell ref="G65:G67"/>
    <mergeCell ref="E65:E67"/>
    <mergeCell ref="E62:E64"/>
    <mergeCell ref="E59:E61"/>
    <mergeCell ref="B56:B58"/>
    <mergeCell ref="C56:C58"/>
    <mergeCell ref="D56:D58"/>
    <mergeCell ref="E56:E58"/>
    <mergeCell ref="G56:G58"/>
    <mergeCell ref="B59:B61"/>
    <mergeCell ref="B62:B64"/>
    <mergeCell ref="B65:B67"/>
    <mergeCell ref="D59:D61"/>
    <mergeCell ref="D62:D64"/>
    <mergeCell ref="D65:D67"/>
    <mergeCell ref="C65:C67"/>
    <mergeCell ref="C62:C64"/>
    <mergeCell ref="C59:C61"/>
    <mergeCell ref="G53:G55"/>
    <mergeCell ref="E53:E55"/>
    <mergeCell ref="D53:D55"/>
    <mergeCell ref="C53:C55"/>
    <mergeCell ref="B53:B55"/>
    <mergeCell ref="B50:B52"/>
    <mergeCell ref="C50:C52"/>
    <mergeCell ref="D50:D52"/>
    <mergeCell ref="E50:E52"/>
    <mergeCell ref="G50:G52"/>
    <mergeCell ref="G47:G49"/>
    <mergeCell ref="E47:E49"/>
    <mergeCell ref="D47:D49"/>
    <mergeCell ref="C47:C49"/>
    <mergeCell ref="B47:B49"/>
    <mergeCell ref="B44:B46"/>
    <mergeCell ref="C44:C46"/>
    <mergeCell ref="D44:D46"/>
    <mergeCell ref="E44:E46"/>
    <mergeCell ref="G44:G46"/>
    <mergeCell ref="G41:G43"/>
    <mergeCell ref="E41:E43"/>
    <mergeCell ref="D41:D43"/>
    <mergeCell ref="C41:C43"/>
    <mergeCell ref="B41:B43"/>
    <mergeCell ref="B38:B40"/>
    <mergeCell ref="C38:C40"/>
    <mergeCell ref="D38:D40"/>
    <mergeCell ref="E38:E40"/>
    <mergeCell ref="G38:G40"/>
    <mergeCell ref="G32:G34"/>
    <mergeCell ref="E32:E34"/>
    <mergeCell ref="D32:D34"/>
    <mergeCell ref="C32:C34"/>
    <mergeCell ref="B32:B34"/>
    <mergeCell ref="B29:B31"/>
    <mergeCell ref="C29:C31"/>
    <mergeCell ref="D29:D31"/>
    <mergeCell ref="E29:E31"/>
    <mergeCell ref="G29:G31"/>
    <mergeCell ref="G26:G28"/>
    <mergeCell ref="E26:E28"/>
    <mergeCell ref="D26:D28"/>
    <mergeCell ref="C26:C28"/>
    <mergeCell ref="B26:B28"/>
    <mergeCell ref="B23:B25"/>
    <mergeCell ref="C23:C25"/>
    <mergeCell ref="D23:D25"/>
    <mergeCell ref="E23:E25"/>
    <mergeCell ref="G23:G25"/>
    <mergeCell ref="D14:D16"/>
    <mergeCell ref="C14:C16"/>
    <mergeCell ref="B14:B16"/>
    <mergeCell ref="B11:B13"/>
    <mergeCell ref="C11:C13"/>
    <mergeCell ref="D11:D13"/>
    <mergeCell ref="E11:E13"/>
    <mergeCell ref="G11:G13"/>
    <mergeCell ref="G20:G22"/>
    <mergeCell ref="E20:E22"/>
    <mergeCell ref="D20:D22"/>
    <mergeCell ref="C20:C22"/>
    <mergeCell ref="B20:B22"/>
    <mergeCell ref="B17:B19"/>
    <mergeCell ref="C17:C19"/>
    <mergeCell ref="D17:D19"/>
    <mergeCell ref="E17:E19"/>
    <mergeCell ref="G17:G19"/>
    <mergeCell ref="W2:Y2"/>
    <mergeCell ref="W35:Y35"/>
    <mergeCell ref="K4:M4"/>
    <mergeCell ref="A1:U1"/>
    <mergeCell ref="H3:J3"/>
    <mergeCell ref="K3:M3"/>
    <mergeCell ref="B2:U2"/>
    <mergeCell ref="K37:M37"/>
    <mergeCell ref="H37:J37"/>
    <mergeCell ref="H36:J36"/>
    <mergeCell ref="K36:M36"/>
    <mergeCell ref="B35:U35"/>
    <mergeCell ref="G8:G10"/>
    <mergeCell ref="E8:E10"/>
    <mergeCell ref="D8:D10"/>
    <mergeCell ref="C8:C10"/>
    <mergeCell ref="B8:B10"/>
    <mergeCell ref="B5:B7"/>
    <mergeCell ref="C5:C7"/>
    <mergeCell ref="D5:D7"/>
    <mergeCell ref="E5:E7"/>
    <mergeCell ref="G5:G7"/>
    <mergeCell ref="G14:G16"/>
    <mergeCell ref="E14:E16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8755E3B35AFD46855982A7C7E7BE1A" ma:contentTypeVersion="4" ma:contentTypeDescription="Create a new document." ma:contentTypeScope="" ma:versionID="3a788baaba5feb909dd4132bb981cf1b">
  <xsd:schema xmlns:xsd="http://www.w3.org/2001/XMLSchema" xmlns:xs="http://www.w3.org/2001/XMLSchema" xmlns:p="http://schemas.microsoft.com/office/2006/metadata/properties" xmlns:ns2="bb877b61-73df-4c71-aa42-e1c67dd7a708" targetNamespace="http://schemas.microsoft.com/office/2006/metadata/properties" ma:root="true" ma:fieldsID="7491248f6f5b838387a9d36578de4401" ns2:_="">
    <xsd:import namespace="bb877b61-73df-4c71-aa42-e1c67dd7a7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877b61-73df-4c71-aa42-e1c67dd7a7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F1FF012-B26E-47C7-A790-78791D68E03A}">
  <ds:schemaRefs>
    <ds:schemaRef ds:uri="http://schemas.microsoft.com/office/2006/metadata/properties"/>
    <ds:schemaRef ds:uri="http://purl.org/dc/dcmitype/"/>
    <ds:schemaRef ds:uri="http://www.w3.org/XML/1998/namespace"/>
    <ds:schemaRef ds:uri="http://schemas.microsoft.com/office/2006/documentManagement/types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bb877b61-73df-4c71-aa42-e1c67dd7a708"/>
  </ds:schemaRefs>
</ds:datastoreItem>
</file>

<file path=customXml/itemProps2.xml><?xml version="1.0" encoding="utf-8"?>
<ds:datastoreItem xmlns:ds="http://schemas.openxmlformats.org/officeDocument/2006/customXml" ds:itemID="{7149C9F0-04C1-43F2-9175-AB5AEDBD45E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08BAAC3-2DF3-4699-AEC9-71E7480659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877b61-73df-4c71-aa42-e1c67dd7a7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Information Sheet</vt:lpstr>
      <vt:lpstr>Growth curves</vt:lpstr>
      <vt:lpstr>C-phycocyanin CeBER</vt:lpstr>
      <vt:lpstr>C-phycocyanin UTEX #1926</vt:lpstr>
      <vt:lpstr>Nitrate content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Karen Ssekimpi</dc:creator>
  <cp:keywords/>
  <dc:description/>
  <cp:lastModifiedBy>Karen Ssekimpi</cp:lastModifiedBy>
  <cp:revision/>
  <dcterms:created xsi:type="dcterms:W3CDTF">2021-08-18T19:23:18Z</dcterms:created>
  <dcterms:modified xsi:type="dcterms:W3CDTF">2023-04-02T19:06:28Z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0x010100DB8755E3B35AFD46855982A7C7E7BE1A</vt:lpwstr>
  </property>
</Properties>
</file>