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859A3BA5-B062-7140-B240-A93C89377F27}" xr6:coauthVersionLast="47" xr6:coauthVersionMax="47" xr10:uidLastSave="{00000000-0000-0000-0000-000000000000}"/>
  <bookViews>
    <workbookView xWindow="0" yWindow="500" windowWidth="25600" windowHeight="14260" xr2:uid="{00000000-000D-0000-FFFF-FFFF00000000}"/>
  </bookViews>
  <sheets>
    <sheet name="Information Sheet" sheetId="23" r:id="rId1"/>
    <sheet name="Growth curves CeBER" sheetId="24" r:id="rId2"/>
    <sheet name="Growth curves UTEX #1926" sheetId="25" r:id="rId3"/>
    <sheet name="C-phycocyanin CeBER" sheetId="26" r:id="rId4"/>
    <sheet name="C-phycocyanin UTEX #1926" sheetId="27" r:id="rId5"/>
    <sheet name="Nitrate content CeBER" sheetId="28" r:id="rId6"/>
    <sheet name="Nitrate content UTEX #1926" sheetId="29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4" i="27" l="1"/>
  <c r="M114" i="27"/>
  <c r="L115" i="27"/>
  <c r="M115" i="27"/>
  <c r="L116" i="27"/>
  <c r="M116" i="27"/>
  <c r="L117" i="27"/>
  <c r="M117" i="27"/>
  <c r="L118" i="27"/>
  <c r="M118" i="27"/>
  <c r="L119" i="27"/>
  <c r="M119" i="27"/>
  <c r="L120" i="27"/>
  <c r="M120" i="27"/>
  <c r="L121" i="27"/>
  <c r="M121" i="27"/>
  <c r="L122" i="27"/>
  <c r="M122" i="27"/>
  <c r="L123" i="27"/>
  <c r="M123" i="27"/>
  <c r="L124" i="27"/>
  <c r="M124" i="27"/>
  <c r="L125" i="27"/>
  <c r="M125" i="27"/>
  <c r="L126" i="27"/>
  <c r="M126" i="27"/>
  <c r="L127" i="27"/>
  <c r="M127" i="27"/>
  <c r="L128" i="27"/>
  <c r="M128" i="27"/>
  <c r="L129" i="27"/>
  <c r="M129" i="27"/>
  <c r="L130" i="27"/>
  <c r="M130" i="27"/>
  <c r="L131" i="27"/>
  <c r="M131" i="27"/>
  <c r="L132" i="27"/>
  <c r="M132" i="27"/>
  <c r="L133" i="27"/>
  <c r="M133" i="27"/>
  <c r="L134" i="27"/>
  <c r="M134" i="27"/>
  <c r="L135" i="27"/>
  <c r="M135" i="27"/>
  <c r="L136" i="27"/>
  <c r="M136" i="27"/>
  <c r="L137" i="27"/>
  <c r="M137" i="27"/>
  <c r="L138" i="27"/>
  <c r="M138" i="27"/>
  <c r="L139" i="27"/>
  <c r="M139" i="27"/>
  <c r="L140" i="27"/>
  <c r="M140" i="27"/>
  <c r="L141" i="27"/>
  <c r="M141" i="27"/>
  <c r="L142" i="27"/>
  <c r="M142" i="27"/>
  <c r="L143" i="27"/>
  <c r="M143" i="27"/>
  <c r="L144" i="27"/>
  <c r="M144" i="27"/>
  <c r="L145" i="27"/>
  <c r="M145" i="27"/>
  <c r="L146" i="27"/>
  <c r="M146" i="27"/>
  <c r="L147" i="27"/>
  <c r="M147" i="27"/>
  <c r="L148" i="27"/>
  <c r="M148" i="27"/>
  <c r="L149" i="27"/>
  <c r="M149" i="27"/>
  <c r="L150" i="27"/>
  <c r="M150" i="27"/>
  <c r="L151" i="27"/>
  <c r="M151" i="27"/>
  <c r="L152" i="27"/>
  <c r="M152" i="27"/>
  <c r="L153" i="27"/>
  <c r="M153" i="27"/>
  <c r="L154" i="27"/>
  <c r="M154" i="27"/>
  <c r="L155" i="27"/>
  <c r="M155" i="27"/>
  <c r="L156" i="27"/>
  <c r="M156" i="27"/>
  <c r="L157" i="27"/>
  <c r="M157" i="27"/>
  <c r="L158" i="27"/>
  <c r="M158" i="27"/>
  <c r="L159" i="27"/>
  <c r="M159" i="27"/>
  <c r="L160" i="27"/>
  <c r="M160" i="27"/>
  <c r="L161" i="27"/>
  <c r="M161" i="27"/>
  <c r="L162" i="27"/>
  <c r="M162" i="27"/>
  <c r="L163" i="27"/>
  <c r="M163" i="27"/>
  <c r="M113" i="27"/>
  <c r="L113" i="27"/>
  <c r="L60" i="27"/>
  <c r="M60" i="27"/>
  <c r="L61" i="27"/>
  <c r="M61" i="27"/>
  <c r="L62" i="27"/>
  <c r="M62" i="27"/>
  <c r="L63" i="27"/>
  <c r="M63" i="27"/>
  <c r="L64" i="27"/>
  <c r="M64" i="27"/>
  <c r="L65" i="27"/>
  <c r="M65" i="27"/>
  <c r="L66" i="27"/>
  <c r="M66" i="27"/>
  <c r="L67" i="27"/>
  <c r="M67" i="27"/>
  <c r="L68" i="27"/>
  <c r="M68" i="27"/>
  <c r="L69" i="27"/>
  <c r="M69" i="27"/>
  <c r="L70" i="27"/>
  <c r="M70" i="27"/>
  <c r="L71" i="27"/>
  <c r="M71" i="27"/>
  <c r="L72" i="27"/>
  <c r="M72" i="27"/>
  <c r="L73" i="27"/>
  <c r="M73" i="27"/>
  <c r="L74" i="27"/>
  <c r="M74" i="27"/>
  <c r="L75" i="27"/>
  <c r="M75" i="27"/>
  <c r="L76" i="27"/>
  <c r="M76" i="27"/>
  <c r="L77" i="27"/>
  <c r="M77" i="27"/>
  <c r="L78" i="27"/>
  <c r="M78" i="27"/>
  <c r="L79" i="27"/>
  <c r="M79" i="27"/>
  <c r="L80" i="27"/>
  <c r="M80" i="27"/>
  <c r="L81" i="27"/>
  <c r="M81" i="27"/>
  <c r="L82" i="27"/>
  <c r="M82" i="27"/>
  <c r="L83" i="27"/>
  <c r="M83" i="27"/>
  <c r="L84" i="27"/>
  <c r="M84" i="27"/>
  <c r="L85" i="27"/>
  <c r="M85" i="27"/>
  <c r="L86" i="27"/>
  <c r="M86" i="27"/>
  <c r="L87" i="27"/>
  <c r="M87" i="27"/>
  <c r="L88" i="27"/>
  <c r="M88" i="27"/>
  <c r="L89" i="27"/>
  <c r="M89" i="27"/>
  <c r="L90" i="27"/>
  <c r="M90" i="27"/>
  <c r="L91" i="27"/>
  <c r="M91" i="27"/>
  <c r="L92" i="27"/>
  <c r="M92" i="27"/>
  <c r="L93" i="27"/>
  <c r="M93" i="27"/>
  <c r="L94" i="27"/>
  <c r="M94" i="27"/>
  <c r="L95" i="27"/>
  <c r="M95" i="27"/>
  <c r="L96" i="27"/>
  <c r="M96" i="27"/>
  <c r="L97" i="27"/>
  <c r="M97" i="27"/>
  <c r="L98" i="27"/>
  <c r="M98" i="27"/>
  <c r="L99" i="27"/>
  <c r="M99" i="27"/>
  <c r="L100" i="27"/>
  <c r="M100" i="27"/>
  <c r="L101" i="27"/>
  <c r="M101" i="27"/>
  <c r="L102" i="27"/>
  <c r="M102" i="27"/>
  <c r="L103" i="27"/>
  <c r="M103" i="27"/>
  <c r="L104" i="27"/>
  <c r="M104" i="27"/>
  <c r="L105" i="27"/>
  <c r="M105" i="27"/>
  <c r="L106" i="27"/>
  <c r="M106" i="27"/>
  <c r="L107" i="27"/>
  <c r="M107" i="27"/>
  <c r="L108" i="27"/>
  <c r="M108" i="27"/>
  <c r="L109" i="27"/>
  <c r="M109" i="27"/>
  <c r="M59" i="27"/>
  <c r="L59" i="27"/>
  <c r="M55" i="27"/>
  <c r="M54" i="27"/>
  <c r="M52" i="27"/>
  <c r="M51" i="27"/>
  <c r="M6" i="27"/>
  <c r="M7" i="27"/>
  <c r="M8" i="27"/>
  <c r="M9" i="27"/>
  <c r="M10" i="27"/>
  <c r="M11" i="27"/>
  <c r="M12" i="27"/>
  <c r="M13" i="27"/>
  <c r="M14" i="27"/>
  <c r="M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28" i="27"/>
  <c r="M29" i="27"/>
  <c r="M30" i="27"/>
  <c r="M31" i="27"/>
  <c r="M32" i="27"/>
  <c r="M33" i="27"/>
  <c r="M34" i="27"/>
  <c r="M35" i="27"/>
  <c r="M36" i="27"/>
  <c r="M37" i="27"/>
  <c r="M38" i="27"/>
  <c r="M39" i="27"/>
  <c r="M40" i="27"/>
  <c r="M41" i="27"/>
  <c r="M42" i="27"/>
  <c r="M43" i="27"/>
  <c r="M44" i="27"/>
  <c r="M45" i="27"/>
  <c r="M46" i="27"/>
  <c r="M47" i="27"/>
  <c r="M48" i="27"/>
  <c r="M49" i="27"/>
  <c r="L55" i="27"/>
  <c r="L6" i="27"/>
  <c r="L7" i="27"/>
  <c r="L8" i="27"/>
  <c r="L9" i="27"/>
  <c r="L10" i="27"/>
  <c r="L11" i="27"/>
  <c r="L12" i="27"/>
  <c r="L13" i="27"/>
  <c r="L14" i="27"/>
  <c r="L15" i="27"/>
  <c r="L16" i="27"/>
  <c r="L17" i="27"/>
  <c r="L18" i="27"/>
  <c r="L19" i="27"/>
  <c r="L20" i="27"/>
  <c r="L21" i="27"/>
  <c r="L22" i="27"/>
  <c r="L23" i="27"/>
  <c r="L24" i="27"/>
  <c r="L25" i="27"/>
  <c r="L26" i="27"/>
  <c r="L27" i="27"/>
  <c r="L28" i="27"/>
  <c r="L29" i="27"/>
  <c r="L30" i="27"/>
  <c r="L31" i="27"/>
  <c r="L32" i="27"/>
  <c r="L33" i="27"/>
  <c r="L34" i="27"/>
  <c r="L35" i="27"/>
  <c r="L36" i="27"/>
  <c r="L37" i="27"/>
  <c r="L38" i="27"/>
  <c r="L39" i="27"/>
  <c r="L40" i="27"/>
  <c r="L41" i="27"/>
  <c r="L42" i="27"/>
  <c r="L43" i="27"/>
  <c r="L44" i="27"/>
  <c r="L45" i="27"/>
  <c r="L46" i="27"/>
  <c r="L47" i="27"/>
  <c r="L48" i="27"/>
  <c r="L49" i="27"/>
  <c r="L50" i="27"/>
  <c r="L51" i="27"/>
  <c r="L52" i="27"/>
  <c r="L53" i="27"/>
  <c r="L54" i="27"/>
  <c r="M5" i="27"/>
  <c r="L5" i="27"/>
  <c r="M163" i="26"/>
  <c r="M114" i="26"/>
  <c r="M115" i="26"/>
  <c r="M116" i="26"/>
  <c r="M117" i="26"/>
  <c r="M118" i="26"/>
  <c r="M119" i="26"/>
  <c r="M120" i="26"/>
  <c r="M121" i="26"/>
  <c r="M122" i="26"/>
  <c r="M123" i="26"/>
  <c r="M124" i="26"/>
  <c r="M125" i="26"/>
  <c r="M126" i="26"/>
  <c r="M127" i="26"/>
  <c r="M128" i="26"/>
  <c r="M129" i="26"/>
  <c r="M130" i="26"/>
  <c r="M131" i="26"/>
  <c r="M132" i="26"/>
  <c r="M133" i="26"/>
  <c r="M134" i="26"/>
  <c r="M135" i="26"/>
  <c r="M136" i="26"/>
  <c r="M137" i="26"/>
  <c r="M138" i="26"/>
  <c r="M139" i="26"/>
  <c r="M140" i="26"/>
  <c r="M141" i="26"/>
  <c r="M142" i="26"/>
  <c r="M143" i="26"/>
  <c r="M144" i="26"/>
  <c r="M145" i="26"/>
  <c r="M146" i="26"/>
  <c r="M147" i="26"/>
  <c r="M148" i="26"/>
  <c r="M149" i="26"/>
  <c r="M150" i="26"/>
  <c r="M151" i="26"/>
  <c r="M152" i="26"/>
  <c r="M153" i="26"/>
  <c r="M154" i="26"/>
  <c r="M155" i="26"/>
  <c r="M156" i="26"/>
  <c r="M157" i="26"/>
  <c r="M158" i="26"/>
  <c r="M159" i="26"/>
  <c r="M160" i="26"/>
  <c r="M161" i="26"/>
  <c r="M162" i="26"/>
  <c r="L163" i="26"/>
  <c r="L161" i="26"/>
  <c r="L162" i="26"/>
  <c r="L160" i="26"/>
  <c r="L158" i="26"/>
  <c r="L157" i="26"/>
  <c r="L155" i="26"/>
  <c r="L114" i="26"/>
  <c r="L115" i="26"/>
  <c r="L116" i="26"/>
  <c r="L117" i="26"/>
  <c r="L118" i="26"/>
  <c r="L119" i="26"/>
  <c r="L120" i="26"/>
  <c r="L121" i="26"/>
  <c r="L122" i="26"/>
  <c r="L123" i="26"/>
  <c r="L124" i="26"/>
  <c r="L125" i="26"/>
  <c r="L126" i="26"/>
  <c r="L127" i="26"/>
  <c r="L128" i="26"/>
  <c r="L129" i="26"/>
  <c r="L130" i="26"/>
  <c r="L131" i="26"/>
  <c r="L132" i="26"/>
  <c r="L133" i="26"/>
  <c r="L134" i="26"/>
  <c r="L135" i="26"/>
  <c r="L136" i="26"/>
  <c r="L137" i="26"/>
  <c r="L138" i="26"/>
  <c r="L139" i="26"/>
  <c r="L140" i="26"/>
  <c r="L141" i="26"/>
  <c r="L142" i="26"/>
  <c r="L143" i="26"/>
  <c r="L144" i="26"/>
  <c r="L145" i="26"/>
  <c r="L146" i="26"/>
  <c r="L147" i="26"/>
  <c r="L148" i="26"/>
  <c r="L149" i="26"/>
  <c r="L150" i="26"/>
  <c r="L151" i="26"/>
  <c r="L152" i="26"/>
  <c r="L153" i="26"/>
  <c r="L154" i="26"/>
  <c r="M113" i="26"/>
  <c r="L113" i="26"/>
  <c r="L109" i="26"/>
  <c r="M109" i="26"/>
  <c r="L60" i="26"/>
  <c r="M60" i="26"/>
  <c r="L61" i="26"/>
  <c r="M61" i="26"/>
  <c r="L62" i="26"/>
  <c r="M62" i="26"/>
  <c r="L63" i="26"/>
  <c r="M63" i="26"/>
  <c r="L64" i="26"/>
  <c r="M64" i="26"/>
  <c r="L65" i="26"/>
  <c r="M65" i="26"/>
  <c r="L66" i="26"/>
  <c r="M66" i="26"/>
  <c r="L67" i="26"/>
  <c r="M67" i="26"/>
  <c r="L68" i="26"/>
  <c r="M68" i="26"/>
  <c r="L69" i="26"/>
  <c r="M69" i="26"/>
  <c r="L70" i="26"/>
  <c r="M70" i="26"/>
  <c r="L71" i="26"/>
  <c r="M71" i="26"/>
  <c r="L72" i="26"/>
  <c r="M72" i="26"/>
  <c r="L73" i="26"/>
  <c r="M73" i="26"/>
  <c r="L74" i="26"/>
  <c r="M74" i="26"/>
  <c r="L75" i="26"/>
  <c r="M75" i="26"/>
  <c r="L76" i="26"/>
  <c r="M76" i="26"/>
  <c r="L77" i="26"/>
  <c r="M77" i="26"/>
  <c r="L78" i="26"/>
  <c r="M78" i="26"/>
  <c r="L79" i="26"/>
  <c r="M79" i="26"/>
  <c r="L80" i="26"/>
  <c r="M80" i="26"/>
  <c r="L81" i="26"/>
  <c r="M81" i="26"/>
  <c r="L82" i="26"/>
  <c r="M82" i="26"/>
  <c r="L83" i="26"/>
  <c r="M83" i="26"/>
  <c r="L84" i="26"/>
  <c r="M84" i="26"/>
  <c r="L85" i="26"/>
  <c r="M85" i="26"/>
  <c r="L86" i="26"/>
  <c r="M86" i="26"/>
  <c r="L87" i="26"/>
  <c r="M87" i="26"/>
  <c r="L88" i="26"/>
  <c r="M88" i="26"/>
  <c r="L89" i="26"/>
  <c r="M89" i="26"/>
  <c r="L90" i="26"/>
  <c r="M90" i="26"/>
  <c r="L91" i="26"/>
  <c r="M91" i="26"/>
  <c r="L92" i="26"/>
  <c r="M92" i="26"/>
  <c r="L93" i="26"/>
  <c r="M93" i="26"/>
  <c r="L94" i="26"/>
  <c r="M94" i="26"/>
  <c r="L95" i="26"/>
  <c r="M95" i="26"/>
  <c r="L96" i="26"/>
  <c r="M96" i="26"/>
  <c r="L97" i="26"/>
  <c r="M97" i="26"/>
  <c r="L98" i="26"/>
  <c r="M98" i="26"/>
  <c r="L99" i="26"/>
  <c r="M99" i="26"/>
  <c r="L100" i="26"/>
  <c r="M100" i="26"/>
  <c r="L101" i="26"/>
  <c r="M101" i="26"/>
  <c r="L102" i="26"/>
  <c r="M102" i="26"/>
  <c r="L103" i="26"/>
  <c r="M103" i="26"/>
  <c r="L104" i="26"/>
  <c r="M104" i="26"/>
  <c r="L105" i="26"/>
  <c r="M105" i="26"/>
  <c r="L106" i="26"/>
  <c r="M106" i="26"/>
  <c r="L107" i="26"/>
  <c r="M107" i="26"/>
  <c r="L108" i="26"/>
  <c r="M108" i="26"/>
  <c r="M59" i="26"/>
  <c r="L59" i="26"/>
  <c r="L55" i="26"/>
  <c r="M55" i="26"/>
  <c r="L32" i="26"/>
  <c r="M32" i="26"/>
  <c r="L33" i="26"/>
  <c r="M33" i="26"/>
  <c r="L34" i="26"/>
  <c r="M34" i="26"/>
  <c r="L35" i="26"/>
  <c r="M35" i="26"/>
  <c r="L36" i="26"/>
  <c r="M36" i="26"/>
  <c r="L37" i="26"/>
  <c r="M37" i="26"/>
  <c r="L38" i="26"/>
  <c r="M38" i="26"/>
  <c r="L39" i="26"/>
  <c r="M39" i="26"/>
  <c r="L40" i="26"/>
  <c r="M40" i="26"/>
  <c r="L41" i="26"/>
  <c r="M41" i="26"/>
  <c r="L42" i="26"/>
  <c r="M42" i="26"/>
  <c r="L43" i="26"/>
  <c r="M43" i="26"/>
  <c r="L44" i="26"/>
  <c r="M44" i="26"/>
  <c r="L45" i="26"/>
  <c r="M45" i="26"/>
  <c r="L46" i="26"/>
  <c r="M46" i="26"/>
  <c r="L47" i="26"/>
  <c r="M47" i="26"/>
  <c r="L48" i="26"/>
  <c r="M48" i="26"/>
  <c r="L49" i="26"/>
  <c r="M49" i="26"/>
  <c r="L50" i="26"/>
  <c r="M50" i="26"/>
  <c r="L51" i="26"/>
  <c r="M51" i="26"/>
  <c r="L52" i="26"/>
  <c r="M52" i="26"/>
  <c r="L53" i="26"/>
  <c r="M53" i="26"/>
  <c r="L54" i="26"/>
  <c r="M54" i="26"/>
  <c r="L6" i="26"/>
  <c r="M6" i="26"/>
  <c r="L7" i="26"/>
  <c r="M7" i="26"/>
  <c r="L8" i="26"/>
  <c r="M8" i="26"/>
  <c r="L9" i="26"/>
  <c r="M9" i="26"/>
  <c r="L10" i="26"/>
  <c r="M10" i="26"/>
  <c r="L11" i="26"/>
  <c r="M11" i="26"/>
  <c r="L12" i="26"/>
  <c r="M12" i="26"/>
  <c r="L13" i="26"/>
  <c r="M13" i="26"/>
  <c r="L14" i="26"/>
  <c r="M14" i="26"/>
  <c r="L15" i="26"/>
  <c r="M15" i="26"/>
  <c r="L16" i="26"/>
  <c r="M16" i="26"/>
  <c r="L17" i="26"/>
  <c r="M17" i="26"/>
  <c r="L18" i="26"/>
  <c r="M18" i="26"/>
  <c r="L19" i="26"/>
  <c r="M19" i="26"/>
  <c r="L20" i="26"/>
  <c r="M20" i="26"/>
  <c r="L21" i="26"/>
  <c r="M21" i="26"/>
  <c r="L22" i="26"/>
  <c r="M22" i="26"/>
  <c r="L23" i="26"/>
  <c r="M23" i="26"/>
  <c r="L24" i="26"/>
  <c r="M24" i="26"/>
  <c r="L25" i="26"/>
  <c r="M25" i="26"/>
  <c r="L26" i="26"/>
  <c r="M26" i="26"/>
  <c r="L27" i="26"/>
  <c r="M27" i="26"/>
  <c r="L28" i="26"/>
  <c r="M28" i="26"/>
  <c r="L29" i="26"/>
  <c r="M29" i="26"/>
  <c r="L30" i="26"/>
  <c r="M30" i="26"/>
  <c r="L31" i="26"/>
  <c r="M31" i="26"/>
  <c r="M5" i="26"/>
  <c r="L5" i="26"/>
  <c r="G83" i="29"/>
  <c r="G65" i="29"/>
  <c r="G53" i="29"/>
  <c r="G35" i="29"/>
  <c r="G23" i="29"/>
  <c r="G35" i="28"/>
  <c r="G53" i="28"/>
  <c r="G161" i="27"/>
  <c r="F161" i="27"/>
  <c r="G158" i="27"/>
  <c r="F158" i="27"/>
  <c r="G155" i="27"/>
  <c r="F155" i="27"/>
  <c r="G152" i="27"/>
  <c r="F152" i="27"/>
  <c r="G149" i="27"/>
  <c r="F149" i="27"/>
  <c r="G146" i="27"/>
  <c r="F146" i="27"/>
  <c r="G143" i="27"/>
  <c r="F143" i="27"/>
  <c r="G140" i="27"/>
  <c r="F140" i="27"/>
  <c r="G137" i="27"/>
  <c r="F137" i="27"/>
  <c r="G134" i="27"/>
  <c r="F134" i="27"/>
  <c r="G131" i="27"/>
  <c r="F131" i="27"/>
  <c r="G128" i="27"/>
  <c r="F128" i="27"/>
  <c r="G125" i="27"/>
  <c r="F125" i="27"/>
  <c r="G122" i="27"/>
  <c r="F122" i="27"/>
  <c r="G116" i="27"/>
  <c r="F116" i="27"/>
  <c r="D116" i="27"/>
  <c r="D119" i="27" s="1"/>
  <c r="D122" i="27" s="1"/>
  <c r="D125" i="27" s="1"/>
  <c r="D128" i="27" s="1"/>
  <c r="D131" i="27" s="1"/>
  <c r="D134" i="27" s="1"/>
  <c r="D137" i="27" s="1"/>
  <c r="D140" i="27" s="1"/>
  <c r="D143" i="27" s="1"/>
  <c r="D146" i="27" s="1"/>
  <c r="D149" i="27" s="1"/>
  <c r="D152" i="27" s="1"/>
  <c r="D155" i="27" s="1"/>
  <c r="G113" i="27"/>
  <c r="F113" i="27"/>
  <c r="G107" i="27"/>
  <c r="F107" i="27"/>
  <c r="G104" i="27"/>
  <c r="F104" i="27"/>
  <c r="G101" i="27"/>
  <c r="F101" i="27"/>
  <c r="G98" i="27"/>
  <c r="F98" i="27"/>
  <c r="G95" i="27"/>
  <c r="F95" i="27"/>
  <c r="G92" i="27"/>
  <c r="F92" i="27"/>
  <c r="G89" i="27"/>
  <c r="F89" i="27"/>
  <c r="G86" i="27"/>
  <c r="F86" i="27"/>
  <c r="G83" i="27"/>
  <c r="F83" i="27"/>
  <c r="G80" i="27"/>
  <c r="F80" i="27"/>
  <c r="G77" i="27"/>
  <c r="F77" i="27"/>
  <c r="G74" i="27"/>
  <c r="F74" i="27"/>
  <c r="G71" i="27"/>
  <c r="F71" i="27"/>
  <c r="G68" i="27"/>
  <c r="F68" i="27"/>
  <c r="G62" i="27"/>
  <c r="F62" i="27"/>
  <c r="D62" i="27"/>
  <c r="D65" i="27" s="1"/>
  <c r="D68" i="27" s="1"/>
  <c r="D71" i="27" s="1"/>
  <c r="D74" i="27" s="1"/>
  <c r="D77" i="27" s="1"/>
  <c r="D80" i="27" s="1"/>
  <c r="D83" i="27" s="1"/>
  <c r="D86" i="27" s="1"/>
  <c r="D89" i="27" s="1"/>
  <c r="D92" i="27" s="1"/>
  <c r="D95" i="27" s="1"/>
  <c r="D98" i="27" s="1"/>
  <c r="D101" i="27" s="1"/>
  <c r="G59" i="27"/>
  <c r="F59" i="27"/>
  <c r="G53" i="27"/>
  <c r="F53" i="27"/>
  <c r="G50" i="27"/>
  <c r="F50" i="27"/>
  <c r="G47" i="27"/>
  <c r="F47" i="27"/>
  <c r="G44" i="27"/>
  <c r="F44" i="27"/>
  <c r="G41" i="27"/>
  <c r="F41" i="27"/>
  <c r="G38" i="27"/>
  <c r="F38" i="27"/>
  <c r="G35" i="27"/>
  <c r="F35" i="27"/>
  <c r="G32" i="27"/>
  <c r="F32" i="27"/>
  <c r="G29" i="27"/>
  <c r="F29" i="27"/>
  <c r="G26" i="27"/>
  <c r="F26" i="27"/>
  <c r="G23" i="27"/>
  <c r="F23" i="27"/>
  <c r="G20" i="27"/>
  <c r="F20" i="27"/>
  <c r="G17" i="27"/>
  <c r="F17" i="27"/>
  <c r="G14" i="27"/>
  <c r="F14" i="27"/>
  <c r="F11" i="27"/>
  <c r="G8" i="27"/>
  <c r="F8" i="27"/>
  <c r="G5" i="27"/>
  <c r="F5" i="27"/>
  <c r="D8" i="27"/>
  <c r="D11" i="27" s="1"/>
  <c r="D14" i="27" s="1"/>
  <c r="D17" i="27" s="1"/>
  <c r="D20" i="27" s="1"/>
  <c r="D23" i="27" s="1"/>
  <c r="D26" i="27" s="1"/>
  <c r="D29" i="27" s="1"/>
  <c r="D32" i="27" s="1"/>
  <c r="D35" i="27" s="1"/>
  <c r="D38" i="27" s="1"/>
  <c r="D41" i="27" s="1"/>
  <c r="D44" i="27" s="1"/>
  <c r="D47" i="27" s="1"/>
  <c r="I52" i="29"/>
  <c r="J52" i="29"/>
  <c r="H52" i="29"/>
  <c r="J51" i="29"/>
  <c r="I51" i="29"/>
  <c r="H51" i="29"/>
  <c r="J50" i="29"/>
  <c r="I50" i="29"/>
  <c r="H50" i="29"/>
  <c r="J47" i="29"/>
  <c r="I47" i="29"/>
  <c r="H47" i="29"/>
  <c r="H48" i="29"/>
  <c r="H89" i="29"/>
  <c r="I90" i="29"/>
  <c r="J87" i="29"/>
  <c r="I87" i="29"/>
  <c r="H87" i="29"/>
  <c r="J91" i="29"/>
  <c r="J90" i="29"/>
  <c r="J89" i="29"/>
  <c r="J88" i="29"/>
  <c r="J86" i="29"/>
  <c r="I91" i="29"/>
  <c r="I89" i="29"/>
  <c r="I88" i="29"/>
  <c r="I86" i="29"/>
  <c r="H91" i="29"/>
  <c r="H90" i="29"/>
  <c r="H88" i="29"/>
  <c r="H86" i="29"/>
  <c r="H80" i="29"/>
  <c r="I80" i="29"/>
  <c r="J81" i="29"/>
  <c r="H81" i="29"/>
  <c r="I81" i="29"/>
  <c r="I82" i="29"/>
  <c r="H82" i="29"/>
  <c r="J80" i="29"/>
  <c r="J74" i="29"/>
  <c r="I74" i="29"/>
  <c r="H74" i="29"/>
  <c r="J76" i="29"/>
  <c r="I76" i="29"/>
  <c r="H76" i="29"/>
  <c r="J75" i="29"/>
  <c r="I75" i="29"/>
  <c r="H75" i="29"/>
  <c r="I89" i="28"/>
  <c r="H89" i="28"/>
  <c r="J89" i="28"/>
  <c r="J90" i="28"/>
  <c r="I90" i="28"/>
  <c r="H90" i="28"/>
  <c r="J91" i="28"/>
  <c r="I91" i="28"/>
  <c r="H91" i="28"/>
  <c r="H87" i="28"/>
  <c r="I87" i="28"/>
  <c r="I88" i="28"/>
  <c r="H88" i="28"/>
  <c r="J86" i="28"/>
  <c r="I86" i="28"/>
  <c r="H86" i="28"/>
  <c r="J87" i="28"/>
  <c r="J88" i="28"/>
  <c r="H38" i="28"/>
  <c r="I38" i="28"/>
  <c r="J38" i="28"/>
  <c r="H40" i="28"/>
  <c r="J40" i="28"/>
  <c r="J39" i="28"/>
  <c r="I40" i="28"/>
  <c r="I39" i="28"/>
  <c r="H39" i="28"/>
  <c r="Q130" i="27"/>
  <c r="Q126" i="27"/>
  <c r="Q122" i="27"/>
  <c r="O109" i="27"/>
  <c r="O108" i="27"/>
  <c r="O107" i="27"/>
  <c r="O106" i="27"/>
  <c r="O105" i="27"/>
  <c r="O104" i="27"/>
  <c r="O103" i="27"/>
  <c r="O102" i="27"/>
  <c r="O101" i="27"/>
  <c r="O100" i="27"/>
  <c r="O99" i="27"/>
  <c r="O98" i="27"/>
  <c r="O97" i="27"/>
  <c r="O96" i="27"/>
  <c r="O95" i="27"/>
  <c r="O94" i="27"/>
  <c r="O93" i="27"/>
  <c r="O92" i="27"/>
  <c r="O91" i="27"/>
  <c r="O90" i="27"/>
  <c r="O89" i="27"/>
  <c r="O88" i="27"/>
  <c r="O87" i="27"/>
  <c r="O86" i="27"/>
  <c r="O85" i="27"/>
  <c r="O84" i="27"/>
  <c r="O83" i="27"/>
  <c r="O82" i="27"/>
  <c r="O81" i="27"/>
  <c r="O80" i="27"/>
  <c r="O79" i="27"/>
  <c r="Q79" i="27" s="1"/>
  <c r="O78" i="27"/>
  <c r="O77" i="27"/>
  <c r="Q77" i="27" s="1"/>
  <c r="O76" i="27"/>
  <c r="Q76" i="27" s="1"/>
  <c r="O75" i="27"/>
  <c r="O74" i="27"/>
  <c r="O73" i="27"/>
  <c r="O72" i="27"/>
  <c r="O71" i="27"/>
  <c r="O70" i="27"/>
  <c r="Q70" i="27" s="1"/>
  <c r="O69" i="27"/>
  <c r="Q69" i="27" s="1"/>
  <c r="O68" i="27"/>
  <c r="Q68" i="27" s="1"/>
  <c r="O67" i="27"/>
  <c r="O66" i="27"/>
  <c r="O65" i="27"/>
  <c r="Q74" i="27"/>
  <c r="Q78" i="27"/>
  <c r="O64" i="27"/>
  <c r="O63" i="27"/>
  <c r="O62" i="27"/>
  <c r="O61" i="27"/>
  <c r="O60" i="27"/>
  <c r="O59" i="27"/>
  <c r="O55" i="27"/>
  <c r="O54" i="27"/>
  <c r="O53" i="27"/>
  <c r="O52" i="27"/>
  <c r="O51" i="27"/>
  <c r="O50" i="27"/>
  <c r="O49" i="27"/>
  <c r="O48" i="27"/>
  <c r="O47" i="27"/>
  <c r="O46" i="27"/>
  <c r="O45" i="27"/>
  <c r="O44" i="27"/>
  <c r="O43" i="27"/>
  <c r="O42" i="27"/>
  <c r="O41" i="27"/>
  <c r="O40" i="27"/>
  <c r="O39" i="27"/>
  <c r="O38" i="27"/>
  <c r="O37" i="27"/>
  <c r="O36" i="27"/>
  <c r="O35" i="27"/>
  <c r="O34" i="27"/>
  <c r="O33" i="27"/>
  <c r="O32" i="27"/>
  <c r="O31" i="27"/>
  <c r="O30" i="27"/>
  <c r="O29" i="27"/>
  <c r="O28" i="27"/>
  <c r="O27" i="27"/>
  <c r="O26" i="27"/>
  <c r="O25" i="27"/>
  <c r="O24" i="27"/>
  <c r="O23" i="27"/>
  <c r="Q23" i="27" s="1"/>
  <c r="Q133" i="27"/>
  <c r="Q132" i="27"/>
  <c r="Q131" i="27"/>
  <c r="Q129" i="27"/>
  <c r="Q128" i="27"/>
  <c r="Q127" i="27"/>
  <c r="Q125" i="27"/>
  <c r="Q124" i="27"/>
  <c r="Q123" i="27"/>
  <c r="Q75" i="27"/>
  <c r="Q73" i="27"/>
  <c r="Q72" i="27"/>
  <c r="Q71" i="27"/>
  <c r="Q25" i="27"/>
  <c r="Q24" i="27"/>
  <c r="Q124" i="26"/>
  <c r="Q128" i="26"/>
  <c r="Q132" i="26"/>
  <c r="Q133" i="26"/>
  <c r="Q131" i="26"/>
  <c r="Q130" i="26"/>
  <c r="Q129" i="26"/>
  <c r="Q127" i="26"/>
  <c r="Q126" i="26"/>
  <c r="Q125" i="26"/>
  <c r="Q123" i="26"/>
  <c r="Q122" i="26"/>
  <c r="D158" i="27" l="1"/>
  <c r="D161" i="27"/>
  <c r="D104" i="27"/>
  <c r="D107" i="27"/>
  <c r="D53" i="27"/>
  <c r="D50" i="27"/>
  <c r="G70" i="25" l="1"/>
  <c r="F70" i="25"/>
  <c r="H70" i="25"/>
  <c r="F69" i="25"/>
  <c r="G69" i="25"/>
  <c r="H69" i="25"/>
  <c r="F68" i="25"/>
  <c r="G68" i="25"/>
  <c r="H68" i="25"/>
  <c r="G67" i="25"/>
  <c r="H67" i="25"/>
  <c r="F67" i="25"/>
  <c r="F66" i="25"/>
  <c r="H66" i="25"/>
  <c r="G66" i="25"/>
  <c r="G65" i="25"/>
  <c r="F65" i="25"/>
  <c r="H65" i="25"/>
  <c r="F64" i="25"/>
  <c r="H64" i="25"/>
  <c r="G64" i="25"/>
  <c r="H70" i="24"/>
  <c r="G70" i="24"/>
  <c r="F70" i="24"/>
  <c r="F69" i="24"/>
  <c r="G69" i="24"/>
  <c r="H69" i="24"/>
  <c r="H68" i="24"/>
  <c r="G68" i="24"/>
  <c r="F68" i="24"/>
  <c r="H67" i="24"/>
  <c r="G67" i="24"/>
  <c r="F67" i="24"/>
  <c r="G66" i="24"/>
  <c r="F66" i="24"/>
  <c r="H66" i="24"/>
  <c r="H65" i="24"/>
  <c r="G65" i="24"/>
  <c r="F65" i="24"/>
  <c r="O22" i="27" l="1"/>
  <c r="Q22" i="27" s="1"/>
  <c r="O21" i="27"/>
  <c r="Q21" i="27" s="1"/>
  <c r="O20" i="27"/>
  <c r="Q20" i="27" s="1"/>
  <c r="O19" i="27"/>
  <c r="Q19" i="27" s="1"/>
  <c r="O18" i="27"/>
  <c r="Q18" i="27" s="1"/>
  <c r="O17" i="27"/>
  <c r="Q17" i="27" s="1"/>
  <c r="O16" i="27"/>
  <c r="Q16" i="27" s="1"/>
  <c r="O15" i="27"/>
  <c r="Q15" i="27" s="1"/>
  <c r="O14" i="27"/>
  <c r="Q14" i="27" s="1"/>
  <c r="O13" i="27"/>
  <c r="O12" i="27"/>
  <c r="O11" i="27"/>
  <c r="O10" i="27"/>
  <c r="O9" i="27"/>
  <c r="O8" i="27"/>
  <c r="O7" i="27"/>
  <c r="O6" i="27"/>
  <c r="O5" i="27"/>
  <c r="O109" i="26"/>
  <c r="O108" i="26"/>
  <c r="O107" i="26"/>
  <c r="O106" i="26"/>
  <c r="O105" i="26"/>
  <c r="O104" i="26"/>
  <c r="O103" i="26"/>
  <c r="O102" i="26"/>
  <c r="O101" i="26"/>
  <c r="O100" i="26"/>
  <c r="O99" i="26"/>
  <c r="O98" i="26"/>
  <c r="O97" i="26"/>
  <c r="O96" i="26"/>
  <c r="O95" i="26"/>
  <c r="O94" i="26"/>
  <c r="O93" i="26"/>
  <c r="O92" i="26"/>
  <c r="O91" i="26"/>
  <c r="O90" i="26"/>
  <c r="O89" i="26"/>
  <c r="O88" i="26"/>
  <c r="O87" i="26"/>
  <c r="O86" i="26"/>
  <c r="O85" i="26"/>
  <c r="O84" i="26"/>
  <c r="O83" i="26"/>
  <c r="O82" i="26"/>
  <c r="O81" i="26"/>
  <c r="O80" i="26"/>
  <c r="O79" i="26"/>
  <c r="Q79" i="26" s="1"/>
  <c r="O78" i="26"/>
  <c r="Q78" i="26" s="1"/>
  <c r="O77" i="26"/>
  <c r="Q77" i="26" s="1"/>
  <c r="O76" i="26"/>
  <c r="Q76" i="26" s="1"/>
  <c r="O75" i="26"/>
  <c r="Q75" i="26" s="1"/>
  <c r="O74" i="26"/>
  <c r="Q74" i="26" s="1"/>
  <c r="O73" i="26"/>
  <c r="Q73" i="26" s="1"/>
  <c r="O72" i="26"/>
  <c r="Q72" i="26" s="1"/>
  <c r="O71" i="26"/>
  <c r="Q71" i="26" s="1"/>
  <c r="O70" i="26"/>
  <c r="O69" i="26"/>
  <c r="O68" i="26"/>
  <c r="O67" i="26"/>
  <c r="O66" i="26"/>
  <c r="O65" i="26"/>
  <c r="O64" i="26"/>
  <c r="O63" i="26"/>
  <c r="O62" i="26"/>
  <c r="O61" i="26"/>
  <c r="O60" i="26"/>
  <c r="O59" i="26"/>
  <c r="M91" i="29" l="1"/>
  <c r="L91" i="29"/>
  <c r="K91" i="29"/>
  <c r="M90" i="29"/>
  <c r="L90" i="29"/>
  <c r="K90" i="29"/>
  <c r="M89" i="29"/>
  <c r="L89" i="29"/>
  <c r="K89" i="29"/>
  <c r="M88" i="29"/>
  <c r="L88" i="29"/>
  <c r="K88" i="29"/>
  <c r="M87" i="29"/>
  <c r="L87" i="29"/>
  <c r="K87" i="29"/>
  <c r="M86" i="29"/>
  <c r="L86" i="29"/>
  <c r="K86" i="29"/>
  <c r="J82" i="29"/>
  <c r="M82" i="29" s="1"/>
  <c r="L82" i="29"/>
  <c r="K82" i="29"/>
  <c r="M81" i="29"/>
  <c r="L81" i="29"/>
  <c r="K81" i="29"/>
  <c r="M80" i="29"/>
  <c r="L80" i="29"/>
  <c r="K80" i="29"/>
  <c r="J79" i="29"/>
  <c r="M79" i="29" s="1"/>
  <c r="I79" i="29"/>
  <c r="L79" i="29" s="1"/>
  <c r="H79" i="29"/>
  <c r="K79" i="29" s="1"/>
  <c r="J78" i="29"/>
  <c r="M78" i="29" s="1"/>
  <c r="I78" i="29"/>
  <c r="L78" i="29" s="1"/>
  <c r="H78" i="29"/>
  <c r="K78" i="29" s="1"/>
  <c r="J77" i="29"/>
  <c r="M77" i="29" s="1"/>
  <c r="I77" i="29"/>
  <c r="L77" i="29" s="1"/>
  <c r="H77" i="29"/>
  <c r="K77" i="29" s="1"/>
  <c r="M76" i="29"/>
  <c r="L76" i="29"/>
  <c r="K76" i="29"/>
  <c r="M75" i="29"/>
  <c r="L75" i="29"/>
  <c r="K75" i="29"/>
  <c r="M74" i="29"/>
  <c r="L74" i="29"/>
  <c r="K74" i="29"/>
  <c r="J73" i="29"/>
  <c r="M73" i="29" s="1"/>
  <c r="I73" i="29"/>
  <c r="L73" i="29" s="1"/>
  <c r="H73" i="29"/>
  <c r="K73" i="29" s="1"/>
  <c r="J72" i="29"/>
  <c r="M72" i="29" s="1"/>
  <c r="I72" i="29"/>
  <c r="L72" i="29" s="1"/>
  <c r="H72" i="29"/>
  <c r="K72" i="29" s="1"/>
  <c r="J71" i="29"/>
  <c r="M71" i="29" s="1"/>
  <c r="I71" i="29"/>
  <c r="L71" i="29" s="1"/>
  <c r="H71" i="29"/>
  <c r="K71" i="29" s="1"/>
  <c r="J70" i="29"/>
  <c r="M70" i="29" s="1"/>
  <c r="I70" i="29"/>
  <c r="L70" i="29" s="1"/>
  <c r="H70" i="29"/>
  <c r="K70" i="29" s="1"/>
  <c r="J69" i="29"/>
  <c r="M69" i="29" s="1"/>
  <c r="I69" i="29"/>
  <c r="L69" i="29" s="1"/>
  <c r="H69" i="29"/>
  <c r="K69" i="29" s="1"/>
  <c r="J68" i="29"/>
  <c r="M68" i="29" s="1"/>
  <c r="I68" i="29"/>
  <c r="L68" i="29" s="1"/>
  <c r="H68" i="29"/>
  <c r="K68" i="29" s="1"/>
  <c r="H67" i="29"/>
  <c r="K67" i="29" s="1"/>
  <c r="M91" i="28"/>
  <c r="L91" i="28"/>
  <c r="K91" i="28"/>
  <c r="M90" i="28"/>
  <c r="L90" i="28"/>
  <c r="K90" i="28"/>
  <c r="M89" i="28"/>
  <c r="L89" i="28"/>
  <c r="K89" i="28"/>
  <c r="M88" i="28"/>
  <c r="L88" i="28"/>
  <c r="K88" i="28"/>
  <c r="M87" i="28"/>
  <c r="L87" i="28"/>
  <c r="K87" i="28"/>
  <c r="M86" i="28"/>
  <c r="L86" i="28"/>
  <c r="K86" i="28"/>
  <c r="G83" i="28"/>
  <c r="J82" i="28"/>
  <c r="M82" i="28" s="1"/>
  <c r="I82" i="28"/>
  <c r="L82" i="28" s="1"/>
  <c r="H82" i="28"/>
  <c r="K82" i="28" s="1"/>
  <c r="J81" i="28"/>
  <c r="M81" i="28" s="1"/>
  <c r="I81" i="28"/>
  <c r="L81" i="28" s="1"/>
  <c r="H81" i="28"/>
  <c r="K81" i="28" s="1"/>
  <c r="J80" i="28"/>
  <c r="M80" i="28" s="1"/>
  <c r="I80" i="28"/>
  <c r="L80" i="28" s="1"/>
  <c r="H80" i="28"/>
  <c r="K80" i="28" s="1"/>
  <c r="J79" i="28"/>
  <c r="M79" i="28" s="1"/>
  <c r="I79" i="28"/>
  <c r="L79" i="28" s="1"/>
  <c r="H79" i="28"/>
  <c r="K79" i="28" s="1"/>
  <c r="J78" i="28"/>
  <c r="M78" i="28" s="1"/>
  <c r="I78" i="28"/>
  <c r="L78" i="28" s="1"/>
  <c r="H78" i="28"/>
  <c r="K78" i="28" s="1"/>
  <c r="J77" i="28"/>
  <c r="M77" i="28" s="1"/>
  <c r="I77" i="28"/>
  <c r="L77" i="28" s="1"/>
  <c r="H77" i="28"/>
  <c r="K77" i="28" s="1"/>
  <c r="J76" i="28"/>
  <c r="M76" i="28" s="1"/>
  <c r="I76" i="28"/>
  <c r="L76" i="28" s="1"/>
  <c r="H76" i="28"/>
  <c r="K76" i="28" s="1"/>
  <c r="J75" i="28"/>
  <c r="M75" i="28" s="1"/>
  <c r="I75" i="28"/>
  <c r="L75" i="28" s="1"/>
  <c r="H75" i="28"/>
  <c r="K75" i="28" s="1"/>
  <c r="J74" i="28"/>
  <c r="M74" i="28" s="1"/>
  <c r="I74" i="28"/>
  <c r="L74" i="28" s="1"/>
  <c r="H74" i="28"/>
  <c r="K74" i="28" s="1"/>
  <c r="J73" i="28"/>
  <c r="M73" i="28" s="1"/>
  <c r="I73" i="28"/>
  <c r="L73" i="28" s="1"/>
  <c r="H73" i="28"/>
  <c r="K73" i="28" s="1"/>
  <c r="J72" i="28"/>
  <c r="M72" i="28" s="1"/>
  <c r="I72" i="28"/>
  <c r="L72" i="28" s="1"/>
  <c r="H72" i="28"/>
  <c r="K72" i="28" s="1"/>
  <c r="J71" i="28"/>
  <c r="M71" i="28" s="1"/>
  <c r="I71" i="28"/>
  <c r="L71" i="28" s="1"/>
  <c r="H71" i="28"/>
  <c r="K71" i="28" s="1"/>
  <c r="J70" i="28"/>
  <c r="M70" i="28" s="1"/>
  <c r="I70" i="28"/>
  <c r="L70" i="28" s="1"/>
  <c r="H70" i="28"/>
  <c r="K70" i="28" s="1"/>
  <c r="J69" i="28"/>
  <c r="M69" i="28" s="1"/>
  <c r="I69" i="28"/>
  <c r="L69" i="28" s="1"/>
  <c r="H69" i="28"/>
  <c r="K69" i="28" s="1"/>
  <c r="J68" i="28"/>
  <c r="M68" i="28" s="1"/>
  <c r="I68" i="28"/>
  <c r="L68" i="28" s="1"/>
  <c r="H68" i="28"/>
  <c r="K68" i="28" s="1"/>
  <c r="G65" i="28"/>
  <c r="H67" i="28" s="1"/>
  <c r="K67" i="28" s="1"/>
  <c r="J61" i="29"/>
  <c r="M61" i="29" s="1"/>
  <c r="I61" i="29"/>
  <c r="L61" i="29" s="1"/>
  <c r="H61" i="29"/>
  <c r="K61" i="29" s="1"/>
  <c r="J60" i="29"/>
  <c r="M60" i="29" s="1"/>
  <c r="I60" i="29"/>
  <c r="L60" i="29" s="1"/>
  <c r="H60" i="29"/>
  <c r="K60" i="29" s="1"/>
  <c r="J59" i="29"/>
  <c r="M59" i="29" s="1"/>
  <c r="I59" i="29"/>
  <c r="L59" i="29" s="1"/>
  <c r="H59" i="29"/>
  <c r="K59" i="29" s="1"/>
  <c r="J58" i="29"/>
  <c r="M58" i="29" s="1"/>
  <c r="I58" i="29"/>
  <c r="L58" i="29" s="1"/>
  <c r="H58" i="29"/>
  <c r="K58" i="29" s="1"/>
  <c r="J57" i="29"/>
  <c r="M57" i="29" s="1"/>
  <c r="I57" i="29"/>
  <c r="L57" i="29" s="1"/>
  <c r="H57" i="29"/>
  <c r="K57" i="29" s="1"/>
  <c r="J56" i="29"/>
  <c r="M56" i="29" s="1"/>
  <c r="I56" i="29"/>
  <c r="L56" i="29" s="1"/>
  <c r="H56" i="29"/>
  <c r="K56" i="29" s="1"/>
  <c r="I55" i="29"/>
  <c r="L55" i="29" s="1"/>
  <c r="M52" i="29"/>
  <c r="L52" i="29"/>
  <c r="K52" i="29"/>
  <c r="M51" i="29"/>
  <c r="L51" i="29"/>
  <c r="K51" i="29"/>
  <c r="M50" i="29"/>
  <c r="L50" i="29"/>
  <c r="K50" i="29"/>
  <c r="J49" i="29"/>
  <c r="M49" i="29" s="1"/>
  <c r="I49" i="29"/>
  <c r="L49" i="29" s="1"/>
  <c r="H49" i="29"/>
  <c r="K49" i="29" s="1"/>
  <c r="J48" i="29"/>
  <c r="M48" i="29" s="1"/>
  <c r="I48" i="29"/>
  <c r="L48" i="29" s="1"/>
  <c r="K48" i="29"/>
  <c r="M47" i="29"/>
  <c r="L47" i="29"/>
  <c r="K47" i="29"/>
  <c r="J46" i="29"/>
  <c r="M46" i="29" s="1"/>
  <c r="I46" i="29"/>
  <c r="L46" i="29" s="1"/>
  <c r="H46" i="29"/>
  <c r="K46" i="29" s="1"/>
  <c r="J45" i="29"/>
  <c r="M45" i="29" s="1"/>
  <c r="I45" i="29"/>
  <c r="L45" i="29" s="1"/>
  <c r="H45" i="29"/>
  <c r="K45" i="29" s="1"/>
  <c r="J44" i="29"/>
  <c r="M44" i="29" s="1"/>
  <c r="I44" i="29"/>
  <c r="L44" i="29" s="1"/>
  <c r="H44" i="29"/>
  <c r="K44" i="29" s="1"/>
  <c r="J43" i="29"/>
  <c r="M43" i="29" s="1"/>
  <c r="I43" i="29"/>
  <c r="L43" i="29" s="1"/>
  <c r="H43" i="29"/>
  <c r="K43" i="29" s="1"/>
  <c r="J42" i="29"/>
  <c r="M42" i="29" s="1"/>
  <c r="I42" i="29"/>
  <c r="L42" i="29" s="1"/>
  <c r="H42" i="29"/>
  <c r="K42" i="29" s="1"/>
  <c r="J41" i="29"/>
  <c r="M41" i="29" s="1"/>
  <c r="I41" i="29"/>
  <c r="L41" i="29" s="1"/>
  <c r="H41" i="29"/>
  <c r="K41" i="29" s="1"/>
  <c r="J40" i="29"/>
  <c r="M40" i="29" s="1"/>
  <c r="I40" i="29"/>
  <c r="L40" i="29" s="1"/>
  <c r="H40" i="29"/>
  <c r="K40" i="29" s="1"/>
  <c r="J39" i="29"/>
  <c r="M39" i="29" s="1"/>
  <c r="I39" i="29"/>
  <c r="L39" i="29" s="1"/>
  <c r="H39" i="29"/>
  <c r="K39" i="29" s="1"/>
  <c r="J38" i="29"/>
  <c r="M38" i="29" s="1"/>
  <c r="I38" i="29"/>
  <c r="L38" i="29" s="1"/>
  <c r="H38" i="29"/>
  <c r="K38" i="29" s="1"/>
  <c r="H37" i="29"/>
  <c r="K37" i="29" s="1"/>
  <c r="J65" i="29" l="1"/>
  <c r="M65" i="29" s="1"/>
  <c r="J84" i="29"/>
  <c r="H85" i="29"/>
  <c r="K85" i="29" s="1"/>
  <c r="I84" i="29"/>
  <c r="L84" i="29" s="1"/>
  <c r="J83" i="29"/>
  <c r="H83" i="29"/>
  <c r="K83" i="29" s="1"/>
  <c r="H84" i="29"/>
  <c r="K84" i="29" s="1"/>
  <c r="I85" i="29"/>
  <c r="J85" i="29"/>
  <c r="I83" i="29"/>
  <c r="L83" i="29" s="1"/>
  <c r="J85" i="28"/>
  <c r="H83" i="28"/>
  <c r="J84" i="28"/>
  <c r="I85" i="28"/>
  <c r="L85" i="28" s="1"/>
  <c r="J83" i="28"/>
  <c r="I84" i="28"/>
  <c r="H85" i="28"/>
  <c r="H84" i="28"/>
  <c r="I83" i="28"/>
  <c r="M85" i="29"/>
  <c r="N81" i="29"/>
  <c r="O81" i="29" s="1"/>
  <c r="M84" i="29"/>
  <c r="L85" i="29"/>
  <c r="I67" i="29"/>
  <c r="L67" i="29" s="1"/>
  <c r="M83" i="29"/>
  <c r="N71" i="29"/>
  <c r="O71" i="29" s="1"/>
  <c r="N75" i="29"/>
  <c r="O75" i="29" s="1"/>
  <c r="N86" i="29"/>
  <c r="O86" i="29" s="1"/>
  <c r="N87" i="29"/>
  <c r="O87" i="29" s="1"/>
  <c r="N88" i="29"/>
  <c r="O88" i="29" s="1"/>
  <c r="N89" i="29"/>
  <c r="O89" i="29" s="1"/>
  <c r="N90" i="29"/>
  <c r="O90" i="29" s="1"/>
  <c r="N91" i="29"/>
  <c r="O91" i="29" s="1"/>
  <c r="N68" i="29"/>
  <c r="O68" i="29" s="1"/>
  <c r="N72" i="29"/>
  <c r="O72" i="29" s="1"/>
  <c r="N76" i="29"/>
  <c r="O76" i="29" s="1"/>
  <c r="N82" i="29"/>
  <c r="O82" i="29" s="1"/>
  <c r="I37" i="29"/>
  <c r="L37" i="29" s="1"/>
  <c r="I66" i="29"/>
  <c r="L66" i="29" s="1"/>
  <c r="J67" i="29"/>
  <c r="M67" i="29" s="1"/>
  <c r="N67" i="29" s="1"/>
  <c r="O67" i="29" s="1"/>
  <c r="N69" i="29"/>
  <c r="O69" i="29" s="1"/>
  <c r="N73" i="29"/>
  <c r="O73" i="29" s="1"/>
  <c r="N77" i="29"/>
  <c r="O77" i="29" s="1"/>
  <c r="I65" i="29"/>
  <c r="L65" i="29" s="1"/>
  <c r="J66" i="29"/>
  <c r="M66" i="29" s="1"/>
  <c r="N70" i="29"/>
  <c r="O70" i="29" s="1"/>
  <c r="N74" i="29"/>
  <c r="O74" i="29" s="1"/>
  <c r="N78" i="29"/>
  <c r="O78" i="29" s="1"/>
  <c r="N79" i="29"/>
  <c r="O79" i="29" s="1"/>
  <c r="N80" i="29"/>
  <c r="O80" i="29" s="1"/>
  <c r="H65" i="29"/>
  <c r="K65" i="29" s="1"/>
  <c r="N65" i="29" s="1"/>
  <c r="O65" i="29" s="1"/>
  <c r="H66" i="29"/>
  <c r="K66" i="29" s="1"/>
  <c r="N79" i="28"/>
  <c r="O79" i="28" s="1"/>
  <c r="N75" i="28"/>
  <c r="O75" i="28" s="1"/>
  <c r="M83" i="28"/>
  <c r="M84" i="28"/>
  <c r="N69" i="28"/>
  <c r="O69" i="28" s="1"/>
  <c r="N88" i="28"/>
  <c r="O88" i="28" s="1"/>
  <c r="N90" i="28"/>
  <c r="O90" i="28" s="1"/>
  <c r="I65" i="28"/>
  <c r="L65" i="28" s="1"/>
  <c r="J65" i="28"/>
  <c r="M65" i="28" s="1"/>
  <c r="I66" i="28"/>
  <c r="L66" i="28" s="1"/>
  <c r="J67" i="28"/>
  <c r="M67" i="28" s="1"/>
  <c r="N86" i="28"/>
  <c r="O86" i="28" s="1"/>
  <c r="N87" i="28"/>
  <c r="O87" i="28" s="1"/>
  <c r="N89" i="28"/>
  <c r="O89" i="28" s="1"/>
  <c r="N91" i="28"/>
  <c r="O91" i="28" s="1"/>
  <c r="J66" i="28"/>
  <c r="M66" i="28" s="1"/>
  <c r="N70" i="28"/>
  <c r="O70" i="28" s="1"/>
  <c r="N76" i="28"/>
  <c r="O76" i="28" s="1"/>
  <c r="N80" i="28"/>
  <c r="O80" i="28" s="1"/>
  <c r="N71" i="28"/>
  <c r="O71" i="28" s="1"/>
  <c r="K83" i="28"/>
  <c r="K84" i="28"/>
  <c r="K85" i="28"/>
  <c r="I67" i="28"/>
  <c r="L67" i="28" s="1"/>
  <c r="N68" i="28"/>
  <c r="O68" i="28" s="1"/>
  <c r="N72" i="28"/>
  <c r="O72" i="28" s="1"/>
  <c r="L83" i="28"/>
  <c r="L84" i="28"/>
  <c r="M85" i="28"/>
  <c r="N73" i="28"/>
  <c r="O73" i="28" s="1"/>
  <c r="N77" i="28"/>
  <c r="O77" i="28" s="1"/>
  <c r="N81" i="28"/>
  <c r="O81" i="28" s="1"/>
  <c r="N74" i="28"/>
  <c r="O74" i="28" s="1"/>
  <c r="N78" i="28"/>
  <c r="O78" i="28" s="1"/>
  <c r="N82" i="28"/>
  <c r="O82" i="28" s="1"/>
  <c r="H65" i="28"/>
  <c r="K65" i="28" s="1"/>
  <c r="H66" i="28"/>
  <c r="K66" i="28" s="1"/>
  <c r="N41" i="29"/>
  <c r="O41" i="29" s="1"/>
  <c r="N52" i="29"/>
  <c r="O52" i="29" s="1"/>
  <c r="N45" i="29"/>
  <c r="O45" i="29" s="1"/>
  <c r="N40" i="29"/>
  <c r="O40" i="29" s="1"/>
  <c r="H54" i="29"/>
  <c r="K54" i="29" s="1"/>
  <c r="N44" i="29"/>
  <c r="O44" i="29" s="1"/>
  <c r="N49" i="29"/>
  <c r="O49" i="29" s="1"/>
  <c r="J35" i="29"/>
  <c r="M35" i="29" s="1"/>
  <c r="N48" i="29"/>
  <c r="O48" i="29" s="1"/>
  <c r="N56" i="29"/>
  <c r="O56" i="29" s="1"/>
  <c r="N58" i="29"/>
  <c r="O58" i="29" s="1"/>
  <c r="N60" i="29"/>
  <c r="O60" i="29" s="1"/>
  <c r="J54" i="29"/>
  <c r="M54" i="29" s="1"/>
  <c r="I36" i="29"/>
  <c r="L36" i="29" s="1"/>
  <c r="H53" i="29"/>
  <c r="K53" i="29" s="1"/>
  <c r="H55" i="29"/>
  <c r="K55" i="29" s="1"/>
  <c r="N57" i="29"/>
  <c r="O57" i="29" s="1"/>
  <c r="N59" i="29"/>
  <c r="O59" i="29" s="1"/>
  <c r="N61" i="29"/>
  <c r="O61" i="29" s="1"/>
  <c r="I35" i="29"/>
  <c r="L35" i="29" s="1"/>
  <c r="J36" i="29"/>
  <c r="M36" i="29" s="1"/>
  <c r="J53" i="29"/>
  <c r="M53" i="29" s="1"/>
  <c r="J55" i="29"/>
  <c r="M55" i="29" s="1"/>
  <c r="N38" i="29"/>
  <c r="O38" i="29" s="1"/>
  <c r="N42" i="29"/>
  <c r="O42" i="29" s="1"/>
  <c r="N46" i="29"/>
  <c r="O46" i="29" s="1"/>
  <c r="N50" i="29"/>
  <c r="O50" i="29" s="1"/>
  <c r="N39" i="29"/>
  <c r="O39" i="29" s="1"/>
  <c r="N43" i="29"/>
  <c r="O43" i="29" s="1"/>
  <c r="N47" i="29"/>
  <c r="O47" i="29" s="1"/>
  <c r="N51" i="29"/>
  <c r="O51" i="29" s="1"/>
  <c r="J37" i="29"/>
  <c r="M37" i="29" s="1"/>
  <c r="N37" i="29" s="1"/>
  <c r="O37" i="29" s="1"/>
  <c r="I53" i="29"/>
  <c r="L53" i="29" s="1"/>
  <c r="I54" i="29"/>
  <c r="L54" i="29" s="1"/>
  <c r="H35" i="29"/>
  <c r="K35" i="29" s="1"/>
  <c r="H36" i="29"/>
  <c r="K36" i="29" s="1"/>
  <c r="J61" i="28"/>
  <c r="M61" i="28" s="1"/>
  <c r="I61" i="28"/>
  <c r="L61" i="28" s="1"/>
  <c r="H61" i="28"/>
  <c r="K61" i="28" s="1"/>
  <c r="J60" i="28"/>
  <c r="M60" i="28" s="1"/>
  <c r="I60" i="28"/>
  <c r="L60" i="28" s="1"/>
  <c r="H60" i="28"/>
  <c r="K60" i="28" s="1"/>
  <c r="J59" i="28"/>
  <c r="M59" i="28" s="1"/>
  <c r="I59" i="28"/>
  <c r="L59" i="28" s="1"/>
  <c r="H59" i="28"/>
  <c r="K59" i="28" s="1"/>
  <c r="J58" i="28"/>
  <c r="M58" i="28" s="1"/>
  <c r="I58" i="28"/>
  <c r="L58" i="28" s="1"/>
  <c r="H58" i="28"/>
  <c r="K58" i="28" s="1"/>
  <c r="J57" i="28"/>
  <c r="M57" i="28" s="1"/>
  <c r="I57" i="28"/>
  <c r="L57" i="28" s="1"/>
  <c r="H57" i="28"/>
  <c r="K57" i="28" s="1"/>
  <c r="J56" i="28"/>
  <c r="M56" i="28" s="1"/>
  <c r="I56" i="28"/>
  <c r="L56" i="28" s="1"/>
  <c r="H56" i="28"/>
  <c r="K56" i="28" s="1"/>
  <c r="I55" i="28"/>
  <c r="L55" i="28" s="1"/>
  <c r="J52" i="28"/>
  <c r="M52" i="28" s="1"/>
  <c r="I52" i="28"/>
  <c r="L52" i="28" s="1"/>
  <c r="H52" i="28"/>
  <c r="K52" i="28" s="1"/>
  <c r="J51" i="28"/>
  <c r="M51" i="28" s="1"/>
  <c r="I51" i="28"/>
  <c r="L51" i="28" s="1"/>
  <c r="H51" i="28"/>
  <c r="K51" i="28" s="1"/>
  <c r="J50" i="28"/>
  <c r="M50" i="28" s="1"/>
  <c r="I50" i="28"/>
  <c r="L50" i="28" s="1"/>
  <c r="H50" i="28"/>
  <c r="K50" i="28" s="1"/>
  <c r="J49" i="28"/>
  <c r="M49" i="28" s="1"/>
  <c r="I49" i="28"/>
  <c r="L49" i="28" s="1"/>
  <c r="H49" i="28"/>
  <c r="K49" i="28" s="1"/>
  <c r="J48" i="28"/>
  <c r="M48" i="28" s="1"/>
  <c r="I48" i="28"/>
  <c r="L48" i="28" s="1"/>
  <c r="H48" i="28"/>
  <c r="K48" i="28" s="1"/>
  <c r="J47" i="28"/>
  <c r="M47" i="28" s="1"/>
  <c r="I47" i="28"/>
  <c r="L47" i="28" s="1"/>
  <c r="H47" i="28"/>
  <c r="K47" i="28" s="1"/>
  <c r="J46" i="28"/>
  <c r="M46" i="28" s="1"/>
  <c r="I46" i="28"/>
  <c r="L46" i="28" s="1"/>
  <c r="H46" i="28"/>
  <c r="K46" i="28" s="1"/>
  <c r="J45" i="28"/>
  <c r="M45" i="28" s="1"/>
  <c r="I45" i="28"/>
  <c r="L45" i="28" s="1"/>
  <c r="H45" i="28"/>
  <c r="K45" i="28" s="1"/>
  <c r="J44" i="28"/>
  <c r="M44" i="28" s="1"/>
  <c r="I44" i="28"/>
  <c r="L44" i="28" s="1"/>
  <c r="H44" i="28"/>
  <c r="K44" i="28" s="1"/>
  <c r="J43" i="28"/>
  <c r="M43" i="28" s="1"/>
  <c r="I43" i="28"/>
  <c r="L43" i="28" s="1"/>
  <c r="H43" i="28"/>
  <c r="K43" i="28" s="1"/>
  <c r="J42" i="28"/>
  <c r="M42" i="28" s="1"/>
  <c r="I42" i="28"/>
  <c r="L42" i="28" s="1"/>
  <c r="H42" i="28"/>
  <c r="K42" i="28" s="1"/>
  <c r="J41" i="28"/>
  <c r="M41" i="28" s="1"/>
  <c r="I41" i="28"/>
  <c r="L41" i="28" s="1"/>
  <c r="H41" i="28"/>
  <c r="K41" i="28" s="1"/>
  <c r="M40" i="28"/>
  <c r="L40" i="28"/>
  <c r="K40" i="28"/>
  <c r="M39" i="28"/>
  <c r="L39" i="28"/>
  <c r="K39" i="28"/>
  <c r="M38" i="28"/>
  <c r="L38" i="28"/>
  <c r="K38" i="28"/>
  <c r="H37" i="28"/>
  <c r="K37" i="28" s="1"/>
  <c r="J31" i="29"/>
  <c r="M31" i="29" s="1"/>
  <c r="I31" i="29"/>
  <c r="L31" i="29" s="1"/>
  <c r="H31" i="29"/>
  <c r="K31" i="29" s="1"/>
  <c r="J30" i="29"/>
  <c r="M30" i="29" s="1"/>
  <c r="I30" i="29"/>
  <c r="L30" i="29" s="1"/>
  <c r="H30" i="29"/>
  <c r="K30" i="29" s="1"/>
  <c r="J29" i="29"/>
  <c r="M29" i="29" s="1"/>
  <c r="I29" i="29"/>
  <c r="L29" i="29" s="1"/>
  <c r="H29" i="29"/>
  <c r="K29" i="29" s="1"/>
  <c r="J28" i="29"/>
  <c r="M28" i="29" s="1"/>
  <c r="I28" i="29"/>
  <c r="L28" i="29" s="1"/>
  <c r="H28" i="29"/>
  <c r="K28" i="29" s="1"/>
  <c r="J27" i="29"/>
  <c r="M27" i="29" s="1"/>
  <c r="I27" i="29"/>
  <c r="L27" i="29" s="1"/>
  <c r="H27" i="29"/>
  <c r="K27" i="29" s="1"/>
  <c r="J26" i="29"/>
  <c r="M26" i="29" s="1"/>
  <c r="I26" i="29"/>
  <c r="L26" i="29" s="1"/>
  <c r="H26" i="29"/>
  <c r="K26" i="29" s="1"/>
  <c r="J22" i="29"/>
  <c r="M22" i="29" s="1"/>
  <c r="I22" i="29"/>
  <c r="L22" i="29" s="1"/>
  <c r="H22" i="29"/>
  <c r="K22" i="29" s="1"/>
  <c r="J21" i="29"/>
  <c r="M21" i="29" s="1"/>
  <c r="I21" i="29"/>
  <c r="L21" i="29" s="1"/>
  <c r="H21" i="29"/>
  <c r="K21" i="29" s="1"/>
  <c r="J20" i="29"/>
  <c r="M20" i="29" s="1"/>
  <c r="I20" i="29"/>
  <c r="L20" i="29" s="1"/>
  <c r="H20" i="29"/>
  <c r="K20" i="29" s="1"/>
  <c r="J19" i="29"/>
  <c r="M19" i="29" s="1"/>
  <c r="I19" i="29"/>
  <c r="L19" i="29" s="1"/>
  <c r="H19" i="29"/>
  <c r="K19" i="29" s="1"/>
  <c r="J18" i="29"/>
  <c r="M18" i="29" s="1"/>
  <c r="I18" i="29"/>
  <c r="L18" i="29" s="1"/>
  <c r="H18" i="29"/>
  <c r="K18" i="29" s="1"/>
  <c r="J17" i="29"/>
  <c r="M17" i="29" s="1"/>
  <c r="I17" i="29"/>
  <c r="L17" i="29" s="1"/>
  <c r="H17" i="29"/>
  <c r="K17" i="29" s="1"/>
  <c r="J16" i="29"/>
  <c r="M16" i="29" s="1"/>
  <c r="I16" i="29"/>
  <c r="L16" i="29" s="1"/>
  <c r="H16" i="29"/>
  <c r="K16" i="29" s="1"/>
  <c r="J15" i="29"/>
  <c r="M15" i="29" s="1"/>
  <c r="I15" i="29"/>
  <c r="L15" i="29" s="1"/>
  <c r="H15" i="29"/>
  <c r="K15" i="29" s="1"/>
  <c r="J14" i="29"/>
  <c r="M14" i="29" s="1"/>
  <c r="I14" i="29"/>
  <c r="L14" i="29" s="1"/>
  <c r="H14" i="29"/>
  <c r="K14" i="29" s="1"/>
  <c r="J13" i="29"/>
  <c r="M13" i="29" s="1"/>
  <c r="I13" i="29"/>
  <c r="L13" i="29" s="1"/>
  <c r="H13" i="29"/>
  <c r="K13" i="29" s="1"/>
  <c r="J12" i="29"/>
  <c r="M12" i="29" s="1"/>
  <c r="I12" i="29"/>
  <c r="L12" i="29" s="1"/>
  <c r="H12" i="29"/>
  <c r="K12" i="29" s="1"/>
  <c r="J11" i="29"/>
  <c r="M11" i="29" s="1"/>
  <c r="I11" i="29"/>
  <c r="L11" i="29" s="1"/>
  <c r="H11" i="29"/>
  <c r="K11" i="29" s="1"/>
  <c r="J10" i="29"/>
  <c r="M10" i="29" s="1"/>
  <c r="I10" i="29"/>
  <c r="L10" i="29" s="1"/>
  <c r="H10" i="29"/>
  <c r="K10" i="29" s="1"/>
  <c r="J9" i="29"/>
  <c r="M9" i="29" s="1"/>
  <c r="I9" i="29"/>
  <c r="L9" i="29" s="1"/>
  <c r="H9" i="29"/>
  <c r="K9" i="29" s="1"/>
  <c r="J8" i="29"/>
  <c r="M8" i="29" s="1"/>
  <c r="I8" i="29"/>
  <c r="L8" i="29" s="1"/>
  <c r="H8" i="29"/>
  <c r="K8" i="29" s="1"/>
  <c r="J7" i="29"/>
  <c r="M7" i="29" s="1"/>
  <c r="I7" i="29"/>
  <c r="L7" i="29" s="1"/>
  <c r="H7" i="29"/>
  <c r="K7" i="29" s="1"/>
  <c r="J6" i="29"/>
  <c r="M6" i="29" s="1"/>
  <c r="I6" i="29"/>
  <c r="L6" i="29" s="1"/>
  <c r="H6" i="29"/>
  <c r="K6" i="29" s="1"/>
  <c r="J5" i="29"/>
  <c r="M5" i="29" s="1"/>
  <c r="I5" i="29"/>
  <c r="L5" i="29" s="1"/>
  <c r="H5" i="29"/>
  <c r="K5" i="29" s="1"/>
  <c r="J31" i="28"/>
  <c r="M31" i="28" s="1"/>
  <c r="I31" i="28"/>
  <c r="L31" i="28" s="1"/>
  <c r="H31" i="28"/>
  <c r="K31" i="28" s="1"/>
  <c r="J30" i="28"/>
  <c r="M30" i="28" s="1"/>
  <c r="I30" i="28"/>
  <c r="L30" i="28" s="1"/>
  <c r="H30" i="28"/>
  <c r="K30" i="28" s="1"/>
  <c r="J29" i="28"/>
  <c r="M29" i="28" s="1"/>
  <c r="I29" i="28"/>
  <c r="L29" i="28" s="1"/>
  <c r="H29" i="28"/>
  <c r="K29" i="28" s="1"/>
  <c r="J28" i="28"/>
  <c r="M28" i="28" s="1"/>
  <c r="I28" i="28"/>
  <c r="L28" i="28" s="1"/>
  <c r="H28" i="28"/>
  <c r="K28" i="28" s="1"/>
  <c r="J27" i="28"/>
  <c r="M27" i="28" s="1"/>
  <c r="I27" i="28"/>
  <c r="L27" i="28" s="1"/>
  <c r="H27" i="28"/>
  <c r="K27" i="28" s="1"/>
  <c r="J26" i="28"/>
  <c r="M26" i="28" s="1"/>
  <c r="I26" i="28"/>
  <c r="L26" i="28" s="1"/>
  <c r="H26" i="28"/>
  <c r="K26" i="28" s="1"/>
  <c r="G23" i="28"/>
  <c r="I25" i="28" s="1"/>
  <c r="L25" i="28" s="1"/>
  <c r="J22" i="28"/>
  <c r="M22" i="28" s="1"/>
  <c r="I22" i="28"/>
  <c r="L22" i="28" s="1"/>
  <c r="H22" i="28"/>
  <c r="K22" i="28" s="1"/>
  <c r="J21" i="28"/>
  <c r="M21" i="28" s="1"/>
  <c r="I21" i="28"/>
  <c r="L21" i="28" s="1"/>
  <c r="H21" i="28"/>
  <c r="K21" i="28" s="1"/>
  <c r="J20" i="28"/>
  <c r="M20" i="28" s="1"/>
  <c r="I20" i="28"/>
  <c r="L20" i="28" s="1"/>
  <c r="H20" i="28"/>
  <c r="K20" i="28" s="1"/>
  <c r="J19" i="28"/>
  <c r="M19" i="28" s="1"/>
  <c r="I19" i="28"/>
  <c r="L19" i="28" s="1"/>
  <c r="H19" i="28"/>
  <c r="K19" i="28" s="1"/>
  <c r="J18" i="28"/>
  <c r="M18" i="28" s="1"/>
  <c r="I18" i="28"/>
  <c r="L18" i="28" s="1"/>
  <c r="H18" i="28"/>
  <c r="K18" i="28" s="1"/>
  <c r="J17" i="28"/>
  <c r="M17" i="28" s="1"/>
  <c r="I17" i="28"/>
  <c r="L17" i="28" s="1"/>
  <c r="H17" i="28"/>
  <c r="K17" i="28" s="1"/>
  <c r="J16" i="28"/>
  <c r="M16" i="28" s="1"/>
  <c r="I16" i="28"/>
  <c r="L16" i="28" s="1"/>
  <c r="H16" i="28"/>
  <c r="K16" i="28" s="1"/>
  <c r="J15" i="28"/>
  <c r="M15" i="28" s="1"/>
  <c r="I15" i="28"/>
  <c r="L15" i="28" s="1"/>
  <c r="H15" i="28"/>
  <c r="K15" i="28" s="1"/>
  <c r="J14" i="28"/>
  <c r="M14" i="28" s="1"/>
  <c r="I14" i="28"/>
  <c r="L14" i="28" s="1"/>
  <c r="H14" i="28"/>
  <c r="K14" i="28" s="1"/>
  <c r="J13" i="28"/>
  <c r="M13" i="28" s="1"/>
  <c r="I13" i="28"/>
  <c r="L13" i="28" s="1"/>
  <c r="H13" i="28"/>
  <c r="K13" i="28" s="1"/>
  <c r="J12" i="28"/>
  <c r="M12" i="28" s="1"/>
  <c r="I12" i="28"/>
  <c r="L12" i="28" s="1"/>
  <c r="H12" i="28"/>
  <c r="K12" i="28" s="1"/>
  <c r="J11" i="28"/>
  <c r="M11" i="28" s="1"/>
  <c r="I11" i="28"/>
  <c r="L11" i="28" s="1"/>
  <c r="H11" i="28"/>
  <c r="K11" i="28" s="1"/>
  <c r="J10" i="28"/>
  <c r="M10" i="28" s="1"/>
  <c r="I10" i="28"/>
  <c r="L10" i="28" s="1"/>
  <c r="H10" i="28"/>
  <c r="K10" i="28" s="1"/>
  <c r="J9" i="28"/>
  <c r="M9" i="28" s="1"/>
  <c r="I9" i="28"/>
  <c r="L9" i="28" s="1"/>
  <c r="H9" i="28"/>
  <c r="K9" i="28" s="1"/>
  <c r="J8" i="28"/>
  <c r="M8" i="28" s="1"/>
  <c r="I8" i="28"/>
  <c r="L8" i="28" s="1"/>
  <c r="H8" i="28"/>
  <c r="K8" i="28" s="1"/>
  <c r="J7" i="28"/>
  <c r="M7" i="28" s="1"/>
  <c r="I7" i="28"/>
  <c r="L7" i="28" s="1"/>
  <c r="H7" i="28"/>
  <c r="K7" i="28" s="1"/>
  <c r="J6" i="28"/>
  <c r="M6" i="28" s="1"/>
  <c r="I6" i="28"/>
  <c r="L6" i="28" s="1"/>
  <c r="H6" i="28"/>
  <c r="K6" i="28" s="1"/>
  <c r="J5" i="28"/>
  <c r="M5" i="28" s="1"/>
  <c r="I5" i="28"/>
  <c r="L5" i="28" s="1"/>
  <c r="H5" i="28"/>
  <c r="K5" i="28" s="1"/>
  <c r="W72" i="29"/>
  <c r="W71" i="29"/>
  <c r="W70" i="29"/>
  <c r="W69" i="29"/>
  <c r="W68" i="29"/>
  <c r="W67" i="29"/>
  <c r="W66" i="29"/>
  <c r="W65" i="29"/>
  <c r="Y63" i="29"/>
  <c r="X63" i="29"/>
  <c r="W42" i="29"/>
  <c r="W41" i="29"/>
  <c r="W40" i="29"/>
  <c r="W39" i="29"/>
  <c r="W38" i="29"/>
  <c r="W37" i="29"/>
  <c r="W36" i="29"/>
  <c r="W35" i="29"/>
  <c r="Y33" i="29"/>
  <c r="X33" i="29"/>
  <c r="W12" i="29"/>
  <c r="W11" i="29"/>
  <c r="W10" i="29"/>
  <c r="W9" i="29"/>
  <c r="W8" i="29"/>
  <c r="W7" i="29"/>
  <c r="W6" i="29"/>
  <c r="W5" i="29"/>
  <c r="Y3" i="29"/>
  <c r="X3" i="29"/>
  <c r="W72" i="28"/>
  <c r="W71" i="28"/>
  <c r="W70" i="28"/>
  <c r="W69" i="28"/>
  <c r="W68" i="28"/>
  <c r="W67" i="28"/>
  <c r="W66" i="28"/>
  <c r="W65" i="28"/>
  <c r="Y63" i="28"/>
  <c r="X63" i="28"/>
  <c r="W42" i="28"/>
  <c r="W41" i="28"/>
  <c r="W40" i="28"/>
  <c r="W39" i="28"/>
  <c r="W38" i="28"/>
  <c r="W37" i="28"/>
  <c r="W36" i="28"/>
  <c r="W35" i="28"/>
  <c r="Y33" i="28"/>
  <c r="X33" i="28"/>
  <c r="W12" i="28"/>
  <c r="W11" i="28"/>
  <c r="W10" i="28"/>
  <c r="W9" i="28"/>
  <c r="W8" i="28"/>
  <c r="W7" i="28"/>
  <c r="W6" i="28"/>
  <c r="W5" i="28"/>
  <c r="Y3" i="28"/>
  <c r="X3" i="28"/>
  <c r="W3" i="28"/>
  <c r="K163" i="27"/>
  <c r="I162" i="27"/>
  <c r="H158" i="27"/>
  <c r="J160" i="27"/>
  <c r="I160" i="27"/>
  <c r="J156" i="27"/>
  <c r="J155" i="27"/>
  <c r="K155" i="27"/>
  <c r="I157" i="27"/>
  <c r="I154" i="27"/>
  <c r="I152" i="27"/>
  <c r="K154" i="27"/>
  <c r="H154" i="27"/>
  <c r="H151" i="27"/>
  <c r="H149" i="27"/>
  <c r="K151" i="27"/>
  <c r="I151" i="27"/>
  <c r="H147" i="27"/>
  <c r="J148" i="27"/>
  <c r="I148" i="27"/>
  <c r="J145" i="27"/>
  <c r="K145" i="27"/>
  <c r="I145" i="27"/>
  <c r="K142" i="27"/>
  <c r="H142" i="27"/>
  <c r="K139" i="27"/>
  <c r="I138" i="27"/>
  <c r="H134" i="27"/>
  <c r="J136" i="27"/>
  <c r="I136" i="27"/>
  <c r="J132" i="27"/>
  <c r="J131" i="27"/>
  <c r="K133" i="27"/>
  <c r="I133" i="27"/>
  <c r="I130" i="27"/>
  <c r="I128" i="27"/>
  <c r="K130" i="27"/>
  <c r="H130" i="27"/>
  <c r="H127" i="27"/>
  <c r="H125" i="27"/>
  <c r="K127" i="27"/>
  <c r="I127" i="27"/>
  <c r="H123" i="27"/>
  <c r="J124" i="27"/>
  <c r="I124" i="27"/>
  <c r="K121" i="27"/>
  <c r="J121" i="27"/>
  <c r="I121" i="27"/>
  <c r="H121" i="27"/>
  <c r="K120" i="27"/>
  <c r="J120" i="27"/>
  <c r="I120" i="27"/>
  <c r="H120" i="27"/>
  <c r="K119" i="27"/>
  <c r="J119" i="27"/>
  <c r="I119" i="27"/>
  <c r="H119" i="27"/>
  <c r="J116" i="27"/>
  <c r="I116" i="27"/>
  <c r="K114" i="27"/>
  <c r="I115" i="27"/>
  <c r="G161" i="26"/>
  <c r="K163" i="26" s="1"/>
  <c r="F161" i="26"/>
  <c r="H163" i="26" s="1"/>
  <c r="G158" i="26"/>
  <c r="J160" i="26" s="1"/>
  <c r="F158" i="26"/>
  <c r="I159" i="26" s="1"/>
  <c r="J155" i="26"/>
  <c r="G155" i="26"/>
  <c r="K157" i="26" s="1"/>
  <c r="F155" i="26"/>
  <c r="I155" i="26" s="1"/>
  <c r="G152" i="26"/>
  <c r="K154" i="26" s="1"/>
  <c r="F152" i="26"/>
  <c r="H154" i="26" s="1"/>
  <c r="I150" i="26"/>
  <c r="H149" i="26"/>
  <c r="G149" i="26"/>
  <c r="K151" i="26" s="1"/>
  <c r="F149" i="26"/>
  <c r="I151" i="26" s="1"/>
  <c r="H147" i="26"/>
  <c r="G146" i="26"/>
  <c r="J148" i="26" s="1"/>
  <c r="F146" i="26"/>
  <c r="I148" i="26" s="1"/>
  <c r="J145" i="26"/>
  <c r="J143" i="26"/>
  <c r="G143" i="26"/>
  <c r="K145" i="26" s="1"/>
  <c r="F143" i="26"/>
  <c r="I145" i="26" s="1"/>
  <c r="G140" i="26"/>
  <c r="K142" i="26" s="1"/>
  <c r="F140" i="26"/>
  <c r="H142" i="26" s="1"/>
  <c r="G137" i="26"/>
  <c r="K139" i="26" s="1"/>
  <c r="F137" i="26"/>
  <c r="I138" i="26" s="1"/>
  <c r="G134" i="26"/>
  <c r="J136" i="26" s="1"/>
  <c r="F134" i="26"/>
  <c r="I136" i="26" s="1"/>
  <c r="G131" i="26"/>
  <c r="K133" i="26" s="1"/>
  <c r="F131" i="26"/>
  <c r="I133" i="26" s="1"/>
  <c r="I130" i="26"/>
  <c r="G128" i="26"/>
  <c r="K130" i="26" s="1"/>
  <c r="F128" i="26"/>
  <c r="H130" i="26" s="1"/>
  <c r="G125" i="26"/>
  <c r="K127" i="26" s="1"/>
  <c r="F125" i="26"/>
  <c r="I127" i="26" s="1"/>
  <c r="G122" i="26"/>
  <c r="J124" i="26" s="1"/>
  <c r="F122" i="26"/>
  <c r="I124" i="26" s="1"/>
  <c r="K121" i="26"/>
  <c r="J121" i="26"/>
  <c r="I121" i="26"/>
  <c r="H121" i="26"/>
  <c r="K120" i="26"/>
  <c r="J120" i="26"/>
  <c r="I120" i="26"/>
  <c r="H120" i="26"/>
  <c r="K119" i="26"/>
  <c r="J119" i="26"/>
  <c r="I119" i="26"/>
  <c r="H119" i="26"/>
  <c r="G116" i="26"/>
  <c r="J116" i="26" s="1"/>
  <c r="F116" i="26"/>
  <c r="I116" i="26" s="1"/>
  <c r="D116" i="26"/>
  <c r="D119" i="26" s="1"/>
  <c r="D122" i="26" s="1"/>
  <c r="D125" i="26" s="1"/>
  <c r="D128" i="26" s="1"/>
  <c r="D131" i="26" s="1"/>
  <c r="D134" i="26" s="1"/>
  <c r="D137" i="26" s="1"/>
  <c r="D140" i="26" s="1"/>
  <c r="D143" i="26" s="1"/>
  <c r="D146" i="26" s="1"/>
  <c r="D149" i="26" s="1"/>
  <c r="D152" i="26" s="1"/>
  <c r="D155" i="26" s="1"/>
  <c r="G113" i="26"/>
  <c r="K115" i="26" s="1"/>
  <c r="F113" i="26"/>
  <c r="I115" i="26" s="1"/>
  <c r="I108" i="27"/>
  <c r="K109" i="27"/>
  <c r="H109" i="27"/>
  <c r="H104" i="27"/>
  <c r="J106" i="27"/>
  <c r="I106" i="27"/>
  <c r="J102" i="27"/>
  <c r="K103" i="27"/>
  <c r="I103" i="27"/>
  <c r="J100" i="27"/>
  <c r="J98" i="27"/>
  <c r="K100" i="27"/>
  <c r="H100" i="27"/>
  <c r="I97" i="27"/>
  <c r="I95" i="27"/>
  <c r="K97" i="27"/>
  <c r="H96" i="27"/>
  <c r="J94" i="27"/>
  <c r="I94" i="27"/>
  <c r="K89" i="27"/>
  <c r="I91" i="27"/>
  <c r="I88" i="27"/>
  <c r="I86" i="27"/>
  <c r="K88" i="27"/>
  <c r="H88" i="27"/>
  <c r="I84" i="27"/>
  <c r="H83" i="27"/>
  <c r="K85" i="27"/>
  <c r="H85" i="27"/>
  <c r="H81" i="27"/>
  <c r="H80" i="27"/>
  <c r="J82" i="27"/>
  <c r="I82" i="27"/>
  <c r="J78" i="27"/>
  <c r="K79" i="27"/>
  <c r="I79" i="27"/>
  <c r="J76" i="27"/>
  <c r="J74" i="27"/>
  <c r="K76" i="27"/>
  <c r="H76" i="27"/>
  <c r="I73" i="27"/>
  <c r="I71" i="27"/>
  <c r="K73" i="27"/>
  <c r="H72" i="27"/>
  <c r="J70" i="27"/>
  <c r="I70" i="27"/>
  <c r="K67" i="27"/>
  <c r="J67" i="27"/>
  <c r="I67" i="27"/>
  <c r="H67" i="27"/>
  <c r="K66" i="27"/>
  <c r="J66" i="27"/>
  <c r="I66" i="27"/>
  <c r="H66" i="27"/>
  <c r="K65" i="27"/>
  <c r="J65" i="27"/>
  <c r="I65" i="27"/>
  <c r="H65" i="27"/>
  <c r="H63" i="27"/>
  <c r="H62" i="27"/>
  <c r="J64" i="27"/>
  <c r="I64" i="27"/>
  <c r="J61" i="27"/>
  <c r="K60" i="27"/>
  <c r="I61" i="27"/>
  <c r="I107" i="26"/>
  <c r="G107" i="26"/>
  <c r="K109" i="26" s="1"/>
  <c r="F107" i="26"/>
  <c r="I109" i="26" s="1"/>
  <c r="K106" i="26"/>
  <c r="K104" i="26"/>
  <c r="G104" i="26"/>
  <c r="J106" i="26" s="1"/>
  <c r="F104" i="26"/>
  <c r="I104" i="26" s="1"/>
  <c r="I101" i="26"/>
  <c r="G101" i="26"/>
  <c r="K103" i="26" s="1"/>
  <c r="F101" i="26"/>
  <c r="I103" i="26" s="1"/>
  <c r="I100" i="26"/>
  <c r="I98" i="26"/>
  <c r="G98" i="26"/>
  <c r="J100" i="26" s="1"/>
  <c r="F98" i="26"/>
  <c r="I99" i="26" s="1"/>
  <c r="J97" i="26"/>
  <c r="J95" i="26"/>
  <c r="G95" i="26"/>
  <c r="K97" i="26" s="1"/>
  <c r="F95" i="26"/>
  <c r="I97" i="26" s="1"/>
  <c r="J92" i="26"/>
  <c r="G92" i="26"/>
  <c r="K94" i="26" s="1"/>
  <c r="F92" i="26"/>
  <c r="H94" i="26" s="1"/>
  <c r="G89" i="26"/>
  <c r="K91" i="26" s="1"/>
  <c r="F89" i="26"/>
  <c r="H91" i="26" s="1"/>
  <c r="G86" i="26"/>
  <c r="J88" i="26" s="1"/>
  <c r="F86" i="26"/>
  <c r="I88" i="26" s="1"/>
  <c r="G83" i="26"/>
  <c r="K85" i="26" s="1"/>
  <c r="F83" i="26"/>
  <c r="I85" i="26" s="1"/>
  <c r="G80" i="26"/>
  <c r="K82" i="26" s="1"/>
  <c r="F80" i="26"/>
  <c r="H82" i="26" s="1"/>
  <c r="I78" i="26"/>
  <c r="G77" i="26"/>
  <c r="K79" i="26" s="1"/>
  <c r="F77" i="26"/>
  <c r="H78" i="26" s="1"/>
  <c r="H75" i="26"/>
  <c r="G74" i="26"/>
  <c r="J76" i="26" s="1"/>
  <c r="F74" i="26"/>
  <c r="I76" i="26" s="1"/>
  <c r="J73" i="26"/>
  <c r="J71" i="26"/>
  <c r="G71" i="26"/>
  <c r="K71" i="26" s="1"/>
  <c r="F71" i="26"/>
  <c r="I73" i="26" s="1"/>
  <c r="J68" i="26"/>
  <c r="G68" i="26"/>
  <c r="K70" i="26" s="1"/>
  <c r="F68" i="26"/>
  <c r="H70" i="26" s="1"/>
  <c r="K67" i="26"/>
  <c r="J67" i="26"/>
  <c r="I67" i="26"/>
  <c r="H67" i="26"/>
  <c r="K66" i="26"/>
  <c r="J66" i="26"/>
  <c r="I66" i="26"/>
  <c r="H66" i="26"/>
  <c r="K65" i="26"/>
  <c r="J65" i="26"/>
  <c r="I65" i="26"/>
  <c r="H65" i="26"/>
  <c r="J62" i="26"/>
  <c r="G62" i="26"/>
  <c r="K64" i="26" s="1"/>
  <c r="F62" i="26"/>
  <c r="H64" i="26" s="1"/>
  <c r="D62" i="26"/>
  <c r="D65" i="26" s="1"/>
  <c r="D68" i="26" s="1"/>
  <c r="D71" i="26" s="1"/>
  <c r="D74" i="26" s="1"/>
  <c r="D77" i="26" s="1"/>
  <c r="D80" i="26" s="1"/>
  <c r="D83" i="26" s="1"/>
  <c r="D86" i="26" s="1"/>
  <c r="D89" i="26" s="1"/>
  <c r="D92" i="26" s="1"/>
  <c r="D95" i="26" s="1"/>
  <c r="D98" i="26" s="1"/>
  <c r="D101" i="26" s="1"/>
  <c r="G59" i="26"/>
  <c r="K61" i="26" s="1"/>
  <c r="F59" i="26"/>
  <c r="H60" i="26" s="1"/>
  <c r="J53" i="27"/>
  <c r="K55" i="27"/>
  <c r="I55" i="27"/>
  <c r="I52" i="27"/>
  <c r="I50" i="27"/>
  <c r="J52" i="27"/>
  <c r="H51" i="27"/>
  <c r="J49" i="27"/>
  <c r="K49" i="27"/>
  <c r="I49" i="27"/>
  <c r="I44" i="27"/>
  <c r="K46" i="27"/>
  <c r="H46" i="27"/>
  <c r="H41" i="27"/>
  <c r="K43" i="27"/>
  <c r="I43" i="27"/>
  <c r="I39" i="27"/>
  <c r="H38" i="27"/>
  <c r="J40" i="27"/>
  <c r="H40" i="27"/>
  <c r="J36" i="27"/>
  <c r="J35" i="27"/>
  <c r="K37" i="27"/>
  <c r="I37" i="27"/>
  <c r="I33" i="27"/>
  <c r="K34" i="27"/>
  <c r="H34" i="27"/>
  <c r="J31" i="27"/>
  <c r="J29" i="27"/>
  <c r="K31" i="27"/>
  <c r="I31" i="27"/>
  <c r="I28" i="27"/>
  <c r="I26" i="27"/>
  <c r="J28" i="27"/>
  <c r="H27" i="27"/>
  <c r="J25" i="27"/>
  <c r="K25" i="27"/>
  <c r="I25" i="27"/>
  <c r="I20" i="27"/>
  <c r="K22" i="27"/>
  <c r="H22" i="27"/>
  <c r="H19" i="27"/>
  <c r="H17" i="27"/>
  <c r="K19" i="27"/>
  <c r="I19" i="27"/>
  <c r="I15" i="27"/>
  <c r="H14" i="27"/>
  <c r="J16" i="27"/>
  <c r="H16" i="27"/>
  <c r="K13" i="27"/>
  <c r="J13" i="27"/>
  <c r="I13" i="27"/>
  <c r="H13" i="27"/>
  <c r="K12" i="27"/>
  <c r="J12" i="27"/>
  <c r="I12" i="27"/>
  <c r="H12" i="27"/>
  <c r="K11" i="27"/>
  <c r="J11" i="27"/>
  <c r="I11" i="27"/>
  <c r="H11" i="27"/>
  <c r="H10" i="27"/>
  <c r="I9" i="27"/>
  <c r="H8" i="27"/>
  <c r="J10" i="27"/>
  <c r="H9" i="27"/>
  <c r="J6" i="27"/>
  <c r="K7" i="27"/>
  <c r="I7" i="27"/>
  <c r="N85" i="29" l="1"/>
  <c r="O85" i="29" s="1"/>
  <c r="H25" i="29"/>
  <c r="K25" i="29" s="1"/>
  <c r="I23" i="29"/>
  <c r="H23" i="29"/>
  <c r="K23" i="29" s="1"/>
  <c r="H162" i="27"/>
  <c r="I8" i="27"/>
  <c r="I10" i="27"/>
  <c r="I14" i="27"/>
  <c r="I16" i="27"/>
  <c r="J17" i="27"/>
  <c r="J19" i="27"/>
  <c r="I21" i="27"/>
  <c r="J23" i="27"/>
  <c r="I27" i="27"/>
  <c r="J30" i="27"/>
  <c r="J37" i="27"/>
  <c r="I38" i="27"/>
  <c r="I40" i="27"/>
  <c r="J41" i="27"/>
  <c r="J43" i="27"/>
  <c r="I45" i="27"/>
  <c r="J47" i="27"/>
  <c r="I51" i="27"/>
  <c r="J54" i="27"/>
  <c r="J59" i="27"/>
  <c r="H64" i="27"/>
  <c r="H68" i="27"/>
  <c r="I72" i="27"/>
  <c r="J75" i="27"/>
  <c r="H82" i="27"/>
  <c r="I83" i="27"/>
  <c r="I85" i="27"/>
  <c r="J86" i="27"/>
  <c r="J88" i="27"/>
  <c r="J90" i="27"/>
  <c r="H92" i="27"/>
  <c r="I96" i="27"/>
  <c r="J99" i="27"/>
  <c r="H106" i="27"/>
  <c r="I107" i="27"/>
  <c r="I109" i="27"/>
  <c r="J114" i="27"/>
  <c r="H126" i="27"/>
  <c r="I129" i="27"/>
  <c r="J133" i="27"/>
  <c r="H135" i="27"/>
  <c r="H137" i="27"/>
  <c r="H139" i="27"/>
  <c r="I140" i="27"/>
  <c r="I142" i="27"/>
  <c r="J143" i="27"/>
  <c r="H150" i="27"/>
  <c r="I153" i="27"/>
  <c r="J157" i="27"/>
  <c r="H159" i="27"/>
  <c r="H161" i="27"/>
  <c r="H163" i="27"/>
  <c r="J42" i="27"/>
  <c r="H138" i="27"/>
  <c r="I141" i="27"/>
  <c r="J5" i="27"/>
  <c r="H15" i="27"/>
  <c r="H18" i="27"/>
  <c r="I22" i="27"/>
  <c r="J24" i="27"/>
  <c r="H26" i="27"/>
  <c r="H28" i="27"/>
  <c r="H29" i="27"/>
  <c r="H31" i="27"/>
  <c r="I32" i="27"/>
  <c r="H39" i="27"/>
  <c r="H42" i="27"/>
  <c r="I46" i="27"/>
  <c r="J48" i="27"/>
  <c r="H50" i="27"/>
  <c r="H52" i="27"/>
  <c r="H53" i="27"/>
  <c r="H55" i="27"/>
  <c r="J60" i="27"/>
  <c r="H69" i="27"/>
  <c r="H71" i="27"/>
  <c r="H73" i="27"/>
  <c r="I74" i="27"/>
  <c r="I76" i="27"/>
  <c r="J77" i="27"/>
  <c r="H84" i="27"/>
  <c r="I87" i="27"/>
  <c r="J91" i="27"/>
  <c r="H93" i="27"/>
  <c r="H95" i="27"/>
  <c r="H97" i="27"/>
  <c r="I98" i="27"/>
  <c r="I100" i="27"/>
  <c r="J101" i="27"/>
  <c r="H108" i="27"/>
  <c r="J115" i="27"/>
  <c r="H116" i="27"/>
  <c r="H122" i="27"/>
  <c r="I126" i="27"/>
  <c r="J129" i="27"/>
  <c r="H136" i="27"/>
  <c r="I137" i="27"/>
  <c r="I139" i="27"/>
  <c r="J140" i="27"/>
  <c r="J142" i="27"/>
  <c r="J144" i="27"/>
  <c r="H146" i="27"/>
  <c r="I150" i="27"/>
  <c r="J153" i="27"/>
  <c r="H160" i="27"/>
  <c r="I161" i="27"/>
  <c r="I163" i="27"/>
  <c r="J18" i="27"/>
  <c r="H70" i="27"/>
  <c r="J87" i="27"/>
  <c r="H94" i="27"/>
  <c r="J7" i="27"/>
  <c r="H30" i="27"/>
  <c r="I34" i="27"/>
  <c r="H43" i="27"/>
  <c r="H54" i="27"/>
  <c r="I75" i="27"/>
  <c r="J79" i="27"/>
  <c r="J89" i="27"/>
  <c r="I99" i="27"/>
  <c r="J103" i="27"/>
  <c r="H105" i="27"/>
  <c r="H107" i="27"/>
  <c r="J113" i="27"/>
  <c r="H124" i="27"/>
  <c r="I125" i="27"/>
  <c r="J128" i="27"/>
  <c r="J130" i="27"/>
  <c r="J141" i="27"/>
  <c r="H148" i="27"/>
  <c r="I149" i="27"/>
  <c r="J152" i="27"/>
  <c r="J154" i="27"/>
  <c r="I80" i="26"/>
  <c r="I89" i="26"/>
  <c r="H127" i="26"/>
  <c r="I162" i="26"/>
  <c r="H79" i="26"/>
  <c r="I82" i="26"/>
  <c r="I91" i="26"/>
  <c r="J94" i="26"/>
  <c r="J96" i="26"/>
  <c r="H98" i="26"/>
  <c r="I102" i="26"/>
  <c r="I108" i="26"/>
  <c r="J144" i="26"/>
  <c r="H146" i="26"/>
  <c r="J158" i="26"/>
  <c r="J102" i="26"/>
  <c r="J108" i="26"/>
  <c r="H122" i="26"/>
  <c r="H125" i="26"/>
  <c r="I152" i="26"/>
  <c r="J64" i="26"/>
  <c r="J70" i="26"/>
  <c r="J72" i="26"/>
  <c r="H74" i="26"/>
  <c r="H77" i="26"/>
  <c r="H100" i="26"/>
  <c r="H101" i="26"/>
  <c r="J103" i="26"/>
  <c r="K105" i="26"/>
  <c r="H107" i="26"/>
  <c r="H116" i="26"/>
  <c r="H123" i="26"/>
  <c r="I126" i="26"/>
  <c r="I128" i="26"/>
  <c r="J131" i="26"/>
  <c r="H151" i="26"/>
  <c r="I154" i="26"/>
  <c r="J81" i="26"/>
  <c r="H88" i="26"/>
  <c r="H138" i="26"/>
  <c r="I141" i="26"/>
  <c r="I60" i="26"/>
  <c r="I63" i="26"/>
  <c r="I69" i="26"/>
  <c r="I93" i="26"/>
  <c r="H59" i="26"/>
  <c r="H61" i="26"/>
  <c r="J63" i="26"/>
  <c r="J69" i="26"/>
  <c r="H76" i="26"/>
  <c r="I77" i="26"/>
  <c r="I79" i="26"/>
  <c r="J80" i="26"/>
  <c r="J82" i="26"/>
  <c r="J84" i="26"/>
  <c r="H86" i="26"/>
  <c r="I90" i="26"/>
  <c r="J93" i="26"/>
  <c r="H99" i="26"/>
  <c r="J101" i="26"/>
  <c r="H103" i="26"/>
  <c r="J107" i="26"/>
  <c r="H109" i="26"/>
  <c r="J114" i="26"/>
  <c r="H126" i="26"/>
  <c r="I129" i="26"/>
  <c r="J133" i="26"/>
  <c r="H135" i="26"/>
  <c r="H137" i="26"/>
  <c r="H139" i="26"/>
  <c r="I140" i="26"/>
  <c r="I142" i="26"/>
  <c r="H150" i="26"/>
  <c r="I153" i="26"/>
  <c r="K160" i="26"/>
  <c r="I161" i="26"/>
  <c r="I163" i="26"/>
  <c r="J83" i="26"/>
  <c r="H90" i="26"/>
  <c r="I59" i="26"/>
  <c r="I61" i="26"/>
  <c r="I62" i="26"/>
  <c r="I64" i="26"/>
  <c r="I68" i="26"/>
  <c r="I70" i="26"/>
  <c r="I81" i="26"/>
  <c r="J85" i="26"/>
  <c r="H87" i="26"/>
  <c r="H89" i="26"/>
  <c r="I92" i="26"/>
  <c r="I94" i="26"/>
  <c r="H102" i="26"/>
  <c r="H108" i="26"/>
  <c r="J115" i="26"/>
  <c r="J129" i="26"/>
  <c r="H136" i="26"/>
  <c r="I137" i="26"/>
  <c r="I139" i="26"/>
  <c r="J140" i="26"/>
  <c r="J142" i="26"/>
  <c r="J153" i="26"/>
  <c r="I158" i="26"/>
  <c r="H162" i="26"/>
  <c r="J113" i="26"/>
  <c r="H124" i="26"/>
  <c r="I125" i="26"/>
  <c r="J128" i="26"/>
  <c r="J130" i="26"/>
  <c r="J132" i="26"/>
  <c r="H134" i="26"/>
  <c r="J141" i="26"/>
  <c r="H148" i="26"/>
  <c r="I149" i="26"/>
  <c r="J152" i="26"/>
  <c r="J154" i="26"/>
  <c r="K159" i="26"/>
  <c r="H161" i="26"/>
  <c r="N84" i="29"/>
  <c r="O84" i="29" s="1"/>
  <c r="P84" i="29" s="1"/>
  <c r="Q84" i="29" s="1"/>
  <c r="R84" i="29" s="1"/>
  <c r="N83" i="29"/>
  <c r="O83" i="29" s="1"/>
  <c r="N84" i="28"/>
  <c r="O84" i="28" s="1"/>
  <c r="P84" i="28" s="1"/>
  <c r="Q84" i="28" s="1"/>
  <c r="R84" i="28" s="1"/>
  <c r="N85" i="28"/>
  <c r="O85" i="28" s="1"/>
  <c r="P85" i="28" s="1"/>
  <c r="Q85" i="28" s="1"/>
  <c r="R85" i="28" s="1"/>
  <c r="N66" i="29"/>
  <c r="O66" i="29" s="1"/>
  <c r="P66" i="29" s="1"/>
  <c r="Q66" i="29" s="1"/>
  <c r="R66" i="29" s="1"/>
  <c r="N67" i="28"/>
  <c r="O67" i="28" s="1"/>
  <c r="N83" i="28"/>
  <c r="O83" i="28" s="1"/>
  <c r="P83" i="28" s="1"/>
  <c r="Q83" i="28" s="1"/>
  <c r="R83" i="28" s="1"/>
  <c r="N65" i="28"/>
  <c r="O65" i="28" s="1"/>
  <c r="N66" i="28"/>
  <c r="O66" i="28" s="1"/>
  <c r="N35" i="29"/>
  <c r="O35" i="29" s="1"/>
  <c r="N53" i="29"/>
  <c r="O53" i="29" s="1"/>
  <c r="P53" i="29" s="1"/>
  <c r="Q53" i="29" s="1"/>
  <c r="R53" i="29" s="1"/>
  <c r="P81" i="29"/>
  <c r="Q81" i="29" s="1"/>
  <c r="R81" i="29" s="1"/>
  <c r="N55" i="29"/>
  <c r="O55" i="29" s="1"/>
  <c r="N54" i="29"/>
  <c r="O54" i="29" s="1"/>
  <c r="P54" i="29" s="1"/>
  <c r="Q54" i="29" s="1"/>
  <c r="R54" i="29" s="1"/>
  <c r="N36" i="29"/>
  <c r="O36" i="29" s="1"/>
  <c r="P73" i="29"/>
  <c r="Q73" i="29" s="1"/>
  <c r="R73" i="29" s="1"/>
  <c r="N18" i="29"/>
  <c r="O18" i="29" s="1"/>
  <c r="P18" i="29" s="1"/>
  <c r="Q18" i="29" s="1"/>
  <c r="R18" i="29" s="1"/>
  <c r="J53" i="28"/>
  <c r="M53" i="28" s="1"/>
  <c r="N41" i="28"/>
  <c r="O41" i="28" s="1"/>
  <c r="N45" i="28"/>
  <c r="O45" i="28" s="1"/>
  <c r="P45" i="28" s="1"/>
  <c r="Q45" i="28" s="1"/>
  <c r="R45" i="28" s="1"/>
  <c r="N49" i="28"/>
  <c r="O49" i="28" s="1"/>
  <c r="P49" i="28" s="1"/>
  <c r="Q49" i="28" s="1"/>
  <c r="R49" i="28" s="1"/>
  <c r="J54" i="28"/>
  <c r="M54" i="28" s="1"/>
  <c r="I36" i="28"/>
  <c r="L36" i="28" s="1"/>
  <c r="N56" i="28"/>
  <c r="O56" i="28" s="1"/>
  <c r="P56" i="28" s="1"/>
  <c r="Q56" i="28" s="1"/>
  <c r="R56" i="28" s="1"/>
  <c r="N57" i="28"/>
  <c r="O57" i="28" s="1"/>
  <c r="P57" i="28" s="1"/>
  <c r="Q57" i="28" s="1"/>
  <c r="R57" i="28" s="1"/>
  <c r="N58" i="28"/>
  <c r="O58" i="28" s="1"/>
  <c r="P58" i="28" s="1"/>
  <c r="Q58" i="28" s="1"/>
  <c r="R58" i="28" s="1"/>
  <c r="N59" i="28"/>
  <c r="O59" i="28" s="1"/>
  <c r="N60" i="28"/>
  <c r="O60" i="28" s="1"/>
  <c r="P60" i="28" s="1"/>
  <c r="Q60" i="28" s="1"/>
  <c r="R60" i="28" s="1"/>
  <c r="N61" i="28"/>
  <c r="O61" i="28" s="1"/>
  <c r="P61" i="28" s="1"/>
  <c r="Q61" i="28" s="1"/>
  <c r="R61" i="28" s="1"/>
  <c r="I35" i="28"/>
  <c r="L35" i="28" s="1"/>
  <c r="I37" i="28"/>
  <c r="L37" i="28" s="1"/>
  <c r="N38" i="28"/>
  <c r="O38" i="28" s="1"/>
  <c r="N42" i="28"/>
  <c r="O42" i="28" s="1"/>
  <c r="P42" i="28" s="1"/>
  <c r="Q42" i="28" s="1"/>
  <c r="R42" i="28" s="1"/>
  <c r="N46" i="28"/>
  <c r="O46" i="28" s="1"/>
  <c r="P46" i="28" s="1"/>
  <c r="Q46" i="28" s="1"/>
  <c r="R46" i="28" s="1"/>
  <c r="N50" i="28"/>
  <c r="O50" i="28" s="1"/>
  <c r="P50" i="28" s="1"/>
  <c r="Q50" i="28" s="1"/>
  <c r="R50" i="28" s="1"/>
  <c r="J35" i="28"/>
  <c r="M35" i="28" s="1"/>
  <c r="H53" i="28"/>
  <c r="K53" i="28" s="1"/>
  <c r="H54" i="28"/>
  <c r="K54" i="28" s="1"/>
  <c r="H55" i="28"/>
  <c r="K55" i="28" s="1"/>
  <c r="I53" i="28"/>
  <c r="L53" i="28" s="1"/>
  <c r="I54" i="28"/>
  <c r="L54" i="28" s="1"/>
  <c r="J55" i="28"/>
  <c r="M55" i="28" s="1"/>
  <c r="N39" i="28"/>
  <c r="O39" i="28" s="1"/>
  <c r="N43" i="28"/>
  <c r="O43" i="28" s="1"/>
  <c r="P43" i="28" s="1"/>
  <c r="Q43" i="28" s="1"/>
  <c r="R43" i="28" s="1"/>
  <c r="N47" i="28"/>
  <c r="O47" i="28" s="1"/>
  <c r="P47" i="28" s="1"/>
  <c r="Q47" i="28" s="1"/>
  <c r="R47" i="28" s="1"/>
  <c r="N51" i="28"/>
  <c r="O51" i="28" s="1"/>
  <c r="N40" i="28"/>
  <c r="O40" i="28" s="1"/>
  <c r="N44" i="28"/>
  <c r="O44" i="28" s="1"/>
  <c r="P44" i="28" s="1"/>
  <c r="Q44" i="28" s="1"/>
  <c r="R44" i="28" s="1"/>
  <c r="N48" i="28"/>
  <c r="O48" i="28" s="1"/>
  <c r="P48" i="28" s="1"/>
  <c r="Q48" i="28" s="1"/>
  <c r="R48" i="28" s="1"/>
  <c r="N52" i="28"/>
  <c r="O52" i="28" s="1"/>
  <c r="P52" i="28" s="1"/>
  <c r="Q52" i="28" s="1"/>
  <c r="R52" i="28" s="1"/>
  <c r="J36" i="28"/>
  <c r="M36" i="28" s="1"/>
  <c r="J37" i="28"/>
  <c r="M37" i="28" s="1"/>
  <c r="N37" i="28" s="1"/>
  <c r="O37" i="28" s="1"/>
  <c r="H35" i="28"/>
  <c r="K35" i="28" s="1"/>
  <c r="H36" i="28"/>
  <c r="K36" i="28" s="1"/>
  <c r="N17" i="29"/>
  <c r="O17" i="29" s="1"/>
  <c r="P17" i="29" s="1"/>
  <c r="Q17" i="29" s="1"/>
  <c r="R17" i="29" s="1"/>
  <c r="P42" i="29"/>
  <c r="Q42" i="29" s="1"/>
  <c r="R42" i="29" s="1"/>
  <c r="N21" i="29"/>
  <c r="O21" i="29" s="1"/>
  <c r="P21" i="29" s="1"/>
  <c r="Q21" i="29" s="1"/>
  <c r="R21" i="29" s="1"/>
  <c r="N22" i="29"/>
  <c r="O22" i="29" s="1"/>
  <c r="P22" i="29" s="1"/>
  <c r="Q22" i="29" s="1"/>
  <c r="R22" i="29" s="1"/>
  <c r="N9" i="29"/>
  <c r="O9" i="29" s="1"/>
  <c r="P9" i="29" s="1"/>
  <c r="Q9" i="29" s="1"/>
  <c r="R9" i="29" s="1"/>
  <c r="I24" i="29"/>
  <c r="L24" i="29" s="1"/>
  <c r="J25" i="29"/>
  <c r="M25" i="29" s="1"/>
  <c r="P61" i="29"/>
  <c r="Q61" i="29" s="1"/>
  <c r="R61" i="29" s="1"/>
  <c r="L23" i="29"/>
  <c r="J24" i="29"/>
  <c r="M24" i="29" s="1"/>
  <c r="H24" i="29"/>
  <c r="K24" i="29" s="1"/>
  <c r="I25" i="29"/>
  <c r="L25" i="29" s="1"/>
  <c r="P91" i="29"/>
  <c r="Q91" i="29" s="1"/>
  <c r="R91" i="29" s="1"/>
  <c r="J23" i="29"/>
  <c r="M23" i="29" s="1"/>
  <c r="P50" i="29"/>
  <c r="Q50" i="29" s="1"/>
  <c r="R50" i="29" s="1"/>
  <c r="P60" i="29"/>
  <c r="Q60" i="29" s="1"/>
  <c r="R60" i="29" s="1"/>
  <c r="P85" i="29"/>
  <c r="Q85" i="29" s="1"/>
  <c r="R85" i="29" s="1"/>
  <c r="P90" i="29"/>
  <c r="Q90" i="29" s="1"/>
  <c r="R90" i="29" s="1"/>
  <c r="N7" i="29"/>
  <c r="O7" i="29" s="1"/>
  <c r="N11" i="29"/>
  <c r="O11" i="29" s="1"/>
  <c r="P11" i="29" s="1"/>
  <c r="Q11" i="29" s="1"/>
  <c r="R11" i="29" s="1"/>
  <c r="N26" i="29"/>
  <c r="O26" i="29" s="1"/>
  <c r="P26" i="29" s="1"/>
  <c r="Q26" i="29" s="1"/>
  <c r="R26" i="29" s="1"/>
  <c r="N27" i="29"/>
  <c r="O27" i="29" s="1"/>
  <c r="P27" i="29" s="1"/>
  <c r="Q27" i="29" s="1"/>
  <c r="R27" i="29" s="1"/>
  <c r="N28" i="29"/>
  <c r="O28" i="29" s="1"/>
  <c r="P28" i="29" s="1"/>
  <c r="Q28" i="29" s="1"/>
  <c r="R28" i="29" s="1"/>
  <c r="N29" i="29"/>
  <c r="O29" i="29" s="1"/>
  <c r="P29" i="29" s="1"/>
  <c r="Q29" i="29" s="1"/>
  <c r="R29" i="29" s="1"/>
  <c r="N30" i="29"/>
  <c r="O30" i="29" s="1"/>
  <c r="P30" i="29" s="1"/>
  <c r="Q30" i="29" s="1"/>
  <c r="R30" i="29" s="1"/>
  <c r="P55" i="29"/>
  <c r="Q55" i="29" s="1"/>
  <c r="R55" i="29" s="1"/>
  <c r="P76" i="29"/>
  <c r="Q76" i="29" s="1"/>
  <c r="R76" i="29" s="1"/>
  <c r="P87" i="29"/>
  <c r="Q87" i="29" s="1"/>
  <c r="R87" i="29" s="1"/>
  <c r="N8" i="29"/>
  <c r="O8" i="29" s="1"/>
  <c r="P8" i="29" s="1"/>
  <c r="Q8" i="29" s="1"/>
  <c r="R8" i="29" s="1"/>
  <c r="N12" i="29"/>
  <c r="O12" i="29" s="1"/>
  <c r="P12" i="29" s="1"/>
  <c r="Q12" i="29" s="1"/>
  <c r="R12" i="29" s="1"/>
  <c r="N13" i="29"/>
  <c r="O13" i="29" s="1"/>
  <c r="P13" i="29" s="1"/>
  <c r="Q13" i="29" s="1"/>
  <c r="R13" i="29" s="1"/>
  <c r="P51" i="29"/>
  <c r="Q51" i="29" s="1"/>
  <c r="R51" i="29" s="1"/>
  <c r="P57" i="29"/>
  <c r="Q57" i="29" s="1"/>
  <c r="R57" i="29" s="1"/>
  <c r="P79" i="29"/>
  <c r="Q79" i="29" s="1"/>
  <c r="R79" i="29" s="1"/>
  <c r="P80" i="29"/>
  <c r="Q80" i="29" s="1"/>
  <c r="R80" i="29" s="1"/>
  <c r="P89" i="29"/>
  <c r="Q89" i="29" s="1"/>
  <c r="R89" i="29" s="1"/>
  <c r="N5" i="29"/>
  <c r="O5" i="29" s="1"/>
  <c r="P5" i="29" s="1"/>
  <c r="Q5" i="29" s="1"/>
  <c r="R5" i="29" s="1"/>
  <c r="P44" i="29"/>
  <c r="Q44" i="29" s="1"/>
  <c r="R44" i="29" s="1"/>
  <c r="P58" i="29"/>
  <c r="Q58" i="29" s="1"/>
  <c r="R58" i="29" s="1"/>
  <c r="P82" i="29"/>
  <c r="Q82" i="29" s="1"/>
  <c r="R82" i="29" s="1"/>
  <c r="P88" i="29"/>
  <c r="Q88" i="29" s="1"/>
  <c r="R88" i="29" s="1"/>
  <c r="N6" i="29"/>
  <c r="O6" i="29" s="1"/>
  <c r="N10" i="29"/>
  <c r="O10" i="29" s="1"/>
  <c r="P10" i="29" s="1"/>
  <c r="Q10" i="29" s="1"/>
  <c r="R10" i="29" s="1"/>
  <c r="N14" i="29"/>
  <c r="O14" i="29" s="1"/>
  <c r="P14" i="29" s="1"/>
  <c r="Q14" i="29" s="1"/>
  <c r="R14" i="29" s="1"/>
  <c r="N31" i="29"/>
  <c r="O31" i="29" s="1"/>
  <c r="P31" i="29" s="1"/>
  <c r="Q31" i="29" s="1"/>
  <c r="R31" i="29" s="1"/>
  <c r="N15" i="29"/>
  <c r="O15" i="29" s="1"/>
  <c r="P15" i="29" s="1"/>
  <c r="Q15" i="29" s="1"/>
  <c r="R15" i="29" s="1"/>
  <c r="N19" i="29"/>
  <c r="O19" i="29" s="1"/>
  <c r="P19" i="29" s="1"/>
  <c r="Q19" i="29" s="1"/>
  <c r="R19" i="29" s="1"/>
  <c r="N16" i="29"/>
  <c r="O16" i="29" s="1"/>
  <c r="P16" i="29" s="1"/>
  <c r="Q16" i="29" s="1"/>
  <c r="R16" i="29" s="1"/>
  <c r="T16" i="29" s="1"/>
  <c r="U16" i="29" s="1"/>
  <c r="Y7" i="29" s="1"/>
  <c r="N20" i="29"/>
  <c r="O20" i="29" s="1"/>
  <c r="P20" i="29" s="1"/>
  <c r="Q20" i="29" s="1"/>
  <c r="R20" i="29" s="1"/>
  <c r="P76" i="28"/>
  <c r="Q76" i="28" s="1"/>
  <c r="R76" i="28" s="1"/>
  <c r="H23" i="28"/>
  <c r="K23" i="28" s="1"/>
  <c r="P72" i="28"/>
  <c r="Q72" i="28" s="1"/>
  <c r="R72" i="28" s="1"/>
  <c r="P73" i="28"/>
  <c r="Q73" i="28" s="1"/>
  <c r="R73" i="28" s="1"/>
  <c r="J25" i="28"/>
  <c r="M25" i="28" s="1"/>
  <c r="N27" i="28"/>
  <c r="O27" i="28" s="1"/>
  <c r="P27" i="28" s="1"/>
  <c r="Q27" i="28" s="1"/>
  <c r="R27" i="28" s="1"/>
  <c r="P51" i="28"/>
  <c r="Q51" i="28" s="1"/>
  <c r="R51" i="28" s="1"/>
  <c r="P82" i="28"/>
  <c r="Q82" i="28" s="1"/>
  <c r="R82" i="28" s="1"/>
  <c r="P88" i="28"/>
  <c r="Q88" i="28" s="1"/>
  <c r="R88" i="28" s="1"/>
  <c r="P77" i="28"/>
  <c r="Q77" i="28" s="1"/>
  <c r="R77" i="28" s="1"/>
  <c r="N8" i="28"/>
  <c r="O8" i="28" s="1"/>
  <c r="P8" i="28" s="1"/>
  <c r="Q8" i="28" s="1"/>
  <c r="R8" i="28" s="1"/>
  <c r="N12" i="28"/>
  <c r="O12" i="28" s="1"/>
  <c r="P12" i="28" s="1"/>
  <c r="Q12" i="28" s="1"/>
  <c r="R12" i="28" s="1"/>
  <c r="N16" i="28"/>
  <c r="O16" i="28" s="1"/>
  <c r="P16" i="28" s="1"/>
  <c r="Q16" i="28" s="1"/>
  <c r="R16" i="28" s="1"/>
  <c r="N20" i="28"/>
  <c r="O20" i="28" s="1"/>
  <c r="P20" i="28" s="1"/>
  <c r="Q20" i="28" s="1"/>
  <c r="R20" i="28" s="1"/>
  <c r="I23" i="28"/>
  <c r="L23" i="28" s="1"/>
  <c r="H24" i="28"/>
  <c r="K24" i="28" s="1"/>
  <c r="N28" i="28"/>
  <c r="O28" i="28" s="1"/>
  <c r="P28" i="28" s="1"/>
  <c r="Q28" i="28" s="1"/>
  <c r="R28" i="28" s="1"/>
  <c r="P78" i="28"/>
  <c r="Q78" i="28" s="1"/>
  <c r="R78" i="28" s="1"/>
  <c r="N5" i="28"/>
  <c r="O5" i="28" s="1"/>
  <c r="P5" i="28" s="1"/>
  <c r="Q5" i="28" s="1"/>
  <c r="R5" i="28" s="1"/>
  <c r="N9" i="28"/>
  <c r="O9" i="28" s="1"/>
  <c r="P9" i="28" s="1"/>
  <c r="Q9" i="28" s="1"/>
  <c r="R9" i="28" s="1"/>
  <c r="N13" i="28"/>
  <c r="O13" i="28" s="1"/>
  <c r="P13" i="28" s="1"/>
  <c r="Q13" i="28" s="1"/>
  <c r="R13" i="28" s="1"/>
  <c r="N17" i="28"/>
  <c r="O17" i="28" s="1"/>
  <c r="P17" i="28" s="1"/>
  <c r="Q17" i="28" s="1"/>
  <c r="R17" i="28" s="1"/>
  <c r="N21" i="28"/>
  <c r="O21" i="28" s="1"/>
  <c r="P21" i="28" s="1"/>
  <c r="Q21" i="28" s="1"/>
  <c r="R21" i="28" s="1"/>
  <c r="J23" i="28"/>
  <c r="M23" i="28" s="1"/>
  <c r="I24" i="28"/>
  <c r="L24" i="28" s="1"/>
  <c r="H25" i="28"/>
  <c r="K25" i="28" s="1"/>
  <c r="N29" i="28"/>
  <c r="O29" i="28" s="1"/>
  <c r="P29" i="28" s="1"/>
  <c r="Q29" i="28" s="1"/>
  <c r="R29" i="28" s="1"/>
  <c r="P79" i="28"/>
  <c r="Q79" i="28" s="1"/>
  <c r="R79" i="28" s="1"/>
  <c r="P81" i="28"/>
  <c r="Q81" i="28" s="1"/>
  <c r="R81" i="28" s="1"/>
  <c r="P91" i="28"/>
  <c r="Q91" i="28" s="1"/>
  <c r="R91" i="28" s="1"/>
  <c r="N6" i="28"/>
  <c r="O6" i="28" s="1"/>
  <c r="P6" i="28" s="1"/>
  <c r="Q6" i="28" s="1"/>
  <c r="R6" i="28" s="1"/>
  <c r="N10" i="28"/>
  <c r="O10" i="28" s="1"/>
  <c r="P10" i="28" s="1"/>
  <c r="Q10" i="28" s="1"/>
  <c r="R10" i="28" s="1"/>
  <c r="N14" i="28"/>
  <c r="O14" i="28" s="1"/>
  <c r="P14" i="28" s="1"/>
  <c r="Q14" i="28" s="1"/>
  <c r="R14" i="28" s="1"/>
  <c r="N18" i="28"/>
  <c r="O18" i="28" s="1"/>
  <c r="P18" i="28" s="1"/>
  <c r="Q18" i="28" s="1"/>
  <c r="R18" i="28" s="1"/>
  <c r="N22" i="28"/>
  <c r="O22" i="28" s="1"/>
  <c r="P22" i="28" s="1"/>
  <c r="Q22" i="28" s="1"/>
  <c r="R22" i="28" s="1"/>
  <c r="J24" i="28"/>
  <c r="M24" i="28" s="1"/>
  <c r="N26" i="28"/>
  <c r="O26" i="28" s="1"/>
  <c r="N30" i="28"/>
  <c r="O30" i="28" s="1"/>
  <c r="P30" i="28" s="1"/>
  <c r="Q30" i="28" s="1"/>
  <c r="R30" i="28" s="1"/>
  <c r="P41" i="28"/>
  <c r="Q41" i="28" s="1"/>
  <c r="R41" i="28" s="1"/>
  <c r="N7" i="28"/>
  <c r="O7" i="28" s="1"/>
  <c r="N11" i="28"/>
  <c r="O11" i="28" s="1"/>
  <c r="P11" i="28" s="1"/>
  <c r="Q11" i="28" s="1"/>
  <c r="R11" i="28" s="1"/>
  <c r="N15" i="28"/>
  <c r="O15" i="28" s="1"/>
  <c r="P15" i="28" s="1"/>
  <c r="Q15" i="28" s="1"/>
  <c r="R15" i="28" s="1"/>
  <c r="N19" i="28"/>
  <c r="O19" i="28" s="1"/>
  <c r="P19" i="28" s="1"/>
  <c r="Q19" i="28" s="1"/>
  <c r="R19" i="28" s="1"/>
  <c r="N31" i="28"/>
  <c r="O31" i="28" s="1"/>
  <c r="P31" i="28" s="1"/>
  <c r="Q31" i="28" s="1"/>
  <c r="R31" i="28" s="1"/>
  <c r="P26" i="28"/>
  <c r="Q26" i="28" s="1"/>
  <c r="R26" i="28" s="1"/>
  <c r="P41" i="29"/>
  <c r="Q41" i="29" s="1"/>
  <c r="R41" i="29" s="1"/>
  <c r="P45" i="29"/>
  <c r="Q45" i="29" s="1"/>
  <c r="R45" i="29" s="1"/>
  <c r="P52" i="29"/>
  <c r="Q52" i="29" s="1"/>
  <c r="R52" i="29" s="1"/>
  <c r="P56" i="29"/>
  <c r="Q56" i="29" s="1"/>
  <c r="R56" i="29" s="1"/>
  <c r="P43" i="29"/>
  <c r="Q43" i="29" s="1"/>
  <c r="R43" i="29" s="1"/>
  <c r="P46" i="29"/>
  <c r="Q46" i="29" s="1"/>
  <c r="R46" i="29" s="1"/>
  <c r="P47" i="29"/>
  <c r="Q47" i="29" s="1"/>
  <c r="R47" i="29" s="1"/>
  <c r="P48" i="29"/>
  <c r="Q48" i="29" s="1"/>
  <c r="R48" i="29" s="1"/>
  <c r="P49" i="29"/>
  <c r="Q49" i="29" s="1"/>
  <c r="R49" i="29" s="1"/>
  <c r="P59" i="29"/>
  <c r="Q59" i="29" s="1"/>
  <c r="R59" i="29" s="1"/>
  <c r="P83" i="29"/>
  <c r="Q83" i="29" s="1"/>
  <c r="R83" i="29" s="1"/>
  <c r="P71" i="29"/>
  <c r="Q71" i="29" s="1"/>
  <c r="R71" i="29" s="1"/>
  <c r="P72" i="29"/>
  <c r="Q72" i="29" s="1"/>
  <c r="R72" i="29" s="1"/>
  <c r="P74" i="29"/>
  <c r="Q74" i="29" s="1"/>
  <c r="R74" i="29" s="1"/>
  <c r="P75" i="29"/>
  <c r="Q75" i="29" s="1"/>
  <c r="R75" i="29" s="1"/>
  <c r="P86" i="29"/>
  <c r="Q86" i="29" s="1"/>
  <c r="R86" i="29" s="1"/>
  <c r="P77" i="29"/>
  <c r="Q77" i="29" s="1"/>
  <c r="R77" i="29" s="1"/>
  <c r="P78" i="29"/>
  <c r="Q78" i="29" s="1"/>
  <c r="R78" i="29" s="1"/>
  <c r="P65" i="29"/>
  <c r="Q65" i="29" s="1"/>
  <c r="R65" i="29" s="1"/>
  <c r="P68" i="29"/>
  <c r="Q68" i="29" s="1"/>
  <c r="R68" i="29" s="1"/>
  <c r="P71" i="28"/>
  <c r="Q71" i="28" s="1"/>
  <c r="R71" i="28" s="1"/>
  <c r="P75" i="28"/>
  <c r="Q75" i="28" s="1"/>
  <c r="R75" i="28" s="1"/>
  <c r="P74" i="28"/>
  <c r="Q74" i="28" s="1"/>
  <c r="R74" i="28" s="1"/>
  <c r="P59" i="28"/>
  <c r="Q59" i="28" s="1"/>
  <c r="R59" i="28" s="1"/>
  <c r="P90" i="28"/>
  <c r="Q90" i="28" s="1"/>
  <c r="R90" i="28" s="1"/>
  <c r="P80" i="28"/>
  <c r="Q80" i="28" s="1"/>
  <c r="R80" i="28" s="1"/>
  <c r="P86" i="28"/>
  <c r="Q86" i="28" s="1"/>
  <c r="R86" i="28" s="1"/>
  <c r="P87" i="28"/>
  <c r="Q87" i="28" s="1"/>
  <c r="R87" i="28" s="1"/>
  <c r="P89" i="28"/>
  <c r="Q89" i="28" s="1"/>
  <c r="R89" i="28" s="1"/>
  <c r="K116" i="27"/>
  <c r="K123" i="27"/>
  <c r="K124" i="27"/>
  <c r="K134" i="27"/>
  <c r="K136" i="27"/>
  <c r="K147" i="27"/>
  <c r="K159" i="27"/>
  <c r="K160" i="27"/>
  <c r="K113" i="27"/>
  <c r="K115" i="27"/>
  <c r="K132" i="27"/>
  <c r="K143" i="27"/>
  <c r="K156" i="27"/>
  <c r="K157" i="27"/>
  <c r="H113" i="27"/>
  <c r="H114" i="27"/>
  <c r="H115" i="27"/>
  <c r="I122" i="27"/>
  <c r="I123" i="27"/>
  <c r="J125" i="27"/>
  <c r="J126" i="27"/>
  <c r="J127" i="27"/>
  <c r="K128" i="27"/>
  <c r="K129" i="27"/>
  <c r="H131" i="27"/>
  <c r="H132" i="27"/>
  <c r="H133" i="27"/>
  <c r="I134" i="27"/>
  <c r="I135" i="27"/>
  <c r="J137" i="27"/>
  <c r="J138" i="27"/>
  <c r="J139" i="27"/>
  <c r="K140" i="27"/>
  <c r="K141" i="27"/>
  <c r="H143" i="27"/>
  <c r="H144" i="27"/>
  <c r="H145" i="27"/>
  <c r="I146" i="27"/>
  <c r="I147" i="27"/>
  <c r="J149" i="27"/>
  <c r="J150" i="27"/>
  <c r="J151" i="27"/>
  <c r="K152" i="27"/>
  <c r="K153" i="27"/>
  <c r="H155" i="27"/>
  <c r="H156" i="27"/>
  <c r="H157" i="27"/>
  <c r="I158" i="27"/>
  <c r="I159" i="27"/>
  <c r="J161" i="27"/>
  <c r="J162" i="27"/>
  <c r="J163" i="27"/>
  <c r="K122" i="27"/>
  <c r="K135" i="27"/>
  <c r="K146" i="27"/>
  <c r="K148" i="27"/>
  <c r="K158" i="27"/>
  <c r="K131" i="27"/>
  <c r="K144" i="27"/>
  <c r="I113" i="27"/>
  <c r="I114" i="27"/>
  <c r="J122" i="27"/>
  <c r="J123" i="27"/>
  <c r="K125" i="27"/>
  <c r="K126" i="27"/>
  <c r="H128" i="27"/>
  <c r="H129" i="27"/>
  <c r="I131" i="27"/>
  <c r="I132" i="27"/>
  <c r="J134" i="27"/>
  <c r="J135" i="27"/>
  <c r="K137" i="27"/>
  <c r="K138" i="27"/>
  <c r="H140" i="27"/>
  <c r="H141" i="27"/>
  <c r="I143" i="27"/>
  <c r="I144" i="27"/>
  <c r="J146" i="27"/>
  <c r="J147" i="27"/>
  <c r="K149" i="27"/>
  <c r="K150" i="27"/>
  <c r="H152" i="27"/>
  <c r="H153" i="27"/>
  <c r="I155" i="27"/>
  <c r="I156" i="27"/>
  <c r="J158" i="27"/>
  <c r="J159" i="27"/>
  <c r="K161" i="27"/>
  <c r="K162" i="27"/>
  <c r="D158" i="26"/>
  <c r="D161" i="26"/>
  <c r="K116" i="26"/>
  <c r="K123" i="26"/>
  <c r="K146" i="26"/>
  <c r="K148" i="26"/>
  <c r="K113" i="26"/>
  <c r="K114" i="26"/>
  <c r="K131" i="26"/>
  <c r="K132" i="26"/>
  <c r="K143" i="26"/>
  <c r="K144" i="26"/>
  <c r="K155" i="26"/>
  <c r="I157" i="26"/>
  <c r="H160" i="26"/>
  <c r="K122" i="26"/>
  <c r="K134" i="26"/>
  <c r="K136" i="26"/>
  <c r="H113" i="26"/>
  <c r="H114" i="26"/>
  <c r="H115" i="26"/>
  <c r="I122" i="26"/>
  <c r="I123" i="26"/>
  <c r="J125" i="26"/>
  <c r="J126" i="26"/>
  <c r="J127" i="26"/>
  <c r="K128" i="26"/>
  <c r="K129" i="26"/>
  <c r="H131" i="26"/>
  <c r="H132" i="26"/>
  <c r="H133" i="26"/>
  <c r="I134" i="26"/>
  <c r="I135" i="26"/>
  <c r="J137" i="26"/>
  <c r="J138" i="26"/>
  <c r="J139" i="26"/>
  <c r="K140" i="26"/>
  <c r="K141" i="26"/>
  <c r="H143" i="26"/>
  <c r="H144" i="26"/>
  <c r="H145" i="26"/>
  <c r="I146" i="26"/>
  <c r="I147" i="26"/>
  <c r="J149" i="26"/>
  <c r="J150" i="26"/>
  <c r="J151" i="26"/>
  <c r="K152" i="26"/>
  <c r="K153" i="26"/>
  <c r="H155" i="26"/>
  <c r="I156" i="26"/>
  <c r="J157" i="26"/>
  <c r="K158" i="26"/>
  <c r="I160" i="26"/>
  <c r="J161" i="26"/>
  <c r="J162" i="26"/>
  <c r="J163" i="26"/>
  <c r="K124" i="26"/>
  <c r="K135" i="26"/>
  <c r="K147" i="26"/>
  <c r="H157" i="26"/>
  <c r="I113" i="26"/>
  <c r="I114" i="26"/>
  <c r="J122" i="26"/>
  <c r="J123" i="26"/>
  <c r="K125" i="26"/>
  <c r="K126" i="26"/>
  <c r="H128" i="26"/>
  <c r="H129" i="26"/>
  <c r="I131" i="26"/>
  <c r="I132" i="26"/>
  <c r="J134" i="26"/>
  <c r="J135" i="26"/>
  <c r="K137" i="26"/>
  <c r="K138" i="26"/>
  <c r="H140" i="26"/>
  <c r="H141" i="26"/>
  <c r="I143" i="26"/>
  <c r="I144" i="26"/>
  <c r="J146" i="26"/>
  <c r="J147" i="26"/>
  <c r="K149" i="26"/>
  <c r="K150" i="26"/>
  <c r="H152" i="26"/>
  <c r="H153" i="26"/>
  <c r="K156" i="26"/>
  <c r="H158" i="26"/>
  <c r="K161" i="26"/>
  <c r="K162" i="26"/>
  <c r="K62" i="27"/>
  <c r="K63" i="27"/>
  <c r="K64" i="27"/>
  <c r="K68" i="27"/>
  <c r="K69" i="27"/>
  <c r="K81" i="27"/>
  <c r="K82" i="27"/>
  <c r="K93" i="27"/>
  <c r="K105" i="27"/>
  <c r="K59" i="27"/>
  <c r="K61" i="27"/>
  <c r="K78" i="27"/>
  <c r="K90" i="27"/>
  <c r="K91" i="27"/>
  <c r="K102" i="27"/>
  <c r="H59" i="27"/>
  <c r="H60" i="27"/>
  <c r="H61" i="27"/>
  <c r="I62" i="27"/>
  <c r="I63" i="27"/>
  <c r="I68" i="27"/>
  <c r="I69" i="27"/>
  <c r="J71" i="27"/>
  <c r="J72" i="27"/>
  <c r="J73" i="27"/>
  <c r="K74" i="27"/>
  <c r="K75" i="27"/>
  <c r="H77" i="27"/>
  <c r="H78" i="27"/>
  <c r="H79" i="27"/>
  <c r="I80" i="27"/>
  <c r="I81" i="27"/>
  <c r="J83" i="27"/>
  <c r="J84" i="27"/>
  <c r="J85" i="27"/>
  <c r="K86" i="27"/>
  <c r="K87" i="27"/>
  <c r="H89" i="27"/>
  <c r="H90" i="27"/>
  <c r="H91" i="27"/>
  <c r="I92" i="27"/>
  <c r="I93" i="27"/>
  <c r="J95" i="27"/>
  <c r="J96" i="27"/>
  <c r="J97" i="27"/>
  <c r="K98" i="27"/>
  <c r="K99" i="27"/>
  <c r="H101" i="27"/>
  <c r="H102" i="27"/>
  <c r="H103" i="27"/>
  <c r="I104" i="27"/>
  <c r="I105" i="27"/>
  <c r="J107" i="27"/>
  <c r="J108" i="27"/>
  <c r="J109" i="27"/>
  <c r="K70" i="27"/>
  <c r="K80" i="27"/>
  <c r="K92" i="27"/>
  <c r="K94" i="27"/>
  <c r="K104" i="27"/>
  <c r="K106" i="27"/>
  <c r="K77" i="27"/>
  <c r="K101" i="27"/>
  <c r="I59" i="27"/>
  <c r="I60" i="27"/>
  <c r="J62" i="27"/>
  <c r="J63" i="27"/>
  <c r="J68" i="27"/>
  <c r="J69" i="27"/>
  <c r="K71" i="27"/>
  <c r="K72" i="27"/>
  <c r="H74" i="27"/>
  <c r="H75" i="27"/>
  <c r="I77" i="27"/>
  <c r="I78" i="27"/>
  <c r="J80" i="27"/>
  <c r="J81" i="27"/>
  <c r="K83" i="27"/>
  <c r="K84" i="27"/>
  <c r="H86" i="27"/>
  <c r="H87" i="27"/>
  <c r="I89" i="27"/>
  <c r="I90" i="27"/>
  <c r="J92" i="27"/>
  <c r="J93" i="27"/>
  <c r="K95" i="27"/>
  <c r="K96" i="27"/>
  <c r="H98" i="27"/>
  <c r="H99" i="27"/>
  <c r="I101" i="27"/>
  <c r="I102" i="27"/>
  <c r="J104" i="27"/>
  <c r="J105" i="27"/>
  <c r="K107" i="27"/>
  <c r="K108" i="27"/>
  <c r="D107" i="26"/>
  <c r="D104" i="26"/>
  <c r="K75" i="26"/>
  <c r="K87" i="26"/>
  <c r="K74" i="26"/>
  <c r="K76" i="26"/>
  <c r="K86" i="26"/>
  <c r="K88" i="26"/>
  <c r="K98" i="26"/>
  <c r="K99" i="26"/>
  <c r="K100" i="26"/>
  <c r="K72" i="26"/>
  <c r="K73" i="26"/>
  <c r="K84" i="26"/>
  <c r="K95" i="26"/>
  <c r="K96" i="26"/>
  <c r="H105" i="26"/>
  <c r="H106" i="26"/>
  <c r="K83" i="26"/>
  <c r="J59" i="26"/>
  <c r="J60" i="26"/>
  <c r="J61" i="26"/>
  <c r="K62" i="26"/>
  <c r="K63" i="26"/>
  <c r="K68" i="26"/>
  <c r="K69" i="26"/>
  <c r="H71" i="26"/>
  <c r="H72" i="26"/>
  <c r="H73" i="26"/>
  <c r="I74" i="26"/>
  <c r="I75" i="26"/>
  <c r="J77" i="26"/>
  <c r="J78" i="26"/>
  <c r="J79" i="26"/>
  <c r="K80" i="26"/>
  <c r="K81" i="26"/>
  <c r="H83" i="26"/>
  <c r="H84" i="26"/>
  <c r="H85" i="26"/>
  <c r="I86" i="26"/>
  <c r="I87" i="26"/>
  <c r="J89" i="26"/>
  <c r="J90" i="26"/>
  <c r="J91" i="26"/>
  <c r="K92" i="26"/>
  <c r="K93" i="26"/>
  <c r="H95" i="26"/>
  <c r="H96" i="26"/>
  <c r="H97" i="26"/>
  <c r="I105" i="26"/>
  <c r="I106" i="26"/>
  <c r="J109" i="26"/>
  <c r="K59" i="26"/>
  <c r="K60" i="26"/>
  <c r="H62" i="26"/>
  <c r="H63" i="26"/>
  <c r="H68" i="26"/>
  <c r="H69" i="26"/>
  <c r="I71" i="26"/>
  <c r="I72" i="26"/>
  <c r="J74" i="26"/>
  <c r="J75" i="26"/>
  <c r="K77" i="26"/>
  <c r="K78" i="26"/>
  <c r="H80" i="26"/>
  <c r="H81" i="26"/>
  <c r="I83" i="26"/>
  <c r="I84" i="26"/>
  <c r="J86" i="26"/>
  <c r="J87" i="26"/>
  <c r="K89" i="26"/>
  <c r="K90" i="26"/>
  <c r="H92" i="26"/>
  <c r="H93" i="26"/>
  <c r="I95" i="26"/>
  <c r="I96" i="26"/>
  <c r="J98" i="26"/>
  <c r="J99" i="26"/>
  <c r="K101" i="26"/>
  <c r="K102" i="26"/>
  <c r="J105" i="26"/>
  <c r="K107" i="26"/>
  <c r="K108" i="26"/>
  <c r="K8" i="27"/>
  <c r="K9" i="27"/>
  <c r="K10" i="27"/>
  <c r="K14" i="27"/>
  <c r="K15" i="27"/>
  <c r="K16" i="27"/>
  <c r="K26" i="27"/>
  <c r="K27" i="27"/>
  <c r="K28" i="27"/>
  <c r="K38" i="27"/>
  <c r="K39" i="27"/>
  <c r="K40" i="27"/>
  <c r="K50" i="27"/>
  <c r="K51" i="27"/>
  <c r="K52" i="27"/>
  <c r="K5" i="27"/>
  <c r="K6" i="27"/>
  <c r="I17" i="27"/>
  <c r="I18" i="27"/>
  <c r="J20" i="27"/>
  <c r="J21" i="27"/>
  <c r="J22" i="27"/>
  <c r="K23" i="27"/>
  <c r="K24" i="27"/>
  <c r="I29" i="27"/>
  <c r="I30" i="27"/>
  <c r="J32" i="27"/>
  <c r="J33" i="27"/>
  <c r="J34" i="27"/>
  <c r="K35" i="27"/>
  <c r="K36" i="27"/>
  <c r="I41" i="27"/>
  <c r="I42" i="27"/>
  <c r="J44" i="27"/>
  <c r="J45" i="27"/>
  <c r="J46" i="27"/>
  <c r="K47" i="27"/>
  <c r="K48" i="27"/>
  <c r="I53" i="27"/>
  <c r="I54" i="27"/>
  <c r="H5" i="27"/>
  <c r="H6" i="27"/>
  <c r="H7" i="27"/>
  <c r="K20" i="27"/>
  <c r="K21" i="27"/>
  <c r="H23" i="27"/>
  <c r="H24" i="27"/>
  <c r="H25" i="27"/>
  <c r="K32" i="27"/>
  <c r="K33" i="27"/>
  <c r="H35" i="27"/>
  <c r="H36" i="27"/>
  <c r="H37" i="27"/>
  <c r="K44" i="27"/>
  <c r="K45" i="27"/>
  <c r="H47" i="27"/>
  <c r="H48" i="27"/>
  <c r="H49" i="27"/>
  <c r="J55" i="27"/>
  <c r="I5" i="27"/>
  <c r="I6" i="27"/>
  <c r="J8" i="27"/>
  <c r="J9" i="27"/>
  <c r="J14" i="27"/>
  <c r="J15" i="27"/>
  <c r="K17" i="27"/>
  <c r="K18" i="27"/>
  <c r="H20" i="27"/>
  <c r="H21" i="27"/>
  <c r="I23" i="27"/>
  <c r="I24" i="27"/>
  <c r="J26" i="27"/>
  <c r="J27" i="27"/>
  <c r="K29" i="27"/>
  <c r="K30" i="27"/>
  <c r="H32" i="27"/>
  <c r="H33" i="27"/>
  <c r="I35" i="27"/>
  <c r="I36" i="27"/>
  <c r="J38" i="27"/>
  <c r="J39" i="27"/>
  <c r="K41" i="27"/>
  <c r="K42" i="27"/>
  <c r="H44" i="27"/>
  <c r="H45" i="27"/>
  <c r="I47" i="27"/>
  <c r="I48" i="27"/>
  <c r="J50" i="27"/>
  <c r="J51" i="27"/>
  <c r="K53" i="27"/>
  <c r="K54" i="27"/>
  <c r="N25" i="29" l="1"/>
  <c r="O25" i="29" s="1"/>
  <c r="P25" i="29" s="1"/>
  <c r="Q25" i="29" s="1"/>
  <c r="R25" i="29" s="1"/>
  <c r="T91" i="29"/>
  <c r="U91" i="29" s="1"/>
  <c r="Y72" i="29" s="1"/>
  <c r="T82" i="29"/>
  <c r="U82" i="29" s="1"/>
  <c r="Y69" i="29" s="1"/>
  <c r="S52" i="29"/>
  <c r="X39" i="29" s="1"/>
  <c r="S91" i="29"/>
  <c r="X72" i="29" s="1"/>
  <c r="P70" i="29"/>
  <c r="Q70" i="29" s="1"/>
  <c r="R70" i="29" s="1"/>
  <c r="S82" i="29"/>
  <c r="X69" i="29" s="1"/>
  <c r="S28" i="29"/>
  <c r="X11" i="29" s="1"/>
  <c r="S28" i="28"/>
  <c r="X11" i="28" s="1"/>
  <c r="N25" i="28"/>
  <c r="O25" i="28" s="1"/>
  <c r="P25" i="28" s="1"/>
  <c r="Q25" i="28" s="1"/>
  <c r="R25" i="28" s="1"/>
  <c r="P69" i="28"/>
  <c r="Q69" i="28" s="1"/>
  <c r="R69" i="28" s="1"/>
  <c r="N54" i="28"/>
  <c r="O54" i="28" s="1"/>
  <c r="P54" i="28" s="1"/>
  <c r="Q54" i="28" s="1"/>
  <c r="R54" i="28" s="1"/>
  <c r="T28" i="28"/>
  <c r="U28" i="28" s="1"/>
  <c r="Y11" i="28" s="1"/>
  <c r="N53" i="28"/>
  <c r="O53" i="28" s="1"/>
  <c r="P53" i="28" s="1"/>
  <c r="Q53" i="28" s="1"/>
  <c r="R53" i="28" s="1"/>
  <c r="N23" i="28"/>
  <c r="O23" i="28" s="1"/>
  <c r="P23" i="28" s="1"/>
  <c r="Q23" i="28" s="1"/>
  <c r="R23" i="28" s="1"/>
  <c r="N35" i="28"/>
  <c r="O35" i="28" s="1"/>
  <c r="P35" i="28" s="1"/>
  <c r="Q35" i="28" s="1"/>
  <c r="R35" i="28" s="1"/>
  <c r="N55" i="28"/>
  <c r="O55" i="28" s="1"/>
  <c r="P55" i="28" s="1"/>
  <c r="Q55" i="28" s="1"/>
  <c r="R55" i="28" s="1"/>
  <c r="T49" i="28"/>
  <c r="U49" i="28" s="1"/>
  <c r="Y38" i="28" s="1"/>
  <c r="N36" i="28"/>
  <c r="O36" i="28" s="1"/>
  <c r="P36" i="28" s="1"/>
  <c r="Q36" i="28" s="1"/>
  <c r="R36" i="28" s="1"/>
  <c r="P69" i="29"/>
  <c r="Q69" i="29" s="1"/>
  <c r="R69" i="29" s="1"/>
  <c r="T31" i="29"/>
  <c r="U31" i="29" s="1"/>
  <c r="Y12" i="29" s="1"/>
  <c r="S22" i="29"/>
  <c r="X9" i="29" s="1"/>
  <c r="N24" i="29"/>
  <c r="O24" i="29" s="1"/>
  <c r="P24" i="29" s="1"/>
  <c r="Q24" i="29" s="1"/>
  <c r="R24" i="29" s="1"/>
  <c r="N23" i="29"/>
  <c r="O23" i="29" s="1"/>
  <c r="P23" i="29" s="1"/>
  <c r="Q23" i="29" s="1"/>
  <c r="R23" i="29" s="1"/>
  <c r="P40" i="29"/>
  <c r="Q40" i="29" s="1"/>
  <c r="R40" i="29" s="1"/>
  <c r="P39" i="29"/>
  <c r="Q39" i="29" s="1"/>
  <c r="R39" i="29" s="1"/>
  <c r="T28" i="29"/>
  <c r="U28" i="29" s="1"/>
  <c r="Y11" i="29" s="1"/>
  <c r="T22" i="29"/>
  <c r="U22" i="29" s="1"/>
  <c r="Y9" i="29" s="1"/>
  <c r="P37" i="29"/>
  <c r="Q37" i="29" s="1"/>
  <c r="R37" i="29" s="1"/>
  <c r="T46" i="29"/>
  <c r="U46" i="29" s="1"/>
  <c r="Y37" i="29" s="1"/>
  <c r="P67" i="29"/>
  <c r="Q67" i="29" s="1"/>
  <c r="R67" i="29" s="1"/>
  <c r="S67" i="29" s="1"/>
  <c r="X64" i="29" s="1"/>
  <c r="P38" i="29"/>
  <c r="Q38" i="29" s="1"/>
  <c r="R38" i="29" s="1"/>
  <c r="P36" i="29"/>
  <c r="Q36" i="29" s="1"/>
  <c r="R36" i="29" s="1"/>
  <c r="P37" i="28"/>
  <c r="Q37" i="28" s="1"/>
  <c r="R37" i="28" s="1"/>
  <c r="S52" i="28"/>
  <c r="X39" i="28" s="1"/>
  <c r="T13" i="28"/>
  <c r="U13" i="28" s="1"/>
  <c r="Y6" i="28" s="1"/>
  <c r="T16" i="28"/>
  <c r="U16" i="28" s="1"/>
  <c r="Y7" i="28" s="1"/>
  <c r="P40" i="28"/>
  <c r="Q40" i="28" s="1"/>
  <c r="R40" i="28" s="1"/>
  <c r="P39" i="28"/>
  <c r="Q39" i="28" s="1"/>
  <c r="R39" i="28" s="1"/>
  <c r="S58" i="28"/>
  <c r="X41" i="28" s="1"/>
  <c r="T79" i="28"/>
  <c r="U79" i="28" s="1"/>
  <c r="Y68" i="28" s="1"/>
  <c r="P70" i="28"/>
  <c r="Q70" i="28" s="1"/>
  <c r="R70" i="28" s="1"/>
  <c r="S19" i="28"/>
  <c r="X8" i="28" s="1"/>
  <c r="T31" i="28"/>
  <c r="U31" i="28" s="1"/>
  <c r="Y12" i="28" s="1"/>
  <c r="P38" i="28"/>
  <c r="Q38" i="28" s="1"/>
  <c r="R38" i="28" s="1"/>
  <c r="N24" i="28"/>
  <c r="O24" i="28" s="1"/>
  <c r="P24" i="28" s="1"/>
  <c r="Q24" i="28" s="1"/>
  <c r="R24" i="28" s="1"/>
  <c r="S49" i="28"/>
  <c r="X38" i="28" s="1"/>
  <c r="T46" i="28"/>
  <c r="U46" i="28" s="1"/>
  <c r="Y37" i="28" s="1"/>
  <c r="T58" i="28"/>
  <c r="U58" i="28" s="1"/>
  <c r="Y41" i="28" s="1"/>
  <c r="T43" i="28"/>
  <c r="U43" i="28" s="1"/>
  <c r="Y36" i="28" s="1"/>
  <c r="S79" i="28"/>
  <c r="X68" i="28" s="1"/>
  <c r="P65" i="28"/>
  <c r="Q65" i="28" s="1"/>
  <c r="R65" i="28" s="1"/>
  <c r="P67" i="28"/>
  <c r="Q67" i="28" s="1"/>
  <c r="R67" i="28" s="1"/>
  <c r="S31" i="28"/>
  <c r="X12" i="28" s="1"/>
  <c r="T52" i="28"/>
  <c r="U52" i="28" s="1"/>
  <c r="Y39" i="28" s="1"/>
  <c r="S16" i="28"/>
  <c r="X7" i="28" s="1"/>
  <c r="S13" i="28"/>
  <c r="X6" i="28" s="1"/>
  <c r="P68" i="28"/>
  <c r="Q68" i="28" s="1"/>
  <c r="R68" i="28" s="1"/>
  <c r="S22" i="28"/>
  <c r="X9" i="28" s="1"/>
  <c r="T19" i="28"/>
  <c r="U19" i="28" s="1"/>
  <c r="Y8" i="28" s="1"/>
  <c r="T88" i="29"/>
  <c r="U88" i="29" s="1"/>
  <c r="Y71" i="29" s="1"/>
  <c r="S88" i="29"/>
  <c r="X71" i="29" s="1"/>
  <c r="S13" i="29"/>
  <c r="X6" i="29" s="1"/>
  <c r="T13" i="29"/>
  <c r="U13" i="29" s="1"/>
  <c r="Y6" i="29" s="1"/>
  <c r="P35" i="29"/>
  <c r="Q35" i="29" s="1"/>
  <c r="R35" i="29" s="1"/>
  <c r="T10" i="29"/>
  <c r="U10" i="29" s="1"/>
  <c r="Y5" i="29" s="1"/>
  <c r="S10" i="29"/>
  <c r="X5" i="29" s="1"/>
  <c r="S46" i="29"/>
  <c r="X37" i="29" s="1"/>
  <c r="T52" i="29"/>
  <c r="U52" i="29" s="1"/>
  <c r="Y39" i="29" s="1"/>
  <c r="T79" i="29"/>
  <c r="U79" i="29" s="1"/>
  <c r="Y68" i="29" s="1"/>
  <c r="S79" i="29"/>
  <c r="X68" i="29" s="1"/>
  <c r="T76" i="29"/>
  <c r="U76" i="29" s="1"/>
  <c r="Y67" i="29" s="1"/>
  <c r="S76" i="29"/>
  <c r="X67" i="29" s="1"/>
  <c r="T85" i="29"/>
  <c r="U85" i="29" s="1"/>
  <c r="Y70" i="29" s="1"/>
  <c r="S85" i="29"/>
  <c r="X70" i="29" s="1"/>
  <c r="T61" i="29"/>
  <c r="U61" i="29" s="1"/>
  <c r="Y42" i="29" s="1"/>
  <c r="S61" i="29"/>
  <c r="X42" i="29" s="1"/>
  <c r="T49" i="29"/>
  <c r="U49" i="29" s="1"/>
  <c r="Y38" i="29" s="1"/>
  <c r="S49" i="29"/>
  <c r="X38" i="29" s="1"/>
  <c r="T58" i="29"/>
  <c r="U58" i="29" s="1"/>
  <c r="Y41" i="29" s="1"/>
  <c r="S58" i="29"/>
  <c r="X41" i="29" s="1"/>
  <c r="S43" i="29"/>
  <c r="X36" i="29" s="1"/>
  <c r="T43" i="29"/>
  <c r="U43" i="29" s="1"/>
  <c r="Y36" i="29" s="1"/>
  <c r="P6" i="29"/>
  <c r="Q6" i="29" s="1"/>
  <c r="R6" i="29" s="1"/>
  <c r="P7" i="29"/>
  <c r="Q7" i="29" s="1"/>
  <c r="R7" i="29" s="1"/>
  <c r="S31" i="29"/>
  <c r="X12" i="29" s="1"/>
  <c r="S16" i="29"/>
  <c r="X7" i="29" s="1"/>
  <c r="T73" i="29"/>
  <c r="U73" i="29" s="1"/>
  <c r="Y66" i="29" s="1"/>
  <c r="S73" i="29"/>
  <c r="X66" i="29" s="1"/>
  <c r="T55" i="29"/>
  <c r="U55" i="29" s="1"/>
  <c r="Y40" i="29" s="1"/>
  <c r="S55" i="29"/>
  <c r="X40" i="29" s="1"/>
  <c r="T19" i="29"/>
  <c r="U19" i="29" s="1"/>
  <c r="Y8" i="29" s="1"/>
  <c r="S19" i="29"/>
  <c r="X8" i="29" s="1"/>
  <c r="S10" i="28"/>
  <c r="X5" i="28" s="1"/>
  <c r="T10" i="28"/>
  <c r="U10" i="28" s="1"/>
  <c r="Y5" i="28" s="1"/>
  <c r="S46" i="28"/>
  <c r="X37" i="28" s="1"/>
  <c r="T22" i="28"/>
  <c r="U22" i="28" s="1"/>
  <c r="Y9" i="28" s="1"/>
  <c r="T88" i="28"/>
  <c r="U88" i="28" s="1"/>
  <c r="Y71" i="28" s="1"/>
  <c r="S88" i="28"/>
  <c r="X71" i="28" s="1"/>
  <c r="T76" i="28"/>
  <c r="U76" i="28" s="1"/>
  <c r="Y67" i="28" s="1"/>
  <c r="S76" i="28"/>
  <c r="X67" i="28" s="1"/>
  <c r="S43" i="28"/>
  <c r="X36" i="28" s="1"/>
  <c r="P7" i="28"/>
  <c r="Q7" i="28" s="1"/>
  <c r="R7" i="28" s="1"/>
  <c r="T7" i="28" s="1"/>
  <c r="U7" i="28" s="1"/>
  <c r="Y4" i="28" s="1"/>
  <c r="T82" i="28"/>
  <c r="U82" i="28" s="1"/>
  <c r="Y69" i="28" s="1"/>
  <c r="S82" i="28"/>
  <c r="X69" i="28" s="1"/>
  <c r="S73" i="28"/>
  <c r="X66" i="28" s="1"/>
  <c r="T73" i="28"/>
  <c r="U73" i="28" s="1"/>
  <c r="Y66" i="28" s="1"/>
  <c r="T85" i="28"/>
  <c r="U85" i="28" s="1"/>
  <c r="Y70" i="28" s="1"/>
  <c r="S85" i="28"/>
  <c r="X70" i="28" s="1"/>
  <c r="T61" i="28"/>
  <c r="U61" i="28" s="1"/>
  <c r="Y42" i="28" s="1"/>
  <c r="S61" i="28"/>
  <c r="X42" i="28" s="1"/>
  <c r="P66" i="28"/>
  <c r="Q66" i="28" s="1"/>
  <c r="R66" i="28" s="1"/>
  <c r="T91" i="28"/>
  <c r="U91" i="28" s="1"/>
  <c r="Y72" i="28" s="1"/>
  <c r="S91" i="28"/>
  <c r="X72" i="28" s="1"/>
  <c r="S70" i="29" l="1"/>
  <c r="X65" i="29" s="1"/>
  <c r="T37" i="28"/>
  <c r="U37" i="28" s="1"/>
  <c r="Y34" i="28" s="1"/>
  <c r="S55" i="28"/>
  <c r="X40" i="28" s="1"/>
  <c r="T25" i="28"/>
  <c r="U25" i="28" s="1"/>
  <c r="Y10" i="28" s="1"/>
  <c r="T67" i="28"/>
  <c r="U67" i="28" s="1"/>
  <c r="Y64" i="28" s="1"/>
  <c r="S25" i="28"/>
  <c r="X10" i="28" s="1"/>
  <c r="T55" i="28"/>
  <c r="U55" i="28" s="1"/>
  <c r="Y40" i="28" s="1"/>
  <c r="S25" i="29"/>
  <c r="X10" i="29" s="1"/>
  <c r="T25" i="29"/>
  <c r="U25" i="29" s="1"/>
  <c r="Y10" i="29" s="1"/>
  <c r="T70" i="29"/>
  <c r="U70" i="29" s="1"/>
  <c r="Y65" i="29" s="1"/>
  <c r="S37" i="28"/>
  <c r="X34" i="28" s="1"/>
  <c r="S40" i="28"/>
  <c r="X35" i="28" s="1"/>
  <c r="T40" i="29"/>
  <c r="U40" i="29" s="1"/>
  <c r="Y35" i="29" s="1"/>
  <c r="S40" i="29"/>
  <c r="X35" i="29" s="1"/>
  <c r="T67" i="29"/>
  <c r="U67" i="29" s="1"/>
  <c r="Y64" i="29" s="1"/>
  <c r="S7" i="29"/>
  <c r="X4" i="29" s="1"/>
  <c r="T7" i="29"/>
  <c r="U7" i="29" s="1"/>
  <c r="Y4" i="29" s="1"/>
  <c r="T40" i="28"/>
  <c r="U40" i="28" s="1"/>
  <c r="Y35" i="28" s="1"/>
  <c r="S67" i="28"/>
  <c r="X64" i="28" s="1"/>
  <c r="S70" i="28"/>
  <c r="X65" i="28" s="1"/>
  <c r="T70" i="28"/>
  <c r="U70" i="28" s="1"/>
  <c r="Y65" i="28" s="1"/>
  <c r="S7" i="28"/>
  <c r="X4" i="28" s="1"/>
  <c r="S37" i="29"/>
  <c r="X34" i="29" s="1"/>
  <c r="T37" i="29"/>
  <c r="U37" i="29" s="1"/>
  <c r="Y34" i="29" s="1"/>
  <c r="O55" i="26" l="1"/>
  <c r="O54" i="26"/>
  <c r="P54" i="26" s="1"/>
  <c r="Q54" i="26" s="1"/>
  <c r="O53" i="26"/>
  <c r="P53" i="26" s="1"/>
  <c r="Q53" i="26" s="1"/>
  <c r="O52" i="26"/>
  <c r="P52" i="26" s="1"/>
  <c r="Q52" i="26" s="1"/>
  <c r="O51" i="26"/>
  <c r="P51" i="26" s="1"/>
  <c r="Q51" i="26" s="1"/>
  <c r="O50" i="26"/>
  <c r="P50" i="26" s="1"/>
  <c r="Q50" i="26" s="1"/>
  <c r="O49" i="26"/>
  <c r="P49" i="26" s="1"/>
  <c r="Q49" i="26" s="1"/>
  <c r="O48" i="26"/>
  <c r="P48" i="26" s="1"/>
  <c r="Q48" i="26" s="1"/>
  <c r="O47" i="26"/>
  <c r="O46" i="26"/>
  <c r="P46" i="26" s="1"/>
  <c r="Q46" i="26" s="1"/>
  <c r="O45" i="26"/>
  <c r="P45" i="26" s="1"/>
  <c r="Q45" i="26" s="1"/>
  <c r="O44" i="26"/>
  <c r="P44" i="26" s="1"/>
  <c r="Q44" i="26" s="1"/>
  <c r="O43" i="26"/>
  <c r="P43" i="26" s="1"/>
  <c r="Q43" i="26" s="1"/>
  <c r="O42" i="26"/>
  <c r="P42" i="26" s="1"/>
  <c r="Q42" i="26" s="1"/>
  <c r="O41" i="26"/>
  <c r="P41" i="26" s="1"/>
  <c r="Q41" i="26" s="1"/>
  <c r="O40" i="26"/>
  <c r="P40" i="26" s="1"/>
  <c r="Q40" i="26" s="1"/>
  <c r="O39" i="26"/>
  <c r="P39" i="26" s="1"/>
  <c r="Q39" i="26" s="1"/>
  <c r="O38" i="26"/>
  <c r="P38" i="26" s="1"/>
  <c r="Q38" i="26" s="1"/>
  <c r="O37" i="26"/>
  <c r="O36" i="26"/>
  <c r="P36" i="26" s="1"/>
  <c r="Q36" i="26" s="1"/>
  <c r="O35" i="26"/>
  <c r="O34" i="26"/>
  <c r="P34" i="26" s="1"/>
  <c r="Q34" i="26" s="1"/>
  <c r="O33" i="26"/>
  <c r="P33" i="26" s="1"/>
  <c r="Q33" i="26" s="1"/>
  <c r="O32" i="26"/>
  <c r="P32" i="26" s="1"/>
  <c r="Q32" i="26" s="1"/>
  <c r="O31" i="26"/>
  <c r="P31" i="26" s="1"/>
  <c r="Q31" i="26" s="1"/>
  <c r="O30" i="26"/>
  <c r="P30" i="26" s="1"/>
  <c r="Q30" i="26" s="1"/>
  <c r="O29" i="26"/>
  <c r="O28" i="26"/>
  <c r="P28" i="26" s="1"/>
  <c r="Q28" i="26" s="1"/>
  <c r="O27" i="26"/>
  <c r="O26" i="26"/>
  <c r="P26" i="26" s="1"/>
  <c r="Q26" i="26" s="1"/>
  <c r="O25" i="26"/>
  <c r="Q25" i="26" s="1"/>
  <c r="O24" i="26"/>
  <c r="Q24" i="26" s="1"/>
  <c r="O23" i="26"/>
  <c r="Q23" i="26" s="1"/>
  <c r="O22" i="26"/>
  <c r="Q22" i="26" s="1"/>
  <c r="O21" i="26"/>
  <c r="Q21" i="26" s="1"/>
  <c r="O20" i="26"/>
  <c r="Q20" i="26" s="1"/>
  <c r="O19" i="26"/>
  <c r="Q19" i="26" s="1"/>
  <c r="O18" i="26"/>
  <c r="Q18" i="26" s="1"/>
  <c r="O17" i="26"/>
  <c r="Q17" i="26" s="1"/>
  <c r="O16" i="26"/>
  <c r="P16" i="26" s="1"/>
  <c r="O15" i="26"/>
  <c r="P15" i="26" s="1"/>
  <c r="O14" i="26"/>
  <c r="P14" i="26" s="1"/>
  <c r="O13" i="26"/>
  <c r="P13" i="26" s="1"/>
  <c r="Q13" i="26" s="1"/>
  <c r="O12" i="26"/>
  <c r="P12" i="26" s="1"/>
  <c r="Q12" i="26" s="1"/>
  <c r="O11" i="26"/>
  <c r="O10" i="26"/>
  <c r="P10" i="26" s="1"/>
  <c r="Q10" i="26" s="1"/>
  <c r="O9" i="26"/>
  <c r="P9" i="26" s="1"/>
  <c r="Q9" i="26" s="1"/>
  <c r="O8" i="26"/>
  <c r="P8" i="26" s="1"/>
  <c r="Q8" i="26" s="1"/>
  <c r="O7" i="26"/>
  <c r="P7" i="26" s="1"/>
  <c r="Q7" i="26" s="1"/>
  <c r="O6" i="26"/>
  <c r="O5" i="26"/>
  <c r="P5" i="26" s="1"/>
  <c r="Q5" i="26" s="1"/>
  <c r="J53" i="26"/>
  <c r="G53" i="26"/>
  <c r="K55" i="26" s="1"/>
  <c r="F53" i="26"/>
  <c r="I55" i="26" s="1"/>
  <c r="G50" i="26"/>
  <c r="J52" i="26" s="1"/>
  <c r="F50" i="26"/>
  <c r="I51" i="26" s="1"/>
  <c r="G47" i="26"/>
  <c r="K49" i="26" s="1"/>
  <c r="F47" i="26"/>
  <c r="I49" i="26" s="1"/>
  <c r="I44" i="26"/>
  <c r="G44" i="26"/>
  <c r="J44" i="26" s="1"/>
  <c r="F44" i="26"/>
  <c r="H46" i="26" s="1"/>
  <c r="G41" i="26"/>
  <c r="K43" i="26" s="1"/>
  <c r="F41" i="26"/>
  <c r="I43" i="26" s="1"/>
  <c r="G38" i="26"/>
  <c r="K40" i="26" s="1"/>
  <c r="F38" i="26"/>
  <c r="H40" i="26" s="1"/>
  <c r="J36" i="26"/>
  <c r="J35" i="26"/>
  <c r="G35" i="26"/>
  <c r="K37" i="26" s="1"/>
  <c r="F35" i="26"/>
  <c r="H37" i="26" s="1"/>
  <c r="J34" i="26"/>
  <c r="G32" i="26"/>
  <c r="K33" i="26" s="1"/>
  <c r="F32" i="26"/>
  <c r="H34" i="26" s="1"/>
  <c r="G29" i="26"/>
  <c r="K31" i="26" s="1"/>
  <c r="F29" i="26"/>
  <c r="I31" i="26" s="1"/>
  <c r="G26" i="26"/>
  <c r="J28" i="26" s="1"/>
  <c r="F26" i="26"/>
  <c r="I27" i="26" s="1"/>
  <c r="G23" i="26"/>
  <c r="K25" i="26" s="1"/>
  <c r="F23" i="26"/>
  <c r="I25" i="26" s="1"/>
  <c r="I22" i="26"/>
  <c r="G20" i="26"/>
  <c r="K22" i="26" s="1"/>
  <c r="F20" i="26"/>
  <c r="H22" i="26" s="1"/>
  <c r="H19" i="26"/>
  <c r="I17" i="26"/>
  <c r="H17" i="26"/>
  <c r="G17" i="26"/>
  <c r="K19" i="26" s="1"/>
  <c r="F17" i="26"/>
  <c r="I19" i="26" s="1"/>
  <c r="G14" i="26"/>
  <c r="J16" i="26" s="1"/>
  <c r="F14" i="26"/>
  <c r="I16" i="26" s="1"/>
  <c r="K13" i="26"/>
  <c r="J13" i="26"/>
  <c r="K12" i="26"/>
  <c r="J12" i="26"/>
  <c r="K11" i="26"/>
  <c r="J11" i="26"/>
  <c r="F11" i="26"/>
  <c r="I13" i="26" s="1"/>
  <c r="D11" i="26"/>
  <c r="D14" i="26" s="1"/>
  <c r="D17" i="26" s="1"/>
  <c r="D20" i="26" s="1"/>
  <c r="D23" i="26" s="1"/>
  <c r="D26" i="26" s="1"/>
  <c r="D29" i="26" s="1"/>
  <c r="D32" i="26" s="1"/>
  <c r="D35" i="26" s="1"/>
  <c r="D38" i="26" s="1"/>
  <c r="D41" i="26" s="1"/>
  <c r="D44" i="26" s="1"/>
  <c r="D47" i="26" s="1"/>
  <c r="G8" i="26"/>
  <c r="K10" i="26" s="1"/>
  <c r="F8" i="26"/>
  <c r="I9" i="26" s="1"/>
  <c r="D8" i="26"/>
  <c r="AD6" i="26" s="1"/>
  <c r="H6" i="26"/>
  <c r="G5" i="26"/>
  <c r="J7" i="26" s="1"/>
  <c r="F5" i="26"/>
  <c r="I7" i="26" s="1"/>
  <c r="P163" i="27"/>
  <c r="Q163" i="27" s="1"/>
  <c r="P162" i="27"/>
  <c r="Q162" i="27" s="1"/>
  <c r="P161" i="27"/>
  <c r="Q161" i="27" s="1"/>
  <c r="P160" i="27"/>
  <c r="Q160" i="27" s="1"/>
  <c r="P159" i="27"/>
  <c r="Q159" i="27" s="1"/>
  <c r="P158" i="27"/>
  <c r="Q158" i="27" s="1"/>
  <c r="P157" i="27"/>
  <c r="Q157" i="27" s="1"/>
  <c r="P156" i="27"/>
  <c r="Q156" i="27" s="1"/>
  <c r="P155" i="27"/>
  <c r="Q155" i="27" s="1"/>
  <c r="P154" i="27"/>
  <c r="Q154" i="27" s="1"/>
  <c r="P153" i="27"/>
  <c r="Q153" i="27" s="1"/>
  <c r="P152" i="27"/>
  <c r="Q152" i="27" s="1"/>
  <c r="P151" i="27"/>
  <c r="Q151" i="27" s="1"/>
  <c r="P150" i="27"/>
  <c r="Q150" i="27" s="1"/>
  <c r="P149" i="27"/>
  <c r="Q149" i="27" s="1"/>
  <c r="P148" i="27"/>
  <c r="Q148" i="27" s="1"/>
  <c r="P147" i="27"/>
  <c r="Q147" i="27" s="1"/>
  <c r="P146" i="27"/>
  <c r="Q146" i="27" s="1"/>
  <c r="P145" i="27"/>
  <c r="Q145" i="27" s="1"/>
  <c r="P144" i="27"/>
  <c r="Q144" i="27" s="1"/>
  <c r="P143" i="27"/>
  <c r="Q143" i="27" s="1"/>
  <c r="P142" i="27"/>
  <c r="Q142" i="27" s="1"/>
  <c r="P141" i="27"/>
  <c r="Q141" i="27" s="1"/>
  <c r="P140" i="27"/>
  <c r="Q140" i="27" s="1"/>
  <c r="P139" i="27"/>
  <c r="Q139" i="27" s="1"/>
  <c r="P138" i="27"/>
  <c r="Q138" i="27" s="1"/>
  <c r="P137" i="27"/>
  <c r="Q137" i="27" s="1"/>
  <c r="P136" i="27"/>
  <c r="Q136" i="27" s="1"/>
  <c r="P135" i="27"/>
  <c r="Q135" i="27" s="1"/>
  <c r="P134" i="27"/>
  <c r="Q134" i="27" s="1"/>
  <c r="P133" i="27"/>
  <c r="N133" i="27"/>
  <c r="P130" i="27"/>
  <c r="P128" i="27"/>
  <c r="P127" i="27"/>
  <c r="P125" i="27"/>
  <c r="P124" i="27"/>
  <c r="P122" i="27"/>
  <c r="P121" i="27"/>
  <c r="Q121" i="27" s="1"/>
  <c r="P120" i="27"/>
  <c r="Q120" i="27" s="1"/>
  <c r="P119" i="27"/>
  <c r="Q119" i="27" s="1"/>
  <c r="AD116" i="27"/>
  <c r="P118" i="27"/>
  <c r="Q118" i="27" s="1"/>
  <c r="P117" i="27"/>
  <c r="Q117" i="27" s="1"/>
  <c r="P116" i="27"/>
  <c r="Q116" i="27" s="1"/>
  <c r="AD115" i="27"/>
  <c r="P115" i="27"/>
  <c r="Q115" i="27" s="1"/>
  <c r="AD114" i="27"/>
  <c r="P114" i="27"/>
  <c r="Q114" i="27" s="1"/>
  <c r="AD113" i="27"/>
  <c r="P113" i="27"/>
  <c r="Q113" i="27" s="1"/>
  <c r="AD112" i="27"/>
  <c r="AG111" i="27"/>
  <c r="AE111" i="27"/>
  <c r="P109" i="27"/>
  <c r="Q109" i="27" s="1"/>
  <c r="P108" i="27"/>
  <c r="Q108" i="27" s="1"/>
  <c r="P107" i="27"/>
  <c r="Q107" i="27" s="1"/>
  <c r="P106" i="27"/>
  <c r="Q106" i="27" s="1"/>
  <c r="P105" i="27"/>
  <c r="Q105" i="27" s="1"/>
  <c r="P104" i="27"/>
  <c r="Q104" i="27" s="1"/>
  <c r="P103" i="27"/>
  <c r="Q103" i="27" s="1"/>
  <c r="P102" i="27"/>
  <c r="Q102" i="27" s="1"/>
  <c r="P101" i="27"/>
  <c r="Q101" i="27" s="1"/>
  <c r="P100" i="27"/>
  <c r="Q100" i="27" s="1"/>
  <c r="P99" i="27"/>
  <c r="Q99" i="27" s="1"/>
  <c r="P98" i="27"/>
  <c r="Q98" i="27" s="1"/>
  <c r="P97" i="27"/>
  <c r="Q97" i="27" s="1"/>
  <c r="P96" i="27"/>
  <c r="Q96" i="27" s="1"/>
  <c r="P95" i="27"/>
  <c r="Q95" i="27" s="1"/>
  <c r="P94" i="27"/>
  <c r="Q94" i="27" s="1"/>
  <c r="P93" i="27"/>
  <c r="Q93" i="27" s="1"/>
  <c r="P92" i="27"/>
  <c r="Q92" i="27" s="1"/>
  <c r="P91" i="27"/>
  <c r="Q91" i="27" s="1"/>
  <c r="P90" i="27"/>
  <c r="Q90" i="27" s="1"/>
  <c r="P89" i="27"/>
  <c r="Q89" i="27" s="1"/>
  <c r="P88" i="27"/>
  <c r="Q88" i="27" s="1"/>
  <c r="P87" i="27"/>
  <c r="Q87" i="27" s="1"/>
  <c r="P86" i="27"/>
  <c r="Q86" i="27" s="1"/>
  <c r="P85" i="27"/>
  <c r="Q85" i="27" s="1"/>
  <c r="P84" i="27"/>
  <c r="Q84" i="27" s="1"/>
  <c r="P83" i="27"/>
  <c r="Q83" i="27" s="1"/>
  <c r="P82" i="27"/>
  <c r="Q82" i="27" s="1"/>
  <c r="P81" i="27"/>
  <c r="Q81" i="27" s="1"/>
  <c r="P80" i="27"/>
  <c r="Q80" i="27" s="1"/>
  <c r="P79" i="27"/>
  <c r="P76" i="27"/>
  <c r="P74" i="27"/>
  <c r="P73" i="27"/>
  <c r="N72" i="27"/>
  <c r="P71" i="27"/>
  <c r="P70" i="27"/>
  <c r="N70" i="27"/>
  <c r="P68" i="27"/>
  <c r="N68" i="27"/>
  <c r="P67" i="27"/>
  <c r="Q67" i="27" s="1"/>
  <c r="P66" i="27"/>
  <c r="Q66" i="27" s="1"/>
  <c r="P65" i="27"/>
  <c r="Q65" i="27" s="1"/>
  <c r="P64" i="27"/>
  <c r="Q64" i="27" s="1"/>
  <c r="P63" i="27"/>
  <c r="Q63" i="27" s="1"/>
  <c r="P62" i="27"/>
  <c r="Q62" i="27" s="1"/>
  <c r="AD61" i="27"/>
  <c r="P61" i="27"/>
  <c r="Q61" i="27" s="1"/>
  <c r="AD60" i="27"/>
  <c r="P60" i="27"/>
  <c r="Q60" i="27" s="1"/>
  <c r="AD59" i="27"/>
  <c r="P59" i="27"/>
  <c r="Q59" i="27" s="1"/>
  <c r="AD58" i="27"/>
  <c r="AG57" i="27"/>
  <c r="AE57" i="27"/>
  <c r="P55" i="27"/>
  <c r="Q55" i="27" s="1"/>
  <c r="P54" i="27"/>
  <c r="Q54" i="27" s="1"/>
  <c r="P53" i="27"/>
  <c r="Q53" i="27" s="1"/>
  <c r="P52" i="27"/>
  <c r="Q52" i="27" s="1"/>
  <c r="P51" i="27"/>
  <c r="Q51" i="27" s="1"/>
  <c r="P50" i="27"/>
  <c r="Q50" i="27" s="1"/>
  <c r="P49" i="27"/>
  <c r="Q49" i="27" s="1"/>
  <c r="P48" i="27"/>
  <c r="Q48" i="27" s="1"/>
  <c r="P47" i="27"/>
  <c r="Q47" i="27" s="1"/>
  <c r="P46" i="27"/>
  <c r="Q46" i="27" s="1"/>
  <c r="P45" i="27"/>
  <c r="Q45" i="27" s="1"/>
  <c r="P44" i="27"/>
  <c r="Q44" i="27" s="1"/>
  <c r="P43" i="27"/>
  <c r="Q43" i="27" s="1"/>
  <c r="P42" i="27"/>
  <c r="Q42" i="27" s="1"/>
  <c r="P41" i="27"/>
  <c r="Q41" i="27" s="1"/>
  <c r="P40" i="27"/>
  <c r="Q40" i="27" s="1"/>
  <c r="P39" i="27"/>
  <c r="Q39" i="27" s="1"/>
  <c r="P38" i="27"/>
  <c r="Q38" i="27" s="1"/>
  <c r="P37" i="27"/>
  <c r="Q37" i="27" s="1"/>
  <c r="P36" i="27"/>
  <c r="Q36" i="27" s="1"/>
  <c r="P35" i="27"/>
  <c r="Q35" i="27" s="1"/>
  <c r="P34" i="27"/>
  <c r="Q34" i="27" s="1"/>
  <c r="P33" i="27"/>
  <c r="Q33" i="27" s="1"/>
  <c r="P32" i="27"/>
  <c r="Q32" i="27" s="1"/>
  <c r="P31" i="27"/>
  <c r="Q31" i="27" s="1"/>
  <c r="P30" i="27"/>
  <c r="Q30" i="27" s="1"/>
  <c r="P29" i="27"/>
  <c r="Q29" i="27" s="1"/>
  <c r="P28" i="27"/>
  <c r="Q28" i="27" s="1"/>
  <c r="P27" i="27"/>
  <c r="Q27" i="27" s="1"/>
  <c r="P26" i="27"/>
  <c r="Q26" i="27" s="1"/>
  <c r="P25" i="27"/>
  <c r="P24" i="27"/>
  <c r="P19" i="27"/>
  <c r="P17" i="27"/>
  <c r="N17" i="27"/>
  <c r="P16" i="27"/>
  <c r="P14" i="27"/>
  <c r="N14" i="27"/>
  <c r="P13" i="27"/>
  <c r="Q13" i="27" s="1"/>
  <c r="P12" i="27"/>
  <c r="Q12" i="27" s="1"/>
  <c r="P11" i="27"/>
  <c r="Q11" i="27" s="1"/>
  <c r="P10" i="27"/>
  <c r="Q10" i="27" s="1"/>
  <c r="P9" i="27"/>
  <c r="Q9" i="27" s="1"/>
  <c r="P8" i="27"/>
  <c r="Q8" i="27" s="1"/>
  <c r="P7" i="27"/>
  <c r="Q7" i="27" s="1"/>
  <c r="AD6" i="27"/>
  <c r="P6" i="27"/>
  <c r="Q6" i="27" s="1"/>
  <c r="AD5" i="27"/>
  <c r="P5" i="27"/>
  <c r="Q5" i="27" s="1"/>
  <c r="AG4" i="27"/>
  <c r="AE4" i="27"/>
  <c r="P163" i="26"/>
  <c r="Q163" i="26" s="1"/>
  <c r="P162" i="26"/>
  <c r="Q162" i="26" s="1"/>
  <c r="P161" i="26"/>
  <c r="Q161" i="26" s="1"/>
  <c r="P160" i="26"/>
  <c r="Q160" i="26" s="1"/>
  <c r="P159" i="26"/>
  <c r="Q159" i="26" s="1"/>
  <c r="P158" i="26"/>
  <c r="Q158" i="26" s="1"/>
  <c r="P157" i="26"/>
  <c r="Q157" i="26" s="1"/>
  <c r="P156" i="26"/>
  <c r="Q156" i="26" s="1"/>
  <c r="P155" i="26"/>
  <c r="Q155" i="26" s="1"/>
  <c r="P154" i="26"/>
  <c r="Q154" i="26" s="1"/>
  <c r="P153" i="26"/>
  <c r="Q153" i="26" s="1"/>
  <c r="P152" i="26"/>
  <c r="Q152" i="26" s="1"/>
  <c r="P151" i="26"/>
  <c r="Q151" i="26" s="1"/>
  <c r="P150" i="26"/>
  <c r="Q150" i="26" s="1"/>
  <c r="P149" i="26"/>
  <c r="Q149" i="26" s="1"/>
  <c r="P148" i="26"/>
  <c r="Q148" i="26" s="1"/>
  <c r="P147" i="26"/>
  <c r="Q147" i="26" s="1"/>
  <c r="P146" i="26"/>
  <c r="Q146" i="26" s="1"/>
  <c r="P145" i="26"/>
  <c r="Q145" i="26" s="1"/>
  <c r="P144" i="26"/>
  <c r="Q144" i="26" s="1"/>
  <c r="P143" i="26"/>
  <c r="Q143" i="26" s="1"/>
  <c r="P142" i="26"/>
  <c r="Q142" i="26" s="1"/>
  <c r="P141" i="26"/>
  <c r="Q141" i="26" s="1"/>
  <c r="P140" i="26"/>
  <c r="Q140" i="26" s="1"/>
  <c r="P139" i="26"/>
  <c r="Q139" i="26" s="1"/>
  <c r="P138" i="26"/>
  <c r="Q138" i="26" s="1"/>
  <c r="P137" i="26"/>
  <c r="Q137" i="26" s="1"/>
  <c r="P136" i="26"/>
  <c r="Q136" i="26" s="1"/>
  <c r="P135" i="26"/>
  <c r="Q135" i="26" s="1"/>
  <c r="P134" i="26"/>
  <c r="Q134" i="26" s="1"/>
  <c r="N134" i="26"/>
  <c r="P133" i="26"/>
  <c r="P131" i="26"/>
  <c r="P128" i="26"/>
  <c r="N125" i="26"/>
  <c r="P124" i="26"/>
  <c r="P122" i="26"/>
  <c r="N122" i="26"/>
  <c r="P121" i="26"/>
  <c r="Q121" i="26" s="1"/>
  <c r="P120" i="26"/>
  <c r="Q120" i="26" s="1"/>
  <c r="P119" i="26"/>
  <c r="Q119" i="26" s="1"/>
  <c r="AD115" i="26"/>
  <c r="P118" i="26"/>
  <c r="Q118" i="26" s="1"/>
  <c r="P117" i="26"/>
  <c r="Q117" i="26" s="1"/>
  <c r="P116" i="26"/>
  <c r="Q116" i="26" s="1"/>
  <c r="AD113" i="26"/>
  <c r="P115" i="26"/>
  <c r="Q115" i="26" s="1"/>
  <c r="AD114" i="26"/>
  <c r="P114" i="26"/>
  <c r="Q114" i="26" s="1"/>
  <c r="P113" i="26"/>
  <c r="Q113" i="26" s="1"/>
  <c r="AD112" i="26"/>
  <c r="AG111" i="26"/>
  <c r="AE111" i="26"/>
  <c r="P109" i="26"/>
  <c r="Q109" i="26" s="1"/>
  <c r="P108" i="26"/>
  <c r="Q108" i="26" s="1"/>
  <c r="P107" i="26"/>
  <c r="Q107" i="26" s="1"/>
  <c r="P106" i="26"/>
  <c r="Q106" i="26" s="1"/>
  <c r="P105" i="26"/>
  <c r="Q105" i="26" s="1"/>
  <c r="P104" i="26"/>
  <c r="Q104" i="26" s="1"/>
  <c r="P103" i="26"/>
  <c r="Q103" i="26" s="1"/>
  <c r="P102" i="26"/>
  <c r="Q102" i="26" s="1"/>
  <c r="P101" i="26"/>
  <c r="Q101" i="26" s="1"/>
  <c r="P100" i="26"/>
  <c r="Q100" i="26" s="1"/>
  <c r="P99" i="26"/>
  <c r="Q99" i="26" s="1"/>
  <c r="P98" i="26"/>
  <c r="Q98" i="26" s="1"/>
  <c r="P97" i="26"/>
  <c r="Q97" i="26" s="1"/>
  <c r="P96" i="26"/>
  <c r="Q96" i="26" s="1"/>
  <c r="P95" i="26"/>
  <c r="Q95" i="26" s="1"/>
  <c r="P94" i="26"/>
  <c r="Q94" i="26" s="1"/>
  <c r="P93" i="26"/>
  <c r="Q93" i="26" s="1"/>
  <c r="P92" i="26"/>
  <c r="Q92" i="26" s="1"/>
  <c r="P91" i="26"/>
  <c r="Q91" i="26" s="1"/>
  <c r="P90" i="26"/>
  <c r="Q90" i="26" s="1"/>
  <c r="P89" i="26"/>
  <c r="Q89" i="26" s="1"/>
  <c r="P88" i="26"/>
  <c r="Q88" i="26" s="1"/>
  <c r="P87" i="26"/>
  <c r="Q87" i="26" s="1"/>
  <c r="P86" i="26"/>
  <c r="Q86" i="26" s="1"/>
  <c r="P85" i="26"/>
  <c r="Q85" i="26" s="1"/>
  <c r="P84" i="26"/>
  <c r="Q84" i="26" s="1"/>
  <c r="P83" i="26"/>
  <c r="Q83" i="26" s="1"/>
  <c r="P82" i="26"/>
  <c r="Q82" i="26" s="1"/>
  <c r="P81" i="26"/>
  <c r="Q81" i="26" s="1"/>
  <c r="P80" i="26"/>
  <c r="Q80" i="26" s="1"/>
  <c r="P79" i="26"/>
  <c r="P74" i="26"/>
  <c r="P73" i="26"/>
  <c r="P71" i="26"/>
  <c r="Q70" i="26"/>
  <c r="P69" i="26"/>
  <c r="Q69" i="26"/>
  <c r="P68" i="26"/>
  <c r="Q68" i="26"/>
  <c r="P67" i="26"/>
  <c r="Q67" i="26" s="1"/>
  <c r="P66" i="26"/>
  <c r="Q66" i="26" s="1"/>
  <c r="P65" i="26"/>
  <c r="Q65" i="26" s="1"/>
  <c r="P64" i="26"/>
  <c r="Q64" i="26" s="1"/>
  <c r="P63" i="26"/>
  <c r="Q63" i="26" s="1"/>
  <c r="P62" i="26"/>
  <c r="Q62" i="26" s="1"/>
  <c r="AD61" i="26"/>
  <c r="P61" i="26"/>
  <c r="Q61" i="26" s="1"/>
  <c r="P60" i="26"/>
  <c r="Q60" i="26" s="1"/>
  <c r="AD59" i="26"/>
  <c r="P59" i="26"/>
  <c r="Q59" i="26" s="1"/>
  <c r="AD58" i="26"/>
  <c r="AG57" i="26"/>
  <c r="AE57" i="26"/>
  <c r="P55" i="26"/>
  <c r="Q55" i="26" s="1"/>
  <c r="P47" i="26"/>
  <c r="Q47" i="26" s="1"/>
  <c r="P37" i="26"/>
  <c r="Q37" i="26" s="1"/>
  <c r="P35" i="26"/>
  <c r="Q35" i="26" s="1"/>
  <c r="P29" i="26"/>
  <c r="Q29" i="26" s="1"/>
  <c r="P27" i="26"/>
  <c r="Q27" i="26" s="1"/>
  <c r="P21" i="26"/>
  <c r="P19" i="26"/>
  <c r="Q16" i="26"/>
  <c r="Q15" i="26"/>
  <c r="P11" i="26"/>
  <c r="Q11" i="26" s="1"/>
  <c r="P6" i="26"/>
  <c r="Q6" i="26" s="1"/>
  <c r="AD5" i="26"/>
  <c r="AG4" i="26"/>
  <c r="AE4" i="26"/>
  <c r="D52" i="25"/>
  <c r="D53" i="25" s="1"/>
  <c r="D54" i="25" s="1"/>
  <c r="D55" i="25" s="1"/>
  <c r="D56" i="25" s="1"/>
  <c r="D57" i="25" s="1"/>
  <c r="D58" i="25" s="1"/>
  <c r="D59" i="25" s="1"/>
  <c r="D60" i="25" s="1"/>
  <c r="D61" i="25" s="1"/>
  <c r="D62" i="25" s="1"/>
  <c r="D63" i="25" s="1"/>
  <c r="D64" i="25" s="1"/>
  <c r="D65" i="25" s="1"/>
  <c r="D66" i="25" s="1"/>
  <c r="D67" i="25" s="1"/>
  <c r="D68" i="25" s="1"/>
  <c r="N78" i="27" l="1"/>
  <c r="R78" i="27" s="1"/>
  <c r="N81" i="27"/>
  <c r="R81" i="27" s="1"/>
  <c r="V81" i="27" s="1"/>
  <c r="N123" i="27"/>
  <c r="N15" i="27"/>
  <c r="R15" i="27" s="1"/>
  <c r="N59" i="27"/>
  <c r="R59" i="27" s="1"/>
  <c r="V59" i="27" s="1"/>
  <c r="N60" i="27"/>
  <c r="R60" i="27" s="1"/>
  <c r="V60" i="27" s="1"/>
  <c r="N61" i="27"/>
  <c r="N125" i="27"/>
  <c r="R125" i="27" s="1"/>
  <c r="V125" i="27" s="1"/>
  <c r="N134" i="27"/>
  <c r="N159" i="27"/>
  <c r="H18" i="26"/>
  <c r="I32" i="26"/>
  <c r="J43" i="26"/>
  <c r="P24" i="26"/>
  <c r="P20" i="26"/>
  <c r="N114" i="26"/>
  <c r="R114" i="26" s="1"/>
  <c r="V114" i="26" s="1"/>
  <c r="N115" i="26"/>
  <c r="R115" i="26" s="1"/>
  <c r="V115" i="26" s="1"/>
  <c r="H5" i="26"/>
  <c r="I18" i="26"/>
  <c r="I20" i="26"/>
  <c r="J29" i="26"/>
  <c r="J32" i="26"/>
  <c r="I35" i="26"/>
  <c r="H7" i="26"/>
  <c r="H8" i="26"/>
  <c r="H10" i="26"/>
  <c r="H14" i="26"/>
  <c r="J17" i="26"/>
  <c r="J20" i="26"/>
  <c r="J22" i="26"/>
  <c r="J24" i="26"/>
  <c r="H26" i="26"/>
  <c r="H28" i="26"/>
  <c r="H29" i="26"/>
  <c r="I30" i="26"/>
  <c r="I33" i="26"/>
  <c r="H36" i="26"/>
  <c r="I37" i="26"/>
  <c r="I38" i="26"/>
  <c r="I40" i="26"/>
  <c r="J41" i="26"/>
  <c r="I46" i="26"/>
  <c r="J48" i="26"/>
  <c r="H50" i="26"/>
  <c r="H52" i="26"/>
  <c r="H53" i="26"/>
  <c r="I54" i="26"/>
  <c r="J55" i="26"/>
  <c r="N70" i="26"/>
  <c r="N121" i="26"/>
  <c r="I8" i="26"/>
  <c r="I10" i="26"/>
  <c r="I14" i="26"/>
  <c r="I21" i="26"/>
  <c r="J25" i="26"/>
  <c r="I26" i="26"/>
  <c r="I28" i="26"/>
  <c r="I29" i="26"/>
  <c r="J30" i="26"/>
  <c r="J33" i="26"/>
  <c r="H35" i="26"/>
  <c r="I36" i="26"/>
  <c r="J37" i="26"/>
  <c r="J38" i="26"/>
  <c r="J40" i="26"/>
  <c r="J42" i="26"/>
  <c r="H44" i="26"/>
  <c r="J49" i="26"/>
  <c r="I50" i="26"/>
  <c r="I52" i="26"/>
  <c r="I53" i="26"/>
  <c r="J54" i="26"/>
  <c r="H9" i="26"/>
  <c r="H15" i="26"/>
  <c r="J21" i="26"/>
  <c r="H27" i="26"/>
  <c r="H31" i="26"/>
  <c r="I39" i="26"/>
  <c r="H51" i="26"/>
  <c r="H55" i="26"/>
  <c r="H16" i="26"/>
  <c r="J23" i="26"/>
  <c r="H30" i="26"/>
  <c r="J39" i="26"/>
  <c r="I45" i="26"/>
  <c r="J47" i="26"/>
  <c r="H54" i="26"/>
  <c r="R159" i="27"/>
  <c r="V159" i="27" s="1"/>
  <c r="R134" i="26"/>
  <c r="V134" i="26" s="1"/>
  <c r="P17" i="26"/>
  <c r="P23" i="26"/>
  <c r="P25" i="26"/>
  <c r="P22" i="26"/>
  <c r="Q14" i="26"/>
  <c r="R123" i="27"/>
  <c r="R133" i="27"/>
  <c r="V133" i="27" s="1"/>
  <c r="N127" i="27"/>
  <c r="R127" i="27" s="1"/>
  <c r="V127" i="27" s="1"/>
  <c r="N136" i="27"/>
  <c r="R136" i="27" s="1"/>
  <c r="V136" i="27" s="1"/>
  <c r="N113" i="27"/>
  <c r="R113" i="27" s="1"/>
  <c r="V113" i="27" s="1"/>
  <c r="N122" i="27"/>
  <c r="R122" i="27" s="1"/>
  <c r="V122" i="27" s="1"/>
  <c r="N124" i="27"/>
  <c r="N131" i="27"/>
  <c r="R131" i="27" s="1"/>
  <c r="N131" i="26"/>
  <c r="R131" i="26" s="1"/>
  <c r="V131" i="26" s="1"/>
  <c r="N113" i="26"/>
  <c r="R113" i="26" s="1"/>
  <c r="V113" i="26" s="1"/>
  <c r="N123" i="26"/>
  <c r="R123" i="26" s="1"/>
  <c r="N68" i="26"/>
  <c r="R68" i="26" s="1"/>
  <c r="V68" i="26" s="1"/>
  <c r="N16" i="27"/>
  <c r="R16" i="27" s="1"/>
  <c r="V16" i="27" s="1"/>
  <c r="N6" i="27"/>
  <c r="R6" i="27" s="1"/>
  <c r="V6" i="27" s="1"/>
  <c r="N19" i="27"/>
  <c r="R19" i="27" s="1"/>
  <c r="V19" i="27" s="1"/>
  <c r="N23" i="27"/>
  <c r="R23" i="27" s="1"/>
  <c r="N27" i="27"/>
  <c r="R27" i="27" s="1"/>
  <c r="V27" i="27" s="1"/>
  <c r="N25" i="27"/>
  <c r="R25" i="27" s="1"/>
  <c r="V25" i="27" s="1"/>
  <c r="N5" i="27"/>
  <c r="R5" i="27" s="1"/>
  <c r="V5" i="27" s="1"/>
  <c r="N24" i="27"/>
  <c r="N28" i="27"/>
  <c r="R28" i="27" s="1"/>
  <c r="V28" i="27" s="1"/>
  <c r="P70" i="26"/>
  <c r="P76" i="26"/>
  <c r="P126" i="26"/>
  <c r="P72" i="26"/>
  <c r="P75" i="27"/>
  <c r="P78" i="27"/>
  <c r="V78" i="27" s="1"/>
  <c r="R122" i="26"/>
  <c r="V122" i="26" s="1"/>
  <c r="R17" i="27"/>
  <c r="V17" i="27" s="1"/>
  <c r="P20" i="27"/>
  <c r="P22" i="27"/>
  <c r="R61" i="27"/>
  <c r="V61" i="27" s="1"/>
  <c r="R68" i="27"/>
  <c r="P69" i="27"/>
  <c r="R124" i="27"/>
  <c r="V124" i="27" s="1"/>
  <c r="P131" i="27"/>
  <c r="R70" i="26"/>
  <c r="V70" i="26" s="1"/>
  <c r="R14" i="27"/>
  <c r="V14" i="27" s="1"/>
  <c r="R70" i="27"/>
  <c r="V70" i="27" s="1"/>
  <c r="D50" i="26"/>
  <c r="D53" i="26"/>
  <c r="K7" i="26"/>
  <c r="N7" i="26" s="1"/>
  <c r="R7" i="26" s="1"/>
  <c r="V7" i="26" s="1"/>
  <c r="K16" i="26"/>
  <c r="K27" i="26"/>
  <c r="K50" i="26"/>
  <c r="K51" i="26"/>
  <c r="K52" i="26"/>
  <c r="K23" i="26"/>
  <c r="K24" i="26"/>
  <c r="K41" i="26"/>
  <c r="K42" i="26"/>
  <c r="J46" i="26"/>
  <c r="K47" i="26"/>
  <c r="K48" i="26"/>
  <c r="K5" i="26"/>
  <c r="K15" i="26"/>
  <c r="K26" i="26"/>
  <c r="K44" i="26"/>
  <c r="AD7" i="26"/>
  <c r="I5" i="26"/>
  <c r="I6" i="26"/>
  <c r="N6" i="26" s="1"/>
  <c r="R6" i="26" s="1"/>
  <c r="V6" i="26" s="1"/>
  <c r="J8" i="26"/>
  <c r="J9" i="26"/>
  <c r="J10" i="26"/>
  <c r="H11" i="26"/>
  <c r="H12" i="26"/>
  <c r="H13" i="26"/>
  <c r="I15" i="26"/>
  <c r="J18" i="26"/>
  <c r="J19" i="26"/>
  <c r="N19" i="26" s="1"/>
  <c r="R19" i="26" s="1"/>
  <c r="V19" i="26" s="1"/>
  <c r="Z19" i="26" s="1"/>
  <c r="K20" i="26"/>
  <c r="K21" i="26"/>
  <c r="H23" i="26"/>
  <c r="H24" i="26"/>
  <c r="H25" i="26"/>
  <c r="J31" i="26"/>
  <c r="K32" i="26"/>
  <c r="K38" i="26"/>
  <c r="K39" i="26"/>
  <c r="H41" i="26"/>
  <c r="H42" i="26"/>
  <c r="H43" i="26"/>
  <c r="K45" i="26"/>
  <c r="K46" i="26"/>
  <c r="H47" i="26"/>
  <c r="H48" i="26"/>
  <c r="H49" i="26"/>
  <c r="K6" i="26"/>
  <c r="K14" i="26"/>
  <c r="K28" i="26"/>
  <c r="J5" i="26"/>
  <c r="J6" i="26"/>
  <c r="K8" i="26"/>
  <c r="K9" i="26"/>
  <c r="I11" i="26"/>
  <c r="I12" i="26"/>
  <c r="J14" i="26"/>
  <c r="N14" i="26" s="1"/>
  <c r="J15" i="26"/>
  <c r="K17" i="26"/>
  <c r="K18" i="26"/>
  <c r="H20" i="26"/>
  <c r="H21" i="26"/>
  <c r="I23" i="26"/>
  <c r="I24" i="26"/>
  <c r="J26" i="26"/>
  <c r="N26" i="26" s="1"/>
  <c r="R26" i="26" s="1"/>
  <c r="J27" i="26"/>
  <c r="K29" i="26"/>
  <c r="K30" i="26"/>
  <c r="H32" i="26"/>
  <c r="H33" i="26"/>
  <c r="K35" i="26"/>
  <c r="K36" i="26"/>
  <c r="H38" i="26"/>
  <c r="H39" i="26"/>
  <c r="I41" i="26"/>
  <c r="I42" i="26"/>
  <c r="I47" i="26"/>
  <c r="I48" i="26"/>
  <c r="J50" i="26"/>
  <c r="J51" i="26"/>
  <c r="K53" i="26"/>
  <c r="K54" i="26"/>
  <c r="V68" i="27"/>
  <c r="AD9" i="27"/>
  <c r="P18" i="27"/>
  <c r="N26" i="27"/>
  <c r="R26" i="27" s="1"/>
  <c r="R72" i="27"/>
  <c r="P72" i="27"/>
  <c r="N7" i="27"/>
  <c r="R7" i="27" s="1"/>
  <c r="V7" i="27" s="1"/>
  <c r="AD8" i="27"/>
  <c r="N18" i="27"/>
  <c r="V131" i="27"/>
  <c r="AD7" i="27"/>
  <c r="N43" i="27"/>
  <c r="R43" i="27" s="1"/>
  <c r="V43" i="27" s="1"/>
  <c r="AD62" i="27"/>
  <c r="N79" i="27"/>
  <c r="R79" i="27" s="1"/>
  <c r="V79" i="27" s="1"/>
  <c r="N82" i="27"/>
  <c r="R82" i="27" s="1"/>
  <c r="V82" i="27" s="1"/>
  <c r="AD117" i="27"/>
  <c r="N9" i="27"/>
  <c r="R9" i="27" s="1"/>
  <c r="V9" i="27" s="1"/>
  <c r="P15" i="27"/>
  <c r="N21" i="27"/>
  <c r="R21" i="27" s="1"/>
  <c r="P21" i="27"/>
  <c r="P23" i="27"/>
  <c r="N31" i="27"/>
  <c r="R31" i="27" s="1"/>
  <c r="V31" i="27" s="1"/>
  <c r="N34" i="27"/>
  <c r="R34" i="27" s="1"/>
  <c r="V34" i="27" s="1"/>
  <c r="N50" i="27"/>
  <c r="R50" i="27" s="1"/>
  <c r="N69" i="27"/>
  <c r="R69" i="27" s="1"/>
  <c r="N76" i="27"/>
  <c r="N29" i="27"/>
  <c r="R29" i="27" s="1"/>
  <c r="N42" i="27"/>
  <c r="R42" i="27" s="1"/>
  <c r="V42" i="27" s="1"/>
  <c r="N44" i="27"/>
  <c r="R44" i="27" s="1"/>
  <c r="N53" i="27"/>
  <c r="R53" i="27" s="1"/>
  <c r="N71" i="27"/>
  <c r="N73" i="27"/>
  <c r="R73" i="27" s="1"/>
  <c r="V73" i="27" s="1"/>
  <c r="N77" i="27"/>
  <c r="P77" i="27"/>
  <c r="N80" i="27"/>
  <c r="R80" i="27" s="1"/>
  <c r="N87" i="27"/>
  <c r="R87" i="27" s="1"/>
  <c r="V87" i="27" s="1"/>
  <c r="N64" i="27"/>
  <c r="R64" i="27" s="1"/>
  <c r="V64" i="27" s="1"/>
  <c r="N74" i="27"/>
  <c r="R74" i="27" s="1"/>
  <c r="P126" i="27"/>
  <c r="N63" i="27"/>
  <c r="R63" i="27" s="1"/>
  <c r="V63" i="27" s="1"/>
  <c r="N89" i="27"/>
  <c r="R89" i="27" s="1"/>
  <c r="N126" i="27"/>
  <c r="R126" i="27" s="1"/>
  <c r="N88" i="27"/>
  <c r="R88" i="27" s="1"/>
  <c r="V88" i="27" s="1"/>
  <c r="N91" i="27"/>
  <c r="R91" i="27" s="1"/>
  <c r="V91" i="27" s="1"/>
  <c r="N114" i="27"/>
  <c r="R114" i="27" s="1"/>
  <c r="V114" i="27" s="1"/>
  <c r="N115" i="27"/>
  <c r="R115" i="27" s="1"/>
  <c r="V115" i="27" s="1"/>
  <c r="R134" i="27"/>
  <c r="N118" i="27"/>
  <c r="R118" i="27" s="1"/>
  <c r="V118" i="27" s="1"/>
  <c r="P129" i="27"/>
  <c r="N100" i="27"/>
  <c r="R100" i="27" s="1"/>
  <c r="V100" i="27" s="1"/>
  <c r="N106" i="27"/>
  <c r="R106" i="27" s="1"/>
  <c r="V106" i="27" s="1"/>
  <c r="N117" i="27"/>
  <c r="R117" i="27" s="1"/>
  <c r="V117" i="27" s="1"/>
  <c r="P123" i="27"/>
  <c r="P132" i="27"/>
  <c r="N86" i="27"/>
  <c r="R86" i="27" s="1"/>
  <c r="N116" i="27"/>
  <c r="R116" i="27" s="1"/>
  <c r="N132" i="27"/>
  <c r="N135" i="27"/>
  <c r="R135" i="27" s="1"/>
  <c r="V135" i="27" s="1"/>
  <c r="N128" i="27"/>
  <c r="R128" i="27" s="1"/>
  <c r="N154" i="27"/>
  <c r="R154" i="27" s="1"/>
  <c r="V154" i="27" s="1"/>
  <c r="N158" i="27"/>
  <c r="R158" i="27" s="1"/>
  <c r="N161" i="27"/>
  <c r="R161" i="27" s="1"/>
  <c r="P18" i="26"/>
  <c r="N15" i="26"/>
  <c r="R15" i="26" s="1"/>
  <c r="V15" i="26" s="1"/>
  <c r="N59" i="26"/>
  <c r="R59" i="26" s="1"/>
  <c r="N61" i="26"/>
  <c r="R61" i="26" s="1"/>
  <c r="V61" i="26" s="1"/>
  <c r="AD62" i="26"/>
  <c r="N34" i="26"/>
  <c r="R34" i="26" s="1"/>
  <c r="V34" i="26" s="1"/>
  <c r="AD8" i="26"/>
  <c r="N43" i="26"/>
  <c r="R43" i="26" s="1"/>
  <c r="V43" i="26" s="1"/>
  <c r="N49" i="26"/>
  <c r="R49" i="26" s="1"/>
  <c r="V49" i="26" s="1"/>
  <c r="N60" i="26"/>
  <c r="R60" i="26" s="1"/>
  <c r="V60" i="26" s="1"/>
  <c r="N69" i="26"/>
  <c r="R69" i="26" s="1"/>
  <c r="V69" i="26" s="1"/>
  <c r="P75" i="26"/>
  <c r="N71" i="26"/>
  <c r="R71" i="26" s="1"/>
  <c r="N73" i="26"/>
  <c r="R73" i="26" s="1"/>
  <c r="V73" i="26" s="1"/>
  <c r="N67" i="26"/>
  <c r="R67" i="26" s="1"/>
  <c r="V67" i="26" s="1"/>
  <c r="AD60" i="26"/>
  <c r="N64" i="26"/>
  <c r="R64" i="26" s="1"/>
  <c r="V64" i="26" s="1"/>
  <c r="N85" i="26"/>
  <c r="R85" i="26" s="1"/>
  <c r="V85" i="26" s="1"/>
  <c r="N63" i="26"/>
  <c r="R63" i="26" s="1"/>
  <c r="V63" i="26" s="1"/>
  <c r="N72" i="26"/>
  <c r="R72" i="26" s="1"/>
  <c r="N77" i="26"/>
  <c r="R77" i="26" s="1"/>
  <c r="N79" i="26"/>
  <c r="R79" i="26" s="1"/>
  <c r="V79" i="26" s="1"/>
  <c r="N80" i="26"/>
  <c r="R80" i="26" s="1"/>
  <c r="N82" i="26"/>
  <c r="R82" i="26" s="1"/>
  <c r="V82" i="26" s="1"/>
  <c r="N75" i="26"/>
  <c r="R75" i="26" s="1"/>
  <c r="N76" i="26"/>
  <c r="R76" i="26" s="1"/>
  <c r="V76" i="26" s="1"/>
  <c r="P77" i="26"/>
  <c r="P78" i="26"/>
  <c r="N84" i="26"/>
  <c r="R84" i="26" s="1"/>
  <c r="V84" i="26" s="1"/>
  <c r="R121" i="26"/>
  <c r="V121" i="26" s="1"/>
  <c r="N105" i="26"/>
  <c r="R105" i="26" s="1"/>
  <c r="V105" i="26" s="1"/>
  <c r="N126" i="26"/>
  <c r="R126" i="26" s="1"/>
  <c r="P127" i="26"/>
  <c r="P130" i="26"/>
  <c r="R125" i="26"/>
  <c r="P125" i="26"/>
  <c r="N139" i="26"/>
  <c r="R139" i="26" s="1"/>
  <c r="V139" i="26" s="1"/>
  <c r="N147" i="26"/>
  <c r="R147" i="26" s="1"/>
  <c r="V147" i="26" s="1"/>
  <c r="N96" i="26"/>
  <c r="R96" i="26" s="1"/>
  <c r="V96" i="26" s="1"/>
  <c r="N97" i="26"/>
  <c r="R97" i="26" s="1"/>
  <c r="V97" i="26" s="1"/>
  <c r="N107" i="26"/>
  <c r="R107" i="26" s="1"/>
  <c r="P123" i="26"/>
  <c r="N129" i="26"/>
  <c r="R129" i="26" s="1"/>
  <c r="P129" i="26"/>
  <c r="N132" i="26"/>
  <c r="R132" i="26" s="1"/>
  <c r="N95" i="26"/>
  <c r="R95" i="26" s="1"/>
  <c r="N106" i="26"/>
  <c r="R106" i="26" s="1"/>
  <c r="V106" i="26" s="1"/>
  <c r="N109" i="26"/>
  <c r="R109" i="26" s="1"/>
  <c r="V109" i="26" s="1"/>
  <c r="N124" i="26"/>
  <c r="R124" i="26" s="1"/>
  <c r="V124" i="26" s="1"/>
  <c r="N127" i="26"/>
  <c r="P132" i="26"/>
  <c r="N136" i="26"/>
  <c r="R136" i="26" s="1"/>
  <c r="V136" i="26" s="1"/>
  <c r="N142" i="26"/>
  <c r="R142" i="26" s="1"/>
  <c r="V142" i="26" s="1"/>
  <c r="N104" i="26"/>
  <c r="R104" i="26" s="1"/>
  <c r="N133" i="26"/>
  <c r="N137" i="26"/>
  <c r="R137" i="26" s="1"/>
  <c r="N140" i="26"/>
  <c r="R140" i="26" s="1"/>
  <c r="N119" i="26"/>
  <c r="R119" i="26" s="1"/>
  <c r="N135" i="26"/>
  <c r="R135" i="26" s="1"/>
  <c r="V135" i="26" s="1"/>
  <c r="D70" i="25"/>
  <c r="D69" i="25"/>
  <c r="V23" i="27" l="1"/>
  <c r="Z73" i="27"/>
  <c r="N67" i="27"/>
  <c r="R67" i="27" s="1"/>
  <c r="V67" i="27" s="1"/>
  <c r="Z67" i="27" s="1"/>
  <c r="S124" i="27"/>
  <c r="AE115" i="27" s="1"/>
  <c r="Z124" i="27"/>
  <c r="T124" i="27"/>
  <c r="U124" i="27" s="1"/>
  <c r="AF115" i="27" s="1"/>
  <c r="S16" i="27"/>
  <c r="AE8" i="27" s="1"/>
  <c r="N150" i="27"/>
  <c r="R150" i="27" s="1"/>
  <c r="V150" i="27" s="1"/>
  <c r="N83" i="27"/>
  <c r="R83" i="27" s="1"/>
  <c r="N155" i="27"/>
  <c r="R155" i="27" s="1"/>
  <c r="N151" i="27"/>
  <c r="R151" i="27" s="1"/>
  <c r="V151" i="27" s="1"/>
  <c r="N94" i="27"/>
  <c r="R94" i="27" s="1"/>
  <c r="V94" i="27" s="1"/>
  <c r="V15" i="27"/>
  <c r="Z15" i="27" s="1"/>
  <c r="N50" i="26"/>
  <c r="R50" i="26" s="1"/>
  <c r="V50" i="26" s="1"/>
  <c r="N31" i="26"/>
  <c r="R31" i="26" s="1"/>
  <c r="V31" i="26" s="1"/>
  <c r="N5" i="26"/>
  <c r="R5" i="26" s="1"/>
  <c r="S7" i="26" s="1"/>
  <c r="AE5" i="26" s="1"/>
  <c r="N47" i="26"/>
  <c r="R47" i="26" s="1"/>
  <c r="V47" i="26" s="1"/>
  <c r="R14" i="26"/>
  <c r="V14" i="26" s="1"/>
  <c r="N16" i="26"/>
  <c r="R16" i="26" s="1"/>
  <c r="V16" i="26" s="1"/>
  <c r="W16" i="26" s="1"/>
  <c r="AG8" i="26" s="1"/>
  <c r="N160" i="26"/>
  <c r="R160" i="26" s="1"/>
  <c r="V160" i="26" s="1"/>
  <c r="N9" i="26"/>
  <c r="R9" i="26" s="1"/>
  <c r="V9" i="26" s="1"/>
  <c r="Z9" i="26" s="1"/>
  <c r="N52" i="26"/>
  <c r="R52" i="26" s="1"/>
  <c r="V52" i="26" s="1"/>
  <c r="N17" i="26"/>
  <c r="R17" i="26" s="1"/>
  <c r="V126" i="26"/>
  <c r="N25" i="26"/>
  <c r="R25" i="26" s="1"/>
  <c r="V25" i="26" s="1"/>
  <c r="N39" i="26"/>
  <c r="R39" i="26" s="1"/>
  <c r="V39" i="26" s="1"/>
  <c r="Z124" i="26"/>
  <c r="N27" i="26"/>
  <c r="R27" i="26" s="1"/>
  <c r="V27" i="26" s="1"/>
  <c r="N28" i="26"/>
  <c r="R28" i="26" s="1"/>
  <c r="V28" i="26" s="1"/>
  <c r="V123" i="27"/>
  <c r="Z123" i="27" s="1"/>
  <c r="V69" i="27"/>
  <c r="Z69" i="27" s="1"/>
  <c r="T61" i="27"/>
  <c r="U61" i="27" s="1"/>
  <c r="AF58" i="27" s="1"/>
  <c r="Z118" i="27"/>
  <c r="S61" i="27"/>
  <c r="AE58" i="27" s="1"/>
  <c r="Z63" i="27"/>
  <c r="V123" i="26"/>
  <c r="X124" i="26" s="1"/>
  <c r="Y124" i="26" s="1"/>
  <c r="AH115" i="26" s="1"/>
  <c r="Z121" i="26"/>
  <c r="Z67" i="26"/>
  <c r="Z64" i="26"/>
  <c r="S115" i="26"/>
  <c r="AE112" i="26" s="1"/>
  <c r="V72" i="26"/>
  <c r="R127" i="26"/>
  <c r="V127" i="26" s="1"/>
  <c r="Z127" i="26" s="1"/>
  <c r="R133" i="26"/>
  <c r="V133" i="26" s="1"/>
  <c r="Z117" i="27"/>
  <c r="N142" i="27"/>
  <c r="R142" i="27" s="1"/>
  <c r="V142" i="27" s="1"/>
  <c r="N141" i="27"/>
  <c r="R141" i="27" s="1"/>
  <c r="V141" i="27" s="1"/>
  <c r="N119" i="27"/>
  <c r="R119" i="27" s="1"/>
  <c r="N121" i="27"/>
  <c r="R121" i="27" s="1"/>
  <c r="V121" i="27" s="1"/>
  <c r="Z121" i="27" s="1"/>
  <c r="N162" i="27"/>
  <c r="R162" i="27" s="1"/>
  <c r="V162" i="27" s="1"/>
  <c r="N153" i="27"/>
  <c r="R153" i="27" s="1"/>
  <c r="V153" i="27" s="1"/>
  <c r="N130" i="26"/>
  <c r="R130" i="26" s="1"/>
  <c r="V130" i="26" s="1"/>
  <c r="N154" i="26"/>
  <c r="R154" i="26" s="1"/>
  <c r="V154" i="26" s="1"/>
  <c r="T115" i="26"/>
  <c r="U115" i="26" s="1"/>
  <c r="AF112" i="26" s="1"/>
  <c r="N161" i="26"/>
  <c r="R161" i="26" s="1"/>
  <c r="V161" i="26" s="1"/>
  <c r="N151" i="26"/>
  <c r="R151" i="26" s="1"/>
  <c r="V151" i="26" s="1"/>
  <c r="N157" i="26"/>
  <c r="R157" i="26" s="1"/>
  <c r="V157" i="26" s="1"/>
  <c r="N117" i="26"/>
  <c r="Z117" i="26" s="1"/>
  <c r="R71" i="27"/>
  <c r="S73" i="27" s="1"/>
  <c r="AE62" i="27" s="1"/>
  <c r="Z70" i="27"/>
  <c r="Z64" i="27"/>
  <c r="R76" i="27"/>
  <c r="V76" i="27" s="1"/>
  <c r="Z76" i="27" s="1"/>
  <c r="N65" i="27"/>
  <c r="R65" i="27" s="1"/>
  <c r="Z70" i="26"/>
  <c r="Z76" i="26"/>
  <c r="N74" i="26"/>
  <c r="R74" i="26" s="1"/>
  <c r="T76" i="26" s="1"/>
  <c r="U76" i="26" s="1"/>
  <c r="AF63" i="26" s="1"/>
  <c r="N88" i="26"/>
  <c r="R88" i="26" s="1"/>
  <c r="V88" i="26" s="1"/>
  <c r="Z73" i="26"/>
  <c r="N87" i="26"/>
  <c r="R87" i="26" s="1"/>
  <c r="V87" i="26" s="1"/>
  <c r="V21" i="27"/>
  <c r="Z21" i="27" s="1"/>
  <c r="Z9" i="27"/>
  <c r="N12" i="27"/>
  <c r="R12" i="27" s="1"/>
  <c r="V12" i="27" s="1"/>
  <c r="Z12" i="27" s="1"/>
  <c r="R24" i="27"/>
  <c r="V24" i="27" s="1"/>
  <c r="W25" i="27" s="1"/>
  <c r="AG11" i="27" s="1"/>
  <c r="N22" i="27"/>
  <c r="R22" i="27" s="1"/>
  <c r="V22" i="27" s="1"/>
  <c r="Z22" i="27" s="1"/>
  <c r="N52" i="27"/>
  <c r="R52" i="27" s="1"/>
  <c r="V52" i="27" s="1"/>
  <c r="Z16" i="27"/>
  <c r="T16" i="27"/>
  <c r="U16" i="27" s="1"/>
  <c r="AF8" i="27" s="1"/>
  <c r="N10" i="27"/>
  <c r="R10" i="27" s="1"/>
  <c r="V10" i="27" s="1"/>
  <c r="Z10" i="27" s="1"/>
  <c r="N30" i="27"/>
  <c r="R30" i="27" s="1"/>
  <c r="V30" i="27" s="1"/>
  <c r="N46" i="27"/>
  <c r="R46" i="27" s="1"/>
  <c r="V46" i="27" s="1"/>
  <c r="N54" i="27"/>
  <c r="R54" i="27" s="1"/>
  <c r="V54" i="27" s="1"/>
  <c r="N11" i="27"/>
  <c r="R11" i="27" s="1"/>
  <c r="T115" i="27"/>
  <c r="U115" i="27" s="1"/>
  <c r="AF112" i="27" s="1"/>
  <c r="R18" i="27"/>
  <c r="V18" i="27" s="1"/>
  <c r="R132" i="27"/>
  <c r="S133" i="27" s="1"/>
  <c r="AE118" i="27" s="1"/>
  <c r="T136" i="26"/>
  <c r="U136" i="26" s="1"/>
  <c r="AF119" i="26" s="1"/>
  <c r="Z127" i="27"/>
  <c r="Z19" i="27"/>
  <c r="N45" i="26"/>
  <c r="R45" i="26" s="1"/>
  <c r="V45" i="26" s="1"/>
  <c r="N46" i="26"/>
  <c r="R46" i="26" s="1"/>
  <c r="V46" i="26" s="1"/>
  <c r="N11" i="26"/>
  <c r="R11" i="26" s="1"/>
  <c r="V11" i="26" s="1"/>
  <c r="N18" i="26"/>
  <c r="R18" i="26" s="1"/>
  <c r="N23" i="26"/>
  <c r="R23" i="26" s="1"/>
  <c r="V86" i="27"/>
  <c r="T88" i="27"/>
  <c r="U88" i="27" s="1"/>
  <c r="AF67" i="27" s="1"/>
  <c r="S88" i="27"/>
  <c r="AE67" i="27" s="1"/>
  <c r="V29" i="27"/>
  <c r="T31" i="27"/>
  <c r="U31" i="27" s="1"/>
  <c r="AF13" i="27" s="1"/>
  <c r="V83" i="27"/>
  <c r="V161" i="27"/>
  <c r="V158" i="27"/>
  <c r="V128" i="27"/>
  <c r="V119" i="27"/>
  <c r="N66" i="27"/>
  <c r="R66" i="27" s="1"/>
  <c r="V66" i="27" s="1"/>
  <c r="Z66" i="27" s="1"/>
  <c r="V11" i="27"/>
  <c r="S118" i="27"/>
  <c r="AE113" i="27" s="1"/>
  <c r="V116" i="27"/>
  <c r="T118" i="27"/>
  <c r="U118" i="27" s="1"/>
  <c r="AF113" i="27" s="1"/>
  <c r="V126" i="27"/>
  <c r="Z126" i="27" s="1"/>
  <c r="S127" i="27"/>
  <c r="AE116" i="27" s="1"/>
  <c r="T127" i="27"/>
  <c r="U127" i="27" s="1"/>
  <c r="AF116" i="27" s="1"/>
  <c r="N120" i="27"/>
  <c r="R120" i="27" s="1"/>
  <c r="V120" i="27" s="1"/>
  <c r="Z120" i="27" s="1"/>
  <c r="V50" i="27"/>
  <c r="AD63" i="27"/>
  <c r="S7" i="27"/>
  <c r="AE5" i="27" s="1"/>
  <c r="N160" i="27"/>
  <c r="R160" i="27" s="1"/>
  <c r="V160" i="27" s="1"/>
  <c r="N163" i="27"/>
  <c r="R163" i="27" s="1"/>
  <c r="V163" i="27" s="1"/>
  <c r="N129" i="27"/>
  <c r="R129" i="27" s="1"/>
  <c r="V129" i="27" s="1"/>
  <c r="Z129" i="27" s="1"/>
  <c r="N146" i="27"/>
  <c r="R146" i="27" s="1"/>
  <c r="N148" i="27"/>
  <c r="R148" i="27" s="1"/>
  <c r="V148" i="27" s="1"/>
  <c r="N105" i="27"/>
  <c r="R105" i="27" s="1"/>
  <c r="V105" i="27" s="1"/>
  <c r="N99" i="27"/>
  <c r="R99" i="27" s="1"/>
  <c r="V99" i="27" s="1"/>
  <c r="N95" i="27"/>
  <c r="R95" i="27" s="1"/>
  <c r="N90" i="27"/>
  <c r="R90" i="27" s="1"/>
  <c r="V90" i="27" s="1"/>
  <c r="N75" i="27"/>
  <c r="R75" i="27" s="1"/>
  <c r="V75" i="27" s="1"/>
  <c r="Z75" i="27" s="1"/>
  <c r="N84" i="27"/>
  <c r="R84" i="27" s="1"/>
  <c r="V84" i="27" s="1"/>
  <c r="N62" i="27"/>
  <c r="R62" i="27" s="1"/>
  <c r="R77" i="27"/>
  <c r="X115" i="27"/>
  <c r="Y115" i="27" s="1"/>
  <c r="AH112" i="27" s="1"/>
  <c r="W115" i="27"/>
  <c r="AG112" i="27" s="1"/>
  <c r="N138" i="27"/>
  <c r="R138" i="27" s="1"/>
  <c r="V138" i="27" s="1"/>
  <c r="Z17" i="27"/>
  <c r="Z131" i="27"/>
  <c r="N48" i="27"/>
  <c r="R48" i="27" s="1"/>
  <c r="V48" i="27" s="1"/>
  <c r="N109" i="27"/>
  <c r="R109" i="27" s="1"/>
  <c r="V109" i="27" s="1"/>
  <c r="N108" i="27"/>
  <c r="R108" i="27" s="1"/>
  <c r="V108" i="27" s="1"/>
  <c r="T70" i="27"/>
  <c r="U70" i="27" s="1"/>
  <c r="AF61" i="27" s="1"/>
  <c r="Z14" i="27"/>
  <c r="X16" i="27"/>
  <c r="Y16" i="27" s="1"/>
  <c r="AH8" i="27" s="1"/>
  <c r="X7" i="27"/>
  <c r="Y7" i="27" s="1"/>
  <c r="AH5" i="27" s="1"/>
  <c r="W7" i="27"/>
  <c r="AG5" i="27" s="1"/>
  <c r="N92" i="27"/>
  <c r="R92" i="27" s="1"/>
  <c r="V89" i="27"/>
  <c r="V44" i="27"/>
  <c r="Z79" i="27"/>
  <c r="V74" i="27"/>
  <c r="N149" i="27"/>
  <c r="R149" i="27" s="1"/>
  <c r="N157" i="27"/>
  <c r="R157" i="27" s="1"/>
  <c r="V157" i="27" s="1"/>
  <c r="N156" i="27"/>
  <c r="R156" i="27" s="1"/>
  <c r="V156" i="27" s="1"/>
  <c r="N130" i="27"/>
  <c r="R130" i="27" s="1"/>
  <c r="V130" i="27" s="1"/>
  <c r="Z130" i="27" s="1"/>
  <c r="N147" i="27"/>
  <c r="R147" i="27" s="1"/>
  <c r="V147" i="27" s="1"/>
  <c r="N140" i="27"/>
  <c r="R140" i="27" s="1"/>
  <c r="N104" i="27"/>
  <c r="R104" i="27" s="1"/>
  <c r="N98" i="27"/>
  <c r="R98" i="27" s="1"/>
  <c r="T136" i="27"/>
  <c r="U136" i="27" s="1"/>
  <c r="AF119" i="27" s="1"/>
  <c r="V134" i="27"/>
  <c r="S136" i="27"/>
  <c r="AE119" i="27" s="1"/>
  <c r="N96" i="27"/>
  <c r="R96" i="27" s="1"/>
  <c r="V96" i="27" s="1"/>
  <c r="N101" i="27"/>
  <c r="R101" i="27" s="1"/>
  <c r="N93" i="27"/>
  <c r="R93" i="27" s="1"/>
  <c r="V93" i="27" s="1"/>
  <c r="Z133" i="27"/>
  <c r="T82" i="27"/>
  <c r="U82" i="27" s="1"/>
  <c r="AF65" i="27" s="1"/>
  <c r="S82" i="27"/>
  <c r="AE65" i="27" s="1"/>
  <c r="V80" i="27"/>
  <c r="Z125" i="27"/>
  <c r="N13" i="27"/>
  <c r="R13" i="27" s="1"/>
  <c r="V13" i="27" s="1"/>
  <c r="Z13" i="27" s="1"/>
  <c r="N8" i="27"/>
  <c r="R8" i="27" s="1"/>
  <c r="N137" i="27"/>
  <c r="R137" i="27" s="1"/>
  <c r="N38" i="27"/>
  <c r="R38" i="27" s="1"/>
  <c r="N33" i="27"/>
  <c r="R33" i="27" s="1"/>
  <c r="V33" i="27" s="1"/>
  <c r="W124" i="27"/>
  <c r="AG115" i="27" s="1"/>
  <c r="Z122" i="27"/>
  <c r="X124" i="27"/>
  <c r="Y124" i="27" s="1"/>
  <c r="AH115" i="27" s="1"/>
  <c r="V72" i="27"/>
  <c r="Z72" i="27" s="1"/>
  <c r="X61" i="27"/>
  <c r="Y61" i="27" s="1"/>
  <c r="AH58" i="27" s="1"/>
  <c r="W61" i="27"/>
  <c r="AG58" i="27" s="1"/>
  <c r="Z68" i="27"/>
  <c r="X70" i="27"/>
  <c r="Y70" i="27" s="1"/>
  <c r="AH61" i="27" s="1"/>
  <c r="T7" i="27"/>
  <c r="U7" i="27" s="1"/>
  <c r="AF5" i="27" s="1"/>
  <c r="N152" i="27"/>
  <c r="R152" i="27" s="1"/>
  <c r="N85" i="27"/>
  <c r="R85" i="27" s="1"/>
  <c r="V85" i="27" s="1"/>
  <c r="V53" i="27"/>
  <c r="N55" i="27"/>
  <c r="R55" i="27" s="1"/>
  <c r="V55" i="27" s="1"/>
  <c r="N20" i="27"/>
  <c r="R20" i="27" s="1"/>
  <c r="Z135" i="27"/>
  <c r="AD118" i="27"/>
  <c r="V155" i="27"/>
  <c r="T157" i="27"/>
  <c r="U157" i="27" s="1"/>
  <c r="AF126" i="27" s="1"/>
  <c r="N145" i="27"/>
  <c r="R145" i="27" s="1"/>
  <c r="V145" i="27" s="1"/>
  <c r="N97" i="27"/>
  <c r="R97" i="27" s="1"/>
  <c r="V97" i="27" s="1"/>
  <c r="N103" i="27"/>
  <c r="R103" i="27" s="1"/>
  <c r="V103" i="27" s="1"/>
  <c r="N102" i="27"/>
  <c r="R102" i="27" s="1"/>
  <c r="V102" i="27" s="1"/>
  <c r="T73" i="27"/>
  <c r="U73" i="27" s="1"/>
  <c r="AF62" i="27" s="1"/>
  <c r="S115" i="27"/>
  <c r="AE112" i="27" s="1"/>
  <c r="N139" i="27"/>
  <c r="R139" i="27" s="1"/>
  <c r="V139" i="27" s="1"/>
  <c r="N41" i="27"/>
  <c r="R41" i="27" s="1"/>
  <c r="N40" i="27"/>
  <c r="R40" i="27" s="1"/>
  <c r="V40" i="27" s="1"/>
  <c r="N32" i="27"/>
  <c r="R32" i="27" s="1"/>
  <c r="N39" i="27"/>
  <c r="R39" i="27" s="1"/>
  <c r="V39" i="27" s="1"/>
  <c r="N47" i="27"/>
  <c r="R47" i="27" s="1"/>
  <c r="N49" i="27"/>
  <c r="R49" i="27" s="1"/>
  <c r="V49" i="27" s="1"/>
  <c r="S28" i="27"/>
  <c r="AE12" i="27" s="1"/>
  <c r="V26" i="27"/>
  <c r="T28" i="27"/>
  <c r="U28" i="27" s="1"/>
  <c r="AF12" i="27" s="1"/>
  <c r="N107" i="27"/>
  <c r="R107" i="27" s="1"/>
  <c r="AD10" i="27"/>
  <c r="S70" i="27"/>
  <c r="AE61" i="27" s="1"/>
  <c r="V125" i="26"/>
  <c r="V132" i="26"/>
  <c r="V80" i="26"/>
  <c r="V119" i="26"/>
  <c r="N12" i="26"/>
  <c r="R12" i="26" s="1"/>
  <c r="V12" i="26" s="1"/>
  <c r="Z12" i="26" s="1"/>
  <c r="V95" i="26"/>
  <c r="T97" i="26"/>
  <c r="U97" i="26" s="1"/>
  <c r="AF70" i="26" s="1"/>
  <c r="S97" i="26"/>
  <c r="AE70" i="26" s="1"/>
  <c r="V77" i="26"/>
  <c r="Z72" i="26"/>
  <c r="N162" i="26"/>
  <c r="R162" i="26" s="1"/>
  <c r="V162" i="26" s="1"/>
  <c r="N156" i="26"/>
  <c r="R156" i="26" s="1"/>
  <c r="V156" i="26" s="1"/>
  <c r="N149" i="26"/>
  <c r="R149" i="26" s="1"/>
  <c r="N163" i="26"/>
  <c r="R163" i="26" s="1"/>
  <c r="V163" i="26" s="1"/>
  <c r="N146" i="26"/>
  <c r="R146" i="26" s="1"/>
  <c r="N120" i="26"/>
  <c r="R120" i="26" s="1"/>
  <c r="V120" i="26" s="1"/>
  <c r="Z120" i="26" s="1"/>
  <c r="V129" i="26"/>
  <c r="V107" i="26"/>
  <c r="Z126" i="26"/>
  <c r="X136" i="26"/>
  <c r="Y136" i="26" s="1"/>
  <c r="AH119" i="26" s="1"/>
  <c r="W136" i="26"/>
  <c r="AG119" i="26" s="1"/>
  <c r="N153" i="26"/>
  <c r="R153" i="26" s="1"/>
  <c r="V153" i="26" s="1"/>
  <c r="N98" i="26"/>
  <c r="R98" i="26" s="1"/>
  <c r="T124" i="26"/>
  <c r="U124" i="26" s="1"/>
  <c r="AF115" i="26" s="1"/>
  <c r="N78" i="26"/>
  <c r="R78" i="26" s="1"/>
  <c r="V78" i="26" s="1"/>
  <c r="Z78" i="26" s="1"/>
  <c r="S73" i="26"/>
  <c r="AE62" i="26" s="1"/>
  <c r="T73" i="26"/>
  <c r="U73" i="26" s="1"/>
  <c r="AF62" i="26" s="1"/>
  <c r="V71" i="26"/>
  <c r="N30" i="26"/>
  <c r="R30" i="26" s="1"/>
  <c r="V30" i="26" s="1"/>
  <c r="N20" i="26"/>
  <c r="R20" i="26" s="1"/>
  <c r="N32" i="26"/>
  <c r="R32" i="26" s="1"/>
  <c r="V59" i="26"/>
  <c r="Z68" i="26" s="1"/>
  <c r="T61" i="26"/>
  <c r="U61" i="26" s="1"/>
  <c r="AF58" i="26" s="1"/>
  <c r="S61" i="26"/>
  <c r="AE58" i="26" s="1"/>
  <c r="Z15" i="26"/>
  <c r="N159" i="26"/>
  <c r="R159" i="26" s="1"/>
  <c r="V159" i="26" s="1"/>
  <c r="N152" i="26"/>
  <c r="R152" i="26" s="1"/>
  <c r="N101" i="26"/>
  <c r="R101" i="26" s="1"/>
  <c r="Z122" i="26"/>
  <c r="N44" i="26"/>
  <c r="R44" i="26" s="1"/>
  <c r="AD63" i="26"/>
  <c r="W70" i="26"/>
  <c r="AG61" i="26" s="1"/>
  <c r="X70" i="26"/>
  <c r="Y70" i="26" s="1"/>
  <c r="AH61" i="26" s="1"/>
  <c r="N150" i="26"/>
  <c r="R150" i="26" s="1"/>
  <c r="V150" i="26" s="1"/>
  <c r="N158" i="26"/>
  <c r="R158" i="26" s="1"/>
  <c r="N138" i="26"/>
  <c r="R138" i="26" s="1"/>
  <c r="V138" i="26" s="1"/>
  <c r="N155" i="26"/>
  <c r="R155" i="26" s="1"/>
  <c r="N148" i="26"/>
  <c r="R148" i="26" s="1"/>
  <c r="V148" i="26" s="1"/>
  <c r="N141" i="26"/>
  <c r="R141" i="26" s="1"/>
  <c r="V141" i="26" s="1"/>
  <c r="V137" i="26"/>
  <c r="N118" i="26"/>
  <c r="Z118" i="26" s="1"/>
  <c r="N116" i="26"/>
  <c r="R116" i="26" s="1"/>
  <c r="N108" i="26"/>
  <c r="R108" i="26" s="1"/>
  <c r="V108" i="26" s="1"/>
  <c r="S136" i="26"/>
  <c r="AE119" i="26" s="1"/>
  <c r="X115" i="26"/>
  <c r="Y115" i="26" s="1"/>
  <c r="AH112" i="26" s="1"/>
  <c r="W115" i="26"/>
  <c r="AG112" i="26" s="1"/>
  <c r="N92" i="26"/>
  <c r="R92" i="26" s="1"/>
  <c r="N103" i="26"/>
  <c r="R103" i="26" s="1"/>
  <c r="V103" i="26" s="1"/>
  <c r="N102" i="26"/>
  <c r="R102" i="26" s="1"/>
  <c r="V102" i="26" s="1"/>
  <c r="N99" i="26"/>
  <c r="R99" i="26" s="1"/>
  <c r="V99" i="26" s="1"/>
  <c r="N81" i="26"/>
  <c r="R81" i="26" s="1"/>
  <c r="V81" i="26" s="1"/>
  <c r="N89" i="26"/>
  <c r="R89" i="26" s="1"/>
  <c r="N62" i="26"/>
  <c r="R62" i="26" s="1"/>
  <c r="N51" i="26"/>
  <c r="R51" i="26" s="1"/>
  <c r="V51" i="26" s="1"/>
  <c r="N55" i="26"/>
  <c r="R55" i="26" s="1"/>
  <c r="V55" i="26" s="1"/>
  <c r="N54" i="26"/>
  <c r="R54" i="26" s="1"/>
  <c r="V54" i="26" s="1"/>
  <c r="N22" i="26"/>
  <c r="R22" i="26" s="1"/>
  <c r="V22" i="26" s="1"/>
  <c r="N10" i="26"/>
  <c r="R10" i="26" s="1"/>
  <c r="V10" i="26" s="1"/>
  <c r="Z10" i="26" s="1"/>
  <c r="Z69" i="26"/>
  <c r="N29" i="26"/>
  <c r="R29" i="26" s="1"/>
  <c r="N13" i="26"/>
  <c r="R13" i="26" s="1"/>
  <c r="V13" i="26" s="1"/>
  <c r="Z13" i="26" s="1"/>
  <c r="N8" i="26"/>
  <c r="R8" i="26" s="1"/>
  <c r="N41" i="26"/>
  <c r="R41" i="26" s="1"/>
  <c r="N42" i="26"/>
  <c r="R42" i="26" s="1"/>
  <c r="V42" i="26" s="1"/>
  <c r="N21" i="26"/>
  <c r="R21" i="26" s="1"/>
  <c r="V21" i="26" s="1"/>
  <c r="AD9" i="26"/>
  <c r="N38" i="26"/>
  <c r="R38" i="26" s="1"/>
  <c r="T70" i="26"/>
  <c r="U70" i="26" s="1"/>
  <c r="AF61" i="26" s="1"/>
  <c r="V140" i="26"/>
  <c r="V104" i="26"/>
  <c r="T106" i="26"/>
  <c r="U106" i="26" s="1"/>
  <c r="AF73" i="26" s="1"/>
  <c r="S106" i="26"/>
  <c r="AE73" i="26" s="1"/>
  <c r="N100" i="26"/>
  <c r="R100" i="26" s="1"/>
  <c r="V100" i="26" s="1"/>
  <c r="N83" i="26"/>
  <c r="R83" i="26" s="1"/>
  <c r="AD116" i="26"/>
  <c r="N128" i="26"/>
  <c r="R128" i="26" s="1"/>
  <c r="N86" i="26"/>
  <c r="R86" i="26" s="1"/>
  <c r="N94" i="26"/>
  <c r="R94" i="26" s="1"/>
  <c r="V94" i="26" s="1"/>
  <c r="V75" i="26"/>
  <c r="Z75" i="26" s="1"/>
  <c r="S124" i="26"/>
  <c r="AE115" i="26" s="1"/>
  <c r="Z79" i="26"/>
  <c r="Z63" i="26"/>
  <c r="N65" i="26"/>
  <c r="R65" i="26" s="1"/>
  <c r="N53" i="26"/>
  <c r="R53" i="26" s="1"/>
  <c r="N66" i="26"/>
  <c r="R66" i="26" s="1"/>
  <c r="V66" i="26" s="1"/>
  <c r="Z66" i="26" s="1"/>
  <c r="N48" i="26"/>
  <c r="R48" i="26" s="1"/>
  <c r="V48" i="26" s="1"/>
  <c r="S28" i="26"/>
  <c r="AE12" i="26" s="1"/>
  <c r="V26" i="26"/>
  <c r="T28" i="26"/>
  <c r="U28" i="26" s="1"/>
  <c r="AF12" i="26" s="1"/>
  <c r="N40" i="26"/>
  <c r="R40" i="26" s="1"/>
  <c r="V40" i="26" s="1"/>
  <c r="V17" i="26"/>
  <c r="S70" i="26"/>
  <c r="AE61" i="26" s="1"/>
  <c r="W70" i="27" l="1"/>
  <c r="AG61" i="27" s="1"/>
  <c r="X25" i="27"/>
  <c r="Y25" i="27" s="1"/>
  <c r="AH11" i="27" s="1"/>
  <c r="T25" i="27"/>
  <c r="U25" i="27" s="1"/>
  <c r="AF11" i="27" s="1"/>
  <c r="W16" i="27"/>
  <c r="AG8" i="27" s="1"/>
  <c r="S25" i="27"/>
  <c r="AE11" i="27" s="1"/>
  <c r="W124" i="26"/>
  <c r="AG115" i="26" s="1"/>
  <c r="T7" i="26"/>
  <c r="U7" i="26" s="1"/>
  <c r="AF5" i="26" s="1"/>
  <c r="T55" i="27"/>
  <c r="U55" i="27" s="1"/>
  <c r="AF21" i="27" s="1"/>
  <c r="N35" i="27"/>
  <c r="R35" i="27" s="1"/>
  <c r="V35" i="27" s="1"/>
  <c r="S67" i="27"/>
  <c r="AE60" i="27" s="1"/>
  <c r="Z123" i="26"/>
  <c r="N24" i="26"/>
  <c r="R24" i="26" s="1"/>
  <c r="V24" i="26" s="1"/>
  <c r="X16" i="26"/>
  <c r="Y16" i="26" s="1"/>
  <c r="AH8" i="26" s="1"/>
  <c r="V5" i="26"/>
  <c r="Z14" i="26" s="1"/>
  <c r="AA16" i="26" s="1"/>
  <c r="Z16" i="26"/>
  <c r="S16" i="26"/>
  <c r="AE8" i="26" s="1"/>
  <c r="N37" i="26"/>
  <c r="R37" i="26" s="1"/>
  <c r="V37" i="26" s="1"/>
  <c r="T16" i="26"/>
  <c r="U16" i="26" s="1"/>
  <c r="AF8" i="26" s="1"/>
  <c r="S133" i="26"/>
  <c r="AE118" i="26" s="1"/>
  <c r="N93" i="26"/>
  <c r="R93" i="26" s="1"/>
  <c r="V93" i="26" s="1"/>
  <c r="W127" i="27"/>
  <c r="AG116" i="27" s="1"/>
  <c r="T76" i="27"/>
  <c r="U76" i="27" s="1"/>
  <c r="AF63" i="27" s="1"/>
  <c r="V65" i="27"/>
  <c r="W67" i="27" s="1"/>
  <c r="AG60" i="27" s="1"/>
  <c r="V71" i="27"/>
  <c r="X73" i="27" s="1"/>
  <c r="Y73" i="27" s="1"/>
  <c r="AH62" i="27" s="1"/>
  <c r="S19" i="27"/>
  <c r="AE9" i="27" s="1"/>
  <c r="S142" i="26"/>
  <c r="AE121" i="26" s="1"/>
  <c r="T133" i="26"/>
  <c r="U133" i="26" s="1"/>
  <c r="AF118" i="26" s="1"/>
  <c r="S127" i="26"/>
  <c r="AE116" i="26" s="1"/>
  <c r="T127" i="26"/>
  <c r="U127" i="26" s="1"/>
  <c r="AF116" i="26" s="1"/>
  <c r="S25" i="26"/>
  <c r="AE11" i="26" s="1"/>
  <c r="S157" i="27"/>
  <c r="AE126" i="27" s="1"/>
  <c r="T91" i="27"/>
  <c r="U91" i="27" s="1"/>
  <c r="AF68" i="27" s="1"/>
  <c r="S91" i="27"/>
  <c r="AE68" i="27" s="1"/>
  <c r="S76" i="26"/>
  <c r="AE63" i="26" s="1"/>
  <c r="V74" i="26"/>
  <c r="W76" i="26" s="1"/>
  <c r="AG63" i="26" s="1"/>
  <c r="T82" i="26"/>
  <c r="U82" i="26" s="1"/>
  <c r="AF65" i="26" s="1"/>
  <c r="Z18" i="27"/>
  <c r="AB19" i="27" s="1"/>
  <c r="W19" i="27"/>
  <c r="AG9" i="27" s="1"/>
  <c r="T19" i="27"/>
  <c r="U19" i="27" s="1"/>
  <c r="AF9" i="27" s="1"/>
  <c r="S31" i="27"/>
  <c r="AE13" i="27" s="1"/>
  <c r="N37" i="27"/>
  <c r="R37" i="27" s="1"/>
  <c r="V37" i="27" s="1"/>
  <c r="T142" i="26"/>
  <c r="U142" i="26" s="1"/>
  <c r="AF121" i="26" s="1"/>
  <c r="X127" i="27"/>
  <c r="Y127" i="27" s="1"/>
  <c r="AH116" i="27" s="1"/>
  <c r="S76" i="27"/>
  <c r="AE63" i="27" s="1"/>
  <c r="X19" i="27"/>
  <c r="Y19" i="27" s="1"/>
  <c r="AH9" i="27" s="1"/>
  <c r="V132" i="27"/>
  <c r="T133" i="27"/>
  <c r="U133" i="27" s="1"/>
  <c r="AF118" i="27" s="1"/>
  <c r="T67" i="27"/>
  <c r="U67" i="27" s="1"/>
  <c r="AF60" i="27" s="1"/>
  <c r="V18" i="26"/>
  <c r="Z18" i="26" s="1"/>
  <c r="T19" i="26"/>
  <c r="U19" i="26" s="1"/>
  <c r="AF9" i="26" s="1"/>
  <c r="S19" i="26"/>
  <c r="AE9" i="26" s="1"/>
  <c r="T52" i="26"/>
  <c r="U52" i="26" s="1"/>
  <c r="AF20" i="26" s="1"/>
  <c r="T25" i="26"/>
  <c r="U25" i="26" s="1"/>
  <c r="AF11" i="26" s="1"/>
  <c r="V23" i="26"/>
  <c r="T13" i="26"/>
  <c r="U13" i="26" s="1"/>
  <c r="AF7" i="26" s="1"/>
  <c r="T49" i="26"/>
  <c r="U49" i="26" s="1"/>
  <c r="AF19" i="26" s="1"/>
  <c r="N143" i="27"/>
  <c r="R143" i="27" s="1"/>
  <c r="S151" i="27"/>
  <c r="AE124" i="27" s="1"/>
  <c r="V149" i="27"/>
  <c r="T151" i="27"/>
  <c r="U151" i="27" s="1"/>
  <c r="AF124" i="27" s="1"/>
  <c r="S34" i="27"/>
  <c r="AE14" i="27" s="1"/>
  <c r="V32" i="27"/>
  <c r="T34" i="27"/>
  <c r="U34" i="27" s="1"/>
  <c r="AF14" i="27" s="1"/>
  <c r="S40" i="27"/>
  <c r="AE16" i="27" s="1"/>
  <c r="T40" i="27"/>
  <c r="U40" i="27" s="1"/>
  <c r="AF16" i="27" s="1"/>
  <c r="V38" i="27"/>
  <c r="AD11" i="27"/>
  <c r="W55" i="27"/>
  <c r="AG21" i="27" s="1"/>
  <c r="X55" i="27"/>
  <c r="Y55" i="27" s="1"/>
  <c r="AH21" i="27" s="1"/>
  <c r="AA70" i="27"/>
  <c r="AB70" i="27"/>
  <c r="N144" i="27"/>
  <c r="R144" i="27" s="1"/>
  <c r="V144" i="27" s="1"/>
  <c r="T79" i="27"/>
  <c r="U79" i="27" s="1"/>
  <c r="AF64" i="27" s="1"/>
  <c r="S79" i="27"/>
  <c r="AE64" i="27" s="1"/>
  <c r="V77" i="27"/>
  <c r="S13" i="27"/>
  <c r="AE7" i="27" s="1"/>
  <c r="S121" i="27"/>
  <c r="AE114" i="27" s="1"/>
  <c r="Z128" i="27"/>
  <c r="X130" i="27"/>
  <c r="Y130" i="27" s="1"/>
  <c r="AH117" i="27" s="1"/>
  <c r="W130" i="27"/>
  <c r="AG117" i="27" s="1"/>
  <c r="X160" i="27"/>
  <c r="Y160" i="27" s="1"/>
  <c r="AH127" i="27" s="1"/>
  <c r="W160" i="27"/>
  <c r="AG127" i="27" s="1"/>
  <c r="S109" i="27"/>
  <c r="AE74" i="27" s="1"/>
  <c r="V107" i="27"/>
  <c r="T109" i="27"/>
  <c r="U109" i="27" s="1"/>
  <c r="AF74" i="27" s="1"/>
  <c r="S22" i="27"/>
  <c r="AE10" i="27" s="1"/>
  <c r="V20" i="27"/>
  <c r="T22" i="27"/>
  <c r="U22" i="27" s="1"/>
  <c r="AF10" i="27" s="1"/>
  <c r="S55" i="27"/>
  <c r="AE21" i="27" s="1"/>
  <c r="Z136" i="27"/>
  <c r="S10" i="27"/>
  <c r="AE6" i="27" s="1"/>
  <c r="V8" i="27"/>
  <c r="T10" i="27"/>
  <c r="U10" i="27" s="1"/>
  <c r="AF6" i="27" s="1"/>
  <c r="X82" i="27"/>
  <c r="Y82" i="27" s="1"/>
  <c r="AH65" i="27" s="1"/>
  <c r="W82" i="27"/>
  <c r="AG65" i="27" s="1"/>
  <c r="X136" i="27"/>
  <c r="Y136" i="27" s="1"/>
  <c r="AH119" i="27" s="1"/>
  <c r="W136" i="27"/>
  <c r="AG119" i="27" s="1"/>
  <c r="Z134" i="27"/>
  <c r="X67" i="27"/>
  <c r="Y67" i="27" s="1"/>
  <c r="AH60" i="27" s="1"/>
  <c r="S64" i="27"/>
  <c r="AE59" i="27" s="1"/>
  <c r="V62" i="27"/>
  <c r="T64" i="27"/>
  <c r="U64" i="27" s="1"/>
  <c r="AF59" i="27" s="1"/>
  <c r="Z23" i="27"/>
  <c r="W118" i="27"/>
  <c r="AG113" i="27" s="1"/>
  <c r="Z116" i="27"/>
  <c r="X118" i="27"/>
  <c r="Y118" i="27" s="1"/>
  <c r="AH113" i="27" s="1"/>
  <c r="T13" i="27"/>
  <c r="U13" i="27" s="1"/>
  <c r="AF7" i="27" s="1"/>
  <c r="T121" i="27"/>
  <c r="U121" i="27" s="1"/>
  <c r="AF114" i="27" s="1"/>
  <c r="T130" i="27"/>
  <c r="U130" i="27" s="1"/>
  <c r="AF117" i="27" s="1"/>
  <c r="X163" i="27"/>
  <c r="Y163" i="27" s="1"/>
  <c r="AH128" i="27" s="1"/>
  <c r="W163" i="27"/>
  <c r="AG128" i="27" s="1"/>
  <c r="T85" i="27"/>
  <c r="U85" i="27" s="1"/>
  <c r="AF66" i="27" s="1"/>
  <c r="X31" i="27"/>
  <c r="Y31" i="27" s="1"/>
  <c r="AH13" i="27" s="1"/>
  <c r="W31" i="27"/>
  <c r="AG13" i="27" s="1"/>
  <c r="V152" i="27"/>
  <c r="T154" i="27"/>
  <c r="U154" i="27" s="1"/>
  <c r="AF125" i="27" s="1"/>
  <c r="S154" i="27"/>
  <c r="AE125" i="27" s="1"/>
  <c r="V104" i="27"/>
  <c r="T106" i="27"/>
  <c r="U106" i="27" s="1"/>
  <c r="AF73" i="27" s="1"/>
  <c r="S106" i="27"/>
  <c r="AE73" i="27" s="1"/>
  <c r="W91" i="27"/>
  <c r="AG68" i="27" s="1"/>
  <c r="X91" i="27"/>
  <c r="Y91" i="27" s="1"/>
  <c r="AH68" i="27" s="1"/>
  <c r="Z24" i="27"/>
  <c r="S103" i="27"/>
  <c r="AE72" i="27" s="1"/>
  <c r="V101" i="27"/>
  <c r="T103" i="27"/>
  <c r="U103" i="27" s="1"/>
  <c r="AF72" i="27" s="1"/>
  <c r="V146" i="27"/>
  <c r="S148" i="27"/>
  <c r="AE123" i="27" s="1"/>
  <c r="T148" i="27"/>
  <c r="U148" i="27" s="1"/>
  <c r="AF123" i="27" s="1"/>
  <c r="W85" i="27"/>
  <c r="AG66" i="27" s="1"/>
  <c r="X85" i="27"/>
  <c r="Y85" i="27" s="1"/>
  <c r="AH66" i="27" s="1"/>
  <c r="V47" i="27"/>
  <c r="T49" i="27"/>
  <c r="U49" i="27" s="1"/>
  <c r="AF19" i="27" s="1"/>
  <c r="S49" i="27"/>
  <c r="AE19" i="27" s="1"/>
  <c r="AA124" i="27"/>
  <c r="AB124" i="27"/>
  <c r="N36" i="27"/>
  <c r="R36" i="27" s="1"/>
  <c r="V36" i="27" s="1"/>
  <c r="AB127" i="27"/>
  <c r="AA127" i="27"/>
  <c r="T142" i="27"/>
  <c r="U142" i="27" s="1"/>
  <c r="AF121" i="27" s="1"/>
  <c r="S142" i="27"/>
  <c r="AE121" i="27" s="1"/>
  <c r="V140" i="27"/>
  <c r="Z25" i="27"/>
  <c r="N45" i="27"/>
  <c r="R45" i="27" s="1"/>
  <c r="T160" i="27"/>
  <c r="U160" i="27" s="1"/>
  <c r="AF127" i="27" s="1"/>
  <c r="S163" i="27"/>
  <c r="AE128" i="27" s="1"/>
  <c r="S85" i="27"/>
  <c r="AE66" i="27" s="1"/>
  <c r="AD119" i="27"/>
  <c r="T139" i="27"/>
  <c r="U139" i="27" s="1"/>
  <c r="AF120" i="27" s="1"/>
  <c r="S139" i="27"/>
  <c r="AE120" i="27" s="1"/>
  <c r="V137" i="27"/>
  <c r="AA16" i="27"/>
  <c r="AB16" i="27"/>
  <c r="W28" i="27"/>
  <c r="AG12" i="27" s="1"/>
  <c r="X28" i="27"/>
  <c r="Y28" i="27" s="1"/>
  <c r="AH12" i="27" s="1"/>
  <c r="V41" i="27"/>
  <c r="T43" i="27"/>
  <c r="U43" i="27" s="1"/>
  <c r="AF17" i="27" s="1"/>
  <c r="S43" i="27"/>
  <c r="AE17" i="27" s="1"/>
  <c r="W157" i="27"/>
  <c r="AG126" i="27" s="1"/>
  <c r="X157" i="27"/>
  <c r="Y157" i="27" s="1"/>
  <c r="AH126" i="27" s="1"/>
  <c r="V98" i="27"/>
  <c r="T100" i="27"/>
  <c r="U100" i="27" s="1"/>
  <c r="AF71" i="27" s="1"/>
  <c r="S100" i="27"/>
  <c r="AE71" i="27" s="1"/>
  <c r="X76" i="27"/>
  <c r="Y76" i="27" s="1"/>
  <c r="AH63" i="27" s="1"/>
  <c r="W76" i="27"/>
  <c r="AG63" i="27" s="1"/>
  <c r="Z74" i="27"/>
  <c r="V92" i="27"/>
  <c r="S94" i="27"/>
  <c r="AE69" i="27" s="1"/>
  <c r="T94" i="27"/>
  <c r="U94" i="27" s="1"/>
  <c r="AF69" i="27" s="1"/>
  <c r="N51" i="27"/>
  <c r="R51" i="27" s="1"/>
  <c r="S97" i="27"/>
  <c r="AE70" i="27" s="1"/>
  <c r="V95" i="27"/>
  <c r="T97" i="27"/>
  <c r="U97" i="27" s="1"/>
  <c r="AF70" i="27" s="1"/>
  <c r="AD64" i="27"/>
  <c r="Z80" i="27"/>
  <c r="Z78" i="27"/>
  <c r="X13" i="27"/>
  <c r="Y13" i="27" s="1"/>
  <c r="AH7" i="27" s="1"/>
  <c r="Z11" i="27"/>
  <c r="W13" i="27"/>
  <c r="AG7" i="27" s="1"/>
  <c r="X121" i="27"/>
  <c r="Y121" i="27" s="1"/>
  <c r="AH114" i="27" s="1"/>
  <c r="Z119" i="27"/>
  <c r="W121" i="27"/>
  <c r="AG114" i="27" s="1"/>
  <c r="S130" i="27"/>
  <c r="AE117" i="27" s="1"/>
  <c r="S160" i="27"/>
  <c r="AE127" i="27" s="1"/>
  <c r="T163" i="27"/>
  <c r="U163" i="27" s="1"/>
  <c r="AF128" i="27" s="1"/>
  <c r="X88" i="27"/>
  <c r="Y88" i="27" s="1"/>
  <c r="AH67" i="27" s="1"/>
  <c r="W88" i="27"/>
  <c r="AG67" i="27" s="1"/>
  <c r="V44" i="26"/>
  <c r="S46" i="26"/>
  <c r="AE18" i="26" s="1"/>
  <c r="T46" i="26"/>
  <c r="U46" i="26" s="1"/>
  <c r="AF18" i="26" s="1"/>
  <c r="V89" i="26"/>
  <c r="V152" i="26"/>
  <c r="S154" i="26"/>
  <c r="AE125" i="26" s="1"/>
  <c r="T154" i="26"/>
  <c r="U154" i="26" s="1"/>
  <c r="AF125" i="26" s="1"/>
  <c r="V29" i="26"/>
  <c r="T31" i="26"/>
  <c r="U31" i="26" s="1"/>
  <c r="AF13" i="26" s="1"/>
  <c r="S31" i="26"/>
  <c r="AE13" i="26" s="1"/>
  <c r="S10" i="26"/>
  <c r="AE6" i="26" s="1"/>
  <c r="V8" i="26"/>
  <c r="T10" i="26"/>
  <c r="U10" i="26" s="1"/>
  <c r="AF6" i="26" s="1"/>
  <c r="V158" i="26"/>
  <c r="T160" i="26"/>
  <c r="U160" i="26" s="1"/>
  <c r="AF127" i="26" s="1"/>
  <c r="S160" i="26"/>
  <c r="AE127" i="26" s="1"/>
  <c r="S22" i="26"/>
  <c r="AE10" i="26" s="1"/>
  <c r="V20" i="26"/>
  <c r="T22" i="26"/>
  <c r="U22" i="26" s="1"/>
  <c r="AF10" i="26" s="1"/>
  <c r="V32" i="26"/>
  <c r="S100" i="26"/>
  <c r="AE71" i="26" s="1"/>
  <c r="V98" i="26"/>
  <c r="T100" i="26"/>
  <c r="U100" i="26" s="1"/>
  <c r="AF71" i="26" s="1"/>
  <c r="W109" i="26"/>
  <c r="AG74" i="26" s="1"/>
  <c r="X109" i="26"/>
  <c r="Y109" i="26" s="1"/>
  <c r="AH74" i="26" s="1"/>
  <c r="S151" i="26"/>
  <c r="AE124" i="26" s="1"/>
  <c r="T151" i="26"/>
  <c r="U151" i="26" s="1"/>
  <c r="AF124" i="26" s="1"/>
  <c r="V149" i="26"/>
  <c r="S79" i="26"/>
  <c r="AE64" i="26" s="1"/>
  <c r="N35" i="26"/>
  <c r="R35" i="26" s="1"/>
  <c r="N90" i="26"/>
  <c r="R90" i="26" s="1"/>
  <c r="V90" i="26" s="1"/>
  <c r="T130" i="26"/>
  <c r="U130" i="26" s="1"/>
  <c r="AF117" i="26" s="1"/>
  <c r="V128" i="26"/>
  <c r="S130" i="26"/>
  <c r="AE117" i="26" s="1"/>
  <c r="N91" i="26"/>
  <c r="R91" i="26" s="1"/>
  <c r="V91" i="26" s="1"/>
  <c r="N145" i="26"/>
  <c r="R145" i="26" s="1"/>
  <c r="V145" i="26" s="1"/>
  <c r="AD64" i="26"/>
  <c r="AB124" i="26"/>
  <c r="AA124" i="26"/>
  <c r="T109" i="26"/>
  <c r="U109" i="26" s="1"/>
  <c r="AF74" i="26" s="1"/>
  <c r="W121" i="26"/>
  <c r="AG114" i="26" s="1"/>
  <c r="X121" i="26"/>
  <c r="Y121" i="26" s="1"/>
  <c r="AH114" i="26" s="1"/>
  <c r="Z119" i="26"/>
  <c r="S82" i="26"/>
  <c r="AE65" i="26" s="1"/>
  <c r="W49" i="26"/>
  <c r="AG19" i="26" s="1"/>
  <c r="X49" i="26"/>
  <c r="Y49" i="26" s="1"/>
  <c r="AH19" i="26" s="1"/>
  <c r="X52" i="26"/>
  <c r="Y52" i="26" s="1"/>
  <c r="AH20" i="26" s="1"/>
  <c r="W52" i="26"/>
  <c r="AG20" i="26" s="1"/>
  <c r="X127" i="26"/>
  <c r="Y127" i="26" s="1"/>
  <c r="AH116" i="26" s="1"/>
  <c r="Z125" i="26"/>
  <c r="W127" i="26"/>
  <c r="AG116" i="26" s="1"/>
  <c r="X163" i="26"/>
  <c r="Y163" i="26" s="1"/>
  <c r="AH128" i="26" s="1"/>
  <c r="W163" i="26"/>
  <c r="AG128" i="26" s="1"/>
  <c r="S88" i="26"/>
  <c r="AE67" i="26" s="1"/>
  <c r="T88" i="26"/>
  <c r="U88" i="26" s="1"/>
  <c r="AF67" i="26" s="1"/>
  <c r="V86" i="26"/>
  <c r="AD10" i="26"/>
  <c r="T139" i="26"/>
  <c r="U139" i="26" s="1"/>
  <c r="AF120" i="26" s="1"/>
  <c r="N143" i="26"/>
  <c r="R143" i="26" s="1"/>
  <c r="T121" i="26"/>
  <c r="U121" i="26" s="1"/>
  <c r="AF114" i="26" s="1"/>
  <c r="S55" i="26"/>
  <c r="AE21" i="26" s="1"/>
  <c r="V53" i="26"/>
  <c r="T55" i="26"/>
  <c r="U55" i="26" s="1"/>
  <c r="AF21" i="26" s="1"/>
  <c r="Z132" i="26"/>
  <c r="AD117" i="26"/>
  <c r="V83" i="26"/>
  <c r="T85" i="26"/>
  <c r="U85" i="26" s="1"/>
  <c r="AF66" i="26" s="1"/>
  <c r="S85" i="26"/>
  <c r="AE66" i="26" s="1"/>
  <c r="X142" i="26"/>
  <c r="Y142" i="26" s="1"/>
  <c r="AH121" i="26" s="1"/>
  <c r="W142" i="26"/>
  <c r="AG121" i="26" s="1"/>
  <c r="Z21" i="26"/>
  <c r="Z81" i="26"/>
  <c r="W139" i="26"/>
  <c r="AG120" i="26" s="1"/>
  <c r="X139" i="26"/>
  <c r="Y139" i="26" s="1"/>
  <c r="AH120" i="26" s="1"/>
  <c r="AA70" i="26"/>
  <c r="AB70" i="26"/>
  <c r="X13" i="26"/>
  <c r="Y13" i="26" s="1"/>
  <c r="AH7" i="26" s="1"/>
  <c r="W13" i="26"/>
  <c r="AG7" i="26" s="1"/>
  <c r="X76" i="26"/>
  <c r="Y76" i="26" s="1"/>
  <c r="AH63" i="26" s="1"/>
  <c r="W133" i="26"/>
  <c r="AG118" i="26" s="1"/>
  <c r="X61" i="26"/>
  <c r="Y61" i="26" s="1"/>
  <c r="AH58" i="26" s="1"/>
  <c r="W61" i="26"/>
  <c r="AG58" i="26" s="1"/>
  <c r="S109" i="26"/>
  <c r="AE74" i="26" s="1"/>
  <c r="V146" i="26"/>
  <c r="S148" i="26"/>
  <c r="AE123" i="26" s="1"/>
  <c r="T148" i="26"/>
  <c r="U148" i="26" s="1"/>
  <c r="AF123" i="26" s="1"/>
  <c r="W79" i="26"/>
  <c r="AG64" i="26" s="1"/>
  <c r="X79" i="26"/>
  <c r="Y79" i="26" s="1"/>
  <c r="AH64" i="26" s="1"/>
  <c r="Z77" i="26"/>
  <c r="S121" i="26"/>
  <c r="AE114" i="26" s="1"/>
  <c r="S49" i="26"/>
  <c r="AE19" i="26" s="1"/>
  <c r="S163" i="26"/>
  <c r="AE128" i="26" s="1"/>
  <c r="S43" i="26"/>
  <c r="AE17" i="26" s="1"/>
  <c r="V41" i="26"/>
  <c r="T43" i="26"/>
  <c r="U43" i="26" s="1"/>
  <c r="AF17" i="26" s="1"/>
  <c r="V38" i="26"/>
  <c r="S40" i="26"/>
  <c r="AE16" i="26" s="1"/>
  <c r="T40" i="26"/>
  <c r="U40" i="26" s="1"/>
  <c r="AF16" i="26" s="1"/>
  <c r="N36" i="26"/>
  <c r="R36" i="26" s="1"/>
  <c r="V36" i="26" s="1"/>
  <c r="W28" i="26"/>
  <c r="AG12" i="26" s="1"/>
  <c r="X28" i="26"/>
  <c r="Y28" i="26" s="1"/>
  <c r="AH12" i="26" s="1"/>
  <c r="T67" i="26"/>
  <c r="U67" i="26" s="1"/>
  <c r="AF60" i="26" s="1"/>
  <c r="S67" i="26"/>
  <c r="AE60" i="26" s="1"/>
  <c r="V65" i="26"/>
  <c r="X106" i="26"/>
  <c r="Y106" i="26" s="1"/>
  <c r="AH73" i="26" s="1"/>
  <c r="W106" i="26"/>
  <c r="AG73" i="26" s="1"/>
  <c r="N33" i="26"/>
  <c r="R33" i="26" s="1"/>
  <c r="V33" i="26" s="1"/>
  <c r="Z22" i="26"/>
  <c r="S64" i="26"/>
  <c r="AE59" i="26" s="1"/>
  <c r="V62" i="26"/>
  <c r="T64" i="26"/>
  <c r="U64" i="26" s="1"/>
  <c r="AF59" i="26" s="1"/>
  <c r="S94" i="26"/>
  <c r="AE69" i="26" s="1"/>
  <c r="T94" i="26"/>
  <c r="U94" i="26" s="1"/>
  <c r="AF69" i="26" s="1"/>
  <c r="V92" i="26"/>
  <c r="N144" i="26"/>
  <c r="R144" i="26" s="1"/>
  <c r="V144" i="26" s="1"/>
  <c r="AF113" i="26"/>
  <c r="S118" i="26"/>
  <c r="AE113" i="26" s="1"/>
  <c r="V116" i="26"/>
  <c r="S139" i="26"/>
  <c r="AE120" i="26" s="1"/>
  <c r="T157" i="26"/>
  <c r="U157" i="26" s="1"/>
  <c r="AF126" i="26" s="1"/>
  <c r="S157" i="26"/>
  <c r="AE126" i="26" s="1"/>
  <c r="V155" i="26"/>
  <c r="S13" i="26"/>
  <c r="AE7" i="26" s="1"/>
  <c r="X133" i="26"/>
  <c r="Y133" i="26" s="1"/>
  <c r="AH118" i="26" s="1"/>
  <c r="S103" i="26"/>
  <c r="AE72" i="26" s="1"/>
  <c r="T103" i="26"/>
  <c r="U103" i="26" s="1"/>
  <c r="AF72" i="26" s="1"/>
  <c r="V101" i="26"/>
  <c r="Z130" i="26"/>
  <c r="W73" i="26"/>
  <c r="AG62" i="26" s="1"/>
  <c r="X73" i="26"/>
  <c r="Y73" i="26" s="1"/>
  <c r="AH62" i="26" s="1"/>
  <c r="Z71" i="26"/>
  <c r="Z129" i="26"/>
  <c r="T79" i="26"/>
  <c r="U79" i="26" s="1"/>
  <c r="AF64" i="26" s="1"/>
  <c r="X97" i="26"/>
  <c r="Y97" i="26" s="1"/>
  <c r="AH70" i="26" s="1"/>
  <c r="W97" i="26"/>
  <c r="AG70" i="26" s="1"/>
  <c r="W82" i="26"/>
  <c r="AG65" i="26" s="1"/>
  <c r="X82" i="26"/>
  <c r="Y82" i="26" s="1"/>
  <c r="AH65" i="26" s="1"/>
  <c r="Z80" i="26"/>
  <c r="S52" i="26"/>
  <c r="AE20" i="26" s="1"/>
  <c r="T163" i="26"/>
  <c r="U163" i="26" s="1"/>
  <c r="AF128" i="26" s="1"/>
  <c r="Z65" i="27" l="1"/>
  <c r="AB16" i="26"/>
  <c r="Z11" i="26"/>
  <c r="Z17" i="26"/>
  <c r="AA19" i="26" s="1"/>
  <c r="W7" i="26"/>
  <c r="AG5" i="26" s="1"/>
  <c r="X7" i="26"/>
  <c r="Y7" i="26" s="1"/>
  <c r="AH5" i="26" s="1"/>
  <c r="W73" i="27"/>
  <c r="AG62" i="27" s="1"/>
  <c r="Z71" i="27"/>
  <c r="AA19" i="27"/>
  <c r="W19" i="26"/>
  <c r="AG9" i="26" s="1"/>
  <c r="X19" i="26"/>
  <c r="Y19" i="26" s="1"/>
  <c r="AH9" i="26" s="1"/>
  <c r="Z74" i="26"/>
  <c r="AB76" i="26" s="1"/>
  <c r="T37" i="27"/>
  <c r="U37" i="27" s="1"/>
  <c r="AF15" i="27" s="1"/>
  <c r="X133" i="27"/>
  <c r="Y133" i="27" s="1"/>
  <c r="AH118" i="27" s="1"/>
  <c r="Z132" i="27"/>
  <c r="W133" i="27"/>
  <c r="AG118" i="27" s="1"/>
  <c r="X25" i="26"/>
  <c r="Y25" i="26" s="1"/>
  <c r="AH11" i="26" s="1"/>
  <c r="W25" i="26"/>
  <c r="AG11" i="26" s="1"/>
  <c r="W97" i="27"/>
  <c r="AG70" i="27" s="1"/>
  <c r="X97" i="27"/>
  <c r="Y97" i="27" s="1"/>
  <c r="AH70" i="27" s="1"/>
  <c r="W109" i="27"/>
  <c r="AG74" i="27" s="1"/>
  <c r="X109" i="27"/>
  <c r="Y109" i="27" s="1"/>
  <c r="AH74" i="27" s="1"/>
  <c r="AD12" i="27"/>
  <c r="Z28" i="27"/>
  <c r="Z27" i="27"/>
  <c r="W151" i="27"/>
  <c r="AG124" i="27" s="1"/>
  <c r="X151" i="27"/>
  <c r="Y151" i="27" s="1"/>
  <c r="AH124" i="27" s="1"/>
  <c r="AB13" i="27"/>
  <c r="AA13" i="27"/>
  <c r="AB76" i="27"/>
  <c r="AA76" i="27"/>
  <c r="Z26" i="27"/>
  <c r="Z137" i="27"/>
  <c r="X139" i="27"/>
  <c r="Y139" i="27" s="1"/>
  <c r="AH120" i="27" s="1"/>
  <c r="W139" i="27"/>
  <c r="AG120" i="27" s="1"/>
  <c r="AD120" i="27"/>
  <c r="W103" i="27"/>
  <c r="AG72" i="27" s="1"/>
  <c r="X103" i="27"/>
  <c r="Y103" i="27" s="1"/>
  <c r="AH72" i="27" s="1"/>
  <c r="X106" i="27"/>
  <c r="Y106" i="27" s="1"/>
  <c r="AH73" i="27" s="1"/>
  <c r="W106" i="27"/>
  <c r="AG73" i="27" s="1"/>
  <c r="X154" i="27"/>
  <c r="Y154" i="27" s="1"/>
  <c r="AH125" i="27" s="1"/>
  <c r="W154" i="27"/>
  <c r="AG125" i="27" s="1"/>
  <c r="W64" i="27"/>
  <c r="AG59" i="27" s="1"/>
  <c r="Z62" i="27"/>
  <c r="X64" i="27"/>
  <c r="Y64" i="27" s="1"/>
  <c r="AH59" i="27" s="1"/>
  <c r="AB136" i="27"/>
  <c r="AA136" i="27"/>
  <c r="W10" i="27"/>
  <c r="AG6" i="27" s="1"/>
  <c r="X10" i="27"/>
  <c r="Y10" i="27" s="1"/>
  <c r="AH6" i="27" s="1"/>
  <c r="Z8" i="27"/>
  <c r="Z139" i="27"/>
  <c r="X37" i="27"/>
  <c r="Y37" i="27" s="1"/>
  <c r="AH15" i="27" s="1"/>
  <c r="W37" i="27"/>
  <c r="AG15" i="27" s="1"/>
  <c r="W94" i="27"/>
  <c r="AG69" i="27" s="1"/>
  <c r="X94" i="27"/>
  <c r="Y94" i="27" s="1"/>
  <c r="AH69" i="27" s="1"/>
  <c r="V45" i="27"/>
  <c r="S46" i="27"/>
  <c r="AE18" i="27" s="1"/>
  <c r="T46" i="27"/>
  <c r="U46" i="27" s="1"/>
  <c r="AF18" i="27" s="1"/>
  <c r="W142" i="27"/>
  <c r="AG121" i="27" s="1"/>
  <c r="X142" i="27"/>
  <c r="Y142" i="27" s="1"/>
  <c r="AH121" i="27" s="1"/>
  <c r="AA118" i="27"/>
  <c r="AB118" i="27"/>
  <c r="AB121" i="27"/>
  <c r="AA121" i="27"/>
  <c r="V51" i="27"/>
  <c r="T52" i="27"/>
  <c r="U52" i="27" s="1"/>
  <c r="AF20" i="27" s="1"/>
  <c r="S52" i="27"/>
  <c r="AE20" i="27" s="1"/>
  <c r="X49" i="27"/>
  <c r="Y49" i="27" s="1"/>
  <c r="AH19" i="27" s="1"/>
  <c r="W49" i="27"/>
  <c r="AG19" i="27" s="1"/>
  <c r="AA25" i="27"/>
  <c r="AB25" i="27"/>
  <c r="AB67" i="27"/>
  <c r="AA67" i="27"/>
  <c r="W22" i="27"/>
  <c r="AG10" i="27" s="1"/>
  <c r="X22" i="27"/>
  <c r="Y22" i="27" s="1"/>
  <c r="AH10" i="27" s="1"/>
  <c r="Z20" i="27"/>
  <c r="W40" i="27"/>
  <c r="AG16" i="27" s="1"/>
  <c r="X40" i="27"/>
  <c r="Y40" i="27" s="1"/>
  <c r="AH16" i="27" s="1"/>
  <c r="Z138" i="27"/>
  <c r="S145" i="27"/>
  <c r="AE122" i="27" s="1"/>
  <c r="V143" i="27"/>
  <c r="T145" i="27"/>
  <c r="U145" i="27" s="1"/>
  <c r="AF122" i="27" s="1"/>
  <c r="AD65" i="27"/>
  <c r="Z81" i="27"/>
  <c r="Z82" i="27"/>
  <c r="X100" i="27"/>
  <c r="Y100" i="27" s="1"/>
  <c r="AH71" i="27" s="1"/>
  <c r="W100" i="27"/>
  <c r="AG71" i="27" s="1"/>
  <c r="X43" i="27"/>
  <c r="Y43" i="27" s="1"/>
  <c r="AH17" i="27" s="1"/>
  <c r="W43" i="27"/>
  <c r="AG17" i="27" s="1"/>
  <c r="X148" i="27"/>
  <c r="Y148" i="27" s="1"/>
  <c r="AH123" i="27" s="1"/>
  <c r="W148" i="27"/>
  <c r="AG123" i="27" s="1"/>
  <c r="AB73" i="27"/>
  <c r="AA73" i="27"/>
  <c r="AB130" i="27"/>
  <c r="AA130" i="27"/>
  <c r="X79" i="27"/>
  <c r="Y79" i="27" s="1"/>
  <c r="AH64" i="27" s="1"/>
  <c r="W79" i="27"/>
  <c r="AG64" i="27" s="1"/>
  <c r="Z77" i="27"/>
  <c r="S37" i="27"/>
  <c r="AE15" i="27" s="1"/>
  <c r="W34" i="27"/>
  <c r="AG14" i="27" s="1"/>
  <c r="X34" i="27"/>
  <c r="Y34" i="27" s="1"/>
  <c r="AH14" i="27" s="1"/>
  <c r="W103" i="26"/>
  <c r="AG72" i="26" s="1"/>
  <c r="X103" i="26"/>
  <c r="Y103" i="26" s="1"/>
  <c r="AH72" i="26" s="1"/>
  <c r="X157" i="26"/>
  <c r="Y157" i="26" s="1"/>
  <c r="AH126" i="26" s="1"/>
  <c r="W157" i="26"/>
  <c r="AG126" i="26" s="1"/>
  <c r="W94" i="26"/>
  <c r="AG69" i="26" s="1"/>
  <c r="X94" i="26"/>
  <c r="Y94" i="26" s="1"/>
  <c r="AH69" i="26" s="1"/>
  <c r="X67" i="26"/>
  <c r="Y67" i="26" s="1"/>
  <c r="AH60" i="26" s="1"/>
  <c r="Z65" i="26"/>
  <c r="W67" i="26"/>
  <c r="AG60" i="26" s="1"/>
  <c r="S145" i="26"/>
  <c r="AE122" i="26" s="1"/>
  <c r="V143" i="26"/>
  <c r="T145" i="26"/>
  <c r="U145" i="26" s="1"/>
  <c r="AF122" i="26" s="1"/>
  <c r="AD11" i="26"/>
  <c r="Z25" i="26"/>
  <c r="Z23" i="26"/>
  <c r="Z24" i="26"/>
  <c r="AB127" i="26"/>
  <c r="AA127" i="26"/>
  <c r="AD65" i="26"/>
  <c r="Z82" i="26"/>
  <c r="AA82" i="26" s="1"/>
  <c r="Z128" i="26"/>
  <c r="X130" i="26"/>
  <c r="Y130" i="26" s="1"/>
  <c r="AH117" i="26" s="1"/>
  <c r="W130" i="26"/>
  <c r="AG117" i="26" s="1"/>
  <c r="W34" i="26"/>
  <c r="AG14" i="26" s="1"/>
  <c r="X34" i="26"/>
  <c r="Y34" i="26" s="1"/>
  <c r="AH14" i="26" s="1"/>
  <c r="X91" i="26"/>
  <c r="Y91" i="26" s="1"/>
  <c r="AH68" i="26" s="1"/>
  <c r="W91" i="26"/>
  <c r="AG68" i="26" s="1"/>
  <c r="W43" i="26"/>
  <c r="AG17" i="26" s="1"/>
  <c r="X43" i="26"/>
  <c r="Y43" i="26" s="1"/>
  <c r="AH17" i="26" s="1"/>
  <c r="AB13" i="26"/>
  <c r="AA13" i="26"/>
  <c r="W151" i="26"/>
  <c r="AG124" i="26" s="1"/>
  <c r="X151" i="26"/>
  <c r="Y151" i="26" s="1"/>
  <c r="AH124" i="26" s="1"/>
  <c r="T91" i="26"/>
  <c r="U91" i="26" s="1"/>
  <c r="AF68" i="26" s="1"/>
  <c r="AA73" i="26"/>
  <c r="AB73" i="26"/>
  <c r="W40" i="26"/>
  <c r="AG16" i="26" s="1"/>
  <c r="X40" i="26"/>
  <c r="Y40" i="26" s="1"/>
  <c r="AH16" i="26" s="1"/>
  <c r="X148" i="26"/>
  <c r="Y148" i="26" s="1"/>
  <c r="AH123" i="26" s="1"/>
  <c r="W148" i="26"/>
  <c r="AG123" i="26" s="1"/>
  <c r="AD118" i="26"/>
  <c r="Z133" i="26"/>
  <c r="Z131" i="26"/>
  <c r="W88" i="26"/>
  <c r="AG67" i="26" s="1"/>
  <c r="X88" i="26"/>
  <c r="Y88" i="26" s="1"/>
  <c r="AH67" i="26" s="1"/>
  <c r="AA121" i="26"/>
  <c r="AB121" i="26"/>
  <c r="W100" i="26"/>
  <c r="AG71" i="26" s="1"/>
  <c r="X100" i="26"/>
  <c r="Y100" i="26" s="1"/>
  <c r="AH71" i="26" s="1"/>
  <c r="S34" i="26"/>
  <c r="AE14" i="26" s="1"/>
  <c r="W10" i="26"/>
  <c r="AG6" i="26" s="1"/>
  <c r="X10" i="26"/>
  <c r="Y10" i="26" s="1"/>
  <c r="AH6" i="26" s="1"/>
  <c r="Z8" i="26"/>
  <c r="X31" i="26"/>
  <c r="Y31" i="26" s="1"/>
  <c r="AH13" i="26" s="1"/>
  <c r="W31" i="26"/>
  <c r="AG13" i="26" s="1"/>
  <c r="X154" i="26"/>
  <c r="Y154" i="26" s="1"/>
  <c r="AH125" i="26" s="1"/>
  <c r="W154" i="26"/>
  <c r="AG125" i="26" s="1"/>
  <c r="AH113" i="26"/>
  <c r="Z116" i="26"/>
  <c r="W118" i="26"/>
  <c r="AG113" i="26" s="1"/>
  <c r="W64" i="26"/>
  <c r="AG59" i="26" s="1"/>
  <c r="Z62" i="26"/>
  <c r="X64" i="26"/>
  <c r="Y64" i="26" s="1"/>
  <c r="AH59" i="26" s="1"/>
  <c r="AA79" i="26"/>
  <c r="AB79" i="26"/>
  <c r="Z83" i="26"/>
  <c r="X85" i="26"/>
  <c r="Y85" i="26" s="1"/>
  <c r="AH66" i="26" s="1"/>
  <c r="W85" i="26"/>
  <c r="AG66" i="26" s="1"/>
  <c r="W55" i="26"/>
  <c r="AG21" i="26" s="1"/>
  <c r="X55" i="26"/>
  <c r="Y55" i="26" s="1"/>
  <c r="AH21" i="26" s="1"/>
  <c r="S37" i="26"/>
  <c r="AE15" i="26" s="1"/>
  <c r="T37" i="26"/>
  <c r="U37" i="26" s="1"/>
  <c r="AF15" i="26" s="1"/>
  <c r="V35" i="26"/>
  <c r="T34" i="26"/>
  <c r="U34" i="26" s="1"/>
  <c r="AF14" i="26" s="1"/>
  <c r="W22" i="26"/>
  <c r="AG10" i="26" s="1"/>
  <c r="X22" i="26"/>
  <c r="Y22" i="26" s="1"/>
  <c r="AH10" i="26" s="1"/>
  <c r="Z20" i="26"/>
  <c r="X160" i="26"/>
  <c r="Y160" i="26" s="1"/>
  <c r="AH127" i="26" s="1"/>
  <c r="W160" i="26"/>
  <c r="AG127" i="26" s="1"/>
  <c r="S91" i="26"/>
  <c r="AE68" i="26" s="1"/>
  <c r="W46" i="26"/>
  <c r="AG18" i="26" s="1"/>
  <c r="X46" i="26"/>
  <c r="Y46" i="26" s="1"/>
  <c r="AH18" i="26" s="1"/>
  <c r="AA76" i="26" l="1"/>
  <c r="AB19" i="26"/>
  <c r="AB82" i="27"/>
  <c r="AA133" i="27"/>
  <c r="AB133" i="27"/>
  <c r="W145" i="27"/>
  <c r="AG122" i="27" s="1"/>
  <c r="X145" i="27"/>
  <c r="Y145" i="27" s="1"/>
  <c r="AH122" i="27" s="1"/>
  <c r="AD121" i="27"/>
  <c r="Z141" i="27"/>
  <c r="Z142" i="27"/>
  <c r="AA28" i="27"/>
  <c r="AB28" i="27"/>
  <c r="AD66" i="27"/>
  <c r="Z84" i="27"/>
  <c r="Z85" i="27"/>
  <c r="Z83" i="27"/>
  <c r="Z140" i="27"/>
  <c r="X46" i="27"/>
  <c r="Y46" i="27" s="1"/>
  <c r="AH18" i="27" s="1"/>
  <c r="W46" i="27"/>
  <c r="AG18" i="27" s="1"/>
  <c r="AA10" i="27"/>
  <c r="AB10" i="27"/>
  <c r="AA82" i="27"/>
  <c r="AB79" i="27"/>
  <c r="AA79" i="27"/>
  <c r="AA22" i="27"/>
  <c r="AB22" i="27"/>
  <c r="X52" i="27"/>
  <c r="Y52" i="27" s="1"/>
  <c r="AH20" i="27" s="1"/>
  <c r="W52" i="27"/>
  <c r="AG20" i="27" s="1"/>
  <c r="AA64" i="27"/>
  <c r="AB64" i="27"/>
  <c r="AB139" i="27"/>
  <c r="AA139" i="27"/>
  <c r="AD13" i="27"/>
  <c r="Z31" i="27"/>
  <c r="Z30" i="27"/>
  <c r="Z29" i="27"/>
  <c r="AA22" i="26"/>
  <c r="AB22" i="26"/>
  <c r="W37" i="26"/>
  <c r="AG15" i="26" s="1"/>
  <c r="X37" i="26"/>
  <c r="Y37" i="26" s="1"/>
  <c r="AH15" i="26" s="1"/>
  <c r="AB118" i="26"/>
  <c r="AA118" i="26"/>
  <c r="AA10" i="26"/>
  <c r="AB10" i="26"/>
  <c r="AB133" i="26"/>
  <c r="AA133" i="26"/>
  <c r="AA25" i="26"/>
  <c r="AB25" i="26"/>
  <c r="AB67" i="26"/>
  <c r="AA67" i="26"/>
  <c r="AB82" i="26"/>
  <c r="AA64" i="26"/>
  <c r="AB64" i="26"/>
  <c r="AB130" i="26"/>
  <c r="AA130" i="26"/>
  <c r="W145" i="26"/>
  <c r="AG122" i="26" s="1"/>
  <c r="X145" i="26"/>
  <c r="Y145" i="26" s="1"/>
  <c r="AH122" i="26" s="1"/>
  <c r="AD12" i="26"/>
  <c r="Z28" i="26"/>
  <c r="Z27" i="26"/>
  <c r="Z26" i="26"/>
  <c r="AD119" i="26"/>
  <c r="Z136" i="26"/>
  <c r="Z134" i="26"/>
  <c r="Z135" i="26"/>
  <c r="AD66" i="26"/>
  <c r="Z85" i="26"/>
  <c r="Z84" i="26"/>
  <c r="AB85" i="26" l="1"/>
  <c r="AD122" i="27"/>
  <c r="Z145" i="27"/>
  <c r="Z144" i="27"/>
  <c r="AA85" i="27"/>
  <c r="AB85" i="27"/>
  <c r="AD67" i="27"/>
  <c r="Z88" i="27"/>
  <c r="Z87" i="27"/>
  <c r="Z86" i="27"/>
  <c r="Z143" i="27"/>
  <c r="AB31" i="27"/>
  <c r="AA31" i="27"/>
  <c r="AD14" i="27"/>
  <c r="Z34" i="27"/>
  <c r="Z33" i="27"/>
  <c r="Z32" i="27"/>
  <c r="AA142" i="27"/>
  <c r="AB142" i="27"/>
  <c r="AD123" i="27"/>
  <c r="Z148" i="27"/>
  <c r="Z147" i="27"/>
  <c r="Z146" i="27"/>
  <c r="AB136" i="26"/>
  <c r="AA136" i="26"/>
  <c r="AD13" i="26"/>
  <c r="Z31" i="26"/>
  <c r="Z30" i="26"/>
  <c r="Z29" i="26"/>
  <c r="AD67" i="26"/>
  <c r="Z88" i="26"/>
  <c r="Z87" i="26"/>
  <c r="Z86" i="26"/>
  <c r="AD120" i="26"/>
  <c r="Z139" i="26"/>
  <c r="Z137" i="26"/>
  <c r="Z138" i="26"/>
  <c r="AA28" i="26"/>
  <c r="AB28" i="26"/>
  <c r="AA85" i="26"/>
  <c r="AA34" i="27" l="1"/>
  <c r="AB34" i="27"/>
  <c r="AA145" i="27"/>
  <c r="AB145" i="27"/>
  <c r="AD69" i="27"/>
  <c r="Z94" i="27"/>
  <c r="Z93" i="27"/>
  <c r="Z92" i="27"/>
  <c r="AD68" i="27"/>
  <c r="Z91" i="27"/>
  <c r="Z90" i="27"/>
  <c r="Z89" i="27"/>
  <c r="AD15" i="27"/>
  <c r="Z37" i="27"/>
  <c r="Z36" i="27"/>
  <c r="Z35" i="27"/>
  <c r="AB148" i="27"/>
  <c r="AA148" i="27"/>
  <c r="AD124" i="27"/>
  <c r="Z151" i="27"/>
  <c r="Z150" i="27"/>
  <c r="Z149" i="27"/>
  <c r="AD16" i="27"/>
  <c r="Z40" i="27"/>
  <c r="Z39" i="27"/>
  <c r="Z38" i="27"/>
  <c r="AB88" i="27"/>
  <c r="AA88" i="27"/>
  <c r="AB139" i="26"/>
  <c r="AA139" i="26"/>
  <c r="AA88" i="26"/>
  <c r="AB88" i="26"/>
  <c r="AD69" i="26"/>
  <c r="Z94" i="26"/>
  <c r="Z93" i="26"/>
  <c r="Z92" i="26"/>
  <c r="AD121" i="26"/>
  <c r="Z142" i="26"/>
  <c r="Z141" i="26"/>
  <c r="Z140" i="26"/>
  <c r="AB31" i="26"/>
  <c r="AA31" i="26"/>
  <c r="AD14" i="26"/>
  <c r="Z34" i="26"/>
  <c r="Z32" i="26"/>
  <c r="Z33" i="26"/>
  <c r="AD68" i="26"/>
  <c r="Z89" i="26"/>
  <c r="Z90" i="26"/>
  <c r="Z91" i="26"/>
  <c r="AD17" i="27" l="1"/>
  <c r="Z42" i="27"/>
  <c r="Z43" i="27"/>
  <c r="Z41" i="27"/>
  <c r="AA151" i="27"/>
  <c r="AB151" i="27"/>
  <c r="AD125" i="27"/>
  <c r="Z153" i="27"/>
  <c r="Z154" i="27"/>
  <c r="Z152" i="27"/>
  <c r="AA40" i="27"/>
  <c r="AB40" i="27"/>
  <c r="AB37" i="27"/>
  <c r="AA37" i="27"/>
  <c r="AA91" i="27"/>
  <c r="AB91" i="27"/>
  <c r="AA94" i="27"/>
  <c r="AB94" i="27"/>
  <c r="AD70" i="27"/>
  <c r="Z97" i="27"/>
  <c r="Z96" i="27"/>
  <c r="Z95" i="27"/>
  <c r="AD122" i="26"/>
  <c r="Z144" i="26"/>
  <c r="Z145" i="26"/>
  <c r="Z143" i="26"/>
  <c r="AA34" i="26"/>
  <c r="AB34" i="26"/>
  <c r="AD16" i="26"/>
  <c r="Z39" i="26"/>
  <c r="Z40" i="26"/>
  <c r="Z38" i="26"/>
  <c r="AB91" i="26"/>
  <c r="AA91" i="26"/>
  <c r="AD15" i="26"/>
  <c r="Z37" i="26"/>
  <c r="Z36" i="26"/>
  <c r="Z35" i="26"/>
  <c r="AA142" i="26"/>
  <c r="AB142" i="26"/>
  <c r="AD123" i="26"/>
  <c r="Z147" i="26"/>
  <c r="Z148" i="26"/>
  <c r="Z146" i="26"/>
  <c r="AA94" i="26"/>
  <c r="AB94" i="26"/>
  <c r="AD70" i="26"/>
  <c r="Z96" i="26"/>
  <c r="Z97" i="26"/>
  <c r="Z95" i="26"/>
  <c r="AA154" i="27" l="1"/>
  <c r="AB154" i="27"/>
  <c r="AD126" i="27"/>
  <c r="Z157" i="27"/>
  <c r="Z155" i="27"/>
  <c r="Z156" i="27"/>
  <c r="AA97" i="27"/>
  <c r="AB97" i="27"/>
  <c r="AD71" i="27"/>
  <c r="Z100" i="27"/>
  <c r="Z99" i="27"/>
  <c r="Z98" i="27"/>
  <c r="AA43" i="27"/>
  <c r="AB43" i="27"/>
  <c r="AD18" i="27"/>
  <c r="Z46" i="27"/>
  <c r="Z44" i="27"/>
  <c r="Z45" i="27"/>
  <c r="AA148" i="26"/>
  <c r="AB148" i="26"/>
  <c r="AD124" i="26"/>
  <c r="Z151" i="26"/>
  <c r="Z150" i="26"/>
  <c r="Z149" i="26"/>
  <c r="AA145" i="26"/>
  <c r="AB145" i="26"/>
  <c r="AB97" i="26"/>
  <c r="AA97" i="26"/>
  <c r="AD71" i="26"/>
  <c r="Z99" i="26"/>
  <c r="Z100" i="26"/>
  <c r="Z98" i="26"/>
  <c r="AA40" i="26"/>
  <c r="AB40" i="26"/>
  <c r="AD17" i="26"/>
  <c r="Z43" i="26"/>
  <c r="Z42" i="26"/>
  <c r="Z41" i="26"/>
  <c r="AA37" i="26"/>
  <c r="AB37" i="26"/>
  <c r="AA46" i="27" l="1"/>
  <c r="AB46" i="27"/>
  <c r="AD127" i="27"/>
  <c r="Z159" i="27"/>
  <c r="Z160" i="27"/>
  <c r="Z158" i="27"/>
  <c r="AB100" i="27"/>
  <c r="AA100" i="27"/>
  <c r="AD72" i="27"/>
  <c r="Z103" i="27"/>
  <c r="Z102" i="27"/>
  <c r="Z101" i="27"/>
  <c r="AA157" i="27"/>
  <c r="AB157" i="27"/>
  <c r="AD19" i="27"/>
  <c r="Z49" i="27"/>
  <c r="Z48" i="27"/>
  <c r="Z47" i="27"/>
  <c r="AB100" i="26"/>
  <c r="AA100" i="26"/>
  <c r="AD72" i="26"/>
  <c r="Z103" i="26"/>
  <c r="Z102" i="26"/>
  <c r="Z101" i="26"/>
  <c r="AA43" i="26"/>
  <c r="AB43" i="26"/>
  <c r="AD18" i="26"/>
  <c r="Z46" i="26"/>
  <c r="Z45" i="26"/>
  <c r="Z44" i="26"/>
  <c r="AA151" i="26"/>
  <c r="AB151" i="26"/>
  <c r="AD125" i="26"/>
  <c r="Z154" i="26"/>
  <c r="Z153" i="26"/>
  <c r="Z152" i="26"/>
  <c r="AA103" i="27" l="1"/>
  <c r="AB103" i="27"/>
  <c r="AB160" i="27"/>
  <c r="AA160" i="27"/>
  <c r="AD128" i="27"/>
  <c r="Z162" i="27"/>
  <c r="Z161" i="27"/>
  <c r="Z163" i="27"/>
  <c r="AD73" i="27"/>
  <c r="Z106" i="27"/>
  <c r="Z105" i="27"/>
  <c r="Z104" i="27"/>
  <c r="AB49" i="27"/>
  <c r="AA49" i="27"/>
  <c r="AD20" i="27"/>
  <c r="Z52" i="27"/>
  <c r="Z50" i="27"/>
  <c r="Z51" i="27"/>
  <c r="AA46" i="26"/>
  <c r="AB46" i="26"/>
  <c r="AA103" i="26"/>
  <c r="AB103" i="26"/>
  <c r="AD73" i="26"/>
  <c r="Z105" i="26"/>
  <c r="Z106" i="26"/>
  <c r="Z104" i="26"/>
  <c r="AD19" i="26"/>
  <c r="Z49" i="26"/>
  <c r="Z47" i="26"/>
  <c r="Z48" i="26"/>
  <c r="AA154" i="26"/>
  <c r="AB154" i="26"/>
  <c r="AD126" i="26"/>
  <c r="Z157" i="26"/>
  <c r="Z156" i="26"/>
  <c r="Z155" i="26"/>
  <c r="AD21" i="27" l="1"/>
  <c r="Z54" i="27"/>
  <c r="Z53" i="27"/>
  <c r="Z55" i="27"/>
  <c r="AB52" i="27"/>
  <c r="AA52" i="27"/>
  <c r="AB163" i="27"/>
  <c r="AA163" i="27"/>
  <c r="AB106" i="27"/>
  <c r="AA106" i="27"/>
  <c r="AD74" i="27"/>
  <c r="Z108" i="27"/>
  <c r="Z109" i="27"/>
  <c r="Z107" i="27"/>
  <c r="AA49" i="26"/>
  <c r="AB49" i="26"/>
  <c r="AD20" i="26"/>
  <c r="Z52" i="26"/>
  <c r="Z50" i="26"/>
  <c r="Z51" i="26"/>
  <c r="AB157" i="26"/>
  <c r="AA157" i="26"/>
  <c r="AD127" i="26"/>
  <c r="Z160" i="26"/>
  <c r="Z159" i="26"/>
  <c r="Z158" i="26"/>
  <c r="AB106" i="26"/>
  <c r="AA106" i="26"/>
  <c r="AD74" i="26"/>
  <c r="Z109" i="26"/>
  <c r="Z108" i="26"/>
  <c r="Z107" i="26"/>
  <c r="AA109" i="27" l="1"/>
  <c r="AB109" i="27"/>
  <c r="AA55" i="27"/>
  <c r="AB55" i="27"/>
  <c r="AA109" i="26"/>
  <c r="AB109" i="26"/>
  <c r="AB160" i="26"/>
  <c r="AA160" i="26"/>
  <c r="AD128" i="26"/>
  <c r="Z162" i="26"/>
  <c r="Z161" i="26"/>
  <c r="Z163" i="26"/>
  <c r="AB52" i="26"/>
  <c r="AA52" i="26"/>
  <c r="AD21" i="26"/>
  <c r="Z54" i="26"/>
  <c r="Z55" i="26"/>
  <c r="Z53" i="26"/>
  <c r="AB163" i="26" l="1"/>
  <c r="AA163" i="26"/>
  <c r="AA55" i="26"/>
  <c r="AB55" i="26"/>
  <c r="J70" i="24" l="1"/>
  <c r="O70" i="24" s="1"/>
  <c r="I70" i="24"/>
  <c r="K69" i="24"/>
  <c r="J69" i="24"/>
  <c r="O69" i="24" s="1"/>
  <c r="J68" i="24"/>
  <c r="O68" i="24" s="1"/>
  <c r="J67" i="24"/>
  <c r="O67" i="24" s="1"/>
  <c r="I67" i="24"/>
  <c r="I66" i="24"/>
  <c r="K65" i="24"/>
  <c r="J65" i="24"/>
  <c r="O65" i="24" s="1"/>
  <c r="D52" i="24"/>
  <c r="D53" i="24" s="1"/>
  <c r="D54" i="24" s="1"/>
  <c r="D55" i="24" s="1"/>
  <c r="D56" i="24" s="1"/>
  <c r="D57" i="24" s="1"/>
  <c r="D58" i="24" s="1"/>
  <c r="D59" i="24" s="1"/>
  <c r="D60" i="24" s="1"/>
  <c r="D61" i="24" s="1"/>
  <c r="D62" i="24" s="1"/>
  <c r="D63" i="24" s="1"/>
  <c r="D64" i="24" s="1"/>
  <c r="D65" i="24" s="1"/>
  <c r="D66" i="24" s="1"/>
  <c r="D67" i="24" s="1"/>
  <c r="D68" i="24" s="1"/>
  <c r="H43" i="25"/>
  <c r="F43" i="25"/>
  <c r="H42" i="25"/>
  <c r="D29" i="25"/>
  <c r="D30" i="25" s="1"/>
  <c r="D31" i="25" s="1"/>
  <c r="D32" i="25" s="1"/>
  <c r="D33" i="25" s="1"/>
  <c r="D34" i="25" s="1"/>
  <c r="D35" i="25" s="1"/>
  <c r="D36" i="25" s="1"/>
  <c r="D37" i="25" s="1"/>
  <c r="D38" i="25" s="1"/>
  <c r="D39" i="25" s="1"/>
  <c r="D40" i="25" s="1"/>
  <c r="D41" i="25" s="1"/>
  <c r="D42" i="25" s="1"/>
  <c r="D43" i="25" s="1"/>
  <c r="D44" i="25" s="1"/>
  <c r="D45" i="25" s="1"/>
  <c r="H44" i="24"/>
  <c r="K44" i="24" s="1"/>
  <c r="G44" i="24"/>
  <c r="F44" i="24"/>
  <c r="I44" i="24" s="1"/>
  <c r="G42" i="24"/>
  <c r="J42" i="24" s="1"/>
  <c r="O42" i="24" s="1"/>
  <c r="D29" i="24"/>
  <c r="D30" i="24" s="1"/>
  <c r="F18" i="25"/>
  <c r="I18" i="25" s="1"/>
  <c r="D6" i="25"/>
  <c r="D7" i="25" s="1"/>
  <c r="D8" i="25" s="1"/>
  <c r="D9" i="25" s="1"/>
  <c r="D10" i="25" s="1"/>
  <c r="D11" i="25" s="1"/>
  <c r="D12" i="25" s="1"/>
  <c r="D13" i="25" s="1"/>
  <c r="D14" i="25" s="1"/>
  <c r="D15" i="25" s="1"/>
  <c r="D16" i="25" s="1"/>
  <c r="D17" i="25" s="1"/>
  <c r="D18" i="25" s="1"/>
  <c r="D19" i="25" s="1"/>
  <c r="D20" i="25" s="1"/>
  <c r="D21" i="25" s="1"/>
  <c r="D22" i="25" s="1"/>
  <c r="G24" i="24"/>
  <c r="J24" i="24" s="1"/>
  <c r="F23" i="24"/>
  <c r="I23" i="24" s="1"/>
  <c r="F18" i="24"/>
  <c r="D6" i="24"/>
  <c r="D7" i="24" s="1"/>
  <c r="K70" i="25"/>
  <c r="P70" i="25" s="1"/>
  <c r="J70" i="25"/>
  <c r="O70" i="25" s="1"/>
  <c r="I70" i="25"/>
  <c r="N70" i="25" s="1"/>
  <c r="K69" i="25"/>
  <c r="P69" i="25" s="1"/>
  <c r="J69" i="25"/>
  <c r="O69" i="25" s="1"/>
  <c r="I69" i="25"/>
  <c r="K68" i="25"/>
  <c r="P68" i="25" s="1"/>
  <c r="J68" i="25"/>
  <c r="O68" i="25" s="1"/>
  <c r="I68" i="25"/>
  <c r="N68" i="25" s="1"/>
  <c r="K67" i="25"/>
  <c r="P67" i="25" s="1"/>
  <c r="J67" i="25"/>
  <c r="O67" i="25" s="1"/>
  <c r="I67" i="25"/>
  <c r="K66" i="25"/>
  <c r="P66" i="25" s="1"/>
  <c r="J66" i="25"/>
  <c r="O66" i="25" s="1"/>
  <c r="I66" i="25"/>
  <c r="K65" i="25"/>
  <c r="P65" i="25" s="1"/>
  <c r="J65" i="25"/>
  <c r="O65" i="25" s="1"/>
  <c r="I65" i="25"/>
  <c r="K64" i="25"/>
  <c r="P64" i="25" s="1"/>
  <c r="J64" i="25"/>
  <c r="O64" i="25" s="1"/>
  <c r="I64" i="25"/>
  <c r="K63" i="25"/>
  <c r="P63" i="25" s="1"/>
  <c r="J63" i="25"/>
  <c r="O63" i="25" s="1"/>
  <c r="I63" i="25"/>
  <c r="K62" i="25"/>
  <c r="P62" i="25" s="1"/>
  <c r="J62" i="25"/>
  <c r="O62" i="25" s="1"/>
  <c r="I62" i="25"/>
  <c r="I61" i="25"/>
  <c r="K61" i="25"/>
  <c r="P61" i="25" s="1"/>
  <c r="J61" i="25"/>
  <c r="O61" i="25" s="1"/>
  <c r="K60" i="25"/>
  <c r="J60" i="25"/>
  <c r="O60" i="25" s="1"/>
  <c r="I60" i="25"/>
  <c r="J59" i="25"/>
  <c r="O59" i="25" s="1"/>
  <c r="K59" i="25"/>
  <c r="P59" i="25" s="1"/>
  <c r="I59" i="25"/>
  <c r="K58" i="25"/>
  <c r="P58" i="25" s="1"/>
  <c r="J58" i="25"/>
  <c r="O58" i="25" s="1"/>
  <c r="I58" i="25"/>
  <c r="K57" i="25"/>
  <c r="P57" i="25" s="1"/>
  <c r="J57" i="25"/>
  <c r="O57" i="25" s="1"/>
  <c r="I57" i="25"/>
  <c r="K56" i="25"/>
  <c r="J56" i="25"/>
  <c r="I56" i="25"/>
  <c r="N56" i="25" s="1"/>
  <c r="K55" i="25"/>
  <c r="J55" i="25"/>
  <c r="O55" i="25" s="1"/>
  <c r="I55" i="25"/>
  <c r="N55" i="25" s="1"/>
  <c r="K54" i="25"/>
  <c r="J54" i="25"/>
  <c r="O54" i="25" s="1"/>
  <c r="I54" i="25"/>
  <c r="K53" i="25"/>
  <c r="P53" i="25" s="1"/>
  <c r="J53" i="25"/>
  <c r="O53" i="25" s="1"/>
  <c r="I53" i="25"/>
  <c r="N53" i="25" s="1"/>
  <c r="K52" i="25"/>
  <c r="Z52" i="25" s="1"/>
  <c r="J52" i="25"/>
  <c r="O52" i="25" s="1"/>
  <c r="I52" i="25"/>
  <c r="K51" i="25"/>
  <c r="J51" i="25"/>
  <c r="O51" i="25" s="1"/>
  <c r="I51" i="25"/>
  <c r="N51" i="25" s="1"/>
  <c r="K47" i="25"/>
  <c r="J47" i="25"/>
  <c r="I47" i="25"/>
  <c r="K46" i="25"/>
  <c r="J46" i="25"/>
  <c r="I46" i="25"/>
  <c r="K45" i="25"/>
  <c r="P45" i="25" s="1"/>
  <c r="J45" i="25"/>
  <c r="I45" i="25"/>
  <c r="K44" i="25"/>
  <c r="P44" i="25" s="1"/>
  <c r="J44" i="25"/>
  <c r="I44" i="25"/>
  <c r="K43" i="25"/>
  <c r="P43" i="25" s="1"/>
  <c r="J43" i="25"/>
  <c r="I43" i="25"/>
  <c r="K42" i="25"/>
  <c r="P42" i="25" s="1"/>
  <c r="J42" i="25"/>
  <c r="I42" i="25"/>
  <c r="K41" i="25"/>
  <c r="P41" i="25" s="1"/>
  <c r="J41" i="25"/>
  <c r="I41" i="25"/>
  <c r="K40" i="25"/>
  <c r="P40" i="25" s="1"/>
  <c r="J40" i="25"/>
  <c r="I40" i="25"/>
  <c r="K39" i="25"/>
  <c r="P39" i="25" s="1"/>
  <c r="J39" i="25"/>
  <c r="I39" i="25"/>
  <c r="K38" i="25"/>
  <c r="P38" i="25" s="1"/>
  <c r="J38" i="25"/>
  <c r="I38" i="25"/>
  <c r="K37" i="25"/>
  <c r="P37" i="25" s="1"/>
  <c r="J37" i="25"/>
  <c r="I37" i="25"/>
  <c r="K36" i="25"/>
  <c r="P36" i="25" s="1"/>
  <c r="J36" i="25"/>
  <c r="I36" i="25"/>
  <c r="K35" i="25"/>
  <c r="J35" i="25"/>
  <c r="O35" i="25" s="1"/>
  <c r="I35" i="25"/>
  <c r="K34" i="25"/>
  <c r="P34" i="25" s="1"/>
  <c r="J34" i="25"/>
  <c r="O34" i="25" s="1"/>
  <c r="I34" i="25"/>
  <c r="N34" i="25" s="1"/>
  <c r="K33" i="25"/>
  <c r="P33" i="25" s="1"/>
  <c r="J33" i="25"/>
  <c r="O33" i="25" s="1"/>
  <c r="I33" i="25"/>
  <c r="N33" i="25" s="1"/>
  <c r="K32" i="25"/>
  <c r="P32" i="25" s="1"/>
  <c r="J32" i="25"/>
  <c r="I32" i="25"/>
  <c r="K31" i="25"/>
  <c r="P31" i="25" s="1"/>
  <c r="J31" i="25"/>
  <c r="O31" i="25" s="1"/>
  <c r="I31" i="25"/>
  <c r="K30" i="25"/>
  <c r="J30" i="25"/>
  <c r="I30" i="25"/>
  <c r="N30" i="25" s="1"/>
  <c r="K29" i="25"/>
  <c r="J29" i="25"/>
  <c r="O29" i="25" s="1"/>
  <c r="I29" i="25"/>
  <c r="N29" i="25" s="1"/>
  <c r="K28" i="25"/>
  <c r="P28" i="25" s="1"/>
  <c r="J28" i="25"/>
  <c r="O28" i="25" s="1"/>
  <c r="I28" i="25"/>
  <c r="N28" i="25" s="1"/>
  <c r="K24" i="25"/>
  <c r="P24" i="25" s="1"/>
  <c r="I24" i="25"/>
  <c r="J24" i="25"/>
  <c r="K23" i="25"/>
  <c r="P23" i="25" s="1"/>
  <c r="I23" i="25"/>
  <c r="J23" i="25"/>
  <c r="O23" i="25" s="1"/>
  <c r="K22" i="25"/>
  <c r="P22" i="25" s="1"/>
  <c r="I22" i="25"/>
  <c r="J22" i="25"/>
  <c r="O22" i="25" s="1"/>
  <c r="K21" i="25"/>
  <c r="P21" i="25" s="1"/>
  <c r="I21" i="25"/>
  <c r="J21" i="25"/>
  <c r="O21" i="25" s="1"/>
  <c r="K20" i="25"/>
  <c r="P20" i="25" s="1"/>
  <c r="I20" i="25"/>
  <c r="J20" i="25"/>
  <c r="O20" i="25" s="1"/>
  <c r="K19" i="25"/>
  <c r="P19" i="25" s="1"/>
  <c r="I19" i="25"/>
  <c r="J19" i="25"/>
  <c r="O19" i="25" s="1"/>
  <c r="K18" i="25"/>
  <c r="P18" i="25" s="1"/>
  <c r="J18" i="25"/>
  <c r="O18" i="25" s="1"/>
  <c r="K17" i="25"/>
  <c r="P17" i="25" s="1"/>
  <c r="I17" i="25"/>
  <c r="J17" i="25"/>
  <c r="O17" i="25" s="1"/>
  <c r="K16" i="25"/>
  <c r="P16" i="25" s="1"/>
  <c r="I16" i="25"/>
  <c r="J16" i="25"/>
  <c r="O16" i="25" s="1"/>
  <c r="K15" i="25"/>
  <c r="P15" i="25" s="1"/>
  <c r="I15" i="25"/>
  <c r="J15" i="25"/>
  <c r="O15" i="25" s="1"/>
  <c r="K14" i="25"/>
  <c r="P14" i="25" s="1"/>
  <c r="I14" i="25"/>
  <c r="J14" i="25"/>
  <c r="O14" i="25" s="1"/>
  <c r="K13" i="25"/>
  <c r="P13" i="25" s="1"/>
  <c r="I13" i="25"/>
  <c r="J13" i="25"/>
  <c r="O13" i="25" s="1"/>
  <c r="K12" i="25"/>
  <c r="J12" i="25"/>
  <c r="O12" i="25" s="1"/>
  <c r="I12" i="25"/>
  <c r="K11" i="25"/>
  <c r="P11" i="25" s="1"/>
  <c r="J11" i="25"/>
  <c r="I11" i="25"/>
  <c r="N11" i="25" s="1"/>
  <c r="K10" i="25"/>
  <c r="J10" i="25"/>
  <c r="O10" i="25" s="1"/>
  <c r="I10" i="25"/>
  <c r="N10" i="25" s="1"/>
  <c r="K9" i="25"/>
  <c r="P9" i="25" s="1"/>
  <c r="J9" i="25"/>
  <c r="O9" i="25" s="1"/>
  <c r="I9" i="25"/>
  <c r="N9" i="25" s="1"/>
  <c r="K8" i="25"/>
  <c r="P8" i="25" s="1"/>
  <c r="J8" i="25"/>
  <c r="I8" i="25"/>
  <c r="K7" i="25"/>
  <c r="P7" i="25" s="1"/>
  <c r="J7" i="25"/>
  <c r="I7" i="25"/>
  <c r="N7" i="25" s="1"/>
  <c r="K6" i="25"/>
  <c r="J6" i="25"/>
  <c r="O6" i="25" s="1"/>
  <c r="I6" i="25"/>
  <c r="N6" i="25" s="1"/>
  <c r="K5" i="25"/>
  <c r="P5" i="25" s="1"/>
  <c r="J5" i="25"/>
  <c r="O5" i="25" s="1"/>
  <c r="I5" i="25"/>
  <c r="K70" i="24"/>
  <c r="I69" i="24"/>
  <c r="K68" i="24"/>
  <c r="I68" i="24"/>
  <c r="K67" i="24"/>
  <c r="K66" i="24"/>
  <c r="J66" i="24"/>
  <c r="O66" i="24" s="1"/>
  <c r="I65" i="24"/>
  <c r="K64" i="24"/>
  <c r="J64" i="24"/>
  <c r="O64" i="24" s="1"/>
  <c r="I64" i="24"/>
  <c r="K63" i="24"/>
  <c r="J63" i="24"/>
  <c r="O63" i="24" s="1"/>
  <c r="I63" i="24"/>
  <c r="K62" i="24"/>
  <c r="P62" i="24" s="1"/>
  <c r="J62" i="24"/>
  <c r="O62" i="24" s="1"/>
  <c r="I62" i="24"/>
  <c r="K61" i="24"/>
  <c r="P61" i="24" s="1"/>
  <c r="J61" i="24"/>
  <c r="O61" i="24" s="1"/>
  <c r="I61" i="24"/>
  <c r="K60" i="24"/>
  <c r="J60" i="24"/>
  <c r="O60" i="24" s="1"/>
  <c r="I60" i="24"/>
  <c r="K59" i="24"/>
  <c r="J59" i="24"/>
  <c r="O59" i="24" s="1"/>
  <c r="I59" i="24"/>
  <c r="K58" i="24"/>
  <c r="P58" i="24" s="1"/>
  <c r="J58" i="24"/>
  <c r="O58" i="24" s="1"/>
  <c r="I58" i="24"/>
  <c r="N57" i="24"/>
  <c r="K57" i="24"/>
  <c r="P57" i="24" s="1"/>
  <c r="J57" i="24"/>
  <c r="I57" i="24"/>
  <c r="K56" i="24"/>
  <c r="J56" i="24"/>
  <c r="O56" i="24" s="1"/>
  <c r="I56" i="24"/>
  <c r="N56" i="24" s="1"/>
  <c r="K55" i="24"/>
  <c r="P55" i="24" s="1"/>
  <c r="J55" i="24"/>
  <c r="I55" i="24"/>
  <c r="K54" i="24"/>
  <c r="P54" i="24" s="1"/>
  <c r="J54" i="24"/>
  <c r="I54" i="24"/>
  <c r="N54" i="24" s="1"/>
  <c r="K53" i="24"/>
  <c r="J53" i="24"/>
  <c r="I53" i="24"/>
  <c r="N53" i="24" s="1"/>
  <c r="K52" i="24"/>
  <c r="P52" i="24" s="1"/>
  <c r="J52" i="24"/>
  <c r="I52" i="24"/>
  <c r="N52" i="24" s="1"/>
  <c r="K51" i="24"/>
  <c r="P51" i="24" s="1"/>
  <c r="J51" i="24"/>
  <c r="O51" i="24" s="1"/>
  <c r="I51" i="24"/>
  <c r="N51" i="24" s="1"/>
  <c r="K47" i="24"/>
  <c r="J47" i="24"/>
  <c r="O47" i="24" s="1"/>
  <c r="I47" i="24"/>
  <c r="K46" i="24"/>
  <c r="J46" i="24"/>
  <c r="O46" i="24" s="1"/>
  <c r="I46" i="24"/>
  <c r="K45" i="24"/>
  <c r="J45" i="24"/>
  <c r="O45" i="24" s="1"/>
  <c r="I45" i="24"/>
  <c r="J44" i="24"/>
  <c r="O44" i="24" s="1"/>
  <c r="K43" i="24"/>
  <c r="J43" i="24"/>
  <c r="I43" i="24"/>
  <c r="N43" i="24" s="1"/>
  <c r="I42" i="24"/>
  <c r="K42" i="24"/>
  <c r="P42" i="24" s="1"/>
  <c r="K41" i="24"/>
  <c r="P41" i="24" s="1"/>
  <c r="J41" i="24"/>
  <c r="O41" i="24" s="1"/>
  <c r="I41" i="24"/>
  <c r="K40" i="24"/>
  <c r="P40" i="24" s="1"/>
  <c r="J40" i="24"/>
  <c r="O40" i="24" s="1"/>
  <c r="I40" i="24"/>
  <c r="K39" i="24"/>
  <c r="P39" i="24" s="1"/>
  <c r="J39" i="24"/>
  <c r="O39" i="24" s="1"/>
  <c r="I39" i="24"/>
  <c r="K38" i="24"/>
  <c r="P38" i="24" s="1"/>
  <c r="J38" i="24"/>
  <c r="O38" i="24" s="1"/>
  <c r="I38" i="24"/>
  <c r="K37" i="24"/>
  <c r="P37" i="24" s="1"/>
  <c r="J37" i="24"/>
  <c r="O37" i="24" s="1"/>
  <c r="I37" i="24"/>
  <c r="K36" i="24"/>
  <c r="P36" i="24" s="1"/>
  <c r="J36" i="24"/>
  <c r="O36" i="24" s="1"/>
  <c r="I36" i="24"/>
  <c r="K35" i="24"/>
  <c r="P35" i="24" s="1"/>
  <c r="J35" i="24"/>
  <c r="O35" i="24" s="1"/>
  <c r="I35" i="24"/>
  <c r="K34" i="24"/>
  <c r="J34" i="24"/>
  <c r="O34" i="24" s="1"/>
  <c r="I34" i="24"/>
  <c r="K33" i="24"/>
  <c r="P33" i="24" s="1"/>
  <c r="J33" i="24"/>
  <c r="I33" i="24"/>
  <c r="K32" i="24"/>
  <c r="J32" i="24"/>
  <c r="O32" i="24" s="1"/>
  <c r="I32" i="24"/>
  <c r="K31" i="24"/>
  <c r="P31" i="24" s="1"/>
  <c r="J31" i="24"/>
  <c r="I31" i="24"/>
  <c r="K30" i="24"/>
  <c r="J30" i="24"/>
  <c r="O30" i="24" s="1"/>
  <c r="I30" i="24"/>
  <c r="N30" i="24" s="1"/>
  <c r="K29" i="24"/>
  <c r="P29" i="24" s="1"/>
  <c r="J29" i="24"/>
  <c r="O29" i="24" s="1"/>
  <c r="I29" i="24"/>
  <c r="N29" i="24" s="1"/>
  <c r="K28" i="24"/>
  <c r="P28" i="24" s="1"/>
  <c r="J28" i="24"/>
  <c r="O28" i="24" s="1"/>
  <c r="I28" i="24"/>
  <c r="N28" i="24" s="1"/>
  <c r="K24" i="24"/>
  <c r="P24" i="24" s="1"/>
  <c r="I24" i="24"/>
  <c r="K23" i="24"/>
  <c r="P23" i="24" s="1"/>
  <c r="J23" i="24"/>
  <c r="K22" i="24"/>
  <c r="P22" i="24" s="1"/>
  <c r="J22" i="24"/>
  <c r="I22" i="24"/>
  <c r="K21" i="24"/>
  <c r="P21" i="24" s="1"/>
  <c r="J21" i="24"/>
  <c r="I21" i="24"/>
  <c r="K20" i="24"/>
  <c r="P20" i="24" s="1"/>
  <c r="J20" i="24"/>
  <c r="I20" i="24"/>
  <c r="K19" i="24"/>
  <c r="P19" i="24" s="1"/>
  <c r="J19" i="24"/>
  <c r="I19" i="24"/>
  <c r="K18" i="24"/>
  <c r="P18" i="24" s="1"/>
  <c r="J18" i="24"/>
  <c r="I18" i="24"/>
  <c r="J17" i="24"/>
  <c r="O17" i="24" s="1"/>
  <c r="I17" i="24"/>
  <c r="K17" i="24"/>
  <c r="J16" i="24"/>
  <c r="O16" i="24" s="1"/>
  <c r="I16" i="24"/>
  <c r="K16" i="24"/>
  <c r="J15" i="24"/>
  <c r="O15" i="24" s="1"/>
  <c r="I15" i="24"/>
  <c r="K15" i="24"/>
  <c r="J14" i="24"/>
  <c r="O14" i="24" s="1"/>
  <c r="I14" i="24"/>
  <c r="K14" i="24"/>
  <c r="K13" i="24"/>
  <c r="P13" i="24" s="1"/>
  <c r="J13" i="24"/>
  <c r="O13" i="24" s="1"/>
  <c r="I13" i="24"/>
  <c r="K12" i="24"/>
  <c r="P12" i="24" s="1"/>
  <c r="J12" i="24"/>
  <c r="O12" i="24" s="1"/>
  <c r="I12" i="24"/>
  <c r="N12" i="24" s="1"/>
  <c r="K11" i="24"/>
  <c r="P11" i="24" s="1"/>
  <c r="J11" i="24"/>
  <c r="O11" i="24" s="1"/>
  <c r="I11" i="24"/>
  <c r="K10" i="24"/>
  <c r="P10" i="24" s="1"/>
  <c r="J10" i="24"/>
  <c r="I10" i="24"/>
  <c r="N10" i="24" s="1"/>
  <c r="K9" i="24"/>
  <c r="J9" i="24"/>
  <c r="O9" i="24" s="1"/>
  <c r="I9" i="24"/>
  <c r="N9" i="24" s="1"/>
  <c r="K8" i="24"/>
  <c r="P8" i="24" s="1"/>
  <c r="J8" i="24"/>
  <c r="O8" i="24" s="1"/>
  <c r="I8" i="24"/>
  <c r="K7" i="24"/>
  <c r="P7" i="24" s="1"/>
  <c r="J7" i="24"/>
  <c r="I7" i="24"/>
  <c r="N7" i="24" s="1"/>
  <c r="K6" i="24"/>
  <c r="J6" i="24"/>
  <c r="O6" i="24" s="1"/>
  <c r="I6" i="24"/>
  <c r="N6" i="24" s="1"/>
  <c r="K5" i="24"/>
  <c r="P5" i="24" s="1"/>
  <c r="J5" i="24"/>
  <c r="I5" i="24"/>
  <c r="N5" i="24" s="1"/>
  <c r="L54" i="25" l="1"/>
  <c r="Y52" i="24"/>
  <c r="X52" i="24"/>
  <c r="D70" i="24"/>
  <c r="D69" i="24"/>
  <c r="M59" i="24"/>
  <c r="Y53" i="24"/>
  <c r="M52" i="25"/>
  <c r="Z29" i="25"/>
  <c r="M35" i="25"/>
  <c r="M15" i="25"/>
  <c r="Y56" i="25"/>
  <c r="D47" i="25"/>
  <c r="D46" i="25"/>
  <c r="Z30" i="25"/>
  <c r="Z32" i="25"/>
  <c r="Y30" i="25"/>
  <c r="U33" i="25"/>
  <c r="X29" i="25"/>
  <c r="U52" i="24"/>
  <c r="M37" i="24"/>
  <c r="D31" i="24"/>
  <c r="D32" i="24" s="1"/>
  <c r="D33" i="24" s="1"/>
  <c r="D34" i="24" s="1"/>
  <c r="X34" i="24" s="1"/>
  <c r="Y30" i="24"/>
  <c r="Z29" i="24"/>
  <c r="M35" i="24"/>
  <c r="M31" i="25"/>
  <c r="P52" i="25"/>
  <c r="U53" i="25" s="1"/>
  <c r="M54" i="25"/>
  <c r="Y31" i="25"/>
  <c r="Y53" i="25"/>
  <c r="L53" i="25"/>
  <c r="Q53" i="25"/>
  <c r="Y29" i="25"/>
  <c r="L33" i="25"/>
  <c r="N54" i="25"/>
  <c r="Y6" i="25"/>
  <c r="Y7" i="25"/>
  <c r="M10" i="25"/>
  <c r="M19" i="25"/>
  <c r="L29" i="25"/>
  <c r="O30" i="25"/>
  <c r="T30" i="25" s="1"/>
  <c r="Y32" i="25"/>
  <c r="U34" i="25"/>
  <c r="L51" i="25"/>
  <c r="Y52" i="25"/>
  <c r="Y55" i="25"/>
  <c r="Z6" i="25"/>
  <c r="Q9" i="25"/>
  <c r="M12" i="25"/>
  <c r="M18" i="25"/>
  <c r="P29" i="25"/>
  <c r="U29" i="25" s="1"/>
  <c r="X30" i="25"/>
  <c r="N31" i="25"/>
  <c r="Q31" i="25" s="1"/>
  <c r="U32" i="25"/>
  <c r="X33" i="25"/>
  <c r="N35" i="25"/>
  <c r="Z53" i="25"/>
  <c r="X53" i="25"/>
  <c r="Z57" i="25"/>
  <c r="D24" i="25"/>
  <c r="D23" i="25"/>
  <c r="M16" i="25"/>
  <c r="M5" i="25"/>
  <c r="Z7" i="25"/>
  <c r="Z8" i="25"/>
  <c r="M24" i="25"/>
  <c r="T6" i="25"/>
  <c r="Y8" i="25"/>
  <c r="L11" i="25"/>
  <c r="M22" i="25"/>
  <c r="M64" i="24"/>
  <c r="L31" i="24"/>
  <c r="L33" i="24"/>
  <c r="M68" i="24"/>
  <c r="Z6" i="24"/>
  <c r="M14" i="24"/>
  <c r="M32" i="24"/>
  <c r="M34" i="24"/>
  <c r="M39" i="24"/>
  <c r="M41" i="24"/>
  <c r="L12" i="24"/>
  <c r="L29" i="24"/>
  <c r="Y29" i="24"/>
  <c r="L52" i="24"/>
  <c r="O53" i="24"/>
  <c r="M28" i="24"/>
  <c r="L30" i="24"/>
  <c r="L35" i="24"/>
  <c r="S53" i="24"/>
  <c r="O52" i="24"/>
  <c r="T52" i="24" s="1"/>
  <c r="T29" i="24"/>
  <c r="T30" i="24"/>
  <c r="N35" i="24"/>
  <c r="Q35" i="24" s="1"/>
  <c r="R51" i="24"/>
  <c r="M16" i="24"/>
  <c r="X29" i="24"/>
  <c r="AA29" i="24" s="1"/>
  <c r="M31" i="24"/>
  <c r="N31" i="24"/>
  <c r="M33" i="24"/>
  <c r="N33" i="24"/>
  <c r="M62" i="24"/>
  <c r="M66" i="24"/>
  <c r="M70" i="24"/>
  <c r="D8" i="24"/>
  <c r="D9" i="24" s="1"/>
  <c r="D10" i="24" s="1"/>
  <c r="D11" i="24" s="1"/>
  <c r="D12" i="24" s="1"/>
  <c r="D13" i="24" s="1"/>
  <c r="D14" i="24" s="1"/>
  <c r="D15" i="24" s="1"/>
  <c r="D16" i="24" s="1"/>
  <c r="D17" i="24" s="1"/>
  <c r="D18" i="24" s="1"/>
  <c r="D19" i="24" s="1"/>
  <c r="D20" i="24" s="1"/>
  <c r="D21" i="24" s="1"/>
  <c r="D22" i="24" s="1"/>
  <c r="Z7" i="24"/>
  <c r="L6" i="24"/>
  <c r="P6" i="24"/>
  <c r="Q6" i="24" s="1"/>
  <c r="M11" i="24"/>
  <c r="X6" i="24"/>
  <c r="X9" i="25"/>
  <c r="U9" i="25"/>
  <c r="U8" i="25"/>
  <c r="T10" i="25"/>
  <c r="Z9" i="25"/>
  <c r="O7" i="25"/>
  <c r="Q7" i="25" s="1"/>
  <c r="Y9" i="25"/>
  <c r="M13" i="25"/>
  <c r="L20" i="25"/>
  <c r="N20" i="25"/>
  <c r="L6" i="25"/>
  <c r="M11" i="25"/>
  <c r="L12" i="25"/>
  <c r="N12" i="25"/>
  <c r="S30" i="25"/>
  <c r="Q33" i="25"/>
  <c r="T34" i="25"/>
  <c r="O8" i="25"/>
  <c r="L14" i="25"/>
  <c r="N14" i="25"/>
  <c r="Q28" i="25"/>
  <c r="R28" i="25"/>
  <c r="L5" i="25"/>
  <c r="N5" i="25"/>
  <c r="M6" i="25"/>
  <c r="X6" i="25"/>
  <c r="L7" i="25"/>
  <c r="M8" i="25"/>
  <c r="L9" i="25"/>
  <c r="Z10" i="25"/>
  <c r="P10" i="25"/>
  <c r="R10" i="25" s="1"/>
  <c r="O11" i="25"/>
  <c r="Q11" i="25" s="1"/>
  <c r="L13" i="25"/>
  <c r="N13" i="25"/>
  <c r="M14" i="25"/>
  <c r="L15" i="25"/>
  <c r="N15" i="25"/>
  <c r="L17" i="25"/>
  <c r="N17" i="25"/>
  <c r="L19" i="25"/>
  <c r="N19" i="25"/>
  <c r="M20" i="25"/>
  <c r="L21" i="25"/>
  <c r="N21" i="25"/>
  <c r="L23" i="25"/>
  <c r="N23" i="25"/>
  <c r="O24" i="25"/>
  <c r="T29" i="25"/>
  <c r="O32" i="25"/>
  <c r="T32" i="25" s="1"/>
  <c r="M32" i="25"/>
  <c r="R34" i="25"/>
  <c r="Q34" i="25"/>
  <c r="S34" i="25"/>
  <c r="P6" i="25"/>
  <c r="U6" i="25" s="1"/>
  <c r="X10" i="25"/>
  <c r="L16" i="25"/>
  <c r="N16" i="25"/>
  <c r="M17" i="25"/>
  <c r="L18" i="25"/>
  <c r="N18" i="25"/>
  <c r="M21" i="25"/>
  <c r="L22" i="25"/>
  <c r="N22" i="25"/>
  <c r="M23" i="25"/>
  <c r="L24" i="25"/>
  <c r="N24" i="25"/>
  <c r="U41" i="25"/>
  <c r="M7" i="25"/>
  <c r="S7" i="25"/>
  <c r="X7" i="25"/>
  <c r="X8" i="25"/>
  <c r="L8" i="25"/>
  <c r="N8" i="25"/>
  <c r="M9" i="25"/>
  <c r="R9" i="25"/>
  <c r="L10" i="25"/>
  <c r="P12" i="25"/>
  <c r="T31" i="25"/>
  <c r="R31" i="25"/>
  <c r="U44" i="25"/>
  <c r="X34" i="25"/>
  <c r="T35" i="25"/>
  <c r="M28" i="25"/>
  <c r="P30" i="25"/>
  <c r="Z31" i="25"/>
  <c r="Z33" i="25"/>
  <c r="Y33" i="25"/>
  <c r="Y34" i="25"/>
  <c r="Y35" i="25"/>
  <c r="M36" i="25"/>
  <c r="X36" i="25"/>
  <c r="L36" i="25"/>
  <c r="N36" i="25"/>
  <c r="M37" i="25"/>
  <c r="X37" i="25"/>
  <c r="L37" i="25"/>
  <c r="N37" i="25"/>
  <c r="M38" i="25"/>
  <c r="X38" i="25"/>
  <c r="L38" i="25"/>
  <c r="N38" i="25"/>
  <c r="M39" i="25"/>
  <c r="X39" i="25"/>
  <c r="L39" i="25"/>
  <c r="N39" i="25"/>
  <c r="M40" i="25"/>
  <c r="X40" i="25"/>
  <c r="L40" i="25"/>
  <c r="N40" i="25"/>
  <c r="M41" i="25"/>
  <c r="X41" i="25"/>
  <c r="L41" i="25"/>
  <c r="N41" i="25"/>
  <c r="M42" i="25"/>
  <c r="X42" i="25"/>
  <c r="L42" i="25"/>
  <c r="N42" i="25"/>
  <c r="M43" i="25"/>
  <c r="X43" i="25"/>
  <c r="L43" i="25"/>
  <c r="N43" i="25"/>
  <c r="M44" i="25"/>
  <c r="X44" i="25"/>
  <c r="L44" i="25"/>
  <c r="N44" i="25"/>
  <c r="M45" i="25"/>
  <c r="L45" i="25"/>
  <c r="N45" i="25"/>
  <c r="M46" i="25"/>
  <c r="L46" i="25"/>
  <c r="N46" i="25"/>
  <c r="U31" i="25"/>
  <c r="Z34" i="25"/>
  <c r="P35" i="25"/>
  <c r="U35" i="25" s="1"/>
  <c r="Z35" i="25"/>
  <c r="Y36" i="25"/>
  <c r="O36" i="25"/>
  <c r="T36" i="25" s="1"/>
  <c r="Y37" i="25"/>
  <c r="O37" i="25"/>
  <c r="Y38" i="25"/>
  <c r="O38" i="25"/>
  <c r="Y39" i="25"/>
  <c r="O39" i="25"/>
  <c r="Y40" i="25"/>
  <c r="O40" i="25"/>
  <c r="Y41" i="25"/>
  <c r="O41" i="25"/>
  <c r="Y42" i="25"/>
  <c r="O42" i="25"/>
  <c r="Y43" i="25"/>
  <c r="O43" i="25"/>
  <c r="Y44" i="25"/>
  <c r="O44" i="25"/>
  <c r="O45" i="25"/>
  <c r="O46" i="25"/>
  <c r="S29" i="25"/>
  <c r="M29" i="25"/>
  <c r="L30" i="25"/>
  <c r="X32" i="25"/>
  <c r="L32" i="25"/>
  <c r="N32" i="25"/>
  <c r="S33" i="25" s="1"/>
  <c r="R33" i="25"/>
  <c r="M33" i="25"/>
  <c r="L34" i="25"/>
  <c r="P47" i="25"/>
  <c r="Z36" i="25"/>
  <c r="Z37" i="25"/>
  <c r="Z38" i="25"/>
  <c r="Z39" i="25"/>
  <c r="Z40" i="25"/>
  <c r="Z41" i="25"/>
  <c r="Z42" i="25"/>
  <c r="Z43" i="25"/>
  <c r="Z44" i="25"/>
  <c r="N47" i="25"/>
  <c r="M47" i="25"/>
  <c r="L47" i="25"/>
  <c r="P55" i="25"/>
  <c r="X57" i="25"/>
  <c r="L57" i="25"/>
  <c r="N57" i="25"/>
  <c r="N58" i="25"/>
  <c r="M58" i="25"/>
  <c r="L59" i="25"/>
  <c r="N59" i="25"/>
  <c r="M59" i="25"/>
  <c r="P60" i="25"/>
  <c r="L62" i="25"/>
  <c r="N62" i="25"/>
  <c r="M62" i="25"/>
  <c r="L65" i="25"/>
  <c r="N65" i="25"/>
  <c r="M65" i="25"/>
  <c r="L69" i="25"/>
  <c r="N69" i="25"/>
  <c r="M69" i="25"/>
  <c r="O47" i="25"/>
  <c r="P51" i="25"/>
  <c r="L28" i="25"/>
  <c r="M30" i="25"/>
  <c r="L31" i="25"/>
  <c r="X31" i="25"/>
  <c r="M34" i="25"/>
  <c r="L35" i="25"/>
  <c r="X35" i="25"/>
  <c r="P46" i="25"/>
  <c r="X52" i="25"/>
  <c r="L52" i="25"/>
  <c r="N52" i="25"/>
  <c r="S53" i="25" s="1"/>
  <c r="M55" i="25"/>
  <c r="L60" i="25"/>
  <c r="M60" i="25"/>
  <c r="L61" i="25"/>
  <c r="N61" i="25"/>
  <c r="M61" i="25"/>
  <c r="L63" i="25"/>
  <c r="N63" i="25"/>
  <c r="M63" i="25"/>
  <c r="L64" i="25"/>
  <c r="N64" i="25"/>
  <c r="M64" i="25"/>
  <c r="L66" i="25"/>
  <c r="N66" i="25"/>
  <c r="M66" i="25"/>
  <c r="L67" i="25"/>
  <c r="N67" i="25"/>
  <c r="M67" i="25"/>
  <c r="M51" i="25"/>
  <c r="T52" i="25"/>
  <c r="R53" i="25"/>
  <c r="M53" i="25"/>
  <c r="T53" i="25"/>
  <c r="P54" i="25"/>
  <c r="P56" i="25"/>
  <c r="Z56" i="25"/>
  <c r="M57" i="25"/>
  <c r="Z58" i="25"/>
  <c r="L58" i="25"/>
  <c r="N60" i="25"/>
  <c r="M68" i="25"/>
  <c r="M70" i="25"/>
  <c r="L55" i="25"/>
  <c r="M56" i="25"/>
  <c r="O56" i="25"/>
  <c r="Y57" i="25"/>
  <c r="L68" i="25"/>
  <c r="Q68" i="25"/>
  <c r="L70" i="25"/>
  <c r="Q70" i="25"/>
  <c r="R68" i="25"/>
  <c r="R70" i="25"/>
  <c r="L56" i="25"/>
  <c r="X56" i="25"/>
  <c r="S7" i="24"/>
  <c r="Y11" i="24"/>
  <c r="L13" i="24"/>
  <c r="N13" i="24"/>
  <c r="P15" i="24"/>
  <c r="M7" i="24"/>
  <c r="X7" i="24"/>
  <c r="L7" i="24"/>
  <c r="Y9" i="24"/>
  <c r="L15" i="24"/>
  <c r="N15" i="24"/>
  <c r="M22" i="24"/>
  <c r="N22" i="24"/>
  <c r="L22" i="24"/>
  <c r="Q28" i="24"/>
  <c r="N8" i="24"/>
  <c r="M8" i="24"/>
  <c r="M21" i="24"/>
  <c r="L21" i="24"/>
  <c r="N21" i="24"/>
  <c r="M5" i="24"/>
  <c r="Y7" i="24"/>
  <c r="O7" i="24"/>
  <c r="T7" i="24" s="1"/>
  <c r="P9" i="24"/>
  <c r="L9" i="24"/>
  <c r="L11" i="24"/>
  <c r="N11" i="24"/>
  <c r="R12" i="24"/>
  <c r="Q12" i="24"/>
  <c r="P14" i="24"/>
  <c r="P16" i="24"/>
  <c r="M18" i="24"/>
  <c r="L18" i="24"/>
  <c r="N18" i="24"/>
  <c r="M19" i="24"/>
  <c r="L19" i="24"/>
  <c r="N19" i="24"/>
  <c r="M23" i="24"/>
  <c r="L23" i="24"/>
  <c r="N23" i="24"/>
  <c r="S29" i="24"/>
  <c r="R29" i="24"/>
  <c r="Q29" i="24"/>
  <c r="U8" i="24"/>
  <c r="L10" i="24"/>
  <c r="O10" i="24"/>
  <c r="L5" i="24"/>
  <c r="O5" i="24"/>
  <c r="R5" i="24" s="1"/>
  <c r="S6" i="24"/>
  <c r="R6" i="24"/>
  <c r="L8" i="24"/>
  <c r="M10" i="24"/>
  <c r="M13" i="24"/>
  <c r="L14" i="24"/>
  <c r="N14" i="24"/>
  <c r="M15" i="24"/>
  <c r="L16" i="24"/>
  <c r="N16" i="24"/>
  <c r="P17" i="24"/>
  <c r="M17" i="24"/>
  <c r="M20" i="24"/>
  <c r="L20" i="24"/>
  <c r="N20" i="24"/>
  <c r="M24" i="24"/>
  <c r="N24" i="24"/>
  <c r="L24" i="24"/>
  <c r="U29" i="24"/>
  <c r="M6" i="24"/>
  <c r="Y6" i="24"/>
  <c r="M12" i="24"/>
  <c r="Y12" i="24"/>
  <c r="N17" i="24"/>
  <c r="O18" i="24"/>
  <c r="O19" i="24"/>
  <c r="O20" i="24"/>
  <c r="O21" i="24"/>
  <c r="O22" i="24"/>
  <c r="O23" i="24"/>
  <c r="O24" i="24"/>
  <c r="M29" i="24"/>
  <c r="M30" i="24"/>
  <c r="S30" i="24"/>
  <c r="X30" i="24"/>
  <c r="N32" i="24"/>
  <c r="L32" i="24"/>
  <c r="L34" i="24"/>
  <c r="N34" i="24"/>
  <c r="L36" i="24"/>
  <c r="N36" i="24"/>
  <c r="L38" i="24"/>
  <c r="N38" i="24"/>
  <c r="L40" i="24"/>
  <c r="N40" i="24"/>
  <c r="L42" i="24"/>
  <c r="N42" i="24"/>
  <c r="O43" i="24"/>
  <c r="P47" i="24"/>
  <c r="U55" i="24"/>
  <c r="Z54" i="24"/>
  <c r="R28" i="24"/>
  <c r="P46" i="24"/>
  <c r="L55" i="24"/>
  <c r="N55" i="24"/>
  <c r="M55" i="24"/>
  <c r="M9" i="24"/>
  <c r="L28" i="24"/>
  <c r="O31" i="24"/>
  <c r="Y31" i="24"/>
  <c r="Y33" i="24"/>
  <c r="O33" i="24"/>
  <c r="P44" i="24"/>
  <c r="L17" i="24"/>
  <c r="Z30" i="24"/>
  <c r="P30" i="24"/>
  <c r="P32" i="24"/>
  <c r="P34" i="24"/>
  <c r="Z34" i="24"/>
  <c r="M36" i="24"/>
  <c r="L37" i="24"/>
  <c r="N37" i="24"/>
  <c r="M38" i="24"/>
  <c r="L39" i="24"/>
  <c r="N39" i="24"/>
  <c r="M40" i="24"/>
  <c r="L41" i="24"/>
  <c r="N41" i="24"/>
  <c r="M42" i="24"/>
  <c r="L43" i="24"/>
  <c r="M43" i="24"/>
  <c r="P45" i="24"/>
  <c r="S54" i="24"/>
  <c r="N44" i="24"/>
  <c r="M44" i="24"/>
  <c r="L44" i="24"/>
  <c r="N45" i="24"/>
  <c r="M45" i="24"/>
  <c r="L45" i="24"/>
  <c r="N46" i="24"/>
  <c r="M46" i="24"/>
  <c r="L46" i="24"/>
  <c r="N47" i="24"/>
  <c r="M47" i="24"/>
  <c r="L47" i="24"/>
  <c r="M51" i="24"/>
  <c r="Z52" i="24"/>
  <c r="AB52" i="24" s="1"/>
  <c r="M53" i="24"/>
  <c r="M54" i="24"/>
  <c r="S57" i="24"/>
  <c r="P43" i="24"/>
  <c r="Y54" i="24"/>
  <c r="O54" i="24"/>
  <c r="L58" i="24"/>
  <c r="N58" i="24"/>
  <c r="M58" i="24"/>
  <c r="S52" i="24"/>
  <c r="Z53" i="24"/>
  <c r="P53" i="24"/>
  <c r="U53" i="24" s="1"/>
  <c r="X58" i="24"/>
  <c r="Z57" i="24"/>
  <c r="Z56" i="24"/>
  <c r="P56" i="24"/>
  <c r="U57" i="24" s="1"/>
  <c r="L60" i="24"/>
  <c r="N60" i="24"/>
  <c r="M60" i="24"/>
  <c r="P63" i="24"/>
  <c r="M63" i="24"/>
  <c r="P65" i="24"/>
  <c r="M65" i="24"/>
  <c r="P67" i="24"/>
  <c r="M67" i="24"/>
  <c r="P69" i="24"/>
  <c r="M69" i="24"/>
  <c r="L51" i="24"/>
  <c r="M52" i="24"/>
  <c r="L53" i="24"/>
  <c r="X53" i="24"/>
  <c r="M57" i="24"/>
  <c r="L61" i="24"/>
  <c r="N61" i="24"/>
  <c r="L63" i="24"/>
  <c r="N63" i="24"/>
  <c r="L65" i="24"/>
  <c r="N65" i="24"/>
  <c r="L67" i="24"/>
  <c r="N67" i="24"/>
  <c r="L69" i="24"/>
  <c r="N69" i="24"/>
  <c r="Q51" i="24"/>
  <c r="L54" i="24"/>
  <c r="X54" i="24"/>
  <c r="O55" i="24"/>
  <c r="Y57" i="24"/>
  <c r="O57" i="24"/>
  <c r="T57" i="24" s="1"/>
  <c r="P59" i="24"/>
  <c r="P64" i="24"/>
  <c r="P66" i="24"/>
  <c r="P68" i="24"/>
  <c r="P70" i="24"/>
  <c r="Y56" i="24"/>
  <c r="L59" i="24"/>
  <c r="N59" i="24"/>
  <c r="P60" i="24"/>
  <c r="M61" i="24"/>
  <c r="L62" i="24"/>
  <c r="N62" i="24"/>
  <c r="L64" i="24"/>
  <c r="N64" i="24"/>
  <c r="L66" i="24"/>
  <c r="N66" i="24"/>
  <c r="L68" i="24"/>
  <c r="N68" i="24"/>
  <c r="L70" i="24"/>
  <c r="N70" i="24"/>
  <c r="L56" i="24"/>
  <c r="X56" i="24"/>
  <c r="M56" i="24"/>
  <c r="L57" i="24"/>
  <c r="X57" i="24"/>
  <c r="AB29" i="25" l="1"/>
  <c r="R29" i="25"/>
  <c r="Q54" i="25"/>
  <c r="AB53" i="25"/>
  <c r="R35" i="24"/>
  <c r="Y8" i="24"/>
  <c r="AA8" i="24" s="1"/>
  <c r="Z9" i="24"/>
  <c r="T12" i="24"/>
  <c r="T54" i="24"/>
  <c r="X11" i="24"/>
  <c r="AA11" i="24" s="1"/>
  <c r="Z11" i="24"/>
  <c r="S12" i="24"/>
  <c r="Z8" i="24"/>
  <c r="T13" i="24"/>
  <c r="X12" i="24"/>
  <c r="U11" i="24"/>
  <c r="AB29" i="24"/>
  <c r="X10" i="24"/>
  <c r="AA10" i="24" s="1"/>
  <c r="Z13" i="24"/>
  <c r="X9" i="24"/>
  <c r="AB9" i="24" s="1"/>
  <c r="T9" i="24"/>
  <c r="Y10" i="24"/>
  <c r="U12" i="24"/>
  <c r="U9" i="24"/>
  <c r="W9" i="24" s="1"/>
  <c r="S9" i="24"/>
  <c r="Z10" i="24"/>
  <c r="X13" i="24"/>
  <c r="U13" i="24"/>
  <c r="T10" i="24"/>
  <c r="S10" i="24"/>
  <c r="X8" i="24"/>
  <c r="Z12" i="24"/>
  <c r="AB12" i="24" s="1"/>
  <c r="T54" i="25"/>
  <c r="Q10" i="25"/>
  <c r="U7" i="25"/>
  <c r="AA53" i="25"/>
  <c r="R54" i="25"/>
  <c r="AB30" i="25"/>
  <c r="S54" i="25"/>
  <c r="S31" i="25"/>
  <c r="AA29" i="25"/>
  <c r="U34" i="24"/>
  <c r="X33" i="24"/>
  <c r="Z33" i="24"/>
  <c r="AB33" i="24" s="1"/>
  <c r="T34" i="24"/>
  <c r="S56" i="24"/>
  <c r="AB6" i="24"/>
  <c r="Z58" i="24"/>
  <c r="D35" i="24"/>
  <c r="S35" i="24" s="1"/>
  <c r="Y34" i="24"/>
  <c r="AA34" i="24" s="1"/>
  <c r="T8" i="25"/>
  <c r="AB33" i="25"/>
  <c r="S55" i="25"/>
  <c r="AA30" i="25"/>
  <c r="U52" i="25"/>
  <c r="U30" i="25"/>
  <c r="U40" i="25"/>
  <c r="S35" i="25"/>
  <c r="W35" i="25" s="1"/>
  <c r="Q30" i="25"/>
  <c r="U55" i="25"/>
  <c r="R35" i="25"/>
  <c r="T56" i="25"/>
  <c r="X54" i="25"/>
  <c r="U54" i="25"/>
  <c r="Y54" i="25"/>
  <c r="S56" i="25"/>
  <c r="Q35" i="25"/>
  <c r="X55" i="25"/>
  <c r="R55" i="25"/>
  <c r="Z54" i="25"/>
  <c r="Q55" i="25"/>
  <c r="Z55" i="25"/>
  <c r="T43" i="25"/>
  <c r="T41" i="25"/>
  <c r="T39" i="25"/>
  <c r="T37" i="25"/>
  <c r="AA33" i="25"/>
  <c r="U36" i="25"/>
  <c r="Q29" i="25"/>
  <c r="U43" i="25"/>
  <c r="U38" i="25"/>
  <c r="T55" i="25"/>
  <c r="V55" i="25" s="1"/>
  <c r="Q56" i="24"/>
  <c r="AA52" i="24"/>
  <c r="R56" i="24"/>
  <c r="Q52" i="24"/>
  <c r="T53" i="24"/>
  <c r="R52" i="24"/>
  <c r="T56" i="24"/>
  <c r="Q53" i="24"/>
  <c r="U56" i="24"/>
  <c r="U54" i="24"/>
  <c r="W54" i="24" s="1"/>
  <c r="U35" i="24"/>
  <c r="X55" i="24"/>
  <c r="T11" i="24"/>
  <c r="U7" i="24"/>
  <c r="V7" i="24" s="1"/>
  <c r="Y55" i="24"/>
  <c r="Z55" i="24"/>
  <c r="V53" i="24"/>
  <c r="U6" i="24"/>
  <c r="D24" i="24"/>
  <c r="D23" i="24"/>
  <c r="R56" i="25"/>
  <c r="R18" i="25"/>
  <c r="Q18" i="25"/>
  <c r="AA6" i="25"/>
  <c r="AB6" i="25"/>
  <c r="Q5" i="25"/>
  <c r="R5" i="25"/>
  <c r="R12" i="25"/>
  <c r="Q12" i="25"/>
  <c r="R60" i="25"/>
  <c r="Q60" i="25"/>
  <c r="AB52" i="25"/>
  <c r="AA52" i="25"/>
  <c r="AB35" i="25"/>
  <c r="AA35" i="25"/>
  <c r="R65" i="25"/>
  <c r="Q65" i="25"/>
  <c r="R62" i="25"/>
  <c r="Q62" i="25"/>
  <c r="S57" i="25"/>
  <c r="R57" i="25"/>
  <c r="Q57" i="25"/>
  <c r="Q56" i="25"/>
  <c r="AB32" i="25"/>
  <c r="AA32" i="25"/>
  <c r="Q46" i="25"/>
  <c r="R46" i="25"/>
  <c r="Q45" i="25"/>
  <c r="R45" i="25"/>
  <c r="Q44" i="25"/>
  <c r="S44" i="25"/>
  <c r="R44" i="25"/>
  <c r="Q43" i="25"/>
  <c r="S43" i="25"/>
  <c r="R43" i="25"/>
  <c r="Q42" i="25"/>
  <c r="S42" i="25"/>
  <c r="R42" i="25"/>
  <c r="Q41" i="25"/>
  <c r="S41" i="25"/>
  <c r="R41" i="25"/>
  <c r="Q40" i="25"/>
  <c r="S40" i="25"/>
  <c r="R40" i="25"/>
  <c r="Q39" i="25"/>
  <c r="S39" i="25"/>
  <c r="R39" i="25"/>
  <c r="Q38" i="25"/>
  <c r="S38" i="25"/>
  <c r="R38" i="25"/>
  <c r="Q37" i="25"/>
  <c r="S37" i="25"/>
  <c r="R37" i="25"/>
  <c r="Q36" i="25"/>
  <c r="S36" i="25"/>
  <c r="R36" i="25"/>
  <c r="AB7" i="25"/>
  <c r="AA7" i="25"/>
  <c r="R19" i="25"/>
  <c r="Q19" i="25"/>
  <c r="R17" i="25"/>
  <c r="Q17" i="25"/>
  <c r="R15" i="25"/>
  <c r="Q15" i="25"/>
  <c r="R11" i="25"/>
  <c r="S6" i="25"/>
  <c r="T33" i="25"/>
  <c r="W33" i="25" s="1"/>
  <c r="R30" i="25"/>
  <c r="Y10" i="25"/>
  <c r="AB10" i="25" s="1"/>
  <c r="Y58" i="25"/>
  <c r="U58" i="25"/>
  <c r="T58" i="25"/>
  <c r="R23" i="25"/>
  <c r="Q23" i="25"/>
  <c r="R14" i="25"/>
  <c r="Q14" i="25"/>
  <c r="T9" i="25"/>
  <c r="AB34" i="25"/>
  <c r="AA34" i="25"/>
  <c r="S8" i="25"/>
  <c r="R8" i="25"/>
  <c r="Q8" i="25"/>
  <c r="S9" i="25"/>
  <c r="R13" i="25"/>
  <c r="Q13" i="25"/>
  <c r="V30" i="25"/>
  <c r="W30" i="25"/>
  <c r="R20" i="25"/>
  <c r="Q20" i="25"/>
  <c r="AB31" i="25"/>
  <c r="AA31" i="25"/>
  <c r="S58" i="25"/>
  <c r="R58" i="25"/>
  <c r="Q58" i="25"/>
  <c r="R47" i="25"/>
  <c r="Q47" i="25"/>
  <c r="AB8" i="25"/>
  <c r="AA8" i="25"/>
  <c r="R16" i="25"/>
  <c r="Q16" i="25"/>
  <c r="V34" i="25"/>
  <c r="W34" i="25"/>
  <c r="R21" i="25"/>
  <c r="Q21" i="25"/>
  <c r="Q51" i="25"/>
  <c r="W53" i="25"/>
  <c r="V53" i="25"/>
  <c r="AB56" i="25"/>
  <c r="AA56" i="25"/>
  <c r="AA55" i="25"/>
  <c r="AB55" i="25"/>
  <c r="R69" i="25"/>
  <c r="Q69" i="25"/>
  <c r="W29" i="25"/>
  <c r="V29" i="25"/>
  <c r="T57" i="25"/>
  <c r="U56" i="25"/>
  <c r="U57" i="25"/>
  <c r="R51" i="25"/>
  <c r="R67" i="25"/>
  <c r="Q67" i="25"/>
  <c r="R66" i="25"/>
  <c r="Q66" i="25"/>
  <c r="R64" i="25"/>
  <c r="Q64" i="25"/>
  <c r="R63" i="25"/>
  <c r="Q63" i="25"/>
  <c r="R61" i="25"/>
  <c r="Q61" i="25"/>
  <c r="S52" i="25"/>
  <c r="R52" i="25"/>
  <c r="Q52" i="25"/>
  <c r="R59" i="25"/>
  <c r="Q59" i="25"/>
  <c r="X58" i="25"/>
  <c r="AB57" i="25"/>
  <c r="AA57" i="25"/>
  <c r="S32" i="25"/>
  <c r="R32" i="25"/>
  <c r="Q32" i="25"/>
  <c r="T44" i="25"/>
  <c r="T42" i="25"/>
  <c r="T40" i="25"/>
  <c r="T38" i="25"/>
  <c r="AB44" i="25"/>
  <c r="AA44" i="25"/>
  <c r="AB43" i="25"/>
  <c r="AA43" i="25"/>
  <c r="AB42" i="25"/>
  <c r="AA42" i="25"/>
  <c r="AB41" i="25"/>
  <c r="AA41" i="25"/>
  <c r="AB40" i="25"/>
  <c r="AA40" i="25"/>
  <c r="AB39" i="25"/>
  <c r="AA39" i="25"/>
  <c r="AB38" i="25"/>
  <c r="AA38" i="25"/>
  <c r="AB37" i="25"/>
  <c r="AA37" i="25"/>
  <c r="AB36" i="25"/>
  <c r="AA36" i="25"/>
  <c r="S45" i="25"/>
  <c r="U39" i="25"/>
  <c r="R24" i="25"/>
  <c r="Q24" i="25"/>
  <c r="R22" i="25"/>
  <c r="Q22" i="25"/>
  <c r="U10" i="25"/>
  <c r="R6" i="25"/>
  <c r="U37" i="25"/>
  <c r="V31" i="25"/>
  <c r="W31" i="25"/>
  <c r="U42" i="25"/>
  <c r="R7" i="25"/>
  <c r="T7" i="25"/>
  <c r="W7" i="25" s="1"/>
  <c r="S10" i="25"/>
  <c r="Q6" i="25"/>
  <c r="AA9" i="25"/>
  <c r="AB9" i="25"/>
  <c r="W12" i="24"/>
  <c r="V12" i="24"/>
  <c r="R61" i="24"/>
  <c r="Q61" i="24"/>
  <c r="R47" i="24"/>
  <c r="Q47" i="24"/>
  <c r="R44" i="24"/>
  <c r="Q44" i="24"/>
  <c r="Q54" i="24"/>
  <c r="R43" i="24"/>
  <c r="AB11" i="24"/>
  <c r="U10" i="24"/>
  <c r="T8" i="24"/>
  <c r="R70" i="24"/>
  <c r="Q70" i="24"/>
  <c r="R62" i="24"/>
  <c r="Q62" i="24"/>
  <c r="T55" i="24"/>
  <c r="R65" i="24"/>
  <c r="Q65" i="24"/>
  <c r="Y58" i="24"/>
  <c r="S58" i="24"/>
  <c r="R58" i="24"/>
  <c r="Q58" i="24"/>
  <c r="W57" i="24"/>
  <c r="V57" i="24"/>
  <c r="W53" i="24"/>
  <c r="R41" i="24"/>
  <c r="Q41" i="24"/>
  <c r="U30" i="24"/>
  <c r="W30" i="24" s="1"/>
  <c r="Q30" i="24"/>
  <c r="R33" i="24"/>
  <c r="R31" i="24"/>
  <c r="T31" i="24"/>
  <c r="R53" i="24"/>
  <c r="S34" i="24"/>
  <c r="R34" i="24"/>
  <c r="Q34" i="24"/>
  <c r="Q33" i="24"/>
  <c r="R32" i="24"/>
  <c r="Q32" i="24"/>
  <c r="V30" i="24"/>
  <c r="Q24" i="24"/>
  <c r="R24" i="24"/>
  <c r="Q20" i="24"/>
  <c r="R20" i="24"/>
  <c r="R10" i="24"/>
  <c r="Q19" i="24"/>
  <c r="R19" i="24"/>
  <c r="Q18" i="24"/>
  <c r="R18" i="24"/>
  <c r="Q21" i="24"/>
  <c r="R21" i="24"/>
  <c r="S8" i="24"/>
  <c r="R8" i="24"/>
  <c r="Q8" i="24"/>
  <c r="Q7" i="24"/>
  <c r="AB57" i="24"/>
  <c r="AA57" i="24"/>
  <c r="R68" i="24"/>
  <c r="Q68" i="24"/>
  <c r="R63" i="24"/>
  <c r="Q63" i="24"/>
  <c r="R57" i="24"/>
  <c r="R46" i="24"/>
  <c r="Q46" i="24"/>
  <c r="R36" i="24"/>
  <c r="Q36" i="24"/>
  <c r="R14" i="24"/>
  <c r="Q14" i="24"/>
  <c r="W29" i="24"/>
  <c r="V29" i="24"/>
  <c r="AB7" i="24"/>
  <c r="AA7" i="24"/>
  <c r="R64" i="24"/>
  <c r="Q64" i="24"/>
  <c r="R67" i="24"/>
  <c r="Q67" i="24"/>
  <c r="Q57" i="24"/>
  <c r="R54" i="24"/>
  <c r="R39" i="24"/>
  <c r="Q39" i="24"/>
  <c r="S55" i="24"/>
  <c r="R55" i="24"/>
  <c r="Q55" i="24"/>
  <c r="R42" i="24"/>
  <c r="Q42" i="24"/>
  <c r="Q31" i="24"/>
  <c r="Q17" i="24"/>
  <c r="R17" i="24"/>
  <c r="Z31" i="24"/>
  <c r="X31" i="24"/>
  <c r="S11" i="24"/>
  <c r="R11" i="24"/>
  <c r="Q11" i="24"/>
  <c r="Q10" i="24"/>
  <c r="AB8" i="24"/>
  <c r="Q22" i="24"/>
  <c r="R22" i="24"/>
  <c r="R7" i="24"/>
  <c r="AA6" i="24"/>
  <c r="S13" i="24"/>
  <c r="R13" i="24"/>
  <c r="Q13" i="24"/>
  <c r="Q9" i="24"/>
  <c r="AA12" i="24"/>
  <c r="S59" i="24"/>
  <c r="R59" i="24"/>
  <c r="Q59" i="24"/>
  <c r="T58" i="24"/>
  <c r="R45" i="24"/>
  <c r="Q45" i="24"/>
  <c r="R38" i="24"/>
  <c r="Q38" i="24"/>
  <c r="AB30" i="24"/>
  <c r="AA30" i="24"/>
  <c r="R16" i="24"/>
  <c r="Q16" i="24"/>
  <c r="AB56" i="24"/>
  <c r="AA56" i="24"/>
  <c r="R66" i="24"/>
  <c r="Q66" i="24"/>
  <c r="U59" i="24"/>
  <c r="AB54" i="24"/>
  <c r="AA54" i="24"/>
  <c r="R69" i="24"/>
  <c r="Q69" i="24"/>
  <c r="AB53" i="24"/>
  <c r="AA53" i="24"/>
  <c r="R60" i="24"/>
  <c r="Q60" i="24"/>
  <c r="W52" i="24"/>
  <c r="V52" i="24"/>
  <c r="R37" i="24"/>
  <c r="Q37" i="24"/>
  <c r="U31" i="24"/>
  <c r="AB10" i="24"/>
  <c r="R40" i="24"/>
  <c r="Q40" i="24"/>
  <c r="T35" i="24"/>
  <c r="X35" i="24"/>
  <c r="S31" i="24"/>
  <c r="R30" i="24"/>
  <c r="U58" i="24"/>
  <c r="Q43" i="24"/>
  <c r="Q23" i="24"/>
  <c r="R23" i="24"/>
  <c r="V9" i="24"/>
  <c r="R15" i="24"/>
  <c r="Q15" i="24"/>
  <c r="Q5" i="24"/>
  <c r="R9" i="24"/>
  <c r="U14" i="24"/>
  <c r="Y13" i="24"/>
  <c r="AB13" i="24" s="1"/>
  <c r="T6" i="24"/>
  <c r="V54" i="25" l="1"/>
  <c r="W54" i="25"/>
  <c r="AA54" i="25"/>
  <c r="AB34" i="24"/>
  <c r="AA9" i="24"/>
  <c r="W10" i="24"/>
  <c r="W56" i="24"/>
  <c r="AA33" i="24"/>
  <c r="W56" i="25"/>
  <c r="V33" i="25"/>
  <c r="V35" i="25"/>
  <c r="AB54" i="25"/>
  <c r="V54" i="24"/>
  <c r="W6" i="24"/>
  <c r="W7" i="24"/>
  <c r="V56" i="24"/>
  <c r="V10" i="24"/>
  <c r="AB58" i="24"/>
  <c r="AB55" i="24"/>
  <c r="W35" i="24"/>
  <c r="Z35" i="24"/>
  <c r="D36" i="24"/>
  <c r="X36" i="24" s="1"/>
  <c r="Y35" i="24"/>
  <c r="V56" i="25"/>
  <c r="W55" i="25"/>
  <c r="AA58" i="24"/>
  <c r="AA55" i="24"/>
  <c r="AA58" i="25"/>
  <c r="AB58" i="25"/>
  <c r="V7" i="25"/>
  <c r="V6" i="25"/>
  <c r="W6" i="25"/>
  <c r="U45" i="25"/>
  <c r="X45" i="25"/>
  <c r="Y45" i="25"/>
  <c r="Z45" i="25"/>
  <c r="T46" i="25"/>
  <c r="Z11" i="25"/>
  <c r="X11" i="25"/>
  <c r="S11" i="25"/>
  <c r="Y11" i="25"/>
  <c r="U11" i="25"/>
  <c r="W36" i="25"/>
  <c r="V36" i="25"/>
  <c r="W40" i="25"/>
  <c r="V40" i="25"/>
  <c r="W44" i="25"/>
  <c r="V44" i="25"/>
  <c r="T45" i="25"/>
  <c r="AA10" i="25"/>
  <c r="T11" i="25"/>
  <c r="W39" i="25"/>
  <c r="V39" i="25"/>
  <c r="W43" i="25"/>
  <c r="V43" i="25"/>
  <c r="W32" i="25"/>
  <c r="V32" i="25"/>
  <c r="W52" i="25"/>
  <c r="V52" i="25"/>
  <c r="W8" i="25"/>
  <c r="V8" i="25"/>
  <c r="Z59" i="25"/>
  <c r="Y59" i="25"/>
  <c r="T59" i="25"/>
  <c r="U59" i="25"/>
  <c r="X59" i="25"/>
  <c r="W37" i="25"/>
  <c r="V37" i="25"/>
  <c r="W41" i="25"/>
  <c r="V41" i="25"/>
  <c r="W45" i="25"/>
  <c r="V45" i="25"/>
  <c r="Z46" i="25"/>
  <c r="X46" i="25"/>
  <c r="Y46" i="25"/>
  <c r="V10" i="25"/>
  <c r="W10" i="25"/>
  <c r="S59" i="25"/>
  <c r="W58" i="25"/>
  <c r="V58" i="25"/>
  <c r="W9" i="25"/>
  <c r="V9" i="25"/>
  <c r="W38" i="25"/>
  <c r="V38" i="25"/>
  <c r="W42" i="25"/>
  <c r="V42" i="25"/>
  <c r="S46" i="25"/>
  <c r="W57" i="25"/>
  <c r="V57" i="25"/>
  <c r="U46" i="25"/>
  <c r="W13" i="24"/>
  <c r="V13" i="24"/>
  <c r="Y32" i="24"/>
  <c r="S33" i="24"/>
  <c r="T32" i="24"/>
  <c r="U33" i="24"/>
  <c r="Z32" i="24"/>
  <c r="X32" i="24"/>
  <c r="S32" i="24"/>
  <c r="V35" i="24"/>
  <c r="V6" i="24"/>
  <c r="W34" i="24"/>
  <c r="V34" i="24"/>
  <c r="W58" i="24"/>
  <c r="V58" i="24"/>
  <c r="W31" i="24"/>
  <c r="V31" i="24"/>
  <c r="AA13" i="24"/>
  <c r="AA31" i="24"/>
  <c r="AB31" i="24"/>
  <c r="Y59" i="24"/>
  <c r="T59" i="24"/>
  <c r="W59" i="24" s="1"/>
  <c r="Z59" i="24"/>
  <c r="X59" i="24"/>
  <c r="V55" i="24"/>
  <c r="W55" i="24"/>
  <c r="W8" i="24"/>
  <c r="V8" i="24"/>
  <c r="Y14" i="24"/>
  <c r="X14" i="24"/>
  <c r="T14" i="24"/>
  <c r="Z14" i="24"/>
  <c r="U32" i="24"/>
  <c r="W11" i="24"/>
  <c r="V11" i="24"/>
  <c r="S14" i="24"/>
  <c r="T33" i="24"/>
  <c r="AA35" i="24" l="1"/>
  <c r="Y36" i="24"/>
  <c r="T36" i="24"/>
  <c r="AB35" i="24"/>
  <c r="D37" i="24"/>
  <c r="D38" i="24" s="1"/>
  <c r="D39" i="24" s="1"/>
  <c r="D40" i="24" s="1"/>
  <c r="D41" i="24" s="1"/>
  <c r="D42" i="24" s="1"/>
  <c r="D43" i="24" s="1"/>
  <c r="D44" i="24" s="1"/>
  <c r="D45" i="24" s="1"/>
  <c r="S36" i="24"/>
  <c r="W36" i="24" s="1"/>
  <c r="U36" i="24"/>
  <c r="Z36" i="24"/>
  <c r="AB36" i="24" s="1"/>
  <c r="V59" i="24"/>
  <c r="X47" i="25"/>
  <c r="Y47" i="25"/>
  <c r="Z47" i="25"/>
  <c r="T47" i="25"/>
  <c r="S47" i="25"/>
  <c r="U47" i="25"/>
  <c r="T60" i="25"/>
  <c r="X60" i="25"/>
  <c r="Y60" i="25"/>
  <c r="Z60" i="25"/>
  <c r="S60" i="25"/>
  <c r="U60" i="25"/>
  <c r="V46" i="25"/>
  <c r="W46" i="25"/>
  <c r="Y12" i="25"/>
  <c r="T12" i="25"/>
  <c r="Z12" i="25"/>
  <c r="X12" i="25"/>
  <c r="S12" i="25"/>
  <c r="U12" i="25"/>
  <c r="AB45" i="25"/>
  <c r="AA45" i="25"/>
  <c r="W59" i="25"/>
  <c r="V59" i="25"/>
  <c r="AB46" i="25"/>
  <c r="AA46" i="25"/>
  <c r="V11" i="25"/>
  <c r="W11" i="25"/>
  <c r="AB59" i="25"/>
  <c r="AA59" i="25"/>
  <c r="AA11" i="25"/>
  <c r="AB11" i="25"/>
  <c r="AB59" i="24"/>
  <c r="AA59" i="24"/>
  <c r="V32" i="24"/>
  <c r="W32" i="24"/>
  <c r="W14" i="24"/>
  <c r="V14" i="24"/>
  <c r="AB14" i="24"/>
  <c r="AA14" i="24"/>
  <c r="AB32" i="24"/>
  <c r="AA32" i="24"/>
  <c r="W33" i="24"/>
  <c r="V33" i="24"/>
  <c r="Y60" i="24"/>
  <c r="Z60" i="24"/>
  <c r="X60" i="24"/>
  <c r="T60" i="24"/>
  <c r="U60" i="24"/>
  <c r="S60" i="24"/>
  <c r="Y37" i="24"/>
  <c r="X37" i="24"/>
  <c r="Y15" i="24"/>
  <c r="T15" i="24"/>
  <c r="X15" i="24"/>
  <c r="Z15" i="24"/>
  <c r="S15" i="24"/>
  <c r="U15" i="24"/>
  <c r="Z37" i="24" l="1"/>
  <c r="AA37" i="24" s="1"/>
  <c r="T37" i="24"/>
  <c r="S37" i="24"/>
  <c r="W37" i="24" s="1"/>
  <c r="U37" i="24"/>
  <c r="V36" i="24"/>
  <c r="AA36" i="24"/>
  <c r="D47" i="24"/>
  <c r="D46" i="24"/>
  <c r="Z61" i="25"/>
  <c r="Y61" i="25"/>
  <c r="U61" i="25"/>
  <c r="X61" i="25"/>
  <c r="T61" i="25"/>
  <c r="S61" i="25"/>
  <c r="W12" i="25"/>
  <c r="V12" i="25"/>
  <c r="AB60" i="25"/>
  <c r="AA60" i="25"/>
  <c r="V47" i="25"/>
  <c r="W47" i="25"/>
  <c r="AA47" i="25"/>
  <c r="AB47" i="25"/>
  <c r="AB12" i="25"/>
  <c r="AA12" i="25"/>
  <c r="T13" i="25"/>
  <c r="Y13" i="25"/>
  <c r="Z13" i="25"/>
  <c r="X13" i="25"/>
  <c r="U13" i="25"/>
  <c r="S13" i="25"/>
  <c r="W60" i="25"/>
  <c r="V60" i="25"/>
  <c r="AB37" i="24"/>
  <c r="W15" i="24"/>
  <c r="V15" i="24"/>
  <c r="U38" i="24"/>
  <c r="X38" i="24"/>
  <c r="T38" i="24"/>
  <c r="Z38" i="24"/>
  <c r="Y38" i="24"/>
  <c r="S38" i="24"/>
  <c r="AB60" i="24"/>
  <c r="AA60" i="24"/>
  <c r="Y61" i="24"/>
  <c r="Z61" i="24"/>
  <c r="X61" i="24"/>
  <c r="T61" i="24"/>
  <c r="S61" i="24"/>
  <c r="U61" i="24"/>
  <c r="Y16" i="24"/>
  <c r="T16" i="24"/>
  <c r="X16" i="24"/>
  <c r="Z16" i="24"/>
  <c r="S16" i="24"/>
  <c r="U16" i="24"/>
  <c r="W60" i="24"/>
  <c r="V60" i="24"/>
  <c r="AB15" i="24"/>
  <c r="AA15" i="24"/>
  <c r="V37" i="24" l="1"/>
  <c r="W13" i="25"/>
  <c r="V13" i="25"/>
  <c r="W61" i="25"/>
  <c r="V61" i="25"/>
  <c r="AB13" i="25"/>
  <c r="AA13" i="25"/>
  <c r="U14" i="25"/>
  <c r="Y14" i="25"/>
  <c r="X14" i="25"/>
  <c r="Z14" i="25"/>
  <c r="T14" i="25"/>
  <c r="S14" i="25"/>
  <c r="AB61" i="25"/>
  <c r="AA61" i="25"/>
  <c r="U62" i="25"/>
  <c r="X62" i="25"/>
  <c r="Y62" i="25"/>
  <c r="T62" i="25"/>
  <c r="Z62" i="25"/>
  <c r="S62" i="25"/>
  <c r="AB16" i="24"/>
  <c r="AA16" i="24"/>
  <c r="W61" i="24"/>
  <c r="V61" i="24"/>
  <c r="W38" i="24"/>
  <c r="V38" i="24"/>
  <c r="AB38" i="24"/>
  <c r="AA38" i="24"/>
  <c r="W16" i="24"/>
  <c r="V16" i="24"/>
  <c r="Y62" i="24"/>
  <c r="T62" i="24"/>
  <c r="X62" i="24"/>
  <c r="Z62" i="24"/>
  <c r="U62" i="24"/>
  <c r="S62" i="24"/>
  <c r="Y17" i="24"/>
  <c r="T17" i="24"/>
  <c r="Z17" i="24"/>
  <c r="X17" i="24"/>
  <c r="U17" i="24"/>
  <c r="S17" i="24"/>
  <c r="AB61" i="24"/>
  <c r="AA61" i="24"/>
  <c r="Y39" i="24"/>
  <c r="U39" i="24"/>
  <c r="T39" i="24"/>
  <c r="X39" i="24"/>
  <c r="Z39" i="24"/>
  <c r="S39" i="24"/>
  <c r="W62" i="25" l="1"/>
  <c r="V62" i="25"/>
  <c r="AB62" i="25"/>
  <c r="AA62" i="25"/>
  <c r="U15" i="25"/>
  <c r="X15" i="25"/>
  <c r="T15" i="25"/>
  <c r="Y15" i="25"/>
  <c r="Z15" i="25"/>
  <c r="S15" i="25"/>
  <c r="Z63" i="25"/>
  <c r="Y63" i="25"/>
  <c r="U63" i="25"/>
  <c r="T63" i="25"/>
  <c r="X63" i="25"/>
  <c r="S63" i="25"/>
  <c r="AB14" i="25"/>
  <c r="AA14" i="25"/>
  <c r="W14" i="25"/>
  <c r="V14" i="25"/>
  <c r="AB17" i="24"/>
  <c r="AA17" i="24"/>
  <c r="AB62" i="24"/>
  <c r="AA62" i="24"/>
  <c r="Y40" i="24"/>
  <c r="Z40" i="24"/>
  <c r="U40" i="24"/>
  <c r="X40" i="24"/>
  <c r="T40" i="24"/>
  <c r="S40" i="24"/>
  <c r="W17" i="24"/>
  <c r="V17" i="24"/>
  <c r="Z18" i="24"/>
  <c r="X18" i="24"/>
  <c r="Y18" i="24"/>
  <c r="S18" i="24"/>
  <c r="T18" i="24"/>
  <c r="U18" i="24"/>
  <c r="W39" i="24"/>
  <c r="V39" i="24"/>
  <c r="AB39" i="24"/>
  <c r="AA39" i="24"/>
  <c r="Y63" i="24"/>
  <c r="Z63" i="24"/>
  <c r="T63" i="24"/>
  <c r="X63" i="24"/>
  <c r="S63" i="24"/>
  <c r="U63" i="24"/>
  <c r="W62" i="24"/>
  <c r="V62" i="24"/>
  <c r="U64" i="25" l="1"/>
  <c r="Y64" i="25"/>
  <c r="Z64" i="25"/>
  <c r="X64" i="25"/>
  <c r="T64" i="25"/>
  <c r="S64" i="25"/>
  <c r="W15" i="25"/>
  <c r="V15" i="25"/>
  <c r="AB15" i="25"/>
  <c r="AA15" i="25"/>
  <c r="W63" i="25"/>
  <c r="V63" i="25"/>
  <c r="AB63" i="25"/>
  <c r="AA63" i="25"/>
  <c r="U16" i="25"/>
  <c r="X16" i="25"/>
  <c r="T16" i="25"/>
  <c r="Y16" i="25"/>
  <c r="Z16" i="25"/>
  <c r="S16" i="25"/>
  <c r="W40" i="24"/>
  <c r="V40" i="24"/>
  <c r="AB18" i="24"/>
  <c r="AA18" i="24"/>
  <c r="W63" i="24"/>
  <c r="V63" i="24"/>
  <c r="V18" i="24"/>
  <c r="W18" i="24"/>
  <c r="Z19" i="24"/>
  <c r="X19" i="24"/>
  <c r="U19" i="24"/>
  <c r="Y19" i="24"/>
  <c r="T19" i="24"/>
  <c r="S19" i="24"/>
  <c r="AB63" i="24"/>
  <c r="AA63" i="24"/>
  <c r="Y64" i="24"/>
  <c r="X64" i="24"/>
  <c r="T64" i="24"/>
  <c r="Z64" i="24"/>
  <c r="U64" i="24"/>
  <c r="S64" i="24"/>
  <c r="AB40" i="24"/>
  <c r="AA40" i="24"/>
  <c r="Y41" i="24"/>
  <c r="X41" i="24"/>
  <c r="U41" i="24"/>
  <c r="Z41" i="24"/>
  <c r="T41" i="24"/>
  <c r="S41" i="24"/>
  <c r="U17" i="25" l="1"/>
  <c r="T17" i="25"/>
  <c r="X17" i="25"/>
  <c r="Z17" i="25"/>
  <c r="Y17" i="25"/>
  <c r="S17" i="25"/>
  <c r="W64" i="25"/>
  <c r="V64" i="25"/>
  <c r="W16" i="25"/>
  <c r="V16" i="25"/>
  <c r="AB16" i="25"/>
  <c r="AA16" i="25"/>
  <c r="Z65" i="25"/>
  <c r="X65" i="25"/>
  <c r="U65" i="25"/>
  <c r="Y65" i="25"/>
  <c r="T65" i="25"/>
  <c r="S65" i="25"/>
  <c r="AB64" i="25"/>
  <c r="AA64" i="25"/>
  <c r="W64" i="24"/>
  <c r="V64" i="24"/>
  <c r="AB64" i="24"/>
  <c r="AA64" i="24"/>
  <c r="V19" i="24"/>
  <c r="W19" i="24"/>
  <c r="AB19" i="24"/>
  <c r="AA19" i="24"/>
  <c r="T42" i="24"/>
  <c r="Y42" i="24"/>
  <c r="U42" i="24"/>
  <c r="Z42" i="24"/>
  <c r="X42" i="24"/>
  <c r="S42" i="24"/>
  <c r="Y65" i="24"/>
  <c r="Z65" i="24"/>
  <c r="X65" i="24"/>
  <c r="T65" i="24"/>
  <c r="U65" i="24"/>
  <c r="S65" i="24"/>
  <c r="W41" i="24"/>
  <c r="V41" i="24"/>
  <c r="AB41" i="24"/>
  <c r="AA41" i="24"/>
  <c r="Z20" i="24"/>
  <c r="Y20" i="24"/>
  <c r="X20" i="24"/>
  <c r="U20" i="24"/>
  <c r="T20" i="24"/>
  <c r="S20" i="24"/>
  <c r="W65" i="25" l="1"/>
  <c r="V65" i="25"/>
  <c r="AB65" i="25"/>
  <c r="AA65" i="25"/>
  <c r="AB17" i="25"/>
  <c r="AA17" i="25"/>
  <c r="U66" i="25"/>
  <c r="T66" i="25"/>
  <c r="X66" i="25"/>
  <c r="Z66" i="25"/>
  <c r="Y66" i="25"/>
  <c r="S66" i="25"/>
  <c r="U18" i="25"/>
  <c r="T18" i="25"/>
  <c r="X18" i="25"/>
  <c r="Z18" i="25"/>
  <c r="Y18" i="25"/>
  <c r="S18" i="25"/>
  <c r="W17" i="25"/>
  <c r="V17" i="25"/>
  <c r="Z21" i="24"/>
  <c r="X21" i="24"/>
  <c r="Y21" i="24"/>
  <c r="U21" i="24"/>
  <c r="T21" i="24"/>
  <c r="S21" i="24"/>
  <c r="AB65" i="24"/>
  <c r="AA65" i="24"/>
  <c r="W42" i="24"/>
  <c r="V42" i="24"/>
  <c r="Y66" i="24"/>
  <c r="Z66" i="24"/>
  <c r="T66" i="24"/>
  <c r="X66" i="24"/>
  <c r="S66" i="24"/>
  <c r="U66" i="24"/>
  <c r="AB20" i="24"/>
  <c r="AA20" i="24"/>
  <c r="W65" i="24"/>
  <c r="V65" i="24"/>
  <c r="AB42" i="24"/>
  <c r="AA42" i="24"/>
  <c r="V20" i="24"/>
  <c r="W20" i="24"/>
  <c r="X43" i="24"/>
  <c r="Y43" i="24"/>
  <c r="Z43" i="24"/>
  <c r="U43" i="24"/>
  <c r="S43" i="24"/>
  <c r="T43" i="24"/>
  <c r="W18" i="25" l="1"/>
  <c r="V18" i="25"/>
  <c r="Z67" i="25"/>
  <c r="T67" i="25"/>
  <c r="U67" i="25"/>
  <c r="Y67" i="25"/>
  <c r="X67" i="25"/>
  <c r="S67" i="25"/>
  <c r="U19" i="25"/>
  <c r="X19" i="25"/>
  <c r="T19" i="25"/>
  <c r="Y19" i="25"/>
  <c r="Z19" i="25"/>
  <c r="S19" i="25"/>
  <c r="AB66" i="25"/>
  <c r="AA66" i="25"/>
  <c r="AB18" i="25"/>
  <c r="AA18" i="25"/>
  <c r="W66" i="25"/>
  <c r="V66" i="25"/>
  <c r="AB21" i="24"/>
  <c r="AA21" i="24"/>
  <c r="V21" i="24"/>
  <c r="W21" i="24"/>
  <c r="W66" i="24"/>
  <c r="V66" i="24"/>
  <c r="Z22" i="24"/>
  <c r="U22" i="24"/>
  <c r="X22" i="24"/>
  <c r="Y22" i="24"/>
  <c r="T22" i="24"/>
  <c r="S22" i="24"/>
  <c r="Y44" i="24"/>
  <c r="X44" i="24"/>
  <c r="Z44" i="24"/>
  <c r="T44" i="24"/>
  <c r="U44" i="24"/>
  <c r="S44" i="24"/>
  <c r="V43" i="24"/>
  <c r="W43" i="24"/>
  <c r="AB43" i="24"/>
  <c r="AA43" i="24"/>
  <c r="AB66" i="24"/>
  <c r="AA66" i="24"/>
  <c r="Y67" i="24"/>
  <c r="Z67" i="24"/>
  <c r="X67" i="24"/>
  <c r="T67" i="24"/>
  <c r="S67" i="24"/>
  <c r="U67" i="24"/>
  <c r="Z23" i="24"/>
  <c r="Y23" i="24"/>
  <c r="U23" i="24"/>
  <c r="X23" i="24"/>
  <c r="T23" i="24"/>
  <c r="S23" i="24"/>
  <c r="U20" i="25" l="1"/>
  <c r="Y20" i="25"/>
  <c r="Z20" i="25"/>
  <c r="X20" i="25"/>
  <c r="T20" i="25"/>
  <c r="S20" i="25"/>
  <c r="Y68" i="25"/>
  <c r="U68" i="25"/>
  <c r="Z68" i="25"/>
  <c r="X68" i="25"/>
  <c r="S68" i="25"/>
  <c r="T68" i="25"/>
  <c r="W67" i="25"/>
  <c r="V67" i="25"/>
  <c r="W19" i="25"/>
  <c r="V19" i="25"/>
  <c r="AB19" i="25"/>
  <c r="AA19" i="25"/>
  <c r="AB67" i="25"/>
  <c r="AA67" i="25"/>
  <c r="Z69" i="25"/>
  <c r="Y69" i="25"/>
  <c r="U69" i="25"/>
  <c r="T69" i="25"/>
  <c r="X69" i="25"/>
  <c r="S69" i="25"/>
  <c r="AB23" i="24"/>
  <c r="AA23" i="24"/>
  <c r="Z24" i="24"/>
  <c r="X24" i="24"/>
  <c r="U24" i="24"/>
  <c r="Y24" i="24"/>
  <c r="S24" i="24"/>
  <c r="T24" i="24"/>
  <c r="AB67" i="24"/>
  <c r="AA67" i="24"/>
  <c r="Y68" i="24"/>
  <c r="Z68" i="24"/>
  <c r="X68" i="24"/>
  <c r="T68" i="24"/>
  <c r="U68" i="24"/>
  <c r="S68" i="24"/>
  <c r="V44" i="24"/>
  <c r="W44" i="24"/>
  <c r="T45" i="24"/>
  <c r="Z45" i="24"/>
  <c r="X45" i="24"/>
  <c r="Y45" i="24"/>
  <c r="U45" i="24"/>
  <c r="S45" i="24"/>
  <c r="AB44" i="24"/>
  <c r="AA44" i="24"/>
  <c r="V22" i="24"/>
  <c r="W22" i="24"/>
  <c r="V23" i="24"/>
  <c r="W23" i="24"/>
  <c r="W67" i="24"/>
  <c r="V67" i="24"/>
  <c r="Y69" i="24"/>
  <c r="Z69" i="24"/>
  <c r="T69" i="24"/>
  <c r="X69" i="24"/>
  <c r="S69" i="24"/>
  <c r="U69" i="24"/>
  <c r="T46" i="24"/>
  <c r="Z46" i="24"/>
  <c r="X46" i="24"/>
  <c r="Y46" i="24"/>
  <c r="S46" i="24"/>
  <c r="U46" i="24"/>
  <c r="AB22" i="24"/>
  <c r="AA22" i="24"/>
  <c r="AB69" i="25" l="1"/>
  <c r="AA69" i="25"/>
  <c r="AB68" i="25"/>
  <c r="AA68" i="25"/>
  <c r="W20" i="25"/>
  <c r="V20" i="25"/>
  <c r="W68" i="25"/>
  <c r="V68" i="25"/>
  <c r="Y70" i="25"/>
  <c r="Z70" i="25"/>
  <c r="X70" i="25"/>
  <c r="S70" i="25"/>
  <c r="T70" i="25"/>
  <c r="U70" i="25"/>
  <c r="U21" i="25"/>
  <c r="Y21" i="25"/>
  <c r="Z21" i="25"/>
  <c r="T21" i="25"/>
  <c r="X21" i="25"/>
  <c r="S21" i="25"/>
  <c r="W69" i="25"/>
  <c r="V69" i="25"/>
  <c r="AB20" i="25"/>
  <c r="AA20" i="25"/>
  <c r="W69" i="24"/>
  <c r="V69" i="24"/>
  <c r="V24" i="24"/>
  <c r="W24" i="24"/>
  <c r="V46" i="24"/>
  <c r="W46" i="24"/>
  <c r="AB69" i="24"/>
  <c r="AA69" i="24"/>
  <c r="Y70" i="24"/>
  <c r="X70" i="24"/>
  <c r="T70" i="24"/>
  <c r="Z70" i="24"/>
  <c r="U70" i="24"/>
  <c r="S70" i="24"/>
  <c r="AB45" i="24"/>
  <c r="AA45" i="24"/>
  <c r="AB68" i="24"/>
  <c r="AA68" i="24"/>
  <c r="AB46" i="24"/>
  <c r="AA46" i="24"/>
  <c r="Z47" i="24"/>
  <c r="X47" i="24"/>
  <c r="Y47" i="24"/>
  <c r="T47" i="24"/>
  <c r="S47" i="24"/>
  <c r="U47" i="24"/>
  <c r="V45" i="24"/>
  <c r="W45" i="24"/>
  <c r="W68" i="24"/>
  <c r="V68" i="24"/>
  <c r="AB24" i="24"/>
  <c r="AA24" i="24"/>
  <c r="U23" i="25" l="1"/>
  <c r="X23" i="25"/>
  <c r="Y23" i="25"/>
  <c r="T23" i="25"/>
  <c r="Z23" i="25"/>
  <c r="S23" i="25"/>
  <c r="AB70" i="25"/>
  <c r="AA70" i="25"/>
  <c r="W21" i="25"/>
  <c r="V21" i="25"/>
  <c r="AB21" i="25"/>
  <c r="AA21" i="25"/>
  <c r="U22" i="25"/>
  <c r="T22" i="25"/>
  <c r="Y22" i="25"/>
  <c r="Z22" i="25"/>
  <c r="X22" i="25"/>
  <c r="S22" i="25"/>
  <c r="W70" i="25"/>
  <c r="V70" i="25"/>
  <c r="AB47" i="24"/>
  <c r="AA47" i="24"/>
  <c r="V47" i="24"/>
  <c r="W47" i="24"/>
  <c r="W70" i="24"/>
  <c r="V70" i="24"/>
  <c r="AB70" i="24"/>
  <c r="AA70" i="24"/>
  <c r="W22" i="25" l="1"/>
  <c r="V22" i="25"/>
  <c r="W23" i="25"/>
  <c r="V23" i="25"/>
  <c r="AB23" i="25"/>
  <c r="AA23" i="25"/>
  <c r="Y24" i="25"/>
  <c r="U24" i="25"/>
  <c r="X24" i="25"/>
  <c r="Z24" i="25"/>
  <c r="S24" i="25"/>
  <c r="T24" i="25"/>
  <c r="AB22" i="25"/>
  <c r="AA22" i="25"/>
  <c r="V24" i="25" l="1"/>
  <c r="W24" i="25"/>
  <c r="AB24" i="25"/>
  <c r="AA24" i="25"/>
</calcChain>
</file>

<file path=xl/sharedStrings.xml><?xml version="1.0" encoding="utf-8"?>
<sst xmlns="http://schemas.openxmlformats.org/spreadsheetml/2006/main" count="1340" uniqueCount="110">
  <si>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</si>
  <si>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</si>
  <si>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</si>
  <si>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</si>
  <si>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</si>
  <si>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</si>
  <si>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</si>
  <si>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</si>
  <si>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</si>
  <si>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</si>
  <si>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</si>
  <si>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</si>
  <si>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</si>
  <si>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</si>
  <si>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</si>
  <si>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</si>
  <si>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</si>
  <si>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</si>
  <si>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Blank</t>
  </si>
  <si>
    <t>Average N content</t>
  </si>
  <si>
    <t>N concentration</t>
  </si>
  <si>
    <t>µg</t>
  </si>
  <si>
    <t>mol/l</t>
  </si>
  <si>
    <t>09/09/2021</t>
  </si>
  <si>
    <t>10/09/2021</t>
  </si>
  <si>
    <t>11/09/2021</t>
  </si>
  <si>
    <t>12/09/2021</t>
  </si>
  <si>
    <t>13/09/2021</t>
  </si>
  <si>
    <t>14/09/2021</t>
  </si>
  <si>
    <t>15/09/2021</t>
  </si>
  <si>
    <t>16/09/2021</t>
  </si>
  <si>
    <t>17/09/2021</t>
  </si>
  <si>
    <t>18/09/2021</t>
  </si>
  <si>
    <t>20/09/2021</t>
  </si>
  <si>
    <t>21/09/2021</t>
  </si>
  <si>
    <t>22/09/2021</t>
  </si>
  <si>
    <t>23/09/2021</t>
  </si>
  <si>
    <t>24/09/2021</t>
  </si>
  <si>
    <t>25/09/2021</t>
  </si>
  <si>
    <t>26/09/2021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</si>
  <si>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</si>
  <si>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</si>
  <si>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</si>
  <si>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</si>
  <si>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</si>
  <si>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</si>
  <si>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</si>
  <si>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</si>
  <si>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</si>
  <si>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</si>
  <si>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</si>
  <si>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</si>
  <si>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Growth curves CeBER</t>
  </si>
  <si>
    <t>Growth curves UTEX #1926</t>
  </si>
  <si>
    <t>C-phycocyanin CeBER</t>
  </si>
  <si>
    <t>C-phycocyanin UTEX #1926</t>
  </si>
  <si>
    <t>Nitrate content CeBER</t>
  </si>
  <si>
    <t>Nitrate content UTEX #1926</t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</si>
  <si>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blue light at 40 µmol/m^2.s, 60 µmol/m^2.s, and 80 µmol/m^2.s. </t>
    </r>
  </si>
  <si>
    <t>CeBER strain Spirulina growth curves</t>
  </si>
  <si>
    <t>40 µmol/m^2.s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</si>
  <si>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</si>
  <si>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</si>
  <si>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</si>
  <si>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</si>
  <si>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</si>
  <si>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</si>
  <si>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</si>
  <si>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</si>
  <si>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60 µmol/m^2.s</t>
  </si>
  <si>
    <t>Sandard error</t>
  </si>
  <si>
    <t>80 µmol/m^2.s</t>
  </si>
  <si>
    <t>UTEX #1926 strain Spirulina growth curves</t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</si>
  <si>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blue light at 40µmol/m^2.s, 60 µmol/m^2.s, and 80 µmol/m^2.s for 18 days. </t>
    </r>
  </si>
  <si>
    <r>
      <t xml:space="preserve">Details growth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blue light at 40µmol/m^2.s, 60 µmol/m^2.s, and 80 µmol/m^2.s for 18 days. </t>
    </r>
  </si>
  <si>
    <t xml:space="preserve">Details c-phycocyanin data achieved when growing the CeBER Spirulina strain in blue light at 40µmol/m^2.s, 60 µmol/m^2.s, and 80 µmol/m^2.s for 18 days. </t>
  </si>
  <si>
    <t xml:space="preserve">Details c-phycocyanin data achieved when growing the UTEX #1926 Spirulina strain in blue light at 40µmol/m^2.s, 60 µmol/m^2.s, and 80 µmol/m^2.s for 18 days. </t>
  </si>
  <si>
    <t xml:space="preserve">Details the nitrate data achieved when growing the CeBER Spirulina strain in blue light at 40µmol/m^2.s, 60 µmol/m^2.s, and 80 µmol/m^2.s for 18 days. </t>
  </si>
  <si>
    <t xml:space="preserve">Details the nitrate data achieved when growing the UTEX #1926 Spirulina strain in blue light at 40µmol/m^2.s, 60 µmol/m^2.s, and 80 µmol/m^2.s for 18 days. </t>
  </si>
  <si>
    <t>Phycocyanin content from CeBER Spirulina</t>
  </si>
  <si>
    <t>OD at 650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</si>
  <si>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</si>
  <si>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</si>
  <si>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</si>
  <si>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</si>
  <si>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</si>
  <si>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</si>
  <si>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</si>
  <si>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</si>
  <si>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</si>
  <si>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</si>
  <si>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mg CPC/g biomass</t>
  </si>
  <si>
    <t>mg CPC/L</t>
  </si>
  <si>
    <t>mg CPC/L.h</t>
  </si>
  <si>
    <t>Phycocyanin content from UTEX #1926 Spirulina</t>
  </si>
  <si>
    <t>Nitrate content determination for the CeBER Spirulina strain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</si>
  <si>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</si>
  <si>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</si>
  <si>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</si>
  <si>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N content (µg)</t>
  </si>
  <si>
    <t>Data extracted for plots</t>
  </si>
  <si>
    <t>OD at 620 nm</t>
  </si>
  <si>
    <t>Reading 1</t>
  </si>
  <si>
    <t>Reading 2</t>
  </si>
  <si>
    <t>Bottle 1</t>
  </si>
  <si>
    <t>Bottle 2</t>
  </si>
  <si>
    <t>Bottle 3</t>
  </si>
  <si>
    <t>OD at 410 nm</t>
  </si>
  <si>
    <t>Reading 3</t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</si>
  <si>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blue light at 40 µmol/m^2.s, 60 µmol/m^2.s, and 80 µmol/m^2.s.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</si>
</sst>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  <font>
      <i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8">
    <xf numFmtId="0" fontId="0" fillId="0" borderId="0" xfId="0"/>
    <xf numFmtId="0" fontId="2" fillId="0" borderId="0" xfId="0" applyFont="1"/>
    <xf numFmtId="1" fontId="2" fillId="0" borderId="0" xfId="0" applyNumberFormat="1" applyFont="1"/>
    <xf numFmtId="168" fontId="2" fillId="0" borderId="0" xfId="0" applyNumberFormat="1" applyFont="1"/>
    <xf numFmtId="0" fontId="4" fillId="0" borderId="0" xfId="0" applyFont="1" applyAlignment="1">
      <alignment vertical="top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9" fillId="7" borderId="0" xfId="0" applyFont="1" applyFill="1" applyAlignment="1">
      <alignment horizontal="left" vertical="top" wrapText="1"/>
    </xf>
    <xf numFmtId="0" fontId="9" fillId="7" borderId="0" xfId="0" applyFont="1" applyFill="1" applyAlignment="1">
      <alignment horizontal="center" vertical="top" wrapText="1"/>
    </xf>
    <xf numFmtId="167" fontId="9" fillId="7" borderId="0" xfId="0" applyNumberFormat="1" applyFont="1" applyFill="1" applyAlignment="1">
      <alignment horizontal="left" vertical="top" wrapText="1"/>
    </xf>
    <xf numFmtId="0" fontId="9" fillId="7" borderId="18" xfId="0" applyFont="1" applyFill="1" applyBorder="1" applyAlignment="1">
      <alignment horizontal="left" vertical="top" wrapText="1"/>
    </xf>
    <xf numFmtId="0" fontId="9" fillId="7" borderId="18" xfId="0" applyFont="1" applyFill="1" applyBorder="1" applyAlignment="1">
      <alignment horizontal="center" vertical="top" wrapText="1"/>
    </xf>
    <xf numFmtId="167" fontId="9" fillId="7" borderId="18" xfId="0" applyNumberFormat="1" applyFont="1" applyFill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12" fillId="12" borderId="18" xfId="0" applyFont="1" applyFill="1" applyBorder="1" applyAlignment="1">
      <alignment vertical="top" wrapText="1"/>
    </xf>
    <xf numFmtId="0" fontId="12" fillId="8" borderId="18" xfId="0" applyFont="1" applyFill="1" applyBorder="1" applyAlignment="1">
      <alignment horizontal="center" vertical="top" wrapText="1"/>
    </xf>
    <xf numFmtId="0" fontId="12" fillId="7" borderId="18" xfId="0" applyFont="1" applyFill="1" applyBorder="1" applyAlignment="1">
      <alignment vertical="top" wrapText="1"/>
    </xf>
    <xf numFmtId="0" fontId="6" fillId="12" borderId="0" xfId="0" applyFont="1" applyFill="1" applyAlignment="1">
      <alignment vertical="top" wrapText="1"/>
    </xf>
    <xf numFmtId="0" fontId="6" fillId="8" borderId="0" xfId="0" applyFont="1" applyFill="1" applyAlignment="1">
      <alignment horizontal="center" vertical="top" wrapText="1"/>
    </xf>
    <xf numFmtId="0" fontId="6" fillId="7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15" xfId="0" applyFont="1" applyBorder="1"/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0" fontId="6" fillId="4" borderId="13" xfId="0" applyFont="1" applyFill="1" applyBorder="1"/>
    <xf numFmtId="0" fontId="6" fillId="4" borderId="1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4" xfId="0" applyFont="1" applyFill="1" applyBorder="1"/>
    <xf numFmtId="0" fontId="6" fillId="4" borderId="12" xfId="0" applyFont="1" applyFill="1" applyBorder="1" applyAlignment="1">
      <alignment horizontal="center"/>
    </xf>
    <xf numFmtId="0" fontId="6" fillId="4" borderId="26" xfId="0" applyFont="1" applyFill="1" applyBorder="1"/>
    <xf numFmtId="14" fontId="9" fillId="0" borderId="15" xfId="0" applyNumberFormat="1" applyFont="1" applyBorder="1"/>
    <xf numFmtId="164" fontId="9" fillId="0" borderId="0" xfId="0" applyNumberFormat="1" applyFont="1"/>
    <xf numFmtId="1" fontId="9" fillId="0" borderId="0" xfId="0" applyNumberFormat="1" applyFont="1"/>
    <xf numFmtId="0" fontId="9" fillId="0" borderId="16" xfId="0" applyFont="1" applyBorder="1"/>
    <xf numFmtId="165" fontId="9" fillId="0" borderId="15" xfId="0" applyNumberFormat="1" applyFont="1" applyBorder="1"/>
    <xf numFmtId="165" fontId="9" fillId="0" borderId="0" xfId="0" applyNumberFormat="1" applyFont="1"/>
    <xf numFmtId="165" fontId="9" fillId="5" borderId="0" xfId="0" applyNumberFormat="1" applyFont="1" applyFill="1"/>
    <xf numFmtId="0" fontId="6" fillId="0" borderId="16" xfId="0" applyFont="1" applyBorder="1"/>
    <xf numFmtId="167" fontId="9" fillId="0" borderId="15" xfId="0" applyNumberFormat="1" applyFont="1" applyBorder="1"/>
    <xf numFmtId="0" fontId="9" fillId="0" borderId="15" xfId="0" applyFont="1" applyBorder="1"/>
    <xf numFmtId="0" fontId="6" fillId="0" borderId="0" xfId="0" applyFont="1" applyAlignment="1">
      <alignment horizontal="center"/>
    </xf>
    <xf numFmtId="0" fontId="15" fillId="0" borderId="0" xfId="0" applyFont="1"/>
    <xf numFmtId="2" fontId="9" fillId="0" borderId="16" xfId="0" applyNumberFormat="1" applyFont="1" applyBorder="1"/>
    <xf numFmtId="168" fontId="9" fillId="0" borderId="0" xfId="0" applyNumberFormat="1" applyFont="1"/>
    <xf numFmtId="0" fontId="9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 wrapText="1"/>
    </xf>
    <xf numFmtId="0" fontId="9" fillId="7" borderId="40" xfId="0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37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8" borderId="13" xfId="0" applyFont="1" applyFill="1" applyBorder="1" applyAlignment="1">
      <alignment horizontal="center" vertical="center"/>
    </xf>
    <xf numFmtId="0" fontId="9" fillId="8" borderId="14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/>
    </xf>
    <xf numFmtId="0" fontId="9" fillId="8" borderId="1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6" xfId="0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9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 wrapText="1"/>
    </xf>
    <xf numFmtId="0" fontId="9" fillId="9" borderId="0" xfId="0" applyFont="1" applyFill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65" fontId="9" fillId="0" borderId="23" xfId="0" applyNumberFormat="1" applyFont="1" applyBorder="1" applyAlignment="1">
      <alignment horizontal="center" vertical="center"/>
    </xf>
    <xf numFmtId="165" fontId="9" fillId="0" borderId="25" xfId="0" applyNumberFormat="1" applyFont="1" applyBorder="1" applyAlignment="1">
      <alignment horizontal="center" vertical="center"/>
    </xf>
    <xf numFmtId="165" fontId="9" fillId="0" borderId="24" xfId="0" applyNumberFormat="1" applyFont="1" applyBorder="1" applyAlignment="1">
      <alignment horizontal="center" vertical="center"/>
    </xf>
    <xf numFmtId="169" fontId="9" fillId="0" borderId="24" xfId="0" applyNumberFormat="1" applyFont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 wrapText="1"/>
    </xf>
    <xf numFmtId="2" fontId="9" fillId="9" borderId="24" xfId="0" applyNumberFormat="1" applyFont="1" applyFill="1" applyBorder="1" applyAlignment="1">
      <alignment horizontal="center" vertical="center"/>
    </xf>
    <xf numFmtId="2" fontId="9" fillId="0" borderId="24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165" fontId="9" fillId="0" borderId="21" xfId="0" applyNumberFormat="1" applyFont="1" applyBorder="1" applyAlignment="1">
      <alignment horizontal="center" vertical="center"/>
    </xf>
    <xf numFmtId="165" fontId="9" fillId="0" borderId="26" xfId="0" applyNumberFormat="1" applyFont="1" applyBorder="1" applyAlignment="1">
      <alignment horizontal="center" vertical="center"/>
    </xf>
    <xf numFmtId="2" fontId="9" fillId="9" borderId="0" xfId="0" applyNumberFormat="1" applyFont="1" applyFill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9" fontId="9" fillId="0" borderId="11" xfId="0" applyNumberFormat="1" applyFont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 wrapText="1"/>
    </xf>
    <xf numFmtId="2" fontId="9" fillId="9" borderId="11" xfId="0" applyNumberFormat="1" applyFont="1" applyFill="1" applyBorder="1" applyAlignment="1">
      <alignment horizontal="center" vertical="center"/>
    </xf>
    <xf numFmtId="2" fontId="9" fillId="0" borderId="11" xfId="0" applyNumberFormat="1" applyFont="1" applyBorder="1" applyAlignment="1">
      <alignment horizontal="center" vertical="center"/>
    </xf>
    <xf numFmtId="170" fontId="9" fillId="0" borderId="16" xfId="0" applyNumberFormat="1" applyFont="1" applyBorder="1" applyAlignment="1">
      <alignment horizontal="center" vertical="center"/>
    </xf>
    <xf numFmtId="0" fontId="9" fillId="9" borderId="11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 vertical="center"/>
    </xf>
    <xf numFmtId="165" fontId="9" fillId="0" borderId="18" xfId="0" applyNumberFormat="1" applyFont="1" applyBorder="1" applyAlignment="1">
      <alignment horizontal="center" vertical="center"/>
    </xf>
    <xf numFmtId="169" fontId="9" fillId="0" borderId="18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 wrapText="1"/>
    </xf>
    <xf numFmtId="2" fontId="9" fillId="9" borderId="18" xfId="0" applyNumberFormat="1" applyFont="1" applyFill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/>
    </xf>
    <xf numFmtId="170" fontId="9" fillId="0" borderId="19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0" fontId="11" fillId="0" borderId="41" xfId="0" applyFont="1" applyBorder="1" applyAlignment="1">
      <alignment vertical="center"/>
    </xf>
    <xf numFmtId="0" fontId="9" fillId="7" borderId="4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7" fillId="0" borderId="0" xfId="0" applyFont="1"/>
    <xf numFmtId="167" fontId="9" fillId="8" borderId="15" xfId="0" applyNumberFormat="1" applyFont="1" applyFill="1" applyBorder="1"/>
    <xf numFmtId="0" fontId="9" fillId="8" borderId="30" xfId="0" applyFont="1" applyFill="1" applyBorder="1"/>
    <xf numFmtId="0" fontId="9" fillId="11" borderId="0" xfId="0" applyFont="1" applyFill="1" applyAlignment="1">
      <alignment horizontal="center" vertical="center"/>
    </xf>
    <xf numFmtId="165" fontId="9" fillId="11" borderId="0" xfId="0" applyNumberFormat="1" applyFont="1" applyFill="1" applyAlignment="1">
      <alignment horizontal="center" vertical="center"/>
    </xf>
    <xf numFmtId="165" fontId="9" fillId="11" borderId="11" xfId="0" applyNumberFormat="1" applyFont="1" applyFill="1" applyBorder="1" applyAlignment="1">
      <alignment horizontal="center" vertical="center"/>
    </xf>
    <xf numFmtId="165" fontId="9" fillId="11" borderId="24" xfId="0" applyNumberFormat="1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" fillId="0" borderId="0" xfId="0" applyFont="1"/>
    <xf numFmtId="166" fontId="9" fillId="0" borderId="0" xfId="0" applyNumberFormat="1" applyFont="1"/>
    <xf numFmtId="0" fontId="9" fillId="0" borderId="17" xfId="0" applyFont="1" applyBorder="1"/>
    <xf numFmtId="164" fontId="9" fillId="0" borderId="18" xfId="0" applyNumberFormat="1" applyFont="1" applyBorder="1"/>
    <xf numFmtId="168" fontId="9" fillId="0" borderId="18" xfId="0" applyNumberFormat="1" applyFont="1" applyBorder="1"/>
    <xf numFmtId="0" fontId="9" fillId="0" borderId="19" xfId="0" applyFont="1" applyBorder="1"/>
    <xf numFmtId="165" fontId="9" fillId="0" borderId="17" xfId="0" applyNumberFormat="1" applyFont="1" applyBorder="1"/>
    <xf numFmtId="165" fontId="9" fillId="0" borderId="18" xfId="0" applyNumberFormat="1" applyFont="1" applyBorder="1"/>
    <xf numFmtId="165" fontId="9" fillId="5" borderId="18" xfId="0" applyNumberFormat="1" applyFont="1" applyFill="1" applyBorder="1"/>
    <xf numFmtId="166" fontId="9" fillId="0" borderId="18" xfId="0" applyNumberFormat="1" applyFont="1" applyBorder="1"/>
    <xf numFmtId="0" fontId="6" fillId="0" borderId="19" xfId="0" applyFont="1" applyBorder="1"/>
    <xf numFmtId="2" fontId="2" fillId="0" borderId="0" xfId="0" applyNumberFormat="1" applyFont="1"/>
    <xf numFmtId="167" fontId="9" fillId="0" borderId="17" xfId="0" applyNumberFormat="1" applyFont="1" applyBorder="1"/>
    <xf numFmtId="1" fontId="9" fillId="0" borderId="18" xfId="0" applyNumberFormat="1" applyFont="1" applyBorder="1"/>
    <xf numFmtId="0" fontId="9" fillId="0" borderId="28" xfId="0" applyFont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0" fontId="9" fillId="8" borderId="0" xfId="0" applyFont="1" applyFill="1"/>
    <xf numFmtId="164" fontId="9" fillId="8" borderId="0" xfId="0" applyNumberFormat="1" applyFont="1" applyFill="1"/>
    <xf numFmtId="165" fontId="9" fillId="11" borderId="18" xfId="0" applyNumberFormat="1" applyFont="1" applyFill="1" applyBorder="1" applyAlignment="1">
      <alignment horizontal="center" vertical="center"/>
    </xf>
    <xf numFmtId="0" fontId="11" fillId="0" borderId="35" xfId="0" applyFont="1" applyBorder="1" applyAlignment="1">
      <alignment vertical="center"/>
    </xf>
    <xf numFmtId="0" fontId="9" fillId="8" borderId="42" xfId="0" applyFont="1" applyFill="1" applyBorder="1" applyAlignment="1">
      <alignment horizontal="center" vertical="center"/>
    </xf>
    <xf numFmtId="0" fontId="9" fillId="8" borderId="43" xfId="0" applyFont="1" applyFill="1" applyBorder="1" applyAlignment="1">
      <alignment horizontal="center" vertical="center"/>
    </xf>
    <xf numFmtId="0" fontId="9" fillId="8" borderId="0" xfId="0" applyFont="1" applyFill="1" applyAlignment="1">
      <alignment horizontal="center"/>
    </xf>
    <xf numFmtId="0" fontId="9" fillId="8" borderId="0" xfId="0" applyFont="1" applyFill="1" applyAlignment="1">
      <alignment horizontal="center" vertical="center"/>
    </xf>
    <xf numFmtId="165" fontId="9" fillId="0" borderId="16" xfId="0" applyNumberFormat="1" applyFont="1" applyBorder="1"/>
    <xf numFmtId="165" fontId="9" fillId="0" borderId="0" xfId="0" applyNumberFormat="1" applyFont="1" applyAlignment="1">
      <alignment horizontal="center"/>
    </xf>
    <xf numFmtId="165" fontId="9" fillId="5" borderId="0" xfId="0" applyNumberFormat="1" applyFont="1" applyFill="1" applyAlignment="1">
      <alignment horizontal="center"/>
    </xf>
    <xf numFmtId="165" fontId="9" fillId="0" borderId="16" xfId="0" applyNumberFormat="1" applyFont="1" applyBorder="1" applyAlignment="1">
      <alignment horizontal="center"/>
    </xf>
    <xf numFmtId="0" fontId="9" fillId="5" borderId="0" xfId="0" applyFont="1" applyFill="1"/>
    <xf numFmtId="165" fontId="9" fillId="0" borderId="19" xfId="0" applyNumberFormat="1" applyFont="1" applyBorder="1"/>
    <xf numFmtId="0" fontId="9" fillId="8" borderId="0" xfId="0" applyFont="1" applyFill="1" applyAlignment="1">
      <alignment horizontal="left" vertical="top" wrapText="1"/>
    </xf>
    <xf numFmtId="0" fontId="3" fillId="12" borderId="0" xfId="0" applyFont="1" applyFill="1" applyAlignment="1">
      <alignment horizontal="left" vertical="center" wrapText="1"/>
    </xf>
    <xf numFmtId="0" fontId="7" fillId="12" borderId="0" xfId="0" applyFont="1" applyFill="1" applyAlignment="1">
      <alignment horizontal="left" vertical="top" wrapText="1"/>
    </xf>
    <xf numFmtId="0" fontId="6" fillId="12" borderId="0" xfId="0" applyFont="1" applyFill="1" applyAlignment="1">
      <alignment horizontal="left" vertical="top" wrapText="1"/>
    </xf>
    <xf numFmtId="0" fontId="8" fillId="12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6" fillId="8" borderId="0" xfId="0" applyFont="1" applyFill="1" applyAlignment="1">
      <alignment horizontal="left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9" fillId="0" borderId="16" xfId="0" applyFont="1" applyBorder="1" applyAlignment="1">
      <alignment horizontal="right"/>
    </xf>
    <xf numFmtId="167" fontId="9" fillId="0" borderId="15" xfId="0" applyNumberFormat="1" applyFont="1" applyBorder="1" applyAlignment="1">
      <alignment horizontal="left"/>
    </xf>
    <xf numFmtId="14" fontId="9" fillId="0" borderId="15" xfId="0" applyNumberFormat="1" applyFont="1" applyBorder="1" applyAlignment="1">
      <alignment horizontal="left"/>
    </xf>
    <xf numFmtId="0" fontId="6" fillId="4" borderId="2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3" borderId="33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20" fontId="9" fillId="0" borderId="11" xfId="0" applyNumberFormat="1" applyFont="1" applyBorder="1" applyAlignment="1">
      <alignment horizontal="center" vertical="center"/>
    </xf>
    <xf numFmtId="20" fontId="9" fillId="0" borderId="0" xfId="0" applyNumberFormat="1" applyFont="1" applyAlignment="1">
      <alignment horizontal="center" vertical="center"/>
    </xf>
    <xf numFmtId="20" fontId="9" fillId="0" borderId="24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65" fontId="9" fillId="0" borderId="21" xfId="0" applyNumberFormat="1" applyFont="1" applyBorder="1" applyAlignment="1">
      <alignment horizontal="center" vertical="center"/>
    </xf>
    <xf numFmtId="165" fontId="9" fillId="0" borderId="15" xfId="0" applyNumberFormat="1" applyFont="1" applyBorder="1" applyAlignment="1">
      <alignment horizontal="center" vertical="center"/>
    </xf>
    <xf numFmtId="165" fontId="9" fillId="0" borderId="23" xfId="0" applyNumberFormat="1" applyFont="1" applyBorder="1" applyAlignment="1">
      <alignment horizontal="center" vertical="center"/>
    </xf>
    <xf numFmtId="165" fontId="9" fillId="0" borderId="26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165" fontId="9" fillId="0" borderId="25" xfId="0" applyNumberFormat="1" applyFont="1" applyBorder="1" applyAlignment="1">
      <alignment horizontal="center" vertical="center"/>
    </xf>
    <xf numFmtId="1" fontId="9" fillId="0" borderId="11" xfId="0" applyNumberFormat="1" applyFont="1" applyBorder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168" fontId="9" fillId="0" borderId="0" xfId="0" applyNumberFormat="1" applyFont="1" applyAlignment="1">
      <alignment horizontal="center" vertical="center"/>
    </xf>
    <xf numFmtId="168" fontId="9" fillId="0" borderId="24" xfId="0" applyNumberFormat="1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165" fontId="9" fillId="0" borderId="19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20" fontId="9" fillId="0" borderId="18" xfId="0" applyNumberFormat="1" applyFont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5" fontId="9" fillId="0" borderId="24" xfId="0" applyNumberFormat="1" applyFont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7" borderId="23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/>
    </xf>
    <xf numFmtId="0" fontId="9" fillId="7" borderId="39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 wrapText="1"/>
    </xf>
    <xf numFmtId="0" fontId="9" fillId="7" borderId="39" xfId="0" applyFont="1" applyFill="1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9" fillId="0" borderId="24" xfId="0" applyNumberFormat="1" applyFont="1" applyBorder="1" applyAlignment="1">
      <alignment horizontal="center" vertical="center"/>
    </xf>
    <xf numFmtId="14" fontId="9" fillId="0" borderId="15" xfId="0" applyNumberFormat="1" applyFont="1" applyBorder="1" applyAlignment="1">
      <alignment horizontal="center" vertical="center"/>
    </xf>
    <xf numFmtId="14" fontId="9" fillId="0" borderId="23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165" fontId="9" fillId="0" borderId="30" xfId="0" applyNumberFormat="1" applyFont="1" applyBorder="1" applyAlignment="1">
      <alignment horizontal="center" vertical="center"/>
    </xf>
    <xf numFmtId="165" fontId="9" fillId="0" borderId="31" xfId="0" applyNumberFormat="1" applyFont="1" applyBorder="1" applyAlignment="1">
      <alignment horizontal="center" vertical="center"/>
    </xf>
    <xf numFmtId="165" fontId="9" fillId="0" borderId="29" xfId="0" applyNumberFormat="1" applyFont="1" applyBorder="1" applyAlignment="1">
      <alignment horizontal="center" vertical="center"/>
    </xf>
    <xf numFmtId="167" fontId="9" fillId="0" borderId="15" xfId="0" applyNumberFormat="1" applyFont="1" applyBorder="1" applyAlignment="1">
      <alignment horizontal="center" vertical="center"/>
    </xf>
    <xf numFmtId="167" fontId="9" fillId="0" borderId="23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5" fontId="9" fillId="0" borderId="44" xfId="0" applyNumberFormat="1" applyFont="1" applyBorder="1" applyAlignment="1">
      <alignment horizontal="center" vertical="center"/>
    </xf>
    <xf numFmtId="167" fontId="9" fillId="0" borderId="17" xfId="0" applyNumberFormat="1" applyFont="1" applyBorder="1" applyAlignment="1">
      <alignment horizontal="center" vertical="center"/>
    </xf>
    <xf numFmtId="164" fontId="9" fillId="0" borderId="18" xfId="0" applyNumberFormat="1" applyFont="1" applyBorder="1" applyAlignment="1">
      <alignment horizontal="center" vertical="center"/>
    </xf>
    <xf numFmtId="167" fontId="9" fillId="0" borderId="2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10" borderId="1" xfId="0" applyFont="1" applyFill="1" applyBorder="1" applyAlignment="1">
      <alignment horizontal="left" vertical="center"/>
    </xf>
    <xf numFmtId="0" fontId="8" fillId="10" borderId="2" xfId="0" applyFont="1" applyFill="1" applyBorder="1" applyAlignment="1">
      <alignment horizontal="left" vertical="center"/>
    </xf>
    <xf numFmtId="0" fontId="8" fillId="10" borderId="3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CAEECA"/>
      <color rgb="FFE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CeBER'!$A$87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CeBER'!$R$5:$R$24</c:f>
                <c:numCache>
                  <c:formatCode>General</c:formatCode>
                  <c:ptCount val="20"/>
                  <c:pt idx="0">
                    <c:v>1.4037161783375664E-2</c:v>
                  </c:pt>
                  <c:pt idx="1">
                    <c:v>1.2462510690539979E-2</c:v>
                  </c:pt>
                  <c:pt idx="2">
                    <c:v>1.8783069488888107E-2</c:v>
                  </c:pt>
                  <c:pt idx="3">
                    <c:v>3.3474158150628125E-2</c:v>
                  </c:pt>
                  <c:pt idx="4">
                    <c:v>2.4510197336171533E-2</c:v>
                  </c:pt>
                  <c:pt idx="5">
                    <c:v>2.0606006523526673E-2</c:v>
                  </c:pt>
                  <c:pt idx="6">
                    <c:v>1.0297206996204332E-2</c:v>
                  </c:pt>
                  <c:pt idx="7">
                    <c:v>3.4882029381254884E-2</c:v>
                  </c:pt>
                  <c:pt idx="8">
                    <c:v>1.2129125809429575E-2</c:v>
                  </c:pt>
                  <c:pt idx="9">
                    <c:v>2.5469268202203878E-2</c:v>
                  </c:pt>
                  <c:pt idx="10">
                    <c:v>1.3779652497348241E-2</c:v>
                  </c:pt>
                  <c:pt idx="11">
                    <c:v>5.1669016483978239E-3</c:v>
                  </c:pt>
                  <c:pt idx="12">
                    <c:v>2.1650687681935826E-2</c:v>
                  </c:pt>
                  <c:pt idx="13">
                    <c:v>2.5129948706254564E-2</c:v>
                  </c:pt>
                  <c:pt idx="14">
                    <c:v>1.3508753952211535E-2</c:v>
                  </c:pt>
                  <c:pt idx="15">
                    <c:v>6.2127541395935E-3</c:v>
                  </c:pt>
                  <c:pt idx="16">
                    <c:v>2.1965859426474579E-2</c:v>
                  </c:pt>
                  <c:pt idx="17">
                    <c:v>1.9113655698096626E-2</c:v>
                  </c:pt>
                  <c:pt idx="18">
                    <c:v>9.8847563791675877E-3</c:v>
                  </c:pt>
                  <c:pt idx="19">
                    <c:v>3.2699014708243532E-2</c:v>
                  </c:pt>
                </c:numCache>
              </c:numRef>
            </c:plus>
            <c:minus>
              <c:numRef>
                <c:f>'Growth curves CeBER'!$R$5:$R$24</c:f>
                <c:numCache>
                  <c:formatCode>General</c:formatCode>
                  <c:ptCount val="20"/>
                  <c:pt idx="0">
                    <c:v>1.4037161783375664E-2</c:v>
                  </c:pt>
                  <c:pt idx="1">
                    <c:v>1.2462510690539979E-2</c:v>
                  </c:pt>
                  <c:pt idx="2">
                    <c:v>1.8783069488888107E-2</c:v>
                  </c:pt>
                  <c:pt idx="3">
                    <c:v>3.3474158150628125E-2</c:v>
                  </c:pt>
                  <c:pt idx="4">
                    <c:v>2.4510197336171533E-2</c:v>
                  </c:pt>
                  <c:pt idx="5">
                    <c:v>2.0606006523526673E-2</c:v>
                  </c:pt>
                  <c:pt idx="6">
                    <c:v>1.0297206996204332E-2</c:v>
                  </c:pt>
                  <c:pt idx="7">
                    <c:v>3.4882029381254884E-2</c:v>
                  </c:pt>
                  <c:pt idx="8">
                    <c:v>1.2129125809429575E-2</c:v>
                  </c:pt>
                  <c:pt idx="9">
                    <c:v>2.5469268202203878E-2</c:v>
                  </c:pt>
                  <c:pt idx="10">
                    <c:v>1.3779652497348241E-2</c:v>
                  </c:pt>
                  <c:pt idx="11">
                    <c:v>5.1669016483978239E-3</c:v>
                  </c:pt>
                  <c:pt idx="12">
                    <c:v>2.1650687681935826E-2</c:v>
                  </c:pt>
                  <c:pt idx="13">
                    <c:v>2.5129948706254564E-2</c:v>
                  </c:pt>
                  <c:pt idx="14">
                    <c:v>1.3508753952211535E-2</c:v>
                  </c:pt>
                  <c:pt idx="15">
                    <c:v>6.2127541395935E-3</c:v>
                  </c:pt>
                  <c:pt idx="16">
                    <c:v>2.1965859426474579E-2</c:v>
                  </c:pt>
                  <c:pt idx="17">
                    <c:v>1.9113655698096626E-2</c:v>
                  </c:pt>
                  <c:pt idx="18">
                    <c:v>9.8847563791675877E-3</c:v>
                  </c:pt>
                  <c:pt idx="19">
                    <c:v>3.2699014708243532E-2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CeBER'!$D$5:$D$24</c:f>
              <c:numCache>
                <c:formatCode>0</c:formatCode>
                <c:ptCount val="20"/>
                <c:pt idx="0">
                  <c:v>0</c:v>
                </c:pt>
                <c:pt idx="1">
                  <c:v>5.5</c:v>
                </c:pt>
                <c:pt idx="2">
                  <c:v>10</c:v>
                </c:pt>
                <c:pt idx="3">
                  <c:v>24</c:v>
                </c:pt>
                <c:pt idx="4">
                  <c:v>29.5</c:v>
                </c:pt>
                <c:pt idx="5">
                  <c:v>49.5</c:v>
                </c:pt>
                <c:pt idx="6">
                  <c:v>73.5</c:v>
                </c:pt>
                <c:pt idx="7">
                  <c:v>96</c:v>
                </c:pt>
                <c:pt idx="8">
                  <c:v>120</c:v>
                </c:pt>
                <c:pt idx="9">
                  <c:v>144</c:v>
                </c:pt>
                <c:pt idx="10">
                  <c:v>168</c:v>
                </c:pt>
                <c:pt idx="11">
                  <c:v>192</c:v>
                </c:pt>
                <c:pt idx="12">
                  <c:v>216</c:v>
                </c:pt>
                <c:pt idx="13">
                  <c:v>264</c:v>
                </c:pt>
                <c:pt idx="14">
                  <c:v>288</c:v>
                </c:pt>
                <c:pt idx="15">
                  <c:v>312</c:v>
                </c:pt>
                <c:pt idx="16">
                  <c:v>336</c:v>
                </c:pt>
                <c:pt idx="17">
                  <c:v>361.5</c:v>
                </c:pt>
                <c:pt idx="18">
                  <c:v>386</c:v>
                </c:pt>
                <c:pt idx="19">
                  <c:v>409.5</c:v>
                </c:pt>
              </c:numCache>
            </c:numRef>
          </c:xVal>
          <c:yVal>
            <c:numRef>
              <c:f>'Growth curves CeBER'!$Q$5:$Q$24</c:f>
              <c:numCache>
                <c:formatCode>0.000</c:formatCode>
                <c:ptCount val="20"/>
                <c:pt idx="0">
                  <c:v>-2.1513440404702497</c:v>
                </c:pt>
                <c:pt idx="1">
                  <c:v>-2.0190953238682781</c:v>
                </c:pt>
                <c:pt idx="2">
                  <c:v>-1.8861490504260356</c:v>
                </c:pt>
                <c:pt idx="3">
                  <c:v>-1.6386126072932516</c:v>
                </c:pt>
                <c:pt idx="4">
                  <c:v>-1.5926357008265482</c:v>
                </c:pt>
                <c:pt idx="5">
                  <c:v>-1.2808237599473997</c:v>
                </c:pt>
                <c:pt idx="6">
                  <c:v>-1.0009929306404308</c:v>
                </c:pt>
                <c:pt idx="7">
                  <c:v>-0.79382185103448455</c:v>
                </c:pt>
                <c:pt idx="8">
                  <c:v>-0.63511861133089653</c:v>
                </c:pt>
                <c:pt idx="9">
                  <c:v>-0.45252046401786111</c:v>
                </c:pt>
                <c:pt idx="10">
                  <c:v>-0.32998416829411892</c:v>
                </c:pt>
                <c:pt idx="11">
                  <c:v>-0.17886014872452757</c:v>
                </c:pt>
                <c:pt idx="12">
                  <c:v>-6.513115800594306E-2</c:v>
                </c:pt>
                <c:pt idx="13">
                  <c:v>7.9789560563429077E-2</c:v>
                </c:pt>
                <c:pt idx="14">
                  <c:v>0.1777570604728452</c:v>
                </c:pt>
                <c:pt idx="15">
                  <c:v>0.25151747364819294</c:v>
                </c:pt>
                <c:pt idx="16">
                  <c:v>0.28717514988983078</c:v>
                </c:pt>
                <c:pt idx="17">
                  <c:v>0.34743033176777932</c:v>
                </c:pt>
                <c:pt idx="18">
                  <c:v>0.44685458812772283</c:v>
                </c:pt>
                <c:pt idx="19">
                  <c:v>0.44535353465685912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D6-5F40-816E-D69C44EE7AB3}"/>
            </c:ext>
          </c:extLst>
        </c:ser>
        <c:ser>
          <c:idx val="1"/>
          <c:order val="1"/>
          <c:tx>
            <c:strRef>
              <c:f>'Growth curves CeBER'!$B$87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CeBER'!$R$28:$R$47</c:f>
                <c:numCache>
                  <c:formatCode>General</c:formatCode>
                  <c:ptCount val="20"/>
                  <c:pt idx="0">
                    <c:v>2.568893546487399E-2</c:v>
                  </c:pt>
                  <c:pt idx="1">
                    <c:v>1.9066627835706368E-2</c:v>
                  </c:pt>
                  <c:pt idx="2">
                    <c:v>2.5412427049389792E-2</c:v>
                  </c:pt>
                  <c:pt idx="3">
                    <c:v>2.4650916537574511E-2</c:v>
                  </c:pt>
                  <c:pt idx="4">
                    <c:v>9.4091412255439336E-3</c:v>
                  </c:pt>
                  <c:pt idx="5">
                    <c:v>2.5151643155937105E-2</c:v>
                  </c:pt>
                  <c:pt idx="6">
                    <c:v>4.0245741093326119E-2</c:v>
                  </c:pt>
                  <c:pt idx="7">
                    <c:v>2.2561273361221632E-2</c:v>
                  </c:pt>
                  <c:pt idx="8">
                    <c:v>2.5466072638284928E-2</c:v>
                  </c:pt>
                  <c:pt idx="9">
                    <c:v>3.8559159513047753E-2</c:v>
                  </c:pt>
                  <c:pt idx="10">
                    <c:v>2.2357574071004194E-2</c:v>
                  </c:pt>
                  <c:pt idx="11">
                    <c:v>4.0349941011881212E-2</c:v>
                  </c:pt>
                  <c:pt idx="12">
                    <c:v>3.6096647481940879E-2</c:v>
                  </c:pt>
                  <c:pt idx="13">
                    <c:v>4.6611435406522739E-2</c:v>
                  </c:pt>
                  <c:pt idx="14">
                    <c:v>5.4734037366930458E-2</c:v>
                  </c:pt>
                  <c:pt idx="15">
                    <c:v>4.8174076835509234E-2</c:v>
                  </c:pt>
                  <c:pt idx="16">
                    <c:v>6.3027099232541933E-2</c:v>
                  </c:pt>
                  <c:pt idx="17">
                    <c:v>3.9019460061336456E-2</c:v>
                  </c:pt>
                  <c:pt idx="18">
                    <c:v>2.8238149074625522E-2</c:v>
                  </c:pt>
                  <c:pt idx="19">
                    <c:v>4.0764950560750447E-2</c:v>
                  </c:pt>
                </c:numCache>
              </c:numRef>
            </c:plus>
            <c:minus>
              <c:numRef>
                <c:f>'Growth curves CeBER'!$R$28:$R$47</c:f>
                <c:numCache>
                  <c:formatCode>General</c:formatCode>
                  <c:ptCount val="20"/>
                  <c:pt idx="0">
                    <c:v>2.568893546487399E-2</c:v>
                  </c:pt>
                  <c:pt idx="1">
                    <c:v>1.9066627835706368E-2</c:v>
                  </c:pt>
                  <c:pt idx="2">
                    <c:v>2.5412427049389792E-2</c:v>
                  </c:pt>
                  <c:pt idx="3">
                    <c:v>2.4650916537574511E-2</c:v>
                  </c:pt>
                  <c:pt idx="4">
                    <c:v>9.4091412255439336E-3</c:v>
                  </c:pt>
                  <c:pt idx="5">
                    <c:v>2.5151643155937105E-2</c:v>
                  </c:pt>
                  <c:pt idx="6">
                    <c:v>4.0245741093326119E-2</c:v>
                  </c:pt>
                  <c:pt idx="7">
                    <c:v>2.2561273361221632E-2</c:v>
                  </c:pt>
                  <c:pt idx="8">
                    <c:v>2.5466072638284928E-2</c:v>
                  </c:pt>
                  <c:pt idx="9">
                    <c:v>3.8559159513047753E-2</c:v>
                  </c:pt>
                  <c:pt idx="10">
                    <c:v>2.2357574071004194E-2</c:v>
                  </c:pt>
                  <c:pt idx="11">
                    <c:v>4.0349941011881212E-2</c:v>
                  </c:pt>
                  <c:pt idx="12">
                    <c:v>3.6096647481940879E-2</c:v>
                  </c:pt>
                  <c:pt idx="13">
                    <c:v>4.6611435406522739E-2</c:v>
                  </c:pt>
                  <c:pt idx="14">
                    <c:v>5.4734037366930458E-2</c:v>
                  </c:pt>
                  <c:pt idx="15">
                    <c:v>4.8174076835509234E-2</c:v>
                  </c:pt>
                  <c:pt idx="16">
                    <c:v>6.3027099232541933E-2</c:v>
                  </c:pt>
                  <c:pt idx="17">
                    <c:v>3.9019460061336456E-2</c:v>
                  </c:pt>
                  <c:pt idx="18">
                    <c:v>2.8238149074625522E-2</c:v>
                  </c:pt>
                  <c:pt idx="19">
                    <c:v>4.0764950560750447E-2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CeBER'!$D$28:$D$47</c:f>
              <c:numCache>
                <c:formatCode>0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9.5</c:v>
                </c:pt>
                <c:pt idx="3">
                  <c:v>23</c:v>
                </c:pt>
                <c:pt idx="4">
                  <c:v>29</c:v>
                </c:pt>
                <c:pt idx="5">
                  <c:v>49</c:v>
                </c:pt>
                <c:pt idx="6">
                  <c:v>73</c:v>
                </c:pt>
                <c:pt idx="7">
                  <c:v>95.5</c:v>
                </c:pt>
                <c:pt idx="8">
                  <c:v>119.5</c:v>
                </c:pt>
                <c:pt idx="9">
                  <c:v>143.5</c:v>
                </c:pt>
                <c:pt idx="10">
                  <c:v>167.5</c:v>
                </c:pt>
                <c:pt idx="11">
                  <c:v>191.5</c:v>
                </c:pt>
                <c:pt idx="12">
                  <c:v>215.5</c:v>
                </c:pt>
                <c:pt idx="13">
                  <c:v>263.5</c:v>
                </c:pt>
                <c:pt idx="14">
                  <c:v>287.5</c:v>
                </c:pt>
                <c:pt idx="15">
                  <c:v>311.5</c:v>
                </c:pt>
                <c:pt idx="16">
                  <c:v>335.5</c:v>
                </c:pt>
                <c:pt idx="17">
                  <c:v>361</c:v>
                </c:pt>
                <c:pt idx="18">
                  <c:v>385.5</c:v>
                </c:pt>
                <c:pt idx="19">
                  <c:v>409</c:v>
                </c:pt>
              </c:numCache>
            </c:numRef>
          </c:xVal>
          <c:yVal>
            <c:numRef>
              <c:f>'Growth curves CeBER'!$Q$28:$Q$47</c:f>
              <c:numCache>
                <c:formatCode>0.000</c:formatCode>
                <c:ptCount val="20"/>
                <c:pt idx="0">
                  <c:v>-2.0769397334403079</c:v>
                </c:pt>
                <c:pt idx="1">
                  <c:v>-1.9650761297158503</c:v>
                </c:pt>
                <c:pt idx="2">
                  <c:v>-1.9195074285857789</c:v>
                </c:pt>
                <c:pt idx="3">
                  <c:v>-1.7218581708350522</c:v>
                </c:pt>
                <c:pt idx="4">
                  <c:v>-1.6043187897540132</c:v>
                </c:pt>
                <c:pt idx="5">
                  <c:v>-1.3095461581659247</c:v>
                </c:pt>
                <c:pt idx="6">
                  <c:v>-1.0024887420128028</c:v>
                </c:pt>
                <c:pt idx="7">
                  <c:v>-0.78138616689688101</c:v>
                </c:pt>
                <c:pt idx="8">
                  <c:v>-0.61716678798697011</c:v>
                </c:pt>
                <c:pt idx="9">
                  <c:v>-0.3980881826757629</c:v>
                </c:pt>
                <c:pt idx="10">
                  <c:v>-0.29325425944404199</c:v>
                </c:pt>
                <c:pt idx="11">
                  <c:v>-0.13528164909080539</c:v>
                </c:pt>
                <c:pt idx="12">
                  <c:v>-3.0214445219729835E-2</c:v>
                </c:pt>
                <c:pt idx="13">
                  <c:v>0.11405785093454907</c:v>
                </c:pt>
                <c:pt idx="14">
                  <c:v>0.24701408012108103</c:v>
                </c:pt>
                <c:pt idx="15">
                  <c:v>0.31063297280662366</c:v>
                </c:pt>
                <c:pt idx="16">
                  <c:v>0.38040031539879199</c:v>
                </c:pt>
                <c:pt idx="17">
                  <c:v>0.4158275933472812</c:v>
                </c:pt>
                <c:pt idx="18">
                  <c:v>0.45375596694206471</c:v>
                </c:pt>
                <c:pt idx="19">
                  <c:v>0.48803674980603534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D6-5F40-816E-D69C44EE7AB3}"/>
            </c:ext>
          </c:extLst>
        </c:ser>
        <c:ser>
          <c:idx val="2"/>
          <c:order val="2"/>
          <c:tx>
            <c:strRef>
              <c:f>'Growth curves CeBER'!$C$87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CeBER'!$R$51:$R$70</c:f>
                <c:numCache>
                  <c:formatCode>General</c:formatCode>
                  <c:ptCount val="20"/>
                  <c:pt idx="0">
                    <c:v>2.088937437301365E-2</c:v>
                  </c:pt>
                  <c:pt idx="1">
                    <c:v>2.8868889167100505E-2</c:v>
                  </c:pt>
                  <c:pt idx="2">
                    <c:v>2.2111567257560461E-2</c:v>
                  </c:pt>
                  <c:pt idx="3">
                    <c:v>4.5033705603668046E-2</c:v>
                  </c:pt>
                  <c:pt idx="4">
                    <c:v>3.2820294994712097E-2</c:v>
                  </c:pt>
                  <c:pt idx="5">
                    <c:v>3.7077389895018666E-2</c:v>
                  </c:pt>
                  <c:pt idx="6">
                    <c:v>3.8335081068657767E-2</c:v>
                  </c:pt>
                  <c:pt idx="7">
                    <c:v>5.4898214458782388E-2</c:v>
                  </c:pt>
                  <c:pt idx="8">
                    <c:v>1.2035001547372045E-2</c:v>
                  </c:pt>
                  <c:pt idx="9">
                    <c:v>7.7656472026770154E-3</c:v>
                  </c:pt>
                  <c:pt idx="10">
                    <c:v>5.7474911408791022E-3</c:v>
                  </c:pt>
                  <c:pt idx="11">
                    <c:v>3.5985581574444765E-2</c:v>
                  </c:pt>
                  <c:pt idx="12">
                    <c:v>3.3862879660555852E-2</c:v>
                  </c:pt>
                  <c:pt idx="13">
                    <c:v>3.5036457376895536E-3</c:v>
                  </c:pt>
                  <c:pt idx="14">
                    <c:v>1.8924209697338205E-2</c:v>
                  </c:pt>
                  <c:pt idx="15">
                    <c:v>6.7490883799204062E-3</c:v>
                  </c:pt>
                  <c:pt idx="16">
                    <c:v>1.0017981025536958E-2</c:v>
                  </c:pt>
                  <c:pt idx="17">
                    <c:v>7.1595764562673216E-3</c:v>
                  </c:pt>
                  <c:pt idx="18">
                    <c:v>1.2851428832740219E-2</c:v>
                  </c:pt>
                  <c:pt idx="19">
                    <c:v>5.090218813651814E-3</c:v>
                  </c:pt>
                </c:numCache>
              </c:numRef>
            </c:plus>
            <c:minus>
              <c:numRef>
                <c:f>'Growth curves CeBER'!$R$51:$R$70</c:f>
                <c:numCache>
                  <c:formatCode>General</c:formatCode>
                  <c:ptCount val="20"/>
                  <c:pt idx="0">
                    <c:v>2.088937437301365E-2</c:v>
                  </c:pt>
                  <c:pt idx="1">
                    <c:v>2.8868889167100505E-2</c:v>
                  </c:pt>
                  <c:pt idx="2">
                    <c:v>2.2111567257560461E-2</c:v>
                  </c:pt>
                  <c:pt idx="3">
                    <c:v>4.5033705603668046E-2</c:v>
                  </c:pt>
                  <c:pt idx="4">
                    <c:v>3.2820294994712097E-2</c:v>
                  </c:pt>
                  <c:pt idx="5">
                    <c:v>3.7077389895018666E-2</c:v>
                  </c:pt>
                  <c:pt idx="6">
                    <c:v>3.8335081068657767E-2</c:v>
                  </c:pt>
                  <c:pt idx="7">
                    <c:v>5.4898214458782388E-2</c:v>
                  </c:pt>
                  <c:pt idx="8">
                    <c:v>1.2035001547372045E-2</c:v>
                  </c:pt>
                  <c:pt idx="9">
                    <c:v>7.7656472026770154E-3</c:v>
                  </c:pt>
                  <c:pt idx="10">
                    <c:v>5.7474911408791022E-3</c:v>
                  </c:pt>
                  <c:pt idx="11">
                    <c:v>3.5985581574444765E-2</c:v>
                  </c:pt>
                  <c:pt idx="12">
                    <c:v>3.3862879660555852E-2</c:v>
                  </c:pt>
                  <c:pt idx="13">
                    <c:v>3.5036457376895536E-3</c:v>
                  </c:pt>
                  <c:pt idx="14">
                    <c:v>1.8924209697338205E-2</c:v>
                  </c:pt>
                  <c:pt idx="15">
                    <c:v>6.7490883799204062E-3</c:v>
                  </c:pt>
                  <c:pt idx="16">
                    <c:v>1.0017981025536958E-2</c:v>
                  </c:pt>
                  <c:pt idx="17">
                    <c:v>7.1595764562673216E-3</c:v>
                  </c:pt>
                  <c:pt idx="18">
                    <c:v>1.2851428832740219E-2</c:v>
                  </c:pt>
                  <c:pt idx="19">
                    <c:v>5.090218813651814E-3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CeBER'!$D$51:$D$70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3.5</c:v>
                </c:pt>
                <c:pt idx="2" formatCode="0.0">
                  <c:v>8</c:v>
                </c:pt>
                <c:pt idx="3" formatCode="0.0">
                  <c:v>22</c:v>
                </c:pt>
                <c:pt idx="4" formatCode="0.0">
                  <c:v>27.5</c:v>
                </c:pt>
                <c:pt idx="5" formatCode="0.0">
                  <c:v>48</c:v>
                </c:pt>
                <c:pt idx="6" formatCode="0.0">
                  <c:v>72</c:v>
                </c:pt>
                <c:pt idx="7" formatCode="0.0">
                  <c:v>94.5</c:v>
                </c:pt>
                <c:pt idx="8" formatCode="0.0">
                  <c:v>118.5</c:v>
                </c:pt>
                <c:pt idx="9" formatCode="0.0">
                  <c:v>142.5</c:v>
                </c:pt>
                <c:pt idx="10" formatCode="0.0">
                  <c:v>166.5</c:v>
                </c:pt>
                <c:pt idx="11" formatCode="0.0">
                  <c:v>190</c:v>
                </c:pt>
                <c:pt idx="12" formatCode="0.0">
                  <c:v>214</c:v>
                </c:pt>
                <c:pt idx="13" formatCode="0.0">
                  <c:v>262.5</c:v>
                </c:pt>
                <c:pt idx="14">
                  <c:v>286.5</c:v>
                </c:pt>
                <c:pt idx="15">
                  <c:v>310.5</c:v>
                </c:pt>
                <c:pt idx="16">
                  <c:v>334.5</c:v>
                </c:pt>
                <c:pt idx="17" formatCode="0.0">
                  <c:v>360</c:v>
                </c:pt>
                <c:pt idx="18">
                  <c:v>384.5</c:v>
                </c:pt>
                <c:pt idx="19" formatCode="0.0">
                  <c:v>408</c:v>
                </c:pt>
              </c:numCache>
            </c:numRef>
          </c:xVal>
          <c:yVal>
            <c:numRef>
              <c:f>'Growth curves CeBER'!$Q$51:$Q$70</c:f>
              <c:numCache>
                <c:formatCode>0.000</c:formatCode>
                <c:ptCount val="20"/>
                <c:pt idx="0">
                  <c:v>-2.0572391763236317</c:v>
                </c:pt>
                <c:pt idx="1">
                  <c:v>-1.9743857215575209</c:v>
                </c:pt>
                <c:pt idx="2">
                  <c:v>-1.9193479225955645</c:v>
                </c:pt>
                <c:pt idx="3">
                  <c:v>-1.7348105517981602</c:v>
                </c:pt>
                <c:pt idx="4">
                  <c:v>-1.6280563324957678</c:v>
                </c:pt>
                <c:pt idx="5">
                  <c:v>-1.3271540580159868</c:v>
                </c:pt>
                <c:pt idx="6">
                  <c:v>-0.98791688807625133</c:v>
                </c:pt>
                <c:pt idx="7">
                  <c:v>-0.76434200839869637</c:v>
                </c:pt>
                <c:pt idx="8">
                  <c:v>-0.38699644700356695</c:v>
                </c:pt>
                <c:pt idx="9">
                  <c:v>-0.24284238797040236</c:v>
                </c:pt>
                <c:pt idx="10">
                  <c:v>-0.11230201167964778</c:v>
                </c:pt>
                <c:pt idx="11">
                  <c:v>5.689396380926779E-2</c:v>
                </c:pt>
                <c:pt idx="12">
                  <c:v>0.22580368931871506</c:v>
                </c:pt>
                <c:pt idx="13">
                  <c:v>0.30082102505692626</c:v>
                </c:pt>
                <c:pt idx="14">
                  <c:v>0.33340284814571719</c:v>
                </c:pt>
                <c:pt idx="15">
                  <c:v>0.38703795591222767</c:v>
                </c:pt>
                <c:pt idx="16">
                  <c:v>0.40797835819166101</c:v>
                </c:pt>
                <c:pt idx="17">
                  <c:v>0.46797661394141749</c:v>
                </c:pt>
                <c:pt idx="18">
                  <c:v>0.50823145729588781</c:v>
                </c:pt>
                <c:pt idx="19">
                  <c:v>0.55617120821228505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D6-5F40-816E-D69C44EE7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UTEX #1926'!$B$2:$U$2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#1926'!$Y$4:$Y$13</c:f>
                <c:numCache>
                  <c:formatCode>General</c:formatCode>
                  <c:ptCount val="10"/>
                  <c:pt idx="0">
                    <c:v>1.147772170593739E-2</c:v>
                  </c:pt>
                  <c:pt idx="1">
                    <c:v>1.2036558199051757E-2</c:v>
                  </c:pt>
                  <c:pt idx="2">
                    <c:v>1.367952781884885E-2</c:v>
                  </c:pt>
                  <c:pt idx="3">
                    <c:v>7.5132413488439445E-3</c:v>
                  </c:pt>
                  <c:pt idx="4">
                    <c:v>8.6711352502608103E-3</c:v>
                  </c:pt>
                  <c:pt idx="5">
                    <c:v>2.0067544366037755E-2</c:v>
                  </c:pt>
                  <c:pt idx="6">
                    <c:v>2.1977301050811405E-2</c:v>
                  </c:pt>
                  <c:pt idx="7">
                    <c:v>4.7960996624640026E-2</c:v>
                  </c:pt>
                  <c:pt idx="8">
                    <c:v>2.1879227316386321E-2</c:v>
                  </c:pt>
                </c:numCache>
              </c:numRef>
            </c:plus>
            <c:minus>
              <c:numRef>
                <c:f>'Nitrate content UTEX #1926'!$Y$4:$Y$13</c:f>
                <c:numCache>
                  <c:formatCode>General</c:formatCode>
                  <c:ptCount val="10"/>
                  <c:pt idx="0">
                    <c:v>1.147772170593739E-2</c:v>
                  </c:pt>
                  <c:pt idx="1">
                    <c:v>1.2036558199051757E-2</c:v>
                  </c:pt>
                  <c:pt idx="2">
                    <c:v>1.367952781884885E-2</c:v>
                  </c:pt>
                  <c:pt idx="3">
                    <c:v>7.5132413488439445E-3</c:v>
                  </c:pt>
                  <c:pt idx="4">
                    <c:v>8.6711352502608103E-3</c:v>
                  </c:pt>
                  <c:pt idx="5">
                    <c:v>2.0067544366037755E-2</c:v>
                  </c:pt>
                  <c:pt idx="6">
                    <c:v>2.1977301050811405E-2</c:v>
                  </c:pt>
                  <c:pt idx="7">
                    <c:v>4.7960996624640026E-2</c:v>
                  </c:pt>
                  <c:pt idx="8">
                    <c:v>2.1879227316386321E-2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#1926'!$W$4:$W$13</c:f>
              <c:numCache>
                <c:formatCode>0</c:formatCode>
                <c:ptCount val="10"/>
                <c:pt idx="0">
                  <c:v>0</c:v>
                </c:pt>
                <c:pt idx="1">
                  <c:v>49.5</c:v>
                </c:pt>
                <c:pt idx="2">
                  <c:v>96</c:v>
                </c:pt>
                <c:pt idx="3">
                  <c:v>144</c:v>
                </c:pt>
                <c:pt idx="4">
                  <c:v>192</c:v>
                </c:pt>
                <c:pt idx="5">
                  <c:v>264</c:v>
                </c:pt>
                <c:pt idx="6">
                  <c:v>312</c:v>
                </c:pt>
                <c:pt idx="7">
                  <c:v>361.5</c:v>
                </c:pt>
                <c:pt idx="8">
                  <c:v>409.5</c:v>
                </c:pt>
              </c:numCache>
            </c:numRef>
          </c:xVal>
          <c:yVal>
            <c:numRef>
              <c:f>'Nitrate content UTEX #1926'!$X$4:$X$13</c:f>
              <c:numCache>
                <c:formatCode>0.000</c:formatCode>
                <c:ptCount val="10"/>
                <c:pt idx="0">
                  <c:v>1.5464814240084632</c:v>
                </c:pt>
                <c:pt idx="1">
                  <c:v>1.5391469820105819</c:v>
                </c:pt>
                <c:pt idx="2">
                  <c:v>1.4549111248677249</c:v>
                </c:pt>
                <c:pt idx="3">
                  <c:v>1.3222713231746031</c:v>
                </c:pt>
                <c:pt idx="4">
                  <c:v>1.2398794903703705</c:v>
                </c:pt>
                <c:pt idx="5">
                  <c:v>1.1037679117460319</c:v>
                </c:pt>
                <c:pt idx="6">
                  <c:v>1.0040046565079366</c:v>
                </c:pt>
                <c:pt idx="7">
                  <c:v>0.91131143595238084</c:v>
                </c:pt>
                <c:pt idx="8">
                  <c:v>0.80997973079365082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31-E24E-B87C-BC7F56A0ECED}"/>
            </c:ext>
          </c:extLst>
        </c:ser>
        <c:ser>
          <c:idx val="1"/>
          <c:order val="1"/>
          <c:tx>
            <c:strRef>
              <c:f>'Nitrate content UTEX #1926'!$B$32:$U$32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#1926'!$Y$34:$Y$43</c:f>
                <c:numCache>
                  <c:formatCode>General</c:formatCode>
                  <c:ptCount val="10"/>
                  <c:pt idx="0">
                    <c:v>9.4657738761173629E-3</c:v>
                  </c:pt>
                  <c:pt idx="1">
                    <c:v>8.9210513008752424E-3</c:v>
                  </c:pt>
                  <c:pt idx="2">
                    <c:v>1.5197278254188493E-2</c:v>
                  </c:pt>
                  <c:pt idx="3">
                    <c:v>1.4974649212091061E-2</c:v>
                  </c:pt>
                  <c:pt idx="4">
                    <c:v>3.3215175957194538E-2</c:v>
                  </c:pt>
                  <c:pt idx="5">
                    <c:v>1.7951387245605181E-2</c:v>
                  </c:pt>
                  <c:pt idx="6">
                    <c:v>1.0002107339769466E-2</c:v>
                  </c:pt>
                  <c:pt idx="7">
                    <c:v>1.7623507583903044E-2</c:v>
                  </c:pt>
                  <c:pt idx="8">
                    <c:v>3.7350589056485153E-2</c:v>
                  </c:pt>
                </c:numCache>
              </c:numRef>
            </c:plus>
            <c:minus>
              <c:numRef>
                <c:f>'Nitrate content UTEX #1926'!$Y$34:$Y$43</c:f>
                <c:numCache>
                  <c:formatCode>General</c:formatCode>
                  <c:ptCount val="10"/>
                  <c:pt idx="0">
                    <c:v>9.4657738761173629E-3</c:v>
                  </c:pt>
                  <c:pt idx="1">
                    <c:v>8.9210513008752424E-3</c:v>
                  </c:pt>
                  <c:pt idx="2">
                    <c:v>1.5197278254188493E-2</c:v>
                  </c:pt>
                  <c:pt idx="3">
                    <c:v>1.4974649212091061E-2</c:v>
                  </c:pt>
                  <c:pt idx="4">
                    <c:v>3.3215175957194538E-2</c:v>
                  </c:pt>
                  <c:pt idx="5">
                    <c:v>1.7951387245605181E-2</c:v>
                  </c:pt>
                  <c:pt idx="6">
                    <c:v>1.0002107339769466E-2</c:v>
                  </c:pt>
                  <c:pt idx="7">
                    <c:v>1.7623507583903044E-2</c:v>
                  </c:pt>
                  <c:pt idx="8">
                    <c:v>3.7350589056485153E-2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#1926'!$W$34:$W$43</c:f>
              <c:numCache>
                <c:formatCode>General</c:formatCode>
                <c:ptCount val="10"/>
                <c:pt idx="0">
                  <c:v>0</c:v>
                </c:pt>
                <c:pt idx="1">
                  <c:v>49</c:v>
                </c:pt>
                <c:pt idx="2">
                  <c:v>95.5</c:v>
                </c:pt>
                <c:pt idx="3">
                  <c:v>143.5</c:v>
                </c:pt>
                <c:pt idx="4">
                  <c:v>191.5</c:v>
                </c:pt>
                <c:pt idx="5">
                  <c:v>263.5</c:v>
                </c:pt>
                <c:pt idx="6">
                  <c:v>311.5</c:v>
                </c:pt>
                <c:pt idx="7">
                  <c:v>361</c:v>
                </c:pt>
                <c:pt idx="8" formatCode="0">
                  <c:v>409</c:v>
                </c:pt>
              </c:numCache>
            </c:numRef>
          </c:xVal>
          <c:yVal>
            <c:numRef>
              <c:f>'Nitrate content UTEX #1926'!$X$34:$X$43</c:f>
              <c:numCache>
                <c:formatCode>0.000</c:formatCode>
                <c:ptCount val="10"/>
                <c:pt idx="0">
                  <c:v>1.5414434833333333</c:v>
                </c:pt>
                <c:pt idx="1">
                  <c:v>1.5311673195767195</c:v>
                </c:pt>
                <c:pt idx="2">
                  <c:v>1.4253971074074077</c:v>
                </c:pt>
                <c:pt idx="3">
                  <c:v>1.2801660996825397</c:v>
                </c:pt>
                <c:pt idx="4">
                  <c:v>1.2054823233862435</c:v>
                </c:pt>
                <c:pt idx="5">
                  <c:v>1.0519945657142857</c:v>
                </c:pt>
                <c:pt idx="6">
                  <c:v>1.005995939047619</c:v>
                </c:pt>
                <c:pt idx="7">
                  <c:v>0.90121134809523806</c:v>
                </c:pt>
                <c:pt idx="8">
                  <c:v>0.75746548476190478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C31-E24E-B87C-BC7F56A0ECED}"/>
            </c:ext>
          </c:extLst>
        </c:ser>
        <c:ser>
          <c:idx val="2"/>
          <c:order val="2"/>
          <c:tx>
            <c:strRef>
              <c:f>'Nitrate content UTEX #1926'!$B$62:$U$62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#1926'!$Y$64:$Y$73</c:f>
                <c:numCache>
                  <c:formatCode>General</c:formatCode>
                  <c:ptCount val="10"/>
                  <c:pt idx="0">
                    <c:v>1.1295427836780104E-2</c:v>
                  </c:pt>
                  <c:pt idx="1">
                    <c:v>1.5681788079874685E-2</c:v>
                  </c:pt>
                  <c:pt idx="2">
                    <c:v>1.7840075063023136E-2</c:v>
                  </c:pt>
                  <c:pt idx="3">
                    <c:v>1.3315846431088291E-2</c:v>
                  </c:pt>
                  <c:pt idx="4">
                    <c:v>4.2144911663891248E-2</c:v>
                  </c:pt>
                  <c:pt idx="5">
                    <c:v>2.9271853333333341E-2</c:v>
                  </c:pt>
                  <c:pt idx="6">
                    <c:v>7.2702268202180292E-3</c:v>
                  </c:pt>
                  <c:pt idx="7">
                    <c:v>1.9824416892776572E-2</c:v>
                  </c:pt>
                  <c:pt idx="8">
                    <c:v>5.4297597281103761E-2</c:v>
                  </c:pt>
                </c:numCache>
              </c:numRef>
            </c:plus>
            <c:minus>
              <c:numRef>
                <c:f>'Nitrate content UTEX #1926'!$Y$64:$Y$73</c:f>
                <c:numCache>
                  <c:formatCode>General</c:formatCode>
                  <c:ptCount val="10"/>
                  <c:pt idx="0">
                    <c:v>1.1295427836780104E-2</c:v>
                  </c:pt>
                  <c:pt idx="1">
                    <c:v>1.5681788079874685E-2</c:v>
                  </c:pt>
                  <c:pt idx="2">
                    <c:v>1.7840075063023136E-2</c:v>
                  </c:pt>
                  <c:pt idx="3">
                    <c:v>1.3315846431088291E-2</c:v>
                  </c:pt>
                  <c:pt idx="4">
                    <c:v>4.2144911663891248E-2</c:v>
                  </c:pt>
                  <c:pt idx="5">
                    <c:v>2.9271853333333341E-2</c:v>
                  </c:pt>
                  <c:pt idx="6">
                    <c:v>7.2702268202180292E-3</c:v>
                  </c:pt>
                  <c:pt idx="7">
                    <c:v>1.9824416892776572E-2</c:v>
                  </c:pt>
                  <c:pt idx="8">
                    <c:v>5.4297597281103761E-2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#1926'!$W$64:$W$73</c:f>
              <c:numCache>
                <c:formatCode>General</c:formatCode>
                <c:ptCount val="10"/>
                <c:pt idx="0">
                  <c:v>0</c:v>
                </c:pt>
                <c:pt idx="1">
                  <c:v>48</c:v>
                </c:pt>
                <c:pt idx="2">
                  <c:v>94.5</c:v>
                </c:pt>
                <c:pt idx="3" formatCode="0.0">
                  <c:v>142.5</c:v>
                </c:pt>
                <c:pt idx="4">
                  <c:v>190</c:v>
                </c:pt>
                <c:pt idx="5">
                  <c:v>262.5</c:v>
                </c:pt>
                <c:pt idx="6">
                  <c:v>310.5</c:v>
                </c:pt>
                <c:pt idx="7">
                  <c:v>360</c:v>
                </c:pt>
                <c:pt idx="8" formatCode="0.0">
                  <c:v>408</c:v>
                </c:pt>
              </c:numCache>
            </c:numRef>
          </c:xVal>
          <c:yVal>
            <c:numRef>
              <c:f>'Nitrate content UTEX #1926'!$X$64:$X$73</c:f>
              <c:numCache>
                <c:formatCode>0.000</c:formatCode>
                <c:ptCount val="10"/>
                <c:pt idx="0">
                  <c:v>1.5553474425925924</c:v>
                </c:pt>
                <c:pt idx="1">
                  <c:v>1.5183627449735448</c:v>
                </c:pt>
                <c:pt idx="2">
                  <c:v>1.385488215873016</c:v>
                </c:pt>
                <c:pt idx="3">
                  <c:v>1.1862891113227514</c:v>
                </c:pt>
                <c:pt idx="4">
                  <c:v>1.0240076148148152</c:v>
                </c:pt>
                <c:pt idx="5">
                  <c:v>0.95641300380952377</c:v>
                </c:pt>
                <c:pt idx="6">
                  <c:v>0.88273554984126967</c:v>
                </c:pt>
                <c:pt idx="7">
                  <c:v>0.7640627866666666</c:v>
                </c:pt>
                <c:pt idx="8">
                  <c:v>0.61546696349206353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C31-E24E-B87C-BC7F56A0EC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CeBER'!$A$87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CeBER'!$M$5:$M$24</c:f>
                <c:numCache>
                  <c:formatCode>General</c:formatCode>
                  <c:ptCount val="20"/>
                  <c:pt idx="0">
                    <c:v>1.6445333333333324E-3</c:v>
                  </c:pt>
                  <c:pt idx="1">
                    <c:v>1.6445333333333276E-3</c:v>
                  </c:pt>
                  <c:pt idx="2">
                    <c:v>2.8484152880739358E-3</c:v>
                  </c:pt>
                  <c:pt idx="3">
                    <c:v>6.4614675261206143E-3</c:v>
                  </c:pt>
                  <c:pt idx="4">
                    <c:v>4.9847267541293892E-3</c:v>
                  </c:pt>
                  <c:pt idx="5">
                    <c:v>5.7116468055291416E-3</c:v>
                  </c:pt>
                  <c:pt idx="6">
                    <c:v>3.7680992414390268E-3</c:v>
                  </c:pt>
                  <c:pt idx="7">
                    <c:v>1.5519942987438232E-2</c:v>
                  </c:pt>
                  <c:pt idx="8">
                    <c:v>6.4614675261206291E-3</c:v>
                  </c:pt>
                  <c:pt idx="9">
                    <c:v>1.6128797870889191E-2</c:v>
                  </c:pt>
                  <c:pt idx="10">
                    <c:v>9.9694535082587837E-3</c:v>
                  </c:pt>
                  <c:pt idx="11">
                    <c:v>4.3315584462561849E-3</c:v>
                  </c:pt>
                  <c:pt idx="12">
                    <c:v>2.0304326552732559E-2</c:v>
                  </c:pt>
                  <c:pt idx="13">
                    <c:v>2.7481426459176228E-2</c:v>
                  </c:pt>
                  <c:pt idx="14">
                    <c:v>1.6181113278689405E-2</c:v>
                  </c:pt>
                  <c:pt idx="15">
                    <c:v>8.0039118022238176E-3</c:v>
                  </c:pt>
                  <c:pt idx="16">
                    <c:v>2.9601599999999971E-2</c:v>
                  </c:pt>
                  <c:pt idx="17">
                    <c:v>2.708804001350661E-2</c:v>
                  </c:pt>
                  <c:pt idx="18">
                    <c:v>1.5509047975223353E-2</c:v>
                  </c:pt>
                  <c:pt idx="19">
                    <c:v>5.1365347393873759E-2</c:v>
                  </c:pt>
                </c:numCache>
              </c:numRef>
            </c:plus>
            <c:minus>
              <c:numRef>
                <c:f>'Growth curves CeBER'!$M$5:$M$24</c:f>
                <c:numCache>
                  <c:formatCode>General</c:formatCode>
                  <c:ptCount val="20"/>
                  <c:pt idx="0">
                    <c:v>1.6445333333333324E-3</c:v>
                  </c:pt>
                  <c:pt idx="1">
                    <c:v>1.6445333333333276E-3</c:v>
                  </c:pt>
                  <c:pt idx="2">
                    <c:v>2.8484152880739358E-3</c:v>
                  </c:pt>
                  <c:pt idx="3">
                    <c:v>6.4614675261206143E-3</c:v>
                  </c:pt>
                  <c:pt idx="4">
                    <c:v>4.9847267541293892E-3</c:v>
                  </c:pt>
                  <c:pt idx="5">
                    <c:v>5.7116468055291416E-3</c:v>
                  </c:pt>
                  <c:pt idx="6">
                    <c:v>3.7680992414390268E-3</c:v>
                  </c:pt>
                  <c:pt idx="7">
                    <c:v>1.5519942987438232E-2</c:v>
                  </c:pt>
                  <c:pt idx="8">
                    <c:v>6.4614675261206291E-3</c:v>
                  </c:pt>
                  <c:pt idx="9">
                    <c:v>1.6128797870889191E-2</c:v>
                  </c:pt>
                  <c:pt idx="10">
                    <c:v>9.9694535082587837E-3</c:v>
                  </c:pt>
                  <c:pt idx="11">
                    <c:v>4.3315584462561849E-3</c:v>
                  </c:pt>
                  <c:pt idx="12">
                    <c:v>2.0304326552732559E-2</c:v>
                  </c:pt>
                  <c:pt idx="13">
                    <c:v>2.7481426459176228E-2</c:v>
                  </c:pt>
                  <c:pt idx="14">
                    <c:v>1.6181113278689405E-2</c:v>
                  </c:pt>
                  <c:pt idx="15">
                    <c:v>8.0039118022238176E-3</c:v>
                  </c:pt>
                  <c:pt idx="16">
                    <c:v>2.9601599999999971E-2</c:v>
                  </c:pt>
                  <c:pt idx="17">
                    <c:v>2.708804001350661E-2</c:v>
                  </c:pt>
                  <c:pt idx="18">
                    <c:v>1.5509047975223353E-2</c:v>
                  </c:pt>
                  <c:pt idx="19">
                    <c:v>5.1365347393873759E-2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CeBER'!$D$5:$D$24</c:f>
              <c:numCache>
                <c:formatCode>0</c:formatCode>
                <c:ptCount val="20"/>
                <c:pt idx="0">
                  <c:v>0</c:v>
                </c:pt>
                <c:pt idx="1">
                  <c:v>5.5</c:v>
                </c:pt>
                <c:pt idx="2">
                  <c:v>10</c:v>
                </c:pt>
                <c:pt idx="3">
                  <c:v>24</c:v>
                </c:pt>
                <c:pt idx="4">
                  <c:v>29.5</c:v>
                </c:pt>
                <c:pt idx="5">
                  <c:v>49.5</c:v>
                </c:pt>
                <c:pt idx="6">
                  <c:v>73.5</c:v>
                </c:pt>
                <c:pt idx="7">
                  <c:v>96</c:v>
                </c:pt>
                <c:pt idx="8">
                  <c:v>120</c:v>
                </c:pt>
                <c:pt idx="9">
                  <c:v>144</c:v>
                </c:pt>
                <c:pt idx="10">
                  <c:v>168</c:v>
                </c:pt>
                <c:pt idx="11">
                  <c:v>192</c:v>
                </c:pt>
                <c:pt idx="12">
                  <c:v>216</c:v>
                </c:pt>
                <c:pt idx="13">
                  <c:v>264</c:v>
                </c:pt>
                <c:pt idx="14">
                  <c:v>288</c:v>
                </c:pt>
                <c:pt idx="15">
                  <c:v>312</c:v>
                </c:pt>
                <c:pt idx="16">
                  <c:v>336</c:v>
                </c:pt>
                <c:pt idx="17">
                  <c:v>361.5</c:v>
                </c:pt>
                <c:pt idx="18">
                  <c:v>386</c:v>
                </c:pt>
                <c:pt idx="19">
                  <c:v>409.5</c:v>
                </c:pt>
              </c:numCache>
            </c:numRef>
          </c:xVal>
          <c:yVal>
            <c:numRef>
              <c:f>'Growth curves CeBER'!$L$5:$L$24</c:f>
              <c:numCache>
                <c:formatCode>0.000</c:formatCode>
                <c:ptCount val="20"/>
                <c:pt idx="0">
                  <c:v>0.11635073333333334</c:v>
                </c:pt>
                <c:pt idx="1">
                  <c:v>0.13279606666666666</c:v>
                </c:pt>
                <c:pt idx="2">
                  <c:v>0.15170820000000002</c:v>
                </c:pt>
                <c:pt idx="3">
                  <c:v>0.19446606666666666</c:v>
                </c:pt>
                <c:pt idx="4">
                  <c:v>0.203511</c:v>
                </c:pt>
                <c:pt idx="5">
                  <c:v>0.27792613333333333</c:v>
                </c:pt>
                <c:pt idx="6">
                  <c:v>0.36755319999999997</c:v>
                </c:pt>
                <c:pt idx="7">
                  <c:v>0.45265780000000005</c:v>
                </c:pt>
                <c:pt idx="8">
                  <c:v>0.52995086666666669</c:v>
                </c:pt>
                <c:pt idx="9">
                  <c:v>0.63643440000000007</c:v>
                </c:pt>
                <c:pt idx="10">
                  <c:v>0.71907219999999994</c:v>
                </c:pt>
                <c:pt idx="11">
                  <c:v>0.83624520000000002</c:v>
                </c:pt>
                <c:pt idx="12">
                  <c:v>0.93738400000000011</c:v>
                </c:pt>
                <c:pt idx="13">
                  <c:v>1.0837474666666667</c:v>
                </c:pt>
                <c:pt idx="14">
                  <c:v>1.1947534666666668</c:v>
                </c:pt>
                <c:pt idx="15">
                  <c:v>1.2860250666666666</c:v>
                </c:pt>
                <c:pt idx="16">
                  <c:v>1.3333054000000002</c:v>
                </c:pt>
                <c:pt idx="17">
                  <c:v>1.4159432000000001</c:v>
                </c:pt>
                <c:pt idx="18">
                  <c:v>1.5635400666666666</c:v>
                </c:pt>
                <c:pt idx="19">
                  <c:v>1.5627177999999999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7B-8A42-94DD-E9E29522060B}"/>
            </c:ext>
          </c:extLst>
        </c:ser>
        <c:ser>
          <c:idx val="1"/>
          <c:order val="1"/>
          <c:tx>
            <c:strRef>
              <c:f>'Growth curves CeBER'!$B$87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CeBER'!$T$28:$T$47</c:f>
                <c:numCache>
                  <c:formatCode>General</c:formatCode>
                  <c:ptCount val="20"/>
                  <c:pt idx="1">
                    <c:v>1.8705211602164696E-2</c:v>
                  </c:pt>
                  <c:pt idx="2">
                    <c:v>9.7055696672581557E-3</c:v>
                  </c:pt>
                  <c:pt idx="3">
                    <c:v>1.3293962060114684E-2</c:v>
                  </c:pt>
                  <c:pt idx="4">
                    <c:v>2.2255232104087086E-2</c:v>
                  </c:pt>
                  <c:pt idx="5">
                    <c:v>1.4773210644691791E-2</c:v>
                  </c:pt>
                  <c:pt idx="6">
                    <c:v>1.4569739519989531E-2</c:v>
                  </c:pt>
                  <c:pt idx="7">
                    <c:v>9.4192627040266281E-3</c:v>
                  </c:pt>
                  <c:pt idx="8">
                    <c:v>6.9095456132595616E-3</c:v>
                  </c:pt>
                  <c:pt idx="9">
                    <c:v>7.0469277656300911E-3</c:v>
                  </c:pt>
                  <c:pt idx="10">
                    <c:v>5.3358770655869527E-3</c:v>
                  </c:pt>
                  <c:pt idx="11">
                    <c:v>7.0247470173615892E-3</c:v>
                  </c:pt>
                  <c:pt idx="12">
                    <c:v>3.9231466391092045E-3</c:v>
                  </c:pt>
                  <c:pt idx="13">
                    <c:v>4.0685009857360397E-3</c:v>
                  </c:pt>
                  <c:pt idx="14">
                    <c:v>6.5421989217146273E-3</c:v>
                  </c:pt>
                  <c:pt idx="15">
                    <c:v>2.9748632832644062E-3</c:v>
                  </c:pt>
                  <c:pt idx="16">
                    <c:v>2.8420104177722346E-3</c:v>
                  </c:pt>
                  <c:pt idx="17">
                    <c:v>-1.5421052618513681E-4</c:v>
                  </c:pt>
                  <c:pt idx="18">
                    <c:v>1.9776483014672169E-3</c:v>
                  </c:pt>
                  <c:pt idx="19">
                    <c:v>1.6910778148729357E-3</c:v>
                  </c:pt>
                </c:numCache>
              </c:numRef>
            </c:plus>
            <c:minus>
              <c:numRef>
                <c:f>'Growth curves CeBER'!$T$28:$T$47</c:f>
                <c:numCache>
                  <c:formatCode>General</c:formatCode>
                  <c:ptCount val="20"/>
                  <c:pt idx="1">
                    <c:v>1.8705211602164696E-2</c:v>
                  </c:pt>
                  <c:pt idx="2">
                    <c:v>9.7055696672581557E-3</c:v>
                  </c:pt>
                  <c:pt idx="3">
                    <c:v>1.3293962060114684E-2</c:v>
                  </c:pt>
                  <c:pt idx="4">
                    <c:v>2.2255232104087086E-2</c:v>
                  </c:pt>
                  <c:pt idx="5">
                    <c:v>1.4773210644691791E-2</c:v>
                  </c:pt>
                  <c:pt idx="6">
                    <c:v>1.4569739519989531E-2</c:v>
                  </c:pt>
                  <c:pt idx="7">
                    <c:v>9.4192627040266281E-3</c:v>
                  </c:pt>
                  <c:pt idx="8">
                    <c:v>6.9095456132595616E-3</c:v>
                  </c:pt>
                  <c:pt idx="9">
                    <c:v>7.0469277656300911E-3</c:v>
                  </c:pt>
                  <c:pt idx="10">
                    <c:v>5.3358770655869527E-3</c:v>
                  </c:pt>
                  <c:pt idx="11">
                    <c:v>7.0247470173615892E-3</c:v>
                  </c:pt>
                  <c:pt idx="12">
                    <c:v>3.9231466391092045E-3</c:v>
                  </c:pt>
                  <c:pt idx="13">
                    <c:v>4.0685009857360397E-3</c:v>
                  </c:pt>
                  <c:pt idx="14">
                    <c:v>6.5421989217146273E-3</c:v>
                  </c:pt>
                  <c:pt idx="15">
                    <c:v>2.9748632832644062E-3</c:v>
                  </c:pt>
                  <c:pt idx="16">
                    <c:v>2.8420104177722346E-3</c:v>
                  </c:pt>
                  <c:pt idx="17">
                    <c:v>-1.5421052618513681E-4</c:v>
                  </c:pt>
                  <c:pt idx="18">
                    <c:v>1.9776483014672169E-3</c:v>
                  </c:pt>
                  <c:pt idx="19">
                    <c:v>1.6910778148729357E-3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CeBER'!$D$28:$D$47</c:f>
              <c:numCache>
                <c:formatCode>0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9.5</c:v>
                </c:pt>
                <c:pt idx="3">
                  <c:v>23</c:v>
                </c:pt>
                <c:pt idx="4">
                  <c:v>29</c:v>
                </c:pt>
                <c:pt idx="5">
                  <c:v>49</c:v>
                </c:pt>
                <c:pt idx="6">
                  <c:v>73</c:v>
                </c:pt>
                <c:pt idx="7">
                  <c:v>95.5</c:v>
                </c:pt>
                <c:pt idx="8">
                  <c:v>119.5</c:v>
                </c:pt>
                <c:pt idx="9">
                  <c:v>143.5</c:v>
                </c:pt>
                <c:pt idx="10">
                  <c:v>167.5</c:v>
                </c:pt>
                <c:pt idx="11">
                  <c:v>191.5</c:v>
                </c:pt>
                <c:pt idx="12">
                  <c:v>215.5</c:v>
                </c:pt>
                <c:pt idx="13">
                  <c:v>263.5</c:v>
                </c:pt>
                <c:pt idx="14">
                  <c:v>287.5</c:v>
                </c:pt>
                <c:pt idx="15">
                  <c:v>311.5</c:v>
                </c:pt>
                <c:pt idx="16">
                  <c:v>335.5</c:v>
                </c:pt>
                <c:pt idx="17">
                  <c:v>361</c:v>
                </c:pt>
                <c:pt idx="18">
                  <c:v>385.5</c:v>
                </c:pt>
                <c:pt idx="19">
                  <c:v>409</c:v>
                </c:pt>
              </c:numCache>
            </c:numRef>
          </c:xVal>
          <c:yVal>
            <c:numRef>
              <c:f>'Growth curves CeBER'!$L$28:$L$47</c:f>
              <c:numCache>
                <c:formatCode>0.000</c:formatCode>
                <c:ptCount val="20"/>
                <c:pt idx="0">
                  <c:v>0.12539566666666666</c:v>
                </c:pt>
                <c:pt idx="1">
                  <c:v>0.14019646666666666</c:v>
                </c:pt>
                <c:pt idx="2">
                  <c:v>0.14677460000000001</c:v>
                </c:pt>
                <c:pt idx="3">
                  <c:v>0.178843</c:v>
                </c:pt>
                <c:pt idx="4">
                  <c:v>0.20104420000000001</c:v>
                </c:pt>
                <c:pt idx="5">
                  <c:v>0.27011460000000004</c:v>
                </c:pt>
                <c:pt idx="6">
                  <c:v>0.36755319999999997</c:v>
                </c:pt>
                <c:pt idx="7">
                  <c:v>0.45800253333333335</c:v>
                </c:pt>
                <c:pt idx="8">
                  <c:v>0.53981806666666665</c:v>
                </c:pt>
                <c:pt idx="9">
                  <c:v>0.67261413333333342</c:v>
                </c:pt>
                <c:pt idx="10">
                  <c:v>0.74620700000000006</c:v>
                </c:pt>
                <c:pt idx="11">
                  <c:v>0.87489173333333337</c:v>
                </c:pt>
                <c:pt idx="12">
                  <c:v>0.97150806666666656</c:v>
                </c:pt>
                <c:pt idx="13">
                  <c:v>1.1232162666666667</c:v>
                </c:pt>
                <c:pt idx="14">
                  <c:v>1.2839694000000001</c:v>
                </c:pt>
                <c:pt idx="15">
                  <c:v>1.3674294666666666</c:v>
                </c:pt>
                <c:pt idx="16">
                  <c:v>1.4685682666666668</c:v>
                </c:pt>
                <c:pt idx="17">
                  <c:v>1.5179042666666664</c:v>
                </c:pt>
                <c:pt idx="18">
                  <c:v>1.5754629333333334</c:v>
                </c:pt>
                <c:pt idx="19">
                  <c:v>1.6317881999999999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7B-8A42-94DD-E9E29522060B}"/>
            </c:ext>
          </c:extLst>
        </c:ser>
        <c:ser>
          <c:idx val="2"/>
          <c:order val="2"/>
          <c:tx>
            <c:strRef>
              <c:f>'Growth curves CeBER'!$C$87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CeBER'!$M$51:$M$70</c:f>
                <c:numCache>
                  <c:formatCode>General</c:formatCode>
                  <c:ptCount val="20"/>
                  <c:pt idx="0">
                    <c:v>2.695981558624693E-3</c:v>
                  </c:pt>
                  <c:pt idx="1">
                    <c:v>4.0491937375784397E-3</c:v>
                  </c:pt>
                  <c:pt idx="2">
                    <c:v>3.2632696670670631E-3</c:v>
                  </c:pt>
                  <c:pt idx="3">
                    <c:v>7.8115333333333313E-3</c:v>
                  </c:pt>
                  <c:pt idx="4">
                    <c:v>6.4221079668421799E-3</c:v>
                  </c:pt>
                  <c:pt idx="5">
                    <c:v>9.6943810263700938E-3</c:v>
                  </c:pt>
                  <c:pt idx="6">
                    <c:v>1.4248009403110018E-2</c:v>
                  </c:pt>
                  <c:pt idx="7">
                    <c:v>2.5688431867368699E-2</c:v>
                  </c:pt>
                  <c:pt idx="8">
                    <c:v>8.2226666666666386E-3</c:v>
                  </c:pt>
                  <c:pt idx="9">
                    <c:v>6.0842177223808525E-3</c:v>
                  </c:pt>
                  <c:pt idx="10">
                    <c:v>5.1514859012823863E-3</c:v>
                  </c:pt>
                  <c:pt idx="11">
                    <c:v>3.7575427479907379E-2</c:v>
                  </c:pt>
                  <c:pt idx="12">
                    <c:v>4.2988507117187075E-2</c:v>
                  </c:pt>
                  <c:pt idx="13">
                    <c:v>4.7414209014222958E-3</c:v>
                  </c:pt>
                  <c:pt idx="14">
                    <c:v>2.6376694690073095E-2</c:v>
                  </c:pt>
                  <c:pt idx="15">
                    <c:v>9.9694535082588565E-3</c:v>
                  </c:pt>
                  <c:pt idx="16">
                    <c:v>1.5094809464330575E-2</c:v>
                  </c:pt>
                  <c:pt idx="17">
                    <c:v>1.1423293611058283E-2</c:v>
                  </c:pt>
                  <c:pt idx="18">
                    <c:v>2.1363114660554457E-2</c:v>
                  </c:pt>
                  <c:pt idx="19">
                    <c:v>8.8941738863145478E-3</c:v>
                  </c:pt>
                </c:numCache>
              </c:numRef>
            </c:plus>
            <c:minus>
              <c:numRef>
                <c:f>'Growth curves CeBER'!$M$51:$M$70</c:f>
                <c:numCache>
                  <c:formatCode>General</c:formatCode>
                  <c:ptCount val="20"/>
                  <c:pt idx="0">
                    <c:v>2.695981558624693E-3</c:v>
                  </c:pt>
                  <c:pt idx="1">
                    <c:v>4.0491937375784397E-3</c:v>
                  </c:pt>
                  <c:pt idx="2">
                    <c:v>3.2632696670670631E-3</c:v>
                  </c:pt>
                  <c:pt idx="3">
                    <c:v>7.8115333333333313E-3</c:v>
                  </c:pt>
                  <c:pt idx="4">
                    <c:v>6.4221079668421799E-3</c:v>
                  </c:pt>
                  <c:pt idx="5">
                    <c:v>9.6943810263700938E-3</c:v>
                  </c:pt>
                  <c:pt idx="6">
                    <c:v>1.4248009403110018E-2</c:v>
                  </c:pt>
                  <c:pt idx="7">
                    <c:v>2.5688431867368699E-2</c:v>
                  </c:pt>
                  <c:pt idx="8">
                    <c:v>8.2226666666666386E-3</c:v>
                  </c:pt>
                  <c:pt idx="9">
                    <c:v>6.0842177223808525E-3</c:v>
                  </c:pt>
                  <c:pt idx="10">
                    <c:v>5.1514859012823863E-3</c:v>
                  </c:pt>
                  <c:pt idx="11">
                    <c:v>3.7575427479907379E-2</c:v>
                  </c:pt>
                  <c:pt idx="12">
                    <c:v>4.2988507117187075E-2</c:v>
                  </c:pt>
                  <c:pt idx="13">
                    <c:v>4.7414209014222958E-3</c:v>
                  </c:pt>
                  <c:pt idx="14">
                    <c:v>2.6376694690073095E-2</c:v>
                  </c:pt>
                  <c:pt idx="15">
                    <c:v>9.9694535082588565E-3</c:v>
                  </c:pt>
                  <c:pt idx="16">
                    <c:v>1.5094809464330575E-2</c:v>
                  </c:pt>
                  <c:pt idx="17">
                    <c:v>1.1423293611058283E-2</c:v>
                  </c:pt>
                  <c:pt idx="18">
                    <c:v>2.1363114660554457E-2</c:v>
                  </c:pt>
                  <c:pt idx="19">
                    <c:v>8.8941738863145478E-3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CeBER'!$D$51:$D$70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3.5</c:v>
                </c:pt>
                <c:pt idx="2" formatCode="0.0">
                  <c:v>8</c:v>
                </c:pt>
                <c:pt idx="3" formatCode="0.0">
                  <c:v>22</c:v>
                </c:pt>
                <c:pt idx="4" formatCode="0.0">
                  <c:v>27.5</c:v>
                </c:pt>
                <c:pt idx="5" formatCode="0.0">
                  <c:v>48</c:v>
                </c:pt>
                <c:pt idx="6" formatCode="0.0">
                  <c:v>72</c:v>
                </c:pt>
                <c:pt idx="7" formatCode="0.0">
                  <c:v>94.5</c:v>
                </c:pt>
                <c:pt idx="8" formatCode="0.0">
                  <c:v>118.5</c:v>
                </c:pt>
                <c:pt idx="9" formatCode="0.0">
                  <c:v>142.5</c:v>
                </c:pt>
                <c:pt idx="10" formatCode="0.0">
                  <c:v>166.5</c:v>
                </c:pt>
                <c:pt idx="11" formatCode="0.0">
                  <c:v>190</c:v>
                </c:pt>
                <c:pt idx="12" formatCode="0.0">
                  <c:v>214</c:v>
                </c:pt>
                <c:pt idx="13" formatCode="0.0">
                  <c:v>262.5</c:v>
                </c:pt>
                <c:pt idx="14">
                  <c:v>286.5</c:v>
                </c:pt>
                <c:pt idx="15">
                  <c:v>310.5</c:v>
                </c:pt>
                <c:pt idx="16">
                  <c:v>334.5</c:v>
                </c:pt>
                <c:pt idx="17" formatCode="0.0">
                  <c:v>360</c:v>
                </c:pt>
                <c:pt idx="18">
                  <c:v>384.5</c:v>
                </c:pt>
                <c:pt idx="19" formatCode="0.0">
                  <c:v>408</c:v>
                </c:pt>
              </c:numCache>
            </c:numRef>
          </c:xVal>
          <c:yVal>
            <c:numRef>
              <c:f>'Growth curves CeBER'!$L$51:$L$70</c:f>
              <c:numCache>
                <c:formatCode>0.000</c:formatCode>
                <c:ptCount val="20"/>
                <c:pt idx="0">
                  <c:v>0.12786246666666665</c:v>
                </c:pt>
                <c:pt idx="1">
                  <c:v>0.13896306666666666</c:v>
                </c:pt>
                <c:pt idx="2">
                  <c:v>0.14677460000000001</c:v>
                </c:pt>
                <c:pt idx="3">
                  <c:v>0.17678733333333332</c:v>
                </c:pt>
                <c:pt idx="4">
                  <c:v>0.19652173333333334</c:v>
                </c:pt>
                <c:pt idx="5">
                  <c:v>0.26559213333333337</c:v>
                </c:pt>
                <c:pt idx="6">
                  <c:v>0.37289793333333332</c:v>
                </c:pt>
                <c:pt idx="7">
                  <c:v>0.46704746666666663</c:v>
                </c:pt>
                <c:pt idx="8">
                  <c:v>0.67919226666666666</c:v>
                </c:pt>
                <c:pt idx="9">
                  <c:v>0.7844424000000001</c:v>
                </c:pt>
                <c:pt idx="10">
                  <c:v>0.89380386666666667</c:v>
                </c:pt>
                <c:pt idx="11">
                  <c:v>1.0599017333333334</c:v>
                </c:pt>
                <c:pt idx="12">
                  <c:v>1.2547789333333332</c:v>
                </c:pt>
                <c:pt idx="13">
                  <c:v>1.3509841333333334</c:v>
                </c:pt>
                <c:pt idx="14">
                  <c:v>1.3962088000000001</c:v>
                </c:pt>
                <c:pt idx="15">
                  <c:v>1.4726796</c:v>
                </c:pt>
                <c:pt idx="16">
                  <c:v>1.5039257333333333</c:v>
                </c:pt>
                <c:pt idx="17">
                  <c:v>1.5968418666666668</c:v>
                </c:pt>
                <c:pt idx="18">
                  <c:v>1.6626231999999999</c:v>
                </c:pt>
                <c:pt idx="19">
                  <c:v>1.7440275999999999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87B-8A42-94DD-E9E2952206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#1926'!$A$87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#1926'!$R$5:$R$24</c:f>
                <c:numCache>
                  <c:formatCode>General</c:formatCode>
                  <c:ptCount val="20"/>
                  <c:pt idx="0">
                    <c:v>6.5361571294587266E-3</c:v>
                  </c:pt>
                  <c:pt idx="1">
                    <c:v>2.9386125734060378E-2</c:v>
                  </c:pt>
                  <c:pt idx="2">
                    <c:v>2.9878646288025897E-2</c:v>
                  </c:pt>
                  <c:pt idx="3">
                    <c:v>4.1461948516997721E-2</c:v>
                  </c:pt>
                  <c:pt idx="4">
                    <c:v>5.560747659526747E-2</c:v>
                  </c:pt>
                  <c:pt idx="5">
                    <c:v>2.3575912096749817E-2</c:v>
                  </c:pt>
                  <c:pt idx="6">
                    <c:v>6.1286056491020998E-3</c:v>
                  </c:pt>
                  <c:pt idx="7">
                    <c:v>2.2641243520640772E-2</c:v>
                  </c:pt>
                  <c:pt idx="8">
                    <c:v>1.9407240909034553E-3</c:v>
                  </c:pt>
                  <c:pt idx="9">
                    <c:v>1.5743209904793599E-2</c:v>
                  </c:pt>
                  <c:pt idx="10">
                    <c:v>3.6795010163822171E-3</c:v>
                  </c:pt>
                  <c:pt idx="11">
                    <c:v>2.7566953416810428E-2</c:v>
                  </c:pt>
                  <c:pt idx="12">
                    <c:v>9.7926259055772045E-3</c:v>
                  </c:pt>
                  <c:pt idx="13">
                    <c:v>5.0043816118315243E-3</c:v>
                  </c:pt>
                  <c:pt idx="14">
                    <c:v>5.6700288816099332E-3</c:v>
                  </c:pt>
                  <c:pt idx="15">
                    <c:v>2.1746504715134632E-2</c:v>
                  </c:pt>
                  <c:pt idx="16">
                    <c:v>9.5974183225628531E-3</c:v>
                  </c:pt>
                  <c:pt idx="17">
                    <c:v>1.8741110291439354E-2</c:v>
                  </c:pt>
                  <c:pt idx="18">
                    <c:v>1.9655935735382393E-2</c:v>
                  </c:pt>
                  <c:pt idx="19">
                    <c:v>1.9690806127726217E-2</c:v>
                  </c:pt>
                </c:numCache>
              </c:numRef>
            </c:plus>
            <c:minus>
              <c:numRef>
                <c:f>'Growth curves UTEX #1926'!$R$5:$R$24</c:f>
                <c:numCache>
                  <c:formatCode>General</c:formatCode>
                  <c:ptCount val="20"/>
                  <c:pt idx="0">
                    <c:v>6.5361571294587266E-3</c:v>
                  </c:pt>
                  <c:pt idx="1">
                    <c:v>2.9386125734060378E-2</c:v>
                  </c:pt>
                  <c:pt idx="2">
                    <c:v>2.9878646288025897E-2</c:v>
                  </c:pt>
                  <c:pt idx="3">
                    <c:v>4.1461948516997721E-2</c:v>
                  </c:pt>
                  <c:pt idx="4">
                    <c:v>5.560747659526747E-2</c:v>
                  </c:pt>
                  <c:pt idx="5">
                    <c:v>2.3575912096749817E-2</c:v>
                  </c:pt>
                  <c:pt idx="6">
                    <c:v>6.1286056491020998E-3</c:v>
                  </c:pt>
                  <c:pt idx="7">
                    <c:v>2.2641243520640772E-2</c:v>
                  </c:pt>
                  <c:pt idx="8">
                    <c:v>1.9407240909034553E-3</c:v>
                  </c:pt>
                  <c:pt idx="9">
                    <c:v>1.5743209904793599E-2</c:v>
                  </c:pt>
                  <c:pt idx="10">
                    <c:v>3.6795010163822171E-3</c:v>
                  </c:pt>
                  <c:pt idx="11">
                    <c:v>2.7566953416810428E-2</c:v>
                  </c:pt>
                  <c:pt idx="12">
                    <c:v>9.7926259055772045E-3</c:v>
                  </c:pt>
                  <c:pt idx="13">
                    <c:v>5.0043816118315243E-3</c:v>
                  </c:pt>
                  <c:pt idx="14">
                    <c:v>5.6700288816099332E-3</c:v>
                  </c:pt>
                  <c:pt idx="15">
                    <c:v>2.1746504715134632E-2</c:v>
                  </c:pt>
                  <c:pt idx="16">
                    <c:v>9.5974183225628531E-3</c:v>
                  </c:pt>
                  <c:pt idx="17">
                    <c:v>1.8741110291439354E-2</c:v>
                  </c:pt>
                  <c:pt idx="18">
                    <c:v>1.9655935735382393E-2</c:v>
                  </c:pt>
                  <c:pt idx="19">
                    <c:v>1.9690806127726217E-2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#1926'!$D$5:$D$24</c:f>
              <c:numCache>
                <c:formatCode>0</c:formatCode>
                <c:ptCount val="20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23</c:v>
                </c:pt>
                <c:pt idx="4">
                  <c:v>28.5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119</c:v>
                </c:pt>
                <c:pt idx="9">
                  <c:v>143</c:v>
                </c:pt>
                <c:pt idx="10">
                  <c:v>167</c:v>
                </c:pt>
                <c:pt idx="11">
                  <c:v>191</c:v>
                </c:pt>
                <c:pt idx="12">
                  <c:v>215</c:v>
                </c:pt>
                <c:pt idx="13">
                  <c:v>263</c:v>
                </c:pt>
                <c:pt idx="14">
                  <c:v>287</c:v>
                </c:pt>
                <c:pt idx="15">
                  <c:v>311</c:v>
                </c:pt>
                <c:pt idx="16">
                  <c:v>335</c:v>
                </c:pt>
                <c:pt idx="17">
                  <c:v>360.5</c:v>
                </c:pt>
                <c:pt idx="18">
                  <c:v>385</c:v>
                </c:pt>
                <c:pt idx="19">
                  <c:v>408.5</c:v>
                </c:pt>
              </c:numCache>
            </c:numRef>
          </c:xVal>
          <c:yVal>
            <c:numRef>
              <c:f>'Growth curves UTEX #1926'!$Q$5:$Q$24</c:f>
              <c:numCache>
                <c:formatCode>0.000</c:formatCode>
                <c:ptCount val="20"/>
                <c:pt idx="0">
                  <c:v>-2.0487682376372276</c:v>
                </c:pt>
                <c:pt idx="1">
                  <c:v>-1.9713074316910821</c:v>
                </c:pt>
                <c:pt idx="2">
                  <c:v>-1.8683907961696402</c:v>
                </c:pt>
                <c:pt idx="3">
                  <c:v>-1.6267046610393228</c:v>
                </c:pt>
                <c:pt idx="4">
                  <c:v>-1.5422659550812245</c:v>
                </c:pt>
                <c:pt idx="5">
                  <c:v>-1.2569793514053023</c:v>
                </c:pt>
                <c:pt idx="6">
                  <c:v>-0.96106795099874009</c:v>
                </c:pt>
                <c:pt idx="7">
                  <c:v>-0.78491115587362925</c:v>
                </c:pt>
                <c:pt idx="8">
                  <c:v>-0.55740028408794762</c:v>
                </c:pt>
                <c:pt idx="9">
                  <c:v>-0.3943197950036052</c:v>
                </c:pt>
                <c:pt idx="10">
                  <c:v>-0.22545156044588968</c:v>
                </c:pt>
                <c:pt idx="11">
                  <c:v>-0.13668501513587719</c:v>
                </c:pt>
                <c:pt idx="12">
                  <c:v>3.3466460492313284E-2</c:v>
                </c:pt>
                <c:pt idx="13">
                  <c:v>0.21565551651313228</c:v>
                </c:pt>
                <c:pt idx="14">
                  <c:v>0.29467544532251383</c:v>
                </c:pt>
                <c:pt idx="15">
                  <c:v>0.38447514170053787</c:v>
                </c:pt>
                <c:pt idx="16">
                  <c:v>0.44661950303811992</c:v>
                </c:pt>
                <c:pt idx="17">
                  <c:v>0.5111026000063873</c:v>
                </c:pt>
                <c:pt idx="18">
                  <c:v>0.57115891303098965</c:v>
                </c:pt>
                <c:pt idx="19">
                  <c:v>0.56854643514189385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9A-FE47-AC59-A48C2F0B46D3}"/>
            </c:ext>
          </c:extLst>
        </c:ser>
        <c:ser>
          <c:idx val="1"/>
          <c:order val="1"/>
          <c:tx>
            <c:strRef>
              <c:f>'Growth curves UTEX #1926'!$B$87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#1926'!$R$28:$R$47</c:f>
                <c:numCache>
                  <c:formatCode>General</c:formatCode>
                  <c:ptCount val="20"/>
                  <c:pt idx="0">
                    <c:v>1.1887472073469478E-2</c:v>
                  </c:pt>
                  <c:pt idx="1">
                    <c:v>2.2643827583179735E-2</c:v>
                  </c:pt>
                  <c:pt idx="2">
                    <c:v>2.3484081075695513E-2</c:v>
                  </c:pt>
                  <c:pt idx="3">
                    <c:v>1.5737753979042639E-2</c:v>
                  </c:pt>
                  <c:pt idx="4">
                    <c:v>1.5971118565299165E-2</c:v>
                  </c:pt>
                  <c:pt idx="5">
                    <c:v>8.5474768711125328E-3</c:v>
                  </c:pt>
                  <c:pt idx="6">
                    <c:v>8.4189046786077339E-3</c:v>
                  </c:pt>
                  <c:pt idx="7">
                    <c:v>1.7243798604482601E-2</c:v>
                  </c:pt>
                  <c:pt idx="8">
                    <c:v>4.9075845231950313E-2</c:v>
                  </c:pt>
                  <c:pt idx="9">
                    <c:v>2.4151894694794233E-2</c:v>
                  </c:pt>
                  <c:pt idx="10">
                    <c:v>3.2517757691046874E-2</c:v>
                  </c:pt>
                  <c:pt idx="11">
                    <c:v>2.8763018553128024E-2</c:v>
                  </c:pt>
                  <c:pt idx="12">
                    <c:v>3.9895180477051616E-2</c:v>
                  </c:pt>
                  <c:pt idx="13">
                    <c:v>4.849894415466275E-2</c:v>
                  </c:pt>
                  <c:pt idx="14">
                    <c:v>4.3724563705948578E-2</c:v>
                  </c:pt>
                  <c:pt idx="15">
                    <c:v>7.4557777850001242E-2</c:v>
                  </c:pt>
                  <c:pt idx="16">
                    <c:v>4.0314190587231034E-2</c:v>
                  </c:pt>
                  <c:pt idx="17">
                    <c:v>6.0876918471525467E-2</c:v>
                  </c:pt>
                  <c:pt idx="18">
                    <c:v>4.7043483952431721E-2</c:v>
                  </c:pt>
                  <c:pt idx="19">
                    <c:v>3.3390960643522392E-2</c:v>
                  </c:pt>
                </c:numCache>
              </c:numRef>
            </c:plus>
            <c:minus>
              <c:numRef>
                <c:f>'Growth curves UTEX #1926'!$R$28:$R$47</c:f>
                <c:numCache>
                  <c:formatCode>General</c:formatCode>
                  <c:ptCount val="20"/>
                  <c:pt idx="0">
                    <c:v>1.1887472073469478E-2</c:v>
                  </c:pt>
                  <c:pt idx="1">
                    <c:v>2.2643827583179735E-2</c:v>
                  </c:pt>
                  <c:pt idx="2">
                    <c:v>2.3484081075695513E-2</c:v>
                  </c:pt>
                  <c:pt idx="3">
                    <c:v>1.5737753979042639E-2</c:v>
                  </c:pt>
                  <c:pt idx="4">
                    <c:v>1.5971118565299165E-2</c:v>
                  </c:pt>
                  <c:pt idx="5">
                    <c:v>8.5474768711125328E-3</c:v>
                  </c:pt>
                  <c:pt idx="6">
                    <c:v>8.4189046786077339E-3</c:v>
                  </c:pt>
                  <c:pt idx="7">
                    <c:v>1.7243798604482601E-2</c:v>
                  </c:pt>
                  <c:pt idx="8">
                    <c:v>4.9075845231950313E-2</c:v>
                  </c:pt>
                  <c:pt idx="9">
                    <c:v>2.4151894694794233E-2</c:v>
                  </c:pt>
                  <c:pt idx="10">
                    <c:v>3.2517757691046874E-2</c:v>
                  </c:pt>
                  <c:pt idx="11">
                    <c:v>2.8763018553128024E-2</c:v>
                  </c:pt>
                  <c:pt idx="12">
                    <c:v>3.9895180477051616E-2</c:v>
                  </c:pt>
                  <c:pt idx="13">
                    <c:v>4.849894415466275E-2</c:v>
                  </c:pt>
                  <c:pt idx="14">
                    <c:v>4.3724563705948578E-2</c:v>
                  </c:pt>
                  <c:pt idx="15">
                    <c:v>7.4557777850001242E-2</c:v>
                  </c:pt>
                  <c:pt idx="16">
                    <c:v>4.0314190587231034E-2</c:v>
                  </c:pt>
                  <c:pt idx="17">
                    <c:v>6.0876918471525467E-2</c:v>
                  </c:pt>
                  <c:pt idx="18">
                    <c:v>4.7043483952431721E-2</c:v>
                  </c:pt>
                  <c:pt idx="19">
                    <c:v>3.3390960643522392E-2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#1926'!$D$28:$D$47</c:f>
              <c:numCache>
                <c:formatCode>0</c:formatCode>
                <c:ptCount val="20"/>
                <c:pt idx="0">
                  <c:v>0</c:v>
                </c:pt>
                <c:pt idx="1">
                  <c:v>6</c:v>
                </c:pt>
                <c:pt idx="2">
                  <c:v>10.5</c:v>
                </c:pt>
                <c:pt idx="3">
                  <c:v>24</c:v>
                </c:pt>
                <c:pt idx="4">
                  <c:v>30</c:v>
                </c:pt>
                <c:pt idx="5">
                  <c:v>50</c:v>
                </c:pt>
                <c:pt idx="6">
                  <c:v>74</c:v>
                </c:pt>
                <c:pt idx="7">
                  <c:v>96.5</c:v>
                </c:pt>
                <c:pt idx="8">
                  <c:v>120.5</c:v>
                </c:pt>
                <c:pt idx="9">
                  <c:v>144.5</c:v>
                </c:pt>
                <c:pt idx="10">
                  <c:v>168.5</c:v>
                </c:pt>
                <c:pt idx="11">
                  <c:v>192.5</c:v>
                </c:pt>
                <c:pt idx="12">
                  <c:v>216.5</c:v>
                </c:pt>
                <c:pt idx="13">
                  <c:v>264.5</c:v>
                </c:pt>
                <c:pt idx="14">
                  <c:v>288.5</c:v>
                </c:pt>
                <c:pt idx="15">
                  <c:v>312.5</c:v>
                </c:pt>
                <c:pt idx="16">
                  <c:v>336.5</c:v>
                </c:pt>
                <c:pt idx="17">
                  <c:v>362</c:v>
                </c:pt>
                <c:pt idx="18">
                  <c:v>386.5</c:v>
                </c:pt>
                <c:pt idx="19">
                  <c:v>410</c:v>
                </c:pt>
              </c:numCache>
            </c:numRef>
          </c:xVal>
          <c:yVal>
            <c:numRef>
              <c:f>'Growth curves UTEX #1926'!$Q$28:$Q$47</c:f>
              <c:numCache>
                <c:formatCode>0.000</c:formatCode>
                <c:ptCount val="20"/>
                <c:pt idx="0">
                  <c:v>-2.0652880606199653</c:v>
                </c:pt>
                <c:pt idx="1">
                  <c:v>-1.9769970054209456</c:v>
                </c:pt>
                <c:pt idx="2">
                  <c:v>-1.8653279874848383</c:v>
                </c:pt>
                <c:pt idx="3">
                  <c:v>-1.6424219926664001</c:v>
                </c:pt>
                <c:pt idx="4">
                  <c:v>-1.5672397493653429</c:v>
                </c:pt>
                <c:pt idx="5">
                  <c:v>-1.2259958813444982</c:v>
                </c:pt>
                <c:pt idx="6">
                  <c:v>-0.92445919745375493</c:v>
                </c:pt>
                <c:pt idx="7">
                  <c:v>-0.71883327844469713</c:v>
                </c:pt>
                <c:pt idx="8">
                  <c:v>-0.55610785703555843</c:v>
                </c:pt>
                <c:pt idx="9">
                  <c:v>-0.33718038044982013</c:v>
                </c:pt>
                <c:pt idx="10">
                  <c:v>-0.22386258107134216</c:v>
                </c:pt>
                <c:pt idx="11">
                  <c:v>-8.3367584993232935E-2</c:v>
                </c:pt>
                <c:pt idx="12">
                  <c:v>2.2609413879954715E-2</c:v>
                </c:pt>
                <c:pt idx="13">
                  <c:v>0.22845536275740119</c:v>
                </c:pt>
                <c:pt idx="14">
                  <c:v>0.33595006863518601</c:v>
                </c:pt>
                <c:pt idx="15">
                  <c:v>0.39372376293867478</c:v>
                </c:pt>
                <c:pt idx="16">
                  <c:v>0.44964253987305086</c:v>
                </c:pt>
                <c:pt idx="17">
                  <c:v>0.49983946139485935</c:v>
                </c:pt>
                <c:pt idx="18">
                  <c:v>0.5695348480096345</c:v>
                </c:pt>
                <c:pt idx="19">
                  <c:v>0.5866431141819447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9A-FE47-AC59-A48C2F0B46D3}"/>
            </c:ext>
          </c:extLst>
        </c:ser>
        <c:ser>
          <c:idx val="2"/>
          <c:order val="2"/>
          <c:tx>
            <c:strRef>
              <c:f>'Growth curves UTEX #1926'!$C$87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#1926'!$R$51:$R$70</c:f>
                <c:numCache>
                  <c:formatCode>General</c:formatCode>
                  <c:ptCount val="20"/>
                  <c:pt idx="0">
                    <c:v>1.4472014554359239E-2</c:v>
                  </c:pt>
                  <c:pt idx="1">
                    <c:v>3.8958943140688762E-2</c:v>
                  </c:pt>
                  <c:pt idx="2">
                    <c:v>2.1668604260514868E-2</c:v>
                  </c:pt>
                  <c:pt idx="3">
                    <c:v>3.7562050701430982E-2</c:v>
                  </c:pt>
                  <c:pt idx="4">
                    <c:v>7.6611396282405446E-3</c:v>
                  </c:pt>
                  <c:pt idx="5">
                    <c:v>2.3732069200656406E-2</c:v>
                  </c:pt>
                  <c:pt idx="6">
                    <c:v>2.4593602375710448E-2</c:v>
                  </c:pt>
                  <c:pt idx="7">
                    <c:v>3.2405279914467415E-3</c:v>
                  </c:pt>
                  <c:pt idx="8">
                    <c:v>7.2881457566231732E-3</c:v>
                  </c:pt>
                  <c:pt idx="9">
                    <c:v>1.9405620165723423E-2</c:v>
                  </c:pt>
                  <c:pt idx="10">
                    <c:v>8.9109351704795836E-3</c:v>
                  </c:pt>
                  <c:pt idx="11">
                    <c:v>6.5844903719203896E-3</c:v>
                  </c:pt>
                  <c:pt idx="12">
                    <c:v>8.3911025680744062E-3</c:v>
                  </c:pt>
                  <c:pt idx="13">
                    <c:v>1.7705404468939978E-2</c:v>
                  </c:pt>
                  <c:pt idx="14">
                    <c:v>1.9753658184205304E-2</c:v>
                  </c:pt>
                  <c:pt idx="15">
                    <c:v>2.1733310774192733E-2</c:v>
                  </c:pt>
                  <c:pt idx="16">
                    <c:v>1.529149767464914E-2</c:v>
                  </c:pt>
                  <c:pt idx="17">
                    <c:v>8.8324864911726048E-3</c:v>
                  </c:pt>
                  <c:pt idx="18">
                    <c:v>8.5769815452295377E-3</c:v>
                  </c:pt>
                  <c:pt idx="19">
                    <c:v>5.8063729541862228E-3</c:v>
                  </c:pt>
                </c:numCache>
              </c:numRef>
            </c:plus>
            <c:minus>
              <c:numRef>
                <c:f>'Growth curves UTEX #1926'!$R$51:$R$70</c:f>
                <c:numCache>
                  <c:formatCode>General</c:formatCode>
                  <c:ptCount val="20"/>
                  <c:pt idx="0">
                    <c:v>1.4472014554359239E-2</c:v>
                  </c:pt>
                  <c:pt idx="1">
                    <c:v>3.8958943140688762E-2</c:v>
                  </c:pt>
                  <c:pt idx="2">
                    <c:v>2.1668604260514868E-2</c:v>
                  </c:pt>
                  <c:pt idx="3">
                    <c:v>3.7562050701430982E-2</c:v>
                  </c:pt>
                  <c:pt idx="4">
                    <c:v>7.6611396282405446E-3</c:v>
                  </c:pt>
                  <c:pt idx="5">
                    <c:v>2.3732069200656406E-2</c:v>
                  </c:pt>
                  <c:pt idx="6">
                    <c:v>2.4593602375710448E-2</c:v>
                  </c:pt>
                  <c:pt idx="7">
                    <c:v>3.2405279914467415E-3</c:v>
                  </c:pt>
                  <c:pt idx="8">
                    <c:v>7.2881457566231732E-3</c:v>
                  </c:pt>
                  <c:pt idx="9">
                    <c:v>1.9405620165723423E-2</c:v>
                  </c:pt>
                  <c:pt idx="10">
                    <c:v>8.9109351704795836E-3</c:v>
                  </c:pt>
                  <c:pt idx="11">
                    <c:v>6.5844903719203896E-3</c:v>
                  </c:pt>
                  <c:pt idx="12">
                    <c:v>8.3911025680744062E-3</c:v>
                  </c:pt>
                  <c:pt idx="13">
                    <c:v>1.7705404468939978E-2</c:v>
                  </c:pt>
                  <c:pt idx="14">
                    <c:v>1.9753658184205304E-2</c:v>
                  </c:pt>
                  <c:pt idx="15">
                    <c:v>2.1733310774192733E-2</c:v>
                  </c:pt>
                  <c:pt idx="16">
                    <c:v>1.529149767464914E-2</c:v>
                  </c:pt>
                  <c:pt idx="17">
                    <c:v>8.8324864911726048E-3</c:v>
                  </c:pt>
                  <c:pt idx="18">
                    <c:v>8.5769815452295377E-3</c:v>
                  </c:pt>
                  <c:pt idx="19">
                    <c:v>5.8063729541862228E-3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#1926'!$D$51:$D$70</c:f>
              <c:numCache>
                <c:formatCode>0</c:formatCode>
                <c:ptCount val="20"/>
                <c:pt idx="0">
                  <c:v>0</c:v>
                </c:pt>
                <c:pt idx="1">
                  <c:v>3.5</c:v>
                </c:pt>
                <c:pt idx="2">
                  <c:v>8</c:v>
                </c:pt>
                <c:pt idx="3">
                  <c:v>22</c:v>
                </c:pt>
                <c:pt idx="4">
                  <c:v>27.5</c:v>
                </c:pt>
                <c:pt idx="5">
                  <c:v>48</c:v>
                </c:pt>
                <c:pt idx="6">
                  <c:v>72</c:v>
                </c:pt>
                <c:pt idx="7">
                  <c:v>94.5</c:v>
                </c:pt>
                <c:pt idx="8">
                  <c:v>118.5</c:v>
                </c:pt>
                <c:pt idx="9">
                  <c:v>142.5</c:v>
                </c:pt>
                <c:pt idx="10">
                  <c:v>166.5</c:v>
                </c:pt>
                <c:pt idx="11">
                  <c:v>190</c:v>
                </c:pt>
                <c:pt idx="12">
                  <c:v>214</c:v>
                </c:pt>
                <c:pt idx="13">
                  <c:v>262.5</c:v>
                </c:pt>
                <c:pt idx="14">
                  <c:v>286.5</c:v>
                </c:pt>
                <c:pt idx="15">
                  <c:v>310.5</c:v>
                </c:pt>
                <c:pt idx="16">
                  <c:v>334.5</c:v>
                </c:pt>
                <c:pt idx="17">
                  <c:v>360</c:v>
                </c:pt>
                <c:pt idx="18">
                  <c:v>384.5</c:v>
                </c:pt>
                <c:pt idx="19">
                  <c:v>408</c:v>
                </c:pt>
              </c:numCache>
            </c:numRef>
          </c:xVal>
          <c:yVal>
            <c:numRef>
              <c:f>'Growth curves UTEX #1926'!$Q$51:$Q$70</c:f>
              <c:numCache>
                <c:formatCode>0.000</c:formatCode>
                <c:ptCount val="20"/>
                <c:pt idx="0">
                  <c:v>-2.0653554074902485</c:v>
                </c:pt>
                <c:pt idx="1">
                  <c:v>-1.9749901761604181</c:v>
                </c:pt>
                <c:pt idx="2">
                  <c:v>-1.9325015911409107</c:v>
                </c:pt>
                <c:pt idx="3">
                  <c:v>-1.7414980197944037</c:v>
                </c:pt>
                <c:pt idx="4">
                  <c:v>-1.6186529513485894</c:v>
                </c:pt>
                <c:pt idx="5">
                  <c:v>-1.3367881473662264</c:v>
                </c:pt>
                <c:pt idx="6">
                  <c:v>-0.98945623799807636</c:v>
                </c:pt>
                <c:pt idx="7">
                  <c:v>-0.75987142941824148</c:v>
                </c:pt>
                <c:pt idx="8">
                  <c:v>-0.53354400184330575</c:v>
                </c:pt>
                <c:pt idx="9">
                  <c:v>-0.34583726806317733</c:v>
                </c:pt>
                <c:pt idx="10">
                  <c:v>-0.10103518760041291</c:v>
                </c:pt>
                <c:pt idx="11">
                  <c:v>4.882922801928672E-2</c:v>
                </c:pt>
                <c:pt idx="12">
                  <c:v>0.1937139534051053</c:v>
                </c:pt>
                <c:pt idx="13">
                  <c:v>0.33122939490147774</c:v>
                </c:pt>
                <c:pt idx="14">
                  <c:v>0.37939984846719349</c:v>
                </c:pt>
                <c:pt idx="15">
                  <c:v>0.45292870034679461</c:v>
                </c:pt>
                <c:pt idx="16">
                  <c:v>0.47950275806244108</c:v>
                </c:pt>
                <c:pt idx="17">
                  <c:v>0.56814048944243567</c:v>
                </c:pt>
                <c:pt idx="18">
                  <c:v>0.58839526905269957</c:v>
                </c:pt>
                <c:pt idx="19">
                  <c:v>0.636225583114991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9A-FE47-AC59-A48C2F0B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93611082258263E-2"/>
              <c:y val="0.15183041483437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#1926'!$A$87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#1926'!$M$5:$M$24</c:f>
                <c:numCache>
                  <c:formatCode>General</c:formatCode>
                  <c:ptCount val="20"/>
                  <c:pt idx="0">
                    <c:v>8.3973333333332389E-4</c:v>
                  </c:pt>
                  <c:pt idx="1">
                    <c:v>4.1352070957141234E-3</c:v>
                  </c:pt>
                  <c:pt idx="2">
                    <c:v>4.6754373276137956E-3</c:v>
                  </c:pt>
                  <c:pt idx="3">
                    <c:v>8.2704141914282554E-3</c:v>
                  </c:pt>
                  <c:pt idx="4">
                    <c:v>1.1756266666666671E-2</c:v>
                  </c:pt>
                  <c:pt idx="5">
                    <c:v>6.6651767028339144E-3</c:v>
                  </c:pt>
                  <c:pt idx="6">
                    <c:v>2.3377186638069013E-3</c:v>
                  </c:pt>
                  <c:pt idx="7">
                    <c:v>1.0395410280396731E-2</c:v>
                  </c:pt>
                  <c:pt idx="8">
                    <c:v>1.1108627838056419E-3</c:v>
                  </c:pt>
                  <c:pt idx="9">
                    <c:v>1.0646745767186857E-2</c:v>
                  </c:pt>
                  <c:pt idx="10">
                    <c:v>2.9390666666666673E-3</c:v>
                  </c:pt>
                  <c:pt idx="11">
                    <c:v>2.3777209109004615E-2</c:v>
                  </c:pt>
                  <c:pt idx="12">
                    <c:v>1.0076799999999999E-2</c:v>
                  </c:pt>
                  <c:pt idx="13">
                    <c:v>6.2134592533735532E-3</c:v>
                  </c:pt>
                  <c:pt idx="14">
                    <c:v>7.5925082689011604E-3</c:v>
                  </c:pt>
                  <c:pt idx="15">
                    <c:v>3.1635218932772415E-2</c:v>
                  </c:pt>
                  <c:pt idx="16">
                    <c:v>1.5027473199887313E-2</c:v>
                  </c:pt>
                  <c:pt idx="17">
                    <c:v>3.0964988756551067E-2</c:v>
                  </c:pt>
                  <c:pt idx="18">
                    <c:v>3.4503231501604795E-2</c:v>
                  </c:pt>
                  <c:pt idx="19">
                    <c:v>3.4452100425050633E-2</c:v>
                  </c:pt>
                </c:numCache>
              </c:numRef>
            </c:plus>
            <c:minus>
              <c:numRef>
                <c:f>'Growth curves UTEX #1926'!$M$5:$M$24</c:f>
                <c:numCache>
                  <c:formatCode>General</c:formatCode>
                  <c:ptCount val="20"/>
                  <c:pt idx="0">
                    <c:v>8.3973333333332389E-4</c:v>
                  </c:pt>
                  <c:pt idx="1">
                    <c:v>4.1352070957141234E-3</c:v>
                  </c:pt>
                  <c:pt idx="2">
                    <c:v>4.6754373276137956E-3</c:v>
                  </c:pt>
                  <c:pt idx="3">
                    <c:v>8.2704141914282554E-3</c:v>
                  </c:pt>
                  <c:pt idx="4">
                    <c:v>1.1756266666666671E-2</c:v>
                  </c:pt>
                  <c:pt idx="5">
                    <c:v>6.6651767028339144E-3</c:v>
                  </c:pt>
                  <c:pt idx="6">
                    <c:v>2.3377186638069013E-3</c:v>
                  </c:pt>
                  <c:pt idx="7">
                    <c:v>1.0395410280396731E-2</c:v>
                  </c:pt>
                  <c:pt idx="8">
                    <c:v>1.1108627838056419E-3</c:v>
                  </c:pt>
                  <c:pt idx="9">
                    <c:v>1.0646745767186857E-2</c:v>
                  </c:pt>
                  <c:pt idx="10">
                    <c:v>2.9390666666666673E-3</c:v>
                  </c:pt>
                  <c:pt idx="11">
                    <c:v>2.3777209109004615E-2</c:v>
                  </c:pt>
                  <c:pt idx="12">
                    <c:v>1.0076799999999999E-2</c:v>
                  </c:pt>
                  <c:pt idx="13">
                    <c:v>6.2134592533735532E-3</c:v>
                  </c:pt>
                  <c:pt idx="14">
                    <c:v>7.5925082689011604E-3</c:v>
                  </c:pt>
                  <c:pt idx="15">
                    <c:v>3.1635218932772415E-2</c:v>
                  </c:pt>
                  <c:pt idx="16">
                    <c:v>1.5027473199887313E-2</c:v>
                  </c:pt>
                  <c:pt idx="17">
                    <c:v>3.0964988756551067E-2</c:v>
                  </c:pt>
                  <c:pt idx="18">
                    <c:v>3.4503231501604795E-2</c:v>
                  </c:pt>
                  <c:pt idx="19">
                    <c:v>3.4452100425050633E-2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#1926'!$D$5:$D$24</c:f>
              <c:numCache>
                <c:formatCode>0</c:formatCode>
                <c:ptCount val="20"/>
                <c:pt idx="0">
                  <c:v>0</c:v>
                </c:pt>
                <c:pt idx="1">
                  <c:v>4.5</c:v>
                </c:pt>
                <c:pt idx="2">
                  <c:v>9</c:v>
                </c:pt>
                <c:pt idx="3">
                  <c:v>23</c:v>
                </c:pt>
                <c:pt idx="4">
                  <c:v>28.5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119</c:v>
                </c:pt>
                <c:pt idx="9">
                  <c:v>143</c:v>
                </c:pt>
                <c:pt idx="10">
                  <c:v>167</c:v>
                </c:pt>
                <c:pt idx="11">
                  <c:v>191</c:v>
                </c:pt>
                <c:pt idx="12">
                  <c:v>215</c:v>
                </c:pt>
                <c:pt idx="13">
                  <c:v>263</c:v>
                </c:pt>
                <c:pt idx="14">
                  <c:v>287</c:v>
                </c:pt>
                <c:pt idx="15">
                  <c:v>311</c:v>
                </c:pt>
                <c:pt idx="16">
                  <c:v>335</c:v>
                </c:pt>
                <c:pt idx="17">
                  <c:v>360.5</c:v>
                </c:pt>
                <c:pt idx="18">
                  <c:v>385</c:v>
                </c:pt>
                <c:pt idx="19">
                  <c:v>408.5</c:v>
                </c:pt>
              </c:numCache>
            </c:numRef>
          </c:xVal>
          <c:yVal>
            <c:numRef>
              <c:f>'Growth curves UTEX #1926'!$L$5:$L$24</c:f>
              <c:numCache>
                <c:formatCode>0.000</c:formatCode>
                <c:ptCount val="20"/>
                <c:pt idx="0">
                  <c:v>0.12889906666666667</c:v>
                </c:pt>
                <c:pt idx="1">
                  <c:v>0.13939573333333333</c:v>
                </c:pt>
                <c:pt idx="2">
                  <c:v>0.15451093333333335</c:v>
                </c:pt>
                <c:pt idx="3">
                  <c:v>0.19691746666666665</c:v>
                </c:pt>
                <c:pt idx="4">
                  <c:v>0.21455186666666667</c:v>
                </c:pt>
                <c:pt idx="5">
                  <c:v>0.28466960000000002</c:v>
                </c:pt>
                <c:pt idx="6">
                  <c:v>0.38249853333333333</c:v>
                </c:pt>
                <c:pt idx="7">
                  <c:v>0.45639506666666668</c:v>
                </c:pt>
                <c:pt idx="8">
                  <c:v>0.5726981333333333</c:v>
                </c:pt>
                <c:pt idx="9">
                  <c:v>0.6743058666666667</c:v>
                </c:pt>
                <c:pt idx="10">
                  <c:v>0.79816653333333332</c:v>
                </c:pt>
                <c:pt idx="11">
                  <c:v>0.87290279999999998</c:v>
                </c:pt>
                <c:pt idx="12">
                  <c:v>1.0341316</c:v>
                </c:pt>
                <c:pt idx="13">
                  <c:v>1.2407060000000001</c:v>
                </c:pt>
                <c:pt idx="14">
                  <c:v>1.3427336000000001</c:v>
                </c:pt>
                <c:pt idx="15">
                  <c:v>1.4695333333333334</c:v>
                </c:pt>
                <c:pt idx="16">
                  <c:v>1.5631636</c:v>
                </c:pt>
                <c:pt idx="17">
                  <c:v>1.6677104</c:v>
                </c:pt>
                <c:pt idx="18">
                  <c:v>1.7709976000000001</c:v>
                </c:pt>
                <c:pt idx="19">
                  <c:v>1.7663790666666668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4A-C447-BA85-7F3B851D3E4B}"/>
            </c:ext>
          </c:extLst>
        </c:ser>
        <c:ser>
          <c:idx val="1"/>
          <c:order val="1"/>
          <c:tx>
            <c:strRef>
              <c:f>'Growth curves UTEX #1926'!$B$87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#1926'!$T$28:$T$47</c:f>
                <c:numCache>
                  <c:formatCode>General</c:formatCode>
                  <c:ptCount val="20"/>
                  <c:pt idx="1">
                    <c:v>1.1276441412302477E-2</c:v>
                  </c:pt>
                  <c:pt idx="2">
                    <c:v>2.174573111194637E-2</c:v>
                  </c:pt>
                  <c:pt idx="3">
                    <c:v>2.1152680065380982E-2</c:v>
                  </c:pt>
                  <c:pt idx="4">
                    <c:v>6.2507325764090682E-3</c:v>
                  </c:pt>
                  <c:pt idx="5">
                    <c:v>1.7433375485751558E-2</c:v>
                  </c:pt>
                  <c:pt idx="6">
                    <c:v>1.3448891344293792E-2</c:v>
                  </c:pt>
                  <c:pt idx="7">
                    <c:v>8.702854970596835E-3</c:v>
                  </c:pt>
                  <c:pt idx="8">
                    <c:v>9.125471417887469E-3</c:v>
                  </c:pt>
                  <c:pt idx="9">
                    <c:v>7.5535759966842723E-3</c:v>
                  </c:pt>
                  <c:pt idx="10">
                    <c:v>5.8953153476095227E-3</c:v>
                  </c:pt>
                  <c:pt idx="11">
                    <c:v>4.6639814286723782E-3</c:v>
                  </c:pt>
                  <c:pt idx="12">
                    <c:v>4.9448454847332741E-3</c:v>
                  </c:pt>
                  <c:pt idx="13">
                    <c:v>3.7983657665407199E-3</c:v>
                  </c:pt>
                  <c:pt idx="14">
                    <c:v>4.3900214857427672E-3</c:v>
                  </c:pt>
                  <c:pt idx="15">
                    <c:v>-7.8866707856328994E-4</c:v>
                  </c:pt>
                  <c:pt idx="16">
                    <c:v>5.1638049539793063E-3</c:v>
                  </c:pt>
                  <c:pt idx="17">
                    <c:v>-5.7157477658698269E-4</c:v>
                  </c:pt>
                  <c:pt idx="18">
                    <c:v>3.9023159065958843E-3</c:v>
                  </c:pt>
                  <c:pt idx="19">
                    <c:v>1.3352333909195325E-3</c:v>
                  </c:pt>
                </c:numCache>
              </c:numRef>
            </c:plus>
            <c:minus>
              <c:numRef>
                <c:f>'Growth curves UTEX #1926'!$T$28:$T$47</c:f>
                <c:numCache>
                  <c:formatCode>General</c:formatCode>
                  <c:ptCount val="20"/>
                  <c:pt idx="1">
                    <c:v>1.1276441412302477E-2</c:v>
                  </c:pt>
                  <c:pt idx="2">
                    <c:v>2.174573111194637E-2</c:v>
                  </c:pt>
                  <c:pt idx="3">
                    <c:v>2.1152680065380982E-2</c:v>
                  </c:pt>
                  <c:pt idx="4">
                    <c:v>6.2507325764090682E-3</c:v>
                  </c:pt>
                  <c:pt idx="5">
                    <c:v>1.7433375485751558E-2</c:v>
                  </c:pt>
                  <c:pt idx="6">
                    <c:v>1.3448891344293792E-2</c:v>
                  </c:pt>
                  <c:pt idx="7">
                    <c:v>8.702854970596835E-3</c:v>
                  </c:pt>
                  <c:pt idx="8">
                    <c:v>9.125471417887469E-3</c:v>
                  </c:pt>
                  <c:pt idx="9">
                    <c:v>7.5535759966842723E-3</c:v>
                  </c:pt>
                  <c:pt idx="10">
                    <c:v>5.8953153476095227E-3</c:v>
                  </c:pt>
                  <c:pt idx="11">
                    <c:v>4.6639814286723782E-3</c:v>
                  </c:pt>
                  <c:pt idx="12">
                    <c:v>4.9448454847332741E-3</c:v>
                  </c:pt>
                  <c:pt idx="13">
                    <c:v>3.7983657665407199E-3</c:v>
                  </c:pt>
                  <c:pt idx="14">
                    <c:v>4.3900214857427672E-3</c:v>
                  </c:pt>
                  <c:pt idx="15">
                    <c:v>-7.8866707856328994E-4</c:v>
                  </c:pt>
                  <c:pt idx="16">
                    <c:v>5.1638049539793063E-3</c:v>
                  </c:pt>
                  <c:pt idx="17">
                    <c:v>-5.7157477658698269E-4</c:v>
                  </c:pt>
                  <c:pt idx="18">
                    <c:v>3.9023159065958843E-3</c:v>
                  </c:pt>
                  <c:pt idx="19">
                    <c:v>1.3352333909195325E-3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#1926'!$D$28:$D$47</c:f>
              <c:numCache>
                <c:formatCode>0</c:formatCode>
                <c:ptCount val="20"/>
                <c:pt idx="0">
                  <c:v>0</c:v>
                </c:pt>
                <c:pt idx="1">
                  <c:v>6</c:v>
                </c:pt>
                <c:pt idx="2">
                  <c:v>10.5</c:v>
                </c:pt>
                <c:pt idx="3">
                  <c:v>24</c:v>
                </c:pt>
                <c:pt idx="4">
                  <c:v>30</c:v>
                </c:pt>
                <c:pt idx="5">
                  <c:v>50</c:v>
                </c:pt>
                <c:pt idx="6">
                  <c:v>74</c:v>
                </c:pt>
                <c:pt idx="7">
                  <c:v>96.5</c:v>
                </c:pt>
                <c:pt idx="8">
                  <c:v>120.5</c:v>
                </c:pt>
                <c:pt idx="9">
                  <c:v>144.5</c:v>
                </c:pt>
                <c:pt idx="10">
                  <c:v>168.5</c:v>
                </c:pt>
                <c:pt idx="11">
                  <c:v>192.5</c:v>
                </c:pt>
                <c:pt idx="12">
                  <c:v>216.5</c:v>
                </c:pt>
                <c:pt idx="13">
                  <c:v>264.5</c:v>
                </c:pt>
                <c:pt idx="14">
                  <c:v>288.5</c:v>
                </c:pt>
                <c:pt idx="15">
                  <c:v>312.5</c:v>
                </c:pt>
                <c:pt idx="16">
                  <c:v>336.5</c:v>
                </c:pt>
                <c:pt idx="17">
                  <c:v>362</c:v>
                </c:pt>
                <c:pt idx="18">
                  <c:v>386.5</c:v>
                </c:pt>
                <c:pt idx="19">
                  <c:v>410</c:v>
                </c:pt>
              </c:numCache>
            </c:numRef>
          </c:xVal>
          <c:yVal>
            <c:numRef>
              <c:f>'Growth curves UTEX #1926'!$L$28:$L$47</c:f>
              <c:numCache>
                <c:formatCode>0.000</c:formatCode>
                <c:ptCount val="20"/>
                <c:pt idx="0">
                  <c:v>0.12679973333333333</c:v>
                </c:pt>
                <c:pt idx="1">
                  <c:v>0.13855600000000001</c:v>
                </c:pt>
                <c:pt idx="2">
                  <c:v>0.15493080000000001</c:v>
                </c:pt>
                <c:pt idx="3">
                  <c:v>0.19355853333333337</c:v>
                </c:pt>
                <c:pt idx="4">
                  <c:v>0.20867373333333336</c:v>
                </c:pt>
                <c:pt idx="5">
                  <c:v>0.29348679999999999</c:v>
                </c:pt>
                <c:pt idx="6">
                  <c:v>0.39677400000000002</c:v>
                </c:pt>
                <c:pt idx="7">
                  <c:v>0.48746519999999999</c:v>
                </c:pt>
                <c:pt idx="8">
                  <c:v>0.57479746666666665</c:v>
                </c:pt>
                <c:pt idx="9">
                  <c:v>0.71419319999999997</c:v>
                </c:pt>
                <c:pt idx="10">
                  <c:v>0.80026586666666677</c:v>
                </c:pt>
                <c:pt idx="11">
                  <c:v>0.92076760000000002</c:v>
                </c:pt>
                <c:pt idx="12">
                  <c:v>1.0244746666666666</c:v>
                </c:pt>
                <c:pt idx="13">
                  <c:v>1.2596000000000001</c:v>
                </c:pt>
                <c:pt idx="14">
                  <c:v>1.4019348</c:v>
                </c:pt>
                <c:pt idx="15">
                  <c:v>1.4909465333333334</c:v>
                </c:pt>
                <c:pt idx="16">
                  <c:v>1.5703013333333333</c:v>
                </c:pt>
                <c:pt idx="17">
                  <c:v>1.6546945333333334</c:v>
                </c:pt>
                <c:pt idx="18">
                  <c:v>1.7714174666666667</c:v>
                </c:pt>
                <c:pt idx="19">
                  <c:v>1.7999684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4A-C447-BA85-7F3B851D3E4B}"/>
            </c:ext>
          </c:extLst>
        </c:ser>
        <c:ser>
          <c:idx val="2"/>
          <c:order val="2"/>
          <c:tx>
            <c:strRef>
              <c:f>'Growth curves UTEX #1926'!$C$87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#1926'!$M$51:$M$70</c:f>
                <c:numCache>
                  <c:formatCode>General</c:formatCode>
                  <c:ptCount val="20"/>
                  <c:pt idx="0">
                    <c:v>1.8301563697612736E-3</c:v>
                  </c:pt>
                  <c:pt idx="1">
                    <c:v>5.5064997101405321E-3</c:v>
                  </c:pt>
                  <c:pt idx="2">
                    <c:v>3.1699238182223448E-3</c:v>
                  </c:pt>
                  <c:pt idx="3">
                    <c:v>6.5585269945146801E-3</c:v>
                  </c:pt>
                  <c:pt idx="4">
                    <c:v>1.5138507955248224E-3</c:v>
                  </c:pt>
                  <c:pt idx="5">
                    <c:v>6.269946408418858E-3</c:v>
                  </c:pt>
                  <c:pt idx="6">
                    <c:v>9.0344536210614865E-3</c:v>
                  </c:pt>
                  <c:pt idx="7">
                    <c:v>1.5138507955248159E-3</c:v>
                  </c:pt>
                  <c:pt idx="8">
                    <c:v>4.2611812717967164E-3</c:v>
                  </c:pt>
                  <c:pt idx="9">
                    <c:v>1.3817377582353765E-2</c:v>
                  </c:pt>
                  <c:pt idx="10">
                    <c:v>8.0434882062724918E-3</c:v>
                  </c:pt>
                  <c:pt idx="11">
                    <c:v>6.9118776622404199E-3</c:v>
                  </c:pt>
                  <c:pt idx="12">
                    <c:v>1.0189879413963236E-2</c:v>
                  </c:pt>
                  <c:pt idx="13">
                    <c:v>2.4811242574284683E-2</c:v>
                  </c:pt>
                  <c:pt idx="14">
                    <c:v>2.8735571601607467E-2</c:v>
                  </c:pt>
                  <c:pt idx="15">
                    <c:v>3.4551735938894795E-2</c:v>
                  </c:pt>
                  <c:pt idx="16">
                    <c:v>2.4525389225408437E-2</c:v>
                  </c:pt>
                  <c:pt idx="17">
                    <c:v>1.5552078973279157E-2</c:v>
                  </c:pt>
                  <c:pt idx="18">
                    <c:v>1.5392566254310331E-2</c:v>
                  </c:pt>
                  <c:pt idx="19">
                    <c:v>1.0980938218567708E-2</c:v>
                  </c:pt>
                </c:numCache>
              </c:numRef>
            </c:plus>
            <c:minus>
              <c:numRef>
                <c:f>'Growth curves UTEX #1926'!$M$51:$M$70</c:f>
                <c:numCache>
                  <c:formatCode>General</c:formatCode>
                  <c:ptCount val="20"/>
                  <c:pt idx="0">
                    <c:v>1.8301563697612736E-3</c:v>
                  </c:pt>
                  <c:pt idx="1">
                    <c:v>5.5064997101405321E-3</c:v>
                  </c:pt>
                  <c:pt idx="2">
                    <c:v>3.1699238182223448E-3</c:v>
                  </c:pt>
                  <c:pt idx="3">
                    <c:v>6.5585269945146801E-3</c:v>
                  </c:pt>
                  <c:pt idx="4">
                    <c:v>1.5138507955248224E-3</c:v>
                  </c:pt>
                  <c:pt idx="5">
                    <c:v>6.269946408418858E-3</c:v>
                  </c:pt>
                  <c:pt idx="6">
                    <c:v>9.0344536210614865E-3</c:v>
                  </c:pt>
                  <c:pt idx="7">
                    <c:v>1.5138507955248159E-3</c:v>
                  </c:pt>
                  <c:pt idx="8">
                    <c:v>4.2611812717967164E-3</c:v>
                  </c:pt>
                  <c:pt idx="9">
                    <c:v>1.3817377582353765E-2</c:v>
                  </c:pt>
                  <c:pt idx="10">
                    <c:v>8.0434882062724918E-3</c:v>
                  </c:pt>
                  <c:pt idx="11">
                    <c:v>6.9118776622404199E-3</c:v>
                  </c:pt>
                  <c:pt idx="12">
                    <c:v>1.0189879413963236E-2</c:v>
                  </c:pt>
                  <c:pt idx="13">
                    <c:v>2.4811242574284683E-2</c:v>
                  </c:pt>
                  <c:pt idx="14">
                    <c:v>2.8735571601607467E-2</c:v>
                  </c:pt>
                  <c:pt idx="15">
                    <c:v>3.4551735938894795E-2</c:v>
                  </c:pt>
                  <c:pt idx="16">
                    <c:v>2.4525389225408437E-2</c:v>
                  </c:pt>
                  <c:pt idx="17">
                    <c:v>1.5552078973279157E-2</c:v>
                  </c:pt>
                  <c:pt idx="18">
                    <c:v>1.5392566254310331E-2</c:v>
                  </c:pt>
                  <c:pt idx="19">
                    <c:v>1.0980938218567708E-2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#1926'!$D$51:$D$70</c:f>
              <c:numCache>
                <c:formatCode>0</c:formatCode>
                <c:ptCount val="20"/>
                <c:pt idx="0">
                  <c:v>0</c:v>
                </c:pt>
                <c:pt idx="1">
                  <c:v>3.5</c:v>
                </c:pt>
                <c:pt idx="2">
                  <c:v>8</c:v>
                </c:pt>
                <c:pt idx="3">
                  <c:v>22</c:v>
                </c:pt>
                <c:pt idx="4">
                  <c:v>27.5</c:v>
                </c:pt>
                <c:pt idx="5">
                  <c:v>48</c:v>
                </c:pt>
                <c:pt idx="6">
                  <c:v>72</c:v>
                </c:pt>
                <c:pt idx="7">
                  <c:v>94.5</c:v>
                </c:pt>
                <c:pt idx="8">
                  <c:v>118.5</c:v>
                </c:pt>
                <c:pt idx="9">
                  <c:v>142.5</c:v>
                </c:pt>
                <c:pt idx="10">
                  <c:v>166.5</c:v>
                </c:pt>
                <c:pt idx="11">
                  <c:v>190</c:v>
                </c:pt>
                <c:pt idx="12">
                  <c:v>214</c:v>
                </c:pt>
                <c:pt idx="13">
                  <c:v>262.5</c:v>
                </c:pt>
                <c:pt idx="14">
                  <c:v>286.5</c:v>
                </c:pt>
                <c:pt idx="15">
                  <c:v>310.5</c:v>
                </c:pt>
                <c:pt idx="16">
                  <c:v>334.5</c:v>
                </c:pt>
                <c:pt idx="17">
                  <c:v>360</c:v>
                </c:pt>
                <c:pt idx="18">
                  <c:v>384.5</c:v>
                </c:pt>
                <c:pt idx="19">
                  <c:v>408</c:v>
                </c:pt>
              </c:numCache>
            </c:numRef>
          </c:xVal>
          <c:yVal>
            <c:numRef>
              <c:f>'Growth curves UTEX #1926'!$L$51:$L$70</c:f>
              <c:numCache>
                <c:formatCode>0.000</c:formatCode>
                <c:ptCount val="20"/>
                <c:pt idx="0">
                  <c:v>0.12679973333333336</c:v>
                </c:pt>
                <c:pt idx="1">
                  <c:v>0.1389758666666667</c:v>
                </c:pt>
                <c:pt idx="2">
                  <c:v>0.14485400000000001</c:v>
                </c:pt>
                <c:pt idx="3">
                  <c:v>0.17550426666666666</c:v>
                </c:pt>
                <c:pt idx="4">
                  <c:v>0.19817706666666668</c:v>
                </c:pt>
                <c:pt idx="5">
                  <c:v>0.26283653333333334</c:v>
                </c:pt>
                <c:pt idx="6">
                  <c:v>0.37200186666666668</c:v>
                </c:pt>
                <c:pt idx="7">
                  <c:v>0.46773146666666671</c:v>
                </c:pt>
                <c:pt idx="8">
                  <c:v>0.58655373333333338</c:v>
                </c:pt>
                <c:pt idx="9">
                  <c:v>0.70789519999999995</c:v>
                </c:pt>
                <c:pt idx="10">
                  <c:v>0.90397293333333339</c:v>
                </c:pt>
                <c:pt idx="11">
                  <c:v>1.0500865333333333</c:v>
                </c:pt>
                <c:pt idx="12">
                  <c:v>1.2138345333333334</c:v>
                </c:pt>
                <c:pt idx="13">
                  <c:v>1.3931176000000001</c:v>
                </c:pt>
                <c:pt idx="14">
                  <c:v>1.4619757333333334</c:v>
                </c:pt>
                <c:pt idx="15">
                  <c:v>1.5736602666666668</c:v>
                </c:pt>
                <c:pt idx="16">
                  <c:v>1.6156469333333334</c:v>
                </c:pt>
                <c:pt idx="17">
                  <c:v>1.7651194666666665</c:v>
                </c:pt>
                <c:pt idx="18">
                  <c:v>1.8012280000000001</c:v>
                </c:pt>
                <c:pt idx="19">
                  <c:v>1.8894000000000002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64A-C447-BA85-7F3B851D3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CeBER'!$AF$5:$AF$22</c:f>
                <c:numCache>
                  <c:formatCode>General</c:formatCode>
                  <c:ptCount val="18"/>
                  <c:pt idx="0">
                    <c:v>6.6524913351912085</c:v>
                  </c:pt>
                  <c:pt idx="1">
                    <c:v>4.8724772728837324</c:v>
                  </c:pt>
                  <c:pt idx="2">
                    <c:v>2.4469473957687842</c:v>
                  </c:pt>
                  <c:pt idx="3">
                    <c:v>4.673024618711799</c:v>
                  </c:pt>
                  <c:pt idx="4">
                    <c:v>3.5458541823971133</c:v>
                  </c:pt>
                  <c:pt idx="5">
                    <c:v>6.0645476963916867</c:v>
                  </c:pt>
                  <c:pt idx="6">
                    <c:v>3.2863493871463922</c:v>
                  </c:pt>
                  <c:pt idx="7">
                    <c:v>2.0452118479979755</c:v>
                  </c:pt>
                  <c:pt idx="8">
                    <c:v>2.7758159299552743</c:v>
                  </c:pt>
                  <c:pt idx="9">
                    <c:v>10.5806107541479</c:v>
                  </c:pt>
                  <c:pt idx="10">
                    <c:v>3.9319957661147518</c:v>
                  </c:pt>
                  <c:pt idx="11">
                    <c:v>3.0861886657000936</c:v>
                  </c:pt>
                  <c:pt idx="12">
                    <c:v>4.6485457419488014</c:v>
                  </c:pt>
                  <c:pt idx="13">
                    <c:v>9.8691537715668414</c:v>
                  </c:pt>
                  <c:pt idx="14">
                    <c:v>4.2562949334228604</c:v>
                  </c:pt>
                  <c:pt idx="15">
                    <c:v>2.7462747041390245</c:v>
                  </c:pt>
                  <c:pt idx="16">
                    <c:v>2.7502514617564837</c:v>
                  </c:pt>
                </c:numCache>
              </c:numRef>
            </c:plus>
            <c:minus>
              <c:numRef>
                <c:f>'C-phycocyanin CeBER'!$AF$5:$AF$22</c:f>
                <c:numCache>
                  <c:formatCode>General</c:formatCode>
                  <c:ptCount val="18"/>
                  <c:pt idx="0">
                    <c:v>6.6524913351912085</c:v>
                  </c:pt>
                  <c:pt idx="1">
                    <c:v>4.8724772728837324</c:v>
                  </c:pt>
                  <c:pt idx="2">
                    <c:v>2.4469473957687842</c:v>
                  </c:pt>
                  <c:pt idx="3">
                    <c:v>4.673024618711799</c:v>
                  </c:pt>
                  <c:pt idx="4">
                    <c:v>3.5458541823971133</c:v>
                  </c:pt>
                  <c:pt idx="5">
                    <c:v>6.0645476963916867</c:v>
                  </c:pt>
                  <c:pt idx="6">
                    <c:v>3.2863493871463922</c:v>
                  </c:pt>
                  <c:pt idx="7">
                    <c:v>2.0452118479979755</c:v>
                  </c:pt>
                  <c:pt idx="8">
                    <c:v>2.7758159299552743</c:v>
                  </c:pt>
                  <c:pt idx="9">
                    <c:v>10.5806107541479</c:v>
                  </c:pt>
                  <c:pt idx="10">
                    <c:v>3.9319957661147518</c:v>
                  </c:pt>
                  <c:pt idx="11">
                    <c:v>3.0861886657000936</c:v>
                  </c:pt>
                  <c:pt idx="12">
                    <c:v>4.6485457419488014</c:v>
                  </c:pt>
                  <c:pt idx="13">
                    <c:v>9.8691537715668414</c:v>
                  </c:pt>
                  <c:pt idx="14">
                    <c:v>4.2562949334228604</c:v>
                  </c:pt>
                  <c:pt idx="15">
                    <c:v>2.7462747041390245</c:v>
                  </c:pt>
                  <c:pt idx="16">
                    <c:v>2.7502514617564837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CeBER'!$AD$5:$AD$22</c:f>
              <c:numCache>
                <c:formatCode>0</c:formatCode>
                <c:ptCount val="18"/>
                <c:pt idx="0">
                  <c:v>0</c:v>
                </c:pt>
                <c:pt idx="1">
                  <c:v>24</c:v>
                </c:pt>
                <c:pt idx="2">
                  <c:v>49.5</c:v>
                </c:pt>
                <c:pt idx="3">
                  <c:v>73.5</c:v>
                </c:pt>
                <c:pt idx="4">
                  <c:v>96</c:v>
                </c:pt>
                <c:pt idx="5">
                  <c:v>120</c:v>
                </c:pt>
                <c:pt idx="6">
                  <c:v>144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361.5</c:v>
                </c:pt>
                <c:pt idx="15">
                  <c:v>386</c:v>
                </c:pt>
                <c:pt idx="16">
                  <c:v>409.5</c:v>
                </c:pt>
              </c:numCache>
            </c:numRef>
          </c:xVal>
          <c:yVal>
            <c:numRef>
              <c:f>'C-phycocyanin CeBER'!$AE$5:$AE$22</c:f>
              <c:numCache>
                <c:formatCode>0.00</c:formatCode>
                <c:ptCount val="18"/>
                <c:pt idx="0">
                  <c:v>61.889567290601157</c:v>
                </c:pt>
                <c:pt idx="1">
                  <c:v>40.959863978864085</c:v>
                </c:pt>
                <c:pt idx="2">
                  <c:v>36.311179434900332</c:v>
                </c:pt>
                <c:pt idx="3">
                  <c:v>62.809035901865492</c:v>
                </c:pt>
                <c:pt idx="4">
                  <c:v>64.897153412977801</c:v>
                </c:pt>
                <c:pt idx="5">
                  <c:v>59.279184940996259</c:v>
                </c:pt>
                <c:pt idx="6">
                  <c:v>63.680014929630893</c:v>
                </c:pt>
                <c:pt idx="7">
                  <c:v>55.478821140900408</c:v>
                </c:pt>
                <c:pt idx="8">
                  <c:v>52.47611625860899</c:v>
                </c:pt>
                <c:pt idx="9">
                  <c:v>43.978318298315237</c:v>
                </c:pt>
                <c:pt idx="10">
                  <c:v>57.275388188728776</c:v>
                </c:pt>
                <c:pt idx="11">
                  <c:v>60.088118493126636</c:v>
                </c:pt>
                <c:pt idx="12">
                  <c:v>52.324002353257576</c:v>
                </c:pt>
                <c:pt idx="13">
                  <c:v>47.122668135228025</c:v>
                </c:pt>
                <c:pt idx="14">
                  <c:v>69.388790678049006</c:v>
                </c:pt>
                <c:pt idx="15">
                  <c:v>57.385798229105909</c:v>
                </c:pt>
                <c:pt idx="16">
                  <c:v>47.710568320025722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44-5348-A407-FA1BFC48A57C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CeBER'!$AF$58:$AF$74</c:f>
                <c:numCache>
                  <c:formatCode>General</c:formatCode>
                  <c:ptCount val="17"/>
                  <c:pt idx="0">
                    <c:v>2.5402220358385423</c:v>
                  </c:pt>
                  <c:pt idx="1">
                    <c:v>3.1688387024662807</c:v>
                  </c:pt>
                  <c:pt idx="2">
                    <c:v>0.50822125400779861</c:v>
                  </c:pt>
                  <c:pt idx="3">
                    <c:v>2.4355334812279712</c:v>
                  </c:pt>
                  <c:pt idx="4">
                    <c:v>2.8384054617351624</c:v>
                  </c:pt>
                  <c:pt idx="5">
                    <c:v>3.0816996622199206</c:v>
                  </c:pt>
                  <c:pt idx="6">
                    <c:v>0.8729708990113676</c:v>
                  </c:pt>
                  <c:pt idx="7">
                    <c:v>1.8641563030046011</c:v>
                  </c:pt>
                  <c:pt idx="8">
                    <c:v>2.2593447083351554</c:v>
                  </c:pt>
                  <c:pt idx="9">
                    <c:v>5.3860477123849355</c:v>
                  </c:pt>
                  <c:pt idx="10">
                    <c:v>2.383308938326878</c:v>
                  </c:pt>
                  <c:pt idx="11">
                    <c:v>1.3628531946645686</c:v>
                  </c:pt>
                  <c:pt idx="12">
                    <c:v>2.9693457193636683</c:v>
                  </c:pt>
                  <c:pt idx="13">
                    <c:v>0.80173484137150131</c:v>
                  </c:pt>
                  <c:pt idx="14">
                    <c:v>2.2189008722417167</c:v>
                  </c:pt>
                  <c:pt idx="15">
                    <c:v>12.271150393607694</c:v>
                  </c:pt>
                  <c:pt idx="16">
                    <c:v>2.5443867862169562</c:v>
                  </c:pt>
                </c:numCache>
              </c:numRef>
            </c:plus>
            <c:minus>
              <c:numRef>
                <c:f>'C-phycocyanin CeBER'!$AF$58:$AF$74</c:f>
                <c:numCache>
                  <c:formatCode>General</c:formatCode>
                  <c:ptCount val="17"/>
                  <c:pt idx="0">
                    <c:v>2.5402220358385423</c:v>
                  </c:pt>
                  <c:pt idx="1">
                    <c:v>3.1688387024662807</c:v>
                  </c:pt>
                  <c:pt idx="2">
                    <c:v>0.50822125400779861</c:v>
                  </c:pt>
                  <c:pt idx="3">
                    <c:v>2.4355334812279712</c:v>
                  </c:pt>
                  <c:pt idx="4">
                    <c:v>2.8384054617351624</c:v>
                  </c:pt>
                  <c:pt idx="5">
                    <c:v>3.0816996622199206</c:v>
                  </c:pt>
                  <c:pt idx="6">
                    <c:v>0.8729708990113676</c:v>
                  </c:pt>
                  <c:pt idx="7">
                    <c:v>1.8641563030046011</c:v>
                  </c:pt>
                  <c:pt idx="8">
                    <c:v>2.2593447083351554</c:v>
                  </c:pt>
                  <c:pt idx="9">
                    <c:v>5.3860477123849355</c:v>
                  </c:pt>
                  <c:pt idx="10">
                    <c:v>2.383308938326878</c:v>
                  </c:pt>
                  <c:pt idx="11">
                    <c:v>1.3628531946645686</c:v>
                  </c:pt>
                  <c:pt idx="12">
                    <c:v>2.9693457193636683</c:v>
                  </c:pt>
                  <c:pt idx="13">
                    <c:v>0.80173484137150131</c:v>
                  </c:pt>
                  <c:pt idx="14">
                    <c:v>2.2189008722417167</c:v>
                  </c:pt>
                  <c:pt idx="15">
                    <c:v>12.271150393607694</c:v>
                  </c:pt>
                  <c:pt idx="16">
                    <c:v>2.5443867862169562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23</c:v>
                </c:pt>
                <c:pt idx="2">
                  <c:v>49</c:v>
                </c:pt>
                <c:pt idx="3">
                  <c:v>73</c:v>
                </c:pt>
                <c:pt idx="4">
                  <c:v>95.5</c:v>
                </c:pt>
                <c:pt idx="5">
                  <c:v>119.5</c:v>
                </c:pt>
                <c:pt idx="6">
                  <c:v>143.5</c:v>
                </c:pt>
                <c:pt idx="7">
                  <c:v>167.5</c:v>
                </c:pt>
                <c:pt idx="8">
                  <c:v>191.5</c:v>
                </c:pt>
                <c:pt idx="9">
                  <c:v>215.5</c:v>
                </c:pt>
                <c:pt idx="10">
                  <c:v>263.5</c:v>
                </c:pt>
                <c:pt idx="11">
                  <c:v>287.5</c:v>
                </c:pt>
                <c:pt idx="12">
                  <c:v>311.5</c:v>
                </c:pt>
                <c:pt idx="13">
                  <c:v>335.5</c:v>
                </c:pt>
                <c:pt idx="14">
                  <c:v>361</c:v>
                </c:pt>
                <c:pt idx="15">
                  <c:v>385.5</c:v>
                </c:pt>
                <c:pt idx="16">
                  <c:v>409</c:v>
                </c:pt>
              </c:numCache>
            </c:numRef>
          </c:xVal>
          <c:yVal>
            <c:numRef>
              <c:f>'C-phycocyanin CeBER'!$AE$58:$AE$74</c:f>
              <c:numCache>
                <c:formatCode>0.00</c:formatCode>
                <c:ptCount val="17"/>
                <c:pt idx="0">
                  <c:v>51.368082874133563</c:v>
                </c:pt>
                <c:pt idx="1">
                  <c:v>43.338979782950254</c:v>
                </c:pt>
                <c:pt idx="2">
                  <c:v>46.458924362785154</c:v>
                </c:pt>
                <c:pt idx="3">
                  <c:v>56.598231971902671</c:v>
                </c:pt>
                <c:pt idx="4">
                  <c:v>64.555672375264308</c:v>
                </c:pt>
                <c:pt idx="5">
                  <c:v>63.804619514360958</c:v>
                </c:pt>
                <c:pt idx="6">
                  <c:v>58.730331673508687</c:v>
                </c:pt>
                <c:pt idx="7">
                  <c:v>54.836162052426346</c:v>
                </c:pt>
                <c:pt idx="8">
                  <c:v>62.629383340052449</c:v>
                </c:pt>
                <c:pt idx="9">
                  <c:v>56.780702039287895</c:v>
                </c:pt>
                <c:pt idx="10">
                  <c:v>60.830921774453408</c:v>
                </c:pt>
                <c:pt idx="11">
                  <c:v>60.185464410668324</c:v>
                </c:pt>
                <c:pt idx="12">
                  <c:v>60.905975539696271</c:v>
                </c:pt>
                <c:pt idx="13">
                  <c:v>61.619317940703041</c:v>
                </c:pt>
                <c:pt idx="14">
                  <c:v>62.707491910675678</c:v>
                </c:pt>
                <c:pt idx="15">
                  <c:v>49.268149116142929</c:v>
                </c:pt>
                <c:pt idx="16">
                  <c:v>65.538365037624331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44-5348-A407-FA1BFC48A57C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CeBER'!$AF$112:$AF$128</c:f>
                <c:numCache>
                  <c:formatCode>General</c:formatCode>
                  <c:ptCount val="17"/>
                  <c:pt idx="0">
                    <c:v>2.2707630796834528</c:v>
                  </c:pt>
                  <c:pt idx="1">
                    <c:v>0</c:v>
                  </c:pt>
                  <c:pt idx="2">
                    <c:v>0.3941914955598354</c:v>
                  </c:pt>
                  <c:pt idx="3">
                    <c:v>2.381451001720067</c:v>
                  </c:pt>
                  <c:pt idx="4">
                    <c:v>3.2563792586382712</c:v>
                  </c:pt>
                  <c:pt idx="5">
                    <c:v>8.1173018215292032</c:v>
                  </c:pt>
                  <c:pt idx="6">
                    <c:v>2.6557995220984831</c:v>
                  </c:pt>
                  <c:pt idx="7">
                    <c:v>3.4719326830440433</c:v>
                  </c:pt>
                  <c:pt idx="8">
                    <c:v>4.7207242662913567</c:v>
                  </c:pt>
                  <c:pt idx="9">
                    <c:v>5.9671993312146467</c:v>
                  </c:pt>
                  <c:pt idx="10">
                    <c:v>1.8355761667430099</c:v>
                  </c:pt>
                  <c:pt idx="11">
                    <c:v>3.6717135289633469</c:v>
                  </c:pt>
                  <c:pt idx="12">
                    <c:v>1.0951086672809869</c:v>
                  </c:pt>
                  <c:pt idx="13">
                    <c:v>1.0624221886503598</c:v>
                  </c:pt>
                  <c:pt idx="14">
                    <c:v>2.0549859968699424</c:v>
                  </c:pt>
                  <c:pt idx="15">
                    <c:v>4.9668477296036357</c:v>
                  </c:pt>
                  <c:pt idx="16">
                    <c:v>5.6073379447210074</c:v>
                  </c:pt>
                </c:numCache>
              </c:numRef>
            </c:plus>
            <c:minus>
              <c:numRef>
                <c:f>'C-phycocyanin CeBER'!$AF$112:$AF$128</c:f>
                <c:numCache>
                  <c:formatCode>General</c:formatCode>
                  <c:ptCount val="17"/>
                  <c:pt idx="0">
                    <c:v>2.2707630796834528</c:v>
                  </c:pt>
                  <c:pt idx="1">
                    <c:v>0</c:v>
                  </c:pt>
                  <c:pt idx="2">
                    <c:v>0.3941914955598354</c:v>
                  </c:pt>
                  <c:pt idx="3">
                    <c:v>2.381451001720067</c:v>
                  </c:pt>
                  <c:pt idx="4">
                    <c:v>3.2563792586382712</c:v>
                  </c:pt>
                  <c:pt idx="5">
                    <c:v>8.1173018215292032</c:v>
                  </c:pt>
                  <c:pt idx="6">
                    <c:v>2.6557995220984831</c:v>
                  </c:pt>
                  <c:pt idx="7">
                    <c:v>3.4719326830440433</c:v>
                  </c:pt>
                  <c:pt idx="8">
                    <c:v>4.7207242662913567</c:v>
                  </c:pt>
                  <c:pt idx="9">
                    <c:v>5.9671993312146467</c:v>
                  </c:pt>
                  <c:pt idx="10">
                    <c:v>1.8355761667430099</c:v>
                  </c:pt>
                  <c:pt idx="11">
                    <c:v>3.6717135289633469</c:v>
                  </c:pt>
                  <c:pt idx="12">
                    <c:v>1.0951086672809869</c:v>
                  </c:pt>
                  <c:pt idx="13">
                    <c:v>1.0624221886503598</c:v>
                  </c:pt>
                  <c:pt idx="14">
                    <c:v>2.0549859968699424</c:v>
                  </c:pt>
                  <c:pt idx="15">
                    <c:v>4.9668477296036357</c:v>
                  </c:pt>
                  <c:pt idx="16">
                    <c:v>5.6073379447210074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</c:v>
                </c:pt>
                <c:pt idx="4">
                  <c:v>94.5</c:v>
                </c:pt>
                <c:pt idx="5">
                  <c:v>118.5</c:v>
                </c:pt>
                <c:pt idx="6">
                  <c:v>142.5</c:v>
                </c:pt>
                <c:pt idx="7">
                  <c:v>166.5</c:v>
                </c:pt>
                <c:pt idx="8">
                  <c:v>190</c:v>
                </c:pt>
                <c:pt idx="9">
                  <c:v>214</c:v>
                </c:pt>
                <c:pt idx="10">
                  <c:v>262.5</c:v>
                </c:pt>
                <c:pt idx="11">
                  <c:v>286.5</c:v>
                </c:pt>
                <c:pt idx="12">
                  <c:v>310.5</c:v>
                </c:pt>
                <c:pt idx="13">
                  <c:v>334.5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</c:numCache>
            </c:numRef>
          </c:xVal>
          <c:yVal>
            <c:numRef>
              <c:f>'C-phycocyanin CeBER'!$AE$112:$AE$128</c:f>
              <c:numCache>
                <c:formatCode>0.00</c:formatCode>
                <c:ptCount val="17"/>
                <c:pt idx="0">
                  <c:v>45.34852150315416</c:v>
                </c:pt>
                <c:pt idx="1">
                  <c:v>43.477002296797387</c:v>
                </c:pt>
                <c:pt idx="2">
                  <c:v>40.500939618083812</c:v>
                </c:pt>
                <c:pt idx="3">
                  <c:v>55.655170565013833</c:v>
                </c:pt>
                <c:pt idx="4">
                  <c:v>58.048330848069533</c:v>
                </c:pt>
                <c:pt idx="5">
                  <c:v>58.629662679093975</c:v>
                </c:pt>
                <c:pt idx="6">
                  <c:v>58.65616379331474</c:v>
                </c:pt>
                <c:pt idx="7">
                  <c:v>55.036943553905097</c:v>
                </c:pt>
                <c:pt idx="8">
                  <c:v>53.762474727650833</c:v>
                </c:pt>
                <c:pt idx="9">
                  <c:v>56.067580454673816</c:v>
                </c:pt>
                <c:pt idx="10">
                  <c:v>56.367357333975072</c:v>
                </c:pt>
                <c:pt idx="11">
                  <c:v>53.639746912518696</c:v>
                </c:pt>
                <c:pt idx="12">
                  <c:v>45.25570309573326</c:v>
                </c:pt>
                <c:pt idx="13">
                  <c:v>55.47537624279903</c:v>
                </c:pt>
                <c:pt idx="14">
                  <c:v>53.019547584769761</c:v>
                </c:pt>
                <c:pt idx="15">
                  <c:v>51.599685602828153</c:v>
                </c:pt>
                <c:pt idx="16">
                  <c:v>48.950152695791395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D44-5348-A407-FA1BFC48A5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CeBER'!$AH$5:$AH$21</c:f>
                <c:numCache>
                  <c:formatCode>General</c:formatCode>
                  <c:ptCount val="17"/>
                  <c:pt idx="0">
                    <c:v>0.70747599339405232</c:v>
                  </c:pt>
                  <c:pt idx="1">
                    <c:v>0.26444182133993793</c:v>
                  </c:pt>
                  <c:pt idx="2">
                    <c:v>0.55495943807266024</c:v>
                  </c:pt>
                  <c:pt idx="3">
                    <c:v>1.6341390658539314</c:v>
                  </c:pt>
                  <c:pt idx="4">
                    <c:v>0.86796738255997796</c:v>
                  </c:pt>
                  <c:pt idx="5">
                    <c:v>2.8882184585178621</c:v>
                  </c:pt>
                  <c:pt idx="6">
                    <c:v>1.3061561669537123</c:v>
                  </c:pt>
                  <c:pt idx="7">
                    <c:v>1.2417703803624425</c:v>
                  </c:pt>
                  <c:pt idx="8">
                    <c:v>2.1221792773937111</c:v>
                  </c:pt>
                  <c:pt idx="9">
                    <c:v>9.3353697161986275</c:v>
                  </c:pt>
                  <c:pt idx="10">
                    <c:v>4.2101550391437845</c:v>
                  </c:pt>
                  <c:pt idx="11">
                    <c:v>3.5059872920917292</c:v>
                  </c:pt>
                  <c:pt idx="12">
                    <c:v>5.6329689032033734</c:v>
                  </c:pt>
                  <c:pt idx="13">
                    <c:v>13.61931190507409</c:v>
                  </c:pt>
                  <c:pt idx="14">
                    <c:v>4.3218588892713452</c:v>
                  </c:pt>
                  <c:pt idx="15">
                    <c:v>3.8273747255056554</c:v>
                  </c:pt>
                  <c:pt idx="16">
                    <c:v>6.0453010221337733</c:v>
                  </c:pt>
                </c:numCache>
              </c:numRef>
            </c:plus>
            <c:minus>
              <c:numRef>
                <c:f>'C-phycocyanin CeBER'!$AH$5:$AH$21</c:f>
                <c:numCache>
                  <c:formatCode>General</c:formatCode>
                  <c:ptCount val="17"/>
                  <c:pt idx="0">
                    <c:v>0.70747599339405232</c:v>
                  </c:pt>
                  <c:pt idx="1">
                    <c:v>0.26444182133993793</c:v>
                  </c:pt>
                  <c:pt idx="2">
                    <c:v>0.55495943807266024</c:v>
                  </c:pt>
                  <c:pt idx="3">
                    <c:v>1.6341390658539314</c:v>
                  </c:pt>
                  <c:pt idx="4">
                    <c:v>0.86796738255997796</c:v>
                  </c:pt>
                  <c:pt idx="5">
                    <c:v>2.8882184585178621</c:v>
                  </c:pt>
                  <c:pt idx="6">
                    <c:v>1.3061561669537123</c:v>
                  </c:pt>
                  <c:pt idx="7">
                    <c:v>1.2417703803624425</c:v>
                  </c:pt>
                  <c:pt idx="8">
                    <c:v>2.1221792773937111</c:v>
                  </c:pt>
                  <c:pt idx="9">
                    <c:v>9.3353697161986275</c:v>
                  </c:pt>
                  <c:pt idx="10">
                    <c:v>4.2101550391437845</c:v>
                  </c:pt>
                  <c:pt idx="11">
                    <c:v>3.5059872920917292</c:v>
                  </c:pt>
                  <c:pt idx="12">
                    <c:v>5.6329689032033734</c:v>
                  </c:pt>
                  <c:pt idx="13">
                    <c:v>13.61931190507409</c:v>
                  </c:pt>
                  <c:pt idx="14">
                    <c:v>4.3218588892713452</c:v>
                  </c:pt>
                  <c:pt idx="15">
                    <c:v>3.8273747255056554</c:v>
                  </c:pt>
                  <c:pt idx="16">
                    <c:v>6.0453010221337733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CeBER'!$AD$5:$AD$21</c:f>
              <c:numCache>
                <c:formatCode>0</c:formatCode>
                <c:ptCount val="17"/>
                <c:pt idx="0">
                  <c:v>0</c:v>
                </c:pt>
                <c:pt idx="1">
                  <c:v>24</c:v>
                </c:pt>
                <c:pt idx="2">
                  <c:v>49.5</c:v>
                </c:pt>
                <c:pt idx="3">
                  <c:v>73.5</c:v>
                </c:pt>
                <c:pt idx="4">
                  <c:v>96</c:v>
                </c:pt>
                <c:pt idx="5">
                  <c:v>120</c:v>
                </c:pt>
                <c:pt idx="6">
                  <c:v>144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361.5</c:v>
                </c:pt>
                <c:pt idx="15">
                  <c:v>386</c:v>
                </c:pt>
                <c:pt idx="16">
                  <c:v>409.5</c:v>
                </c:pt>
              </c:numCache>
            </c:numRef>
          </c:xVal>
          <c:yVal>
            <c:numRef>
              <c:f>'C-phycocyanin CeBER'!$AG$5:$AG$21</c:f>
              <c:numCache>
                <c:formatCode>0.00</c:formatCode>
                <c:ptCount val="17"/>
                <c:pt idx="0">
                  <c:v>7.1861831442463542</c:v>
                </c:pt>
                <c:pt idx="1">
                  <c:v>7.3023905996758502</c:v>
                </c:pt>
                <c:pt idx="2">
                  <c:v>10.073494057266343</c:v>
                </c:pt>
                <c:pt idx="3">
                  <c:v>23.070510448406271</c:v>
                </c:pt>
                <c:pt idx="4">
                  <c:v>29.278540488924904</c:v>
                </c:pt>
                <c:pt idx="5">
                  <c:v>31.347484030253923</c:v>
                </c:pt>
                <c:pt idx="6">
                  <c:v>40.433497379794709</c:v>
                </c:pt>
                <c:pt idx="7">
                  <c:v>39.870448406266888</c:v>
                </c:pt>
                <c:pt idx="8">
                  <c:v>43.861102106969192</c:v>
                </c:pt>
                <c:pt idx="9">
                  <c:v>40.84606293895191</c:v>
                </c:pt>
                <c:pt idx="10">
                  <c:v>62.03599405726635</c:v>
                </c:pt>
                <c:pt idx="11">
                  <c:v>71.759386817936246</c:v>
                </c:pt>
                <c:pt idx="12">
                  <c:v>67.221636952998381</c:v>
                </c:pt>
                <c:pt idx="13">
                  <c:v>63.068746623446771</c:v>
                </c:pt>
                <c:pt idx="14">
                  <c:v>98.043422474338186</c:v>
                </c:pt>
                <c:pt idx="15">
                  <c:v>89.672744462452727</c:v>
                </c:pt>
                <c:pt idx="16">
                  <c:v>74.700567260940034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B5-FB4F-A73A-C91AD2037243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CeBER'!$AH$58:$AH$74</c:f>
                <c:numCache>
                  <c:formatCode>General</c:formatCode>
                  <c:ptCount val="17"/>
                  <c:pt idx="0">
                    <c:v>0.15248128146460124</c:v>
                  </c:pt>
                  <c:pt idx="1">
                    <c:v>0.38848237452951467</c:v>
                  </c:pt>
                  <c:pt idx="2">
                    <c:v>0.18291370241305002</c:v>
                  </c:pt>
                  <c:pt idx="3">
                    <c:v>0.8779422642877398</c:v>
                  </c:pt>
                  <c:pt idx="4">
                    <c:v>0.69738711422995903</c:v>
                  </c:pt>
                  <c:pt idx="5">
                    <c:v>1.0900283308396252</c:v>
                  </c:pt>
                  <c:pt idx="6">
                    <c:v>1.1943527913121303</c:v>
                  </c:pt>
                  <c:pt idx="7">
                    <c:v>1.9924168627174021</c:v>
                  </c:pt>
                  <c:pt idx="8">
                    <c:v>2.3422732056066722</c:v>
                  </c:pt>
                  <c:pt idx="9">
                    <c:v>5.0733654552210155</c:v>
                  </c:pt>
                  <c:pt idx="10">
                    <c:v>5.1751721294857411</c:v>
                  </c:pt>
                  <c:pt idx="11">
                    <c:v>4.9684701258043553</c:v>
                  </c:pt>
                  <c:pt idx="12">
                    <c:v>7.554997630646878</c:v>
                  </c:pt>
                  <c:pt idx="13">
                    <c:v>6.3862737134083121</c:v>
                  </c:pt>
                  <c:pt idx="14">
                    <c:v>2.239841040665989</c:v>
                  </c:pt>
                  <c:pt idx="15">
                    <c:v>20.757579695142024</c:v>
                  </c:pt>
                  <c:pt idx="16">
                    <c:v>2.835696422033025</c:v>
                  </c:pt>
                </c:numCache>
              </c:numRef>
            </c:plus>
            <c:minus>
              <c:numRef>
                <c:f>'C-phycocyanin CeBER'!$AH$58:$AH$74</c:f>
                <c:numCache>
                  <c:formatCode>General</c:formatCode>
                  <c:ptCount val="17"/>
                  <c:pt idx="0">
                    <c:v>0.15248128146460124</c:v>
                  </c:pt>
                  <c:pt idx="1">
                    <c:v>0.38848237452951467</c:v>
                  </c:pt>
                  <c:pt idx="2">
                    <c:v>0.18291370241305002</c:v>
                  </c:pt>
                  <c:pt idx="3">
                    <c:v>0.8779422642877398</c:v>
                  </c:pt>
                  <c:pt idx="4">
                    <c:v>0.69738711422995903</c:v>
                  </c:pt>
                  <c:pt idx="5">
                    <c:v>1.0900283308396252</c:v>
                  </c:pt>
                  <c:pt idx="6">
                    <c:v>1.1943527913121303</c:v>
                  </c:pt>
                  <c:pt idx="7">
                    <c:v>1.9924168627174021</c:v>
                  </c:pt>
                  <c:pt idx="8">
                    <c:v>2.3422732056066722</c:v>
                  </c:pt>
                  <c:pt idx="9">
                    <c:v>5.0733654552210155</c:v>
                  </c:pt>
                  <c:pt idx="10">
                    <c:v>5.1751721294857411</c:v>
                  </c:pt>
                  <c:pt idx="11">
                    <c:v>4.9684701258043553</c:v>
                  </c:pt>
                  <c:pt idx="12">
                    <c:v>7.554997630646878</c:v>
                  </c:pt>
                  <c:pt idx="13">
                    <c:v>6.3862737134083121</c:v>
                  </c:pt>
                  <c:pt idx="14">
                    <c:v>2.239841040665989</c:v>
                  </c:pt>
                  <c:pt idx="15">
                    <c:v>20.757579695142024</c:v>
                  </c:pt>
                  <c:pt idx="16">
                    <c:v>2.835696422033025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23</c:v>
                </c:pt>
                <c:pt idx="2">
                  <c:v>49</c:v>
                </c:pt>
                <c:pt idx="3">
                  <c:v>73</c:v>
                </c:pt>
                <c:pt idx="4">
                  <c:v>95.5</c:v>
                </c:pt>
                <c:pt idx="5">
                  <c:v>119.5</c:v>
                </c:pt>
                <c:pt idx="6">
                  <c:v>143.5</c:v>
                </c:pt>
                <c:pt idx="7">
                  <c:v>167.5</c:v>
                </c:pt>
                <c:pt idx="8">
                  <c:v>191.5</c:v>
                </c:pt>
                <c:pt idx="9">
                  <c:v>215.5</c:v>
                </c:pt>
                <c:pt idx="10">
                  <c:v>263.5</c:v>
                </c:pt>
                <c:pt idx="11">
                  <c:v>287.5</c:v>
                </c:pt>
                <c:pt idx="12">
                  <c:v>311.5</c:v>
                </c:pt>
                <c:pt idx="13">
                  <c:v>335.5</c:v>
                </c:pt>
                <c:pt idx="14">
                  <c:v>361</c:v>
                </c:pt>
                <c:pt idx="15">
                  <c:v>385.5</c:v>
                </c:pt>
                <c:pt idx="16">
                  <c:v>409</c:v>
                </c:pt>
              </c:numCache>
            </c:numRef>
          </c:xVal>
          <c:yVal>
            <c:numRef>
              <c:f>'C-phycocyanin CeBER'!$AG$58:$AG$74</c:f>
              <c:numCache>
                <c:formatCode>0.00</c:formatCode>
                <c:ptCount val="17"/>
                <c:pt idx="0">
                  <c:v>6.4251958400864391</c:v>
                </c:pt>
                <c:pt idx="1">
                  <c:v>7.72285926526202</c:v>
                </c:pt>
                <c:pt idx="2">
                  <c:v>12.542375742841706</c:v>
                </c:pt>
                <c:pt idx="3">
                  <c:v>20.766331339816322</c:v>
                </c:pt>
                <c:pt idx="4">
                  <c:v>29.511360564559698</c:v>
                </c:pt>
                <c:pt idx="5">
                  <c:v>34.373578622366288</c:v>
                </c:pt>
                <c:pt idx="6">
                  <c:v>39.470465856293906</c:v>
                </c:pt>
                <c:pt idx="7">
                  <c:v>40.950729335494323</c:v>
                </c:pt>
                <c:pt idx="8">
                  <c:v>54.735872501350606</c:v>
                </c:pt>
                <c:pt idx="9">
                  <c:v>55.072258238789836</c:v>
                </c:pt>
                <c:pt idx="10">
                  <c:v>68.471772015126959</c:v>
                </c:pt>
                <c:pt idx="11">
                  <c:v>77.332050243111837</c:v>
                </c:pt>
                <c:pt idx="12">
                  <c:v>83.562398703403559</c:v>
                </c:pt>
                <c:pt idx="13">
                  <c:v>90.599473257698534</c:v>
                </c:pt>
                <c:pt idx="14">
                  <c:v>94.97237979470556</c:v>
                </c:pt>
                <c:pt idx="15">
                  <c:v>78.585528092922743</c:v>
                </c:pt>
                <c:pt idx="16">
                  <c:v>106.68246893571045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B5-FB4F-A73A-C91AD2037243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CeBER'!$AH$112:$AH$128</c:f>
                <c:numCache>
                  <c:formatCode>General</c:formatCode>
                  <c:ptCount val="17"/>
                  <c:pt idx="0">
                    <c:v>0.17364024455217983</c:v>
                  </c:pt>
                  <c:pt idx="1">
                    <c:v>0</c:v>
                  </c:pt>
                  <c:pt idx="2">
                    <c:v>0.45428637285527823</c:v>
                  </c:pt>
                  <c:pt idx="3">
                    <c:v>1.4982505388109293</c:v>
                  </c:pt>
                  <c:pt idx="4">
                    <c:v>2.9699112814227968</c:v>
                  </c:pt>
                  <c:pt idx="5">
                    <c:v>6.0457732952976242</c:v>
                  </c:pt>
                  <c:pt idx="6">
                    <c:v>5.533417769894533</c:v>
                  </c:pt>
                  <c:pt idx="7">
                    <c:v>7.0908628881161615</c:v>
                  </c:pt>
                  <c:pt idx="8">
                    <c:v>8.9304465272315028</c:v>
                  </c:pt>
                  <c:pt idx="9">
                    <c:v>13.96056969795308</c:v>
                  </c:pt>
                  <c:pt idx="10">
                    <c:v>4.1231616615230564</c:v>
                  </c:pt>
                  <c:pt idx="11">
                    <c:v>8.3622213518871629</c:v>
                  </c:pt>
                  <c:pt idx="12">
                    <c:v>6.6301598312848906</c:v>
                  </c:pt>
                  <c:pt idx="13">
                    <c:v>7.2109218549194045</c:v>
                  </c:pt>
                  <c:pt idx="14">
                    <c:v>18.725353751257892</c:v>
                  </c:pt>
                  <c:pt idx="15">
                    <c:v>7.2447769529672179</c:v>
                  </c:pt>
                  <c:pt idx="16">
                    <c:v>27.380329074874258</c:v>
                  </c:pt>
                </c:numCache>
              </c:numRef>
            </c:plus>
            <c:minus>
              <c:numRef>
                <c:f>'C-phycocyanin CeBER'!$AH$112:$AH$128</c:f>
                <c:numCache>
                  <c:formatCode>General</c:formatCode>
                  <c:ptCount val="17"/>
                  <c:pt idx="0">
                    <c:v>0.17364024455217983</c:v>
                  </c:pt>
                  <c:pt idx="1">
                    <c:v>0</c:v>
                  </c:pt>
                  <c:pt idx="2">
                    <c:v>0.45428637285527823</c:v>
                  </c:pt>
                  <c:pt idx="3">
                    <c:v>1.4982505388109293</c:v>
                  </c:pt>
                  <c:pt idx="4">
                    <c:v>2.9699112814227968</c:v>
                  </c:pt>
                  <c:pt idx="5">
                    <c:v>6.0457732952976242</c:v>
                  </c:pt>
                  <c:pt idx="6">
                    <c:v>5.533417769894533</c:v>
                  </c:pt>
                  <c:pt idx="7">
                    <c:v>7.0908628881161615</c:v>
                  </c:pt>
                  <c:pt idx="8">
                    <c:v>8.9304465272315028</c:v>
                  </c:pt>
                  <c:pt idx="9">
                    <c:v>13.96056969795308</c:v>
                  </c:pt>
                  <c:pt idx="10">
                    <c:v>4.1231616615230564</c:v>
                  </c:pt>
                  <c:pt idx="11">
                    <c:v>8.3622213518871629</c:v>
                  </c:pt>
                  <c:pt idx="12">
                    <c:v>6.6301598312848906</c:v>
                  </c:pt>
                  <c:pt idx="13">
                    <c:v>7.2109218549194045</c:v>
                  </c:pt>
                  <c:pt idx="14">
                    <c:v>18.725353751257892</c:v>
                  </c:pt>
                  <c:pt idx="15">
                    <c:v>7.2447769529672179</c:v>
                  </c:pt>
                  <c:pt idx="16">
                    <c:v>27.380329074874258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</c:v>
                </c:pt>
                <c:pt idx="4">
                  <c:v>94.5</c:v>
                </c:pt>
                <c:pt idx="5">
                  <c:v>118.5</c:v>
                </c:pt>
                <c:pt idx="6">
                  <c:v>142.5</c:v>
                </c:pt>
                <c:pt idx="7">
                  <c:v>166.5</c:v>
                </c:pt>
                <c:pt idx="8">
                  <c:v>190</c:v>
                </c:pt>
                <c:pt idx="9">
                  <c:v>214</c:v>
                </c:pt>
                <c:pt idx="10">
                  <c:v>262.5</c:v>
                </c:pt>
                <c:pt idx="11">
                  <c:v>286.5</c:v>
                </c:pt>
                <c:pt idx="12">
                  <c:v>310.5</c:v>
                </c:pt>
                <c:pt idx="13">
                  <c:v>334.5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</c:numCache>
            </c:numRef>
          </c:xVal>
          <c:yVal>
            <c:numRef>
              <c:f>'C-phycocyanin CeBER'!$AG$112:$AG$128</c:f>
              <c:numCache>
                <c:formatCode>0.00</c:formatCode>
                <c:ptCount val="17"/>
                <c:pt idx="0">
                  <c:v>5.7861426256077806</c:v>
                </c:pt>
                <c:pt idx="1">
                  <c:v>7.8828065910318745</c:v>
                </c:pt>
                <c:pt idx="2">
                  <c:v>10.760845488924907</c:v>
                </c:pt>
                <c:pt idx="3">
                  <c:v>20.798432390599682</c:v>
                </c:pt>
                <c:pt idx="4">
                  <c:v>27.253808773635871</c:v>
                </c:pt>
                <c:pt idx="5">
                  <c:v>39.951132031334424</c:v>
                </c:pt>
                <c:pt idx="6">
                  <c:v>56.877764565099959</c:v>
                </c:pt>
                <c:pt idx="7">
                  <c:v>66.665045921123721</c:v>
                </c:pt>
                <c:pt idx="8">
                  <c:v>79.580605078336021</c:v>
                </c:pt>
                <c:pt idx="9">
                  <c:v>87.977242031334413</c:v>
                </c:pt>
                <c:pt idx="10">
                  <c:v>104.4728525121556</c:v>
                </c:pt>
                <c:pt idx="11">
                  <c:v>118.75830632090764</c:v>
                </c:pt>
                <c:pt idx="12">
                  <c:v>111.10264721772016</c:v>
                </c:pt>
                <c:pt idx="13">
                  <c:v>146.67004321988114</c:v>
                </c:pt>
                <c:pt idx="14">
                  <c:v>145.64384116693677</c:v>
                </c:pt>
                <c:pt idx="15">
                  <c:v>144.45070232306858</c:v>
                </c:pt>
                <c:pt idx="16">
                  <c:v>145.74824419232849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B5-FB4F-A73A-C91AD2037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#1926'!$AF$5:$AF$22</c:f>
                <c:numCache>
                  <c:formatCode>General</c:formatCode>
                  <c:ptCount val="18"/>
                  <c:pt idx="0">
                    <c:v>1.1675917491109167</c:v>
                  </c:pt>
                  <c:pt idx="1">
                    <c:v>3.7335510333668549</c:v>
                  </c:pt>
                  <c:pt idx="2">
                    <c:v>1.2321014549432359</c:v>
                  </c:pt>
                  <c:pt idx="3">
                    <c:v>2.5603326629834675</c:v>
                  </c:pt>
                  <c:pt idx="4">
                    <c:v>3.4994387175772057</c:v>
                  </c:pt>
                  <c:pt idx="5">
                    <c:v>0.78668244798237763</c:v>
                  </c:pt>
                  <c:pt idx="6">
                    <c:v>2.7213799716076994</c:v>
                  </c:pt>
                  <c:pt idx="7">
                    <c:v>1.219455336193227</c:v>
                  </c:pt>
                  <c:pt idx="8">
                    <c:v>1.5607336753403616</c:v>
                  </c:pt>
                  <c:pt idx="9">
                    <c:v>4.5449105137786772</c:v>
                  </c:pt>
                  <c:pt idx="10">
                    <c:v>4.1839534371526703</c:v>
                  </c:pt>
                  <c:pt idx="11">
                    <c:v>1.954082374200824</c:v>
                  </c:pt>
                  <c:pt idx="12">
                    <c:v>1.1941404371512905</c:v>
                  </c:pt>
                  <c:pt idx="13">
                    <c:v>1.4852817685597137</c:v>
                  </c:pt>
                  <c:pt idx="14">
                    <c:v>3.4799723640287974</c:v>
                  </c:pt>
                  <c:pt idx="15">
                    <c:v>2.1806691729451688</c:v>
                  </c:pt>
                  <c:pt idx="16">
                    <c:v>4.5943534917784064</c:v>
                  </c:pt>
                </c:numCache>
              </c:numRef>
            </c:plus>
            <c:minus>
              <c:numRef>
                <c:f>'C-phycocyanin UTEX #1926'!$AF$5:$AF$22</c:f>
                <c:numCache>
                  <c:formatCode>General</c:formatCode>
                  <c:ptCount val="18"/>
                  <c:pt idx="0">
                    <c:v>1.1675917491109167</c:v>
                  </c:pt>
                  <c:pt idx="1">
                    <c:v>3.7335510333668549</c:v>
                  </c:pt>
                  <c:pt idx="2">
                    <c:v>1.2321014549432359</c:v>
                  </c:pt>
                  <c:pt idx="3">
                    <c:v>2.5603326629834675</c:v>
                  </c:pt>
                  <c:pt idx="4">
                    <c:v>3.4994387175772057</c:v>
                  </c:pt>
                  <c:pt idx="5">
                    <c:v>0.78668244798237763</c:v>
                  </c:pt>
                  <c:pt idx="6">
                    <c:v>2.7213799716076994</c:v>
                  </c:pt>
                  <c:pt idx="7">
                    <c:v>1.219455336193227</c:v>
                  </c:pt>
                  <c:pt idx="8">
                    <c:v>1.5607336753403616</c:v>
                  </c:pt>
                  <c:pt idx="9">
                    <c:v>4.5449105137786772</c:v>
                  </c:pt>
                  <c:pt idx="10">
                    <c:v>4.1839534371526703</c:v>
                  </c:pt>
                  <c:pt idx="11">
                    <c:v>1.954082374200824</c:v>
                  </c:pt>
                  <c:pt idx="12">
                    <c:v>1.1941404371512905</c:v>
                  </c:pt>
                  <c:pt idx="13">
                    <c:v>1.4852817685597137</c:v>
                  </c:pt>
                  <c:pt idx="14">
                    <c:v>3.4799723640287974</c:v>
                  </c:pt>
                  <c:pt idx="15">
                    <c:v>2.1806691729451688</c:v>
                  </c:pt>
                  <c:pt idx="16">
                    <c:v>4.5943534917784064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#1926'!$AD$5:$AD$22</c:f>
              <c:numCache>
                <c:formatCode>0</c:formatCode>
                <c:ptCount val="18"/>
                <c:pt idx="0">
                  <c:v>0</c:v>
                </c:pt>
                <c:pt idx="1">
                  <c:v>24</c:v>
                </c:pt>
                <c:pt idx="2">
                  <c:v>49.5</c:v>
                </c:pt>
                <c:pt idx="3">
                  <c:v>73.5</c:v>
                </c:pt>
                <c:pt idx="4">
                  <c:v>96</c:v>
                </c:pt>
                <c:pt idx="5">
                  <c:v>120</c:v>
                </c:pt>
                <c:pt idx="6">
                  <c:v>144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361.5</c:v>
                </c:pt>
                <c:pt idx="15">
                  <c:v>386</c:v>
                </c:pt>
                <c:pt idx="16">
                  <c:v>409.5</c:v>
                </c:pt>
              </c:numCache>
            </c:numRef>
          </c:xVal>
          <c:yVal>
            <c:numRef>
              <c:f>'C-phycocyanin UTEX #1926'!$AE$5:$AE$22</c:f>
              <c:numCache>
                <c:formatCode>0.00</c:formatCode>
                <c:ptCount val="18"/>
                <c:pt idx="0">
                  <c:v>53.218178369351534</c:v>
                </c:pt>
                <c:pt idx="1">
                  <c:v>43.737580629034618</c:v>
                </c:pt>
                <c:pt idx="2">
                  <c:v>43.722315076090261</c:v>
                </c:pt>
                <c:pt idx="3">
                  <c:v>53.875722277763693</c:v>
                </c:pt>
                <c:pt idx="4">
                  <c:v>64.646085697895629</c:v>
                </c:pt>
                <c:pt idx="5">
                  <c:v>55.982045929380888</c:v>
                </c:pt>
                <c:pt idx="6">
                  <c:v>62.500329335512482</c:v>
                </c:pt>
                <c:pt idx="7">
                  <c:v>45.88047091827989</c:v>
                </c:pt>
                <c:pt idx="8">
                  <c:v>57.823355441037357</c:v>
                </c:pt>
                <c:pt idx="9">
                  <c:v>52.507054075519953</c:v>
                </c:pt>
                <c:pt idx="10">
                  <c:v>53.696757289105705</c:v>
                </c:pt>
                <c:pt idx="11">
                  <c:v>57.598136739088126</c:v>
                </c:pt>
                <c:pt idx="12">
                  <c:v>55.473305296313384</c:v>
                </c:pt>
                <c:pt idx="13">
                  <c:v>53.492934078550753</c:v>
                </c:pt>
                <c:pt idx="14">
                  <c:v>59.54309735748074</c:v>
                </c:pt>
                <c:pt idx="15">
                  <c:v>56.460363312859805</c:v>
                </c:pt>
                <c:pt idx="16">
                  <c:v>58.077974804429232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8CA-8942-BF3E-00ED38944661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#1926'!$AF$58:$AF$74</c:f>
                <c:numCache>
                  <c:formatCode>General</c:formatCode>
                  <c:ptCount val="17"/>
                  <c:pt idx="0">
                    <c:v>2.0295067317733926</c:v>
                  </c:pt>
                  <c:pt idx="1">
                    <c:v>2.5947400316110354</c:v>
                  </c:pt>
                  <c:pt idx="2">
                    <c:v>0.51257719921451572</c:v>
                  </c:pt>
                  <c:pt idx="3">
                    <c:v>3.7030945046622654</c:v>
                  </c:pt>
                  <c:pt idx="4">
                    <c:v>3.3892154692767211</c:v>
                  </c:pt>
                  <c:pt idx="5">
                    <c:v>4.1714063582988326</c:v>
                  </c:pt>
                  <c:pt idx="6">
                    <c:v>2.6356036066460273</c:v>
                  </c:pt>
                  <c:pt idx="7">
                    <c:v>0.4815012905441452</c:v>
                  </c:pt>
                  <c:pt idx="8">
                    <c:v>2.1456788253402461</c:v>
                  </c:pt>
                  <c:pt idx="9">
                    <c:v>1.4779409558870256</c:v>
                  </c:pt>
                  <c:pt idx="10">
                    <c:v>1.8495829632182808</c:v>
                  </c:pt>
                  <c:pt idx="11">
                    <c:v>3.1876431209868641</c:v>
                  </c:pt>
                  <c:pt idx="12">
                    <c:v>2.824157975681088</c:v>
                  </c:pt>
                  <c:pt idx="13">
                    <c:v>3.4339511208660931</c:v>
                  </c:pt>
                  <c:pt idx="14">
                    <c:v>2.800788834422232</c:v>
                  </c:pt>
                  <c:pt idx="15">
                    <c:v>2.1067429983971051</c:v>
                  </c:pt>
                  <c:pt idx="16">
                    <c:v>4.8882430787264841</c:v>
                  </c:pt>
                </c:numCache>
              </c:numRef>
            </c:plus>
            <c:minus>
              <c:numRef>
                <c:f>'C-phycocyanin UTEX #1926'!$AF$58:$AF$74</c:f>
                <c:numCache>
                  <c:formatCode>General</c:formatCode>
                  <c:ptCount val="17"/>
                  <c:pt idx="0">
                    <c:v>2.0295067317733926</c:v>
                  </c:pt>
                  <c:pt idx="1">
                    <c:v>2.5947400316110354</c:v>
                  </c:pt>
                  <c:pt idx="2">
                    <c:v>0.51257719921451572</c:v>
                  </c:pt>
                  <c:pt idx="3">
                    <c:v>3.7030945046622654</c:v>
                  </c:pt>
                  <c:pt idx="4">
                    <c:v>3.3892154692767211</c:v>
                  </c:pt>
                  <c:pt idx="5">
                    <c:v>4.1714063582988326</c:v>
                  </c:pt>
                  <c:pt idx="6">
                    <c:v>2.6356036066460273</c:v>
                  </c:pt>
                  <c:pt idx="7">
                    <c:v>0.4815012905441452</c:v>
                  </c:pt>
                  <c:pt idx="8">
                    <c:v>2.1456788253402461</c:v>
                  </c:pt>
                  <c:pt idx="9">
                    <c:v>1.4779409558870256</c:v>
                  </c:pt>
                  <c:pt idx="10">
                    <c:v>1.8495829632182808</c:v>
                  </c:pt>
                  <c:pt idx="11">
                    <c:v>3.1876431209868641</c:v>
                  </c:pt>
                  <c:pt idx="12">
                    <c:v>2.824157975681088</c:v>
                  </c:pt>
                  <c:pt idx="13">
                    <c:v>3.4339511208660931</c:v>
                  </c:pt>
                  <c:pt idx="14">
                    <c:v>2.800788834422232</c:v>
                  </c:pt>
                  <c:pt idx="15">
                    <c:v>2.1067429983971051</c:v>
                  </c:pt>
                  <c:pt idx="16">
                    <c:v>4.8882430787264841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23</c:v>
                </c:pt>
                <c:pt idx="2">
                  <c:v>49</c:v>
                </c:pt>
                <c:pt idx="3">
                  <c:v>73</c:v>
                </c:pt>
                <c:pt idx="4">
                  <c:v>95.5</c:v>
                </c:pt>
                <c:pt idx="5">
                  <c:v>119.5</c:v>
                </c:pt>
                <c:pt idx="6">
                  <c:v>143.5</c:v>
                </c:pt>
                <c:pt idx="7">
                  <c:v>167.5</c:v>
                </c:pt>
                <c:pt idx="8">
                  <c:v>191.5</c:v>
                </c:pt>
                <c:pt idx="9">
                  <c:v>215.5</c:v>
                </c:pt>
                <c:pt idx="10">
                  <c:v>263.5</c:v>
                </c:pt>
                <c:pt idx="11">
                  <c:v>287.5</c:v>
                </c:pt>
                <c:pt idx="12">
                  <c:v>311.5</c:v>
                </c:pt>
                <c:pt idx="13">
                  <c:v>335.5</c:v>
                </c:pt>
                <c:pt idx="14">
                  <c:v>361</c:v>
                </c:pt>
                <c:pt idx="15">
                  <c:v>385.5</c:v>
                </c:pt>
                <c:pt idx="16">
                  <c:v>409</c:v>
                </c:pt>
              </c:numCache>
            </c:numRef>
          </c:xVal>
          <c:yVal>
            <c:numRef>
              <c:f>'C-phycocyanin UTEX #1926'!$AE$58:$AE$74</c:f>
              <c:numCache>
                <c:formatCode>0.00</c:formatCode>
                <c:ptCount val="17"/>
                <c:pt idx="0">
                  <c:v>57.629791390362044</c:v>
                </c:pt>
                <c:pt idx="1">
                  <c:v>47.891676868255807</c:v>
                </c:pt>
                <c:pt idx="2">
                  <c:v>45.828103053370604</c:v>
                </c:pt>
                <c:pt idx="3">
                  <c:v>59.382806569542424</c:v>
                </c:pt>
                <c:pt idx="4">
                  <c:v>69.055662235877534</c:v>
                </c:pt>
                <c:pt idx="5">
                  <c:v>64.473504672072337</c:v>
                </c:pt>
                <c:pt idx="6">
                  <c:v>59.894633957773046</c:v>
                </c:pt>
                <c:pt idx="7">
                  <c:v>52.949395882920449</c:v>
                </c:pt>
                <c:pt idx="8">
                  <c:v>59.278286549231673</c:v>
                </c:pt>
                <c:pt idx="9">
                  <c:v>47.361220315444974</c:v>
                </c:pt>
                <c:pt idx="10">
                  <c:v>59.429676419298097</c:v>
                </c:pt>
                <c:pt idx="11">
                  <c:v>59.586007970477532</c:v>
                </c:pt>
                <c:pt idx="12">
                  <c:v>53.589328752543146</c:v>
                </c:pt>
                <c:pt idx="13">
                  <c:v>57.752902123609772</c:v>
                </c:pt>
                <c:pt idx="14">
                  <c:v>54.986983861255148</c:v>
                </c:pt>
                <c:pt idx="15">
                  <c:v>60.751117228965803</c:v>
                </c:pt>
                <c:pt idx="16">
                  <c:v>58.077263163917202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CA-8942-BF3E-00ED38944661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1.9944538224190418</c:v>
                  </c:pt>
                  <c:pt idx="1">
                    <c:v>15.588941486508469</c:v>
                  </c:pt>
                  <c:pt idx="2">
                    <c:v>1.4327262823990414</c:v>
                  </c:pt>
                  <c:pt idx="3">
                    <c:v>1.1953399264158833</c:v>
                  </c:pt>
                  <c:pt idx="4">
                    <c:v>5.5115223201238184</c:v>
                  </c:pt>
                  <c:pt idx="5">
                    <c:v>0.6595995879959764</c:v>
                  </c:pt>
                  <c:pt idx="6">
                    <c:v>5.1820431167080363</c:v>
                  </c:pt>
                  <c:pt idx="7">
                    <c:v>1.0181627942578766</c:v>
                  </c:pt>
                  <c:pt idx="8">
                    <c:v>1.1966658392127119</c:v>
                  </c:pt>
                  <c:pt idx="9">
                    <c:v>4.4520011045852135</c:v>
                  </c:pt>
                  <c:pt idx="10">
                    <c:v>3.6923086057659948</c:v>
                  </c:pt>
                  <c:pt idx="11">
                    <c:v>2.3608513264238828</c:v>
                  </c:pt>
                  <c:pt idx="12">
                    <c:v>9.3421876635317584</c:v>
                  </c:pt>
                  <c:pt idx="13">
                    <c:v>3.1918503350718233</c:v>
                  </c:pt>
                  <c:pt idx="14">
                    <c:v>2.3353840973032325</c:v>
                  </c:pt>
                  <c:pt idx="15">
                    <c:v>4.8291173901893139</c:v>
                  </c:pt>
                  <c:pt idx="16">
                    <c:v>6.6593083394519459</c:v>
                  </c:pt>
                </c:numCache>
              </c:numRef>
            </c:plus>
            <c:min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1.9944538224190418</c:v>
                  </c:pt>
                  <c:pt idx="1">
                    <c:v>15.588941486508469</c:v>
                  </c:pt>
                  <c:pt idx="2">
                    <c:v>1.4327262823990414</c:v>
                  </c:pt>
                  <c:pt idx="3">
                    <c:v>1.1953399264158833</c:v>
                  </c:pt>
                  <c:pt idx="4">
                    <c:v>5.5115223201238184</c:v>
                  </c:pt>
                  <c:pt idx="5">
                    <c:v>0.6595995879959764</c:v>
                  </c:pt>
                  <c:pt idx="6">
                    <c:v>5.1820431167080363</c:v>
                  </c:pt>
                  <c:pt idx="7">
                    <c:v>1.0181627942578766</c:v>
                  </c:pt>
                  <c:pt idx="8">
                    <c:v>1.1966658392127119</c:v>
                  </c:pt>
                  <c:pt idx="9">
                    <c:v>4.4520011045852135</c:v>
                  </c:pt>
                  <c:pt idx="10">
                    <c:v>3.6923086057659948</c:v>
                  </c:pt>
                  <c:pt idx="11">
                    <c:v>2.3608513264238828</c:v>
                  </c:pt>
                  <c:pt idx="12">
                    <c:v>9.3421876635317584</c:v>
                  </c:pt>
                  <c:pt idx="13">
                    <c:v>3.1918503350718233</c:v>
                  </c:pt>
                  <c:pt idx="14">
                    <c:v>2.3353840973032325</c:v>
                  </c:pt>
                  <c:pt idx="15">
                    <c:v>4.8291173901893139</c:v>
                  </c:pt>
                  <c:pt idx="16">
                    <c:v>6.6593083394519459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</c:v>
                </c:pt>
                <c:pt idx="4">
                  <c:v>94.5</c:v>
                </c:pt>
                <c:pt idx="5">
                  <c:v>118.5</c:v>
                </c:pt>
                <c:pt idx="6">
                  <c:v>142.5</c:v>
                </c:pt>
                <c:pt idx="7">
                  <c:v>166.5</c:v>
                </c:pt>
                <c:pt idx="8">
                  <c:v>190</c:v>
                </c:pt>
                <c:pt idx="9">
                  <c:v>214</c:v>
                </c:pt>
                <c:pt idx="10">
                  <c:v>262.5</c:v>
                </c:pt>
                <c:pt idx="11">
                  <c:v>286.5</c:v>
                </c:pt>
                <c:pt idx="12">
                  <c:v>310.5</c:v>
                </c:pt>
                <c:pt idx="13">
                  <c:v>334.5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</c:numCache>
            </c:numRef>
          </c:xVal>
          <c:yVal>
            <c:numRef>
              <c:f>'C-phycocyanin UTEX #1926'!$AE$112:$AE$128</c:f>
              <c:numCache>
                <c:formatCode>0.00</c:formatCode>
                <c:ptCount val="17"/>
                <c:pt idx="0">
                  <c:v>50.056228536629334</c:v>
                </c:pt>
                <c:pt idx="1">
                  <c:v>15.588941486508466</c:v>
                </c:pt>
                <c:pt idx="2">
                  <c:v>38.510627265853493</c:v>
                </c:pt>
                <c:pt idx="3">
                  <c:v>60.384952106798131</c:v>
                </c:pt>
                <c:pt idx="4">
                  <c:v>64.959278004159259</c:v>
                </c:pt>
                <c:pt idx="5">
                  <c:v>54.48239811448363</c:v>
                </c:pt>
                <c:pt idx="6">
                  <c:v>59.227088748244533</c:v>
                </c:pt>
                <c:pt idx="7">
                  <c:v>54.502014444135092</c:v>
                </c:pt>
                <c:pt idx="8">
                  <c:v>63.982676449482604</c:v>
                </c:pt>
                <c:pt idx="9">
                  <c:v>51.705706573954167</c:v>
                </c:pt>
                <c:pt idx="10">
                  <c:v>51.586544659822273</c:v>
                </c:pt>
                <c:pt idx="11">
                  <c:v>51.7235115593964</c:v>
                </c:pt>
                <c:pt idx="12">
                  <c:v>65.40614751010493</c:v>
                </c:pt>
                <c:pt idx="13">
                  <c:v>60.671465443431998</c:v>
                </c:pt>
                <c:pt idx="14">
                  <c:v>48.521230804439163</c:v>
                </c:pt>
                <c:pt idx="15">
                  <c:v>58.101122377100545</c:v>
                </c:pt>
                <c:pt idx="16">
                  <c:v>56.414432623914706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CA-8942-BF3E-00ED38944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0.18376787097495445</c:v>
                  </c:pt>
                  <c:pt idx="1">
                    <c:v>0.40324484393185051</c:v>
                  </c:pt>
                  <c:pt idx="2">
                    <c:v>0.37095018825514475</c:v>
                  </c:pt>
                  <c:pt idx="3">
                    <c:v>0.99773587032749633</c:v>
                  </c:pt>
                  <c:pt idx="4">
                    <c:v>0.96102189509823788</c:v>
                  </c:pt>
                  <c:pt idx="5">
                    <c:v>0.3958172077785943</c:v>
                  </c:pt>
                  <c:pt idx="6">
                    <c:v>1.2830440574194424</c:v>
                  </c:pt>
                  <c:pt idx="7">
                    <c:v>1.0188533024031132</c:v>
                  </c:pt>
                  <c:pt idx="8">
                    <c:v>1.6707493047525901</c:v>
                  </c:pt>
                  <c:pt idx="9">
                    <c:v>5.1778515460281849</c:v>
                  </c:pt>
                  <c:pt idx="10">
                    <c:v>5.2879837186667578</c:v>
                  </c:pt>
                  <c:pt idx="11">
                    <c:v>2.9631839949006142</c:v>
                  </c:pt>
                  <c:pt idx="12">
                    <c:v>3.4652435129497214</c:v>
                  </c:pt>
                  <c:pt idx="13">
                    <c:v>2.3228280658240816</c:v>
                  </c:pt>
                  <c:pt idx="14">
                    <c:v>4.4004651977465912</c:v>
                  </c:pt>
                  <c:pt idx="15">
                    <c:v>3.3873151637303547</c:v>
                  </c:pt>
                  <c:pt idx="16">
                    <c:v>9.9415546384015983</c:v>
                  </c:pt>
                </c:numCache>
              </c:numRef>
            </c:plus>
            <c:min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0.18376787097495445</c:v>
                  </c:pt>
                  <c:pt idx="1">
                    <c:v>0.40324484393185051</c:v>
                  </c:pt>
                  <c:pt idx="2">
                    <c:v>0.37095018825514475</c:v>
                  </c:pt>
                  <c:pt idx="3">
                    <c:v>0.99773587032749633</c:v>
                  </c:pt>
                  <c:pt idx="4">
                    <c:v>0.96102189509823788</c:v>
                  </c:pt>
                  <c:pt idx="5">
                    <c:v>0.3958172077785943</c:v>
                  </c:pt>
                  <c:pt idx="6">
                    <c:v>1.2830440574194424</c:v>
                  </c:pt>
                  <c:pt idx="7">
                    <c:v>1.0188533024031132</c:v>
                  </c:pt>
                  <c:pt idx="8">
                    <c:v>1.6707493047525901</c:v>
                  </c:pt>
                  <c:pt idx="9">
                    <c:v>5.1778515460281849</c:v>
                  </c:pt>
                  <c:pt idx="10">
                    <c:v>5.2879837186667578</c:v>
                  </c:pt>
                  <c:pt idx="11">
                    <c:v>2.9631839949006142</c:v>
                  </c:pt>
                  <c:pt idx="12">
                    <c:v>3.4652435129497214</c:v>
                  </c:pt>
                  <c:pt idx="13">
                    <c:v>2.3228280658240816</c:v>
                  </c:pt>
                  <c:pt idx="14">
                    <c:v>4.4004651977465912</c:v>
                  </c:pt>
                  <c:pt idx="15">
                    <c:v>3.3873151637303547</c:v>
                  </c:pt>
                  <c:pt idx="16">
                    <c:v>9.9415546384015983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#1926'!$AD$5:$AD$21</c:f>
              <c:numCache>
                <c:formatCode>0</c:formatCode>
                <c:ptCount val="17"/>
                <c:pt idx="0">
                  <c:v>0</c:v>
                </c:pt>
                <c:pt idx="1">
                  <c:v>24</c:v>
                </c:pt>
                <c:pt idx="2">
                  <c:v>49.5</c:v>
                </c:pt>
                <c:pt idx="3">
                  <c:v>73.5</c:v>
                </c:pt>
                <c:pt idx="4">
                  <c:v>96</c:v>
                </c:pt>
                <c:pt idx="5">
                  <c:v>120</c:v>
                </c:pt>
                <c:pt idx="6">
                  <c:v>144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264</c:v>
                </c:pt>
                <c:pt idx="11">
                  <c:v>288</c:v>
                </c:pt>
                <c:pt idx="12">
                  <c:v>312</c:v>
                </c:pt>
                <c:pt idx="13">
                  <c:v>336</c:v>
                </c:pt>
                <c:pt idx="14">
                  <c:v>361.5</c:v>
                </c:pt>
                <c:pt idx="15">
                  <c:v>386</c:v>
                </c:pt>
                <c:pt idx="16">
                  <c:v>409.5</c:v>
                </c:pt>
              </c:numCache>
            </c:numRef>
          </c:xVal>
          <c:yVal>
            <c:numRef>
              <c:f>'C-phycocyanin UTEX #1926'!$AG$5:$AG$21</c:f>
              <c:numCache>
                <c:formatCode>0.00</c:formatCode>
                <c:ptCount val="17"/>
                <c:pt idx="0">
                  <c:v>6.8611088600756354</c:v>
                </c:pt>
                <c:pt idx="1">
                  <c:v>8.5511885467314954</c:v>
                </c:pt>
                <c:pt idx="2">
                  <c:v>12.440538897893029</c:v>
                </c:pt>
                <c:pt idx="3">
                  <c:v>20.60793384116694</c:v>
                </c:pt>
                <c:pt idx="4">
                  <c:v>29.431836736898973</c:v>
                </c:pt>
                <c:pt idx="5">
                  <c:v>32.059269789303094</c:v>
                </c:pt>
                <c:pt idx="6">
                  <c:v>42.091259059967591</c:v>
                </c:pt>
                <c:pt idx="7">
                  <c:v>36.622420313344143</c:v>
                </c:pt>
                <c:pt idx="8">
                  <c:v>50.452890329551586</c:v>
                </c:pt>
                <c:pt idx="9">
                  <c:v>54.38918152350081</c:v>
                </c:pt>
                <c:pt idx="10">
                  <c:v>66.634454349000535</c:v>
                </c:pt>
                <c:pt idx="11">
                  <c:v>77.360886007563479</c:v>
                </c:pt>
                <c:pt idx="12">
                  <c:v>81.594746083198274</c:v>
                </c:pt>
                <c:pt idx="13">
                  <c:v>83.611021069692057</c:v>
                </c:pt>
                <c:pt idx="14">
                  <c:v>99.121285791464075</c:v>
                </c:pt>
                <c:pt idx="15">
                  <c:v>99.916126418152331</c:v>
                </c:pt>
                <c:pt idx="16">
                  <c:v>102.90093192868721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EF-2249-B159-0772F0590B82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0.17355161419903695</c:v>
                  </c:pt>
                  <c:pt idx="1">
                    <c:v>0.40027620880856807</c:v>
                  </c:pt>
                  <c:pt idx="2">
                    <c:v>0.18329117617213217</c:v>
                  </c:pt>
                  <c:pt idx="3">
                    <c:v>1.5357676206092643</c:v>
                  </c:pt>
                  <c:pt idx="4">
                    <c:v>2.0618664303473881</c:v>
                  </c:pt>
                  <c:pt idx="5">
                    <c:v>3.9073945161032886</c:v>
                  </c:pt>
                  <c:pt idx="6">
                    <c:v>0.85115971585125638</c:v>
                  </c:pt>
                  <c:pt idx="7">
                    <c:v>0.98894208671521522</c:v>
                  </c:pt>
                  <c:pt idx="8">
                    <c:v>3.134456577939531</c:v>
                  </c:pt>
                  <c:pt idx="9">
                    <c:v>3.3460102039352879</c:v>
                  </c:pt>
                  <c:pt idx="10">
                    <c:v>2.2087124606311055</c:v>
                  </c:pt>
                  <c:pt idx="11">
                    <c:v>7.8205136381786202</c:v>
                  </c:pt>
                  <c:pt idx="12">
                    <c:v>2.9603795805859332</c:v>
                  </c:pt>
                  <c:pt idx="13">
                    <c:v>9.0362880141150459</c:v>
                  </c:pt>
                  <c:pt idx="14">
                    <c:v>4.4632479394123594</c:v>
                  </c:pt>
                  <c:pt idx="15">
                    <c:v>8.2437257681603882</c:v>
                  </c:pt>
                  <c:pt idx="16">
                    <c:v>12.432622855513609</c:v>
                  </c:pt>
                </c:numCache>
              </c:numRef>
            </c:plus>
            <c:min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0.17355161419903695</c:v>
                  </c:pt>
                  <c:pt idx="1">
                    <c:v>0.40027620880856807</c:v>
                  </c:pt>
                  <c:pt idx="2">
                    <c:v>0.18329117617213217</c:v>
                  </c:pt>
                  <c:pt idx="3">
                    <c:v>1.5357676206092643</c:v>
                  </c:pt>
                  <c:pt idx="4">
                    <c:v>2.0618664303473881</c:v>
                  </c:pt>
                  <c:pt idx="5">
                    <c:v>3.9073945161032886</c:v>
                  </c:pt>
                  <c:pt idx="6">
                    <c:v>0.85115971585125638</c:v>
                  </c:pt>
                  <c:pt idx="7">
                    <c:v>0.98894208671521522</c:v>
                  </c:pt>
                  <c:pt idx="8">
                    <c:v>3.134456577939531</c:v>
                  </c:pt>
                  <c:pt idx="9">
                    <c:v>3.3460102039352879</c:v>
                  </c:pt>
                  <c:pt idx="10">
                    <c:v>2.2087124606311055</c:v>
                  </c:pt>
                  <c:pt idx="11">
                    <c:v>7.8205136381786202</c:v>
                  </c:pt>
                  <c:pt idx="12">
                    <c:v>2.9603795805859332</c:v>
                  </c:pt>
                  <c:pt idx="13">
                    <c:v>9.0362880141150459</c:v>
                  </c:pt>
                  <c:pt idx="14">
                    <c:v>4.4632479394123594</c:v>
                  </c:pt>
                  <c:pt idx="15">
                    <c:v>8.2437257681603882</c:v>
                  </c:pt>
                  <c:pt idx="16">
                    <c:v>12.432622855513609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23</c:v>
                </c:pt>
                <c:pt idx="2">
                  <c:v>49</c:v>
                </c:pt>
                <c:pt idx="3">
                  <c:v>73</c:v>
                </c:pt>
                <c:pt idx="4">
                  <c:v>95.5</c:v>
                </c:pt>
                <c:pt idx="5">
                  <c:v>119.5</c:v>
                </c:pt>
                <c:pt idx="6">
                  <c:v>143.5</c:v>
                </c:pt>
                <c:pt idx="7">
                  <c:v>167.5</c:v>
                </c:pt>
                <c:pt idx="8">
                  <c:v>191.5</c:v>
                </c:pt>
                <c:pt idx="9">
                  <c:v>215.5</c:v>
                </c:pt>
                <c:pt idx="10">
                  <c:v>263.5</c:v>
                </c:pt>
                <c:pt idx="11">
                  <c:v>287.5</c:v>
                </c:pt>
                <c:pt idx="12">
                  <c:v>311.5</c:v>
                </c:pt>
                <c:pt idx="13">
                  <c:v>335.5</c:v>
                </c:pt>
                <c:pt idx="14">
                  <c:v>361</c:v>
                </c:pt>
                <c:pt idx="15">
                  <c:v>385.5</c:v>
                </c:pt>
                <c:pt idx="16">
                  <c:v>409</c:v>
                </c:pt>
              </c:numCache>
            </c:numRef>
          </c:xVal>
          <c:yVal>
            <c:numRef>
              <c:f>'C-phycocyanin UTEX #1926'!$AG$58:$AG$74</c:f>
              <c:numCache>
                <c:formatCode>0.00</c:formatCode>
                <c:ptCount val="17"/>
                <c:pt idx="0">
                  <c:v>7.3013303619665058</c:v>
                </c:pt>
                <c:pt idx="1">
                  <c:v>9.2572325769854142</c:v>
                </c:pt>
                <c:pt idx="2">
                  <c:v>13.44979740680713</c:v>
                </c:pt>
                <c:pt idx="3">
                  <c:v>23.568572263641276</c:v>
                </c:pt>
                <c:pt idx="4">
                  <c:v>33.694027801188547</c:v>
                </c:pt>
                <c:pt idx="5">
                  <c:v>37.231472517558082</c:v>
                </c:pt>
                <c:pt idx="6">
                  <c:v>42.687816780118872</c:v>
                </c:pt>
                <c:pt idx="7">
                  <c:v>42.348838465694222</c:v>
                </c:pt>
                <c:pt idx="8">
                  <c:v>54.649648838465687</c:v>
                </c:pt>
                <c:pt idx="9">
                  <c:v>48.637898433279304</c:v>
                </c:pt>
                <c:pt idx="10">
                  <c:v>74.675715829281472</c:v>
                </c:pt>
                <c:pt idx="11">
                  <c:v>83.845488924905453</c:v>
                </c:pt>
                <c:pt idx="12">
                  <c:v>79.33589951377634</c:v>
                </c:pt>
                <c:pt idx="13">
                  <c:v>91.122974068071315</c:v>
                </c:pt>
                <c:pt idx="14">
                  <c:v>90.642085359265252</c:v>
                </c:pt>
                <c:pt idx="15">
                  <c:v>107.85291734197729</c:v>
                </c:pt>
                <c:pt idx="16">
                  <c:v>105.08785791464074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5EF-2249-B159-0772F0590B82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0.34348604863076126</c:v>
                  </c:pt>
                  <c:pt idx="1">
                    <c:v>2.7490162974968499</c:v>
                  </c:pt>
                  <c:pt idx="2">
                    <c:v>0.65000919221279019</c:v>
                  </c:pt>
                  <c:pt idx="3">
                    <c:v>0.75115855395834952</c:v>
                  </c:pt>
                  <c:pt idx="4">
                    <c:v>1.9983917990918518</c:v>
                  </c:pt>
                  <c:pt idx="5">
                    <c:v>1.821995931305026</c:v>
                  </c:pt>
                  <c:pt idx="6">
                    <c:v>6.2139758386790964</c:v>
                  </c:pt>
                  <c:pt idx="7">
                    <c:v>6.5761070174530634</c:v>
                  </c:pt>
                  <c:pt idx="8">
                    <c:v>4.6722411182806667</c:v>
                  </c:pt>
                  <c:pt idx="9">
                    <c:v>12.014101357187629</c:v>
                  </c:pt>
                  <c:pt idx="10">
                    <c:v>11.484358982686578</c:v>
                  </c:pt>
                  <c:pt idx="11">
                    <c:v>11.761084344688063</c:v>
                  </c:pt>
                  <c:pt idx="12">
                    <c:v>30.01996333415871</c:v>
                  </c:pt>
                  <c:pt idx="13">
                    <c:v>4.8993611812326208</c:v>
                  </c:pt>
                  <c:pt idx="14">
                    <c:v>4.5496604331787633</c:v>
                  </c:pt>
                  <c:pt idx="15">
                    <c:v>18.2173526413719</c:v>
                  </c:pt>
                  <c:pt idx="16">
                    <c:v>27.105178334225304</c:v>
                  </c:pt>
                </c:numCache>
              </c:numRef>
            </c:plus>
            <c:min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0.34348604863076126</c:v>
                  </c:pt>
                  <c:pt idx="1">
                    <c:v>2.7490162974968499</c:v>
                  </c:pt>
                  <c:pt idx="2">
                    <c:v>0.65000919221279019</c:v>
                  </c:pt>
                  <c:pt idx="3">
                    <c:v>0.75115855395834952</c:v>
                  </c:pt>
                  <c:pt idx="4">
                    <c:v>1.9983917990918518</c:v>
                  </c:pt>
                  <c:pt idx="5">
                    <c:v>1.821995931305026</c:v>
                  </c:pt>
                  <c:pt idx="6">
                    <c:v>6.2139758386790964</c:v>
                  </c:pt>
                  <c:pt idx="7">
                    <c:v>6.5761070174530634</c:v>
                  </c:pt>
                  <c:pt idx="8">
                    <c:v>4.6722411182806667</c:v>
                  </c:pt>
                  <c:pt idx="9">
                    <c:v>12.014101357187629</c:v>
                  </c:pt>
                  <c:pt idx="10">
                    <c:v>11.484358982686578</c:v>
                  </c:pt>
                  <c:pt idx="11">
                    <c:v>11.761084344688063</c:v>
                  </c:pt>
                  <c:pt idx="12">
                    <c:v>30.01996333415871</c:v>
                  </c:pt>
                  <c:pt idx="13">
                    <c:v>4.8993611812326208</c:v>
                  </c:pt>
                  <c:pt idx="14">
                    <c:v>4.5496604331787633</c:v>
                  </c:pt>
                  <c:pt idx="15">
                    <c:v>18.2173526413719</c:v>
                  </c:pt>
                  <c:pt idx="16">
                    <c:v>27.105178334225304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</c:v>
                </c:pt>
                <c:pt idx="4">
                  <c:v>94.5</c:v>
                </c:pt>
                <c:pt idx="5">
                  <c:v>118.5</c:v>
                </c:pt>
                <c:pt idx="6">
                  <c:v>142.5</c:v>
                </c:pt>
                <c:pt idx="7">
                  <c:v>166.5</c:v>
                </c:pt>
                <c:pt idx="8">
                  <c:v>190</c:v>
                </c:pt>
                <c:pt idx="9">
                  <c:v>214</c:v>
                </c:pt>
                <c:pt idx="10">
                  <c:v>262.5</c:v>
                </c:pt>
                <c:pt idx="11">
                  <c:v>286.5</c:v>
                </c:pt>
                <c:pt idx="12">
                  <c:v>310.5</c:v>
                </c:pt>
                <c:pt idx="13">
                  <c:v>334.5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</c:numCache>
            </c:numRef>
          </c:xVal>
          <c:yVal>
            <c:numRef>
              <c:f>'C-phycocyanin UTEX #1926'!$AG$112:$AG$128</c:f>
              <c:numCache>
                <c:formatCode>0.00</c:formatCode>
                <c:ptCount val="17"/>
                <c:pt idx="0">
                  <c:v>6.35434224743382</c:v>
                </c:pt>
                <c:pt idx="1">
                  <c:v>2.7490162974968495</c:v>
                </c:pt>
                <c:pt idx="2">
                  <c:v>11.109420583468397</c:v>
                </c:pt>
                <c:pt idx="3">
                  <c:v>23.709248011885467</c:v>
                </c:pt>
                <c:pt idx="4">
                  <c:v>32.55494382495948</c:v>
                </c:pt>
                <c:pt idx="5">
                  <c:v>45.031142323068622</c:v>
                </c:pt>
                <c:pt idx="6">
                  <c:v>71.518026094003247</c:v>
                </c:pt>
                <c:pt idx="7">
                  <c:v>75.23824959481361</c:v>
                </c:pt>
                <c:pt idx="8">
                  <c:v>101.41874662344678</c:v>
                </c:pt>
                <c:pt idx="9">
                  <c:v>97.176998919502978</c:v>
                </c:pt>
                <c:pt idx="10">
                  <c:v>108.82610750945435</c:v>
                </c:pt>
                <c:pt idx="11">
                  <c:v>144.49351701782817</c:v>
                </c:pt>
                <c:pt idx="12">
                  <c:v>192.45867098865475</c:v>
                </c:pt>
                <c:pt idx="13">
                  <c:v>180.97528363046999</c:v>
                </c:pt>
                <c:pt idx="14">
                  <c:v>158.25283630470014</c:v>
                </c:pt>
                <c:pt idx="15">
                  <c:v>196.86615343057804</c:v>
                </c:pt>
                <c:pt idx="16">
                  <c:v>196.78349540788767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5EF-2249-B159-0772F0590B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CeBER'!$B$2:$U$2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CeBER'!$Y$4:$Y$13</c:f>
                <c:numCache>
                  <c:formatCode>General</c:formatCode>
                  <c:ptCount val="10"/>
                  <c:pt idx="0">
                    <c:v>1.7216845818776444E-2</c:v>
                  </c:pt>
                  <c:pt idx="1">
                    <c:v>6.9855561712554694E-3</c:v>
                  </c:pt>
                  <c:pt idx="2">
                    <c:v>2.0567302397556272E-2</c:v>
                  </c:pt>
                  <c:pt idx="3">
                    <c:v>1.2155886008038103E-2</c:v>
                  </c:pt>
                  <c:pt idx="4">
                    <c:v>1.4555030843437879E-2</c:v>
                  </c:pt>
                  <c:pt idx="5">
                    <c:v>7.714774420175697E-3</c:v>
                  </c:pt>
                  <c:pt idx="6">
                    <c:v>6.2509555898738259E-2</c:v>
                  </c:pt>
                  <c:pt idx="7">
                    <c:v>1.295702772191383E-2</c:v>
                  </c:pt>
                  <c:pt idx="8">
                    <c:v>4.8767161674160092E-2</c:v>
                  </c:pt>
                </c:numCache>
              </c:numRef>
            </c:plus>
            <c:minus>
              <c:numRef>
                <c:f>'Nitrate content CeBER'!$Y$4:$Y$13</c:f>
                <c:numCache>
                  <c:formatCode>General</c:formatCode>
                  <c:ptCount val="10"/>
                  <c:pt idx="0">
                    <c:v>1.7216845818776444E-2</c:v>
                  </c:pt>
                  <c:pt idx="1">
                    <c:v>6.9855561712554694E-3</c:v>
                  </c:pt>
                  <c:pt idx="2">
                    <c:v>2.0567302397556272E-2</c:v>
                  </c:pt>
                  <c:pt idx="3">
                    <c:v>1.2155886008038103E-2</c:v>
                  </c:pt>
                  <c:pt idx="4">
                    <c:v>1.4555030843437879E-2</c:v>
                  </c:pt>
                  <c:pt idx="5">
                    <c:v>7.714774420175697E-3</c:v>
                  </c:pt>
                  <c:pt idx="6">
                    <c:v>6.2509555898738259E-2</c:v>
                  </c:pt>
                  <c:pt idx="7">
                    <c:v>1.295702772191383E-2</c:v>
                  </c:pt>
                  <c:pt idx="8">
                    <c:v>4.8767161674160092E-2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CeBER'!$W$4:$W$13</c:f>
              <c:numCache>
                <c:formatCode>0</c:formatCode>
                <c:ptCount val="10"/>
                <c:pt idx="0">
                  <c:v>0</c:v>
                </c:pt>
                <c:pt idx="1">
                  <c:v>49.5</c:v>
                </c:pt>
                <c:pt idx="2">
                  <c:v>96</c:v>
                </c:pt>
                <c:pt idx="3">
                  <c:v>144</c:v>
                </c:pt>
                <c:pt idx="4">
                  <c:v>192</c:v>
                </c:pt>
                <c:pt idx="5">
                  <c:v>264</c:v>
                </c:pt>
                <c:pt idx="6">
                  <c:v>312</c:v>
                </c:pt>
                <c:pt idx="7">
                  <c:v>361.5</c:v>
                </c:pt>
                <c:pt idx="8">
                  <c:v>409.5</c:v>
                </c:pt>
              </c:numCache>
            </c:numRef>
          </c:xVal>
          <c:yVal>
            <c:numRef>
              <c:f>'Nitrate content CeBER'!$X$4:$X$13</c:f>
              <c:numCache>
                <c:formatCode>0.000</c:formatCode>
                <c:ptCount val="10"/>
                <c:pt idx="0">
                  <c:v>1.5637439888762767</c:v>
                </c:pt>
                <c:pt idx="1">
                  <c:v>1.5920354423280425</c:v>
                </c:pt>
                <c:pt idx="2">
                  <c:v>1.4482287058201058</c:v>
                </c:pt>
                <c:pt idx="3">
                  <c:v>1.3980235464550261</c:v>
                </c:pt>
                <c:pt idx="4">
                  <c:v>1.321325655873016</c:v>
                </c:pt>
                <c:pt idx="5">
                  <c:v>1.1889948044444445</c:v>
                </c:pt>
                <c:pt idx="6">
                  <c:v>1.0385484912169312</c:v>
                </c:pt>
                <c:pt idx="7">
                  <c:v>0.96411540404761897</c:v>
                </c:pt>
                <c:pt idx="8">
                  <c:v>0.84547936111111133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370-8142-9AB9-E3B4254B2165}"/>
            </c:ext>
          </c:extLst>
        </c:ser>
        <c:ser>
          <c:idx val="1"/>
          <c:order val="1"/>
          <c:tx>
            <c:strRef>
              <c:f>'Nitrate content CeBER'!$B$32:$U$32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CeBER'!$Y$34:$Y$43</c:f>
                <c:numCache>
                  <c:formatCode>General</c:formatCode>
                  <c:ptCount val="10"/>
                  <c:pt idx="0">
                    <c:v>5.8706373734601124E-3</c:v>
                  </c:pt>
                  <c:pt idx="1">
                    <c:v>1.771328406457634E-2</c:v>
                  </c:pt>
                  <c:pt idx="2">
                    <c:v>1.033503739745272E-2</c:v>
                  </c:pt>
                  <c:pt idx="3">
                    <c:v>1.2684526391138576E-2</c:v>
                  </c:pt>
                  <c:pt idx="4">
                    <c:v>2.6545036884659309E-2</c:v>
                  </c:pt>
                  <c:pt idx="5">
                    <c:v>5.4297787531579114E-2</c:v>
                  </c:pt>
                  <c:pt idx="6">
                    <c:v>2.1736926304630935E-2</c:v>
                  </c:pt>
                  <c:pt idx="7">
                    <c:v>3.0583898003614361E-2</c:v>
                  </c:pt>
                  <c:pt idx="8">
                    <c:v>9.9705179963691364E-3</c:v>
                  </c:pt>
                </c:numCache>
              </c:numRef>
            </c:plus>
            <c:minus>
              <c:numRef>
                <c:f>'Nitrate content CeBER'!$Y$34:$Y$43</c:f>
                <c:numCache>
                  <c:formatCode>General</c:formatCode>
                  <c:ptCount val="10"/>
                  <c:pt idx="0">
                    <c:v>5.8706373734601124E-3</c:v>
                  </c:pt>
                  <c:pt idx="1">
                    <c:v>1.771328406457634E-2</c:v>
                  </c:pt>
                  <c:pt idx="2">
                    <c:v>1.033503739745272E-2</c:v>
                  </c:pt>
                  <c:pt idx="3">
                    <c:v>1.2684526391138576E-2</c:v>
                  </c:pt>
                  <c:pt idx="4">
                    <c:v>2.6545036884659309E-2</c:v>
                  </c:pt>
                  <c:pt idx="5">
                    <c:v>5.4297787531579114E-2</c:v>
                  </c:pt>
                  <c:pt idx="6">
                    <c:v>2.1736926304630935E-2</c:v>
                  </c:pt>
                  <c:pt idx="7">
                    <c:v>3.0583898003614361E-2</c:v>
                  </c:pt>
                  <c:pt idx="8">
                    <c:v>9.9705179963691364E-3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CeBER'!$W$34:$W$43</c:f>
              <c:numCache>
                <c:formatCode>0</c:formatCode>
                <c:ptCount val="10"/>
                <c:pt idx="0">
                  <c:v>0</c:v>
                </c:pt>
                <c:pt idx="1">
                  <c:v>49</c:v>
                </c:pt>
                <c:pt idx="2">
                  <c:v>95.5</c:v>
                </c:pt>
                <c:pt idx="3">
                  <c:v>143.5</c:v>
                </c:pt>
                <c:pt idx="4">
                  <c:v>191.5</c:v>
                </c:pt>
                <c:pt idx="5">
                  <c:v>263.5</c:v>
                </c:pt>
                <c:pt idx="6">
                  <c:v>311.5</c:v>
                </c:pt>
                <c:pt idx="7">
                  <c:v>361</c:v>
                </c:pt>
                <c:pt idx="8">
                  <c:v>409</c:v>
                </c:pt>
              </c:numCache>
            </c:numRef>
          </c:xVal>
          <c:yVal>
            <c:numRef>
              <c:f>'Nitrate content CeBER'!$X$34:$X$43</c:f>
              <c:numCache>
                <c:formatCode>0.000</c:formatCode>
                <c:ptCount val="10"/>
                <c:pt idx="0">
                  <c:v>1.5324149383597885</c:v>
                </c:pt>
                <c:pt idx="1">
                  <c:v>1.4497005333333337</c:v>
                </c:pt>
                <c:pt idx="2">
                  <c:v>1.3979249402116405</c:v>
                </c:pt>
                <c:pt idx="3">
                  <c:v>1.2985697073015869</c:v>
                </c:pt>
                <c:pt idx="4">
                  <c:v>1.2521359521693125</c:v>
                </c:pt>
                <c:pt idx="5">
                  <c:v>1.1061574507936507</c:v>
                </c:pt>
                <c:pt idx="6">
                  <c:v>1.0215279428571429</c:v>
                </c:pt>
                <c:pt idx="7">
                  <c:v>0.94497839547619045</c:v>
                </c:pt>
                <c:pt idx="8">
                  <c:v>0.7902343742857143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370-8142-9AB9-E3B4254B2165}"/>
            </c:ext>
          </c:extLst>
        </c:ser>
        <c:ser>
          <c:idx val="2"/>
          <c:order val="2"/>
          <c:tx>
            <c:strRef>
              <c:f>'Nitrate content CeBER'!$B$62:$U$62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CeBER'!$Y$64:$Y$73</c:f>
                <c:numCache>
                  <c:formatCode>General</c:formatCode>
                  <c:ptCount val="10"/>
                  <c:pt idx="0">
                    <c:v>7.9204579975873466E-3</c:v>
                  </c:pt>
                  <c:pt idx="1">
                    <c:v>8.727877164238387E-3</c:v>
                  </c:pt>
                  <c:pt idx="2">
                    <c:v>1.6434690801284818E-2</c:v>
                  </c:pt>
                  <c:pt idx="3">
                    <c:v>2.6320398826286069E-2</c:v>
                  </c:pt>
                  <c:pt idx="4">
                    <c:v>5.877128229063093E-2</c:v>
                  </c:pt>
                  <c:pt idx="5">
                    <c:v>5.2590785977216233E-2</c:v>
                  </c:pt>
                  <c:pt idx="6">
                    <c:v>8.9696172070615459E-3</c:v>
                  </c:pt>
                  <c:pt idx="7">
                    <c:v>2.8899009025081877E-2</c:v>
                  </c:pt>
                  <c:pt idx="8">
                    <c:v>3.6932414645047845E-2</c:v>
                  </c:pt>
                </c:numCache>
              </c:numRef>
            </c:plus>
            <c:minus>
              <c:numRef>
                <c:f>'Nitrate content CeBER'!$Y$64:$Y$73</c:f>
                <c:numCache>
                  <c:formatCode>General</c:formatCode>
                  <c:ptCount val="10"/>
                  <c:pt idx="0">
                    <c:v>7.9204579975873466E-3</c:v>
                  </c:pt>
                  <c:pt idx="1">
                    <c:v>8.727877164238387E-3</c:v>
                  </c:pt>
                  <c:pt idx="2">
                    <c:v>1.6434690801284818E-2</c:v>
                  </c:pt>
                  <c:pt idx="3">
                    <c:v>2.6320398826286069E-2</c:v>
                  </c:pt>
                  <c:pt idx="4">
                    <c:v>5.877128229063093E-2</c:v>
                  </c:pt>
                  <c:pt idx="5">
                    <c:v>5.2590785977216233E-2</c:v>
                  </c:pt>
                  <c:pt idx="6">
                    <c:v>8.9696172070615459E-3</c:v>
                  </c:pt>
                  <c:pt idx="7">
                    <c:v>2.8899009025081877E-2</c:v>
                  </c:pt>
                  <c:pt idx="8">
                    <c:v>3.6932414645047845E-2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CeBER'!$W$64:$W$73</c:f>
              <c:numCache>
                <c:formatCode>0</c:formatCode>
                <c:ptCount val="10"/>
                <c:pt idx="0">
                  <c:v>0</c:v>
                </c:pt>
                <c:pt idx="1">
                  <c:v>48</c:v>
                </c:pt>
                <c:pt idx="2">
                  <c:v>94.5</c:v>
                </c:pt>
                <c:pt idx="3">
                  <c:v>142.5</c:v>
                </c:pt>
                <c:pt idx="4">
                  <c:v>190</c:v>
                </c:pt>
                <c:pt idx="5">
                  <c:v>262.5</c:v>
                </c:pt>
                <c:pt idx="6">
                  <c:v>310.5</c:v>
                </c:pt>
                <c:pt idx="7">
                  <c:v>360</c:v>
                </c:pt>
                <c:pt idx="8">
                  <c:v>408</c:v>
                </c:pt>
              </c:numCache>
            </c:numRef>
          </c:xVal>
          <c:yVal>
            <c:numRef>
              <c:f>'Nitrate content CeBER'!$X$64:$X$73</c:f>
              <c:numCache>
                <c:formatCode>0.000</c:formatCode>
                <c:ptCount val="10"/>
                <c:pt idx="0">
                  <c:v>1.566723409259259</c:v>
                </c:pt>
                <c:pt idx="1">
                  <c:v>1.5213319216931218</c:v>
                </c:pt>
                <c:pt idx="2">
                  <c:v>1.3927275031746031</c:v>
                </c:pt>
                <c:pt idx="3">
                  <c:v>1.1773661500529102</c:v>
                </c:pt>
                <c:pt idx="4">
                  <c:v>1.0528696055026454</c:v>
                </c:pt>
                <c:pt idx="5">
                  <c:v>0.93291586984126995</c:v>
                </c:pt>
                <c:pt idx="6">
                  <c:v>0.8857224736507936</c:v>
                </c:pt>
                <c:pt idx="7">
                  <c:v>0.82147381238095241</c:v>
                </c:pt>
                <c:pt idx="8">
                  <c:v>0.70432106777777792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370-8142-9AB9-E3B4254B2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6BFA48-81E6-7645-801F-C4B75A12F76E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618A5B-5121-4040-87C8-DA979D7431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327643-F730-2C42-98CF-B41EBB9EFDD3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AE8B83-0068-E64B-A694-6DEDBABE5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822208-2B18-5643-ABAB-01B7400DE0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F1CC3C-6F15-1645-8035-BDBE581983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7EF7BE-1EF6-8643-B63F-514DEE1E4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FBB0FCF-00C7-5148-ABA6-34CDAB7124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BD67E4-72D4-B04F-844C-FEBC2A1F04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4FE1F5-3B77-B648-AFDF-A5ECA02A9B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ADE794-9289-9645-BB87-AA0C8B4DB039}">
  <dimension ref="A1:F19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3" customWidth="1"/>
    <col min="2" max="2" width="9.5" style="24" customWidth="1"/>
    <col min="3" max="3" width="56.1640625" style="23" customWidth="1"/>
    <col min="4" max="4" width="41.1640625" style="4"/>
    <col min="5" max="16384" width="41.1640625" style="6"/>
  </cols>
  <sheetData>
    <row r="1" spans="1:6" s="5" customFormat="1" ht="18" customHeight="1" x14ac:dyDescent="0.2">
      <c r="A1" s="170" t="s">
        <v>109</v>
      </c>
      <c r="B1" s="170"/>
      <c r="C1" s="170"/>
      <c r="D1" s="4"/>
    </row>
    <row r="2" spans="1:6" ht="18" customHeight="1" x14ac:dyDescent="0.15">
      <c r="A2" s="170"/>
      <c r="B2" s="170"/>
      <c r="C2" s="170"/>
    </row>
    <row r="3" spans="1:6" ht="16" x14ac:dyDescent="0.15">
      <c r="A3" s="171" t="s">
        <v>40</v>
      </c>
      <c r="B3" s="171"/>
      <c r="C3" s="171"/>
    </row>
    <row r="4" spans="1:6" s="7" customFormat="1" x14ac:dyDescent="0.15">
      <c r="A4" s="172" t="s">
        <v>41</v>
      </c>
      <c r="B4" s="172"/>
      <c r="C4" s="172"/>
      <c r="D4" s="4"/>
    </row>
    <row r="5" spans="1:6" s="8" customFormat="1" ht="13" x14ac:dyDescent="0.15">
      <c r="A5" s="173" t="s">
        <v>42</v>
      </c>
      <c r="B5" s="173"/>
      <c r="C5" s="173"/>
      <c r="D5" s="4"/>
    </row>
    <row r="6" spans="1:6" ht="60" customHeight="1" x14ac:dyDescent="0.15">
      <c r="A6" s="174" t="s">
        <v>43</v>
      </c>
      <c r="B6" s="174"/>
      <c r="C6" s="174"/>
    </row>
    <row r="7" spans="1:6" ht="17" customHeight="1" x14ac:dyDescent="0.15">
      <c r="A7" s="175" t="s">
        <v>58</v>
      </c>
      <c r="B7" s="175"/>
      <c r="C7" s="175"/>
    </row>
    <row r="8" spans="1:6" ht="30" customHeight="1" x14ac:dyDescent="0.15">
      <c r="A8" s="169" t="s">
        <v>44</v>
      </c>
      <c r="B8" s="169"/>
      <c r="C8" s="169"/>
    </row>
    <row r="9" spans="1:6" x14ac:dyDescent="0.15">
      <c r="A9" s="9" t="s">
        <v>45</v>
      </c>
      <c r="B9" s="10"/>
      <c r="C9" s="11">
        <v>44448</v>
      </c>
    </row>
    <row r="10" spans="1:6" ht="15" thickBot="1" x14ac:dyDescent="0.2">
      <c r="A10" s="12" t="s">
        <v>46</v>
      </c>
      <c r="B10" s="13"/>
      <c r="C10" s="14">
        <v>44465</v>
      </c>
    </row>
    <row r="11" spans="1:6" s="8" customFormat="1" thickBot="1" x14ac:dyDescent="0.2">
      <c r="A11" s="15"/>
      <c r="B11" s="16"/>
      <c r="C11" s="15"/>
      <c r="D11" s="4"/>
    </row>
    <row r="12" spans="1:6" ht="18" thickBot="1" x14ac:dyDescent="0.2">
      <c r="A12" s="17" t="s">
        <v>47</v>
      </c>
      <c r="B12" s="18" t="s">
        <v>48</v>
      </c>
      <c r="C12" s="19" t="s">
        <v>49</v>
      </c>
    </row>
    <row r="13" spans="1:6" ht="15" x14ac:dyDescent="0.15">
      <c r="A13" s="20" t="s">
        <v>50</v>
      </c>
      <c r="B13" s="21">
        <v>1</v>
      </c>
      <c r="C13" s="22" t="s">
        <v>51</v>
      </c>
    </row>
    <row r="14" spans="1:6" ht="45" x14ac:dyDescent="0.15">
      <c r="A14" s="20" t="s">
        <v>52</v>
      </c>
      <c r="B14" s="21">
        <v>2</v>
      </c>
      <c r="C14" s="22" t="s">
        <v>73</v>
      </c>
      <c r="D14" s="23"/>
      <c r="E14" s="23"/>
      <c r="F14" s="23"/>
    </row>
    <row r="15" spans="1:6" ht="45" x14ac:dyDescent="0.15">
      <c r="A15" s="20" t="s">
        <v>53</v>
      </c>
      <c r="B15" s="21">
        <v>3</v>
      </c>
      <c r="C15" s="22" t="s">
        <v>74</v>
      </c>
    </row>
    <row r="16" spans="1:6" ht="45" x14ac:dyDescent="0.15">
      <c r="A16" s="20" t="s">
        <v>54</v>
      </c>
      <c r="B16" s="21">
        <v>4</v>
      </c>
      <c r="C16" s="22" t="s">
        <v>75</v>
      </c>
    </row>
    <row r="17" spans="1:3" ht="45" x14ac:dyDescent="0.15">
      <c r="A17" s="20" t="s">
        <v>55</v>
      </c>
      <c r="B17" s="21">
        <v>5</v>
      </c>
      <c r="C17" s="22" t="s">
        <v>76</v>
      </c>
    </row>
    <row r="18" spans="1:3" ht="45" x14ac:dyDescent="0.15">
      <c r="A18" s="20" t="s">
        <v>56</v>
      </c>
      <c r="B18" s="21">
        <v>6</v>
      </c>
      <c r="C18" s="22" t="s">
        <v>77</v>
      </c>
    </row>
    <row r="19" spans="1:3" ht="45" x14ac:dyDescent="0.15">
      <c r="A19" s="20" t="s">
        <v>57</v>
      </c>
      <c r="B19" s="21">
        <v>7</v>
      </c>
      <c r="C19" s="22" t="s">
        <v>78</v>
      </c>
    </row>
  </sheetData>
  <mergeCells count="7">
    <mergeCell ref="A8:C8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F97F4-3D94-7A42-B21D-83B6847F3D62}">
  <dimension ref="A1:AJ87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6" customWidth="1"/>
    <col min="2" max="2" width="12" style="6" bestFit="1" customWidth="1"/>
    <col min="3" max="3" width="12" style="6" customWidth="1"/>
    <col min="4" max="11" width="8.83203125" style="6"/>
    <col min="12" max="12" width="13.33203125" style="6" customWidth="1"/>
    <col min="13" max="13" width="10.33203125" style="6" customWidth="1"/>
    <col min="14" max="16" width="8.83203125" style="6"/>
    <col min="17" max="17" width="13.1640625" style="6" customWidth="1"/>
    <col min="18" max="18" width="10.5" style="6" customWidth="1"/>
    <col min="19" max="19" width="8.5" style="6" customWidth="1"/>
    <col min="20" max="20" width="9.1640625" style="6" bestFit="1" customWidth="1"/>
    <col min="21" max="21" width="9.33203125" style="6" bestFit="1" customWidth="1"/>
    <col min="22" max="26" width="9" style="6" bestFit="1" customWidth="1"/>
    <col min="27" max="27" width="10.33203125" style="6" customWidth="1"/>
    <col min="28" max="28" width="8.83203125" style="6" customWidth="1"/>
    <col min="29" max="29" width="12.1640625" style="6" customWidth="1"/>
    <col min="30" max="16384" width="8.83203125" style="6"/>
  </cols>
  <sheetData>
    <row r="1" spans="1:28" ht="17" customHeight="1" thickBot="1" x14ac:dyDescent="0.2">
      <c r="A1" s="176" t="s">
        <v>59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28" ht="15" customHeight="1" thickBot="1" x14ac:dyDescent="0.2">
      <c r="A2" s="25"/>
      <c r="B2" s="179" t="s">
        <v>60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28" ht="45" customHeight="1" x14ac:dyDescent="0.15">
      <c r="A3" s="25"/>
      <c r="B3" s="26" t="s">
        <v>0</v>
      </c>
      <c r="C3" s="27" t="s">
        <v>1</v>
      </c>
      <c r="D3" s="28" t="s">
        <v>2</v>
      </c>
      <c r="E3" s="29" t="s">
        <v>3</v>
      </c>
      <c r="F3" s="182" t="s">
        <v>61</v>
      </c>
      <c r="G3" s="183"/>
      <c r="H3" s="184"/>
      <c r="I3" s="185" t="s">
        <v>10</v>
      </c>
      <c r="J3" s="183"/>
      <c r="K3" s="184"/>
      <c r="L3" s="30" t="s">
        <v>4</v>
      </c>
      <c r="M3" s="31" t="s">
        <v>62</v>
      </c>
      <c r="N3" s="185" t="s">
        <v>63</v>
      </c>
      <c r="O3" s="183"/>
      <c r="P3" s="184"/>
      <c r="Q3" s="31" t="s">
        <v>5</v>
      </c>
      <c r="R3" s="31" t="s">
        <v>62</v>
      </c>
      <c r="S3" s="185" t="s">
        <v>6</v>
      </c>
      <c r="T3" s="183"/>
      <c r="U3" s="184"/>
      <c r="V3" s="30" t="s">
        <v>64</v>
      </c>
      <c r="W3" s="30" t="s">
        <v>62</v>
      </c>
      <c r="X3" s="185" t="s">
        <v>65</v>
      </c>
      <c r="Y3" s="183"/>
      <c r="Z3" s="184"/>
      <c r="AA3" s="30" t="s">
        <v>66</v>
      </c>
      <c r="AB3" s="32" t="s">
        <v>62</v>
      </c>
    </row>
    <row r="4" spans="1:28" ht="15" customHeight="1" x14ac:dyDescent="0.15">
      <c r="A4" s="25"/>
      <c r="B4" s="33"/>
      <c r="C4" s="34"/>
      <c r="D4" s="35"/>
      <c r="E4" s="36"/>
      <c r="F4" s="192" t="s">
        <v>13</v>
      </c>
      <c r="G4" s="193"/>
      <c r="H4" s="194"/>
      <c r="I4" s="195" t="s">
        <v>7</v>
      </c>
      <c r="J4" s="193"/>
      <c r="K4" s="194"/>
      <c r="L4" s="38" t="s">
        <v>7</v>
      </c>
      <c r="M4" s="39"/>
      <c r="N4" s="195" t="s">
        <v>7</v>
      </c>
      <c r="O4" s="193"/>
      <c r="P4" s="194"/>
      <c r="Q4" s="37" t="s">
        <v>7</v>
      </c>
      <c r="R4" s="37"/>
      <c r="S4" s="196" t="s">
        <v>67</v>
      </c>
      <c r="T4" s="197"/>
      <c r="U4" s="198"/>
      <c r="V4" s="38" t="s">
        <v>67</v>
      </c>
      <c r="W4" s="35"/>
      <c r="X4" s="196" t="s">
        <v>68</v>
      </c>
      <c r="Y4" s="197"/>
      <c r="Z4" s="198"/>
      <c r="AA4" s="40" t="s">
        <v>68</v>
      </c>
      <c r="AB4" s="41"/>
    </row>
    <row r="5" spans="1:28" x14ac:dyDescent="0.15">
      <c r="A5" s="25"/>
      <c r="B5" s="191" t="s">
        <v>23</v>
      </c>
      <c r="C5" s="43">
        <v>0.41666666666666669</v>
      </c>
      <c r="D5" s="44">
        <v>0</v>
      </c>
      <c r="E5" s="189">
        <v>1</v>
      </c>
      <c r="F5" s="46">
        <v>9.2999999999999999E-2</v>
      </c>
      <c r="G5" s="47">
        <v>9.7000000000000003E-2</v>
      </c>
      <c r="H5" s="47">
        <v>9.2999999999999999E-2</v>
      </c>
      <c r="I5" s="47">
        <f t="shared" ref="I5:K24" si="0">1.2334*F5</f>
        <v>0.11470620000000001</v>
      </c>
      <c r="J5" s="47">
        <f t="shared" si="0"/>
        <v>0.1196398</v>
      </c>
      <c r="K5" s="47">
        <f t="shared" si="0"/>
        <v>0.11470620000000001</v>
      </c>
      <c r="L5" s="48">
        <f t="shared" ref="L5:L24" si="1">AVERAGE(I5:K5)</f>
        <v>0.11635073333333334</v>
      </c>
      <c r="M5" s="47">
        <f t="shared" ref="M5:M24" si="2">STDEV(I5:K5)/SQRT(3)</f>
        <v>1.6445333333333324E-3</v>
      </c>
      <c r="N5" s="47">
        <f t="shared" ref="N5:P24" si="3">LN(I5)</f>
        <v>-2.1653812022536258</v>
      </c>
      <c r="O5" s="47">
        <f t="shared" si="3"/>
        <v>-2.1232697169034989</v>
      </c>
      <c r="P5" s="47">
        <f t="shared" si="3"/>
        <v>-2.1653812022536258</v>
      </c>
      <c r="Q5" s="48">
        <f t="shared" ref="Q5:Q24" si="4">AVERAGE(N5:P5)</f>
        <v>-2.1513440404702497</v>
      </c>
      <c r="R5" s="47">
        <f>STDEV(N5:P5)/SQRT(3)</f>
        <v>1.4037161783375664E-2</v>
      </c>
      <c r="S5" s="8"/>
      <c r="T5" s="8"/>
      <c r="U5" s="8"/>
      <c r="V5" s="8"/>
      <c r="W5" s="8"/>
      <c r="X5" s="8"/>
      <c r="Y5" s="8"/>
      <c r="Z5" s="8"/>
      <c r="AA5" s="8"/>
      <c r="AB5" s="45"/>
    </row>
    <row r="6" spans="1:28" x14ac:dyDescent="0.15">
      <c r="A6" s="25"/>
      <c r="B6" s="191"/>
      <c r="C6" s="43">
        <v>0.64583333333333337</v>
      </c>
      <c r="D6" s="44">
        <f>5.5+D5</f>
        <v>5.5</v>
      </c>
      <c r="E6" s="189"/>
      <c r="F6" s="46">
        <v>0.109</v>
      </c>
      <c r="G6" s="47">
        <v>0.105</v>
      </c>
      <c r="H6" s="47">
        <v>0.109</v>
      </c>
      <c r="I6" s="47">
        <f t="shared" si="0"/>
        <v>0.13444059999999999</v>
      </c>
      <c r="J6" s="47">
        <f t="shared" si="0"/>
        <v>0.12950700000000001</v>
      </c>
      <c r="K6" s="47">
        <f t="shared" si="0"/>
        <v>0.13444059999999999</v>
      </c>
      <c r="L6" s="48">
        <f t="shared" si="1"/>
        <v>0.13279606666666666</v>
      </c>
      <c r="M6" s="47">
        <f t="shared" si="2"/>
        <v>1.6445333333333276E-3</v>
      </c>
      <c r="N6" s="47">
        <f t="shared" si="3"/>
        <v>-2.0066328131777382</v>
      </c>
      <c r="O6" s="47">
        <f t="shared" si="3"/>
        <v>-2.0440203452493582</v>
      </c>
      <c r="P6" s="47">
        <f t="shared" si="3"/>
        <v>-2.0066328131777382</v>
      </c>
      <c r="Q6" s="48">
        <f t="shared" si="4"/>
        <v>-2.0190953238682781</v>
      </c>
      <c r="R6" s="47">
        <f t="shared" ref="R6:R24" si="5">STDEV(N6:P6)/SQRT(3)</f>
        <v>1.2462510690539979E-2</v>
      </c>
      <c r="S6" s="47">
        <f>(N6-N5)/(D6-D5)</f>
        <v>2.8863343468343204E-2</v>
      </c>
      <c r="T6" s="47">
        <f>(O6-O5)/(D6-D5)</f>
        <v>1.4408976664389218E-2</v>
      </c>
      <c r="U6" s="47">
        <f>(P6-P5)/(D6-D5)</f>
        <v>2.8863343468343204E-2</v>
      </c>
      <c r="V6" s="48">
        <f>AVERAGE(S6:U6)</f>
        <v>2.4045221200358541E-2</v>
      </c>
      <c r="W6" s="47">
        <f>STDEV(S6:U6)/SQRT(3)</f>
        <v>4.8181222679846633E-3</v>
      </c>
      <c r="X6" s="47">
        <f>(I6/D6)</f>
        <v>2.4443745454545453E-2</v>
      </c>
      <c r="Y6" s="47">
        <f>J6/D6</f>
        <v>2.3546727272727275E-2</v>
      </c>
      <c r="Z6" s="47">
        <f>K6/D6</f>
        <v>2.4443745454545453E-2</v>
      </c>
      <c r="AA6" s="48">
        <f>AVERAGE(X6:Z6)</f>
        <v>2.4144739393939393E-2</v>
      </c>
      <c r="AB6" s="163">
        <f>STDEV(X6:Z6)/SQRT(3)</f>
        <v>2.9900606060605933E-4</v>
      </c>
    </row>
    <row r="7" spans="1:28" x14ac:dyDescent="0.15">
      <c r="A7" s="25"/>
      <c r="B7" s="191"/>
      <c r="C7" s="43">
        <v>0.83333333333333337</v>
      </c>
      <c r="D7" s="44">
        <f>4.5+D6</f>
        <v>10</v>
      </c>
      <c r="E7" s="189"/>
      <c r="F7" s="46">
        <v>0.11899999999999999</v>
      </c>
      <c r="G7" s="47">
        <v>0.123</v>
      </c>
      <c r="H7" s="47">
        <v>0.127</v>
      </c>
      <c r="I7" s="47">
        <f t="shared" si="0"/>
        <v>0.14677460000000001</v>
      </c>
      <c r="J7" s="47">
        <f t="shared" si="0"/>
        <v>0.15170820000000002</v>
      </c>
      <c r="K7" s="47">
        <f t="shared" si="0"/>
        <v>0.1566418</v>
      </c>
      <c r="L7" s="48">
        <f t="shared" si="1"/>
        <v>0.15170820000000002</v>
      </c>
      <c r="M7" s="47">
        <f t="shared" si="2"/>
        <v>2.8484152880739358E-3</v>
      </c>
      <c r="N7" s="47">
        <f t="shared" si="3"/>
        <v>-1.9188572022953523</v>
      </c>
      <c r="O7" s="47">
        <f t="shared" si="3"/>
        <v>-1.8857963400344642</v>
      </c>
      <c r="P7" s="47">
        <f t="shared" si="3"/>
        <v>-1.8537936089482905</v>
      </c>
      <c r="Q7" s="48">
        <f t="shared" si="4"/>
        <v>-1.8861490504260356</v>
      </c>
      <c r="R7" s="47">
        <f t="shared" si="5"/>
        <v>1.8783069488888107E-2</v>
      </c>
      <c r="S7" s="47">
        <f t="shared" ref="S7:S24" si="6">(N7-N6)/(D7-D6)</f>
        <v>1.9505691307196878E-2</v>
      </c>
      <c r="T7" s="47">
        <f t="shared" ref="T7:T24" si="7">(O7-O6)/(D7-D6)</f>
        <v>3.5160890047754217E-2</v>
      </c>
      <c r="U7" s="47">
        <f t="shared" ref="U7:U24" si="8">(P7-P6)/(D7-D6)</f>
        <v>3.3964267606543946E-2</v>
      </c>
      <c r="V7" s="48">
        <f t="shared" ref="V7:V24" si="9">AVERAGE(S7:U7)</f>
        <v>2.9543616320498345E-2</v>
      </c>
      <c r="W7" s="47">
        <f t="shared" ref="W7:W24" si="10">STDEV(S7:U7)/SQRT(3)</f>
        <v>5.0308359227932056E-3</v>
      </c>
      <c r="X7" s="47">
        <f t="shared" ref="X7:X24" si="11">(I7/D7)</f>
        <v>1.467746E-2</v>
      </c>
      <c r="Y7" s="47">
        <f t="shared" ref="Y7:Y24" si="12">J7/D7</f>
        <v>1.5170820000000002E-2</v>
      </c>
      <c r="Z7" s="47">
        <f t="shared" ref="Z7:Z24" si="13">K7/D7</f>
        <v>1.566418E-2</v>
      </c>
      <c r="AA7" s="48">
        <f t="shared" ref="AA7:AA24" si="14">AVERAGE(X7:Z7)</f>
        <v>1.5170820000000002E-2</v>
      </c>
      <c r="AB7" s="163">
        <f t="shared" ref="AB7:AB24" si="15">STDEV(X7:Z7)/SQRT(3)</f>
        <v>2.8484152880739379E-4</v>
      </c>
    </row>
    <row r="8" spans="1:28" x14ac:dyDescent="0.15">
      <c r="A8" s="25"/>
      <c r="B8" s="190" t="s">
        <v>24</v>
      </c>
      <c r="C8" s="43">
        <v>0.41666666666666669</v>
      </c>
      <c r="D8" s="44">
        <f>12+2+D7</f>
        <v>24</v>
      </c>
      <c r="E8" s="189">
        <v>2</v>
      </c>
      <c r="F8" s="46">
        <v>0.14799999999999999</v>
      </c>
      <c r="G8" s="47">
        <v>0.16600000000000001</v>
      </c>
      <c r="H8" s="47">
        <v>0.159</v>
      </c>
      <c r="I8" s="47">
        <f t="shared" si="0"/>
        <v>0.18254319999999999</v>
      </c>
      <c r="J8" s="47">
        <f t="shared" si="0"/>
        <v>0.20474440000000002</v>
      </c>
      <c r="K8" s="47">
        <f t="shared" si="0"/>
        <v>0.19611060000000002</v>
      </c>
      <c r="L8" s="48">
        <f t="shared" si="1"/>
        <v>0.19446606666666666</v>
      </c>
      <c r="M8" s="47">
        <f t="shared" si="2"/>
        <v>6.4614675261206143E-3</v>
      </c>
      <c r="N8" s="47">
        <f t="shared" si="3"/>
        <v>-1.7007684216427668</v>
      </c>
      <c r="O8" s="47">
        <f t="shared" si="3"/>
        <v>-1.5859929070503382</v>
      </c>
      <c r="P8" s="47">
        <f t="shared" si="3"/>
        <v>-1.6290764931866499</v>
      </c>
      <c r="Q8" s="48">
        <f t="shared" si="4"/>
        <v>-1.6386126072932516</v>
      </c>
      <c r="R8" s="47">
        <f t="shared" si="5"/>
        <v>3.3474158150628125E-2</v>
      </c>
      <c r="S8" s="47">
        <f t="shared" si="6"/>
        <v>1.5577770046613251E-2</v>
      </c>
      <c r="T8" s="47">
        <f t="shared" si="7"/>
        <v>2.1414530927437565E-2</v>
      </c>
      <c r="U8" s="47">
        <f t="shared" si="8"/>
        <v>1.6051222554402896E-2</v>
      </c>
      <c r="V8" s="48">
        <f t="shared" si="9"/>
        <v>1.768117450948457E-2</v>
      </c>
      <c r="W8" s="47">
        <f t="shared" si="10"/>
        <v>1.8716750008914641E-3</v>
      </c>
      <c r="X8" s="47">
        <f t="shared" si="11"/>
        <v>7.6059666666666659E-3</v>
      </c>
      <c r="Y8" s="47">
        <f t="shared" si="12"/>
        <v>8.531016666666667E-3</v>
      </c>
      <c r="Z8" s="47">
        <f t="shared" si="13"/>
        <v>8.1712750000000004E-3</v>
      </c>
      <c r="AA8" s="48">
        <f t="shared" si="14"/>
        <v>8.1027527777777775E-3</v>
      </c>
      <c r="AB8" s="163">
        <f t="shared" si="15"/>
        <v>2.6922781358835882E-4</v>
      </c>
    </row>
    <row r="9" spans="1:28" x14ac:dyDescent="0.15">
      <c r="A9" s="25"/>
      <c r="B9" s="190"/>
      <c r="C9" s="43">
        <v>0.64583333333333337</v>
      </c>
      <c r="D9" s="44">
        <f>5.5+D8</f>
        <v>29.5</v>
      </c>
      <c r="E9" s="189"/>
      <c r="F9" s="46">
        <v>0.158</v>
      </c>
      <c r="G9" s="47">
        <v>0.16500000000000001</v>
      </c>
      <c r="H9" s="47">
        <v>0.17199999999999999</v>
      </c>
      <c r="I9" s="47">
        <f t="shared" si="0"/>
        <v>0.1948772</v>
      </c>
      <c r="J9" s="47">
        <f t="shared" si="0"/>
        <v>0.20351100000000003</v>
      </c>
      <c r="K9" s="47">
        <f t="shared" si="0"/>
        <v>0.21214479999999999</v>
      </c>
      <c r="L9" s="48">
        <f t="shared" si="1"/>
        <v>0.203511</v>
      </c>
      <c r="M9" s="47">
        <f t="shared" si="2"/>
        <v>4.9847267541293892E-3</v>
      </c>
      <c r="N9" s="47">
        <f t="shared" si="3"/>
        <v>-1.6353856623799148</v>
      </c>
      <c r="O9" s="47">
        <f t="shared" si="3"/>
        <v>-1.5920352215063009</v>
      </c>
      <c r="P9" s="47">
        <f t="shared" si="3"/>
        <v>-1.5504862185934287</v>
      </c>
      <c r="Q9" s="48">
        <f t="shared" si="4"/>
        <v>-1.5926357008265482</v>
      </c>
      <c r="R9" s="47">
        <f t="shared" si="5"/>
        <v>2.4510197336171533E-2</v>
      </c>
      <c r="S9" s="47">
        <f t="shared" si="6"/>
        <v>1.1887774411427632E-2</v>
      </c>
      <c r="T9" s="47">
        <f t="shared" si="7"/>
        <v>-1.0986026283568554E-3</v>
      </c>
      <c r="U9" s="47">
        <f t="shared" si="8"/>
        <v>1.428914083513113E-2</v>
      </c>
      <c r="V9" s="48">
        <f t="shared" si="9"/>
        <v>8.3594375394006343E-3</v>
      </c>
      <c r="W9" s="47">
        <f t="shared" si="10"/>
        <v>4.7795583141962772E-3</v>
      </c>
      <c r="X9" s="47">
        <f t="shared" si="11"/>
        <v>6.6060067796610174E-3</v>
      </c>
      <c r="Y9" s="47">
        <f t="shared" si="12"/>
        <v>6.8986779661016958E-3</v>
      </c>
      <c r="Z9" s="47">
        <f t="shared" si="13"/>
        <v>7.1913491525423725E-3</v>
      </c>
      <c r="AA9" s="48">
        <f t="shared" si="14"/>
        <v>6.8986779661016949E-3</v>
      </c>
      <c r="AB9" s="163">
        <f t="shared" si="15"/>
        <v>1.6897378827557234E-4</v>
      </c>
    </row>
    <row r="10" spans="1:28" x14ac:dyDescent="0.15">
      <c r="A10" s="25"/>
      <c r="B10" s="50" t="s">
        <v>25</v>
      </c>
      <c r="C10" s="43">
        <v>0.47916666666666669</v>
      </c>
      <c r="D10" s="44">
        <f>8+12+D9</f>
        <v>49.5</v>
      </c>
      <c r="E10" s="45">
        <v>3</v>
      </c>
      <c r="F10" s="46">
        <v>0.217</v>
      </c>
      <c r="G10" s="47">
        <v>0.22600000000000001</v>
      </c>
      <c r="H10" s="47">
        <v>0.23300000000000001</v>
      </c>
      <c r="I10" s="47">
        <f t="shared" si="0"/>
        <v>0.26764779999999999</v>
      </c>
      <c r="J10" s="47">
        <f t="shared" si="0"/>
        <v>0.27874840000000001</v>
      </c>
      <c r="K10" s="47">
        <f t="shared" si="0"/>
        <v>0.28738220000000003</v>
      </c>
      <c r="L10" s="48">
        <f t="shared" si="1"/>
        <v>0.27792613333333333</v>
      </c>
      <c r="M10" s="47">
        <f t="shared" si="2"/>
        <v>5.7116468055291416E-3</v>
      </c>
      <c r="N10" s="47">
        <f t="shared" si="3"/>
        <v>-1.3180833418664222</v>
      </c>
      <c r="O10" s="47">
        <f t="shared" si="3"/>
        <v>-1.2774456961345957</v>
      </c>
      <c r="P10" s="47">
        <f t="shared" si="3"/>
        <v>-1.2469422418411811</v>
      </c>
      <c r="Q10" s="48">
        <f t="shared" si="4"/>
        <v>-1.2808237599473997</v>
      </c>
      <c r="R10" s="47">
        <f t="shared" si="5"/>
        <v>2.0606006523526673E-2</v>
      </c>
      <c r="S10" s="47">
        <f t="shared" si="6"/>
        <v>1.5865116025674631E-2</v>
      </c>
      <c r="T10" s="47">
        <f t="shared" si="7"/>
        <v>1.5729476268585264E-2</v>
      </c>
      <c r="U10" s="47">
        <f t="shared" si="8"/>
        <v>1.5177198837612382E-2</v>
      </c>
      <c r="V10" s="48">
        <f t="shared" si="9"/>
        <v>1.5590597043957427E-2</v>
      </c>
      <c r="W10" s="47">
        <f t="shared" si="10"/>
        <v>2.1037513611228741E-4</v>
      </c>
      <c r="X10" s="47">
        <f t="shared" si="11"/>
        <v>5.4070262626262624E-3</v>
      </c>
      <c r="Y10" s="47">
        <f t="shared" si="12"/>
        <v>5.6312808080808087E-3</v>
      </c>
      <c r="Z10" s="47">
        <f t="shared" si="13"/>
        <v>5.8057010101010111E-3</v>
      </c>
      <c r="AA10" s="48">
        <f t="shared" si="14"/>
        <v>5.6146693602693613E-3</v>
      </c>
      <c r="AB10" s="163">
        <f t="shared" si="15"/>
        <v>1.1538680415210398E-4</v>
      </c>
    </row>
    <row r="11" spans="1:28" x14ac:dyDescent="0.15">
      <c r="A11" s="25"/>
      <c r="B11" s="50" t="s">
        <v>26</v>
      </c>
      <c r="C11" s="43">
        <v>0.47916666666666669</v>
      </c>
      <c r="D11" s="44">
        <f>24+D10</f>
        <v>73.5</v>
      </c>
      <c r="E11" s="45">
        <v>4</v>
      </c>
      <c r="F11" s="46">
        <v>0.29199999999999998</v>
      </c>
      <c r="G11" s="47">
        <v>0.30199999999999999</v>
      </c>
      <c r="H11" s="47">
        <v>0.3</v>
      </c>
      <c r="I11" s="47">
        <f t="shared" si="0"/>
        <v>0.3601528</v>
      </c>
      <c r="J11" s="47">
        <f t="shared" si="0"/>
        <v>0.37248680000000001</v>
      </c>
      <c r="K11" s="47">
        <f t="shared" si="0"/>
        <v>0.37002000000000002</v>
      </c>
      <c r="L11" s="48">
        <f t="shared" si="1"/>
        <v>0.36755319999999997</v>
      </c>
      <c r="M11" s="47">
        <f t="shared" si="2"/>
        <v>3.7680992414390268E-3</v>
      </c>
      <c r="N11" s="47">
        <f t="shared" si="3"/>
        <v>-1.0212268931385999</v>
      </c>
      <c r="O11" s="47">
        <f t="shared" si="3"/>
        <v>-0.98755367803201199</v>
      </c>
      <c r="P11" s="47">
        <f t="shared" si="3"/>
        <v>-0.99419822075068054</v>
      </c>
      <c r="Q11" s="48">
        <f t="shared" si="4"/>
        <v>-1.0009929306404308</v>
      </c>
      <c r="R11" s="47">
        <f t="shared" si="5"/>
        <v>1.0297206996204332E-2</v>
      </c>
      <c r="S11" s="47">
        <f t="shared" si="6"/>
        <v>1.2369018696992593E-2</v>
      </c>
      <c r="T11" s="47">
        <f t="shared" si="7"/>
        <v>1.2078834087607654E-2</v>
      </c>
      <c r="U11" s="47">
        <f t="shared" si="8"/>
        <v>1.0531000878770855E-2</v>
      </c>
      <c r="V11" s="48">
        <f t="shared" si="9"/>
        <v>1.1659617887790366E-2</v>
      </c>
      <c r="W11" s="47">
        <f t="shared" si="10"/>
        <v>5.7049219733696765E-4</v>
      </c>
      <c r="X11" s="47">
        <f t="shared" si="11"/>
        <v>4.900038095238095E-3</v>
      </c>
      <c r="Y11" s="47">
        <f t="shared" si="12"/>
        <v>5.067847619047619E-3</v>
      </c>
      <c r="Z11" s="47">
        <f t="shared" si="13"/>
        <v>5.0342857142857142E-3</v>
      </c>
      <c r="AA11" s="48">
        <f t="shared" si="14"/>
        <v>5.0007238095238086E-3</v>
      </c>
      <c r="AB11" s="163">
        <f t="shared" si="15"/>
        <v>5.1266656346109217E-5</v>
      </c>
    </row>
    <row r="12" spans="1:28" x14ac:dyDescent="0.15">
      <c r="A12" s="25"/>
      <c r="B12" s="50" t="s">
        <v>27</v>
      </c>
      <c r="C12" s="43">
        <v>0.41666666666666669</v>
      </c>
      <c r="D12" s="44">
        <f>22.5+D11</f>
        <v>96</v>
      </c>
      <c r="E12" s="45">
        <v>5</v>
      </c>
      <c r="F12" s="46">
        <v>0.34200000000000003</v>
      </c>
      <c r="G12" s="47">
        <v>0.38200000000000001</v>
      </c>
      <c r="H12" s="47">
        <v>0.377</v>
      </c>
      <c r="I12" s="47">
        <f t="shared" si="0"/>
        <v>0.42182280000000005</v>
      </c>
      <c r="J12" s="47">
        <f t="shared" si="0"/>
        <v>0.47115880000000004</v>
      </c>
      <c r="K12" s="47">
        <f t="shared" si="0"/>
        <v>0.46499180000000001</v>
      </c>
      <c r="L12" s="48">
        <f t="shared" si="1"/>
        <v>0.45265780000000005</v>
      </c>
      <c r="M12" s="47">
        <f t="shared" si="2"/>
        <v>1.5519942987438232E-2</v>
      </c>
      <c r="N12" s="47">
        <f t="shared" si="3"/>
        <v>-0.86316995834427634</v>
      </c>
      <c r="O12" s="47">
        <f t="shared" si="3"/>
        <v>-0.75256008680030639</v>
      </c>
      <c r="P12" s="47">
        <f t="shared" si="3"/>
        <v>-0.76573550795887091</v>
      </c>
      <c r="Q12" s="48">
        <f t="shared" si="4"/>
        <v>-0.79382185103448455</v>
      </c>
      <c r="R12" s="47">
        <f t="shared" si="5"/>
        <v>3.4882029381254884E-2</v>
      </c>
      <c r="S12" s="47">
        <f t="shared" si="6"/>
        <v>7.0247526575254928E-3</v>
      </c>
      <c r="T12" s="47">
        <f t="shared" si="7"/>
        <v>1.0444159610298027E-2</v>
      </c>
      <c r="U12" s="47">
        <f t="shared" si="8"/>
        <v>1.0153898346302649E-2</v>
      </c>
      <c r="V12" s="48">
        <f t="shared" si="9"/>
        <v>9.2076035380420571E-3</v>
      </c>
      <c r="W12" s="47">
        <f t="shared" si="10"/>
        <v>1.0946371355039688E-3</v>
      </c>
      <c r="X12" s="47">
        <f t="shared" si="11"/>
        <v>4.3939875000000008E-3</v>
      </c>
      <c r="Y12" s="47">
        <f t="shared" si="12"/>
        <v>4.9079041666666668E-3</v>
      </c>
      <c r="Z12" s="47">
        <f t="shared" si="13"/>
        <v>4.8436645833333332E-3</v>
      </c>
      <c r="AA12" s="48">
        <f t="shared" si="14"/>
        <v>4.7151854166666667E-3</v>
      </c>
      <c r="AB12" s="163">
        <f t="shared" si="15"/>
        <v>1.6166607278581474E-4</v>
      </c>
    </row>
    <row r="13" spans="1:28" x14ac:dyDescent="0.15">
      <c r="A13" s="25"/>
      <c r="B13" s="50" t="s">
        <v>28</v>
      </c>
      <c r="C13" s="43">
        <v>0.41666666666666669</v>
      </c>
      <c r="D13" s="44">
        <f>24+D12</f>
        <v>120</v>
      </c>
      <c r="E13" s="45">
        <v>6</v>
      </c>
      <c r="F13" s="46">
        <v>0.42299999999999999</v>
      </c>
      <c r="G13" s="47">
        <v>0.42599999999999999</v>
      </c>
      <c r="H13" s="47">
        <v>0.44</v>
      </c>
      <c r="I13" s="47">
        <f t="shared" si="0"/>
        <v>0.52172819999999998</v>
      </c>
      <c r="J13" s="47">
        <f t="shared" si="0"/>
        <v>0.52542840000000002</v>
      </c>
      <c r="K13" s="47">
        <f t="shared" si="0"/>
        <v>0.54269600000000007</v>
      </c>
      <c r="L13" s="48">
        <f t="shared" si="1"/>
        <v>0.52995086666666669</v>
      </c>
      <c r="M13" s="47">
        <f t="shared" si="2"/>
        <v>6.4614675261206291E-3</v>
      </c>
      <c r="N13" s="47">
        <f t="shared" si="3"/>
        <v>-0.65060851636060379</v>
      </c>
      <c r="O13" s="47">
        <f t="shared" si="3"/>
        <v>-0.64354134913751126</v>
      </c>
      <c r="P13" s="47">
        <f t="shared" si="3"/>
        <v>-0.61120596849457465</v>
      </c>
      <c r="Q13" s="48">
        <f t="shared" si="4"/>
        <v>-0.63511861133089653</v>
      </c>
      <c r="R13" s="47">
        <f t="shared" si="5"/>
        <v>1.2129125809429575E-2</v>
      </c>
      <c r="S13" s="47">
        <f t="shared" si="6"/>
        <v>8.8567267493196902E-3</v>
      </c>
      <c r="T13" s="47">
        <f t="shared" si="7"/>
        <v>4.5424474026164634E-3</v>
      </c>
      <c r="U13" s="47">
        <f t="shared" si="8"/>
        <v>6.4387308110123442E-3</v>
      </c>
      <c r="V13" s="48">
        <f t="shared" si="9"/>
        <v>6.6126349876494996E-3</v>
      </c>
      <c r="W13" s="47">
        <f t="shared" si="10"/>
        <v>1.2484568564613931E-3</v>
      </c>
      <c r="X13" s="47">
        <f t="shared" si="11"/>
        <v>4.3477350000000001E-3</v>
      </c>
      <c r="Y13" s="47">
        <f t="shared" si="12"/>
        <v>4.37857E-3</v>
      </c>
      <c r="Z13" s="47">
        <f t="shared" si="13"/>
        <v>4.5224666666666673E-3</v>
      </c>
      <c r="AA13" s="48">
        <f t="shared" si="14"/>
        <v>4.4162572222222222E-3</v>
      </c>
      <c r="AB13" s="163">
        <f t="shared" si="15"/>
        <v>5.3845562717671881E-5</v>
      </c>
    </row>
    <row r="14" spans="1:28" x14ac:dyDescent="0.15">
      <c r="A14" s="25"/>
      <c r="B14" s="50" t="s">
        <v>29</v>
      </c>
      <c r="C14" s="43">
        <v>0.41666666666666669</v>
      </c>
      <c r="D14" s="44">
        <f>24+D13</f>
        <v>144</v>
      </c>
      <c r="E14" s="45">
        <v>7</v>
      </c>
      <c r="F14" s="46">
        <v>0.49199999999999999</v>
      </c>
      <c r="G14" s="47">
        <v>0.51900000000000002</v>
      </c>
      <c r="H14" s="47">
        <v>0.53700000000000003</v>
      </c>
      <c r="I14" s="47">
        <f t="shared" si="0"/>
        <v>0.60683280000000006</v>
      </c>
      <c r="J14" s="47">
        <f t="shared" si="0"/>
        <v>0.6401346</v>
      </c>
      <c r="K14" s="47">
        <f t="shared" si="0"/>
        <v>0.66233580000000003</v>
      </c>
      <c r="L14" s="48">
        <f t="shared" si="1"/>
        <v>0.63643440000000007</v>
      </c>
      <c r="M14" s="47">
        <f t="shared" si="2"/>
        <v>1.6128797870889191E-2</v>
      </c>
      <c r="N14" s="47">
        <f t="shared" si="3"/>
        <v>-0.49950197891457343</v>
      </c>
      <c r="O14" s="47">
        <f t="shared" si="3"/>
        <v>-0.44607681224099305</v>
      </c>
      <c r="P14" s="47">
        <f t="shared" si="3"/>
        <v>-0.41198260089801692</v>
      </c>
      <c r="Q14" s="48">
        <f t="shared" si="4"/>
        <v>-0.45252046401786111</v>
      </c>
      <c r="R14" s="47">
        <f t="shared" si="5"/>
        <v>2.5469268202203878E-2</v>
      </c>
      <c r="S14" s="47">
        <f t="shared" si="6"/>
        <v>6.2961057269179319E-3</v>
      </c>
      <c r="T14" s="47">
        <f t="shared" si="7"/>
        <v>8.2276890373549263E-3</v>
      </c>
      <c r="U14" s="47">
        <f t="shared" si="8"/>
        <v>8.3009736498565728E-3</v>
      </c>
      <c r="V14" s="48">
        <f t="shared" si="9"/>
        <v>7.6082561380431436E-3</v>
      </c>
      <c r="W14" s="47">
        <f t="shared" si="10"/>
        <v>6.5641620045756184E-4</v>
      </c>
      <c r="X14" s="47">
        <f t="shared" si="11"/>
        <v>4.2141166666666667E-3</v>
      </c>
      <c r="Y14" s="47">
        <f t="shared" si="12"/>
        <v>4.4453791666666667E-3</v>
      </c>
      <c r="Z14" s="47">
        <f t="shared" si="13"/>
        <v>4.5995541666666671E-3</v>
      </c>
      <c r="AA14" s="48">
        <f t="shared" si="14"/>
        <v>4.4196833333333329E-3</v>
      </c>
      <c r="AB14" s="163">
        <f t="shared" si="15"/>
        <v>1.1200554077006399E-4</v>
      </c>
    </row>
    <row r="15" spans="1:28" x14ac:dyDescent="0.15">
      <c r="A15" s="25"/>
      <c r="B15" s="50" t="s">
        <v>30</v>
      </c>
      <c r="C15" s="43">
        <v>0.41666666666666669</v>
      </c>
      <c r="D15" s="44">
        <f>24+D14</f>
        <v>168</v>
      </c>
      <c r="E15" s="45">
        <v>8</v>
      </c>
      <c r="F15" s="46">
        <v>0.57699999999999996</v>
      </c>
      <c r="G15" s="47">
        <v>0.57299999999999995</v>
      </c>
      <c r="H15" s="47">
        <v>0.59899999999999998</v>
      </c>
      <c r="I15" s="47">
        <f t="shared" si="0"/>
        <v>0.71167179999999997</v>
      </c>
      <c r="J15" s="47">
        <f t="shared" si="0"/>
        <v>0.70673819999999998</v>
      </c>
      <c r="K15" s="47">
        <f t="shared" si="0"/>
        <v>0.73880659999999998</v>
      </c>
      <c r="L15" s="48">
        <f t="shared" si="1"/>
        <v>0.71907219999999994</v>
      </c>
      <c r="M15" s="47">
        <f t="shared" si="2"/>
        <v>9.9694535082587837E-3</v>
      </c>
      <c r="N15" s="47">
        <f t="shared" si="3"/>
        <v>-0.34013842889878215</v>
      </c>
      <c r="O15" s="47">
        <f t="shared" si="3"/>
        <v>-0.34709497869214212</v>
      </c>
      <c r="P15" s="47">
        <f t="shared" si="3"/>
        <v>-0.30271909729143237</v>
      </c>
      <c r="Q15" s="48">
        <f t="shared" si="4"/>
        <v>-0.32998416829411892</v>
      </c>
      <c r="R15" s="47">
        <f t="shared" si="5"/>
        <v>1.3779652497348241E-2</v>
      </c>
      <c r="S15" s="47">
        <f t="shared" si="6"/>
        <v>6.6401479173246363E-3</v>
      </c>
      <c r="T15" s="47">
        <f t="shared" si="7"/>
        <v>4.1242430645354556E-3</v>
      </c>
      <c r="U15" s="47">
        <f t="shared" si="8"/>
        <v>4.5526459836076894E-3</v>
      </c>
      <c r="V15" s="48">
        <f t="shared" si="9"/>
        <v>5.1056789884892607E-3</v>
      </c>
      <c r="W15" s="47">
        <f t="shared" si="10"/>
        <v>7.7713757585948977E-4</v>
      </c>
      <c r="X15" s="47">
        <f t="shared" si="11"/>
        <v>4.2361416666666669E-3</v>
      </c>
      <c r="Y15" s="47">
        <f t="shared" si="12"/>
        <v>4.2067750000000003E-3</v>
      </c>
      <c r="Z15" s="47">
        <f t="shared" si="13"/>
        <v>4.3976583333333336E-3</v>
      </c>
      <c r="AA15" s="48">
        <f t="shared" si="14"/>
        <v>4.2801916666666672E-3</v>
      </c>
      <c r="AB15" s="163">
        <f t="shared" si="15"/>
        <v>5.9341985168207056E-5</v>
      </c>
    </row>
    <row r="16" spans="1:28" x14ac:dyDescent="0.15">
      <c r="A16" s="25"/>
      <c r="B16" s="50" t="s">
        <v>31</v>
      </c>
      <c r="C16" s="43">
        <v>0.41666666666666669</v>
      </c>
      <c r="D16" s="44">
        <f>24+D15</f>
        <v>192</v>
      </c>
      <c r="E16" s="45">
        <v>9</v>
      </c>
      <c r="F16" s="46">
        <v>0.68500000000000005</v>
      </c>
      <c r="G16" s="47">
        <v>0.67400000000000004</v>
      </c>
      <c r="H16" s="47">
        <v>0.67500000000000004</v>
      </c>
      <c r="I16" s="47">
        <f t="shared" si="0"/>
        <v>0.84487900000000005</v>
      </c>
      <c r="J16" s="47">
        <f t="shared" si="0"/>
        <v>0.83131160000000004</v>
      </c>
      <c r="K16" s="47">
        <f t="shared" si="0"/>
        <v>0.83254500000000009</v>
      </c>
      <c r="L16" s="48">
        <f t="shared" si="1"/>
        <v>0.83624520000000002</v>
      </c>
      <c r="M16" s="47">
        <f t="shared" si="2"/>
        <v>4.3315584462561849E-3</v>
      </c>
      <c r="N16" s="47">
        <f t="shared" si="3"/>
        <v>-0.16856185714465632</v>
      </c>
      <c r="O16" s="47">
        <f t="shared" si="3"/>
        <v>-0.18475058449457457</v>
      </c>
      <c r="P16" s="47">
        <f t="shared" si="3"/>
        <v>-0.18326800453435174</v>
      </c>
      <c r="Q16" s="48">
        <f t="shared" si="4"/>
        <v>-0.17886014872452757</v>
      </c>
      <c r="R16" s="47">
        <f t="shared" si="5"/>
        <v>5.1669016483978239E-3</v>
      </c>
      <c r="S16" s="47">
        <f t="shared" si="6"/>
        <v>7.1490238230885765E-3</v>
      </c>
      <c r="T16" s="47">
        <f t="shared" si="7"/>
        <v>6.7643497582319809E-3</v>
      </c>
      <c r="U16" s="47">
        <f t="shared" si="8"/>
        <v>4.9771288648783598E-3</v>
      </c>
      <c r="V16" s="48">
        <f t="shared" si="9"/>
        <v>6.2968341487329724E-3</v>
      </c>
      <c r="W16" s="47">
        <f t="shared" si="10"/>
        <v>6.691312928513262E-4</v>
      </c>
      <c r="X16" s="47">
        <f t="shared" si="11"/>
        <v>4.4004114583333339E-3</v>
      </c>
      <c r="Y16" s="47">
        <f t="shared" si="12"/>
        <v>4.3297479166666672E-3</v>
      </c>
      <c r="Z16" s="47">
        <f t="shared" si="13"/>
        <v>4.3361718750000002E-3</v>
      </c>
      <c r="AA16" s="48">
        <f t="shared" si="14"/>
        <v>4.3554437500000001E-3</v>
      </c>
      <c r="AB16" s="163">
        <f t="shared" si="15"/>
        <v>2.256020024091771E-5</v>
      </c>
    </row>
    <row r="17" spans="1:32" x14ac:dyDescent="0.15">
      <c r="A17" s="25"/>
      <c r="B17" s="50" t="s">
        <v>32</v>
      </c>
      <c r="C17" s="43">
        <v>0.41666666666666669</v>
      </c>
      <c r="D17" s="44">
        <f>24+D16</f>
        <v>216</v>
      </c>
      <c r="E17" s="45">
        <v>10</v>
      </c>
      <c r="F17" s="46">
        <v>0.75900000000000001</v>
      </c>
      <c r="G17" s="47">
        <v>0.73199999999999998</v>
      </c>
      <c r="H17" s="47">
        <v>0.78900000000000003</v>
      </c>
      <c r="I17" s="47">
        <f t="shared" si="0"/>
        <v>0.93615060000000005</v>
      </c>
      <c r="J17" s="47">
        <f t="shared" si="0"/>
        <v>0.90284880000000001</v>
      </c>
      <c r="K17" s="47">
        <f t="shared" si="0"/>
        <v>0.97315260000000003</v>
      </c>
      <c r="L17" s="48">
        <f t="shared" si="1"/>
        <v>0.93738400000000011</v>
      </c>
      <c r="M17" s="47">
        <f t="shared" si="2"/>
        <v>2.0304326552732559E-2</v>
      </c>
      <c r="N17" s="47">
        <f t="shared" si="3"/>
        <v>-6.5978918011251678E-2</v>
      </c>
      <c r="O17" s="47">
        <f t="shared" si="3"/>
        <v>-0.1022001814455701</v>
      </c>
      <c r="P17" s="47">
        <f t="shared" si="3"/>
        <v>-2.7214374561007386E-2</v>
      </c>
      <c r="Q17" s="48">
        <f t="shared" si="4"/>
        <v>-6.513115800594306E-2</v>
      </c>
      <c r="R17" s="47">
        <f t="shared" si="5"/>
        <v>2.1650687681935826E-2</v>
      </c>
      <c r="S17" s="47">
        <f t="shared" si="6"/>
        <v>4.2742891305585272E-3</v>
      </c>
      <c r="T17" s="47">
        <f t="shared" si="7"/>
        <v>3.4396001270418533E-3</v>
      </c>
      <c r="U17" s="47">
        <f t="shared" si="8"/>
        <v>6.5022345822226815E-3</v>
      </c>
      <c r="V17" s="48">
        <f t="shared" si="9"/>
        <v>4.7387079466076872E-3</v>
      </c>
      <c r="W17" s="47">
        <f t="shared" si="10"/>
        <v>9.1409264283232787E-4</v>
      </c>
      <c r="X17" s="47">
        <f t="shared" si="11"/>
        <v>4.3340305555555556E-3</v>
      </c>
      <c r="Y17" s="47">
        <f t="shared" si="12"/>
        <v>4.1798555555555552E-3</v>
      </c>
      <c r="Z17" s="47">
        <f t="shared" si="13"/>
        <v>4.5053361111111112E-3</v>
      </c>
      <c r="AA17" s="48">
        <f t="shared" si="14"/>
        <v>4.3397407407407412E-3</v>
      </c>
      <c r="AB17" s="163">
        <f t="shared" si="15"/>
        <v>9.4001511818206357E-5</v>
      </c>
    </row>
    <row r="18" spans="1:32" x14ac:dyDescent="0.15">
      <c r="A18" s="25"/>
      <c r="B18" s="50" t="s">
        <v>33</v>
      </c>
      <c r="C18" s="43">
        <v>0.41666666666666669</v>
      </c>
      <c r="D18" s="44">
        <f>48+D17</f>
        <v>264</v>
      </c>
      <c r="E18" s="45">
        <v>12</v>
      </c>
      <c r="F18" s="46">
        <f>2*0.424</f>
        <v>0.84799999999999998</v>
      </c>
      <c r="G18" s="47">
        <v>0.86599999999999999</v>
      </c>
      <c r="H18" s="47">
        <v>0.92200000000000004</v>
      </c>
      <c r="I18" s="47">
        <f t="shared" si="0"/>
        <v>1.0459232000000001</v>
      </c>
      <c r="J18" s="47">
        <f t="shared" si="0"/>
        <v>1.0681244000000001</v>
      </c>
      <c r="K18" s="47">
        <f t="shared" si="0"/>
        <v>1.1371948000000001</v>
      </c>
      <c r="L18" s="48">
        <f t="shared" si="1"/>
        <v>1.0837474666666667</v>
      </c>
      <c r="M18" s="47">
        <f t="shared" si="2"/>
        <v>2.7481426459176228E-2</v>
      </c>
      <c r="N18" s="47">
        <f t="shared" si="3"/>
        <v>4.4899940385021458E-2</v>
      </c>
      <c r="O18" s="47">
        <f t="shared" si="3"/>
        <v>6.5904213155553573E-2</v>
      </c>
      <c r="P18" s="47">
        <f t="shared" si="3"/>
        <v>0.12856452814971223</v>
      </c>
      <c r="Q18" s="48">
        <f t="shared" si="4"/>
        <v>7.9789560563429077E-2</v>
      </c>
      <c r="R18" s="47">
        <f t="shared" si="5"/>
        <v>2.5129948706254564E-2</v>
      </c>
      <c r="S18" s="47">
        <f t="shared" si="6"/>
        <v>2.3099762165890237E-3</v>
      </c>
      <c r="T18" s="47">
        <f t="shared" si="7"/>
        <v>3.5021748875234096E-3</v>
      </c>
      <c r="U18" s="47">
        <f t="shared" si="8"/>
        <v>3.2453938064733252E-3</v>
      </c>
      <c r="V18" s="48">
        <f t="shared" si="9"/>
        <v>3.0191816368619197E-3</v>
      </c>
      <c r="W18" s="47">
        <f t="shared" si="10"/>
        <v>3.6226757008443983E-4</v>
      </c>
      <c r="X18" s="47">
        <f t="shared" si="11"/>
        <v>3.9618303030303035E-3</v>
      </c>
      <c r="Y18" s="47">
        <f t="shared" si="12"/>
        <v>4.0459257575757579E-3</v>
      </c>
      <c r="Z18" s="47">
        <f t="shared" si="13"/>
        <v>4.3075560606060607E-3</v>
      </c>
      <c r="AA18" s="48">
        <f t="shared" si="14"/>
        <v>4.1051040404040404E-3</v>
      </c>
      <c r="AB18" s="163">
        <f t="shared" si="15"/>
        <v>1.0409631234536438E-4</v>
      </c>
    </row>
    <row r="19" spans="1:32" x14ac:dyDescent="0.15">
      <c r="A19" s="25"/>
      <c r="B19" s="50" t="s">
        <v>34</v>
      </c>
      <c r="C19" s="43">
        <v>0.41666666666666669</v>
      </c>
      <c r="D19" s="44">
        <f>24+D18</f>
        <v>288</v>
      </c>
      <c r="E19" s="45">
        <v>13</v>
      </c>
      <c r="F19" s="46">
        <v>0.96499999999999997</v>
      </c>
      <c r="G19" s="47">
        <v>0.94799999999999995</v>
      </c>
      <c r="H19" s="47">
        <v>0.99299999999999999</v>
      </c>
      <c r="I19" s="47">
        <f t="shared" si="0"/>
        <v>1.190231</v>
      </c>
      <c r="J19" s="47">
        <f t="shared" si="0"/>
        <v>1.1692632000000001</v>
      </c>
      <c r="K19" s="47">
        <f t="shared" si="0"/>
        <v>1.2247662000000001</v>
      </c>
      <c r="L19" s="48">
        <f t="shared" si="1"/>
        <v>1.1947534666666668</v>
      </c>
      <c r="M19" s="47">
        <f t="shared" si="2"/>
        <v>1.6181113278689405E-2</v>
      </c>
      <c r="N19" s="47">
        <f t="shared" si="3"/>
        <v>0.17414740593210429</v>
      </c>
      <c r="O19" s="47">
        <f t="shared" si="3"/>
        <v>0.1563738068481402</v>
      </c>
      <c r="P19" s="47">
        <f t="shared" si="3"/>
        <v>0.20274996863829103</v>
      </c>
      <c r="Q19" s="48">
        <f t="shared" si="4"/>
        <v>0.1777570604728452</v>
      </c>
      <c r="R19" s="47">
        <f t="shared" si="5"/>
        <v>1.3508753952211535E-2</v>
      </c>
      <c r="S19" s="47">
        <f t="shared" si="6"/>
        <v>5.3853110644617843E-3</v>
      </c>
      <c r="T19" s="47">
        <f t="shared" si="7"/>
        <v>3.769566403857776E-3</v>
      </c>
      <c r="U19" s="47">
        <f t="shared" si="8"/>
        <v>3.0910600203574502E-3</v>
      </c>
      <c r="V19" s="48">
        <f t="shared" si="9"/>
        <v>4.0819791628923371E-3</v>
      </c>
      <c r="W19" s="47">
        <f t="shared" si="10"/>
        <v>6.8046510132142878E-4</v>
      </c>
      <c r="X19" s="47">
        <f t="shared" si="11"/>
        <v>4.1327465277777777E-3</v>
      </c>
      <c r="Y19" s="47">
        <f t="shared" si="12"/>
        <v>4.0599416666666673E-3</v>
      </c>
      <c r="Z19" s="47">
        <f t="shared" si="13"/>
        <v>4.2526604166666674E-3</v>
      </c>
      <c r="AA19" s="48">
        <f t="shared" si="14"/>
        <v>4.1484495370370375E-3</v>
      </c>
      <c r="AB19" s="163">
        <f t="shared" si="15"/>
        <v>5.6184421106560432E-5</v>
      </c>
    </row>
    <row r="20" spans="1:32" x14ac:dyDescent="0.15">
      <c r="A20" s="25"/>
      <c r="B20" s="50" t="s">
        <v>35</v>
      </c>
      <c r="C20" s="43">
        <v>0.41666666666666669</v>
      </c>
      <c r="D20" s="44">
        <f>24+D19</f>
        <v>312</v>
      </c>
      <c r="E20" s="45">
        <v>14</v>
      </c>
      <c r="F20" s="46">
        <v>1.04</v>
      </c>
      <c r="G20" s="47">
        <v>1.0329999999999999</v>
      </c>
      <c r="H20" s="47">
        <v>1.0549999999999999</v>
      </c>
      <c r="I20" s="47">
        <f t="shared" si="0"/>
        <v>1.2827360000000001</v>
      </c>
      <c r="J20" s="47">
        <f t="shared" si="0"/>
        <v>1.2741022</v>
      </c>
      <c r="K20" s="47">
        <f t="shared" si="0"/>
        <v>1.301237</v>
      </c>
      <c r="L20" s="48">
        <f t="shared" si="1"/>
        <v>1.2860250666666666</v>
      </c>
      <c r="M20" s="47">
        <f t="shared" si="2"/>
        <v>8.0039118022238176E-3</v>
      </c>
      <c r="N20" s="47">
        <f t="shared" si="3"/>
        <v>0.24899529672853676</v>
      </c>
      <c r="O20" s="47">
        <f t="shared" si="3"/>
        <v>0.24224177371275685</v>
      </c>
      <c r="P20" s="47">
        <f t="shared" si="3"/>
        <v>0.26331535050328519</v>
      </c>
      <c r="Q20" s="48">
        <f t="shared" si="4"/>
        <v>0.25151747364819294</v>
      </c>
      <c r="R20" s="47">
        <f t="shared" si="5"/>
        <v>6.2127541395935E-3</v>
      </c>
      <c r="S20" s="47">
        <f t="shared" si="6"/>
        <v>3.11866211651802E-3</v>
      </c>
      <c r="T20" s="47">
        <f t="shared" si="7"/>
        <v>3.5778319526923604E-3</v>
      </c>
      <c r="U20" s="47">
        <f t="shared" si="8"/>
        <v>2.5235575777080902E-3</v>
      </c>
      <c r="V20" s="48">
        <f t="shared" si="9"/>
        <v>3.0733505489728232E-3</v>
      </c>
      <c r="W20" s="47">
        <f t="shared" si="10"/>
        <v>3.0518489917434784E-4</v>
      </c>
      <c r="X20" s="47">
        <f t="shared" si="11"/>
        <v>4.111333333333334E-3</v>
      </c>
      <c r="Y20" s="47">
        <f t="shared" si="12"/>
        <v>4.0836608974358975E-3</v>
      </c>
      <c r="Z20" s="47">
        <f t="shared" si="13"/>
        <v>4.1706314102564106E-3</v>
      </c>
      <c r="AA20" s="48">
        <f t="shared" si="14"/>
        <v>4.1218752136752135E-3</v>
      </c>
      <c r="AB20" s="163">
        <f t="shared" si="15"/>
        <v>2.5653563468666132E-5</v>
      </c>
    </row>
    <row r="21" spans="1:32" x14ac:dyDescent="0.15">
      <c r="A21" s="25"/>
      <c r="B21" s="51" t="s">
        <v>36</v>
      </c>
      <c r="C21" s="43">
        <v>0.41666666666666669</v>
      </c>
      <c r="D21" s="44">
        <f>24+D20</f>
        <v>336</v>
      </c>
      <c r="E21" s="45">
        <v>15</v>
      </c>
      <c r="F21" s="46">
        <v>1.0569999999999999</v>
      </c>
      <c r="G21" s="47">
        <v>1.0569999999999999</v>
      </c>
      <c r="H21" s="47">
        <v>1.129</v>
      </c>
      <c r="I21" s="47">
        <f t="shared" si="0"/>
        <v>1.3037038000000001</v>
      </c>
      <c r="J21" s="47">
        <f t="shared" si="0"/>
        <v>1.3037038000000001</v>
      </c>
      <c r="K21" s="47">
        <f t="shared" si="0"/>
        <v>1.3925086</v>
      </c>
      <c r="L21" s="48">
        <f t="shared" si="1"/>
        <v>1.3333054000000002</v>
      </c>
      <c r="M21" s="47">
        <f t="shared" si="2"/>
        <v>2.9601599999999971E-2</v>
      </c>
      <c r="N21" s="47">
        <f t="shared" si="3"/>
        <v>0.26520929046335601</v>
      </c>
      <c r="O21" s="47">
        <f t="shared" si="3"/>
        <v>0.26520929046335601</v>
      </c>
      <c r="P21" s="47">
        <f t="shared" si="3"/>
        <v>0.33110686874278034</v>
      </c>
      <c r="Q21" s="48">
        <f t="shared" si="4"/>
        <v>0.28717514988983078</v>
      </c>
      <c r="R21" s="47">
        <f t="shared" si="5"/>
        <v>2.1965859426474579E-2</v>
      </c>
      <c r="S21" s="47">
        <f t="shared" si="6"/>
        <v>6.7558307228413517E-4</v>
      </c>
      <c r="T21" s="47">
        <f t="shared" si="7"/>
        <v>9.5697986460829831E-4</v>
      </c>
      <c r="U21" s="47">
        <f t="shared" si="8"/>
        <v>2.8246465933122974E-3</v>
      </c>
      <c r="V21" s="48">
        <f t="shared" si="9"/>
        <v>1.4857365100682436E-3</v>
      </c>
      <c r="W21" s="47">
        <f t="shared" si="10"/>
        <v>6.743654293586012E-4</v>
      </c>
      <c r="X21" s="47">
        <f t="shared" si="11"/>
        <v>3.8800708333333335E-3</v>
      </c>
      <c r="Y21" s="47">
        <f t="shared" si="12"/>
        <v>3.8800708333333335E-3</v>
      </c>
      <c r="Z21" s="47">
        <f t="shared" si="13"/>
        <v>4.1443708333333334E-3</v>
      </c>
      <c r="AA21" s="48">
        <f t="shared" si="14"/>
        <v>3.9681708333333338E-3</v>
      </c>
      <c r="AB21" s="163">
        <f t="shared" si="15"/>
        <v>8.8099999999999973E-5</v>
      </c>
    </row>
    <row r="22" spans="1:32" x14ac:dyDescent="0.15">
      <c r="A22" s="25"/>
      <c r="B22" s="51" t="s">
        <v>37</v>
      </c>
      <c r="C22" s="43">
        <v>0.47916666666666669</v>
      </c>
      <c r="D22" s="44">
        <f>24+1.5+D21</f>
        <v>361.5</v>
      </c>
      <c r="E22" s="45">
        <v>16</v>
      </c>
      <c r="F22" s="46">
        <v>1.111</v>
      </c>
      <c r="G22" s="47">
        <v>1.1459999999999999</v>
      </c>
      <c r="H22" s="47">
        <v>1.1870000000000001</v>
      </c>
      <c r="I22" s="47">
        <f t="shared" si="0"/>
        <v>1.3703074</v>
      </c>
      <c r="J22" s="47">
        <f t="shared" si="0"/>
        <v>1.4134764</v>
      </c>
      <c r="K22" s="47">
        <f t="shared" si="0"/>
        <v>1.4640458000000001</v>
      </c>
      <c r="L22" s="48">
        <f t="shared" si="1"/>
        <v>1.4159432000000001</v>
      </c>
      <c r="M22" s="47">
        <f t="shared" si="2"/>
        <v>2.708804001350661E-2</v>
      </c>
      <c r="N22" s="47">
        <f t="shared" si="3"/>
        <v>0.31503509423274828</v>
      </c>
      <c r="O22" s="47">
        <f t="shared" si="3"/>
        <v>0.34605220186780317</v>
      </c>
      <c r="P22" s="47">
        <f t="shared" si="3"/>
        <v>0.38120369920278641</v>
      </c>
      <c r="Q22" s="48">
        <f t="shared" si="4"/>
        <v>0.34743033176777932</v>
      </c>
      <c r="R22" s="47">
        <f t="shared" si="5"/>
        <v>1.9113655698096626E-2</v>
      </c>
      <c r="S22" s="47">
        <f t="shared" si="6"/>
        <v>1.9539530889957756E-3</v>
      </c>
      <c r="T22" s="47">
        <f t="shared" si="7"/>
        <v>3.1703102511547905E-3</v>
      </c>
      <c r="U22" s="47">
        <f t="shared" si="8"/>
        <v>1.9645815866669047E-3</v>
      </c>
      <c r="V22" s="48">
        <f t="shared" si="9"/>
        <v>2.3629483089391569E-3</v>
      </c>
      <c r="W22" s="47">
        <f t="shared" si="10"/>
        <v>4.0369263082380566E-4</v>
      </c>
      <c r="X22" s="47">
        <f t="shared" si="11"/>
        <v>3.7906152143845091E-3</v>
      </c>
      <c r="Y22" s="47">
        <f t="shared" si="12"/>
        <v>3.9100315352697092E-3</v>
      </c>
      <c r="Z22" s="47">
        <f t="shared" si="13"/>
        <v>4.0499192254495157E-3</v>
      </c>
      <c r="AA22" s="48">
        <f t="shared" si="14"/>
        <v>3.9168553250345786E-3</v>
      </c>
      <c r="AB22" s="163">
        <f t="shared" si="15"/>
        <v>7.4932337520073461E-5</v>
      </c>
    </row>
    <row r="23" spans="1:32" x14ac:dyDescent="0.15">
      <c r="A23" s="25"/>
      <c r="B23" s="51" t="s">
        <v>38</v>
      </c>
      <c r="C23" s="43">
        <v>0.5</v>
      </c>
      <c r="D23" s="44">
        <f>24+0.5+D22</f>
        <v>386</v>
      </c>
      <c r="E23" s="45">
        <v>17</v>
      </c>
      <c r="F23" s="46">
        <f>1.261</f>
        <v>1.2609999999999999</v>
      </c>
      <c r="G23" s="47">
        <v>1.25</v>
      </c>
      <c r="H23" s="47">
        <v>1.292</v>
      </c>
      <c r="I23" s="47">
        <f t="shared" si="0"/>
        <v>1.5553173999999999</v>
      </c>
      <c r="J23" s="47">
        <f t="shared" si="0"/>
        <v>1.54175</v>
      </c>
      <c r="K23" s="47">
        <f t="shared" si="0"/>
        <v>1.5935528000000001</v>
      </c>
      <c r="L23" s="48">
        <f t="shared" si="1"/>
        <v>1.5635400666666666</v>
      </c>
      <c r="M23" s="47">
        <f t="shared" si="2"/>
        <v>1.5509047975223353E-2</v>
      </c>
      <c r="N23" s="47">
        <f t="shared" si="3"/>
        <v>0.44167964055803782</v>
      </c>
      <c r="O23" s="47">
        <f t="shared" si="3"/>
        <v>0.43291813488946512</v>
      </c>
      <c r="P23" s="47">
        <f t="shared" si="3"/>
        <v>0.46596598893566554</v>
      </c>
      <c r="Q23" s="48">
        <f t="shared" si="4"/>
        <v>0.44685458812772283</v>
      </c>
      <c r="R23" s="47">
        <f t="shared" si="5"/>
        <v>9.8847563791675877E-3</v>
      </c>
      <c r="S23" s="47">
        <f t="shared" si="6"/>
        <v>5.1691651561342668E-3</v>
      </c>
      <c r="T23" s="47">
        <f t="shared" si="7"/>
        <v>3.5455482865984472E-3</v>
      </c>
      <c r="U23" s="47">
        <f t="shared" si="8"/>
        <v>3.4596852952195568E-3</v>
      </c>
      <c r="V23" s="48">
        <f t="shared" si="9"/>
        <v>4.0581329126507569E-3</v>
      </c>
      <c r="W23" s="47">
        <f t="shared" si="10"/>
        <v>5.5606882004152866E-4</v>
      </c>
      <c r="X23" s="47">
        <f t="shared" si="11"/>
        <v>4.0293196891191705E-3</v>
      </c>
      <c r="Y23" s="47">
        <f t="shared" si="12"/>
        <v>3.9941709844559586E-3</v>
      </c>
      <c r="Z23" s="47">
        <f t="shared" si="13"/>
        <v>4.128375129533679E-3</v>
      </c>
      <c r="AA23" s="48">
        <f t="shared" si="14"/>
        <v>4.0506219343696024E-3</v>
      </c>
      <c r="AB23" s="163">
        <f t="shared" si="15"/>
        <v>4.0178880764827303E-5</v>
      </c>
    </row>
    <row r="24" spans="1:32" ht="15" thickBot="1" x14ac:dyDescent="0.2">
      <c r="A24" s="25"/>
      <c r="B24" s="51" t="s">
        <v>39</v>
      </c>
      <c r="C24" s="43">
        <v>0.47916666666666669</v>
      </c>
      <c r="D24" s="44">
        <f>48+D22</f>
        <v>409.5</v>
      </c>
      <c r="E24" s="45">
        <v>18</v>
      </c>
      <c r="F24" s="46">
        <v>1.2010000000000001</v>
      </c>
      <c r="G24" s="47">
        <f>2*0.672</f>
        <v>1.3440000000000001</v>
      </c>
      <c r="H24" s="47">
        <v>1.256</v>
      </c>
      <c r="I24" s="47">
        <f t="shared" si="0"/>
        <v>1.4813134000000001</v>
      </c>
      <c r="J24" s="47">
        <f t="shared" si="0"/>
        <v>1.6576896000000001</v>
      </c>
      <c r="K24" s="47">
        <f t="shared" si="0"/>
        <v>1.5491504</v>
      </c>
      <c r="L24" s="48">
        <f t="shared" si="1"/>
        <v>1.5627177999999999</v>
      </c>
      <c r="M24" s="47">
        <f t="shared" si="2"/>
        <v>5.1365347393873759E-2</v>
      </c>
      <c r="N24" s="47">
        <f t="shared" si="3"/>
        <v>0.39292912667310192</v>
      </c>
      <c r="O24" s="47">
        <f t="shared" si="3"/>
        <v>0.50542482567621327</v>
      </c>
      <c r="P24" s="47">
        <f t="shared" si="3"/>
        <v>0.43770665162126232</v>
      </c>
      <c r="Q24" s="48">
        <f t="shared" si="4"/>
        <v>0.44535353465685912</v>
      </c>
      <c r="R24" s="47">
        <f t="shared" si="5"/>
        <v>3.2699014708243532E-2</v>
      </c>
      <c r="S24" s="47">
        <f t="shared" si="6"/>
        <v>-2.0744899525504635E-3</v>
      </c>
      <c r="T24" s="47">
        <f t="shared" si="7"/>
        <v>3.085391097308432E-3</v>
      </c>
      <c r="U24" s="47">
        <f t="shared" si="8"/>
        <v>-1.2025249921022647E-3</v>
      </c>
      <c r="V24" s="48">
        <f t="shared" si="9"/>
        <v>-6.3874615781432076E-5</v>
      </c>
      <c r="W24" s="47">
        <f t="shared" si="10"/>
        <v>1.5946249947657409E-3</v>
      </c>
      <c r="X24" s="47">
        <f t="shared" si="11"/>
        <v>3.6173709401709406E-3</v>
      </c>
      <c r="Y24" s="47">
        <f t="shared" si="12"/>
        <v>4.0480820512820512E-3</v>
      </c>
      <c r="Z24" s="47">
        <f t="shared" si="13"/>
        <v>3.7830290598290599E-3</v>
      </c>
      <c r="AA24" s="48">
        <f t="shared" si="14"/>
        <v>3.8161606837606842E-3</v>
      </c>
      <c r="AB24" s="163">
        <f t="shared" si="15"/>
        <v>1.2543430377014335E-4</v>
      </c>
    </row>
    <row r="25" spans="1:32" ht="15" thickBot="1" x14ac:dyDescent="0.2">
      <c r="B25" s="186" t="s">
        <v>69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8"/>
    </row>
    <row r="26" spans="1:32" ht="60" x14ac:dyDescent="0.15">
      <c r="B26" s="26" t="s">
        <v>0</v>
      </c>
      <c r="C26" s="27" t="s">
        <v>1</v>
      </c>
      <c r="D26" s="28" t="s">
        <v>2</v>
      </c>
      <c r="E26" s="29" t="s">
        <v>3</v>
      </c>
      <c r="F26" s="182" t="s">
        <v>61</v>
      </c>
      <c r="G26" s="183"/>
      <c r="H26" s="184"/>
      <c r="I26" s="185" t="s">
        <v>10</v>
      </c>
      <c r="J26" s="183"/>
      <c r="K26" s="184"/>
      <c r="L26" s="30" t="s">
        <v>4</v>
      </c>
      <c r="M26" s="31" t="s">
        <v>70</v>
      </c>
      <c r="N26" s="185" t="s">
        <v>63</v>
      </c>
      <c r="O26" s="183"/>
      <c r="P26" s="184"/>
      <c r="Q26" s="31" t="s">
        <v>5</v>
      </c>
      <c r="R26" s="31" t="s">
        <v>62</v>
      </c>
      <c r="S26" s="201" t="s">
        <v>6</v>
      </c>
      <c r="T26" s="202"/>
      <c r="U26" s="202"/>
      <c r="V26" s="30" t="s">
        <v>64</v>
      </c>
      <c r="W26" s="30" t="s">
        <v>62</v>
      </c>
      <c r="X26" s="185" t="s">
        <v>65</v>
      </c>
      <c r="Y26" s="183"/>
      <c r="Z26" s="184"/>
      <c r="AA26" s="30" t="s">
        <v>66</v>
      </c>
      <c r="AB26" s="32" t="s">
        <v>62</v>
      </c>
    </row>
    <row r="27" spans="1:32" ht="15" customHeight="1" x14ac:dyDescent="0.15">
      <c r="B27" s="33"/>
      <c r="C27" s="34"/>
      <c r="D27" s="35"/>
      <c r="E27" s="36"/>
      <c r="F27" s="192" t="s">
        <v>13</v>
      </c>
      <c r="G27" s="193"/>
      <c r="H27" s="194"/>
      <c r="I27" s="195" t="s">
        <v>7</v>
      </c>
      <c r="J27" s="193"/>
      <c r="K27" s="194"/>
      <c r="L27" s="38" t="s">
        <v>7</v>
      </c>
      <c r="M27" s="38"/>
      <c r="N27" s="195" t="s">
        <v>7</v>
      </c>
      <c r="O27" s="193"/>
      <c r="P27" s="194"/>
      <c r="Q27" s="37"/>
      <c r="R27" s="37"/>
      <c r="S27" s="199" t="s">
        <v>67</v>
      </c>
      <c r="T27" s="200"/>
      <c r="U27" s="200"/>
      <c r="V27" s="38" t="s">
        <v>67</v>
      </c>
      <c r="W27" s="35"/>
      <c r="X27" s="196" t="s">
        <v>68</v>
      </c>
      <c r="Y27" s="197"/>
      <c r="Z27" s="198"/>
      <c r="AA27" s="40" t="s">
        <v>68</v>
      </c>
      <c r="AB27" s="41"/>
    </row>
    <row r="28" spans="1:32" x14ac:dyDescent="0.15">
      <c r="B28" s="191" t="s">
        <v>23</v>
      </c>
      <c r="C28" s="43">
        <v>0.45833333333333331</v>
      </c>
      <c r="D28" s="44">
        <v>0</v>
      </c>
      <c r="E28" s="189">
        <v>1</v>
      </c>
      <c r="F28" s="46">
        <v>0.106</v>
      </c>
      <c r="G28" s="47">
        <v>0.10199999999999999</v>
      </c>
      <c r="H28" s="47">
        <v>9.7000000000000003E-2</v>
      </c>
      <c r="I28" s="47">
        <f t="shared" ref="I28:K47" si="16">1.2334*F28</f>
        <v>0.13074040000000001</v>
      </c>
      <c r="J28" s="47">
        <f t="shared" si="16"/>
        <v>0.1258068</v>
      </c>
      <c r="K28" s="47">
        <f t="shared" si="16"/>
        <v>0.1196398</v>
      </c>
      <c r="L28" s="48">
        <f t="shared" ref="L28:L47" si="17">AVERAGE(I28:K28)</f>
        <v>0.12539566666666666</v>
      </c>
      <c r="M28" s="47">
        <f>STDEV(I28:K28)/SQRT(3)</f>
        <v>3.2110539834210895E-3</v>
      </c>
      <c r="N28" s="47">
        <f t="shared" ref="N28:P47" si="18">LN(I28)</f>
        <v>-2.0345416012948143</v>
      </c>
      <c r="O28" s="47">
        <f t="shared" si="18"/>
        <v>-2.0730078821226106</v>
      </c>
      <c r="P28" s="47">
        <f t="shared" si="18"/>
        <v>-2.1232697169034989</v>
      </c>
      <c r="Q28" s="48">
        <f t="shared" ref="Q28:Q47" si="19">AVERAGE(N28:P28)</f>
        <v>-2.0769397334403079</v>
      </c>
      <c r="R28" s="47">
        <f>STDEV(N28:P28)/SQRT(3)</f>
        <v>2.568893546487399E-2</v>
      </c>
      <c r="S28" s="47"/>
      <c r="T28" s="47"/>
      <c r="U28" s="164"/>
      <c r="V28" s="165"/>
      <c r="W28" s="164"/>
      <c r="X28" s="164"/>
      <c r="Y28" s="164"/>
      <c r="Z28" s="164"/>
      <c r="AA28" s="165"/>
      <c r="AB28" s="166"/>
      <c r="AC28" s="52"/>
      <c r="AD28" s="52"/>
      <c r="AE28" s="52"/>
      <c r="AF28" s="52"/>
    </row>
    <row r="29" spans="1:32" x14ac:dyDescent="0.15">
      <c r="B29" s="191"/>
      <c r="C29" s="43">
        <v>0.66666666666666663</v>
      </c>
      <c r="D29" s="44">
        <f>5+D28</f>
        <v>5</v>
      </c>
      <c r="E29" s="189"/>
      <c r="F29" s="46">
        <v>0.111</v>
      </c>
      <c r="G29" s="47">
        <v>0.112</v>
      </c>
      <c r="H29" s="47">
        <v>0.11799999999999999</v>
      </c>
      <c r="I29" s="47">
        <f t="shared" si="16"/>
        <v>0.13690740000000001</v>
      </c>
      <c r="J29" s="47">
        <f t="shared" si="16"/>
        <v>0.13814080000000001</v>
      </c>
      <c r="K29" s="47">
        <f t="shared" si="16"/>
        <v>0.14554120000000001</v>
      </c>
      <c r="L29" s="48">
        <f t="shared" si="17"/>
        <v>0.14019646666666666</v>
      </c>
      <c r="M29" s="47">
        <f t="shared" ref="M29:M47" si="20">STDEV(I29:K29)/SQRT(3)</f>
        <v>2.6959815586246956E-3</v>
      </c>
      <c r="N29" s="47">
        <f t="shared" si="18"/>
        <v>-1.9884504940945475</v>
      </c>
      <c r="O29" s="47">
        <f t="shared" si="18"/>
        <v>-1.9794818241117871</v>
      </c>
      <c r="P29" s="47">
        <f t="shared" si="18"/>
        <v>-1.9272960709412168</v>
      </c>
      <c r="Q29" s="48">
        <f t="shared" si="19"/>
        <v>-1.9650761297158503</v>
      </c>
      <c r="R29" s="47">
        <f t="shared" ref="R29:R47" si="21">STDEV(N29:P29)/SQRT(3)</f>
        <v>1.9066627835706368E-2</v>
      </c>
      <c r="S29" s="47">
        <f>(N29-N28)/(D29-D28)</f>
        <v>9.2182214400533535E-3</v>
      </c>
      <c r="T29" s="47">
        <f>(O29-O28)/(D29-D28)</f>
        <v>1.8705211602164696E-2</v>
      </c>
      <c r="U29" s="47">
        <f>(P29-P28)/(D29-D28)</f>
        <v>3.919472919245641E-2</v>
      </c>
      <c r="V29" s="48">
        <f>AVERAGE(S29:U29)</f>
        <v>2.2372720744891484E-2</v>
      </c>
      <c r="W29" s="47">
        <f>STDEV(S29:U29)/SQRT(3)</f>
        <v>8.8456339840899054E-3</v>
      </c>
      <c r="X29" s="47">
        <f>I29/D29</f>
        <v>2.7381480000000003E-2</v>
      </c>
      <c r="Y29" s="47">
        <f>J29/D29</f>
        <v>2.7628160000000002E-2</v>
      </c>
      <c r="Z29" s="47">
        <f>K29/D29</f>
        <v>2.9108240000000001E-2</v>
      </c>
      <c r="AA29" s="48">
        <f>AVERAGE(X29:Z29)</f>
        <v>2.8039293333333336E-2</v>
      </c>
      <c r="AB29" s="163">
        <f>STDEV(X29:Z29)/SQRT(3)</f>
        <v>5.3919631172493843E-4</v>
      </c>
    </row>
    <row r="30" spans="1:32" x14ac:dyDescent="0.15">
      <c r="B30" s="191"/>
      <c r="C30" s="43">
        <v>0.85416666666666663</v>
      </c>
      <c r="D30" s="44">
        <f>4.5+D29</f>
        <v>9.5</v>
      </c>
      <c r="E30" s="189"/>
      <c r="F30" s="46">
        <v>0.115</v>
      </c>
      <c r="G30" s="47">
        <v>0.11700000000000001</v>
      </c>
      <c r="H30" s="47">
        <v>0.125</v>
      </c>
      <c r="I30" s="47">
        <f t="shared" si="16"/>
        <v>0.14184100000000002</v>
      </c>
      <c r="J30" s="47">
        <f t="shared" si="16"/>
        <v>0.14430780000000001</v>
      </c>
      <c r="K30" s="47">
        <f t="shared" si="16"/>
        <v>0.15417500000000001</v>
      </c>
      <c r="L30" s="48">
        <f t="shared" si="17"/>
        <v>0.14677460000000001</v>
      </c>
      <c r="M30" s="47">
        <f t="shared" si="20"/>
        <v>3.7680992414390181E-3</v>
      </c>
      <c r="N30" s="47">
        <f t="shared" si="18"/>
        <v>-1.9530485670436315</v>
      </c>
      <c r="O30" s="47">
        <f t="shared" si="18"/>
        <v>-1.9358067606091254</v>
      </c>
      <c r="P30" s="47">
        <f t="shared" si="18"/>
        <v>-1.8696669581045804</v>
      </c>
      <c r="Q30" s="48">
        <f t="shared" si="19"/>
        <v>-1.9195074285857789</v>
      </c>
      <c r="R30" s="47">
        <f t="shared" si="21"/>
        <v>2.5412427049389792E-2</v>
      </c>
      <c r="S30" s="47">
        <f t="shared" ref="S30:S47" si="22">(N30-N29)/(D30-D29)</f>
        <v>7.867094900203566E-3</v>
      </c>
      <c r="T30" s="47">
        <f t="shared" ref="T30:T47" si="23">(O30-O29)/(D30-D29)</f>
        <v>9.7055696672581557E-3</v>
      </c>
      <c r="U30" s="47">
        <f t="shared" ref="U30:U47" si="24">(P30-P29)/(D30-D29)</f>
        <v>1.2806469519252536E-2</v>
      </c>
      <c r="V30" s="48">
        <f t="shared" ref="V30:V47" si="25">AVERAGE(S30:U30)</f>
        <v>1.0126378028904752E-2</v>
      </c>
      <c r="W30" s="47">
        <f t="shared" ref="W30:W47" si="26">STDEV(S30:U30)/SQRT(3)</f>
        <v>1.4413148123328297E-3</v>
      </c>
      <c r="X30" s="47">
        <f t="shared" ref="X30:X47" si="27">I30/D30</f>
        <v>1.4930631578947371E-2</v>
      </c>
      <c r="Y30" s="47">
        <f t="shared" ref="Y30:Y47" si="28">J30/D30</f>
        <v>1.5190294736842106E-2</v>
      </c>
      <c r="Z30" s="47">
        <f t="shared" ref="Z30:Z47" si="29">K30/D30</f>
        <v>1.6228947368421055E-2</v>
      </c>
      <c r="AA30" s="48">
        <f t="shared" ref="AA30:AA47" si="30">AVERAGE(X30:Z30)</f>
        <v>1.5449957894736846E-2</v>
      </c>
      <c r="AB30" s="163">
        <f t="shared" ref="AB30:AB47" si="31">STDEV(X30:Z30)/SQRT(3)</f>
        <v>3.9664202541463394E-4</v>
      </c>
    </row>
    <row r="31" spans="1:32" ht="15" customHeight="1" x14ac:dyDescent="0.15">
      <c r="B31" s="190" t="s">
        <v>24</v>
      </c>
      <c r="C31" s="43">
        <v>0.41666666666666669</v>
      </c>
      <c r="D31" s="44">
        <f>1.5+12+D30</f>
        <v>23</v>
      </c>
      <c r="E31" s="189">
        <v>2</v>
      </c>
      <c r="F31" s="46">
        <v>0.14299999999999999</v>
      </c>
      <c r="G31" s="47">
        <v>0.14000000000000001</v>
      </c>
      <c r="H31" s="47">
        <v>0.152</v>
      </c>
      <c r="I31" s="47">
        <f t="shared" si="16"/>
        <v>0.17637619999999998</v>
      </c>
      <c r="J31" s="47">
        <f t="shared" si="16"/>
        <v>0.17267600000000002</v>
      </c>
      <c r="K31" s="47">
        <f t="shared" si="16"/>
        <v>0.1874768</v>
      </c>
      <c r="L31" s="48">
        <f t="shared" si="17"/>
        <v>0.178843</v>
      </c>
      <c r="M31" s="47">
        <f t="shared" si="20"/>
        <v>4.4470869431572808E-3</v>
      </c>
      <c r="N31" s="47">
        <f t="shared" si="18"/>
        <v>-1.7351360651469745</v>
      </c>
      <c r="O31" s="47">
        <f t="shared" si="18"/>
        <v>-1.7563382727975771</v>
      </c>
      <c r="P31" s="47">
        <f t="shared" si="18"/>
        <v>-1.6741001745606052</v>
      </c>
      <c r="Q31" s="48">
        <f t="shared" si="19"/>
        <v>-1.7218581708350522</v>
      </c>
      <c r="R31" s="47">
        <f t="shared" si="21"/>
        <v>2.4650916537574511E-2</v>
      </c>
      <c r="S31" s="47">
        <f t="shared" si="22"/>
        <v>1.6141666807159779E-2</v>
      </c>
      <c r="T31" s="47">
        <f t="shared" si="23"/>
        <v>1.3293962060114684E-2</v>
      </c>
      <c r="U31" s="47">
        <f t="shared" si="24"/>
        <v>1.4486428410664828E-2</v>
      </c>
      <c r="V31" s="48">
        <f t="shared" si="25"/>
        <v>1.4640685759313097E-2</v>
      </c>
      <c r="W31" s="47">
        <f t="shared" si="26"/>
        <v>8.2567186355411758E-4</v>
      </c>
      <c r="X31" s="47">
        <f t="shared" si="27"/>
        <v>7.6685304347826081E-3</v>
      </c>
      <c r="Y31" s="47">
        <f t="shared" si="28"/>
        <v>7.5076521739130446E-3</v>
      </c>
      <c r="Z31" s="47">
        <f t="shared" si="29"/>
        <v>8.1511652173913048E-3</v>
      </c>
      <c r="AA31" s="48">
        <f t="shared" si="30"/>
        <v>7.7757826086956522E-3</v>
      </c>
      <c r="AB31" s="163">
        <f t="shared" si="31"/>
        <v>1.933516062242297E-4</v>
      </c>
    </row>
    <row r="32" spans="1:32" x14ac:dyDescent="0.15">
      <c r="B32" s="190"/>
      <c r="C32" s="43">
        <v>0.66666666666666663</v>
      </c>
      <c r="D32" s="44">
        <f>6+D31</f>
        <v>29</v>
      </c>
      <c r="E32" s="189"/>
      <c r="F32" s="46">
        <v>0.16400000000000001</v>
      </c>
      <c r="G32" s="47">
        <v>0.16</v>
      </c>
      <c r="H32" s="47">
        <v>0.16500000000000001</v>
      </c>
      <c r="I32" s="47">
        <f t="shared" si="16"/>
        <v>0.20227760000000003</v>
      </c>
      <c r="J32" s="47">
        <f t="shared" si="16"/>
        <v>0.19734400000000002</v>
      </c>
      <c r="K32" s="47">
        <f t="shared" si="16"/>
        <v>0.20351100000000003</v>
      </c>
      <c r="L32" s="48">
        <f t="shared" si="17"/>
        <v>0.20104420000000001</v>
      </c>
      <c r="M32" s="47">
        <f t="shared" si="20"/>
        <v>1.8840496207195134E-3</v>
      </c>
      <c r="N32" s="47">
        <f t="shared" si="18"/>
        <v>-1.5981142675826832</v>
      </c>
      <c r="O32" s="47">
        <f t="shared" si="18"/>
        <v>-1.6228068801730546</v>
      </c>
      <c r="P32" s="47">
        <f t="shared" si="18"/>
        <v>-1.5920352215063009</v>
      </c>
      <c r="Q32" s="48">
        <f t="shared" si="19"/>
        <v>-1.6043187897540132</v>
      </c>
      <c r="R32" s="47">
        <f t="shared" si="21"/>
        <v>9.4091412255439336E-3</v>
      </c>
      <c r="S32" s="47">
        <f t="shared" si="22"/>
        <v>2.2836966260715224E-2</v>
      </c>
      <c r="T32" s="47">
        <f t="shared" si="23"/>
        <v>2.2255232104087086E-2</v>
      </c>
      <c r="U32" s="47">
        <f t="shared" si="24"/>
        <v>1.3677492175717379E-2</v>
      </c>
      <c r="V32" s="48">
        <f t="shared" si="25"/>
        <v>1.9589896846839896E-2</v>
      </c>
      <c r="W32" s="47">
        <f t="shared" si="26"/>
        <v>2.9609683328026639E-3</v>
      </c>
      <c r="X32" s="47">
        <f t="shared" si="27"/>
        <v>6.9750896551724149E-3</v>
      </c>
      <c r="Y32" s="47">
        <f t="shared" si="28"/>
        <v>6.8049655172413796E-3</v>
      </c>
      <c r="Z32" s="47">
        <f t="shared" si="29"/>
        <v>7.0176206896551737E-3</v>
      </c>
      <c r="AA32" s="48">
        <f t="shared" si="30"/>
        <v>6.9325586206896552E-3</v>
      </c>
      <c r="AB32" s="163">
        <f t="shared" si="31"/>
        <v>6.4967228300673115E-5</v>
      </c>
    </row>
    <row r="33" spans="2:28" ht="15" customHeight="1" x14ac:dyDescent="0.15">
      <c r="B33" s="50" t="s">
        <v>25</v>
      </c>
      <c r="C33" s="43">
        <v>0.5</v>
      </c>
      <c r="D33" s="44">
        <f>8+12+D32</f>
        <v>49</v>
      </c>
      <c r="E33" s="45">
        <v>3</v>
      </c>
      <c r="F33" s="46">
        <v>0.21199999999999999</v>
      </c>
      <c r="G33" s="47">
        <v>0.215</v>
      </c>
      <c r="H33" s="47">
        <v>0.23</v>
      </c>
      <c r="I33" s="47">
        <f t="shared" si="16"/>
        <v>0.26148080000000001</v>
      </c>
      <c r="J33" s="47">
        <f t="shared" si="16"/>
        <v>0.265181</v>
      </c>
      <c r="K33" s="47">
        <f t="shared" si="16"/>
        <v>0.28368200000000005</v>
      </c>
      <c r="L33" s="48">
        <f t="shared" si="17"/>
        <v>0.27011460000000004</v>
      </c>
      <c r="M33" s="47">
        <f t="shared" si="20"/>
        <v>6.8672805651145618E-3</v>
      </c>
      <c r="N33" s="47">
        <f t="shared" si="18"/>
        <v>-1.3413944207348691</v>
      </c>
      <c r="O33" s="47">
        <f t="shared" si="18"/>
        <v>-1.3273426672792188</v>
      </c>
      <c r="P33" s="47">
        <f t="shared" si="18"/>
        <v>-1.2599013864836861</v>
      </c>
      <c r="Q33" s="48">
        <f t="shared" si="19"/>
        <v>-1.3095461581659247</v>
      </c>
      <c r="R33" s="47">
        <f t="shared" si="21"/>
        <v>2.5151643155937105E-2</v>
      </c>
      <c r="S33" s="47">
        <f t="shared" si="22"/>
        <v>1.28359923423907E-2</v>
      </c>
      <c r="T33" s="47">
        <f t="shared" si="23"/>
        <v>1.4773210644691791E-2</v>
      </c>
      <c r="U33" s="47">
        <f t="shared" si="24"/>
        <v>1.6606691751130741E-2</v>
      </c>
      <c r="V33" s="48">
        <f t="shared" si="25"/>
        <v>1.473863157940441E-2</v>
      </c>
      <c r="W33" s="47">
        <f t="shared" si="26"/>
        <v>1.0886444616410563E-3</v>
      </c>
      <c r="X33" s="47">
        <f t="shared" si="27"/>
        <v>5.3363428571428576E-3</v>
      </c>
      <c r="Y33" s="47">
        <f t="shared" si="28"/>
        <v>5.4118571428571427E-3</v>
      </c>
      <c r="Z33" s="47">
        <f t="shared" si="29"/>
        <v>5.7894285714285721E-3</v>
      </c>
      <c r="AA33" s="48">
        <f t="shared" si="30"/>
        <v>5.5125428571428563E-3</v>
      </c>
      <c r="AB33" s="163">
        <f t="shared" si="31"/>
        <v>1.4014858296152157E-4</v>
      </c>
    </row>
    <row r="34" spans="2:28" x14ac:dyDescent="0.15">
      <c r="B34" s="50" t="s">
        <v>26</v>
      </c>
      <c r="C34" s="43">
        <v>0.5</v>
      </c>
      <c r="D34" s="44">
        <f>24+D33</f>
        <v>73</v>
      </c>
      <c r="E34" s="45">
        <v>4</v>
      </c>
      <c r="F34" s="46">
        <v>0.27500000000000002</v>
      </c>
      <c r="G34" s="47">
        <v>0.30499999999999999</v>
      </c>
      <c r="H34" s="47">
        <v>0.314</v>
      </c>
      <c r="I34" s="47">
        <f t="shared" si="16"/>
        <v>0.33918500000000001</v>
      </c>
      <c r="J34" s="47">
        <f t="shared" si="16"/>
        <v>0.37618699999999999</v>
      </c>
      <c r="K34" s="47">
        <f t="shared" si="16"/>
        <v>0.38728760000000001</v>
      </c>
      <c r="L34" s="48">
        <f t="shared" si="17"/>
        <v>0.36755319999999997</v>
      </c>
      <c r="M34" s="47">
        <f t="shared" si="20"/>
        <v>1.4541571539555138E-2</v>
      </c>
      <c r="N34" s="47">
        <f t="shared" si="18"/>
        <v>-1.0812095977403102</v>
      </c>
      <c r="O34" s="47">
        <f t="shared" si="18"/>
        <v>-0.97766891879947004</v>
      </c>
      <c r="P34" s="47">
        <f t="shared" si="18"/>
        <v>-0.94858770949862825</v>
      </c>
      <c r="Q34" s="48">
        <f t="shared" si="19"/>
        <v>-1.0024887420128028</v>
      </c>
      <c r="R34" s="47">
        <f t="shared" si="21"/>
        <v>4.0245741093326119E-2</v>
      </c>
      <c r="S34" s="47">
        <f t="shared" si="22"/>
        <v>1.0841034291439955E-2</v>
      </c>
      <c r="T34" s="47">
        <f t="shared" si="23"/>
        <v>1.4569739519989531E-2</v>
      </c>
      <c r="U34" s="47">
        <f t="shared" si="24"/>
        <v>1.2971403207710744E-2</v>
      </c>
      <c r="V34" s="48">
        <f t="shared" si="25"/>
        <v>1.2794059006380075E-2</v>
      </c>
      <c r="W34" s="47">
        <f t="shared" si="26"/>
        <v>1.0800306931846035E-3</v>
      </c>
      <c r="X34" s="47">
        <f t="shared" si="27"/>
        <v>4.6463698630136987E-3</v>
      </c>
      <c r="Y34" s="47">
        <f t="shared" si="28"/>
        <v>5.1532465753424657E-3</v>
      </c>
      <c r="Z34" s="47">
        <f t="shared" si="29"/>
        <v>5.3053095890410957E-3</v>
      </c>
      <c r="AA34" s="48">
        <f t="shared" si="30"/>
        <v>5.0349753424657534E-3</v>
      </c>
      <c r="AB34" s="163">
        <f t="shared" si="31"/>
        <v>1.9919961013089224E-4</v>
      </c>
    </row>
    <row r="35" spans="2:28" x14ac:dyDescent="0.15">
      <c r="B35" s="50" t="s">
        <v>27</v>
      </c>
      <c r="C35" s="43">
        <v>0.4375</v>
      </c>
      <c r="D35" s="44">
        <f>22.5+D34</f>
        <v>95.5</v>
      </c>
      <c r="E35" s="45">
        <v>5</v>
      </c>
      <c r="F35" s="46">
        <v>0.35499999999999998</v>
      </c>
      <c r="G35" s="47">
        <v>0.377</v>
      </c>
      <c r="H35" s="47">
        <v>0.38200000000000001</v>
      </c>
      <c r="I35" s="47">
        <f t="shared" si="16"/>
        <v>0.437857</v>
      </c>
      <c r="J35" s="47">
        <f t="shared" si="16"/>
        <v>0.46499180000000001</v>
      </c>
      <c r="K35" s="47">
        <f t="shared" si="16"/>
        <v>0.47115880000000004</v>
      </c>
      <c r="L35" s="48">
        <f t="shared" si="17"/>
        <v>0.45800253333333335</v>
      </c>
      <c r="M35" s="47">
        <f t="shared" si="20"/>
        <v>1.022887835514944E-2</v>
      </c>
      <c r="N35" s="47">
        <f t="shared" si="18"/>
        <v>-0.82586290593146583</v>
      </c>
      <c r="O35" s="47">
        <f t="shared" si="18"/>
        <v>-0.76573550795887091</v>
      </c>
      <c r="P35" s="47">
        <f t="shared" si="18"/>
        <v>-0.75256008680030639</v>
      </c>
      <c r="Q35" s="48">
        <f t="shared" si="19"/>
        <v>-0.78138616689688101</v>
      </c>
      <c r="R35" s="47">
        <f t="shared" si="21"/>
        <v>2.2561273361221632E-2</v>
      </c>
      <c r="S35" s="47">
        <f t="shared" si="22"/>
        <v>1.1348741858170861E-2</v>
      </c>
      <c r="T35" s="47">
        <f t="shared" si="23"/>
        <v>9.4192627040266281E-3</v>
      </c>
      <c r="U35" s="47">
        <f t="shared" si="24"/>
        <v>8.7123387865920832E-3</v>
      </c>
      <c r="V35" s="48">
        <f t="shared" si="25"/>
        <v>9.8267811162631915E-3</v>
      </c>
      <c r="W35" s="47">
        <f t="shared" si="26"/>
        <v>7.8786816392747701E-4</v>
      </c>
      <c r="X35" s="47">
        <f t="shared" si="27"/>
        <v>4.5848900523560209E-3</v>
      </c>
      <c r="Y35" s="47">
        <f t="shared" si="28"/>
        <v>4.869024083769634E-3</v>
      </c>
      <c r="Z35" s="47">
        <f t="shared" si="29"/>
        <v>4.9336000000000007E-3</v>
      </c>
      <c r="AA35" s="48">
        <f t="shared" si="30"/>
        <v>4.7958380453752185E-3</v>
      </c>
      <c r="AB35" s="163">
        <f t="shared" si="31"/>
        <v>1.0710867387591047E-4</v>
      </c>
    </row>
    <row r="36" spans="2:28" x14ac:dyDescent="0.15">
      <c r="B36" s="50" t="s">
        <v>28</v>
      </c>
      <c r="C36" s="43">
        <v>0.4375</v>
      </c>
      <c r="D36" s="44">
        <f>24+D35</f>
        <v>119.5</v>
      </c>
      <c r="E36" s="45">
        <v>6</v>
      </c>
      <c r="F36" s="46">
        <v>0.41599999999999998</v>
      </c>
      <c r="G36" s="47">
        <v>0.44500000000000001</v>
      </c>
      <c r="H36" s="47">
        <v>0.45200000000000001</v>
      </c>
      <c r="I36" s="47">
        <f t="shared" si="16"/>
        <v>0.51309439999999995</v>
      </c>
      <c r="J36" s="47">
        <f t="shared" si="16"/>
        <v>0.54886299999999999</v>
      </c>
      <c r="K36" s="47">
        <f t="shared" si="16"/>
        <v>0.55749680000000001</v>
      </c>
      <c r="L36" s="48">
        <f t="shared" si="17"/>
        <v>0.53981806666666665</v>
      </c>
      <c r="M36" s="47">
        <f t="shared" si="20"/>
        <v>1.3592294332860497E-2</v>
      </c>
      <c r="N36" s="47">
        <f t="shared" si="18"/>
        <v>-0.66729543514561851</v>
      </c>
      <c r="O36" s="47">
        <f t="shared" si="18"/>
        <v>-0.59990641324064142</v>
      </c>
      <c r="P36" s="47">
        <f t="shared" si="18"/>
        <v>-0.5842985155746504</v>
      </c>
      <c r="Q36" s="48">
        <f t="shared" si="19"/>
        <v>-0.61716678798697011</v>
      </c>
      <c r="R36" s="47">
        <f t="shared" si="21"/>
        <v>2.5466072638284928E-2</v>
      </c>
      <c r="S36" s="47">
        <f t="shared" si="22"/>
        <v>6.6069779494103047E-3</v>
      </c>
      <c r="T36" s="47">
        <f t="shared" si="23"/>
        <v>6.9095456132595616E-3</v>
      </c>
      <c r="U36" s="47">
        <f t="shared" si="24"/>
        <v>7.010898801069E-3</v>
      </c>
      <c r="V36" s="48">
        <f t="shared" si="25"/>
        <v>6.8424741212462885E-3</v>
      </c>
      <c r="W36" s="47">
        <f t="shared" si="26"/>
        <v>1.2132868908030551E-4</v>
      </c>
      <c r="X36" s="47">
        <f t="shared" si="27"/>
        <v>4.293676987447698E-3</v>
      </c>
      <c r="Y36" s="47">
        <f t="shared" si="28"/>
        <v>4.5929958158995813E-3</v>
      </c>
      <c r="Z36" s="47">
        <f t="shared" si="29"/>
        <v>4.6652451882845192E-3</v>
      </c>
      <c r="AA36" s="48">
        <f t="shared" si="30"/>
        <v>4.5173059972105989E-3</v>
      </c>
      <c r="AB36" s="163">
        <f t="shared" si="31"/>
        <v>1.1374304881054824E-4</v>
      </c>
    </row>
    <row r="37" spans="2:28" x14ac:dyDescent="0.15">
      <c r="B37" s="50" t="s">
        <v>29</v>
      </c>
      <c r="C37" s="43">
        <v>0.4375</v>
      </c>
      <c r="D37" s="44">
        <f>24+D36</f>
        <v>143.5</v>
      </c>
      <c r="E37" s="45">
        <v>7</v>
      </c>
      <c r="F37" s="46">
        <v>0.52100000000000002</v>
      </c>
      <c r="G37" s="47">
        <v>0.52700000000000002</v>
      </c>
      <c r="H37" s="47">
        <v>0.58799999999999997</v>
      </c>
      <c r="I37" s="47">
        <f t="shared" si="16"/>
        <v>0.6426014000000001</v>
      </c>
      <c r="J37" s="47">
        <f t="shared" si="16"/>
        <v>0.65000180000000007</v>
      </c>
      <c r="K37" s="47">
        <f t="shared" si="16"/>
        <v>0.72523919999999997</v>
      </c>
      <c r="L37" s="48">
        <f t="shared" si="17"/>
        <v>0.67261413333333342</v>
      </c>
      <c r="M37" s="47">
        <f t="shared" si="20"/>
        <v>2.6399114324116554E-2</v>
      </c>
      <c r="N37" s="47">
        <f t="shared" si="18"/>
        <v>-0.4422306536535146</v>
      </c>
      <c r="O37" s="47">
        <f t="shared" si="18"/>
        <v>-0.43078014686551924</v>
      </c>
      <c r="P37" s="47">
        <f t="shared" si="18"/>
        <v>-0.32125374750825481</v>
      </c>
      <c r="Q37" s="48">
        <f t="shared" si="19"/>
        <v>-0.3980881826757629</v>
      </c>
      <c r="R37" s="47">
        <f t="shared" si="21"/>
        <v>3.8559159513047753E-2</v>
      </c>
      <c r="S37" s="47">
        <f t="shared" si="22"/>
        <v>9.3776992288376621E-3</v>
      </c>
      <c r="T37" s="47">
        <f t="shared" si="23"/>
        <v>7.0469277656300911E-3</v>
      </c>
      <c r="U37" s="47">
        <f t="shared" si="24"/>
        <v>1.096019866943315E-2</v>
      </c>
      <c r="V37" s="48">
        <f t="shared" si="25"/>
        <v>9.1282752213003009E-3</v>
      </c>
      <c r="W37" s="47">
        <f t="shared" si="26"/>
        <v>1.1365270994407922E-3</v>
      </c>
      <c r="X37" s="47">
        <f t="shared" si="27"/>
        <v>4.4780585365853665E-3</v>
      </c>
      <c r="Y37" s="47">
        <f t="shared" si="28"/>
        <v>4.5296292682926835E-3</v>
      </c>
      <c r="Z37" s="47">
        <f t="shared" si="29"/>
        <v>5.0539317073170732E-3</v>
      </c>
      <c r="AA37" s="48">
        <f t="shared" si="30"/>
        <v>4.6872065040650416E-3</v>
      </c>
      <c r="AB37" s="163">
        <f t="shared" si="31"/>
        <v>1.8396595347816423E-4</v>
      </c>
    </row>
    <row r="38" spans="2:28" x14ac:dyDescent="0.15">
      <c r="B38" s="50" t="s">
        <v>30</v>
      </c>
      <c r="C38" s="43">
        <v>0.4375</v>
      </c>
      <c r="D38" s="44">
        <f>24+D37</f>
        <v>167.5</v>
      </c>
      <c r="E38" s="45">
        <v>8</v>
      </c>
      <c r="F38" s="46">
        <v>0.58499999999999996</v>
      </c>
      <c r="G38" s="47">
        <v>0.59899999999999998</v>
      </c>
      <c r="H38" s="47">
        <v>0.63100000000000001</v>
      </c>
      <c r="I38" s="47">
        <f t="shared" si="16"/>
        <v>0.72153900000000004</v>
      </c>
      <c r="J38" s="47">
        <f t="shared" si="16"/>
        <v>0.73880659999999998</v>
      </c>
      <c r="K38" s="47">
        <f t="shared" si="16"/>
        <v>0.77827540000000006</v>
      </c>
      <c r="L38" s="48">
        <f t="shared" si="17"/>
        <v>0.74620700000000006</v>
      </c>
      <c r="M38" s="47">
        <f t="shared" si="20"/>
        <v>1.6791160485604733E-2</v>
      </c>
      <c r="N38" s="47">
        <f t="shared" si="18"/>
        <v>-0.32636884817502509</v>
      </c>
      <c r="O38" s="47">
        <f t="shared" si="18"/>
        <v>-0.30271909729143237</v>
      </c>
      <c r="P38" s="47">
        <f t="shared" si="18"/>
        <v>-0.25067483286566844</v>
      </c>
      <c r="Q38" s="48">
        <f t="shared" si="19"/>
        <v>-0.29325425944404199</v>
      </c>
      <c r="R38" s="47">
        <f t="shared" si="21"/>
        <v>2.2357574071004194E-2</v>
      </c>
      <c r="S38" s="47">
        <f t="shared" si="22"/>
        <v>4.8275752282703963E-3</v>
      </c>
      <c r="T38" s="47">
        <f t="shared" si="23"/>
        <v>5.3358770655869527E-3</v>
      </c>
      <c r="U38" s="47">
        <f t="shared" si="24"/>
        <v>2.9407881101077651E-3</v>
      </c>
      <c r="V38" s="48">
        <f t="shared" si="25"/>
        <v>4.3680801346550379E-3</v>
      </c>
      <c r="W38" s="47">
        <f t="shared" si="26"/>
        <v>7.2857499773119601E-4</v>
      </c>
      <c r="X38" s="47">
        <f t="shared" si="27"/>
        <v>4.3076955223880602E-3</v>
      </c>
      <c r="Y38" s="47">
        <f t="shared" si="28"/>
        <v>4.4107856716417912E-3</v>
      </c>
      <c r="Z38" s="47">
        <f t="shared" si="29"/>
        <v>4.6464202985074627E-3</v>
      </c>
      <c r="AA38" s="48">
        <f t="shared" si="30"/>
        <v>4.454967164179105E-3</v>
      </c>
      <c r="AB38" s="163">
        <f t="shared" si="31"/>
        <v>1.0024573424241615E-4</v>
      </c>
    </row>
    <row r="39" spans="2:28" x14ac:dyDescent="0.15">
      <c r="B39" s="50" t="s">
        <v>31</v>
      </c>
      <c r="C39" s="43">
        <v>0.4375</v>
      </c>
      <c r="D39" s="44">
        <f>24+D38</f>
        <v>191.5</v>
      </c>
      <c r="E39" s="45">
        <v>9</v>
      </c>
      <c r="F39" s="46">
        <v>0.66</v>
      </c>
      <c r="G39" s="47">
        <v>0.70899999999999996</v>
      </c>
      <c r="H39" s="47">
        <v>0.75900000000000001</v>
      </c>
      <c r="I39" s="47">
        <f t="shared" si="16"/>
        <v>0.8140440000000001</v>
      </c>
      <c r="J39" s="47">
        <f t="shared" si="16"/>
        <v>0.87448059999999994</v>
      </c>
      <c r="K39" s="47">
        <f t="shared" si="16"/>
        <v>0.93615060000000005</v>
      </c>
      <c r="L39" s="48">
        <f t="shared" si="17"/>
        <v>0.87489173333333337</v>
      </c>
      <c r="M39" s="47">
        <f t="shared" si="20"/>
        <v>3.5249738598810115E-2</v>
      </c>
      <c r="N39" s="47">
        <f t="shared" si="18"/>
        <v>-0.20574086038641032</v>
      </c>
      <c r="O39" s="47">
        <f t="shared" si="18"/>
        <v>-0.13412516887475423</v>
      </c>
      <c r="P39" s="47">
        <f t="shared" si="18"/>
        <v>-6.5978918011251678E-2</v>
      </c>
      <c r="Q39" s="48">
        <f t="shared" si="19"/>
        <v>-0.13528164909080539</v>
      </c>
      <c r="R39" s="47">
        <f t="shared" si="21"/>
        <v>4.0349941011881212E-2</v>
      </c>
      <c r="S39" s="47">
        <f t="shared" si="22"/>
        <v>5.0261661578589493E-3</v>
      </c>
      <c r="T39" s="47">
        <f t="shared" si="23"/>
        <v>7.0247470173615892E-3</v>
      </c>
      <c r="U39" s="47">
        <f t="shared" si="24"/>
        <v>7.6956631189340321E-3</v>
      </c>
      <c r="V39" s="48">
        <f t="shared" si="25"/>
        <v>6.5821920980515232E-3</v>
      </c>
      <c r="W39" s="47">
        <f t="shared" si="26"/>
        <v>8.0175737160137375E-4</v>
      </c>
      <c r="X39" s="47">
        <f t="shared" si="27"/>
        <v>4.2508825065274156E-3</v>
      </c>
      <c r="Y39" s="47">
        <f t="shared" si="28"/>
        <v>4.5664783289817226E-3</v>
      </c>
      <c r="Z39" s="47">
        <f t="shared" si="29"/>
        <v>4.888514882506528E-3</v>
      </c>
      <c r="AA39" s="48">
        <f t="shared" si="30"/>
        <v>4.5686252393385548E-3</v>
      </c>
      <c r="AB39" s="163">
        <f t="shared" si="31"/>
        <v>1.8407174203034012E-4</v>
      </c>
    </row>
    <row r="40" spans="2:28" x14ac:dyDescent="0.15">
      <c r="B40" s="50" t="s">
        <v>32</v>
      </c>
      <c r="C40" s="43">
        <v>0.4375</v>
      </c>
      <c r="D40" s="44">
        <f>24+D39</f>
        <v>215.5</v>
      </c>
      <c r="E40" s="45">
        <v>10</v>
      </c>
      <c r="F40" s="46">
        <v>0.74299999999999999</v>
      </c>
      <c r="G40" s="47">
        <v>0.77900000000000003</v>
      </c>
      <c r="H40" s="47">
        <v>0.84099999999999997</v>
      </c>
      <c r="I40" s="47">
        <f t="shared" si="16"/>
        <v>0.91641620000000001</v>
      </c>
      <c r="J40" s="47">
        <f t="shared" si="16"/>
        <v>0.96081860000000008</v>
      </c>
      <c r="K40" s="47">
        <f t="shared" si="16"/>
        <v>1.0372893999999999</v>
      </c>
      <c r="L40" s="48">
        <f t="shared" si="17"/>
        <v>0.97150806666666656</v>
      </c>
      <c r="M40" s="47">
        <f t="shared" si="20"/>
        <v>3.5300052609844298E-2</v>
      </c>
      <c r="N40" s="47">
        <f t="shared" si="18"/>
        <v>-8.7284650689122487E-2</v>
      </c>
      <c r="O40" s="47">
        <f t="shared" si="18"/>
        <v>-3.9969649536133321E-2</v>
      </c>
      <c r="P40" s="47">
        <f t="shared" si="18"/>
        <v>3.6610964566066308E-2</v>
      </c>
      <c r="Q40" s="48">
        <f t="shared" si="19"/>
        <v>-3.0214445219729835E-2</v>
      </c>
      <c r="R40" s="47">
        <f t="shared" si="21"/>
        <v>3.6096647481940879E-2</v>
      </c>
      <c r="S40" s="47">
        <f t="shared" si="22"/>
        <v>4.9356754040536599E-3</v>
      </c>
      <c r="T40" s="47">
        <f t="shared" si="23"/>
        <v>3.9231466391092045E-3</v>
      </c>
      <c r="U40" s="47">
        <f t="shared" si="24"/>
        <v>4.2745784407215827E-3</v>
      </c>
      <c r="V40" s="48">
        <f t="shared" si="25"/>
        <v>4.3778001612948154E-3</v>
      </c>
      <c r="W40" s="47">
        <f t="shared" si="26"/>
        <v>2.9681344739221864E-4</v>
      </c>
      <c r="X40" s="47">
        <f t="shared" si="27"/>
        <v>4.2525113689095128E-3</v>
      </c>
      <c r="Y40" s="47">
        <f t="shared" si="28"/>
        <v>4.4585549883990726E-3</v>
      </c>
      <c r="Z40" s="47">
        <f t="shared" si="29"/>
        <v>4.8134078886310902E-3</v>
      </c>
      <c r="AA40" s="48">
        <f t="shared" si="30"/>
        <v>4.5081580819798924E-3</v>
      </c>
      <c r="AB40" s="163">
        <f t="shared" si="31"/>
        <v>1.6380534853756057E-4</v>
      </c>
    </row>
    <row r="41" spans="2:28" x14ac:dyDescent="0.15">
      <c r="B41" s="50" t="s">
        <v>33</v>
      </c>
      <c r="C41" s="43">
        <v>0.4375</v>
      </c>
      <c r="D41" s="44">
        <f>48+D40</f>
        <v>263.5</v>
      </c>
      <c r="E41" s="45">
        <v>12</v>
      </c>
      <c r="F41" s="46">
        <v>0.82799999999999996</v>
      </c>
      <c r="G41" s="47">
        <v>0.94699999999999995</v>
      </c>
      <c r="H41" s="47">
        <v>0.95699999999999996</v>
      </c>
      <c r="I41" s="47">
        <f t="shared" si="16"/>
        <v>1.0212551999999999</v>
      </c>
      <c r="J41" s="47">
        <f t="shared" si="16"/>
        <v>1.1680298</v>
      </c>
      <c r="K41" s="47">
        <f t="shared" si="16"/>
        <v>1.1803638000000001</v>
      </c>
      <c r="L41" s="48">
        <f t="shared" si="17"/>
        <v>1.1232162666666667</v>
      </c>
      <c r="M41" s="47">
        <f t="shared" si="20"/>
        <v>5.1104716761610658E-2</v>
      </c>
      <c r="N41" s="47">
        <f t="shared" si="18"/>
        <v>2.1032458978377949E-2</v>
      </c>
      <c r="O41" s="47">
        <f t="shared" si="18"/>
        <v>0.15531839777919659</v>
      </c>
      <c r="P41" s="47">
        <f t="shared" si="18"/>
        <v>0.16582269604607267</v>
      </c>
      <c r="Q41" s="48">
        <f t="shared" si="19"/>
        <v>0.11405785093454907</v>
      </c>
      <c r="R41" s="47">
        <f t="shared" si="21"/>
        <v>4.6611435406522739E-2</v>
      </c>
      <c r="S41" s="47">
        <f t="shared" si="22"/>
        <v>2.2566064514062591E-3</v>
      </c>
      <c r="T41" s="47">
        <f t="shared" si="23"/>
        <v>4.0685009857360397E-3</v>
      </c>
      <c r="U41" s="47">
        <f t="shared" si="24"/>
        <v>2.6919110725001326E-3</v>
      </c>
      <c r="V41" s="48">
        <f t="shared" si="25"/>
        <v>3.0056728365474767E-3</v>
      </c>
      <c r="W41" s="47">
        <f t="shared" si="26"/>
        <v>5.4606937419986884E-4</v>
      </c>
      <c r="X41" s="47">
        <f t="shared" si="27"/>
        <v>3.8757313092979122E-3</v>
      </c>
      <c r="Y41" s="47">
        <f t="shared" si="28"/>
        <v>4.4327506641366225E-3</v>
      </c>
      <c r="Z41" s="47">
        <f t="shared" si="29"/>
        <v>4.4795590132827327E-3</v>
      </c>
      <c r="AA41" s="48">
        <f t="shared" si="30"/>
        <v>4.2626803289057555E-3</v>
      </c>
      <c r="AB41" s="163">
        <f t="shared" si="31"/>
        <v>1.9394579416171033E-4</v>
      </c>
    </row>
    <row r="42" spans="2:28" x14ac:dyDescent="0.15">
      <c r="B42" s="50" t="s">
        <v>34</v>
      </c>
      <c r="C42" s="43">
        <v>0.4375</v>
      </c>
      <c r="D42" s="44">
        <f>24+D41</f>
        <v>287.5</v>
      </c>
      <c r="E42" s="45">
        <v>13</v>
      </c>
      <c r="F42" s="46">
        <v>0.93100000000000005</v>
      </c>
      <c r="G42" s="47">
        <f>2*0.554</f>
        <v>1.1080000000000001</v>
      </c>
      <c r="H42" s="47">
        <v>1.0840000000000001</v>
      </c>
      <c r="I42" s="47">
        <f t="shared" si="16"/>
        <v>1.1482954000000001</v>
      </c>
      <c r="J42" s="47">
        <f t="shared" si="16"/>
        <v>1.3666072000000002</v>
      </c>
      <c r="K42" s="47">
        <f t="shared" si="16"/>
        <v>1.3370056000000001</v>
      </c>
      <c r="L42" s="48">
        <f t="shared" si="17"/>
        <v>1.2839694000000001</v>
      </c>
      <c r="M42" s="47">
        <f t="shared" si="20"/>
        <v>6.8373092630654095E-2</v>
      </c>
      <c r="N42" s="47">
        <f t="shared" si="18"/>
        <v>0.13827858187018546</v>
      </c>
      <c r="O42" s="47">
        <f t="shared" si="18"/>
        <v>0.31233117190034765</v>
      </c>
      <c r="P42" s="47">
        <f t="shared" si="18"/>
        <v>0.29043248659270993</v>
      </c>
      <c r="Q42" s="48">
        <f t="shared" si="19"/>
        <v>0.24701408012108103</v>
      </c>
      <c r="R42" s="47">
        <f t="shared" si="21"/>
        <v>5.4734037366930458E-2</v>
      </c>
      <c r="S42" s="47">
        <f t="shared" si="22"/>
        <v>4.8852551204919799E-3</v>
      </c>
      <c r="T42" s="47">
        <f t="shared" si="23"/>
        <v>6.5421989217146273E-3</v>
      </c>
      <c r="U42" s="47">
        <f t="shared" si="24"/>
        <v>5.1920746061098859E-3</v>
      </c>
      <c r="V42" s="48">
        <f t="shared" si="25"/>
        <v>5.5398428827721641E-3</v>
      </c>
      <c r="W42" s="47">
        <f t="shared" si="26"/>
        <v>5.0894425719392468E-4</v>
      </c>
      <c r="X42" s="47">
        <f t="shared" si="27"/>
        <v>3.9940709565217392E-3</v>
      </c>
      <c r="Y42" s="47">
        <f t="shared" si="28"/>
        <v>4.7534163478260881E-3</v>
      </c>
      <c r="Z42" s="47">
        <f t="shared" si="29"/>
        <v>4.6504542608695656E-3</v>
      </c>
      <c r="AA42" s="48">
        <f t="shared" si="30"/>
        <v>4.4659805217391307E-3</v>
      </c>
      <c r="AB42" s="163">
        <f t="shared" si="31"/>
        <v>2.3781945262836223E-4</v>
      </c>
    </row>
    <row r="43" spans="2:28" x14ac:dyDescent="0.15">
      <c r="B43" s="50" t="s">
        <v>35</v>
      </c>
      <c r="C43" s="43">
        <v>0.4375</v>
      </c>
      <c r="D43" s="44">
        <f>24+D42</f>
        <v>311.5</v>
      </c>
      <c r="E43" s="45">
        <v>14</v>
      </c>
      <c r="F43" s="46">
        <v>1.01</v>
      </c>
      <c r="G43" s="47">
        <v>1.19</v>
      </c>
      <c r="H43" s="47">
        <v>1.1259999999999999</v>
      </c>
      <c r="I43" s="47">
        <f t="shared" si="16"/>
        <v>1.2457340000000001</v>
      </c>
      <c r="J43" s="47">
        <f t="shared" si="16"/>
        <v>1.467746</v>
      </c>
      <c r="K43" s="47">
        <f t="shared" si="16"/>
        <v>1.3888083999999998</v>
      </c>
      <c r="L43" s="48">
        <f t="shared" si="17"/>
        <v>1.3674294666666666</v>
      </c>
      <c r="M43" s="47">
        <f t="shared" si="20"/>
        <v>6.4974677449124538E-2</v>
      </c>
      <c r="N43" s="47">
        <f t="shared" si="18"/>
        <v>0.21972491442842357</v>
      </c>
      <c r="O43" s="47">
        <f t="shared" si="18"/>
        <v>0.3837278906986934</v>
      </c>
      <c r="P43" s="47">
        <f t="shared" si="18"/>
        <v>0.32844611329275392</v>
      </c>
      <c r="Q43" s="48">
        <f t="shared" si="19"/>
        <v>0.31063297280662366</v>
      </c>
      <c r="R43" s="47">
        <f t="shared" si="21"/>
        <v>4.8174076835509234E-2</v>
      </c>
      <c r="S43" s="47">
        <f t="shared" si="22"/>
        <v>3.3935971899265878E-3</v>
      </c>
      <c r="T43" s="47">
        <f t="shared" si="23"/>
        <v>2.9748632832644062E-3</v>
      </c>
      <c r="U43" s="47">
        <f t="shared" si="24"/>
        <v>1.5839011125018329E-3</v>
      </c>
      <c r="V43" s="48">
        <f t="shared" si="25"/>
        <v>2.6507871952309425E-3</v>
      </c>
      <c r="W43" s="47">
        <f t="shared" si="26"/>
        <v>5.469670789264321E-4</v>
      </c>
      <c r="X43" s="47">
        <f t="shared" si="27"/>
        <v>3.9991460674157304E-3</v>
      </c>
      <c r="Y43" s="47">
        <f t="shared" si="28"/>
        <v>4.7118651685393257E-3</v>
      </c>
      <c r="Z43" s="47">
        <f t="shared" si="29"/>
        <v>4.4584539325842687E-3</v>
      </c>
      <c r="AA43" s="48">
        <f t="shared" si="30"/>
        <v>4.389821722846441E-3</v>
      </c>
      <c r="AB43" s="163">
        <f t="shared" si="31"/>
        <v>2.0858644445946887E-4</v>
      </c>
    </row>
    <row r="44" spans="2:28" x14ac:dyDescent="0.15">
      <c r="B44" s="51" t="s">
        <v>36</v>
      </c>
      <c r="C44" s="43">
        <v>0.4375</v>
      </c>
      <c r="D44" s="44">
        <f>24+D43</f>
        <v>335.5</v>
      </c>
      <c r="E44" s="45">
        <v>15</v>
      </c>
      <c r="F44" s="46">
        <f>2*0.523</f>
        <v>1.046</v>
      </c>
      <c r="G44" s="47">
        <f>2*0.637</f>
        <v>1.274</v>
      </c>
      <c r="H44" s="47">
        <f>2*0.626</f>
        <v>1.252</v>
      </c>
      <c r="I44" s="47">
        <f t="shared" si="16"/>
        <v>1.2901364000000002</v>
      </c>
      <c r="J44" s="47">
        <f t="shared" si="16"/>
        <v>1.5713516000000001</v>
      </c>
      <c r="K44" s="47">
        <f t="shared" si="16"/>
        <v>1.5442168000000001</v>
      </c>
      <c r="L44" s="48">
        <f t="shared" si="17"/>
        <v>1.4685682666666668</v>
      </c>
      <c r="M44" s="47">
        <f t="shared" si="20"/>
        <v>8.9559147354087196E-2</v>
      </c>
      <c r="N44" s="47">
        <f t="shared" si="18"/>
        <v>0.25474794921798671</v>
      </c>
      <c r="O44" s="47">
        <f t="shared" si="18"/>
        <v>0.45193614072522703</v>
      </c>
      <c r="P44" s="47">
        <f t="shared" si="18"/>
        <v>0.43451685625316222</v>
      </c>
      <c r="Q44" s="48">
        <f t="shared" si="19"/>
        <v>0.38040031539879199</v>
      </c>
      <c r="R44" s="47">
        <f t="shared" si="21"/>
        <v>6.3027099232541933E-2</v>
      </c>
      <c r="S44" s="47">
        <f t="shared" si="22"/>
        <v>1.4592931162317978E-3</v>
      </c>
      <c r="T44" s="47">
        <f t="shared" si="23"/>
        <v>2.8420104177722346E-3</v>
      </c>
      <c r="U44" s="47">
        <f t="shared" si="24"/>
        <v>4.4196142900170127E-3</v>
      </c>
      <c r="V44" s="48">
        <f t="shared" si="25"/>
        <v>2.9069726080070148E-3</v>
      </c>
      <c r="W44" s="47">
        <f t="shared" si="26"/>
        <v>8.5518817180983491E-4</v>
      </c>
      <c r="X44" s="47">
        <f t="shared" si="27"/>
        <v>3.8454140089418782E-3</v>
      </c>
      <c r="Y44" s="47">
        <f t="shared" si="28"/>
        <v>4.6836113263785395E-3</v>
      </c>
      <c r="Z44" s="47">
        <f t="shared" si="29"/>
        <v>4.6027326378539494E-3</v>
      </c>
      <c r="AA44" s="48">
        <f t="shared" si="30"/>
        <v>4.3772526577247894E-3</v>
      </c>
      <c r="AB44" s="163">
        <f t="shared" si="31"/>
        <v>2.669423170017502E-4</v>
      </c>
    </row>
    <row r="45" spans="2:28" x14ac:dyDescent="0.15">
      <c r="B45" s="51" t="s">
        <v>37</v>
      </c>
      <c r="C45" s="43">
        <v>0.5</v>
      </c>
      <c r="D45" s="44">
        <f>24+1.5+D44</f>
        <v>361</v>
      </c>
      <c r="E45" s="45">
        <v>16</v>
      </c>
      <c r="F45" s="46">
        <v>1.137</v>
      </c>
      <c r="G45" s="47">
        <v>1.2689999999999999</v>
      </c>
      <c r="H45" s="47">
        <v>1.286</v>
      </c>
      <c r="I45" s="47">
        <f t="shared" si="16"/>
        <v>1.4023758000000002</v>
      </c>
      <c r="J45" s="47">
        <f t="shared" si="16"/>
        <v>1.5651846</v>
      </c>
      <c r="K45" s="47">
        <f t="shared" si="16"/>
        <v>1.5861524</v>
      </c>
      <c r="L45" s="48">
        <f t="shared" si="17"/>
        <v>1.5179042666666664</v>
      </c>
      <c r="M45" s="47">
        <f t="shared" si="20"/>
        <v>5.8080496201316202E-2</v>
      </c>
      <c r="N45" s="47">
        <f t="shared" si="18"/>
        <v>0.33816779834365451</v>
      </c>
      <c r="O45" s="47">
        <f t="shared" si="18"/>
        <v>0.44800377230750604</v>
      </c>
      <c r="P45" s="47">
        <f t="shared" si="18"/>
        <v>0.46131120939068304</v>
      </c>
      <c r="Q45" s="48">
        <f t="shared" si="19"/>
        <v>0.4158275933472812</v>
      </c>
      <c r="R45" s="47">
        <f t="shared" si="21"/>
        <v>3.9019460061336456E-2</v>
      </c>
      <c r="S45" s="47">
        <f t="shared" si="22"/>
        <v>3.2713666323791295E-3</v>
      </c>
      <c r="T45" s="47">
        <f t="shared" si="23"/>
        <v>-1.5421052618513681E-4</v>
      </c>
      <c r="U45" s="47">
        <f t="shared" si="24"/>
        <v>1.0507589465694439E-3</v>
      </c>
      <c r="V45" s="48">
        <f t="shared" si="25"/>
        <v>1.389305017587812E-3</v>
      </c>
      <c r="W45" s="47">
        <f t="shared" si="26"/>
        <v>1.0032621456978548E-3</v>
      </c>
      <c r="X45" s="47">
        <f t="shared" si="27"/>
        <v>3.8846975069252083E-3</v>
      </c>
      <c r="Y45" s="47">
        <f t="shared" si="28"/>
        <v>4.335691412742382E-3</v>
      </c>
      <c r="Z45" s="47">
        <f t="shared" si="29"/>
        <v>4.3937739612188364E-3</v>
      </c>
      <c r="AA45" s="48">
        <f t="shared" si="30"/>
        <v>4.2047209602954763E-3</v>
      </c>
      <c r="AB45" s="163">
        <f t="shared" si="31"/>
        <v>1.608878011116791E-4</v>
      </c>
    </row>
    <row r="46" spans="2:28" x14ac:dyDescent="0.15">
      <c r="B46" s="51" t="s">
        <v>38</v>
      </c>
      <c r="C46" s="43">
        <v>0.52083333333333337</v>
      </c>
      <c r="D46" s="44">
        <f>24.5+D45</f>
        <v>385.5</v>
      </c>
      <c r="E46" s="45">
        <v>17</v>
      </c>
      <c r="F46" s="46">
        <v>1.21</v>
      </c>
      <c r="G46" s="47">
        <v>1.3320000000000001</v>
      </c>
      <c r="H46" s="47">
        <v>1.29</v>
      </c>
      <c r="I46" s="47">
        <f t="shared" si="16"/>
        <v>1.4924140000000001</v>
      </c>
      <c r="J46" s="47">
        <f t="shared" si="16"/>
        <v>1.6428888000000001</v>
      </c>
      <c r="K46" s="47">
        <f t="shared" si="16"/>
        <v>1.591086</v>
      </c>
      <c r="L46" s="48">
        <f t="shared" si="17"/>
        <v>1.5754629333333334</v>
      </c>
      <c r="M46" s="47">
        <f t="shared" si="20"/>
        <v>4.413512024761132E-2</v>
      </c>
      <c r="N46" s="47">
        <f t="shared" si="18"/>
        <v>0.40039494318390517</v>
      </c>
      <c r="O46" s="47">
        <f t="shared" si="18"/>
        <v>0.49645615569345286</v>
      </c>
      <c r="P46" s="47">
        <f t="shared" si="18"/>
        <v>0.46441680194883611</v>
      </c>
      <c r="Q46" s="48">
        <f t="shared" si="19"/>
        <v>0.45375596694206471</v>
      </c>
      <c r="R46" s="47">
        <f t="shared" si="21"/>
        <v>2.8238149074625522E-2</v>
      </c>
      <c r="S46" s="47">
        <f t="shared" si="22"/>
        <v>2.5398834628673739E-3</v>
      </c>
      <c r="T46" s="47">
        <f t="shared" si="23"/>
        <v>1.9776483014672169E-3</v>
      </c>
      <c r="U46" s="47">
        <f t="shared" si="24"/>
        <v>1.2675887992461509E-4</v>
      </c>
      <c r="V46" s="48">
        <f t="shared" si="25"/>
        <v>1.5480968814197353E-3</v>
      </c>
      <c r="W46" s="47">
        <f t="shared" si="26"/>
        <v>7.2896693570405346E-4</v>
      </c>
      <c r="X46" s="47">
        <f t="shared" si="27"/>
        <v>3.8713722438391703E-3</v>
      </c>
      <c r="Y46" s="47">
        <f t="shared" si="28"/>
        <v>4.2617089494163428E-3</v>
      </c>
      <c r="Z46" s="47">
        <f t="shared" si="29"/>
        <v>4.1273307392996105E-3</v>
      </c>
      <c r="AA46" s="48">
        <f t="shared" si="30"/>
        <v>4.0868039775183744E-3</v>
      </c>
      <c r="AB46" s="163">
        <f t="shared" si="31"/>
        <v>1.1448799026617718E-4</v>
      </c>
    </row>
    <row r="47" spans="2:28" ht="15" thickBot="1" x14ac:dyDescent="0.2">
      <c r="B47" s="51" t="s">
        <v>39</v>
      </c>
      <c r="C47" s="43">
        <v>0.5</v>
      </c>
      <c r="D47" s="44">
        <f>48+D45</f>
        <v>409</v>
      </c>
      <c r="E47" s="45">
        <v>18</v>
      </c>
      <c r="F47" s="46">
        <v>1.218</v>
      </c>
      <c r="G47" s="47">
        <v>1.3859999999999999</v>
      </c>
      <c r="H47" s="47">
        <v>1.365</v>
      </c>
      <c r="I47" s="47">
        <f t="shared" si="16"/>
        <v>1.5022812000000001</v>
      </c>
      <c r="J47" s="47">
        <f t="shared" si="16"/>
        <v>1.7094924</v>
      </c>
      <c r="K47" s="47">
        <f t="shared" si="16"/>
        <v>1.6835910000000001</v>
      </c>
      <c r="L47" s="48">
        <f t="shared" si="17"/>
        <v>1.6317881999999999</v>
      </c>
      <c r="M47" s="47">
        <f t="shared" si="20"/>
        <v>6.5183760547240593E-2</v>
      </c>
      <c r="N47" s="47">
        <f t="shared" si="18"/>
        <v>0.40698475286296071</v>
      </c>
      <c r="O47" s="47">
        <f t="shared" si="18"/>
        <v>0.53619648434296685</v>
      </c>
      <c r="P47" s="47">
        <f t="shared" si="18"/>
        <v>0.52092901221217847</v>
      </c>
      <c r="Q47" s="48">
        <f t="shared" si="19"/>
        <v>0.48803674980603534</v>
      </c>
      <c r="R47" s="47">
        <f t="shared" si="21"/>
        <v>4.0764950560750447E-2</v>
      </c>
      <c r="S47" s="47">
        <f t="shared" si="22"/>
        <v>2.8041743315129942E-4</v>
      </c>
      <c r="T47" s="47">
        <f t="shared" si="23"/>
        <v>1.6910778148729357E-3</v>
      </c>
      <c r="U47" s="47">
        <f t="shared" si="24"/>
        <v>2.404774904823079E-3</v>
      </c>
      <c r="V47" s="48">
        <f t="shared" si="25"/>
        <v>1.4587567176157716E-3</v>
      </c>
      <c r="W47" s="47">
        <f t="shared" si="26"/>
        <v>6.2415368995010856E-4</v>
      </c>
      <c r="X47" s="47">
        <f t="shared" si="27"/>
        <v>3.6730591687041568E-3</v>
      </c>
      <c r="Y47" s="47">
        <f t="shared" si="28"/>
        <v>4.1796880195599023E-3</v>
      </c>
      <c r="Z47" s="47">
        <f t="shared" si="29"/>
        <v>4.1163594132029345E-3</v>
      </c>
      <c r="AA47" s="48">
        <f t="shared" si="30"/>
        <v>3.9897022004889982E-3</v>
      </c>
      <c r="AB47" s="163">
        <f t="shared" si="31"/>
        <v>1.5937349767051491E-4</v>
      </c>
    </row>
    <row r="48" spans="2:28" ht="15" thickBot="1" x14ac:dyDescent="0.2">
      <c r="B48" s="186" t="s">
        <v>71</v>
      </c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8"/>
    </row>
    <row r="49" spans="1:36" ht="60" x14ac:dyDescent="0.15">
      <c r="B49" s="26" t="s">
        <v>0</v>
      </c>
      <c r="C49" s="27" t="s">
        <v>1</v>
      </c>
      <c r="D49" s="28" t="s">
        <v>2</v>
      </c>
      <c r="E49" s="29" t="s">
        <v>3</v>
      </c>
      <c r="F49" s="182" t="s">
        <v>61</v>
      </c>
      <c r="G49" s="183"/>
      <c r="H49" s="184"/>
      <c r="I49" s="185" t="s">
        <v>10</v>
      </c>
      <c r="J49" s="183"/>
      <c r="K49" s="184"/>
      <c r="L49" s="30" t="s">
        <v>4</v>
      </c>
      <c r="M49" s="31" t="s">
        <v>70</v>
      </c>
      <c r="N49" s="185" t="s">
        <v>63</v>
      </c>
      <c r="O49" s="183"/>
      <c r="P49" s="184"/>
      <c r="Q49" s="31" t="s">
        <v>5</v>
      </c>
      <c r="R49" s="31" t="s">
        <v>62</v>
      </c>
      <c r="S49" s="201" t="s">
        <v>6</v>
      </c>
      <c r="T49" s="202"/>
      <c r="U49" s="202"/>
      <c r="V49" s="30" t="s">
        <v>64</v>
      </c>
      <c r="W49" s="30" t="s">
        <v>62</v>
      </c>
      <c r="X49" s="185" t="s">
        <v>65</v>
      </c>
      <c r="Y49" s="183"/>
      <c r="Z49" s="184"/>
      <c r="AA49" s="30" t="s">
        <v>66</v>
      </c>
      <c r="AB49" s="32" t="s">
        <v>62</v>
      </c>
    </row>
    <row r="50" spans="1:36" x14ac:dyDescent="0.15">
      <c r="B50" s="33"/>
      <c r="C50" s="34"/>
      <c r="D50" s="35"/>
      <c r="E50" s="36"/>
      <c r="F50" s="192" t="s">
        <v>13</v>
      </c>
      <c r="G50" s="193"/>
      <c r="H50" s="194"/>
      <c r="I50" s="195" t="s">
        <v>7</v>
      </c>
      <c r="J50" s="193"/>
      <c r="K50" s="194"/>
      <c r="L50" s="38" t="s">
        <v>7</v>
      </c>
      <c r="M50" s="38"/>
      <c r="N50" s="195" t="s">
        <v>7</v>
      </c>
      <c r="O50" s="193"/>
      <c r="P50" s="194"/>
      <c r="Q50" s="37"/>
      <c r="R50" s="37"/>
      <c r="S50" s="199" t="s">
        <v>67</v>
      </c>
      <c r="T50" s="200"/>
      <c r="U50" s="200"/>
      <c r="V50" s="38" t="s">
        <v>67</v>
      </c>
      <c r="W50" s="35"/>
      <c r="X50" s="196" t="s">
        <v>68</v>
      </c>
      <c r="Y50" s="197"/>
      <c r="Z50" s="198"/>
      <c r="AA50" s="40" t="s">
        <v>68</v>
      </c>
      <c r="AB50" s="41"/>
    </row>
    <row r="51" spans="1:36" x14ac:dyDescent="0.15">
      <c r="B51" s="42" t="s">
        <v>23</v>
      </c>
      <c r="C51" s="43">
        <v>0.52083333333333337</v>
      </c>
      <c r="D51" s="8">
        <v>0</v>
      </c>
      <c r="E51" s="45">
        <v>1</v>
      </c>
      <c r="F51" s="46">
        <v>0.10199999999999999</v>
      </c>
      <c r="G51" s="47">
        <v>0.108</v>
      </c>
      <c r="H51" s="47">
        <v>0.10100000000000001</v>
      </c>
      <c r="I51" s="47">
        <f t="shared" ref="I51:K70" si="32">1.2334*F51</f>
        <v>0.1258068</v>
      </c>
      <c r="J51" s="47">
        <f t="shared" si="32"/>
        <v>0.1332072</v>
      </c>
      <c r="K51" s="47">
        <f t="shared" si="32"/>
        <v>0.12457340000000001</v>
      </c>
      <c r="L51" s="48">
        <f t="shared" ref="L51:L70" si="33">AVERAGE(I51:K51)</f>
        <v>0.12786246666666665</v>
      </c>
      <c r="M51" s="135">
        <f t="shared" ref="M51:M70" si="34">STDEV(I51:K51)/SQRT(3)</f>
        <v>2.695981558624693E-3</v>
      </c>
      <c r="N51" s="47">
        <f t="shared" ref="N51:P70" si="35">LN(I51)</f>
        <v>-2.0730078821226106</v>
      </c>
      <c r="O51" s="47">
        <f t="shared" si="35"/>
        <v>-2.0158494682826622</v>
      </c>
      <c r="P51" s="47">
        <f t="shared" si="35"/>
        <v>-2.082860178565622</v>
      </c>
      <c r="Q51" s="48">
        <f t="shared" ref="Q51:Q70" si="36">AVERAGE(N51:P51)</f>
        <v>-2.0572391763236317</v>
      </c>
      <c r="R51" s="47">
        <f>STDEV(N51:P51)/SQRT(3)</f>
        <v>2.088937437301365E-2</v>
      </c>
      <c r="S51" s="47"/>
      <c r="T51" s="8"/>
      <c r="U51" s="8"/>
      <c r="V51" s="167"/>
      <c r="W51" s="8"/>
      <c r="X51" s="8"/>
      <c r="Y51" s="8"/>
      <c r="Z51" s="8"/>
      <c r="AA51" s="167"/>
      <c r="AB51" s="45"/>
      <c r="AH51" s="1"/>
      <c r="AI51" s="134"/>
      <c r="AJ51" s="134"/>
    </row>
    <row r="52" spans="1:36" x14ac:dyDescent="0.15">
      <c r="B52" s="50"/>
      <c r="C52" s="43">
        <v>0.66666666666666663</v>
      </c>
      <c r="D52" s="44">
        <f>3.5+D51</f>
        <v>3.5</v>
      </c>
      <c r="E52" s="54"/>
      <c r="F52" s="46">
        <v>0.108</v>
      </c>
      <c r="G52" s="47">
        <v>0.11899999999999999</v>
      </c>
      <c r="H52" s="47">
        <v>0.111</v>
      </c>
      <c r="I52" s="47">
        <f t="shared" si="32"/>
        <v>0.1332072</v>
      </c>
      <c r="J52" s="47">
        <f t="shared" si="32"/>
        <v>0.14677460000000001</v>
      </c>
      <c r="K52" s="47">
        <f t="shared" si="32"/>
        <v>0.13690740000000001</v>
      </c>
      <c r="L52" s="48">
        <f t="shared" si="33"/>
        <v>0.13896306666666666</v>
      </c>
      <c r="M52" s="135">
        <f t="shared" si="34"/>
        <v>4.0491937375784397E-3</v>
      </c>
      <c r="N52" s="47">
        <f t="shared" si="35"/>
        <v>-2.0158494682826622</v>
      </c>
      <c r="O52" s="47">
        <f t="shared" si="35"/>
        <v>-1.9188572022953523</v>
      </c>
      <c r="P52" s="47">
        <f t="shared" si="35"/>
        <v>-1.9884504940945475</v>
      </c>
      <c r="Q52" s="48">
        <f t="shared" si="36"/>
        <v>-1.9743857215575209</v>
      </c>
      <c r="R52" s="47">
        <f t="shared" ref="R52:R70" si="37">STDEV(N52:P52)/SQRT(3)</f>
        <v>2.8868889167100505E-2</v>
      </c>
      <c r="S52" s="47">
        <f>(N52-N51)/(D52-D51)</f>
        <v>1.6330975382842387E-2</v>
      </c>
      <c r="T52" s="47">
        <f>(O52-O51)/(D52-D51)</f>
        <v>2.7712075996374264E-2</v>
      </c>
      <c r="U52" s="47">
        <f>(P52-P51)/(D52-D51)</f>
        <v>2.6974195563164129E-2</v>
      </c>
      <c r="V52" s="48">
        <f>AVERAGE(S52:U52)</f>
        <v>2.3672415647460258E-2</v>
      </c>
      <c r="W52" s="47">
        <f>STDEV(S52:U52)/SQRT(3)</f>
        <v>3.6768952370463859E-3</v>
      </c>
      <c r="X52" s="47">
        <f>I52/D52</f>
        <v>3.8059200000000001E-2</v>
      </c>
      <c r="Y52" s="47">
        <f>J52/D52</f>
        <v>4.1935600000000003E-2</v>
      </c>
      <c r="Z52" s="47">
        <f>K52/D52</f>
        <v>3.9116400000000003E-2</v>
      </c>
      <c r="AA52" s="48">
        <f>AVERAGE(X52:Z52)</f>
        <v>3.9703733333333331E-2</v>
      </c>
      <c r="AB52" s="163">
        <f>STDEV(X52:Z52)/SQRT(3)</f>
        <v>1.1569124964509829E-3</v>
      </c>
      <c r="AH52" s="2"/>
      <c r="AI52" s="134"/>
      <c r="AJ52" s="134"/>
    </row>
    <row r="53" spans="1:36" x14ac:dyDescent="0.15">
      <c r="B53" s="50"/>
      <c r="C53" s="43">
        <v>0.85416666666666663</v>
      </c>
      <c r="D53" s="55">
        <f>4.5+D52</f>
        <v>8</v>
      </c>
      <c r="E53" s="45"/>
      <c r="F53" s="46">
        <v>0.11799999999999999</v>
      </c>
      <c r="G53" s="47">
        <v>0.124</v>
      </c>
      <c r="H53" s="47">
        <v>0.115</v>
      </c>
      <c r="I53" s="47">
        <f t="shared" si="32"/>
        <v>0.14554120000000001</v>
      </c>
      <c r="J53" s="47">
        <f t="shared" si="32"/>
        <v>0.15294160000000001</v>
      </c>
      <c r="K53" s="47">
        <f t="shared" si="32"/>
        <v>0.14184100000000002</v>
      </c>
      <c r="L53" s="48">
        <f t="shared" si="33"/>
        <v>0.14677460000000001</v>
      </c>
      <c r="M53" s="135">
        <f t="shared" si="34"/>
        <v>3.2632696670670631E-3</v>
      </c>
      <c r="N53" s="47">
        <f t="shared" si="35"/>
        <v>-1.9272960709412168</v>
      </c>
      <c r="O53" s="47">
        <f t="shared" si="35"/>
        <v>-1.8776991298018448</v>
      </c>
      <c r="P53" s="47">
        <f t="shared" si="35"/>
        <v>-1.9530485670436315</v>
      </c>
      <c r="Q53" s="48">
        <f t="shared" si="36"/>
        <v>-1.9193479225955645</v>
      </c>
      <c r="R53" s="47">
        <f t="shared" si="37"/>
        <v>2.2111567257560461E-2</v>
      </c>
      <c r="S53" s="47">
        <f t="shared" ref="S53:S70" si="38">(N53-N52)/(D53-D52)</f>
        <v>1.9678532742543425E-2</v>
      </c>
      <c r="T53" s="47">
        <f t="shared" ref="T53:T70" si="39">(O53-O52)/(D53-D52)</f>
        <v>9.1462383318905438E-3</v>
      </c>
      <c r="U53" s="47">
        <f t="shared" ref="U53:U70" si="40">(P53-P52)/(D53-D52)</f>
        <v>7.867094900203566E-3</v>
      </c>
      <c r="V53" s="48">
        <f t="shared" ref="V53:V70" si="41">AVERAGE(S53:U53)</f>
        <v>1.2230621991545844E-2</v>
      </c>
      <c r="W53" s="47">
        <f t="shared" ref="W53:W70" si="42">STDEV(S53:U53)/SQRT(3)</f>
        <v>3.7422178315283383E-3</v>
      </c>
      <c r="X53" s="47">
        <f t="shared" ref="X53:X70" si="43">I53/D53</f>
        <v>1.8192650000000001E-2</v>
      </c>
      <c r="Y53" s="47">
        <f t="shared" ref="Y53:Y70" si="44">J53/D53</f>
        <v>1.9117700000000001E-2</v>
      </c>
      <c r="Z53" s="47">
        <f t="shared" ref="Z53:Z70" si="45">K53/D53</f>
        <v>1.7730125000000003E-2</v>
      </c>
      <c r="AA53" s="48">
        <f t="shared" ref="AA53:AA70" si="46">AVERAGE(X53:Z53)</f>
        <v>1.8346825000000001E-2</v>
      </c>
      <c r="AB53" s="163">
        <f t="shared" ref="AB53:AB70" si="47">STDEV(X53:Z53)/SQRT(3)</f>
        <v>4.0790870838338289E-4</v>
      </c>
      <c r="AH53" s="3"/>
      <c r="AI53" s="134"/>
      <c r="AJ53" s="134"/>
    </row>
    <row r="54" spans="1:36" x14ac:dyDescent="0.15">
      <c r="B54" s="50" t="s">
        <v>24</v>
      </c>
      <c r="C54" s="43">
        <v>0.4375</v>
      </c>
      <c r="D54" s="55">
        <f>2+12+D53</f>
        <v>22</v>
      </c>
      <c r="E54" s="45">
        <v>2</v>
      </c>
      <c r="F54" s="46">
        <v>0.14699999999999999</v>
      </c>
      <c r="G54" s="47">
        <v>0.13100000000000001</v>
      </c>
      <c r="H54" s="47">
        <v>0.152</v>
      </c>
      <c r="I54" s="47">
        <f t="shared" si="32"/>
        <v>0.18130979999999999</v>
      </c>
      <c r="J54" s="47">
        <f t="shared" si="32"/>
        <v>0.16157540000000001</v>
      </c>
      <c r="K54" s="47">
        <f t="shared" si="32"/>
        <v>0.1874768</v>
      </c>
      <c r="L54" s="48">
        <f t="shared" si="33"/>
        <v>0.17678733333333332</v>
      </c>
      <c r="M54" s="135">
        <f t="shared" si="34"/>
        <v>7.8115333333333313E-3</v>
      </c>
      <c r="N54" s="47">
        <f t="shared" si="35"/>
        <v>-1.7075481086281454</v>
      </c>
      <c r="O54" s="47">
        <f t="shared" si="35"/>
        <v>-1.8227833722057301</v>
      </c>
      <c r="P54" s="47">
        <f t="shared" si="35"/>
        <v>-1.6741001745606052</v>
      </c>
      <c r="Q54" s="48">
        <f t="shared" si="36"/>
        <v>-1.7348105517981602</v>
      </c>
      <c r="R54" s="47">
        <f t="shared" si="37"/>
        <v>4.5033705603668046E-2</v>
      </c>
      <c r="S54" s="47">
        <f t="shared" si="38"/>
        <v>1.5696283022362239E-2</v>
      </c>
      <c r="T54" s="47">
        <f t="shared" si="39"/>
        <v>3.9225541140081987E-3</v>
      </c>
      <c r="U54" s="47">
        <f t="shared" si="40"/>
        <v>1.992488517735902E-2</v>
      </c>
      <c r="V54" s="48">
        <f t="shared" si="41"/>
        <v>1.3181240771243151E-2</v>
      </c>
      <c r="W54" s="47">
        <f t="shared" si="42"/>
        <v>4.787578650666615E-3</v>
      </c>
      <c r="X54" s="47">
        <f t="shared" si="43"/>
        <v>8.2413545454545455E-3</v>
      </c>
      <c r="Y54" s="47">
        <f t="shared" si="44"/>
        <v>7.344336363636364E-3</v>
      </c>
      <c r="Z54" s="47">
        <f t="shared" si="45"/>
        <v>8.5216727272727274E-3</v>
      </c>
      <c r="AA54" s="48">
        <f t="shared" si="46"/>
        <v>8.0357878787878784E-3</v>
      </c>
      <c r="AB54" s="163">
        <f t="shared" si="47"/>
        <v>3.5506969696969692E-4</v>
      </c>
      <c r="AH54" s="3"/>
      <c r="AI54" s="134"/>
      <c r="AJ54" s="134"/>
    </row>
    <row r="55" spans="1:36" x14ac:dyDescent="0.15">
      <c r="B55" s="50"/>
      <c r="C55" s="43">
        <v>0.66666666666666663</v>
      </c>
      <c r="D55" s="55">
        <f>5.5+D54</f>
        <v>27.5</v>
      </c>
      <c r="E55" s="45"/>
      <c r="F55" s="46">
        <v>0.16</v>
      </c>
      <c r="G55" s="47">
        <v>0.15</v>
      </c>
      <c r="H55" s="47">
        <v>0.16800000000000001</v>
      </c>
      <c r="I55" s="47">
        <f t="shared" si="32"/>
        <v>0.19734400000000002</v>
      </c>
      <c r="J55" s="47">
        <f t="shared" si="32"/>
        <v>0.18501000000000001</v>
      </c>
      <c r="K55" s="47">
        <f t="shared" si="32"/>
        <v>0.20721120000000001</v>
      </c>
      <c r="L55" s="48">
        <f t="shared" si="33"/>
        <v>0.19652173333333334</v>
      </c>
      <c r="M55" s="135">
        <f t="shared" si="34"/>
        <v>6.4221079668421799E-3</v>
      </c>
      <c r="N55" s="47">
        <f t="shared" si="35"/>
        <v>-1.6228068801730546</v>
      </c>
      <c r="O55" s="47">
        <f t="shared" si="35"/>
        <v>-1.6873454013106259</v>
      </c>
      <c r="P55" s="47">
        <f t="shared" si="35"/>
        <v>-1.5740167160036227</v>
      </c>
      <c r="Q55" s="48">
        <f t="shared" si="36"/>
        <v>-1.6280563324957678</v>
      </c>
      <c r="R55" s="47">
        <f t="shared" si="37"/>
        <v>3.2820294994712097E-2</v>
      </c>
      <c r="S55" s="47">
        <f t="shared" si="38"/>
        <v>1.5407496082743782E-2</v>
      </c>
      <c r="T55" s="47">
        <f t="shared" si="39"/>
        <v>2.4625085617291657E-2</v>
      </c>
      <c r="U55" s="47">
        <f t="shared" si="40"/>
        <v>1.8196992464905914E-2</v>
      </c>
      <c r="V55" s="48">
        <f t="shared" si="41"/>
        <v>1.9409858054980449E-2</v>
      </c>
      <c r="W55" s="47">
        <f t="shared" si="42"/>
        <v>2.7291189916370312E-3</v>
      </c>
      <c r="X55" s="47">
        <f t="shared" si="43"/>
        <v>7.1761454545454552E-3</v>
      </c>
      <c r="Y55" s="47">
        <f t="shared" si="44"/>
        <v>6.7276363636363636E-3</v>
      </c>
      <c r="Z55" s="47">
        <f t="shared" si="45"/>
        <v>7.5349527272727274E-3</v>
      </c>
      <c r="AA55" s="48">
        <f t="shared" si="46"/>
        <v>7.1462448484848479E-3</v>
      </c>
      <c r="AB55" s="163">
        <f t="shared" si="47"/>
        <v>2.3353119879426112E-4</v>
      </c>
      <c r="AH55" s="3"/>
      <c r="AI55" s="134"/>
      <c r="AJ55" s="134"/>
    </row>
    <row r="56" spans="1:36" x14ac:dyDescent="0.15">
      <c r="B56" s="50" t="s">
        <v>25</v>
      </c>
      <c r="C56" s="43">
        <v>0.52083333333333337</v>
      </c>
      <c r="D56" s="55">
        <f>12+8.5+D55</f>
        <v>48</v>
      </c>
      <c r="E56" s="45">
        <v>3</v>
      </c>
      <c r="F56" s="46">
        <v>0.22600000000000001</v>
      </c>
      <c r="G56" s="47">
        <v>0.2</v>
      </c>
      <c r="H56" s="47">
        <v>0.22</v>
      </c>
      <c r="I56" s="47">
        <f t="shared" si="32"/>
        <v>0.27874840000000001</v>
      </c>
      <c r="J56" s="47">
        <f t="shared" si="32"/>
        <v>0.24668000000000001</v>
      </c>
      <c r="K56" s="47">
        <f t="shared" si="32"/>
        <v>0.27134800000000003</v>
      </c>
      <c r="L56" s="48">
        <f t="shared" si="33"/>
        <v>0.26559213333333337</v>
      </c>
      <c r="M56" s="135">
        <f t="shared" si="34"/>
        <v>9.6943810263700938E-3</v>
      </c>
      <c r="N56" s="47">
        <f t="shared" si="35"/>
        <v>-1.2774456961345957</v>
      </c>
      <c r="O56" s="47">
        <f t="shared" si="35"/>
        <v>-1.3996633288588449</v>
      </c>
      <c r="P56" s="47">
        <f t="shared" si="35"/>
        <v>-1.3043531490545199</v>
      </c>
      <c r="Q56" s="48">
        <f t="shared" si="36"/>
        <v>-1.3271540580159868</v>
      </c>
      <c r="R56" s="47">
        <f t="shared" si="37"/>
        <v>3.7077389895018666E-2</v>
      </c>
      <c r="S56" s="47">
        <f t="shared" si="38"/>
        <v>1.6846887026266289E-2</v>
      </c>
      <c r="T56" s="47">
        <f t="shared" si="39"/>
        <v>1.4033271826916147E-2</v>
      </c>
      <c r="U56" s="47">
        <f t="shared" si="40"/>
        <v>1.3154320338980622E-2</v>
      </c>
      <c r="V56" s="48">
        <f t="shared" si="41"/>
        <v>1.467815973072102E-2</v>
      </c>
      <c r="W56" s="47">
        <f t="shared" si="42"/>
        <v>1.1136535205302626E-3</v>
      </c>
      <c r="X56" s="47">
        <f t="shared" si="43"/>
        <v>5.8072583333333332E-3</v>
      </c>
      <c r="Y56" s="47">
        <f t="shared" si="44"/>
        <v>5.1391666666666669E-3</v>
      </c>
      <c r="Z56" s="47">
        <f t="shared" si="45"/>
        <v>5.6530833333333337E-3</v>
      </c>
      <c r="AA56" s="48">
        <f t="shared" si="46"/>
        <v>5.533169444444444E-3</v>
      </c>
      <c r="AB56" s="163">
        <f t="shared" si="47"/>
        <v>2.0196627138271021E-4</v>
      </c>
      <c r="AH56" s="3"/>
      <c r="AI56" s="134"/>
      <c r="AJ56" s="134"/>
    </row>
    <row r="57" spans="1:36" x14ac:dyDescent="0.15">
      <c r="B57" s="50" t="s">
        <v>26</v>
      </c>
      <c r="C57" s="43">
        <v>0.52083333333333337</v>
      </c>
      <c r="D57" s="55">
        <f>24+D56</f>
        <v>72</v>
      </c>
      <c r="E57" s="45">
        <v>4</v>
      </c>
      <c r="F57" s="46">
        <v>0.32200000000000001</v>
      </c>
      <c r="G57" s="47">
        <v>0.28199999999999997</v>
      </c>
      <c r="H57" s="47">
        <v>0.30299999999999999</v>
      </c>
      <c r="I57" s="47">
        <f t="shared" si="32"/>
        <v>0.39715480000000003</v>
      </c>
      <c r="J57" s="47">
        <f t="shared" si="32"/>
        <v>0.34781879999999998</v>
      </c>
      <c r="K57" s="47">
        <f t="shared" si="32"/>
        <v>0.3737202</v>
      </c>
      <c r="L57" s="48">
        <f t="shared" si="33"/>
        <v>0.37289793333333332</v>
      </c>
      <c r="M57" s="135">
        <f t="shared" si="34"/>
        <v>1.4248009403110018E-2</v>
      </c>
      <c r="N57" s="47">
        <f t="shared" si="35"/>
        <v>-0.92342914986247326</v>
      </c>
      <c r="O57" s="47">
        <f t="shared" si="35"/>
        <v>-1.0560736244687681</v>
      </c>
      <c r="P57" s="47">
        <f t="shared" si="35"/>
        <v>-0.98424788989751255</v>
      </c>
      <c r="Q57" s="48">
        <f t="shared" si="36"/>
        <v>-0.98791688807625133</v>
      </c>
      <c r="R57" s="47">
        <f t="shared" si="37"/>
        <v>3.8335081068657767E-2</v>
      </c>
      <c r="S57" s="47">
        <f t="shared" si="38"/>
        <v>1.4750689428005101E-2</v>
      </c>
      <c r="T57" s="47">
        <f t="shared" si="39"/>
        <v>1.4316237682919869E-2</v>
      </c>
      <c r="U57" s="47">
        <f t="shared" si="40"/>
        <v>1.3337719131541975E-2</v>
      </c>
      <c r="V57" s="48">
        <f t="shared" si="41"/>
        <v>1.4134882080822316E-2</v>
      </c>
      <c r="W57" s="47">
        <f t="shared" si="42"/>
        <v>4.1784712335210923E-4</v>
      </c>
      <c r="X57" s="47">
        <f t="shared" si="43"/>
        <v>5.5160388888888896E-3</v>
      </c>
      <c r="Y57" s="47">
        <f t="shared" si="44"/>
        <v>4.8308166666666662E-3</v>
      </c>
      <c r="Z57" s="47">
        <f t="shared" si="45"/>
        <v>5.1905583333333337E-3</v>
      </c>
      <c r="AA57" s="48">
        <f t="shared" si="46"/>
        <v>5.1791379629629632E-3</v>
      </c>
      <c r="AB57" s="163">
        <f t="shared" si="47"/>
        <v>1.9788901948763931E-4</v>
      </c>
      <c r="AH57" s="3"/>
      <c r="AI57" s="134"/>
      <c r="AJ57" s="134"/>
    </row>
    <row r="58" spans="1:36" x14ac:dyDescent="0.15">
      <c r="B58" s="50" t="s">
        <v>27</v>
      </c>
      <c r="C58" s="43">
        <v>0.45833333333333331</v>
      </c>
      <c r="D58" s="55">
        <f>22.5+D57</f>
        <v>94.5</v>
      </c>
      <c r="E58" s="45">
        <v>5</v>
      </c>
      <c r="F58" s="46">
        <v>0.41599999999999998</v>
      </c>
      <c r="G58" s="47">
        <v>0.34399999999999997</v>
      </c>
      <c r="H58" s="47">
        <v>0.376</v>
      </c>
      <c r="I58" s="47">
        <f t="shared" si="32"/>
        <v>0.51309439999999995</v>
      </c>
      <c r="J58" s="47">
        <f t="shared" si="32"/>
        <v>0.42428959999999999</v>
      </c>
      <c r="K58" s="47">
        <f t="shared" si="32"/>
        <v>0.46375840000000002</v>
      </c>
      <c r="L58" s="48">
        <f t="shared" si="33"/>
        <v>0.46704746666666663</v>
      </c>
      <c r="M58" s="135">
        <f t="shared" si="34"/>
        <v>2.5688431867368699E-2</v>
      </c>
      <c r="N58" s="47">
        <f t="shared" si="35"/>
        <v>-0.66729543514561851</v>
      </c>
      <c r="O58" s="47">
        <f t="shared" si="35"/>
        <v>-0.85733903803348332</v>
      </c>
      <c r="P58" s="47">
        <f t="shared" si="35"/>
        <v>-0.76839155201698717</v>
      </c>
      <c r="Q58" s="48">
        <f t="shared" si="36"/>
        <v>-0.76434200839869637</v>
      </c>
      <c r="R58" s="47">
        <f t="shared" si="37"/>
        <v>5.4898214458782388E-2</v>
      </c>
      <c r="S58" s="47">
        <f t="shared" si="38"/>
        <v>1.1383720654082434E-2</v>
      </c>
      <c r="T58" s="47">
        <f t="shared" si="39"/>
        <v>8.8326482860126548E-3</v>
      </c>
      <c r="U58" s="47">
        <f t="shared" si="40"/>
        <v>9.5936150169122388E-3</v>
      </c>
      <c r="V58" s="48">
        <f t="shared" si="41"/>
        <v>9.9366613190024437E-3</v>
      </c>
      <c r="W58" s="47">
        <f t="shared" si="42"/>
        <v>7.5614221123093206E-4</v>
      </c>
      <c r="X58" s="47">
        <f t="shared" si="43"/>
        <v>5.4295703703703697E-3</v>
      </c>
      <c r="Y58" s="47">
        <f t="shared" si="44"/>
        <v>4.4898370370370366E-3</v>
      </c>
      <c r="Z58" s="47">
        <f t="shared" si="45"/>
        <v>4.9074962962962964E-3</v>
      </c>
      <c r="AA58" s="48">
        <f t="shared" si="46"/>
        <v>4.9423012345679003E-3</v>
      </c>
      <c r="AB58" s="163">
        <f t="shared" si="47"/>
        <v>2.7183525785575352E-4</v>
      </c>
      <c r="AH58" s="3"/>
      <c r="AI58" s="134"/>
      <c r="AJ58" s="134"/>
    </row>
    <row r="59" spans="1:36" x14ac:dyDescent="0.15">
      <c r="B59" s="50" t="s">
        <v>28</v>
      </c>
      <c r="C59" s="43">
        <v>0.45833333333333331</v>
      </c>
      <c r="D59" s="55">
        <f>24+D58</f>
        <v>118.5</v>
      </c>
      <c r="E59" s="45">
        <v>6</v>
      </c>
      <c r="F59" s="46">
        <v>0.56399999999999995</v>
      </c>
      <c r="G59" s="47">
        <v>0.54400000000000004</v>
      </c>
      <c r="H59" s="47">
        <v>0.54400000000000004</v>
      </c>
      <c r="I59" s="47">
        <f t="shared" si="32"/>
        <v>0.69563759999999997</v>
      </c>
      <c r="J59" s="47">
        <f t="shared" si="32"/>
        <v>0.67096960000000005</v>
      </c>
      <c r="K59" s="47">
        <f t="shared" si="32"/>
        <v>0.67096960000000005</v>
      </c>
      <c r="L59" s="48">
        <f t="shared" si="33"/>
        <v>0.67919226666666666</v>
      </c>
      <c r="M59" s="135">
        <f t="shared" si="34"/>
        <v>8.2226666666666386E-3</v>
      </c>
      <c r="N59" s="47">
        <f t="shared" si="35"/>
        <v>-0.36292644390882284</v>
      </c>
      <c r="O59" s="47">
        <f t="shared" si="35"/>
        <v>-0.39903144855093897</v>
      </c>
      <c r="P59" s="47">
        <f t="shared" si="35"/>
        <v>-0.39903144855093897</v>
      </c>
      <c r="Q59" s="48">
        <f t="shared" si="36"/>
        <v>-0.38699644700356695</v>
      </c>
      <c r="R59" s="47">
        <f t="shared" si="37"/>
        <v>1.2035001547372045E-2</v>
      </c>
      <c r="S59" s="47">
        <f t="shared" si="38"/>
        <v>1.2682041301533152E-2</v>
      </c>
      <c r="T59" s="47">
        <f t="shared" si="39"/>
        <v>1.909614956177268E-2</v>
      </c>
      <c r="U59" s="47">
        <f t="shared" si="40"/>
        <v>1.5390004311085342E-2</v>
      </c>
      <c r="V59" s="48">
        <f t="shared" si="41"/>
        <v>1.5722731724797059E-2</v>
      </c>
      <c r="W59" s="47">
        <f t="shared" si="42"/>
        <v>1.8590523430316768E-3</v>
      </c>
      <c r="X59" s="47">
        <f t="shared" si="43"/>
        <v>5.8703594936708858E-3</v>
      </c>
      <c r="Y59" s="47">
        <f t="shared" si="44"/>
        <v>5.6621907172995783E-3</v>
      </c>
      <c r="Z59" s="47">
        <f t="shared" si="45"/>
        <v>5.6621907172995783E-3</v>
      </c>
      <c r="AA59" s="48">
        <f t="shared" si="46"/>
        <v>5.7315803094233481E-3</v>
      </c>
      <c r="AB59" s="163">
        <f t="shared" si="47"/>
        <v>6.9389592123769147E-5</v>
      </c>
      <c r="AH59" s="3"/>
      <c r="AI59" s="134"/>
      <c r="AJ59" s="134"/>
    </row>
    <row r="60" spans="1:36" x14ac:dyDescent="0.15">
      <c r="B60" s="50" t="s">
        <v>29</v>
      </c>
      <c r="C60" s="43">
        <v>0.45833333333333331</v>
      </c>
      <c r="D60" s="55">
        <f>24+D59</f>
        <v>142.5</v>
      </c>
      <c r="E60" s="45">
        <v>7</v>
      </c>
      <c r="F60" s="46">
        <v>0.627</v>
      </c>
      <c r="G60" s="47">
        <v>0.63700000000000001</v>
      </c>
      <c r="H60" s="47">
        <v>0.64400000000000002</v>
      </c>
      <c r="I60" s="47">
        <f t="shared" si="32"/>
        <v>0.77334180000000008</v>
      </c>
      <c r="J60" s="47">
        <f t="shared" si="32"/>
        <v>0.78567580000000004</v>
      </c>
      <c r="K60" s="47">
        <f t="shared" si="32"/>
        <v>0.79430960000000006</v>
      </c>
      <c r="L60" s="48">
        <f t="shared" si="33"/>
        <v>0.7844424000000001</v>
      </c>
      <c r="M60" s="135">
        <f t="shared" si="34"/>
        <v>6.0842177223808525E-3</v>
      </c>
      <c r="N60" s="47">
        <f t="shared" si="35"/>
        <v>-0.25703415477396085</v>
      </c>
      <c r="O60" s="47">
        <f t="shared" si="35"/>
        <v>-0.24121103983471828</v>
      </c>
      <c r="P60" s="47">
        <f t="shared" si="35"/>
        <v>-0.23028196930252798</v>
      </c>
      <c r="Q60" s="48">
        <f t="shared" si="36"/>
        <v>-0.24284238797040236</v>
      </c>
      <c r="R60" s="47">
        <f t="shared" si="37"/>
        <v>7.7656472026770154E-3</v>
      </c>
      <c r="S60" s="47">
        <f t="shared" si="38"/>
        <v>4.4121787139525829E-3</v>
      </c>
      <c r="T60" s="47">
        <f t="shared" si="39"/>
        <v>6.5758503631758621E-3</v>
      </c>
      <c r="U60" s="47">
        <f t="shared" si="40"/>
        <v>7.0312283020171245E-3</v>
      </c>
      <c r="V60" s="48">
        <f t="shared" si="41"/>
        <v>6.0064191263818562E-3</v>
      </c>
      <c r="W60" s="47">
        <f t="shared" si="42"/>
        <v>8.0788698389952713E-4</v>
      </c>
      <c r="X60" s="47">
        <f t="shared" si="43"/>
        <v>5.4269600000000006E-3</v>
      </c>
      <c r="Y60" s="47">
        <f t="shared" si="44"/>
        <v>5.5135143859649125E-3</v>
      </c>
      <c r="Z60" s="47">
        <f t="shared" si="45"/>
        <v>5.5741024561403512E-3</v>
      </c>
      <c r="AA60" s="48">
        <f t="shared" si="46"/>
        <v>5.5048589473684212E-3</v>
      </c>
      <c r="AB60" s="163">
        <f t="shared" si="47"/>
        <v>4.2696264718462082E-5</v>
      </c>
      <c r="AH60" s="3"/>
      <c r="AI60" s="134"/>
      <c r="AJ60" s="134"/>
    </row>
    <row r="61" spans="1:36" x14ac:dyDescent="0.15">
      <c r="B61" s="50" t="s">
        <v>30</v>
      </c>
      <c r="C61" s="43">
        <v>0.45833333333333331</v>
      </c>
      <c r="D61" s="55">
        <f>24+D60</f>
        <v>166.5</v>
      </c>
      <c r="E61" s="45">
        <v>8</v>
      </c>
      <c r="F61" s="46">
        <v>0.73299999999999998</v>
      </c>
      <c r="G61" s="47">
        <v>0.72099999999999997</v>
      </c>
      <c r="H61" s="47">
        <v>0.72</v>
      </c>
      <c r="I61" s="47">
        <f t="shared" si="32"/>
        <v>0.90408220000000006</v>
      </c>
      <c r="J61" s="47">
        <f t="shared" si="32"/>
        <v>0.8892814</v>
      </c>
      <c r="K61" s="47">
        <f t="shared" si="32"/>
        <v>0.88804800000000006</v>
      </c>
      <c r="L61" s="48">
        <f t="shared" si="33"/>
        <v>0.89380386666666667</v>
      </c>
      <c r="M61" s="135">
        <f t="shared" si="34"/>
        <v>5.1514859012823863E-3</v>
      </c>
      <c r="N61" s="47">
        <f t="shared" si="35"/>
        <v>-0.10083499352023011</v>
      </c>
      <c r="O61" s="47">
        <f t="shared" si="35"/>
        <v>-0.11734155812193259</v>
      </c>
      <c r="P61" s="47">
        <f t="shared" si="35"/>
        <v>-0.11872948339678061</v>
      </c>
      <c r="Q61" s="48">
        <f t="shared" si="36"/>
        <v>-0.11230201167964778</v>
      </c>
      <c r="R61" s="47">
        <f t="shared" si="37"/>
        <v>5.7474911408791022E-3</v>
      </c>
      <c r="S61" s="47">
        <f t="shared" si="38"/>
        <v>6.5082983855721142E-3</v>
      </c>
      <c r="T61" s="47">
        <f t="shared" si="39"/>
        <v>5.1612284046994037E-3</v>
      </c>
      <c r="U61" s="47">
        <f t="shared" si="40"/>
        <v>4.6480202460728072E-3</v>
      </c>
      <c r="V61" s="48">
        <f t="shared" si="41"/>
        <v>5.4391823454481084E-3</v>
      </c>
      <c r="W61" s="47">
        <f t="shared" si="42"/>
        <v>5.5470787626102553E-4</v>
      </c>
      <c r="X61" s="47">
        <f t="shared" si="43"/>
        <v>5.4299231231231234E-3</v>
      </c>
      <c r="Y61" s="47">
        <f t="shared" si="44"/>
        <v>5.3410294294294293E-3</v>
      </c>
      <c r="Z61" s="47">
        <f t="shared" si="45"/>
        <v>5.3336216216216216E-3</v>
      </c>
      <c r="AA61" s="48">
        <f t="shared" si="46"/>
        <v>5.368191391391392E-3</v>
      </c>
      <c r="AB61" s="163">
        <f t="shared" si="47"/>
        <v>3.0939855262957342E-5</v>
      </c>
      <c r="AH61" s="134"/>
      <c r="AI61" s="134"/>
      <c r="AJ61" s="134"/>
    </row>
    <row r="62" spans="1:36" x14ac:dyDescent="0.15">
      <c r="A62" s="49"/>
      <c r="B62" s="50" t="s">
        <v>31</v>
      </c>
      <c r="C62" s="43">
        <v>0.4375</v>
      </c>
      <c r="D62" s="55">
        <f>23.5+D61</f>
        <v>190</v>
      </c>
      <c r="E62" s="45">
        <v>9</v>
      </c>
      <c r="F62" s="46">
        <v>0.877</v>
      </c>
      <c r="G62" s="47">
        <v>0.8</v>
      </c>
      <c r="H62" s="47">
        <v>0.90100000000000002</v>
      </c>
      <c r="I62" s="47">
        <f t="shared" si="32"/>
        <v>1.0816918</v>
      </c>
      <c r="J62" s="47">
        <f t="shared" si="32"/>
        <v>0.98672000000000004</v>
      </c>
      <c r="K62" s="47">
        <f t="shared" si="32"/>
        <v>1.1112934000000001</v>
      </c>
      <c r="L62" s="48">
        <f t="shared" si="33"/>
        <v>1.0599017333333334</v>
      </c>
      <c r="M62" s="135">
        <f t="shared" si="34"/>
        <v>3.7575427479907379E-2</v>
      </c>
      <c r="N62" s="47">
        <f t="shared" si="35"/>
        <v>7.8526296965301362E-2</v>
      </c>
      <c r="O62" s="47">
        <f t="shared" si="35"/>
        <v>-1.3368967738954327E-2</v>
      </c>
      <c r="P62" s="47">
        <f t="shared" si="35"/>
        <v>0.10552456220145634</v>
      </c>
      <c r="Q62" s="48">
        <f t="shared" si="36"/>
        <v>5.689396380926779E-2</v>
      </c>
      <c r="R62" s="47">
        <f t="shared" si="37"/>
        <v>3.5985581574444765E-2</v>
      </c>
      <c r="S62" s="47">
        <f t="shared" si="38"/>
        <v>7.6323953398098488E-3</v>
      </c>
      <c r="T62" s="47">
        <f t="shared" si="39"/>
        <v>4.4243655482118409E-3</v>
      </c>
      <c r="U62" s="47">
        <f t="shared" si="40"/>
        <v>9.5427253446058267E-3</v>
      </c>
      <c r="V62" s="48">
        <f t="shared" si="41"/>
        <v>7.1998287442091718E-3</v>
      </c>
      <c r="W62" s="47">
        <f t="shared" si="42"/>
        <v>1.4932891153488152E-3</v>
      </c>
      <c r="X62" s="47">
        <f t="shared" si="43"/>
        <v>5.6931147368421055E-3</v>
      </c>
      <c r="Y62" s="47">
        <f t="shared" si="44"/>
        <v>5.1932631578947373E-3</v>
      </c>
      <c r="Z62" s="47">
        <f t="shared" si="45"/>
        <v>5.8489126315789475E-3</v>
      </c>
      <c r="AA62" s="48">
        <f t="shared" si="46"/>
        <v>5.5784301754385965E-3</v>
      </c>
      <c r="AB62" s="163">
        <f t="shared" si="47"/>
        <v>1.9776540778898607E-4</v>
      </c>
      <c r="AH62" s="134"/>
      <c r="AI62" s="134"/>
      <c r="AJ62" s="134"/>
    </row>
    <row r="63" spans="1:36" x14ac:dyDescent="0.15">
      <c r="B63" s="50" t="s">
        <v>32</v>
      </c>
      <c r="C63" s="43">
        <v>0.4375</v>
      </c>
      <c r="D63" s="55">
        <f>24+D62</f>
        <v>214</v>
      </c>
      <c r="E63" s="45">
        <v>10</v>
      </c>
      <c r="F63" s="46">
        <v>1.085</v>
      </c>
      <c r="G63" s="47">
        <v>0.998</v>
      </c>
      <c r="H63" s="47">
        <v>0.96899999999999997</v>
      </c>
      <c r="I63" s="47">
        <f t="shared" si="32"/>
        <v>1.338239</v>
      </c>
      <c r="J63" s="47">
        <f t="shared" si="32"/>
        <v>1.2309331999999999</v>
      </c>
      <c r="K63" s="47">
        <f t="shared" si="32"/>
        <v>1.1951646</v>
      </c>
      <c r="L63" s="48">
        <f t="shared" si="33"/>
        <v>1.2547789333333332</v>
      </c>
      <c r="M63" s="135">
        <f t="shared" si="34"/>
        <v>4.2988507117187075E-2</v>
      </c>
      <c r="N63" s="47">
        <f t="shared" si="35"/>
        <v>0.29135457056767822</v>
      </c>
      <c r="O63" s="47">
        <f t="shared" si="35"/>
        <v>0.20777258090458225</v>
      </c>
      <c r="P63" s="47">
        <f t="shared" si="35"/>
        <v>0.17828391648388459</v>
      </c>
      <c r="Q63" s="48">
        <f t="shared" si="36"/>
        <v>0.22580368931871506</v>
      </c>
      <c r="R63" s="47">
        <f t="shared" si="37"/>
        <v>3.3862879660555852E-2</v>
      </c>
      <c r="S63" s="47">
        <f t="shared" si="38"/>
        <v>8.8678447334323684E-3</v>
      </c>
      <c r="T63" s="47">
        <f t="shared" si="39"/>
        <v>9.2142311934806913E-3</v>
      </c>
      <c r="U63" s="47">
        <f t="shared" si="40"/>
        <v>3.0316397617678437E-3</v>
      </c>
      <c r="V63" s="48">
        <f t="shared" si="41"/>
        <v>7.037905229560301E-3</v>
      </c>
      <c r="W63" s="47">
        <f t="shared" si="42"/>
        <v>2.005626929727623E-3</v>
      </c>
      <c r="X63" s="47">
        <f t="shared" si="43"/>
        <v>6.2534532710280368E-3</v>
      </c>
      <c r="Y63" s="47">
        <f t="shared" si="44"/>
        <v>5.7520242990654205E-3</v>
      </c>
      <c r="Z63" s="47">
        <f t="shared" si="45"/>
        <v>5.5848813084112148E-3</v>
      </c>
      <c r="AA63" s="48">
        <f t="shared" si="46"/>
        <v>5.8634529595015571E-3</v>
      </c>
      <c r="AB63" s="163">
        <f t="shared" si="47"/>
        <v>2.0088087437937873E-4</v>
      </c>
      <c r="AH63" s="134"/>
      <c r="AI63" s="134"/>
      <c r="AJ63" s="134"/>
    </row>
    <row r="64" spans="1:36" ht="15" customHeight="1" x14ac:dyDescent="0.15">
      <c r="B64" s="50" t="s">
        <v>33</v>
      </c>
      <c r="C64" s="43">
        <v>0.45833333333333331</v>
      </c>
      <c r="D64" s="55">
        <f>48.5+D63</f>
        <v>262.5</v>
      </c>
      <c r="E64" s="45">
        <v>12</v>
      </c>
      <c r="F64" s="46">
        <v>1.0920000000000001</v>
      </c>
      <c r="G64" s="47">
        <v>1.103</v>
      </c>
      <c r="H64" s="47">
        <v>1.091</v>
      </c>
      <c r="I64" s="47">
        <f t="shared" si="32"/>
        <v>1.3468728000000001</v>
      </c>
      <c r="J64" s="47">
        <f t="shared" si="32"/>
        <v>1.3604402</v>
      </c>
      <c r="K64" s="47">
        <f t="shared" si="32"/>
        <v>1.3456394</v>
      </c>
      <c r="L64" s="48">
        <f t="shared" si="33"/>
        <v>1.3509841333333334</v>
      </c>
      <c r="M64" s="135">
        <f t="shared" si="34"/>
        <v>4.7414209014222958E-3</v>
      </c>
      <c r="N64" s="47">
        <f t="shared" si="35"/>
        <v>0.29778546089796876</v>
      </c>
      <c r="O64" s="47">
        <f t="shared" si="35"/>
        <v>0.30780832384662082</v>
      </c>
      <c r="P64" s="47">
        <f t="shared" si="35"/>
        <v>0.2968692904261892</v>
      </c>
      <c r="Q64" s="48">
        <f t="shared" si="36"/>
        <v>0.30082102505692626</v>
      </c>
      <c r="R64" s="47">
        <f t="shared" si="37"/>
        <v>3.5036457376895536E-3</v>
      </c>
      <c r="S64" s="47">
        <f t="shared" si="38"/>
        <v>1.3259567691320699E-4</v>
      </c>
      <c r="T64" s="47">
        <f t="shared" si="39"/>
        <v>2.0625926379801767E-3</v>
      </c>
      <c r="U64" s="47">
        <f t="shared" si="40"/>
        <v>2.4450592565423632E-3</v>
      </c>
      <c r="V64" s="48">
        <f t="shared" si="41"/>
        <v>1.5467491904785824E-3</v>
      </c>
      <c r="W64" s="47">
        <f t="shared" si="42"/>
        <v>7.1564488365985219E-4</v>
      </c>
      <c r="X64" s="47">
        <f t="shared" si="43"/>
        <v>5.1309440000000001E-3</v>
      </c>
      <c r="Y64" s="47">
        <f t="shared" si="44"/>
        <v>5.1826293333333334E-3</v>
      </c>
      <c r="Z64" s="47">
        <f t="shared" si="45"/>
        <v>5.1262453333333338E-3</v>
      </c>
      <c r="AA64" s="48">
        <f t="shared" si="46"/>
        <v>5.1466062222222221E-3</v>
      </c>
      <c r="AB64" s="163">
        <f t="shared" si="47"/>
        <v>1.8062555814942087E-5</v>
      </c>
      <c r="AH64" s="134"/>
      <c r="AI64" s="134"/>
      <c r="AJ64" s="134"/>
    </row>
    <row r="65" spans="1:36" x14ac:dyDescent="0.15">
      <c r="B65" s="50" t="s">
        <v>34</v>
      </c>
      <c r="C65" s="43">
        <v>0.45833333333333331</v>
      </c>
      <c r="D65" s="44">
        <f>24+D64</f>
        <v>286.5</v>
      </c>
      <c r="E65" s="45">
        <v>13</v>
      </c>
      <c r="F65" s="46">
        <f>2*0.567</f>
        <v>1.1339999999999999</v>
      </c>
      <c r="G65" s="47">
        <f>2*0.584</f>
        <v>1.1679999999999999</v>
      </c>
      <c r="H65" s="47">
        <f>2*0.547</f>
        <v>1.0940000000000001</v>
      </c>
      <c r="I65" s="47">
        <f t="shared" si="32"/>
        <v>1.3986756</v>
      </c>
      <c r="J65" s="47">
        <f t="shared" si="32"/>
        <v>1.4406112</v>
      </c>
      <c r="K65" s="47">
        <f t="shared" si="32"/>
        <v>1.3493396000000002</v>
      </c>
      <c r="L65" s="48">
        <f t="shared" si="33"/>
        <v>1.3962088000000001</v>
      </c>
      <c r="M65" s="135">
        <f t="shared" si="34"/>
        <v>2.6376694690073095E-2</v>
      </c>
      <c r="N65" s="47">
        <f t="shared" si="35"/>
        <v>0.33552578888081575</v>
      </c>
      <c r="O65" s="47">
        <f t="shared" si="35"/>
        <v>0.36506746798129069</v>
      </c>
      <c r="P65" s="47">
        <f t="shared" si="35"/>
        <v>0.29961528757504502</v>
      </c>
      <c r="Q65" s="48">
        <f t="shared" si="36"/>
        <v>0.33340284814571719</v>
      </c>
      <c r="R65" s="47">
        <f t="shared" si="37"/>
        <v>1.8924209697338205E-2</v>
      </c>
      <c r="S65" s="47">
        <f t="shared" si="38"/>
        <v>1.5725136659519579E-3</v>
      </c>
      <c r="T65" s="47">
        <f t="shared" si="39"/>
        <v>2.3857976722779111E-3</v>
      </c>
      <c r="U65" s="47">
        <f t="shared" si="40"/>
        <v>1.1441654786899236E-4</v>
      </c>
      <c r="V65" s="48">
        <f t="shared" si="41"/>
        <v>1.3575759620329537E-3</v>
      </c>
      <c r="W65" s="47">
        <f t="shared" si="42"/>
        <v>6.6444004382255624E-4</v>
      </c>
      <c r="X65" s="47">
        <f t="shared" si="43"/>
        <v>4.8819392670157065E-3</v>
      </c>
      <c r="Y65" s="47">
        <f t="shared" si="44"/>
        <v>5.0283113438045375E-3</v>
      </c>
      <c r="Z65" s="47">
        <f t="shared" si="45"/>
        <v>4.7097368237347306E-3</v>
      </c>
      <c r="AA65" s="48">
        <f t="shared" si="46"/>
        <v>4.8733291448516585E-3</v>
      </c>
      <c r="AB65" s="163">
        <f t="shared" si="47"/>
        <v>9.2065251972331814E-5</v>
      </c>
      <c r="AH65" s="134"/>
      <c r="AI65" s="134"/>
      <c r="AJ65" s="134"/>
    </row>
    <row r="66" spans="1:36" x14ac:dyDescent="0.15">
      <c r="B66" s="50" t="s">
        <v>35</v>
      </c>
      <c r="C66" s="43">
        <v>0.45833333333333331</v>
      </c>
      <c r="D66" s="44">
        <f>24+D65</f>
        <v>310.5</v>
      </c>
      <c r="E66" s="45">
        <v>14</v>
      </c>
      <c r="F66" s="46">
        <f>2*0.594</f>
        <v>1.1879999999999999</v>
      </c>
      <c r="G66" s="47">
        <f>2*0.592</f>
        <v>1.1839999999999999</v>
      </c>
      <c r="H66" s="47">
        <f>2*0.605</f>
        <v>1.21</v>
      </c>
      <c r="I66" s="47">
        <f t="shared" si="32"/>
        <v>1.4652791999999999</v>
      </c>
      <c r="J66" s="47">
        <f t="shared" si="32"/>
        <v>1.4603455999999999</v>
      </c>
      <c r="K66" s="47">
        <f t="shared" si="32"/>
        <v>1.4924140000000001</v>
      </c>
      <c r="L66" s="48">
        <f t="shared" si="33"/>
        <v>1.4726796</v>
      </c>
      <c r="M66" s="135">
        <f t="shared" si="34"/>
        <v>9.9694535082588565E-3</v>
      </c>
      <c r="N66" s="47">
        <f t="shared" si="35"/>
        <v>0.38204580451570852</v>
      </c>
      <c r="O66" s="47">
        <f t="shared" si="35"/>
        <v>0.37867312003706927</v>
      </c>
      <c r="P66" s="47">
        <f t="shared" si="35"/>
        <v>0.40039494318390517</v>
      </c>
      <c r="Q66" s="48">
        <f t="shared" si="36"/>
        <v>0.38703795591222767</v>
      </c>
      <c r="R66" s="47">
        <f t="shared" si="37"/>
        <v>6.7490883799204062E-3</v>
      </c>
      <c r="S66" s="47">
        <f t="shared" si="38"/>
        <v>1.938333984787199E-3</v>
      </c>
      <c r="T66" s="47">
        <f t="shared" si="39"/>
        <v>5.6690216899077384E-4</v>
      </c>
      <c r="U66" s="47">
        <f t="shared" si="40"/>
        <v>4.1991523170358397E-3</v>
      </c>
      <c r="V66" s="48">
        <f t="shared" si="41"/>
        <v>2.2347961569379377E-3</v>
      </c>
      <c r="W66" s="47">
        <f t="shared" si="42"/>
        <v>1.0589661072843014E-3</v>
      </c>
      <c r="X66" s="47">
        <f t="shared" si="43"/>
        <v>4.7190956521739125E-3</v>
      </c>
      <c r="Y66" s="47">
        <f t="shared" si="44"/>
        <v>4.7032064412238324E-3</v>
      </c>
      <c r="Z66" s="47">
        <f t="shared" si="45"/>
        <v>4.806486312399356E-3</v>
      </c>
      <c r="AA66" s="48">
        <f t="shared" si="46"/>
        <v>4.7429294685990336E-3</v>
      </c>
      <c r="AB66" s="163">
        <f t="shared" si="47"/>
        <v>3.2107740767339202E-5</v>
      </c>
      <c r="AH66" s="134"/>
      <c r="AI66" s="134"/>
      <c r="AJ66" s="134"/>
    </row>
    <row r="67" spans="1:36" x14ac:dyDescent="0.15">
      <c r="B67" s="51" t="s">
        <v>36</v>
      </c>
      <c r="C67" s="43">
        <v>0.45833333333333331</v>
      </c>
      <c r="D67" s="44">
        <f>24+D66</f>
        <v>334.5</v>
      </c>
      <c r="E67" s="45">
        <v>15</v>
      </c>
      <c r="F67" s="46">
        <f>2*0.621</f>
        <v>1.242</v>
      </c>
      <c r="G67" s="47">
        <f>2*0.6</f>
        <v>1.2</v>
      </c>
      <c r="H67" s="47">
        <f>2*0.608</f>
        <v>1.216</v>
      </c>
      <c r="I67" s="47">
        <f t="shared" si="32"/>
        <v>1.5318828</v>
      </c>
      <c r="J67" s="47">
        <f t="shared" si="32"/>
        <v>1.4800800000000001</v>
      </c>
      <c r="K67" s="47">
        <f t="shared" si="32"/>
        <v>1.4998144</v>
      </c>
      <c r="L67" s="48">
        <f t="shared" si="33"/>
        <v>1.5039257333333333</v>
      </c>
      <c r="M67" s="135">
        <f t="shared" si="34"/>
        <v>1.5094809464330575E-2</v>
      </c>
      <c r="N67" s="47">
        <f t="shared" si="35"/>
        <v>0.42649756708654241</v>
      </c>
      <c r="O67" s="47">
        <f t="shared" si="35"/>
        <v>0.39209614036921003</v>
      </c>
      <c r="P67" s="47">
        <f t="shared" si="35"/>
        <v>0.40534136711923063</v>
      </c>
      <c r="Q67" s="48">
        <f t="shared" si="36"/>
        <v>0.40797835819166101</v>
      </c>
      <c r="R67" s="47">
        <f t="shared" si="37"/>
        <v>1.0017981025536958E-2</v>
      </c>
      <c r="S67" s="47">
        <f t="shared" si="38"/>
        <v>1.8521567737847452E-3</v>
      </c>
      <c r="T67" s="47">
        <f t="shared" si="39"/>
        <v>5.5929251383919859E-4</v>
      </c>
      <c r="U67" s="47">
        <f t="shared" si="40"/>
        <v>2.0610099730522755E-4</v>
      </c>
      <c r="V67" s="48">
        <f t="shared" si="41"/>
        <v>8.7251676164305705E-4</v>
      </c>
      <c r="W67" s="47">
        <f t="shared" si="42"/>
        <v>5.0031889060198954E-4</v>
      </c>
      <c r="X67" s="47">
        <f t="shared" si="43"/>
        <v>4.5796197309417039E-3</v>
      </c>
      <c r="Y67" s="47">
        <f t="shared" si="44"/>
        <v>4.4247533632286997E-3</v>
      </c>
      <c r="Z67" s="47">
        <f t="shared" si="45"/>
        <v>4.4837500747384159E-3</v>
      </c>
      <c r="AA67" s="48">
        <f t="shared" si="46"/>
        <v>4.4960410563029398E-3</v>
      </c>
      <c r="AB67" s="163">
        <f t="shared" si="47"/>
        <v>4.5126485693065947E-5</v>
      </c>
      <c r="AH67" s="134"/>
      <c r="AI67" s="134"/>
      <c r="AJ67" s="134"/>
    </row>
    <row r="68" spans="1:36" x14ac:dyDescent="0.15">
      <c r="B68" s="51" t="s">
        <v>37</v>
      </c>
      <c r="C68" s="43">
        <v>0.52083333333333337</v>
      </c>
      <c r="D68" s="55">
        <f>24+1.5+D67</f>
        <v>360</v>
      </c>
      <c r="E68" s="45">
        <v>16</v>
      </c>
      <c r="F68" s="46">
        <f>2*0.648</f>
        <v>1.296</v>
      </c>
      <c r="G68" s="47">
        <f>2*0.655</f>
        <v>1.31</v>
      </c>
      <c r="H68" s="47">
        <f>2*0.639</f>
        <v>1.278</v>
      </c>
      <c r="I68" s="47">
        <f t="shared" si="32"/>
        <v>1.5984864000000001</v>
      </c>
      <c r="J68" s="47">
        <f t="shared" si="32"/>
        <v>1.6157540000000001</v>
      </c>
      <c r="K68" s="47">
        <f t="shared" si="32"/>
        <v>1.5762852000000001</v>
      </c>
      <c r="L68" s="48">
        <f t="shared" si="33"/>
        <v>1.5968418666666668</v>
      </c>
      <c r="M68" s="135">
        <f t="shared" si="34"/>
        <v>1.1423293611058283E-2</v>
      </c>
      <c r="N68" s="47">
        <f t="shared" si="35"/>
        <v>0.46905718150533837</v>
      </c>
      <c r="O68" s="47">
        <f t="shared" si="35"/>
        <v>0.47980172078831562</v>
      </c>
      <c r="P68" s="47">
        <f t="shared" si="35"/>
        <v>0.45507093953059846</v>
      </c>
      <c r="Q68" s="48">
        <f t="shared" si="36"/>
        <v>0.46797661394141749</v>
      </c>
      <c r="R68" s="47">
        <f t="shared" si="37"/>
        <v>7.1595764562673216E-3</v>
      </c>
      <c r="S68" s="47">
        <f t="shared" si="38"/>
        <v>1.6690044870116066E-3</v>
      </c>
      <c r="T68" s="47">
        <f t="shared" si="39"/>
        <v>3.4394345262394347E-3</v>
      </c>
      <c r="U68" s="47">
        <f t="shared" si="40"/>
        <v>1.9501793102497187E-3</v>
      </c>
      <c r="V68" s="48">
        <f t="shared" si="41"/>
        <v>2.3528727745002532E-3</v>
      </c>
      <c r="W68" s="47">
        <f t="shared" si="42"/>
        <v>5.4931082596366E-4</v>
      </c>
      <c r="X68" s="47">
        <f t="shared" si="43"/>
        <v>4.4402399999999998E-3</v>
      </c>
      <c r="Y68" s="47">
        <f t="shared" si="44"/>
        <v>4.4882055555555559E-3</v>
      </c>
      <c r="Z68" s="47">
        <f t="shared" si="45"/>
        <v>4.37857E-3</v>
      </c>
      <c r="AA68" s="48">
        <f t="shared" si="46"/>
        <v>4.4356718518518525E-3</v>
      </c>
      <c r="AB68" s="163">
        <f t="shared" si="47"/>
        <v>3.1731371141828572E-5</v>
      </c>
      <c r="AH68" s="134"/>
      <c r="AI68" s="134"/>
      <c r="AJ68" s="134"/>
    </row>
    <row r="69" spans="1:36" x14ac:dyDescent="0.15">
      <c r="B69" s="51" t="s">
        <v>38</v>
      </c>
      <c r="C69" s="43">
        <v>0.54166666666666663</v>
      </c>
      <c r="D69" s="44">
        <f>24.5+D68</f>
        <v>384.5</v>
      </c>
      <c r="E69" s="45">
        <v>17</v>
      </c>
      <c r="F69" s="46">
        <f>2*0.674</f>
        <v>1.3480000000000001</v>
      </c>
      <c r="G69" s="47">
        <f>2*0.659</f>
        <v>1.3180000000000001</v>
      </c>
      <c r="H69" s="47">
        <f>2*0.689</f>
        <v>1.3779999999999999</v>
      </c>
      <c r="I69" s="47">
        <f t="shared" si="32"/>
        <v>1.6626232000000001</v>
      </c>
      <c r="J69" s="47">
        <f t="shared" si="32"/>
        <v>1.6256212000000001</v>
      </c>
      <c r="K69" s="47">
        <f t="shared" si="32"/>
        <v>1.6996251999999998</v>
      </c>
      <c r="L69" s="48">
        <f t="shared" si="33"/>
        <v>1.6626231999999999</v>
      </c>
      <c r="M69" s="135">
        <f t="shared" si="34"/>
        <v>2.1363114660554457E-2</v>
      </c>
      <c r="N69" s="47">
        <f t="shared" si="35"/>
        <v>0.50839659606537069</v>
      </c>
      <c r="O69" s="47">
        <f t="shared" si="35"/>
        <v>0.48589001965557094</v>
      </c>
      <c r="P69" s="47">
        <f t="shared" si="35"/>
        <v>0.53040775616672209</v>
      </c>
      <c r="Q69" s="48">
        <f t="shared" si="36"/>
        <v>0.50823145729588781</v>
      </c>
      <c r="R69" s="47">
        <f t="shared" si="37"/>
        <v>1.2851428832740219E-2</v>
      </c>
      <c r="S69" s="47">
        <f t="shared" si="38"/>
        <v>1.6056903902054007E-3</v>
      </c>
      <c r="T69" s="47">
        <f t="shared" si="39"/>
        <v>2.4850199458184959E-4</v>
      </c>
      <c r="U69" s="47">
        <f t="shared" si="40"/>
        <v>3.0749721075968828E-3</v>
      </c>
      <c r="V69" s="48">
        <f t="shared" si="41"/>
        <v>1.6430548307947112E-3</v>
      </c>
      <c r="W69" s="47">
        <f t="shared" si="42"/>
        <v>8.1614549377081427E-4</v>
      </c>
      <c r="X69" s="47">
        <f t="shared" si="43"/>
        <v>4.3241175552665798E-3</v>
      </c>
      <c r="Y69" s="47">
        <f t="shared" si="44"/>
        <v>4.2278834850455142E-3</v>
      </c>
      <c r="Z69" s="47">
        <f t="shared" si="45"/>
        <v>4.4203516254876455E-3</v>
      </c>
      <c r="AA69" s="48">
        <f t="shared" si="46"/>
        <v>4.3241175552665798E-3</v>
      </c>
      <c r="AB69" s="163">
        <f t="shared" si="47"/>
        <v>5.5560766347345618E-5</v>
      </c>
      <c r="AH69" s="134"/>
      <c r="AI69" s="134"/>
      <c r="AJ69" s="134"/>
    </row>
    <row r="70" spans="1:36" ht="15" thickBot="1" x14ac:dyDescent="0.2">
      <c r="A70" s="144"/>
      <c r="B70" s="136" t="s">
        <v>39</v>
      </c>
      <c r="C70" s="137">
        <v>0.52083333333333337</v>
      </c>
      <c r="D70" s="138">
        <f>48+D68</f>
        <v>408</v>
      </c>
      <c r="E70" s="139">
        <v>18</v>
      </c>
      <c r="F70" s="140">
        <f>2*0.702</f>
        <v>1.4039999999999999</v>
      </c>
      <c r="G70" s="141">
        <f>2*0.705</f>
        <v>1.41</v>
      </c>
      <c r="H70" s="141">
        <f>2*0.714</f>
        <v>1.4279999999999999</v>
      </c>
      <c r="I70" s="141">
        <f t="shared" si="32"/>
        <v>1.7316936000000001</v>
      </c>
      <c r="J70" s="141">
        <f t="shared" si="32"/>
        <v>1.7390939999999999</v>
      </c>
      <c r="K70" s="141">
        <f t="shared" si="32"/>
        <v>1.7612951999999999</v>
      </c>
      <c r="L70" s="142">
        <f t="shared" si="33"/>
        <v>1.7440275999999999</v>
      </c>
      <c r="M70" s="143">
        <f t="shared" si="34"/>
        <v>8.8941738863145478E-3</v>
      </c>
      <c r="N70" s="141">
        <f t="shared" si="35"/>
        <v>0.54909988917887476</v>
      </c>
      <c r="O70" s="141">
        <f t="shared" si="35"/>
        <v>0.55336428796533221</v>
      </c>
      <c r="P70" s="141">
        <f t="shared" si="35"/>
        <v>0.56604944749264796</v>
      </c>
      <c r="Q70" s="142">
        <f t="shared" si="36"/>
        <v>0.55617120821228505</v>
      </c>
      <c r="R70" s="141">
        <f t="shared" si="37"/>
        <v>5.090218813651814E-3</v>
      </c>
      <c r="S70" s="141">
        <f t="shared" si="38"/>
        <v>1.7320550261065561E-3</v>
      </c>
      <c r="T70" s="141">
        <f t="shared" si="39"/>
        <v>2.8712454599898415E-3</v>
      </c>
      <c r="U70" s="141">
        <f t="shared" si="40"/>
        <v>1.5166677159968456E-3</v>
      </c>
      <c r="V70" s="142">
        <f t="shared" si="41"/>
        <v>2.0399894006977479E-3</v>
      </c>
      <c r="W70" s="141">
        <f t="shared" si="42"/>
        <v>4.2025305885122748E-4</v>
      </c>
      <c r="X70" s="141">
        <f t="shared" si="43"/>
        <v>4.2443470588235293E-3</v>
      </c>
      <c r="Y70" s="141">
        <f t="shared" si="44"/>
        <v>4.2624852941176468E-3</v>
      </c>
      <c r="Z70" s="141">
        <f t="shared" si="45"/>
        <v>4.3169000000000003E-3</v>
      </c>
      <c r="AA70" s="142">
        <f t="shared" si="46"/>
        <v>4.2745774509803918E-3</v>
      </c>
      <c r="AB70" s="168">
        <f t="shared" si="47"/>
        <v>2.1799445799790752E-5</v>
      </c>
      <c r="AH70" s="134"/>
      <c r="AI70" s="134"/>
      <c r="AJ70" s="134"/>
    </row>
    <row r="87" spans="1:4" x14ac:dyDescent="0.15">
      <c r="A87" s="53" t="s">
        <v>60</v>
      </c>
      <c r="B87" s="53" t="s">
        <v>69</v>
      </c>
      <c r="C87" s="53" t="s">
        <v>71</v>
      </c>
      <c r="D87" s="53"/>
    </row>
  </sheetData>
  <mergeCells count="42">
    <mergeCell ref="F50:H50"/>
    <mergeCell ref="I50:K50"/>
    <mergeCell ref="N50:P50"/>
    <mergeCell ref="S50:U50"/>
    <mergeCell ref="X50:Z50"/>
    <mergeCell ref="B28:B30"/>
    <mergeCell ref="B31:B32"/>
    <mergeCell ref="E28:E30"/>
    <mergeCell ref="E31:E32"/>
    <mergeCell ref="B48:AB48"/>
    <mergeCell ref="F49:H49"/>
    <mergeCell ref="I49:K49"/>
    <mergeCell ref="N49:P49"/>
    <mergeCell ref="S49:U49"/>
    <mergeCell ref="X49:Z49"/>
    <mergeCell ref="F26:H26"/>
    <mergeCell ref="I26:K26"/>
    <mergeCell ref="N26:P26"/>
    <mergeCell ref="S26:U26"/>
    <mergeCell ref="X26:Z26"/>
    <mergeCell ref="F27:H27"/>
    <mergeCell ref="I27:K27"/>
    <mergeCell ref="N27:P27"/>
    <mergeCell ref="S27:U27"/>
    <mergeCell ref="X27:Z27"/>
    <mergeCell ref="F4:H4"/>
    <mergeCell ref="I4:K4"/>
    <mergeCell ref="N4:P4"/>
    <mergeCell ref="S4:U4"/>
    <mergeCell ref="X4:Z4"/>
    <mergeCell ref="B25:AB25"/>
    <mergeCell ref="E5:E7"/>
    <mergeCell ref="E8:E9"/>
    <mergeCell ref="B8:B9"/>
    <mergeCell ref="B5:B7"/>
    <mergeCell ref="A1:AB1"/>
    <mergeCell ref="B2:AB2"/>
    <mergeCell ref="F3:H3"/>
    <mergeCell ref="I3:K3"/>
    <mergeCell ref="N3:P3"/>
    <mergeCell ref="S3:U3"/>
    <mergeCell ref="X3:Z3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C9FDF-2B37-FB47-9499-F57FFE58F98C}">
  <dimension ref="A1:AG87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6" customWidth="1"/>
    <col min="2" max="2" width="12" style="6" bestFit="1" customWidth="1"/>
    <col min="3" max="3" width="12" style="6" customWidth="1"/>
    <col min="4" max="11" width="8.83203125" style="6"/>
    <col min="12" max="12" width="13.33203125" style="6" customWidth="1"/>
    <col min="13" max="13" width="10.33203125" style="6" customWidth="1"/>
    <col min="14" max="16" width="8.83203125" style="6"/>
    <col min="17" max="17" width="13.1640625" style="6" customWidth="1"/>
    <col min="18" max="18" width="10.5" style="6" customWidth="1"/>
    <col min="19" max="19" width="8.5" style="6" customWidth="1"/>
    <col min="20" max="20" width="9.1640625" style="6" bestFit="1" customWidth="1"/>
    <col min="21" max="21" width="9.33203125" style="6" bestFit="1" customWidth="1"/>
    <col min="22" max="26" width="9" style="6" bestFit="1" customWidth="1"/>
    <col min="27" max="27" width="10.33203125" style="6" customWidth="1"/>
    <col min="28" max="28" width="8.83203125" style="6" customWidth="1"/>
    <col min="29" max="29" width="12.1640625" style="6" customWidth="1"/>
    <col min="30" max="16384" width="8.83203125" style="6"/>
  </cols>
  <sheetData>
    <row r="1" spans="1:33" ht="17" customHeight="1" thickBot="1" x14ac:dyDescent="0.2">
      <c r="A1" s="176" t="s">
        <v>72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  <c r="W1" s="177"/>
      <c r="X1" s="177"/>
      <c r="Y1" s="177"/>
      <c r="Z1" s="177"/>
      <c r="AA1" s="177"/>
      <c r="AB1" s="178"/>
    </row>
    <row r="2" spans="1:33" ht="15" customHeight="1" thickBot="1" x14ac:dyDescent="0.2">
      <c r="A2" s="25"/>
      <c r="B2" s="179" t="s">
        <v>60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1"/>
    </row>
    <row r="3" spans="1:33" ht="45" customHeight="1" x14ac:dyDescent="0.15">
      <c r="A3" s="25"/>
      <c r="B3" s="26" t="s">
        <v>0</v>
      </c>
      <c r="C3" s="27" t="s">
        <v>1</v>
      </c>
      <c r="D3" s="28" t="s">
        <v>2</v>
      </c>
      <c r="E3" s="29" t="s">
        <v>3</v>
      </c>
      <c r="F3" s="182" t="s">
        <v>61</v>
      </c>
      <c r="G3" s="183"/>
      <c r="H3" s="184"/>
      <c r="I3" s="185" t="s">
        <v>10</v>
      </c>
      <c r="J3" s="183"/>
      <c r="K3" s="184"/>
      <c r="L3" s="30" t="s">
        <v>4</v>
      </c>
      <c r="M3" s="31" t="s">
        <v>62</v>
      </c>
      <c r="N3" s="185" t="s">
        <v>63</v>
      </c>
      <c r="O3" s="183"/>
      <c r="P3" s="184"/>
      <c r="Q3" s="31" t="s">
        <v>5</v>
      </c>
      <c r="R3" s="31" t="s">
        <v>62</v>
      </c>
      <c r="S3" s="185" t="s">
        <v>6</v>
      </c>
      <c r="T3" s="183"/>
      <c r="U3" s="184"/>
      <c r="V3" s="30" t="s">
        <v>64</v>
      </c>
      <c r="W3" s="30" t="s">
        <v>62</v>
      </c>
      <c r="X3" s="185" t="s">
        <v>65</v>
      </c>
      <c r="Y3" s="183"/>
      <c r="Z3" s="184"/>
      <c r="AA3" s="30" t="s">
        <v>66</v>
      </c>
      <c r="AB3" s="32" t="s">
        <v>62</v>
      </c>
      <c r="AD3" s="134"/>
      <c r="AE3" s="134"/>
      <c r="AF3" s="134"/>
      <c r="AG3" s="134"/>
    </row>
    <row r="4" spans="1:33" ht="15" customHeight="1" x14ac:dyDescent="0.15">
      <c r="A4" s="25"/>
      <c r="B4" s="33"/>
      <c r="C4" s="34"/>
      <c r="D4" s="35"/>
      <c r="E4" s="36"/>
      <c r="F4" s="192" t="s">
        <v>13</v>
      </c>
      <c r="G4" s="193"/>
      <c r="H4" s="194"/>
      <c r="I4" s="195" t="s">
        <v>7</v>
      </c>
      <c r="J4" s="193"/>
      <c r="K4" s="194"/>
      <c r="L4" s="38" t="s">
        <v>7</v>
      </c>
      <c r="M4" s="39"/>
      <c r="N4" s="195" t="s">
        <v>7</v>
      </c>
      <c r="O4" s="193"/>
      <c r="P4" s="194"/>
      <c r="Q4" s="37" t="s">
        <v>7</v>
      </c>
      <c r="R4" s="37"/>
      <c r="S4" s="196" t="s">
        <v>67</v>
      </c>
      <c r="T4" s="197"/>
      <c r="U4" s="198"/>
      <c r="V4" s="38" t="s">
        <v>67</v>
      </c>
      <c r="W4" s="35"/>
      <c r="X4" s="196" t="s">
        <v>68</v>
      </c>
      <c r="Y4" s="197"/>
      <c r="Z4" s="198"/>
      <c r="AA4" s="40" t="s">
        <v>68</v>
      </c>
      <c r="AB4" s="41"/>
      <c r="AD4" s="1"/>
      <c r="AE4" s="134"/>
      <c r="AF4" s="134"/>
      <c r="AG4" s="134"/>
    </row>
    <row r="5" spans="1:33" x14ac:dyDescent="0.15">
      <c r="A5" s="25"/>
      <c r="B5" s="190" t="s">
        <v>23</v>
      </c>
      <c r="C5" s="43">
        <v>0.45833333333333331</v>
      </c>
      <c r="D5" s="44">
        <v>0</v>
      </c>
      <c r="E5" s="189">
        <v>1</v>
      </c>
      <c r="F5" s="46">
        <v>0.10299999999999999</v>
      </c>
      <c r="G5" s="47">
        <v>0.10100000000000001</v>
      </c>
      <c r="H5" s="47">
        <v>0.10299999999999999</v>
      </c>
      <c r="I5" s="47">
        <f>1.2596*F5</f>
        <v>0.12973879999999999</v>
      </c>
      <c r="J5" s="47">
        <f>1.2596*G5</f>
        <v>0.12721960000000002</v>
      </c>
      <c r="K5" s="47">
        <f t="shared" ref="J5:K20" si="0">1.2596*H5</f>
        <v>0.12973879999999999</v>
      </c>
      <c r="L5" s="48">
        <f t="shared" ref="L5:L24" si="1">AVERAGE(I5:K5)</f>
        <v>0.12889906666666667</v>
      </c>
      <c r="M5" s="47">
        <f t="shared" ref="M5:M24" si="2">STDEV(I5:K5)/SQRT(3)</f>
        <v>8.3973333333332389E-4</v>
      </c>
      <c r="N5" s="47">
        <f t="shared" ref="N5:P24" si="3">LN(I5)</f>
        <v>-2.0422320805077687</v>
      </c>
      <c r="O5" s="47">
        <f t="shared" si="3"/>
        <v>-2.0618405518961449</v>
      </c>
      <c r="P5" s="47">
        <f t="shared" si="3"/>
        <v>-2.0422320805077687</v>
      </c>
      <c r="Q5" s="48">
        <f t="shared" ref="Q5:Q24" si="4">AVERAGE(N5:P5)</f>
        <v>-2.0487682376372276</v>
      </c>
      <c r="R5" s="47">
        <f>STDEV(N5:P5)/SQRT(3)</f>
        <v>6.5361571294587266E-3</v>
      </c>
      <c r="S5" s="8"/>
      <c r="T5" s="8"/>
      <c r="U5" s="8"/>
      <c r="V5" s="8"/>
      <c r="W5" s="8"/>
      <c r="X5" s="8"/>
      <c r="Y5" s="8"/>
      <c r="Z5" s="8"/>
      <c r="AA5" s="8"/>
      <c r="AB5" s="45"/>
      <c r="AD5" s="1"/>
      <c r="AE5" s="134"/>
      <c r="AF5" s="134"/>
      <c r="AG5" s="134"/>
    </row>
    <row r="6" spans="1:33" x14ac:dyDescent="0.15">
      <c r="A6" s="25"/>
      <c r="B6" s="190"/>
      <c r="C6" s="43">
        <v>0.64583333333333337</v>
      </c>
      <c r="D6" s="44">
        <f>4.5+D5</f>
        <v>4.5</v>
      </c>
      <c r="E6" s="189"/>
      <c r="F6" s="46">
        <v>0.106</v>
      </c>
      <c r="G6" s="47">
        <v>0.109</v>
      </c>
      <c r="H6" s="47">
        <v>0.11700000000000001</v>
      </c>
      <c r="I6" s="47">
        <f t="shared" ref="I6:K24" si="5">1.2596*F6</f>
        <v>0.13351760000000001</v>
      </c>
      <c r="J6" s="47">
        <f t="shared" si="0"/>
        <v>0.13729640000000001</v>
      </c>
      <c r="K6" s="47">
        <f t="shared" si="0"/>
        <v>0.14737320000000001</v>
      </c>
      <c r="L6" s="48">
        <f t="shared" si="1"/>
        <v>0.13939573333333333</v>
      </c>
      <c r="M6" s="47">
        <f t="shared" si="2"/>
        <v>4.1352070957141234E-3</v>
      </c>
      <c r="N6" s="47">
        <f t="shared" si="3"/>
        <v>-2.0135219746253372</v>
      </c>
      <c r="O6" s="47">
        <f t="shared" si="3"/>
        <v>-1.9856131865082607</v>
      </c>
      <c r="P6" s="47">
        <f t="shared" si="3"/>
        <v>-1.9147871339396483</v>
      </c>
      <c r="Q6" s="48">
        <f t="shared" si="4"/>
        <v>-1.9713074316910821</v>
      </c>
      <c r="R6" s="47">
        <f t="shared" ref="R6:R24" si="6">STDEV(N6:P6)/SQRT(3)</f>
        <v>2.9386125734060378E-2</v>
      </c>
      <c r="S6" s="47">
        <f>(N6-N5)/(D6-D5)</f>
        <v>6.380023529429223E-3</v>
      </c>
      <c r="T6" s="47">
        <f>(O6-O5)/(D6-D5)</f>
        <v>1.6939414530640937E-2</v>
      </c>
      <c r="U6" s="47">
        <f>(P6-P5)/(D6-D5)</f>
        <v>2.8321099237360099E-2</v>
      </c>
      <c r="V6" s="48">
        <f>AVERAGE(S6:U6)</f>
        <v>1.7213512432476753E-2</v>
      </c>
      <c r="W6" s="47">
        <f>STDEV(S6:U6)/SQRT(3)</f>
        <v>6.3353255125560767E-3</v>
      </c>
      <c r="X6" s="47">
        <f>(I6/D6)</f>
        <v>2.967057777777778E-2</v>
      </c>
      <c r="Y6" s="47">
        <f>J6/D6</f>
        <v>3.0510311111111115E-2</v>
      </c>
      <c r="Z6" s="47">
        <f>K6/D6</f>
        <v>3.2749600000000004E-2</v>
      </c>
      <c r="AA6" s="48">
        <f>AVERAGE(X6:Z6)</f>
        <v>3.0976829629629634E-2</v>
      </c>
      <c r="AB6" s="163">
        <f>STDEV(X6:Z6)/SQRT(3)</f>
        <v>9.1893491015869488E-4</v>
      </c>
      <c r="AD6" s="1"/>
      <c r="AE6" s="134"/>
      <c r="AF6" s="134"/>
      <c r="AG6" s="134"/>
    </row>
    <row r="7" spans="1:33" x14ac:dyDescent="0.15">
      <c r="A7" s="25"/>
      <c r="B7" s="190"/>
      <c r="C7" s="43">
        <v>0.83333333333333337</v>
      </c>
      <c r="D7" s="44">
        <f>4.5+D6</f>
        <v>9</v>
      </c>
      <c r="E7" s="189"/>
      <c r="F7" s="46">
        <v>0.13</v>
      </c>
      <c r="G7" s="47">
        <v>0.11799999999999999</v>
      </c>
      <c r="H7" s="47">
        <v>0.12</v>
      </c>
      <c r="I7" s="47">
        <f t="shared" si="5"/>
        <v>0.163748</v>
      </c>
      <c r="J7" s="47">
        <f t="shared" si="0"/>
        <v>0.14863280000000001</v>
      </c>
      <c r="K7" s="47">
        <f t="shared" si="0"/>
        <v>0.15115200000000001</v>
      </c>
      <c r="L7" s="48">
        <f t="shared" si="1"/>
        <v>0.15451093333333335</v>
      </c>
      <c r="M7" s="47">
        <f t="shared" si="2"/>
        <v>4.6754373276137956E-3</v>
      </c>
      <c r="N7" s="47">
        <f t="shared" si="3"/>
        <v>-1.8094266182818222</v>
      </c>
      <c r="O7" s="47">
        <f t="shared" si="3"/>
        <v>-1.9062764442717397</v>
      </c>
      <c r="P7" s="47">
        <f t="shared" si="3"/>
        <v>-1.8894693259553585</v>
      </c>
      <c r="Q7" s="48">
        <f t="shared" si="4"/>
        <v>-1.8683907961696402</v>
      </c>
      <c r="R7" s="47">
        <f t="shared" si="6"/>
        <v>2.9878646288025897E-2</v>
      </c>
      <c r="S7" s="47">
        <f t="shared" ref="S7:S24" si="7">(N7-N6)/(D7-D6)</f>
        <v>4.5354523631892234E-2</v>
      </c>
      <c r="T7" s="47">
        <f t="shared" ref="T7:T24" si="8">(O7-O6)/(D7-D6)</f>
        <v>1.7630387163671331E-2</v>
      </c>
      <c r="U7" s="47">
        <f t="shared" ref="U7:U24" si="9">(P7-P6)/(D7-D6)</f>
        <v>5.6261795520643849E-3</v>
      </c>
      <c r="V7" s="48">
        <f t="shared" ref="V7:V24" si="10">AVERAGE(S7:U7)</f>
        <v>2.2870363449209317E-2</v>
      </c>
      <c r="W7" s="47">
        <f t="shared" ref="W7:W24" si="11">STDEV(S7:U7)/SQRT(3)</f>
        <v>1.176404613552169E-2</v>
      </c>
      <c r="X7" s="47">
        <f t="shared" ref="X7:X24" si="12">(I7/D7)</f>
        <v>1.8194222222222223E-2</v>
      </c>
      <c r="Y7" s="47">
        <f t="shared" ref="Y7:Y24" si="13">J7/D7</f>
        <v>1.6514755555555555E-2</v>
      </c>
      <c r="Z7" s="47">
        <f t="shared" ref="Z7:Z24" si="14">K7/D7</f>
        <v>1.6794666666666666E-2</v>
      </c>
      <c r="AA7" s="48">
        <f t="shared" ref="AA7:AA24" si="15">AVERAGE(X7:Z7)</f>
        <v>1.7167881481481479E-2</v>
      </c>
      <c r="AB7" s="163">
        <f t="shared" ref="AB7:AB24" si="16">STDEV(X7:Z7)/SQRT(3)</f>
        <v>5.1949303640153326E-4</v>
      </c>
      <c r="AD7" s="1"/>
      <c r="AE7" s="134"/>
      <c r="AF7" s="134"/>
      <c r="AG7" s="134"/>
    </row>
    <row r="8" spans="1:33" x14ac:dyDescent="0.15">
      <c r="A8" s="25"/>
      <c r="B8" s="190" t="s">
        <v>24</v>
      </c>
      <c r="C8" s="43">
        <v>0.41666666666666669</v>
      </c>
      <c r="D8" s="44">
        <f>2+12+D7</f>
        <v>23</v>
      </c>
      <c r="E8" s="189">
        <v>2</v>
      </c>
      <c r="F8" s="46">
        <v>0.16900000000000001</v>
      </c>
      <c r="G8" s="47">
        <v>0.14699999999999999</v>
      </c>
      <c r="H8" s="47">
        <v>0.153</v>
      </c>
      <c r="I8" s="47">
        <f t="shared" si="5"/>
        <v>0.21287240000000002</v>
      </c>
      <c r="J8" s="47">
        <f t="shared" si="0"/>
        <v>0.1851612</v>
      </c>
      <c r="K8" s="47">
        <f t="shared" si="0"/>
        <v>0.1927188</v>
      </c>
      <c r="L8" s="48">
        <f t="shared" si="1"/>
        <v>0.19691746666666665</v>
      </c>
      <c r="M8" s="47">
        <f t="shared" si="2"/>
        <v>8.2704141914282554E-3</v>
      </c>
      <c r="N8" s="47">
        <f t="shared" si="3"/>
        <v>-1.5470623538143309</v>
      </c>
      <c r="O8" s="47">
        <f t="shared" si="3"/>
        <v>-1.6865284819586683</v>
      </c>
      <c r="P8" s="47">
        <f t="shared" si="3"/>
        <v>-1.6465231473449691</v>
      </c>
      <c r="Q8" s="48">
        <f t="shared" si="4"/>
        <v>-1.6267046610393228</v>
      </c>
      <c r="R8" s="47">
        <f t="shared" si="6"/>
        <v>4.1461948516997721E-2</v>
      </c>
      <c r="S8" s="47">
        <f t="shared" si="7"/>
        <v>1.8740304604820807E-2</v>
      </c>
      <c r="T8" s="47">
        <f t="shared" si="8"/>
        <v>1.5696283022362239E-2</v>
      </c>
      <c r="U8" s="47">
        <f t="shared" si="9"/>
        <v>1.7353298472170677E-2</v>
      </c>
      <c r="V8" s="48">
        <f t="shared" si="10"/>
        <v>1.7263295366451242E-2</v>
      </c>
      <c r="W8" s="47">
        <f t="shared" si="11"/>
        <v>8.7988489169469393E-4</v>
      </c>
      <c r="X8" s="47">
        <f t="shared" si="12"/>
        <v>9.2553217391304361E-3</v>
      </c>
      <c r="Y8" s="47">
        <f t="shared" si="13"/>
        <v>8.0504869565217393E-3</v>
      </c>
      <c r="Z8" s="47">
        <f t="shared" si="14"/>
        <v>8.3790782608695654E-3</v>
      </c>
      <c r="AA8" s="48">
        <f t="shared" si="15"/>
        <v>8.5616289855072469E-3</v>
      </c>
      <c r="AB8" s="163">
        <f t="shared" si="16"/>
        <v>3.5958322571427205E-4</v>
      </c>
      <c r="AD8" s="1"/>
      <c r="AE8" s="134"/>
      <c r="AF8" s="134"/>
      <c r="AG8" s="134"/>
    </row>
    <row r="9" spans="1:33" x14ac:dyDescent="0.15">
      <c r="A9" s="25"/>
      <c r="B9" s="190"/>
      <c r="C9" s="43">
        <v>0.64583333333333337</v>
      </c>
      <c r="D9" s="44">
        <f>5.5+D8</f>
        <v>28.5</v>
      </c>
      <c r="E9" s="189"/>
      <c r="F9" s="46">
        <v>0.185</v>
      </c>
      <c r="G9" s="47">
        <v>0.153</v>
      </c>
      <c r="H9" s="47">
        <v>0.17299999999999999</v>
      </c>
      <c r="I9" s="47">
        <f t="shared" si="5"/>
        <v>0.23302600000000001</v>
      </c>
      <c r="J9" s="47">
        <f t="shared" si="0"/>
        <v>0.1927188</v>
      </c>
      <c r="K9" s="47">
        <f t="shared" si="0"/>
        <v>0.21791079999999999</v>
      </c>
      <c r="L9" s="48">
        <f t="shared" si="1"/>
        <v>0.21455186666666667</v>
      </c>
      <c r="M9" s="47">
        <f t="shared" si="2"/>
        <v>1.1756266666666671E-2</v>
      </c>
      <c r="N9" s="47">
        <f t="shared" si="3"/>
        <v>-1.4566052436590797</v>
      </c>
      <c r="O9" s="47">
        <f t="shared" si="3"/>
        <v>-1.6465231473449691</v>
      </c>
      <c r="P9" s="47">
        <f t="shared" si="3"/>
        <v>-1.5236694742396257</v>
      </c>
      <c r="Q9" s="48">
        <f t="shared" si="4"/>
        <v>-1.5422659550812245</v>
      </c>
      <c r="R9" s="47">
        <f t="shared" si="6"/>
        <v>5.560747659526747E-2</v>
      </c>
      <c r="S9" s="47">
        <f t="shared" si="7"/>
        <v>1.6446747300954755E-2</v>
      </c>
      <c r="T9" s="47">
        <f t="shared" si="8"/>
        <v>7.273697202490775E-3</v>
      </c>
      <c r="U9" s="47">
        <f t="shared" si="9"/>
        <v>2.2337031473698789E-2</v>
      </c>
      <c r="V9" s="48">
        <f t="shared" si="10"/>
        <v>1.5352491992381439E-2</v>
      </c>
      <c r="W9" s="47">
        <f t="shared" si="11"/>
        <v>4.3826953598515598E-3</v>
      </c>
      <c r="X9" s="47">
        <f t="shared" si="12"/>
        <v>8.1763508771929821E-3</v>
      </c>
      <c r="Y9" s="47">
        <f t="shared" si="13"/>
        <v>6.7620631578947368E-3</v>
      </c>
      <c r="Z9" s="47">
        <f t="shared" si="14"/>
        <v>7.6459929824561398E-3</v>
      </c>
      <c r="AA9" s="48">
        <f t="shared" si="15"/>
        <v>7.5281356725146187E-3</v>
      </c>
      <c r="AB9" s="163">
        <f t="shared" si="16"/>
        <v>4.1250058479532149E-4</v>
      </c>
      <c r="AD9" s="1"/>
      <c r="AE9" s="134"/>
      <c r="AF9" s="134"/>
      <c r="AG9" s="134"/>
    </row>
    <row r="10" spans="1:33" x14ac:dyDescent="0.15">
      <c r="A10" s="25"/>
      <c r="B10" s="50" t="s">
        <v>25</v>
      </c>
      <c r="C10" s="43">
        <v>0.47916666666666669</v>
      </c>
      <c r="D10" s="44">
        <f>8+12+D9</f>
        <v>48.5</v>
      </c>
      <c r="E10" s="45">
        <v>3</v>
      </c>
      <c r="F10" s="46">
        <v>0.22800000000000001</v>
      </c>
      <c r="G10" s="47">
        <v>0.216</v>
      </c>
      <c r="H10" s="47">
        <v>0.23400000000000001</v>
      </c>
      <c r="I10" s="47">
        <f t="shared" si="5"/>
        <v>0.28718880000000002</v>
      </c>
      <c r="J10" s="47">
        <f t="shared" si="0"/>
        <v>0.27207360000000003</v>
      </c>
      <c r="K10" s="47">
        <f t="shared" si="0"/>
        <v>0.29474640000000002</v>
      </c>
      <c r="L10" s="48">
        <f t="shared" si="1"/>
        <v>0.28466960000000002</v>
      </c>
      <c r="M10" s="47">
        <f t="shared" si="2"/>
        <v>6.6651767028339144E-3</v>
      </c>
      <c r="N10" s="47">
        <f t="shared" si="3"/>
        <v>-1.2476154397829637</v>
      </c>
      <c r="O10" s="47">
        <f t="shared" si="3"/>
        <v>-1.3016826610532395</v>
      </c>
      <c r="P10" s="47">
        <f t="shared" si="3"/>
        <v>-1.2216399533797031</v>
      </c>
      <c r="Q10" s="48">
        <f t="shared" si="4"/>
        <v>-1.2569793514053023</v>
      </c>
      <c r="R10" s="47">
        <f t="shared" si="6"/>
        <v>2.3575912096749817E-2</v>
      </c>
      <c r="S10" s="47">
        <f t="shared" si="7"/>
        <v>1.04494901938058E-2</v>
      </c>
      <c r="T10" s="47">
        <f t="shared" si="8"/>
        <v>1.724202431458648E-2</v>
      </c>
      <c r="U10" s="47">
        <f t="shared" si="9"/>
        <v>1.5101476042996132E-2</v>
      </c>
      <c r="V10" s="48">
        <f t="shared" si="10"/>
        <v>1.4264330183796137E-2</v>
      </c>
      <c r="W10" s="47">
        <f t="shared" si="11"/>
        <v>2.0050137021704875E-3</v>
      </c>
      <c r="X10" s="47">
        <f t="shared" si="12"/>
        <v>5.9214185567010311E-3</v>
      </c>
      <c r="Y10" s="47">
        <f t="shared" si="13"/>
        <v>5.6097649484536088E-3</v>
      </c>
      <c r="Z10" s="47">
        <f t="shared" si="14"/>
        <v>6.0772453608247427E-3</v>
      </c>
      <c r="AA10" s="48">
        <f t="shared" si="15"/>
        <v>5.8694762886597951E-3</v>
      </c>
      <c r="AB10" s="163">
        <f t="shared" si="16"/>
        <v>1.3742632376977145E-4</v>
      </c>
      <c r="AD10" s="1"/>
      <c r="AE10" s="134"/>
      <c r="AF10" s="134"/>
      <c r="AG10" s="134"/>
    </row>
    <row r="11" spans="1:33" x14ac:dyDescent="0.15">
      <c r="A11" s="25"/>
      <c r="B11" s="50" t="s">
        <v>26</v>
      </c>
      <c r="C11" s="43">
        <v>0.47916666666666669</v>
      </c>
      <c r="D11" s="44">
        <f>24+D10</f>
        <v>72.5</v>
      </c>
      <c r="E11" s="45">
        <v>4</v>
      </c>
      <c r="F11" s="46">
        <v>0.3</v>
      </c>
      <c r="G11" s="47">
        <v>0.30499999999999999</v>
      </c>
      <c r="H11" s="47">
        <v>0.30599999999999999</v>
      </c>
      <c r="I11" s="47">
        <f t="shared" si="5"/>
        <v>0.37787999999999999</v>
      </c>
      <c r="J11" s="47">
        <f t="shared" si="0"/>
        <v>0.38417800000000002</v>
      </c>
      <c r="K11" s="47">
        <f t="shared" si="0"/>
        <v>0.38543759999999999</v>
      </c>
      <c r="L11" s="48">
        <f t="shared" si="1"/>
        <v>0.38249853333333333</v>
      </c>
      <c r="M11" s="47">
        <f t="shared" si="2"/>
        <v>2.3377186638069013E-3</v>
      </c>
      <c r="N11" s="47">
        <f t="shared" si="3"/>
        <v>-0.97317859408120344</v>
      </c>
      <c r="O11" s="47">
        <f t="shared" si="3"/>
        <v>-0.95664929212999283</v>
      </c>
      <c r="P11" s="47">
        <f t="shared" si="3"/>
        <v>-0.95337596678502379</v>
      </c>
      <c r="Q11" s="48">
        <f t="shared" si="4"/>
        <v>-0.96106795099874009</v>
      </c>
      <c r="R11" s="47">
        <f t="shared" si="6"/>
        <v>6.1286056491020998E-3</v>
      </c>
      <c r="S11" s="47">
        <f t="shared" si="7"/>
        <v>1.1434868570906679E-2</v>
      </c>
      <c r="T11" s="47">
        <f t="shared" si="8"/>
        <v>1.4376390371801944E-2</v>
      </c>
      <c r="U11" s="47">
        <f t="shared" si="9"/>
        <v>1.1177666108111639E-2</v>
      </c>
      <c r="V11" s="48">
        <f t="shared" si="10"/>
        <v>1.2329641683606755E-2</v>
      </c>
      <c r="W11" s="47">
        <f t="shared" si="11"/>
        <v>1.0260642314508562E-3</v>
      </c>
      <c r="X11" s="47">
        <f t="shared" si="12"/>
        <v>5.2121379310344825E-3</v>
      </c>
      <c r="Y11" s="47">
        <f t="shared" si="13"/>
        <v>5.2990068965517246E-3</v>
      </c>
      <c r="Z11" s="47">
        <f t="shared" si="14"/>
        <v>5.3163806896551723E-3</v>
      </c>
      <c r="AA11" s="48">
        <f t="shared" si="15"/>
        <v>5.2758418390804604E-3</v>
      </c>
      <c r="AB11" s="163">
        <f t="shared" si="16"/>
        <v>3.2244395362853877E-5</v>
      </c>
      <c r="AD11" s="1"/>
      <c r="AE11" s="134"/>
      <c r="AF11" s="134"/>
      <c r="AG11" s="134"/>
    </row>
    <row r="12" spans="1:33" x14ac:dyDescent="0.15">
      <c r="A12" s="25"/>
      <c r="B12" s="50" t="s">
        <v>27</v>
      </c>
      <c r="C12" s="43">
        <v>0.41666666666666669</v>
      </c>
      <c r="D12" s="44">
        <f>22.5+D11</f>
        <v>95</v>
      </c>
      <c r="E12" s="45">
        <v>5</v>
      </c>
      <c r="F12" s="46">
        <v>0.378</v>
      </c>
      <c r="G12" s="47">
        <v>0.35</v>
      </c>
      <c r="H12" s="47">
        <v>0.35899999999999999</v>
      </c>
      <c r="I12" s="47">
        <f t="shared" si="5"/>
        <v>0.47612880000000002</v>
      </c>
      <c r="J12" s="47">
        <f t="shared" si="0"/>
        <v>0.44085999999999997</v>
      </c>
      <c r="K12" s="47">
        <f t="shared" si="0"/>
        <v>0.4521964</v>
      </c>
      <c r="L12" s="48">
        <f t="shared" si="1"/>
        <v>0.45639506666666668</v>
      </c>
      <c r="M12" s="47">
        <f t="shared" si="2"/>
        <v>1.0395410280396731E-2</v>
      </c>
      <c r="N12" s="47">
        <f t="shared" si="3"/>
        <v>-0.74206687311781683</v>
      </c>
      <c r="O12" s="47">
        <f t="shared" si="3"/>
        <v>-0.81902791425394517</v>
      </c>
      <c r="P12" s="47">
        <f t="shared" si="3"/>
        <v>-0.79363868024912565</v>
      </c>
      <c r="Q12" s="48">
        <f t="shared" si="4"/>
        <v>-0.78491115587362925</v>
      </c>
      <c r="R12" s="47">
        <f t="shared" si="6"/>
        <v>2.2641243520640772E-2</v>
      </c>
      <c r="S12" s="47">
        <f t="shared" si="7"/>
        <v>1.0271632042817183E-2</v>
      </c>
      <c r="T12" s="47">
        <f t="shared" si="8"/>
        <v>6.1165056833798965E-3</v>
      </c>
      <c r="U12" s="47">
        <f t="shared" si="9"/>
        <v>7.0994349571510285E-3</v>
      </c>
      <c r="V12" s="48">
        <f t="shared" si="10"/>
        <v>7.8291908944493685E-3</v>
      </c>
      <c r="W12" s="47">
        <f t="shared" si="11"/>
        <v>1.2537512461594704E-3</v>
      </c>
      <c r="X12" s="47">
        <f t="shared" si="12"/>
        <v>5.0118821052631581E-3</v>
      </c>
      <c r="Y12" s="47">
        <f t="shared" si="13"/>
        <v>4.6406315789473684E-3</v>
      </c>
      <c r="Z12" s="47">
        <f t="shared" si="14"/>
        <v>4.759962105263158E-3</v>
      </c>
      <c r="AA12" s="48">
        <f t="shared" si="15"/>
        <v>4.8041585964912282E-3</v>
      </c>
      <c r="AB12" s="163">
        <f t="shared" si="16"/>
        <v>1.0942537137259708E-4</v>
      </c>
      <c r="AD12" s="1"/>
      <c r="AE12" s="134"/>
      <c r="AF12" s="134"/>
      <c r="AG12" s="134"/>
    </row>
    <row r="13" spans="1:33" x14ac:dyDescent="0.15">
      <c r="A13" s="25"/>
      <c r="B13" s="50" t="s">
        <v>28</v>
      </c>
      <c r="C13" s="43">
        <v>0.41666666666666669</v>
      </c>
      <c r="D13" s="44">
        <f>24+D12</f>
        <v>119</v>
      </c>
      <c r="E13" s="45">
        <v>6</v>
      </c>
      <c r="F13" s="46">
        <v>0.45600000000000002</v>
      </c>
      <c r="G13" s="47">
        <v>0.45300000000000001</v>
      </c>
      <c r="H13" s="47">
        <v>0.45500000000000002</v>
      </c>
      <c r="I13" s="47">
        <f t="shared" si="5"/>
        <v>0.57437760000000004</v>
      </c>
      <c r="J13" s="47">
        <f t="shared" si="0"/>
        <v>0.57059880000000007</v>
      </c>
      <c r="K13" s="47">
        <f t="shared" si="0"/>
        <v>0.57311800000000002</v>
      </c>
      <c r="L13" s="48">
        <f t="shared" si="1"/>
        <v>0.5726981333333333</v>
      </c>
      <c r="M13" s="47">
        <f t="shared" si="2"/>
        <v>1.1108627838056419E-3</v>
      </c>
      <c r="N13" s="47">
        <f t="shared" si="3"/>
        <v>-0.55446825922301834</v>
      </c>
      <c r="O13" s="47">
        <f t="shared" si="3"/>
        <v>-0.5610689432543704</v>
      </c>
      <c r="P13" s="47">
        <f t="shared" si="3"/>
        <v>-0.55666364978645411</v>
      </c>
      <c r="Q13" s="48">
        <f t="shared" si="4"/>
        <v>-0.55740028408794762</v>
      </c>
      <c r="R13" s="47">
        <f t="shared" si="6"/>
        <v>1.9407240909034553E-3</v>
      </c>
      <c r="S13" s="47">
        <f t="shared" si="7"/>
        <v>7.8166089122832707E-3</v>
      </c>
      <c r="T13" s="47">
        <f t="shared" si="8"/>
        <v>1.0748290458315615E-2</v>
      </c>
      <c r="U13" s="47">
        <f t="shared" si="9"/>
        <v>9.8739596026113149E-3</v>
      </c>
      <c r="V13" s="48">
        <f t="shared" si="10"/>
        <v>9.4796196577367348E-3</v>
      </c>
      <c r="W13" s="47">
        <f t="shared" si="11"/>
        <v>8.6896819388080704E-4</v>
      </c>
      <c r="X13" s="47">
        <f t="shared" si="12"/>
        <v>4.8267025210084035E-3</v>
      </c>
      <c r="Y13" s="47">
        <f t="shared" si="13"/>
        <v>4.7949478991596642E-3</v>
      </c>
      <c r="Z13" s="47">
        <f t="shared" si="14"/>
        <v>4.816117647058824E-3</v>
      </c>
      <c r="AA13" s="48">
        <f t="shared" si="15"/>
        <v>4.8125893557422967E-3</v>
      </c>
      <c r="AB13" s="163">
        <f t="shared" si="16"/>
        <v>9.3349813765180604E-6</v>
      </c>
      <c r="AD13" s="3"/>
      <c r="AE13" s="134"/>
      <c r="AF13" s="134"/>
      <c r="AG13" s="134"/>
    </row>
    <row r="14" spans="1:33" x14ac:dyDescent="0.15">
      <c r="A14" s="25"/>
      <c r="B14" s="50" t="s">
        <v>29</v>
      </c>
      <c r="C14" s="43">
        <v>0.41666666666666669</v>
      </c>
      <c r="D14" s="44">
        <f>24+D13</f>
        <v>143</v>
      </c>
      <c r="E14" s="45">
        <v>7</v>
      </c>
      <c r="F14" s="46">
        <v>0.52200000000000002</v>
      </c>
      <c r="G14" s="47">
        <v>0.55100000000000005</v>
      </c>
      <c r="H14" s="47">
        <v>0.53300000000000003</v>
      </c>
      <c r="I14" s="47">
        <f t="shared" si="5"/>
        <v>0.65751120000000007</v>
      </c>
      <c r="J14" s="47">
        <f t="shared" si="0"/>
        <v>0.69403960000000009</v>
      </c>
      <c r="K14" s="47">
        <f t="shared" si="0"/>
        <v>0.67136680000000004</v>
      </c>
      <c r="L14" s="48">
        <f t="shared" si="1"/>
        <v>0.6743058666666667</v>
      </c>
      <c r="M14" s="47">
        <f t="shared" si="2"/>
        <v>1.0646745767186857E-2</v>
      </c>
      <c r="N14" s="47">
        <f t="shared" si="3"/>
        <v>-0.4192934808547657</v>
      </c>
      <c r="O14" s="47">
        <f t="shared" si="3"/>
        <v>-0.3652262595844899</v>
      </c>
      <c r="P14" s="47">
        <f t="shared" si="3"/>
        <v>-0.39843964457155995</v>
      </c>
      <c r="Q14" s="48">
        <f t="shared" si="4"/>
        <v>-0.3943197950036052</v>
      </c>
      <c r="R14" s="47">
        <f t="shared" si="6"/>
        <v>1.5743209904793599E-2</v>
      </c>
      <c r="S14" s="47">
        <f t="shared" si="7"/>
        <v>5.6322824320105269E-3</v>
      </c>
      <c r="T14" s="47">
        <f t="shared" si="8"/>
        <v>8.1601118195783542E-3</v>
      </c>
      <c r="U14" s="47">
        <f t="shared" si="9"/>
        <v>6.5926668839539236E-3</v>
      </c>
      <c r="V14" s="48">
        <f t="shared" si="10"/>
        <v>6.7950203785142682E-3</v>
      </c>
      <c r="W14" s="47">
        <f t="shared" si="11"/>
        <v>7.3670223648668982E-4</v>
      </c>
      <c r="X14" s="47">
        <f t="shared" si="12"/>
        <v>4.5979804195804197E-3</v>
      </c>
      <c r="Y14" s="47">
        <f t="shared" si="13"/>
        <v>4.853423776223777E-3</v>
      </c>
      <c r="Z14" s="47">
        <f t="shared" si="14"/>
        <v>4.6948727272727274E-3</v>
      </c>
      <c r="AA14" s="48">
        <f t="shared" si="15"/>
        <v>4.7154256410256411E-3</v>
      </c>
      <c r="AB14" s="163">
        <f t="shared" si="16"/>
        <v>7.445276760270549E-5</v>
      </c>
      <c r="AD14" s="1"/>
      <c r="AE14" s="134"/>
      <c r="AF14" s="134"/>
      <c r="AG14" s="134"/>
    </row>
    <row r="15" spans="1:33" x14ac:dyDescent="0.15">
      <c r="A15" s="25"/>
      <c r="B15" s="50" t="s">
        <v>30</v>
      </c>
      <c r="C15" s="43">
        <v>0.41666666666666669</v>
      </c>
      <c r="D15" s="44">
        <f>24+D14</f>
        <v>167</v>
      </c>
      <c r="E15" s="45">
        <v>8</v>
      </c>
      <c r="F15" s="46">
        <v>0.63</v>
      </c>
      <c r="G15" s="47">
        <v>0.63800000000000001</v>
      </c>
      <c r="H15" s="47">
        <v>0.63300000000000001</v>
      </c>
      <c r="I15" s="47">
        <f t="shared" si="5"/>
        <v>0.79354800000000003</v>
      </c>
      <c r="J15" s="47">
        <f t="shared" si="0"/>
        <v>0.80362480000000003</v>
      </c>
      <c r="K15" s="47">
        <f t="shared" si="0"/>
        <v>0.7973268</v>
      </c>
      <c r="L15" s="48">
        <f t="shared" si="1"/>
        <v>0.79816653333333332</v>
      </c>
      <c r="M15" s="47">
        <f t="shared" si="2"/>
        <v>2.9390666666666673E-3</v>
      </c>
      <c r="N15" s="47">
        <f t="shared" si="3"/>
        <v>-0.23124124935182611</v>
      </c>
      <c r="O15" s="47">
        <f t="shared" si="3"/>
        <v>-0.21862278539261459</v>
      </c>
      <c r="P15" s="47">
        <f t="shared" si="3"/>
        <v>-0.22649064659322835</v>
      </c>
      <c r="Q15" s="48">
        <f t="shared" si="4"/>
        <v>-0.22545156044588968</v>
      </c>
      <c r="R15" s="47">
        <f t="shared" si="6"/>
        <v>3.6795010163822171E-3</v>
      </c>
      <c r="S15" s="47">
        <f t="shared" si="7"/>
        <v>7.8355096459558158E-3</v>
      </c>
      <c r="T15" s="47">
        <f t="shared" si="8"/>
        <v>6.1084780913281374E-3</v>
      </c>
      <c r="U15" s="47">
        <f t="shared" si="9"/>
        <v>7.1645415824304831E-3</v>
      </c>
      <c r="V15" s="48">
        <f t="shared" si="10"/>
        <v>7.0361764399048121E-3</v>
      </c>
      <c r="W15" s="47">
        <f t="shared" si="11"/>
        <v>5.0266546364742797E-4</v>
      </c>
      <c r="X15" s="47">
        <f t="shared" si="12"/>
        <v>4.7517844311377247E-3</v>
      </c>
      <c r="Y15" s="47">
        <f t="shared" si="13"/>
        <v>4.8121245508982039E-3</v>
      </c>
      <c r="Z15" s="47">
        <f t="shared" si="14"/>
        <v>4.7744119760479041E-3</v>
      </c>
      <c r="AA15" s="48">
        <f t="shared" si="15"/>
        <v>4.7794403193612773E-3</v>
      </c>
      <c r="AB15" s="163">
        <f t="shared" si="16"/>
        <v>1.7599201596806443E-5</v>
      </c>
      <c r="AD15" s="1"/>
      <c r="AE15" s="134"/>
      <c r="AF15" s="134"/>
      <c r="AG15" s="134"/>
    </row>
    <row r="16" spans="1:33" x14ac:dyDescent="0.15">
      <c r="A16" s="25"/>
      <c r="B16" s="50" t="s">
        <v>31</v>
      </c>
      <c r="C16" s="43">
        <v>0.41666666666666669</v>
      </c>
      <c r="D16" s="44">
        <f>24+D15</f>
        <v>191</v>
      </c>
      <c r="E16" s="45">
        <v>9</v>
      </c>
      <c r="F16" s="46">
        <v>0.71799999999999997</v>
      </c>
      <c r="G16" s="47">
        <v>0.70499999999999996</v>
      </c>
      <c r="H16" s="47">
        <v>0.65600000000000003</v>
      </c>
      <c r="I16" s="47">
        <f t="shared" si="5"/>
        <v>0.9043928</v>
      </c>
      <c r="J16" s="47">
        <f t="shared" si="0"/>
        <v>0.88801799999999997</v>
      </c>
      <c r="K16" s="47">
        <f t="shared" si="0"/>
        <v>0.82629760000000008</v>
      </c>
      <c r="L16" s="48">
        <f t="shared" si="1"/>
        <v>0.87290279999999998</v>
      </c>
      <c r="M16" s="47">
        <f t="shared" si="2"/>
        <v>2.3777209109004615E-2</v>
      </c>
      <c r="N16" s="47">
        <f t="shared" si="3"/>
        <v>-0.10049149968918035</v>
      </c>
      <c r="O16" s="47">
        <f t="shared" si="3"/>
        <v>-0.11876326592513591</v>
      </c>
      <c r="P16" s="47">
        <f t="shared" si="3"/>
        <v>-0.19080027979331537</v>
      </c>
      <c r="Q16" s="48">
        <f t="shared" si="4"/>
        <v>-0.13668501513587719</v>
      </c>
      <c r="R16" s="47">
        <f t="shared" si="6"/>
        <v>2.7566953416810428E-2</v>
      </c>
      <c r="S16" s="47">
        <f t="shared" si="7"/>
        <v>5.4479062359435726E-3</v>
      </c>
      <c r="T16" s="47">
        <f t="shared" si="8"/>
        <v>4.1608133111449451E-3</v>
      </c>
      <c r="U16" s="47">
        <f t="shared" si="9"/>
        <v>1.4870986166630404E-3</v>
      </c>
      <c r="V16" s="48">
        <f t="shared" si="10"/>
        <v>3.6986060545838532E-3</v>
      </c>
      <c r="W16" s="47">
        <f t="shared" si="11"/>
        <v>1.1665084526413252E-3</v>
      </c>
      <c r="X16" s="47">
        <f t="shared" si="12"/>
        <v>4.7350408376963353E-3</v>
      </c>
      <c r="Y16" s="47">
        <f t="shared" si="13"/>
        <v>4.6493089005235598E-3</v>
      </c>
      <c r="Z16" s="47">
        <f t="shared" si="14"/>
        <v>4.3261654450261781E-3</v>
      </c>
      <c r="AA16" s="48">
        <f t="shared" si="15"/>
        <v>4.5701717277486916E-3</v>
      </c>
      <c r="AB16" s="163">
        <f t="shared" si="16"/>
        <v>1.2448800580630701E-4</v>
      </c>
      <c r="AD16" s="145"/>
      <c r="AE16" s="134"/>
      <c r="AF16" s="134"/>
      <c r="AG16" s="134"/>
    </row>
    <row r="17" spans="1:33" x14ac:dyDescent="0.15">
      <c r="A17" s="25"/>
      <c r="B17" s="50" t="s">
        <v>32</v>
      </c>
      <c r="C17" s="43">
        <v>0.41666666666666669</v>
      </c>
      <c r="D17" s="44">
        <f>24+D16</f>
        <v>215</v>
      </c>
      <c r="E17" s="45">
        <v>10</v>
      </c>
      <c r="F17" s="46">
        <v>0.80500000000000005</v>
      </c>
      <c r="G17" s="47">
        <v>0.82899999999999996</v>
      </c>
      <c r="H17" s="47">
        <v>0.82899999999999996</v>
      </c>
      <c r="I17" s="47">
        <f t="shared" si="5"/>
        <v>1.013978</v>
      </c>
      <c r="J17" s="47">
        <f t="shared" si="0"/>
        <v>1.0442084</v>
      </c>
      <c r="K17" s="47">
        <f t="shared" si="0"/>
        <v>1.0442084</v>
      </c>
      <c r="L17" s="48">
        <f t="shared" si="1"/>
        <v>1.0341316</v>
      </c>
      <c r="M17" s="47">
        <f t="shared" si="2"/>
        <v>1.0076799999999999E-2</v>
      </c>
      <c r="N17" s="47">
        <f t="shared" si="3"/>
        <v>1.3881208681158892E-2</v>
      </c>
      <c r="O17" s="47">
        <f t="shared" si="3"/>
        <v>4.3259086397890487E-2</v>
      </c>
      <c r="P17" s="47">
        <f t="shared" si="3"/>
        <v>4.3259086397890487E-2</v>
      </c>
      <c r="Q17" s="48">
        <f t="shared" si="4"/>
        <v>3.3466460492313284E-2</v>
      </c>
      <c r="R17" s="47">
        <f t="shared" si="6"/>
        <v>9.7926259055772045E-3</v>
      </c>
      <c r="S17" s="47">
        <f t="shared" si="7"/>
        <v>4.7655295154308023E-3</v>
      </c>
      <c r="T17" s="47">
        <f t="shared" si="8"/>
        <v>6.7509313467927663E-3</v>
      </c>
      <c r="U17" s="47">
        <f t="shared" si="9"/>
        <v>9.7524735913002442E-3</v>
      </c>
      <c r="V17" s="48">
        <f t="shared" si="10"/>
        <v>7.0896448178412704E-3</v>
      </c>
      <c r="W17" s="47">
        <f t="shared" si="11"/>
        <v>1.44953416834106E-3</v>
      </c>
      <c r="X17" s="47">
        <f t="shared" si="12"/>
        <v>4.7161767441860469E-3</v>
      </c>
      <c r="Y17" s="47">
        <f t="shared" si="13"/>
        <v>4.8567832558139533E-3</v>
      </c>
      <c r="Z17" s="47">
        <f t="shared" si="14"/>
        <v>4.8567832558139533E-3</v>
      </c>
      <c r="AA17" s="48">
        <f t="shared" si="15"/>
        <v>4.8099144186046511E-3</v>
      </c>
      <c r="AB17" s="163">
        <f t="shared" si="16"/>
        <v>4.6868837209302142E-5</v>
      </c>
      <c r="AD17" s="1"/>
      <c r="AE17" s="134"/>
      <c r="AF17" s="134"/>
      <c r="AG17" s="134"/>
    </row>
    <row r="18" spans="1:33" x14ac:dyDescent="0.15">
      <c r="A18" s="25"/>
      <c r="B18" s="50" t="s">
        <v>33</v>
      </c>
      <c r="C18" s="43">
        <v>0.41666666666666669</v>
      </c>
      <c r="D18" s="44">
        <f>48+D17</f>
        <v>263</v>
      </c>
      <c r="E18" s="45">
        <v>12</v>
      </c>
      <c r="F18" s="46">
        <f>2*0.492</f>
        <v>0.98399999999999999</v>
      </c>
      <c r="G18" s="47">
        <v>0.97699999999999998</v>
      </c>
      <c r="H18" s="47">
        <v>0.99399999999999999</v>
      </c>
      <c r="I18" s="47">
        <f t="shared" si="5"/>
        <v>1.2394464000000001</v>
      </c>
      <c r="J18" s="47">
        <f t="shared" si="0"/>
        <v>1.2306292000000001</v>
      </c>
      <c r="K18" s="47">
        <f t="shared" si="0"/>
        <v>1.2520424000000001</v>
      </c>
      <c r="L18" s="48">
        <f t="shared" si="1"/>
        <v>1.2407060000000001</v>
      </c>
      <c r="M18" s="47">
        <f t="shared" si="2"/>
        <v>6.2134592533735532E-3</v>
      </c>
      <c r="N18" s="47">
        <f t="shared" si="3"/>
        <v>0.21466482831484895</v>
      </c>
      <c r="O18" s="47">
        <f t="shared" si="3"/>
        <v>0.20752558330537829</v>
      </c>
      <c r="P18" s="47">
        <f t="shared" si="3"/>
        <v>0.22477613791916959</v>
      </c>
      <c r="Q18" s="48">
        <f t="shared" si="4"/>
        <v>0.21565551651313228</v>
      </c>
      <c r="R18" s="47">
        <f t="shared" si="6"/>
        <v>5.0043816118315243E-3</v>
      </c>
      <c r="S18" s="47">
        <f t="shared" si="7"/>
        <v>4.1829920757018762E-3</v>
      </c>
      <c r="T18" s="47">
        <f t="shared" si="8"/>
        <v>3.4222186855726623E-3</v>
      </c>
      <c r="U18" s="47">
        <f t="shared" si="9"/>
        <v>3.7816052400266482E-3</v>
      </c>
      <c r="V18" s="48">
        <f t="shared" si="10"/>
        <v>3.7956053337670618E-3</v>
      </c>
      <c r="W18" s="47">
        <f t="shared" si="11"/>
        <v>2.197278921383822E-4</v>
      </c>
      <c r="X18" s="47">
        <f t="shared" si="12"/>
        <v>4.7127239543726237E-3</v>
      </c>
      <c r="Y18" s="47">
        <f t="shared" si="13"/>
        <v>4.6791984790874527E-3</v>
      </c>
      <c r="Z18" s="47">
        <f t="shared" si="14"/>
        <v>4.7606174904942971E-3</v>
      </c>
      <c r="AA18" s="48">
        <f t="shared" si="15"/>
        <v>4.7175133079847909E-3</v>
      </c>
      <c r="AB18" s="163">
        <f t="shared" si="16"/>
        <v>2.3625320355032563E-5</v>
      </c>
      <c r="AD18" s="2"/>
      <c r="AE18" s="134"/>
      <c r="AF18" s="134"/>
      <c r="AG18" s="134"/>
    </row>
    <row r="19" spans="1:33" x14ac:dyDescent="0.15">
      <c r="A19" s="25"/>
      <c r="B19" s="50" t="s">
        <v>34</v>
      </c>
      <c r="C19" s="43">
        <v>0.41666666666666669</v>
      </c>
      <c r="D19" s="44">
        <f>24+D18</f>
        <v>287</v>
      </c>
      <c r="E19" s="45">
        <v>13</v>
      </c>
      <c r="F19" s="46">
        <v>1.054</v>
      </c>
      <c r="G19" s="47">
        <v>1.071</v>
      </c>
      <c r="H19" s="47">
        <v>1.073</v>
      </c>
      <c r="I19" s="47">
        <f t="shared" si="5"/>
        <v>1.3276184000000002</v>
      </c>
      <c r="J19" s="47">
        <f t="shared" si="0"/>
        <v>1.3490316</v>
      </c>
      <c r="K19" s="47">
        <f t="shared" si="0"/>
        <v>1.3515508000000001</v>
      </c>
      <c r="L19" s="48">
        <f t="shared" si="1"/>
        <v>1.3427336000000001</v>
      </c>
      <c r="M19" s="47">
        <f t="shared" si="2"/>
        <v>7.5925082689011604E-3</v>
      </c>
      <c r="N19" s="47">
        <f t="shared" si="3"/>
        <v>0.28338666036390325</v>
      </c>
      <c r="O19" s="47">
        <f t="shared" si="3"/>
        <v>0.29938700171034427</v>
      </c>
      <c r="P19" s="47">
        <f t="shared" si="3"/>
        <v>0.30125267389329397</v>
      </c>
      <c r="Q19" s="48">
        <f t="shared" si="4"/>
        <v>0.29467544532251383</v>
      </c>
      <c r="R19" s="47">
        <f t="shared" si="6"/>
        <v>5.6700288816099332E-3</v>
      </c>
      <c r="S19" s="47">
        <f t="shared" si="7"/>
        <v>2.8634096687105959E-3</v>
      </c>
      <c r="T19" s="47">
        <f t="shared" si="8"/>
        <v>3.8275591002069156E-3</v>
      </c>
      <c r="U19" s="47">
        <f t="shared" si="9"/>
        <v>3.1865223322551824E-3</v>
      </c>
      <c r="V19" s="48">
        <f t="shared" si="10"/>
        <v>3.2924970337242314E-3</v>
      </c>
      <c r="W19" s="47">
        <f t="shared" si="11"/>
        <v>2.8332490746918085E-4</v>
      </c>
      <c r="X19" s="47">
        <f t="shared" si="12"/>
        <v>4.625848083623694E-3</v>
      </c>
      <c r="Y19" s="47">
        <f t="shared" si="13"/>
        <v>4.7004585365853658E-3</v>
      </c>
      <c r="Z19" s="47">
        <f t="shared" si="14"/>
        <v>4.7092362369337984E-3</v>
      </c>
      <c r="AA19" s="48">
        <f t="shared" si="15"/>
        <v>4.6785142857142864E-3</v>
      </c>
      <c r="AB19" s="163">
        <f t="shared" si="16"/>
        <v>2.6454732644254988E-5</v>
      </c>
      <c r="AD19" s="2"/>
      <c r="AE19" s="134"/>
      <c r="AF19" s="134"/>
      <c r="AG19" s="134"/>
    </row>
    <row r="20" spans="1:33" x14ac:dyDescent="0.15">
      <c r="A20" s="25"/>
      <c r="B20" s="50" t="s">
        <v>35</v>
      </c>
      <c r="C20" s="43">
        <v>0.41666666666666669</v>
      </c>
      <c r="D20" s="44">
        <f>24+D19</f>
        <v>311</v>
      </c>
      <c r="E20" s="45">
        <v>14</v>
      </c>
      <c r="F20" s="46">
        <v>1.117</v>
      </c>
      <c r="G20" s="47">
        <v>1.1850000000000001</v>
      </c>
      <c r="H20" s="47">
        <v>1.198</v>
      </c>
      <c r="I20" s="47">
        <f t="shared" si="5"/>
        <v>1.4069732000000001</v>
      </c>
      <c r="J20" s="47">
        <f t="shared" si="0"/>
        <v>1.4926260000000002</v>
      </c>
      <c r="K20" s="47">
        <f t="shared" si="0"/>
        <v>1.5090007999999999</v>
      </c>
      <c r="L20" s="48">
        <f t="shared" si="1"/>
        <v>1.4695333333333334</v>
      </c>
      <c r="M20" s="47">
        <f t="shared" si="2"/>
        <v>3.1635218932772415E-2</v>
      </c>
      <c r="N20" s="47">
        <f t="shared" si="3"/>
        <v>0.34144073033179628</v>
      </c>
      <c r="O20" s="47">
        <f t="shared" si="3"/>
        <v>0.4005369848318272</v>
      </c>
      <c r="P20" s="47">
        <f t="shared" si="3"/>
        <v>0.41144770993799007</v>
      </c>
      <c r="Q20" s="48">
        <f t="shared" si="4"/>
        <v>0.38447514170053787</v>
      </c>
      <c r="R20" s="47">
        <f t="shared" si="6"/>
        <v>2.1746504715134632E-2</v>
      </c>
      <c r="S20" s="47">
        <f t="shared" si="7"/>
        <v>2.4189195819955427E-3</v>
      </c>
      <c r="T20" s="47">
        <f t="shared" si="8"/>
        <v>4.2145826300617889E-3</v>
      </c>
      <c r="U20" s="47">
        <f t="shared" si="9"/>
        <v>4.5914598351956713E-3</v>
      </c>
      <c r="V20" s="48">
        <f t="shared" si="10"/>
        <v>3.7416540157510004E-3</v>
      </c>
      <c r="W20" s="47">
        <f t="shared" si="11"/>
        <v>6.7025589481907607E-4</v>
      </c>
      <c r="X20" s="47">
        <f t="shared" si="12"/>
        <v>4.5240295819935694E-3</v>
      </c>
      <c r="Y20" s="47">
        <f t="shared" si="13"/>
        <v>4.7994405144694543E-3</v>
      </c>
      <c r="Z20" s="47">
        <f t="shared" si="14"/>
        <v>4.8520926045016073E-3</v>
      </c>
      <c r="AA20" s="48">
        <f t="shared" si="15"/>
        <v>4.7251875669882103E-3</v>
      </c>
      <c r="AB20" s="163">
        <f t="shared" si="16"/>
        <v>1.0172096119862521E-4</v>
      </c>
      <c r="AD20" s="2"/>
      <c r="AE20" s="134"/>
      <c r="AF20" s="134"/>
      <c r="AG20" s="134"/>
    </row>
    <row r="21" spans="1:33" x14ac:dyDescent="0.15">
      <c r="A21" s="25"/>
      <c r="B21" s="50" t="s">
        <v>36</v>
      </c>
      <c r="C21" s="43">
        <v>0.41666666666666669</v>
      </c>
      <c r="D21" s="44">
        <f>24+D20</f>
        <v>335</v>
      </c>
      <c r="E21" s="45">
        <v>15</v>
      </c>
      <c r="F21" s="46">
        <v>1.222</v>
      </c>
      <c r="G21" s="47">
        <v>1.2629999999999999</v>
      </c>
      <c r="H21" s="47">
        <v>1.238</v>
      </c>
      <c r="I21" s="47">
        <f t="shared" si="5"/>
        <v>1.5392312000000001</v>
      </c>
      <c r="J21" s="47">
        <f t="shared" si="5"/>
        <v>1.5908747999999999</v>
      </c>
      <c r="K21" s="47">
        <f t="shared" si="5"/>
        <v>1.5593848000000001</v>
      </c>
      <c r="L21" s="48">
        <f t="shared" si="1"/>
        <v>1.5631636</v>
      </c>
      <c r="M21" s="47">
        <f t="shared" si="2"/>
        <v>1.5027473199887313E-2</v>
      </c>
      <c r="N21" s="47">
        <f t="shared" si="3"/>
        <v>0.43128307099413621</v>
      </c>
      <c r="O21" s="47">
        <f t="shared" si="3"/>
        <v>0.46428405361308656</v>
      </c>
      <c r="P21" s="47">
        <f t="shared" si="3"/>
        <v>0.44429138450713695</v>
      </c>
      <c r="Q21" s="48">
        <f t="shared" si="4"/>
        <v>0.44661950303811992</v>
      </c>
      <c r="R21" s="47">
        <f t="shared" si="6"/>
        <v>9.5974183225628531E-3</v>
      </c>
      <c r="S21" s="47">
        <f t="shared" si="7"/>
        <v>3.7434308609308304E-3</v>
      </c>
      <c r="T21" s="47">
        <f t="shared" si="8"/>
        <v>2.6561278658858065E-3</v>
      </c>
      <c r="U21" s="47">
        <f t="shared" si="9"/>
        <v>1.3684864403811202E-3</v>
      </c>
      <c r="V21" s="48">
        <f t="shared" si="10"/>
        <v>2.5893483890659188E-3</v>
      </c>
      <c r="W21" s="47">
        <f t="shared" si="11"/>
        <v>6.8639999855970853E-4</v>
      </c>
      <c r="X21" s="47">
        <f t="shared" si="12"/>
        <v>4.5947200000000001E-3</v>
      </c>
      <c r="Y21" s="47">
        <f t="shared" si="13"/>
        <v>4.7488799999999996E-3</v>
      </c>
      <c r="Z21" s="47">
        <f t="shared" si="14"/>
        <v>4.6548800000000001E-3</v>
      </c>
      <c r="AA21" s="48">
        <f t="shared" si="15"/>
        <v>4.6661599999999999E-3</v>
      </c>
      <c r="AB21" s="163">
        <f t="shared" si="16"/>
        <v>4.485812895488755E-5</v>
      </c>
      <c r="AD21" s="2"/>
      <c r="AE21" s="134"/>
      <c r="AF21" s="134"/>
      <c r="AG21" s="134"/>
    </row>
    <row r="22" spans="1:33" x14ac:dyDescent="0.15">
      <c r="A22" s="25"/>
      <c r="B22" s="50" t="s">
        <v>37</v>
      </c>
      <c r="C22" s="43">
        <v>0.47916666666666669</v>
      </c>
      <c r="D22" s="44">
        <f>24+1.5+D21</f>
        <v>360.5</v>
      </c>
      <c r="E22" s="45">
        <v>16</v>
      </c>
      <c r="F22" s="46">
        <v>1.2749999999999999</v>
      </c>
      <c r="G22" s="47">
        <v>1.3520000000000001</v>
      </c>
      <c r="H22" s="47">
        <v>1.345</v>
      </c>
      <c r="I22" s="47">
        <f t="shared" si="5"/>
        <v>1.60599</v>
      </c>
      <c r="J22" s="47">
        <f t="shared" si="5"/>
        <v>1.7029792000000001</v>
      </c>
      <c r="K22" s="47">
        <f t="shared" si="5"/>
        <v>1.6941619999999999</v>
      </c>
      <c r="L22" s="48">
        <f t="shared" si="1"/>
        <v>1.6677104</v>
      </c>
      <c r="M22" s="47">
        <f t="shared" si="2"/>
        <v>3.0964988756551067E-2</v>
      </c>
      <c r="N22" s="47">
        <f t="shared" si="3"/>
        <v>0.47374038885512204</v>
      </c>
      <c r="O22" s="47">
        <f t="shared" si="3"/>
        <v>0.53237918786550498</v>
      </c>
      <c r="P22" s="47">
        <f t="shared" si="3"/>
        <v>0.52718822329853487</v>
      </c>
      <c r="Q22" s="48">
        <f t="shared" si="4"/>
        <v>0.5111026000063873</v>
      </c>
      <c r="R22" s="47">
        <f t="shared" si="6"/>
        <v>1.8741110291439354E-2</v>
      </c>
      <c r="S22" s="47">
        <f t="shared" si="7"/>
        <v>1.664992857293562E-3</v>
      </c>
      <c r="T22" s="47">
        <f t="shared" si="8"/>
        <v>2.6703974216634673E-3</v>
      </c>
      <c r="U22" s="47">
        <f t="shared" si="9"/>
        <v>3.2508564231920755E-3</v>
      </c>
      <c r="V22" s="48">
        <f t="shared" si="10"/>
        <v>2.5287489007163682E-3</v>
      </c>
      <c r="W22" s="47">
        <f t="shared" si="11"/>
        <v>4.6324544970816598E-4</v>
      </c>
      <c r="X22" s="47">
        <f t="shared" si="12"/>
        <v>4.4548959778085992E-3</v>
      </c>
      <c r="Y22" s="47">
        <f t="shared" si="13"/>
        <v>4.7239367545076289E-3</v>
      </c>
      <c r="Z22" s="47">
        <f t="shared" si="14"/>
        <v>4.699478502080444E-3</v>
      </c>
      <c r="AA22" s="48">
        <f t="shared" si="15"/>
        <v>4.6261037447988913E-3</v>
      </c>
      <c r="AB22" s="163">
        <f t="shared" si="16"/>
        <v>8.5894559657561994E-5</v>
      </c>
      <c r="AD22" s="2"/>
      <c r="AE22" s="134"/>
      <c r="AF22" s="134"/>
      <c r="AG22" s="134"/>
    </row>
    <row r="23" spans="1:33" x14ac:dyDescent="0.15">
      <c r="A23" s="25"/>
      <c r="B23" s="50" t="s">
        <v>38</v>
      </c>
      <c r="C23" s="43">
        <v>0.5</v>
      </c>
      <c r="D23" s="44">
        <f>24+0.5+D22</f>
        <v>385</v>
      </c>
      <c r="E23" s="45">
        <v>17</v>
      </c>
      <c r="F23" s="46">
        <v>1.3520000000000001</v>
      </c>
      <c r="G23" s="47">
        <v>1.4410000000000001</v>
      </c>
      <c r="H23" s="47">
        <v>1.425</v>
      </c>
      <c r="I23" s="47">
        <f t="shared" si="5"/>
        <v>1.7029792000000001</v>
      </c>
      <c r="J23" s="47">
        <f t="shared" si="5"/>
        <v>1.8150836000000001</v>
      </c>
      <c r="K23" s="47">
        <f t="shared" si="5"/>
        <v>1.7949300000000001</v>
      </c>
      <c r="L23" s="48">
        <f t="shared" si="1"/>
        <v>1.7709976000000001</v>
      </c>
      <c r="M23" s="47">
        <f t="shared" si="2"/>
        <v>3.4503231501604795E-2</v>
      </c>
      <c r="N23" s="47">
        <f t="shared" si="3"/>
        <v>0.53237918786550498</v>
      </c>
      <c r="O23" s="47">
        <f t="shared" si="3"/>
        <v>0.5961315272621176</v>
      </c>
      <c r="P23" s="47">
        <f t="shared" si="3"/>
        <v>0.58496602396534647</v>
      </c>
      <c r="Q23" s="48">
        <f t="shared" si="4"/>
        <v>0.57115891303098965</v>
      </c>
      <c r="R23" s="47">
        <f t="shared" si="6"/>
        <v>1.9655935735382393E-2</v>
      </c>
      <c r="S23" s="47">
        <f t="shared" si="7"/>
        <v>2.3934203677707321E-3</v>
      </c>
      <c r="T23" s="47">
        <f t="shared" si="8"/>
        <v>2.602136301902556E-3</v>
      </c>
      <c r="U23" s="47">
        <f t="shared" si="9"/>
        <v>2.3582775782372079E-3</v>
      </c>
      <c r="V23" s="48">
        <f t="shared" si="10"/>
        <v>2.4512780826368322E-3</v>
      </c>
      <c r="W23" s="47">
        <f t="shared" si="11"/>
        <v>7.61082686135752E-5</v>
      </c>
      <c r="X23" s="47">
        <f t="shared" si="12"/>
        <v>4.4233225974025974E-3</v>
      </c>
      <c r="Y23" s="47">
        <f t="shared" si="13"/>
        <v>4.7145028571428573E-3</v>
      </c>
      <c r="Z23" s="47">
        <f t="shared" si="14"/>
        <v>4.6621558441558445E-3</v>
      </c>
      <c r="AA23" s="48">
        <f t="shared" si="15"/>
        <v>4.5999937662337667E-3</v>
      </c>
      <c r="AB23" s="163">
        <f t="shared" si="16"/>
        <v>8.9618783121051494E-5</v>
      </c>
      <c r="AD23" s="2"/>
      <c r="AE23" s="134"/>
      <c r="AF23" s="134"/>
      <c r="AG23" s="134"/>
    </row>
    <row r="24" spans="1:33" s="8" customFormat="1" thickBot="1" x14ac:dyDescent="0.2">
      <c r="A24" s="51"/>
      <c r="B24" s="50" t="s">
        <v>39</v>
      </c>
      <c r="C24" s="43">
        <v>0.47916666666666669</v>
      </c>
      <c r="D24" s="44">
        <f>48+D22</f>
        <v>408.5</v>
      </c>
      <c r="E24" s="45">
        <v>18</v>
      </c>
      <c r="F24" s="46">
        <v>1.3480000000000001</v>
      </c>
      <c r="G24" s="47">
        <v>1.4239999999999999</v>
      </c>
      <c r="H24" s="47">
        <v>1.4350000000000001</v>
      </c>
      <c r="I24" s="47">
        <f t="shared" si="5"/>
        <v>1.6979408000000002</v>
      </c>
      <c r="J24" s="47">
        <f t="shared" si="5"/>
        <v>1.7936703999999999</v>
      </c>
      <c r="K24" s="47">
        <f t="shared" si="5"/>
        <v>1.8075260000000002</v>
      </c>
      <c r="L24" s="48">
        <f t="shared" si="1"/>
        <v>1.7663790666666668</v>
      </c>
      <c r="M24" s="47">
        <f t="shared" si="2"/>
        <v>3.4452100425050633E-2</v>
      </c>
      <c r="N24" s="47">
        <f t="shared" si="3"/>
        <v>0.52941622273484801</v>
      </c>
      <c r="O24" s="47">
        <f t="shared" si="3"/>
        <v>0.58426402323451654</v>
      </c>
      <c r="P24" s="47">
        <f t="shared" si="3"/>
        <v>0.5919590594563171</v>
      </c>
      <c r="Q24" s="48">
        <f t="shared" si="4"/>
        <v>0.56854643514189385</v>
      </c>
      <c r="R24" s="47">
        <f t="shared" si="6"/>
        <v>1.9690806127726217E-2</v>
      </c>
      <c r="S24" s="47">
        <f t="shared" si="7"/>
        <v>-1.2608362258114764E-4</v>
      </c>
      <c r="T24" s="47">
        <f t="shared" si="8"/>
        <v>-5.0500017138727918E-4</v>
      </c>
      <c r="U24" s="47">
        <f t="shared" si="9"/>
        <v>2.975759783391759E-4</v>
      </c>
      <c r="V24" s="48">
        <f t="shared" si="10"/>
        <v>-1.1116927187641695E-4</v>
      </c>
      <c r="W24" s="47">
        <f t="shared" si="11"/>
        <v>2.3180375854023818E-4</v>
      </c>
      <c r="X24" s="47">
        <f t="shared" si="12"/>
        <v>4.1565258261933909E-3</v>
      </c>
      <c r="Y24" s="47">
        <f t="shared" si="13"/>
        <v>4.3908700122399016E-3</v>
      </c>
      <c r="Z24" s="47">
        <f t="shared" si="14"/>
        <v>4.4247882496940031E-3</v>
      </c>
      <c r="AA24" s="48">
        <f t="shared" si="15"/>
        <v>4.3240613627090986E-3</v>
      </c>
      <c r="AB24" s="163">
        <f t="shared" si="16"/>
        <v>8.4338067135986919E-5</v>
      </c>
    </row>
    <row r="25" spans="1:33" ht="15" thickBot="1" x14ac:dyDescent="0.2">
      <c r="B25" s="186" t="s">
        <v>69</v>
      </c>
      <c r="C25" s="187"/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8"/>
    </row>
    <row r="26" spans="1:33" ht="60" x14ac:dyDescent="0.15">
      <c r="B26" s="26" t="s">
        <v>0</v>
      </c>
      <c r="C26" s="27" t="s">
        <v>1</v>
      </c>
      <c r="D26" s="28" t="s">
        <v>2</v>
      </c>
      <c r="E26" s="29" t="s">
        <v>3</v>
      </c>
      <c r="F26" s="182" t="s">
        <v>61</v>
      </c>
      <c r="G26" s="183"/>
      <c r="H26" s="184"/>
      <c r="I26" s="185" t="s">
        <v>10</v>
      </c>
      <c r="J26" s="183"/>
      <c r="K26" s="184"/>
      <c r="L26" s="30" t="s">
        <v>4</v>
      </c>
      <c r="M26" s="31" t="s">
        <v>70</v>
      </c>
      <c r="N26" s="185" t="s">
        <v>63</v>
      </c>
      <c r="O26" s="183"/>
      <c r="P26" s="184"/>
      <c r="Q26" s="31" t="s">
        <v>5</v>
      </c>
      <c r="R26" s="31" t="s">
        <v>62</v>
      </c>
      <c r="S26" s="201" t="s">
        <v>6</v>
      </c>
      <c r="T26" s="202"/>
      <c r="U26" s="202"/>
      <c r="V26" s="30" t="s">
        <v>64</v>
      </c>
      <c r="W26" s="30" t="s">
        <v>62</v>
      </c>
      <c r="X26" s="185" t="s">
        <v>65</v>
      </c>
      <c r="Y26" s="183"/>
      <c r="Z26" s="184"/>
      <c r="AA26" s="30" t="s">
        <v>66</v>
      </c>
      <c r="AB26" s="32" t="s">
        <v>62</v>
      </c>
      <c r="AD26" s="134"/>
      <c r="AE26" s="134"/>
      <c r="AF26" s="134"/>
      <c r="AG26" s="134"/>
    </row>
    <row r="27" spans="1:33" ht="15" customHeight="1" x14ac:dyDescent="0.15">
      <c r="B27" s="33"/>
      <c r="C27" s="34"/>
      <c r="D27" s="35"/>
      <c r="E27" s="36"/>
      <c r="F27" s="192" t="s">
        <v>13</v>
      </c>
      <c r="G27" s="193"/>
      <c r="H27" s="194"/>
      <c r="I27" s="195" t="s">
        <v>7</v>
      </c>
      <c r="J27" s="193"/>
      <c r="K27" s="194"/>
      <c r="L27" s="38" t="s">
        <v>7</v>
      </c>
      <c r="M27" s="38"/>
      <c r="N27" s="195" t="s">
        <v>7</v>
      </c>
      <c r="O27" s="193"/>
      <c r="P27" s="194"/>
      <c r="Q27" s="37"/>
      <c r="R27" s="37"/>
      <c r="S27" s="199" t="s">
        <v>67</v>
      </c>
      <c r="T27" s="200"/>
      <c r="U27" s="200"/>
      <c r="V27" s="38" t="s">
        <v>67</v>
      </c>
      <c r="W27" s="35"/>
      <c r="X27" s="196" t="s">
        <v>68</v>
      </c>
      <c r="Y27" s="197"/>
      <c r="Z27" s="198"/>
      <c r="AA27" s="40" t="s">
        <v>68</v>
      </c>
      <c r="AB27" s="41"/>
      <c r="AD27" s="1"/>
      <c r="AE27" s="134"/>
      <c r="AF27" s="134"/>
      <c r="AG27" s="134"/>
    </row>
    <row r="28" spans="1:33" x14ac:dyDescent="0.15">
      <c r="B28" s="190" t="s">
        <v>23</v>
      </c>
      <c r="C28" s="43">
        <v>0.41666666666666669</v>
      </c>
      <c r="D28" s="44">
        <v>0</v>
      </c>
      <c r="E28" s="189">
        <v>1</v>
      </c>
      <c r="F28" s="46">
        <v>9.9000000000000005E-2</v>
      </c>
      <c r="G28" s="47">
        <v>0.1</v>
      </c>
      <c r="H28" s="47">
        <v>0.10299999999999999</v>
      </c>
      <c r="I28" s="47">
        <f>1.2596*F28</f>
        <v>0.12470040000000002</v>
      </c>
      <c r="J28" s="47">
        <f>1.2596*G28</f>
        <v>0.12596000000000002</v>
      </c>
      <c r="K28" s="47">
        <f t="shared" ref="J28:K43" si="17">1.2596*H28</f>
        <v>0.12973879999999999</v>
      </c>
      <c r="L28" s="48">
        <f t="shared" ref="L28:L47" si="18">AVERAGE(I28:K28)</f>
        <v>0.12679973333333333</v>
      </c>
      <c r="M28" s="47">
        <f>STDEV(I28:K28)/SQRT(3)</f>
        <v>1.5138507955248042E-3</v>
      </c>
      <c r="N28" s="47">
        <f t="shared" ref="N28:P47" si="19">LN(I28)</f>
        <v>-2.0818412186028143</v>
      </c>
      <c r="O28" s="47">
        <f t="shared" si="19"/>
        <v>-2.0717908827493132</v>
      </c>
      <c r="P28" s="47">
        <f t="shared" si="19"/>
        <v>-2.0422320805077687</v>
      </c>
      <c r="Q28" s="48">
        <f t="shared" ref="Q28:Q47" si="20">AVERAGE(N28:P28)</f>
        <v>-2.0652880606199653</v>
      </c>
      <c r="R28" s="47">
        <f>STDEV(N28:P28)/SQRT(3)</f>
        <v>1.1887472073469478E-2</v>
      </c>
      <c r="S28" s="47"/>
      <c r="T28" s="47"/>
      <c r="U28" s="164"/>
      <c r="V28" s="165"/>
      <c r="W28" s="164"/>
      <c r="X28" s="164"/>
      <c r="Y28" s="164"/>
      <c r="Z28" s="164"/>
      <c r="AA28" s="165"/>
      <c r="AB28" s="166"/>
      <c r="AC28" s="52"/>
      <c r="AD28" s="1"/>
      <c r="AE28" s="134"/>
      <c r="AF28" s="134"/>
      <c r="AG28" s="134"/>
    </row>
    <row r="29" spans="1:33" x14ac:dyDescent="0.15">
      <c r="B29" s="190"/>
      <c r="C29" s="43">
        <v>0.66666666666666663</v>
      </c>
      <c r="D29" s="44">
        <f>6+D28</f>
        <v>6</v>
      </c>
      <c r="E29" s="189"/>
      <c r="F29" s="46">
        <v>0.115</v>
      </c>
      <c r="G29" s="47">
        <v>0.107</v>
      </c>
      <c r="H29" s="47">
        <v>0.108</v>
      </c>
      <c r="I29" s="47">
        <f t="shared" ref="I29:K47" si="21">1.2596*F29</f>
        <v>0.14485400000000001</v>
      </c>
      <c r="J29" s="47">
        <f t="shared" si="17"/>
        <v>0.13477720000000001</v>
      </c>
      <c r="K29" s="47">
        <f t="shared" si="17"/>
        <v>0.13603680000000001</v>
      </c>
      <c r="L29" s="48">
        <f t="shared" si="18"/>
        <v>0.13855600000000001</v>
      </c>
      <c r="M29" s="47">
        <f t="shared" ref="M29:M47" si="22">STDEV(I29:K29)/SQRT(3)</f>
        <v>3.1699238182223448E-3</v>
      </c>
      <c r="N29" s="47">
        <f t="shared" si="19"/>
        <v>-1.9320289403741544</v>
      </c>
      <c r="O29" s="47">
        <f t="shared" si="19"/>
        <v>-2.0041322342754984</v>
      </c>
      <c r="P29" s="47">
        <f t="shared" si="19"/>
        <v>-1.9948298416131847</v>
      </c>
      <c r="Q29" s="48">
        <f t="shared" si="20"/>
        <v>-1.9769970054209456</v>
      </c>
      <c r="R29" s="47">
        <f t="shared" ref="R29:R47" si="23">STDEV(N29:P29)/SQRT(3)</f>
        <v>2.2643827583179735E-2</v>
      </c>
      <c r="S29" s="47">
        <f>(N29-N28)/(D29-D28)</f>
        <v>2.4968713038109991E-2</v>
      </c>
      <c r="T29" s="47">
        <f>(O29-O28)/(D29-D28)</f>
        <v>1.1276441412302477E-2</v>
      </c>
      <c r="U29" s="47">
        <f>(P29-P28)/(D29-D28)</f>
        <v>7.9003731490973426E-3</v>
      </c>
      <c r="V29" s="48">
        <f>AVERAGE(S29:U29)</f>
        <v>1.4715175866503269E-2</v>
      </c>
      <c r="W29" s="47">
        <f>STDEV(S29:U29)/SQRT(3)</f>
        <v>5.218579871529413E-3</v>
      </c>
      <c r="X29" s="47">
        <f>I29/D29</f>
        <v>2.4142333333333335E-2</v>
      </c>
      <c r="Y29" s="47">
        <f>J29/D29</f>
        <v>2.2462866666666668E-2</v>
      </c>
      <c r="Z29" s="47">
        <f>K29/D29</f>
        <v>2.2672800000000003E-2</v>
      </c>
      <c r="AA29" s="48">
        <f>AVERAGE(X29:Z29)</f>
        <v>2.3092666666666668E-2</v>
      </c>
      <c r="AB29" s="163">
        <f>STDEV(X29:Z29)/SQRT(3)</f>
        <v>5.2832063637039083E-4</v>
      </c>
      <c r="AD29" s="1"/>
      <c r="AE29" s="134"/>
      <c r="AF29" s="134"/>
      <c r="AG29" s="134"/>
    </row>
    <row r="30" spans="1:33" x14ac:dyDescent="0.15">
      <c r="B30" s="190"/>
      <c r="C30" s="43">
        <v>0.85416666666666663</v>
      </c>
      <c r="D30" s="44">
        <f>4.5+D29</f>
        <v>10.5</v>
      </c>
      <c r="E30" s="189"/>
      <c r="F30" s="46">
        <v>0.128</v>
      </c>
      <c r="G30" s="47">
        <v>0.11799999999999999</v>
      </c>
      <c r="H30" s="47">
        <v>0.123</v>
      </c>
      <c r="I30" s="47">
        <f t="shared" si="21"/>
        <v>0.16122880000000001</v>
      </c>
      <c r="J30" s="47">
        <f t="shared" si="17"/>
        <v>0.14863280000000001</v>
      </c>
      <c r="K30" s="47">
        <f t="shared" si="17"/>
        <v>0.15493080000000001</v>
      </c>
      <c r="L30" s="48">
        <f t="shared" si="18"/>
        <v>0.15493080000000001</v>
      </c>
      <c r="M30" s="47">
        <f t="shared" si="22"/>
        <v>3.636151995356262E-3</v>
      </c>
      <c r="N30" s="47">
        <f t="shared" si="19"/>
        <v>-1.8249308048177872</v>
      </c>
      <c r="O30" s="47">
        <f t="shared" si="19"/>
        <v>-1.9062764442717397</v>
      </c>
      <c r="P30" s="47">
        <f t="shared" si="19"/>
        <v>-1.8647767133649871</v>
      </c>
      <c r="Q30" s="48">
        <f t="shared" si="20"/>
        <v>-1.8653279874848383</v>
      </c>
      <c r="R30" s="47">
        <f t="shared" si="23"/>
        <v>2.3484081075695513E-2</v>
      </c>
      <c r="S30" s="47">
        <f t="shared" ref="S30:S47" si="24">(N30-N29)/(D30-D29)</f>
        <v>2.37995856791927E-2</v>
      </c>
      <c r="T30" s="47">
        <f t="shared" ref="T30:T47" si="25">(O30-O29)/(D30-D29)</f>
        <v>2.174573111194637E-2</v>
      </c>
      <c r="U30" s="47">
        <f t="shared" ref="U30:U47" si="26">(P30-P29)/(D30-D29)</f>
        <v>2.890069516626613E-2</v>
      </c>
      <c r="V30" s="48">
        <f t="shared" ref="V30:V47" si="27">AVERAGE(S30:U30)</f>
        <v>2.4815337319135069E-2</v>
      </c>
      <c r="W30" s="47">
        <f t="shared" ref="W30:W47" si="28">STDEV(S30:U30)/SQRT(3)</f>
        <v>2.1269846575364361E-3</v>
      </c>
      <c r="X30" s="47">
        <f t="shared" ref="X30:X47" si="29">I30/D30</f>
        <v>1.5355123809523811E-2</v>
      </c>
      <c r="Y30" s="47">
        <f t="shared" ref="Y30:Y47" si="30">J30/D30</f>
        <v>1.4155504761904763E-2</v>
      </c>
      <c r="Z30" s="47">
        <f t="shared" ref="Z30:Z47" si="31">K30/D30</f>
        <v>1.4755314285714286E-2</v>
      </c>
      <c r="AA30" s="48">
        <f t="shared" ref="AA30:AA47" si="32">AVERAGE(X30:Z30)</f>
        <v>1.4755314285714286E-2</v>
      </c>
      <c r="AB30" s="163">
        <f t="shared" ref="AB30:AB47" si="33">STDEV(X30:Z30)/SQRT(3)</f>
        <v>3.4630019003393001E-4</v>
      </c>
      <c r="AD30" s="1"/>
      <c r="AE30" s="134"/>
      <c r="AF30" s="134"/>
      <c r="AG30" s="134"/>
    </row>
    <row r="31" spans="1:33" ht="15" customHeight="1" x14ac:dyDescent="0.15">
      <c r="B31" s="190" t="s">
        <v>24</v>
      </c>
      <c r="C31" s="43">
        <v>0.41666666666666669</v>
      </c>
      <c r="D31" s="44">
        <f>1.5+12+D30</f>
        <v>24</v>
      </c>
      <c r="E31" s="189">
        <v>2</v>
      </c>
      <c r="F31" s="46">
        <v>0.14899999999999999</v>
      </c>
      <c r="G31" s="47">
        <v>0.157</v>
      </c>
      <c r="H31" s="47">
        <v>0.155</v>
      </c>
      <c r="I31" s="47">
        <f t="shared" si="21"/>
        <v>0.1876804</v>
      </c>
      <c r="J31" s="47">
        <f t="shared" si="17"/>
        <v>0.19775720000000002</v>
      </c>
      <c r="K31" s="47">
        <f t="shared" si="17"/>
        <v>0.19523799999999999</v>
      </c>
      <c r="L31" s="48">
        <f t="shared" si="18"/>
        <v>0.19355853333333337</v>
      </c>
      <c r="M31" s="47">
        <f t="shared" si="22"/>
        <v>3.0277015910496327E-3</v>
      </c>
      <c r="N31" s="47">
        <f t="shared" si="19"/>
        <v>-1.6730147627919454</v>
      </c>
      <c r="O31" s="47">
        <f t="shared" si="19"/>
        <v>-1.6207152633890964</v>
      </c>
      <c r="P31" s="47">
        <f t="shared" si="19"/>
        <v>-1.633535951818158</v>
      </c>
      <c r="Q31" s="48">
        <f t="shared" si="20"/>
        <v>-1.6424219926664001</v>
      </c>
      <c r="R31" s="47">
        <f t="shared" si="23"/>
        <v>1.5737753979042639E-2</v>
      </c>
      <c r="S31" s="47">
        <f t="shared" si="24"/>
        <v>1.1253040150062359E-2</v>
      </c>
      <c r="T31" s="47">
        <f t="shared" si="25"/>
        <v>2.1152680065380982E-2</v>
      </c>
      <c r="U31" s="47">
        <f t="shared" si="26"/>
        <v>1.7128945299765115E-2</v>
      </c>
      <c r="V31" s="48">
        <f t="shared" si="27"/>
        <v>1.6511555171736154E-2</v>
      </c>
      <c r="W31" s="47">
        <f t="shared" si="28"/>
        <v>2.8744040275555708E-3</v>
      </c>
      <c r="X31" s="47">
        <f t="shared" si="29"/>
        <v>7.8200166666666671E-3</v>
      </c>
      <c r="Y31" s="47">
        <f t="shared" si="30"/>
        <v>8.2398833333333348E-3</v>
      </c>
      <c r="Z31" s="47">
        <f t="shared" si="31"/>
        <v>8.134916666666667E-3</v>
      </c>
      <c r="AA31" s="48">
        <f t="shared" si="32"/>
        <v>8.0649388888888885E-3</v>
      </c>
      <c r="AB31" s="163">
        <f t="shared" si="33"/>
        <v>1.2615423296040136E-4</v>
      </c>
      <c r="AD31" s="1"/>
      <c r="AE31" s="134"/>
      <c r="AF31" s="134"/>
      <c r="AG31" s="134"/>
    </row>
    <row r="32" spans="1:33" x14ac:dyDescent="0.15">
      <c r="B32" s="190"/>
      <c r="C32" s="43">
        <v>0.66666666666666663</v>
      </c>
      <c r="D32" s="44">
        <f>6+D31</f>
        <v>30</v>
      </c>
      <c r="E32" s="189"/>
      <c r="F32" s="46">
        <v>0.16300000000000001</v>
      </c>
      <c r="G32" s="47">
        <v>0.16300000000000001</v>
      </c>
      <c r="H32" s="47">
        <v>0.17100000000000001</v>
      </c>
      <c r="I32" s="47">
        <f t="shared" si="21"/>
        <v>0.20531480000000002</v>
      </c>
      <c r="J32" s="47">
        <f t="shared" si="17"/>
        <v>0.20531480000000002</v>
      </c>
      <c r="K32" s="47">
        <f t="shared" si="17"/>
        <v>0.21539160000000002</v>
      </c>
      <c r="L32" s="48">
        <f t="shared" si="18"/>
        <v>0.20867373333333336</v>
      </c>
      <c r="M32" s="47">
        <f t="shared" si="22"/>
        <v>3.358933333333332E-3</v>
      </c>
      <c r="N32" s="47">
        <f t="shared" si="19"/>
        <v>-1.583210867930642</v>
      </c>
      <c r="O32" s="47">
        <f t="shared" si="19"/>
        <v>-1.583210867930642</v>
      </c>
      <c r="P32" s="47">
        <f t="shared" si="19"/>
        <v>-1.5352975122347445</v>
      </c>
      <c r="Q32" s="48">
        <f t="shared" si="20"/>
        <v>-1.5672397493653429</v>
      </c>
      <c r="R32" s="47">
        <f t="shared" si="23"/>
        <v>1.5971118565299165E-2</v>
      </c>
      <c r="S32" s="47">
        <f t="shared" si="24"/>
        <v>1.4967315810217227E-2</v>
      </c>
      <c r="T32" s="47">
        <f t="shared" si="25"/>
        <v>6.2507325764090682E-3</v>
      </c>
      <c r="U32" s="47">
        <f t="shared" si="26"/>
        <v>1.6373073263902249E-2</v>
      </c>
      <c r="V32" s="48">
        <f t="shared" si="27"/>
        <v>1.2530373883509515E-2</v>
      </c>
      <c r="W32" s="47">
        <f t="shared" si="28"/>
        <v>3.1659363919715462E-3</v>
      </c>
      <c r="X32" s="47">
        <f t="shared" si="29"/>
        <v>6.8438266666666671E-3</v>
      </c>
      <c r="Y32" s="47">
        <f t="shared" si="30"/>
        <v>6.8438266666666671E-3</v>
      </c>
      <c r="Z32" s="47">
        <f t="shared" si="31"/>
        <v>7.1797200000000005E-3</v>
      </c>
      <c r="AA32" s="48">
        <f t="shared" si="32"/>
        <v>6.9557911111111119E-3</v>
      </c>
      <c r="AB32" s="163">
        <f t="shared" si="33"/>
        <v>1.119644444444445E-4</v>
      </c>
      <c r="AD32" s="1"/>
      <c r="AE32" s="134"/>
      <c r="AF32" s="134"/>
      <c r="AG32" s="134"/>
    </row>
    <row r="33" spans="2:33" ht="15" customHeight="1" x14ac:dyDescent="0.15">
      <c r="B33" s="50" t="s">
        <v>25</v>
      </c>
      <c r="C33" s="43">
        <v>0.5</v>
      </c>
      <c r="D33" s="44">
        <f>8+12+D32</f>
        <v>50</v>
      </c>
      <c r="E33" s="45">
        <v>3</v>
      </c>
      <c r="F33" s="46">
        <v>0.23100000000000001</v>
      </c>
      <c r="G33" s="47">
        <v>0.23100000000000001</v>
      </c>
      <c r="H33" s="47">
        <v>0.23699999999999999</v>
      </c>
      <c r="I33" s="47">
        <f t="shared" si="21"/>
        <v>0.29096760000000005</v>
      </c>
      <c r="J33" s="47">
        <f t="shared" si="17"/>
        <v>0.29096760000000005</v>
      </c>
      <c r="K33" s="47">
        <f t="shared" si="17"/>
        <v>0.29852519999999999</v>
      </c>
      <c r="L33" s="48">
        <f t="shared" si="18"/>
        <v>0.29348679999999999</v>
      </c>
      <c r="M33" s="47">
        <f t="shared" si="22"/>
        <v>2.5191999999999806E-3</v>
      </c>
      <c r="N33" s="47">
        <f t="shared" si="19"/>
        <v>-1.2345433582156109</v>
      </c>
      <c r="O33" s="47">
        <f t="shared" si="19"/>
        <v>-1.2345433582156109</v>
      </c>
      <c r="P33" s="47">
        <f t="shared" si="19"/>
        <v>-1.2089009276022733</v>
      </c>
      <c r="Q33" s="48">
        <f t="shared" si="20"/>
        <v>-1.2259958813444982</v>
      </c>
      <c r="R33" s="47">
        <f t="shared" si="23"/>
        <v>8.5474768711125328E-3</v>
      </c>
      <c r="S33" s="47">
        <f t="shared" si="24"/>
        <v>1.7433375485751558E-2</v>
      </c>
      <c r="T33" s="47">
        <f t="shared" si="25"/>
        <v>1.7433375485751558E-2</v>
      </c>
      <c r="U33" s="47">
        <f t="shared" si="26"/>
        <v>1.6319829231623562E-2</v>
      </c>
      <c r="V33" s="48">
        <f t="shared" si="27"/>
        <v>1.7062193401042227E-2</v>
      </c>
      <c r="W33" s="47">
        <f t="shared" si="28"/>
        <v>3.7118208470933217E-4</v>
      </c>
      <c r="X33" s="47">
        <f t="shared" si="29"/>
        <v>5.8193520000000007E-3</v>
      </c>
      <c r="Y33" s="47">
        <f t="shared" si="30"/>
        <v>5.8193520000000007E-3</v>
      </c>
      <c r="Z33" s="47">
        <f t="shared" si="31"/>
        <v>5.9705039999999997E-3</v>
      </c>
      <c r="AA33" s="48">
        <f t="shared" si="32"/>
        <v>5.8697360000000004E-3</v>
      </c>
      <c r="AB33" s="163">
        <f t="shared" si="33"/>
        <v>5.0383999999999679E-5</v>
      </c>
      <c r="AD33" s="1"/>
      <c r="AE33" s="134"/>
      <c r="AF33" s="134"/>
      <c r="AG33" s="134"/>
    </row>
    <row r="34" spans="2:33" x14ac:dyDescent="0.15">
      <c r="B34" s="50" t="s">
        <v>26</v>
      </c>
      <c r="C34" s="43">
        <v>0.5</v>
      </c>
      <c r="D34" s="44">
        <f>24+D33</f>
        <v>74</v>
      </c>
      <c r="E34" s="45">
        <v>4</v>
      </c>
      <c r="F34" s="46">
        <v>0.316</v>
      </c>
      <c r="G34" s="47">
        <v>0.31900000000000001</v>
      </c>
      <c r="H34" s="47">
        <v>0.31</v>
      </c>
      <c r="I34" s="47">
        <f t="shared" si="21"/>
        <v>0.39803360000000004</v>
      </c>
      <c r="J34" s="47">
        <f t="shared" si="17"/>
        <v>0.40181240000000001</v>
      </c>
      <c r="K34" s="47">
        <f t="shared" si="17"/>
        <v>0.39047599999999999</v>
      </c>
      <c r="L34" s="48">
        <f t="shared" si="18"/>
        <v>0.39677400000000002</v>
      </c>
      <c r="M34" s="47">
        <f t="shared" si="22"/>
        <v>3.3325883514169681E-3</v>
      </c>
      <c r="N34" s="47">
        <f t="shared" si="19"/>
        <v>-0.92121885515049229</v>
      </c>
      <c r="O34" s="47">
        <f t="shared" si="19"/>
        <v>-0.91176996595255988</v>
      </c>
      <c r="P34" s="47">
        <f t="shared" si="19"/>
        <v>-0.94038877125821263</v>
      </c>
      <c r="Q34" s="48">
        <f t="shared" si="20"/>
        <v>-0.92445919745375493</v>
      </c>
      <c r="R34" s="47">
        <f t="shared" si="23"/>
        <v>8.4189046786077339E-3</v>
      </c>
      <c r="S34" s="47">
        <f t="shared" si="24"/>
        <v>1.3055187627713275E-2</v>
      </c>
      <c r="T34" s="47">
        <f t="shared" si="25"/>
        <v>1.3448891344293792E-2</v>
      </c>
      <c r="U34" s="47">
        <f t="shared" si="26"/>
        <v>1.1188006514335861E-2</v>
      </c>
      <c r="V34" s="48">
        <f t="shared" si="27"/>
        <v>1.2564028495447641E-2</v>
      </c>
      <c r="W34" s="47">
        <f t="shared" si="28"/>
        <v>6.9733493231718122E-4</v>
      </c>
      <c r="X34" s="47">
        <f t="shared" si="29"/>
        <v>5.3788324324324328E-3</v>
      </c>
      <c r="Y34" s="47">
        <f t="shared" si="30"/>
        <v>5.4298972972972974E-3</v>
      </c>
      <c r="Z34" s="47">
        <f t="shared" si="31"/>
        <v>5.2767027027027028E-3</v>
      </c>
      <c r="AA34" s="48">
        <f t="shared" si="32"/>
        <v>5.3618108108108116E-3</v>
      </c>
      <c r="AB34" s="163">
        <f t="shared" si="33"/>
        <v>4.5034977721850824E-5</v>
      </c>
      <c r="AD34" s="1"/>
      <c r="AE34" s="134"/>
      <c r="AF34" s="134"/>
      <c r="AG34" s="134"/>
    </row>
    <row r="35" spans="2:33" x14ac:dyDescent="0.15">
      <c r="B35" s="50" t="s">
        <v>27</v>
      </c>
      <c r="C35" s="43">
        <v>0.4375</v>
      </c>
      <c r="D35" s="44">
        <f>22.5+D34</f>
        <v>96.5</v>
      </c>
      <c r="E35" s="45">
        <v>5</v>
      </c>
      <c r="F35" s="46">
        <v>0.39800000000000002</v>
      </c>
      <c r="G35" s="47">
        <v>0.38800000000000001</v>
      </c>
      <c r="H35" s="47">
        <v>0.375</v>
      </c>
      <c r="I35" s="47">
        <f t="shared" si="21"/>
        <v>0.50132080000000001</v>
      </c>
      <c r="J35" s="47">
        <f t="shared" si="17"/>
        <v>0.48872480000000001</v>
      </c>
      <c r="K35" s="47">
        <f t="shared" si="17"/>
        <v>0.47235000000000005</v>
      </c>
      <c r="L35" s="48">
        <f t="shared" si="18"/>
        <v>0.48746519999999999</v>
      </c>
      <c r="M35" s="47">
        <f t="shared" si="22"/>
        <v>8.3868300980366323E-3</v>
      </c>
      <c r="N35" s="47">
        <f t="shared" si="19"/>
        <v>-0.69050906345296681</v>
      </c>
      <c r="O35" s="47">
        <f t="shared" si="19"/>
        <v>-0.71595572911413108</v>
      </c>
      <c r="P35" s="47">
        <f t="shared" si="19"/>
        <v>-0.75003504276699362</v>
      </c>
      <c r="Q35" s="48">
        <f t="shared" si="20"/>
        <v>-0.71883327844469713</v>
      </c>
      <c r="R35" s="47">
        <f t="shared" si="23"/>
        <v>1.7243798604482601E-2</v>
      </c>
      <c r="S35" s="47">
        <f t="shared" si="24"/>
        <v>1.0253768519890022E-2</v>
      </c>
      <c r="T35" s="47">
        <f t="shared" si="25"/>
        <v>8.702854970596835E-3</v>
      </c>
      <c r="U35" s="47">
        <f t="shared" si="26"/>
        <v>8.4601657107208454E-3</v>
      </c>
      <c r="V35" s="48">
        <f t="shared" si="27"/>
        <v>9.1389297337359007E-3</v>
      </c>
      <c r="W35" s="47">
        <f t="shared" si="28"/>
        <v>5.6180472839768337E-4</v>
      </c>
      <c r="X35" s="47">
        <f t="shared" si="29"/>
        <v>5.195034196891192E-3</v>
      </c>
      <c r="Y35" s="47">
        <f t="shared" si="30"/>
        <v>5.0645056994818652E-3</v>
      </c>
      <c r="Z35" s="47">
        <f t="shared" si="31"/>
        <v>4.8948186528497417E-3</v>
      </c>
      <c r="AA35" s="48">
        <f t="shared" si="32"/>
        <v>5.0514528497409327E-3</v>
      </c>
      <c r="AB35" s="163">
        <f t="shared" si="33"/>
        <v>8.6910156456338112E-5</v>
      </c>
      <c r="AD35" s="1"/>
      <c r="AE35" s="134"/>
      <c r="AF35" s="134"/>
      <c r="AG35" s="134"/>
    </row>
    <row r="36" spans="2:33" x14ac:dyDescent="0.15">
      <c r="B36" s="50" t="s">
        <v>28</v>
      </c>
      <c r="C36" s="43">
        <v>0.4375</v>
      </c>
      <c r="D36" s="44">
        <f>24+D35</f>
        <v>120.5</v>
      </c>
      <c r="E36" s="45">
        <v>6</v>
      </c>
      <c r="F36" s="46">
        <v>0.47299999999999998</v>
      </c>
      <c r="G36" s="47">
        <v>0.48299999999999998</v>
      </c>
      <c r="H36" s="47">
        <v>0.41299999999999998</v>
      </c>
      <c r="I36" s="47">
        <f t="shared" si="21"/>
        <v>0.59579079999999995</v>
      </c>
      <c r="J36" s="47">
        <f t="shared" si="17"/>
        <v>0.60838680000000001</v>
      </c>
      <c r="K36" s="47">
        <f t="shared" si="17"/>
        <v>0.52021479999999998</v>
      </c>
      <c r="L36" s="48">
        <f t="shared" si="18"/>
        <v>0.57479746666666665</v>
      </c>
      <c r="M36" s="47">
        <f t="shared" si="22"/>
        <v>2.753249855070267E-2</v>
      </c>
      <c r="N36" s="47">
        <f t="shared" si="19"/>
        <v>-0.51786568024547164</v>
      </c>
      <c r="O36" s="47">
        <f t="shared" si="19"/>
        <v>-0.49694441508483184</v>
      </c>
      <c r="P36" s="47">
        <f t="shared" si="19"/>
        <v>-0.65351347577637187</v>
      </c>
      <c r="Q36" s="48">
        <f t="shared" si="20"/>
        <v>-0.55610785703555843</v>
      </c>
      <c r="R36" s="47">
        <f t="shared" si="23"/>
        <v>4.9075845231950313E-2</v>
      </c>
      <c r="S36" s="47">
        <f t="shared" si="24"/>
        <v>7.1934743003122985E-3</v>
      </c>
      <c r="T36" s="47">
        <f t="shared" si="25"/>
        <v>9.125471417887469E-3</v>
      </c>
      <c r="U36" s="47">
        <f t="shared" si="26"/>
        <v>4.0217319579425731E-3</v>
      </c>
      <c r="V36" s="48">
        <f t="shared" si="27"/>
        <v>6.7802258920474472E-3</v>
      </c>
      <c r="W36" s="47">
        <f t="shared" si="28"/>
        <v>1.4877409949259459E-3</v>
      </c>
      <c r="X36" s="47">
        <f t="shared" si="29"/>
        <v>4.9443219917012443E-3</v>
      </c>
      <c r="Y36" s="47">
        <f t="shared" si="30"/>
        <v>5.0488531120331951E-3</v>
      </c>
      <c r="Z36" s="47">
        <f t="shared" si="31"/>
        <v>4.3171352697095435E-3</v>
      </c>
      <c r="AA36" s="48">
        <f t="shared" si="32"/>
        <v>4.7701034578146615E-3</v>
      </c>
      <c r="AB36" s="163">
        <f t="shared" si="33"/>
        <v>2.2848546515105947E-4</v>
      </c>
      <c r="AD36" s="1"/>
      <c r="AE36" s="134"/>
      <c r="AF36" s="134"/>
      <c r="AG36" s="134"/>
    </row>
    <row r="37" spans="2:33" x14ac:dyDescent="0.15">
      <c r="B37" s="50" t="s">
        <v>29</v>
      </c>
      <c r="C37" s="43">
        <v>0.4375</v>
      </c>
      <c r="D37" s="44">
        <f>24+D36</f>
        <v>144.5</v>
      </c>
      <c r="E37" s="45">
        <v>7</v>
      </c>
      <c r="F37" s="46">
        <v>0.58199999999999996</v>
      </c>
      <c r="G37" s="47">
        <v>0.57899999999999996</v>
      </c>
      <c r="H37" s="47">
        <v>0.54</v>
      </c>
      <c r="I37" s="47">
        <f t="shared" si="21"/>
        <v>0.73308719999999994</v>
      </c>
      <c r="J37" s="47">
        <f t="shared" si="17"/>
        <v>0.72930839999999997</v>
      </c>
      <c r="K37" s="47">
        <f t="shared" si="17"/>
        <v>0.68018400000000012</v>
      </c>
      <c r="L37" s="48">
        <f t="shared" si="18"/>
        <v>0.71419319999999997</v>
      </c>
      <c r="M37" s="47">
        <f t="shared" si="22"/>
        <v>1.7039552965967097E-2</v>
      </c>
      <c r="N37" s="47">
        <f t="shared" si="19"/>
        <v>-0.3104906210059668</v>
      </c>
      <c r="O37" s="47">
        <f t="shared" si="19"/>
        <v>-0.31565859116440931</v>
      </c>
      <c r="P37" s="47">
        <f t="shared" si="19"/>
        <v>-0.38539192917908427</v>
      </c>
      <c r="Q37" s="48">
        <f t="shared" si="20"/>
        <v>-0.33718038044982013</v>
      </c>
      <c r="R37" s="47">
        <f t="shared" si="23"/>
        <v>2.4151894694794233E-2</v>
      </c>
      <c r="S37" s="47">
        <f t="shared" si="24"/>
        <v>8.6406274683127008E-3</v>
      </c>
      <c r="T37" s="47">
        <f t="shared" si="25"/>
        <v>7.5535759966842723E-3</v>
      </c>
      <c r="U37" s="47">
        <f t="shared" si="26"/>
        <v>1.1171731108220317E-2</v>
      </c>
      <c r="V37" s="48">
        <f t="shared" si="27"/>
        <v>9.1219781910724298E-3</v>
      </c>
      <c r="W37" s="47">
        <f t="shared" si="28"/>
        <v>1.0718419490934889E-3</v>
      </c>
      <c r="X37" s="47">
        <f t="shared" si="29"/>
        <v>5.0732678200692037E-3</v>
      </c>
      <c r="Y37" s="47">
        <f t="shared" si="30"/>
        <v>5.0471169550173004E-3</v>
      </c>
      <c r="Z37" s="47">
        <f t="shared" si="31"/>
        <v>4.7071557093425614E-3</v>
      </c>
      <c r="AA37" s="48">
        <f t="shared" si="32"/>
        <v>4.9425134948096888E-3</v>
      </c>
      <c r="AB37" s="163">
        <f t="shared" si="33"/>
        <v>1.1792078177139854E-4</v>
      </c>
      <c r="AD37" s="1"/>
      <c r="AE37" s="134"/>
      <c r="AF37" s="134"/>
      <c r="AG37" s="134"/>
    </row>
    <row r="38" spans="2:33" x14ac:dyDescent="0.15">
      <c r="B38" s="50" t="s">
        <v>30</v>
      </c>
      <c r="C38" s="43">
        <v>0.4375</v>
      </c>
      <c r="D38" s="44">
        <f>24+D37</f>
        <v>168.5</v>
      </c>
      <c r="E38" s="45">
        <v>8</v>
      </c>
      <c r="F38" s="46">
        <v>0.64200000000000002</v>
      </c>
      <c r="G38" s="47">
        <v>0.66700000000000004</v>
      </c>
      <c r="H38" s="47">
        <v>0.59699999999999998</v>
      </c>
      <c r="I38" s="47">
        <f t="shared" si="21"/>
        <v>0.80866320000000003</v>
      </c>
      <c r="J38" s="47">
        <f t="shared" si="17"/>
        <v>0.84015320000000004</v>
      </c>
      <c r="K38" s="47">
        <f t="shared" si="17"/>
        <v>0.75198120000000002</v>
      </c>
      <c r="L38" s="48">
        <f t="shared" si="18"/>
        <v>0.80026586666666677</v>
      </c>
      <c r="M38" s="47">
        <f t="shared" si="22"/>
        <v>2.5797039890481845E-2</v>
      </c>
      <c r="N38" s="47">
        <f t="shared" si="19"/>
        <v>-0.21237276504744332</v>
      </c>
      <c r="O38" s="47">
        <f t="shared" si="19"/>
        <v>-0.17417102282178076</v>
      </c>
      <c r="P38" s="47">
        <f t="shared" si="19"/>
        <v>-0.28504395534480242</v>
      </c>
      <c r="Q38" s="48">
        <f t="shared" si="20"/>
        <v>-0.22386258107134216</v>
      </c>
      <c r="R38" s="47">
        <f t="shared" si="23"/>
        <v>3.2517757691046874E-2</v>
      </c>
      <c r="S38" s="47">
        <f t="shared" si="24"/>
        <v>4.0882439982718117E-3</v>
      </c>
      <c r="T38" s="47">
        <f t="shared" si="25"/>
        <v>5.8953153476095227E-3</v>
      </c>
      <c r="U38" s="47">
        <f t="shared" si="26"/>
        <v>4.1811655764284099E-3</v>
      </c>
      <c r="V38" s="48">
        <f t="shared" si="27"/>
        <v>4.7215749741032478E-3</v>
      </c>
      <c r="W38" s="47">
        <f t="shared" si="28"/>
        <v>5.874828942816875E-4</v>
      </c>
      <c r="X38" s="47">
        <f t="shared" si="29"/>
        <v>4.7991881305637987E-3</v>
      </c>
      <c r="Y38" s="47">
        <f t="shared" si="30"/>
        <v>4.9860724035608308E-3</v>
      </c>
      <c r="Z38" s="47">
        <f t="shared" si="31"/>
        <v>4.4627964391691392E-3</v>
      </c>
      <c r="AA38" s="48">
        <f t="shared" si="32"/>
        <v>4.7493523244312571E-3</v>
      </c>
      <c r="AB38" s="163">
        <f t="shared" si="33"/>
        <v>1.530981595874294E-4</v>
      </c>
      <c r="AD38" s="1"/>
      <c r="AE38" s="134"/>
      <c r="AF38" s="134"/>
      <c r="AG38" s="134"/>
    </row>
    <row r="39" spans="2:33" x14ac:dyDescent="0.15">
      <c r="B39" s="50" t="s">
        <v>31</v>
      </c>
      <c r="C39" s="43">
        <v>0.4375</v>
      </c>
      <c r="D39" s="44">
        <f>24+D38</f>
        <v>192.5</v>
      </c>
      <c r="E39" s="45">
        <v>9</v>
      </c>
      <c r="F39" s="46">
        <v>0.75700000000000001</v>
      </c>
      <c r="G39" s="47">
        <v>0.746</v>
      </c>
      <c r="H39" s="47">
        <v>0.69</v>
      </c>
      <c r="I39" s="47">
        <f t="shared" si="21"/>
        <v>0.95351720000000006</v>
      </c>
      <c r="J39" s="47">
        <f t="shared" si="17"/>
        <v>0.93966159999999999</v>
      </c>
      <c r="K39" s="47">
        <f t="shared" si="17"/>
        <v>0.86912400000000001</v>
      </c>
      <c r="L39" s="48">
        <f t="shared" si="18"/>
        <v>0.92076760000000002</v>
      </c>
      <c r="M39" s="47">
        <f t="shared" si="22"/>
        <v>2.6129743451732048E-2</v>
      </c>
      <c r="N39" s="47">
        <f t="shared" si="19"/>
        <v>-4.759781529995568E-2</v>
      </c>
      <c r="O39" s="47">
        <f t="shared" si="19"/>
        <v>-6.2235468533643687E-2</v>
      </c>
      <c r="P39" s="47">
        <f t="shared" si="19"/>
        <v>-0.14026947114609944</v>
      </c>
      <c r="Q39" s="48">
        <f t="shared" si="20"/>
        <v>-8.3367584993232935E-2</v>
      </c>
      <c r="R39" s="47">
        <f t="shared" si="23"/>
        <v>2.8763018553128024E-2</v>
      </c>
      <c r="S39" s="47">
        <f t="shared" si="24"/>
        <v>6.8656229061453177E-3</v>
      </c>
      <c r="T39" s="47">
        <f t="shared" si="25"/>
        <v>4.6639814286723782E-3</v>
      </c>
      <c r="U39" s="47">
        <f t="shared" si="26"/>
        <v>6.0322701749459572E-3</v>
      </c>
      <c r="V39" s="48">
        <f t="shared" si="27"/>
        <v>5.853958169921218E-3</v>
      </c>
      <c r="W39" s="47">
        <f t="shared" si="28"/>
        <v>6.4178207027626444E-4</v>
      </c>
      <c r="X39" s="47">
        <f t="shared" si="29"/>
        <v>4.9533361038961044E-3</v>
      </c>
      <c r="Y39" s="47">
        <f t="shared" si="30"/>
        <v>4.8813589610389608E-3</v>
      </c>
      <c r="Z39" s="47">
        <f t="shared" si="31"/>
        <v>4.5149298701298701E-3</v>
      </c>
      <c r="AA39" s="48">
        <f t="shared" si="32"/>
        <v>4.783208311688312E-3</v>
      </c>
      <c r="AB39" s="163">
        <f t="shared" si="33"/>
        <v>1.3573892702198472E-4</v>
      </c>
      <c r="AD39" s="1"/>
      <c r="AE39" s="134"/>
      <c r="AF39" s="134"/>
      <c r="AG39" s="134"/>
    </row>
    <row r="40" spans="2:33" x14ac:dyDescent="0.15">
      <c r="B40" s="50" t="s">
        <v>32</v>
      </c>
      <c r="C40" s="43">
        <v>0.4375</v>
      </c>
      <c r="D40" s="44">
        <f>24+D39</f>
        <v>216.5</v>
      </c>
      <c r="E40" s="45">
        <v>10</v>
      </c>
      <c r="F40" s="46">
        <v>0.85</v>
      </c>
      <c r="G40" s="47">
        <v>0.84</v>
      </c>
      <c r="H40" s="47">
        <v>0.75</v>
      </c>
      <c r="I40" s="47">
        <f t="shared" si="21"/>
        <v>1.0706599999999999</v>
      </c>
      <c r="J40" s="47">
        <f t="shared" si="17"/>
        <v>1.0580640000000001</v>
      </c>
      <c r="K40" s="47">
        <f t="shared" si="17"/>
        <v>0.9447000000000001</v>
      </c>
      <c r="L40" s="48">
        <f t="shared" si="18"/>
        <v>1.0244746666666666</v>
      </c>
      <c r="M40" s="47">
        <f t="shared" si="22"/>
        <v>4.0052727270159467E-2</v>
      </c>
      <c r="N40" s="47">
        <f t="shared" si="19"/>
        <v>6.8275280746957559E-2</v>
      </c>
      <c r="O40" s="47">
        <f t="shared" si="19"/>
        <v>5.6440823099954886E-2</v>
      </c>
      <c r="P40" s="47">
        <f t="shared" si="19"/>
        <v>-5.6887862207048299E-2</v>
      </c>
      <c r="Q40" s="48">
        <f t="shared" si="20"/>
        <v>2.2609413879954715E-2</v>
      </c>
      <c r="R40" s="47">
        <f t="shared" si="23"/>
        <v>3.9895180477051616E-2</v>
      </c>
      <c r="S40" s="47">
        <f t="shared" si="24"/>
        <v>4.8280456686213844E-3</v>
      </c>
      <c r="T40" s="47">
        <f t="shared" si="25"/>
        <v>4.9448454847332741E-3</v>
      </c>
      <c r="U40" s="47">
        <f t="shared" si="26"/>
        <v>3.4742337057937973E-3</v>
      </c>
      <c r="V40" s="48">
        <f t="shared" si="27"/>
        <v>4.4157082863828185E-3</v>
      </c>
      <c r="W40" s="47">
        <f t="shared" si="28"/>
        <v>4.7194326589905489E-4</v>
      </c>
      <c r="X40" s="47">
        <f t="shared" si="29"/>
        <v>4.9453117782909924E-3</v>
      </c>
      <c r="Y40" s="47">
        <f t="shared" si="30"/>
        <v>4.8871316397228644E-3</v>
      </c>
      <c r="Z40" s="47">
        <f t="shared" si="31"/>
        <v>4.3635103926097001E-3</v>
      </c>
      <c r="AA40" s="48">
        <f t="shared" si="32"/>
        <v>4.7319846035411848E-3</v>
      </c>
      <c r="AB40" s="163">
        <f t="shared" si="33"/>
        <v>1.8500104974669498E-4</v>
      </c>
      <c r="AD40" s="3"/>
      <c r="AE40" s="134"/>
      <c r="AF40" s="134"/>
      <c r="AG40" s="134"/>
    </row>
    <row r="41" spans="2:33" x14ac:dyDescent="0.15">
      <c r="B41" s="50" t="s">
        <v>33</v>
      </c>
      <c r="C41" s="43">
        <v>0.4375</v>
      </c>
      <c r="D41" s="44">
        <f>48+D40</f>
        <v>264.5</v>
      </c>
      <c r="E41" s="45">
        <v>12</v>
      </c>
      <c r="F41" s="46">
        <v>1.079</v>
      </c>
      <c r="G41" s="47">
        <v>1.008</v>
      </c>
      <c r="H41" s="47">
        <v>0.91300000000000003</v>
      </c>
      <c r="I41" s="47">
        <f t="shared" si="21"/>
        <v>1.3591084</v>
      </c>
      <c r="J41" s="47">
        <f t="shared" si="17"/>
        <v>1.2696768</v>
      </c>
      <c r="K41" s="47">
        <f t="shared" si="17"/>
        <v>1.1500148000000001</v>
      </c>
      <c r="L41" s="48">
        <f t="shared" si="18"/>
        <v>1.2596000000000001</v>
      </c>
      <c r="M41" s="47">
        <f t="shared" si="22"/>
        <v>6.0570041588010562E-2</v>
      </c>
      <c r="N41" s="47">
        <f t="shared" si="19"/>
        <v>0.30682889652073014</v>
      </c>
      <c r="O41" s="47">
        <f t="shared" si="19"/>
        <v>0.23876237989390944</v>
      </c>
      <c r="P41" s="47">
        <f t="shared" si="19"/>
        <v>0.13977481185756405</v>
      </c>
      <c r="Q41" s="48">
        <f t="shared" si="20"/>
        <v>0.22845536275740119</v>
      </c>
      <c r="R41" s="47">
        <f t="shared" si="23"/>
        <v>4.849894415466275E-2</v>
      </c>
      <c r="S41" s="47">
        <f t="shared" si="24"/>
        <v>4.9698669952869291E-3</v>
      </c>
      <c r="T41" s="47">
        <f t="shared" si="25"/>
        <v>3.7983657665407199E-3</v>
      </c>
      <c r="U41" s="47">
        <f t="shared" si="26"/>
        <v>4.0971390430127571E-3</v>
      </c>
      <c r="V41" s="48">
        <f t="shared" si="27"/>
        <v>4.2884572682801358E-3</v>
      </c>
      <c r="W41" s="47">
        <f t="shared" si="28"/>
        <v>3.5145212083965012E-4</v>
      </c>
      <c r="X41" s="47">
        <f t="shared" si="29"/>
        <v>5.1384060491493381E-3</v>
      </c>
      <c r="Y41" s="47">
        <f t="shared" si="30"/>
        <v>4.8002903591682425E-3</v>
      </c>
      <c r="Z41" s="47">
        <f t="shared" si="31"/>
        <v>4.3478820415879024E-3</v>
      </c>
      <c r="AA41" s="48">
        <f t="shared" si="32"/>
        <v>4.7621928166351616E-3</v>
      </c>
      <c r="AB41" s="163">
        <f t="shared" si="33"/>
        <v>2.2899826687338575E-4</v>
      </c>
      <c r="AD41" s="2"/>
      <c r="AE41" s="134"/>
      <c r="AF41" s="134"/>
      <c r="AG41" s="134"/>
    </row>
    <row r="42" spans="2:33" x14ac:dyDescent="0.15">
      <c r="B42" s="50" t="s">
        <v>34</v>
      </c>
      <c r="C42" s="43">
        <v>0.4375</v>
      </c>
      <c r="D42" s="44">
        <f>24+D41</f>
        <v>288.5</v>
      </c>
      <c r="E42" s="45">
        <v>13</v>
      </c>
      <c r="F42" s="46">
        <v>1.1930000000000001</v>
      </c>
      <c r="G42" s="47">
        <v>1.1200000000000001</v>
      </c>
      <c r="H42" s="47">
        <f>2*0.513</f>
        <v>1.026</v>
      </c>
      <c r="I42" s="47">
        <f t="shared" si="21"/>
        <v>1.5027028000000002</v>
      </c>
      <c r="J42" s="47">
        <f t="shared" si="17"/>
        <v>1.4107520000000002</v>
      </c>
      <c r="K42" s="47">
        <f t="shared" si="17"/>
        <v>1.2923496000000001</v>
      </c>
      <c r="L42" s="48">
        <f t="shared" si="18"/>
        <v>1.4019348</v>
      </c>
      <c r="M42" s="47">
        <f t="shared" si="22"/>
        <v>6.0883562229992243E-2</v>
      </c>
      <c r="N42" s="47">
        <f t="shared" si="19"/>
        <v>0.40726535336051173</v>
      </c>
      <c r="O42" s="47">
        <f t="shared" si="19"/>
        <v>0.34412289555173586</v>
      </c>
      <c r="P42" s="47">
        <f t="shared" si="19"/>
        <v>0.25646195699331037</v>
      </c>
      <c r="Q42" s="48">
        <f t="shared" si="20"/>
        <v>0.33595006863518601</v>
      </c>
      <c r="R42" s="47">
        <f t="shared" si="23"/>
        <v>4.3724563705948578E-2</v>
      </c>
      <c r="S42" s="47">
        <f t="shared" si="24"/>
        <v>4.1848523683242324E-3</v>
      </c>
      <c r="T42" s="47">
        <f t="shared" si="25"/>
        <v>4.3900214857427672E-3</v>
      </c>
      <c r="U42" s="47">
        <f t="shared" si="26"/>
        <v>4.8619643806560968E-3</v>
      </c>
      <c r="V42" s="48">
        <f t="shared" si="27"/>
        <v>4.4789460782410319E-3</v>
      </c>
      <c r="W42" s="47">
        <f t="shared" si="28"/>
        <v>2.0045852162335525E-4</v>
      </c>
      <c r="X42" s="47">
        <f t="shared" si="29"/>
        <v>5.2086752166377826E-3</v>
      </c>
      <c r="Y42" s="47">
        <f t="shared" si="30"/>
        <v>4.8899549393414217E-3</v>
      </c>
      <c r="Z42" s="47">
        <f t="shared" si="31"/>
        <v>4.4795480069324094E-3</v>
      </c>
      <c r="AA42" s="48">
        <f t="shared" si="32"/>
        <v>4.8593927209705382E-3</v>
      </c>
      <c r="AB42" s="163">
        <f t="shared" si="33"/>
        <v>2.1103487774694026E-4</v>
      </c>
      <c r="AD42" s="2"/>
      <c r="AE42" s="134"/>
      <c r="AF42" s="134"/>
      <c r="AG42" s="134"/>
    </row>
    <row r="43" spans="2:33" x14ac:dyDescent="0.15">
      <c r="B43" s="50" t="s">
        <v>35</v>
      </c>
      <c r="C43" s="43">
        <v>0.4375</v>
      </c>
      <c r="D43" s="44">
        <f>24+D42</f>
        <v>312.5</v>
      </c>
      <c r="E43" s="45">
        <v>14</v>
      </c>
      <c r="F43" s="46">
        <f>2*0.683</f>
        <v>1.3660000000000001</v>
      </c>
      <c r="G43" s="47">
        <v>1.099</v>
      </c>
      <c r="H43" s="47">
        <f>2*0.543</f>
        <v>1.0860000000000001</v>
      </c>
      <c r="I43" s="47">
        <f t="shared" si="21"/>
        <v>1.7206136000000003</v>
      </c>
      <c r="J43" s="47">
        <f t="shared" si="17"/>
        <v>1.3843004000000001</v>
      </c>
      <c r="K43" s="47">
        <f t="shared" si="17"/>
        <v>1.3679256000000002</v>
      </c>
      <c r="L43" s="48">
        <f t="shared" si="18"/>
        <v>1.4909465333333334</v>
      </c>
      <c r="M43" s="47">
        <f t="shared" si="22"/>
        <v>0.11493078301339087</v>
      </c>
      <c r="N43" s="47">
        <f t="shared" si="19"/>
        <v>0.54268097139333105</v>
      </c>
      <c r="O43" s="47">
        <f t="shared" si="19"/>
        <v>0.3251948856662169</v>
      </c>
      <c r="P43" s="47">
        <f t="shared" si="19"/>
        <v>0.31329543175647634</v>
      </c>
      <c r="Q43" s="48">
        <f t="shared" si="20"/>
        <v>0.39372376293867478</v>
      </c>
      <c r="R43" s="47">
        <f t="shared" si="23"/>
        <v>7.4557777850001242E-2</v>
      </c>
      <c r="S43" s="47">
        <f t="shared" si="24"/>
        <v>5.6423174180341385E-3</v>
      </c>
      <c r="T43" s="47">
        <f t="shared" si="25"/>
        <v>-7.8866707856328994E-4</v>
      </c>
      <c r="U43" s="47">
        <f t="shared" si="26"/>
        <v>2.3680614484652487E-3</v>
      </c>
      <c r="V43" s="48">
        <f t="shared" si="27"/>
        <v>2.4072372626453655E-3</v>
      </c>
      <c r="W43" s="47">
        <f t="shared" si="28"/>
        <v>1.8565686500622259E-3</v>
      </c>
      <c r="X43" s="47">
        <f t="shared" si="29"/>
        <v>5.5059635200000005E-3</v>
      </c>
      <c r="Y43" s="47">
        <f t="shared" si="30"/>
        <v>4.4297612800000006E-3</v>
      </c>
      <c r="Z43" s="47">
        <f t="shared" si="31"/>
        <v>4.3773619200000004E-3</v>
      </c>
      <c r="AA43" s="48">
        <f t="shared" si="32"/>
        <v>4.7710289066666663E-3</v>
      </c>
      <c r="AB43" s="163">
        <f t="shared" si="33"/>
        <v>3.6777850564285048E-4</v>
      </c>
      <c r="AD43" s="2"/>
      <c r="AE43" s="134"/>
      <c r="AF43" s="134"/>
      <c r="AG43" s="134"/>
    </row>
    <row r="44" spans="2:33" x14ac:dyDescent="0.15">
      <c r="B44" s="50" t="s">
        <v>36</v>
      </c>
      <c r="C44" s="43">
        <v>0.4375</v>
      </c>
      <c r="D44" s="44">
        <f>24+D43</f>
        <v>336.5</v>
      </c>
      <c r="E44" s="45">
        <v>15</v>
      </c>
      <c r="F44" s="46">
        <v>1.335</v>
      </c>
      <c r="G44" s="47">
        <v>1.244</v>
      </c>
      <c r="H44" s="47">
        <v>1.161</v>
      </c>
      <c r="I44" s="47">
        <f t="shared" si="21"/>
        <v>1.6815660000000001</v>
      </c>
      <c r="J44" s="47">
        <f t="shared" si="21"/>
        <v>1.5669424000000001</v>
      </c>
      <c r="K44" s="47">
        <f t="shared" si="21"/>
        <v>1.4623956</v>
      </c>
      <c r="L44" s="48">
        <f t="shared" si="18"/>
        <v>1.5703013333333333</v>
      </c>
      <c r="M44" s="47">
        <f t="shared" si="22"/>
        <v>6.3291331380880653E-2</v>
      </c>
      <c r="N44" s="47">
        <f t="shared" si="19"/>
        <v>0.51972550209694546</v>
      </c>
      <c r="O44" s="47">
        <f t="shared" si="19"/>
        <v>0.44912620456172025</v>
      </c>
      <c r="P44" s="47">
        <f t="shared" si="19"/>
        <v>0.38007591296048698</v>
      </c>
      <c r="Q44" s="48">
        <f t="shared" si="20"/>
        <v>0.44964253987305086</v>
      </c>
      <c r="R44" s="47">
        <f t="shared" si="23"/>
        <v>4.0314190587231034E-2</v>
      </c>
      <c r="S44" s="47">
        <f t="shared" si="24"/>
        <v>-9.5647788734939954E-4</v>
      </c>
      <c r="T44" s="47">
        <f t="shared" si="25"/>
        <v>5.1638049539793063E-3</v>
      </c>
      <c r="U44" s="47">
        <f t="shared" si="26"/>
        <v>2.7825200501671102E-3</v>
      </c>
      <c r="V44" s="48">
        <f t="shared" si="27"/>
        <v>2.3299490389323391E-3</v>
      </c>
      <c r="W44" s="47">
        <f t="shared" si="28"/>
        <v>1.781205668886779E-3</v>
      </c>
      <c r="X44" s="47">
        <f t="shared" si="29"/>
        <v>4.9972243684992578E-3</v>
      </c>
      <c r="Y44" s="47">
        <f t="shared" si="30"/>
        <v>4.6565895988112931E-3</v>
      </c>
      <c r="Z44" s="47">
        <f t="shared" si="31"/>
        <v>4.3459007429420505E-3</v>
      </c>
      <c r="AA44" s="48">
        <f t="shared" si="32"/>
        <v>4.6665715700842008E-3</v>
      </c>
      <c r="AB44" s="163">
        <f t="shared" si="33"/>
        <v>1.8808716606502437E-4</v>
      </c>
      <c r="AD44" s="134"/>
      <c r="AE44" s="134"/>
      <c r="AF44" s="134"/>
      <c r="AG44" s="134"/>
    </row>
    <row r="45" spans="2:33" x14ac:dyDescent="0.15">
      <c r="B45" s="50" t="s">
        <v>37</v>
      </c>
      <c r="C45" s="43">
        <v>0.5</v>
      </c>
      <c r="D45" s="44">
        <f>24+1.5+D44</f>
        <v>362</v>
      </c>
      <c r="E45" s="45">
        <v>16</v>
      </c>
      <c r="F45" s="46">
        <v>1.478</v>
      </c>
      <c r="G45" s="47">
        <v>1.226</v>
      </c>
      <c r="H45" s="47">
        <v>1.2370000000000001</v>
      </c>
      <c r="I45" s="47">
        <f t="shared" si="21"/>
        <v>1.8616888</v>
      </c>
      <c r="J45" s="47">
        <f t="shared" si="21"/>
        <v>1.5442696</v>
      </c>
      <c r="K45" s="47">
        <f t="shared" si="21"/>
        <v>1.5581252000000001</v>
      </c>
      <c r="L45" s="48">
        <f t="shared" si="18"/>
        <v>1.6546945333333334</v>
      </c>
      <c r="M45" s="47">
        <f t="shared" si="22"/>
        <v>0.10357439232663213</v>
      </c>
      <c r="N45" s="47">
        <f t="shared" si="19"/>
        <v>0.6214840327707426</v>
      </c>
      <c r="O45" s="47">
        <f t="shared" si="19"/>
        <v>0.4345510477587522</v>
      </c>
      <c r="P45" s="47">
        <f t="shared" si="19"/>
        <v>0.44348330365508343</v>
      </c>
      <c r="Q45" s="48">
        <f t="shared" si="20"/>
        <v>0.49983946139485935</v>
      </c>
      <c r="R45" s="47">
        <f t="shared" si="23"/>
        <v>6.0876918471525467E-2</v>
      </c>
      <c r="S45" s="47">
        <f t="shared" si="24"/>
        <v>3.9905306146587119E-3</v>
      </c>
      <c r="T45" s="47">
        <f t="shared" si="25"/>
        <v>-5.7157477658698269E-4</v>
      </c>
      <c r="U45" s="47">
        <f t="shared" si="26"/>
        <v>2.4865643409645666E-3</v>
      </c>
      <c r="V45" s="48">
        <f t="shared" si="27"/>
        <v>1.9685067263454318E-3</v>
      </c>
      <c r="W45" s="47">
        <f t="shared" si="28"/>
        <v>1.3421983421805824E-3</v>
      </c>
      <c r="X45" s="47">
        <f t="shared" si="29"/>
        <v>5.1427867403314922E-3</v>
      </c>
      <c r="Y45" s="47">
        <f t="shared" si="30"/>
        <v>4.2659381215469612E-3</v>
      </c>
      <c r="Z45" s="47">
        <f t="shared" si="31"/>
        <v>4.3042132596685084E-3</v>
      </c>
      <c r="AA45" s="48">
        <f t="shared" si="32"/>
        <v>4.5709793738489875E-3</v>
      </c>
      <c r="AB45" s="163">
        <f t="shared" si="33"/>
        <v>2.8611710587467455E-4</v>
      </c>
      <c r="AD45" s="134"/>
      <c r="AE45" s="134"/>
      <c r="AF45" s="134"/>
      <c r="AG45" s="134"/>
    </row>
    <row r="46" spans="2:33" x14ac:dyDescent="0.15">
      <c r="B46" s="50" t="s">
        <v>38</v>
      </c>
      <c r="C46" s="43">
        <v>0.52083333333333337</v>
      </c>
      <c r="D46" s="44">
        <f>24.5+D45</f>
        <v>386.5</v>
      </c>
      <c r="E46" s="45">
        <v>17</v>
      </c>
      <c r="F46" s="46">
        <v>1.5409999999999999</v>
      </c>
      <c r="G46" s="47">
        <v>1.349</v>
      </c>
      <c r="H46" s="47">
        <v>1.329</v>
      </c>
      <c r="I46" s="47">
        <f t="shared" si="21"/>
        <v>1.9410436</v>
      </c>
      <c r="J46" s="47">
        <f t="shared" si="21"/>
        <v>1.6992004000000001</v>
      </c>
      <c r="K46" s="47">
        <f t="shared" si="21"/>
        <v>1.6740084</v>
      </c>
      <c r="L46" s="48">
        <f t="shared" si="18"/>
        <v>1.7714174666666667</v>
      </c>
      <c r="M46" s="47">
        <f t="shared" si="22"/>
        <v>8.512427786911192E-2</v>
      </c>
      <c r="N46" s="47">
        <f t="shared" si="19"/>
        <v>0.66322576658271126</v>
      </c>
      <c r="O46" s="47">
        <f t="shared" si="19"/>
        <v>0.53015778747035136</v>
      </c>
      <c r="P46" s="47">
        <f t="shared" si="19"/>
        <v>0.51522098997584076</v>
      </c>
      <c r="Q46" s="48">
        <f t="shared" si="20"/>
        <v>0.5695348480096345</v>
      </c>
      <c r="R46" s="47">
        <f t="shared" si="23"/>
        <v>4.7043483952431721E-2</v>
      </c>
      <c r="S46" s="47">
        <f t="shared" si="24"/>
        <v>1.7037442372232108E-3</v>
      </c>
      <c r="T46" s="47">
        <f t="shared" si="25"/>
        <v>3.9023159065958843E-3</v>
      </c>
      <c r="U46" s="47">
        <f t="shared" si="26"/>
        <v>2.9280688294186668E-3</v>
      </c>
      <c r="V46" s="48">
        <f t="shared" si="27"/>
        <v>2.8447096577459206E-3</v>
      </c>
      <c r="W46" s="47">
        <f t="shared" si="28"/>
        <v>6.3604006948422961E-4</v>
      </c>
      <c r="X46" s="47">
        <f t="shared" si="29"/>
        <v>5.0221050452781369E-3</v>
      </c>
      <c r="Y46" s="47">
        <f t="shared" si="30"/>
        <v>4.3963787839586032E-3</v>
      </c>
      <c r="Z46" s="47">
        <f t="shared" si="31"/>
        <v>4.3311989650711511E-3</v>
      </c>
      <c r="AA46" s="48">
        <f t="shared" si="32"/>
        <v>4.5832275981026304E-3</v>
      </c>
      <c r="AB46" s="163">
        <f t="shared" si="33"/>
        <v>2.2024392721633094E-4</v>
      </c>
      <c r="AD46" s="134"/>
      <c r="AE46" s="134"/>
      <c r="AF46" s="134"/>
      <c r="AG46" s="134"/>
    </row>
    <row r="47" spans="2:33" ht="15" thickBot="1" x14ac:dyDescent="0.2">
      <c r="B47" s="50" t="s">
        <v>39</v>
      </c>
      <c r="C47" s="43">
        <v>0.5</v>
      </c>
      <c r="D47" s="44">
        <f>48+D45</f>
        <v>410</v>
      </c>
      <c r="E47" s="45">
        <v>18</v>
      </c>
      <c r="F47" s="46">
        <v>1.5249999999999999</v>
      </c>
      <c r="G47" s="47">
        <v>1.3919999999999999</v>
      </c>
      <c r="H47" s="47">
        <v>1.37</v>
      </c>
      <c r="I47" s="47">
        <f t="shared" si="21"/>
        <v>1.92089</v>
      </c>
      <c r="J47" s="47">
        <f t="shared" si="21"/>
        <v>1.7533631999999999</v>
      </c>
      <c r="K47" s="47">
        <f t="shared" si="21"/>
        <v>1.7256520000000002</v>
      </c>
      <c r="L47" s="48">
        <f t="shared" si="18"/>
        <v>1.7999684</v>
      </c>
      <c r="M47" s="47">
        <f t="shared" si="22"/>
        <v>6.0987710951414878E-2</v>
      </c>
      <c r="N47" s="47">
        <f t="shared" si="19"/>
        <v>0.65278862030410745</v>
      </c>
      <c r="O47" s="47">
        <f t="shared" si="19"/>
        <v>0.56153577215696038</v>
      </c>
      <c r="P47" s="47">
        <f t="shared" si="19"/>
        <v>0.54560495008476617</v>
      </c>
      <c r="Q47" s="48">
        <f t="shared" si="20"/>
        <v>0.5866431141819447</v>
      </c>
      <c r="R47" s="47">
        <f t="shared" si="23"/>
        <v>3.3390960643522392E-2</v>
      </c>
      <c r="S47" s="47">
        <f t="shared" si="24"/>
        <v>-4.4413388419590701E-4</v>
      </c>
      <c r="T47" s="47">
        <f t="shared" si="25"/>
        <v>1.3352333909195325E-3</v>
      </c>
      <c r="U47" s="47">
        <f t="shared" si="26"/>
        <v>1.2929344727202303E-3</v>
      </c>
      <c r="V47" s="48">
        <f t="shared" si="27"/>
        <v>7.2801132648128535E-4</v>
      </c>
      <c r="W47" s="47">
        <f t="shared" si="28"/>
        <v>5.8619979409905325E-4</v>
      </c>
      <c r="X47" s="47">
        <f t="shared" si="29"/>
        <v>4.6850975609756098E-3</v>
      </c>
      <c r="Y47" s="47">
        <f t="shared" si="30"/>
        <v>4.2764956097560971E-3</v>
      </c>
      <c r="Z47" s="47">
        <f t="shared" si="31"/>
        <v>4.2089073170731711E-3</v>
      </c>
      <c r="AA47" s="48">
        <f t="shared" si="32"/>
        <v>4.390166829268293E-3</v>
      </c>
      <c r="AB47" s="163">
        <f t="shared" si="33"/>
        <v>1.4875051451564608E-4</v>
      </c>
    </row>
    <row r="48" spans="2:33" ht="15" thickBot="1" x14ac:dyDescent="0.2">
      <c r="B48" s="186" t="s">
        <v>71</v>
      </c>
      <c r="C48" s="187"/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187"/>
      <c r="O48" s="187"/>
      <c r="P48" s="187"/>
      <c r="Q48" s="187"/>
      <c r="R48" s="187"/>
      <c r="S48" s="187"/>
      <c r="T48" s="187"/>
      <c r="U48" s="187"/>
      <c r="V48" s="187"/>
      <c r="W48" s="187"/>
      <c r="X48" s="187"/>
      <c r="Y48" s="187"/>
      <c r="Z48" s="187"/>
      <c r="AA48" s="187"/>
      <c r="AB48" s="188"/>
    </row>
    <row r="49" spans="1:28" ht="60" x14ac:dyDescent="0.15">
      <c r="B49" s="26" t="s">
        <v>0</v>
      </c>
      <c r="C49" s="27" t="s">
        <v>1</v>
      </c>
      <c r="D49" s="28" t="s">
        <v>2</v>
      </c>
      <c r="E49" s="29" t="s">
        <v>3</v>
      </c>
      <c r="F49" s="182" t="s">
        <v>61</v>
      </c>
      <c r="G49" s="183"/>
      <c r="H49" s="184"/>
      <c r="I49" s="185" t="s">
        <v>10</v>
      </c>
      <c r="J49" s="183"/>
      <c r="K49" s="184"/>
      <c r="L49" s="30" t="s">
        <v>4</v>
      </c>
      <c r="M49" s="31" t="s">
        <v>70</v>
      </c>
      <c r="N49" s="185" t="s">
        <v>63</v>
      </c>
      <c r="O49" s="183"/>
      <c r="P49" s="184"/>
      <c r="Q49" s="31" t="s">
        <v>5</v>
      </c>
      <c r="R49" s="31" t="s">
        <v>62</v>
      </c>
      <c r="S49" s="201" t="s">
        <v>6</v>
      </c>
      <c r="T49" s="202"/>
      <c r="U49" s="202"/>
      <c r="V49" s="30" t="s">
        <v>64</v>
      </c>
      <c r="W49" s="30" t="s">
        <v>62</v>
      </c>
      <c r="X49" s="185" t="s">
        <v>65</v>
      </c>
      <c r="Y49" s="183"/>
      <c r="Z49" s="184"/>
      <c r="AA49" s="30" t="s">
        <v>66</v>
      </c>
      <c r="AB49" s="32" t="s">
        <v>62</v>
      </c>
    </row>
    <row r="50" spans="1:28" x14ac:dyDescent="0.15">
      <c r="B50" s="33"/>
      <c r="C50" s="34"/>
      <c r="D50" s="35"/>
      <c r="E50" s="36"/>
      <c r="F50" s="192" t="s">
        <v>13</v>
      </c>
      <c r="G50" s="193"/>
      <c r="H50" s="194"/>
      <c r="I50" s="195" t="s">
        <v>7</v>
      </c>
      <c r="J50" s="193"/>
      <c r="K50" s="194"/>
      <c r="L50" s="38" t="s">
        <v>7</v>
      </c>
      <c r="M50" s="38"/>
      <c r="N50" s="195" t="s">
        <v>7</v>
      </c>
      <c r="O50" s="193"/>
      <c r="P50" s="194"/>
      <c r="Q50" s="37"/>
      <c r="R50" s="37"/>
      <c r="S50" s="199" t="s">
        <v>67</v>
      </c>
      <c r="T50" s="200"/>
      <c r="U50" s="200"/>
      <c r="V50" s="38" t="s">
        <v>67</v>
      </c>
      <c r="W50" s="35"/>
      <c r="X50" s="196" t="s">
        <v>68</v>
      </c>
      <c r="Y50" s="197"/>
      <c r="Z50" s="198"/>
      <c r="AA50" s="40" t="s">
        <v>68</v>
      </c>
      <c r="AB50" s="41"/>
    </row>
    <row r="51" spans="1:28" x14ac:dyDescent="0.15">
      <c r="B51" s="190" t="s">
        <v>23</v>
      </c>
      <c r="C51" s="43">
        <v>0.52083333333333337</v>
      </c>
      <c r="D51" s="44">
        <v>0</v>
      </c>
      <c r="E51" s="189">
        <v>1</v>
      </c>
      <c r="F51" s="46">
        <v>0.10100000000000001</v>
      </c>
      <c r="G51" s="47">
        <v>0.10299999999999999</v>
      </c>
      <c r="H51" s="47">
        <v>9.8000000000000004E-2</v>
      </c>
      <c r="I51" s="47">
        <f>1.2596*F51</f>
        <v>0.12721960000000002</v>
      </c>
      <c r="J51" s="47">
        <f>1.2596*G51</f>
        <v>0.12973879999999999</v>
      </c>
      <c r="K51" s="47">
        <f t="shared" ref="J51:K66" si="34">1.2596*H51</f>
        <v>0.1234408</v>
      </c>
      <c r="L51" s="48">
        <f t="shared" ref="L51:L70" si="35">AVERAGE(I51:K51)</f>
        <v>0.12679973333333336</v>
      </c>
      <c r="M51" s="135">
        <f t="shared" ref="M51:M70" si="36">STDEV(I51:K51)/SQRT(3)</f>
        <v>1.8301563697612736E-3</v>
      </c>
      <c r="N51" s="47">
        <f t="shared" ref="N51:P70" si="37">LN(I51)</f>
        <v>-2.0618405518961449</v>
      </c>
      <c r="O51" s="47">
        <f t="shared" si="37"/>
        <v>-2.0422320805077687</v>
      </c>
      <c r="P51" s="47">
        <f t="shared" si="37"/>
        <v>-2.0919935900668327</v>
      </c>
      <c r="Q51" s="48">
        <f t="shared" ref="Q51:Q70" si="38">AVERAGE(N51:P51)</f>
        <v>-2.0653554074902485</v>
      </c>
      <c r="R51" s="47">
        <f>STDEV(N51:P51)/SQRT(3)</f>
        <v>1.4472014554359239E-2</v>
      </c>
      <c r="S51" s="47"/>
      <c r="T51" s="8"/>
      <c r="U51" s="8"/>
      <c r="V51" s="167"/>
      <c r="W51" s="8"/>
      <c r="X51" s="8"/>
      <c r="Y51" s="8"/>
      <c r="Z51" s="8"/>
      <c r="AA51" s="167"/>
      <c r="AB51" s="45"/>
    </row>
    <row r="52" spans="1:28" x14ac:dyDescent="0.15">
      <c r="B52" s="190"/>
      <c r="C52" s="43">
        <v>0.66666666666666663</v>
      </c>
      <c r="D52" s="44">
        <f>3.5+D51</f>
        <v>3.5</v>
      </c>
      <c r="E52" s="189"/>
      <c r="F52" s="46">
        <v>0.105</v>
      </c>
      <c r="G52" s="47">
        <v>0.107</v>
      </c>
      <c r="H52" s="47">
        <v>0.11899999999999999</v>
      </c>
      <c r="I52" s="47">
        <f t="shared" ref="I52:K70" si="39">1.2596*F52</f>
        <v>0.13225800000000001</v>
      </c>
      <c r="J52" s="47">
        <f t="shared" si="34"/>
        <v>0.13477720000000001</v>
      </c>
      <c r="K52" s="47">
        <f t="shared" si="34"/>
        <v>0.14989240000000001</v>
      </c>
      <c r="L52" s="48">
        <f t="shared" si="35"/>
        <v>0.1389758666666667</v>
      </c>
      <c r="M52" s="135">
        <f t="shared" si="36"/>
        <v>5.5064997101405321E-3</v>
      </c>
      <c r="N52" s="47">
        <f t="shared" si="37"/>
        <v>-2.0230007185798811</v>
      </c>
      <c r="O52" s="47">
        <f t="shared" si="37"/>
        <v>-2.0041322342754984</v>
      </c>
      <c r="P52" s="47">
        <f t="shared" si="37"/>
        <v>-1.8978375756258752</v>
      </c>
      <c r="Q52" s="48">
        <f t="shared" si="38"/>
        <v>-1.9749901761604181</v>
      </c>
      <c r="R52" s="47">
        <f t="shared" ref="R52:R70" si="40">STDEV(N52:P52)/SQRT(3)</f>
        <v>3.8958943140688762E-2</v>
      </c>
      <c r="S52" s="47">
        <f>(N52-N51)/(D52-D51)</f>
        <v>1.1097095233218239E-2</v>
      </c>
      <c r="T52" s="47">
        <f>(O52-O51)/(D52-D51)</f>
        <v>1.0885670352077246E-2</v>
      </c>
      <c r="U52" s="47">
        <f>(P52-P51)/(D52-D51)</f>
        <v>5.5473146983130724E-2</v>
      </c>
      <c r="V52" s="48">
        <f>AVERAGE(S52:U52)</f>
        <v>2.5818637522808736E-2</v>
      </c>
      <c r="W52" s="47">
        <f>STDEV(S52:U52)/SQRT(3)</f>
        <v>1.4827380344252048E-2</v>
      </c>
      <c r="X52" s="47">
        <f>I52/D52</f>
        <v>3.7788000000000002E-2</v>
      </c>
      <c r="Y52" s="47">
        <f>J52/D52</f>
        <v>3.8507771428571431E-2</v>
      </c>
      <c r="Z52" s="47">
        <f>K52/D52</f>
        <v>4.2826400000000001E-2</v>
      </c>
      <c r="AA52" s="48">
        <f>AVERAGE(X52:Z52)</f>
        <v>3.9707390476190478E-2</v>
      </c>
      <c r="AB52" s="163">
        <f>STDEV(X52:Z52)/SQRT(3)</f>
        <v>1.5732856314687235E-3</v>
      </c>
    </row>
    <row r="53" spans="1:28" x14ac:dyDescent="0.15">
      <c r="B53" s="190"/>
      <c r="C53" s="43">
        <v>0.85416666666666663</v>
      </c>
      <c r="D53" s="44">
        <f>4.5+D52</f>
        <v>8</v>
      </c>
      <c r="E53" s="189"/>
      <c r="F53" s="46">
        <v>0.113</v>
      </c>
      <c r="G53" s="47">
        <v>0.112</v>
      </c>
      <c r="H53" s="47">
        <v>0.12</v>
      </c>
      <c r="I53" s="47">
        <f t="shared" si="39"/>
        <v>0.14233480000000001</v>
      </c>
      <c r="J53" s="47">
        <f t="shared" si="34"/>
        <v>0.14107520000000001</v>
      </c>
      <c r="K53" s="47">
        <f t="shared" si="34"/>
        <v>0.15115200000000001</v>
      </c>
      <c r="L53" s="48">
        <f t="shared" si="35"/>
        <v>0.14485400000000001</v>
      </c>
      <c r="M53" s="135">
        <f t="shared" si="36"/>
        <v>3.1699238182223448E-3</v>
      </c>
      <c r="N53" s="47">
        <f t="shared" si="37"/>
        <v>-1.9495732500250638</v>
      </c>
      <c r="O53" s="47">
        <f t="shared" si="37"/>
        <v>-1.95846219744231</v>
      </c>
      <c r="P53" s="47">
        <f t="shared" si="37"/>
        <v>-1.8894693259553585</v>
      </c>
      <c r="Q53" s="48">
        <f t="shared" si="38"/>
        <v>-1.9325015911409107</v>
      </c>
      <c r="R53" s="47">
        <f t="shared" si="40"/>
        <v>2.1668604260514868E-2</v>
      </c>
      <c r="S53" s="47">
        <f t="shared" ref="S53:S70" si="41">(N53-N52)/(D53-D52)</f>
        <v>1.6317215234403843E-2</v>
      </c>
      <c r="T53" s="47">
        <f t="shared" ref="T53:T70" si="42">(O53-O52)/(D53-D52)</f>
        <v>1.0148897074041862E-2</v>
      </c>
      <c r="U53" s="47">
        <f t="shared" ref="U53:U70" si="43">(P53-P52)/(D53-D52)</f>
        <v>1.8596110378925859E-3</v>
      </c>
      <c r="V53" s="48">
        <f t="shared" ref="V53:V70" si="44">AVERAGE(S53:U53)</f>
        <v>9.4419077821127646E-3</v>
      </c>
      <c r="W53" s="47">
        <f t="shared" ref="W53:W70" si="45">STDEV(S53:U53)/SQRT(3)</f>
        <v>4.1884943663135785E-3</v>
      </c>
      <c r="X53" s="47">
        <f t="shared" ref="X53:X70" si="46">I53/D53</f>
        <v>1.7791850000000001E-2</v>
      </c>
      <c r="Y53" s="47">
        <f t="shared" ref="Y53:Y70" si="47">J53/D53</f>
        <v>1.7634400000000001E-2</v>
      </c>
      <c r="Z53" s="47">
        <f t="shared" ref="Z53:Z70" si="48">K53/D53</f>
        <v>1.8894000000000001E-2</v>
      </c>
      <c r="AA53" s="48">
        <f t="shared" ref="AA53:AA70" si="49">AVERAGE(X53:Z53)</f>
        <v>1.8106750000000001E-2</v>
      </c>
      <c r="AB53" s="163">
        <f t="shared" ref="AB53:AB70" si="50">STDEV(X53:Z53)/SQRT(3)</f>
        <v>3.9624047727779309E-4</v>
      </c>
    </row>
    <row r="54" spans="1:28" x14ac:dyDescent="0.15">
      <c r="B54" s="190" t="s">
        <v>24</v>
      </c>
      <c r="C54" s="43">
        <v>0.4375</v>
      </c>
      <c r="D54" s="44">
        <f>2+12+D53</f>
        <v>22</v>
      </c>
      <c r="E54" s="189">
        <v>2</v>
      </c>
      <c r="F54" s="46">
        <v>0.13</v>
      </c>
      <c r="G54" s="47">
        <v>0.14799999999999999</v>
      </c>
      <c r="H54" s="47">
        <v>0.14000000000000001</v>
      </c>
      <c r="I54" s="47">
        <f t="shared" si="39"/>
        <v>0.163748</v>
      </c>
      <c r="J54" s="47">
        <f t="shared" si="34"/>
        <v>0.1864208</v>
      </c>
      <c r="K54" s="47">
        <f t="shared" si="34"/>
        <v>0.17634400000000003</v>
      </c>
      <c r="L54" s="48">
        <f t="shared" si="35"/>
        <v>0.17550426666666666</v>
      </c>
      <c r="M54" s="135">
        <f t="shared" si="36"/>
        <v>6.5585269945146801E-3</v>
      </c>
      <c r="N54" s="47">
        <f t="shared" si="37"/>
        <v>-1.8094266182818222</v>
      </c>
      <c r="O54" s="47">
        <f t="shared" si="37"/>
        <v>-1.6797487949732894</v>
      </c>
      <c r="P54" s="47">
        <f t="shared" si="37"/>
        <v>-1.7353186461281001</v>
      </c>
      <c r="Q54" s="48">
        <f t="shared" si="38"/>
        <v>-1.7414980197944037</v>
      </c>
      <c r="R54" s="47">
        <f t="shared" si="40"/>
        <v>3.7562050701430982E-2</v>
      </c>
      <c r="S54" s="47">
        <f t="shared" si="41"/>
        <v>1.0010473695945829E-2</v>
      </c>
      <c r="T54" s="47">
        <f t="shared" si="42"/>
        <v>1.990810017635861E-2</v>
      </c>
      <c r="U54" s="47">
        <f t="shared" si="43"/>
        <v>1.1010762844804178E-2</v>
      </c>
      <c r="V54" s="48">
        <f t="shared" si="44"/>
        <v>1.3643112239036206E-2</v>
      </c>
      <c r="W54" s="47">
        <f t="shared" si="45"/>
        <v>3.1457749435513985E-3</v>
      </c>
      <c r="X54" s="47">
        <f t="shared" si="46"/>
        <v>7.4430909090909096E-3</v>
      </c>
      <c r="Y54" s="47">
        <f t="shared" si="47"/>
        <v>8.473672727272728E-3</v>
      </c>
      <c r="Z54" s="47">
        <f t="shared" si="48"/>
        <v>8.0156363636363654E-3</v>
      </c>
      <c r="AA54" s="48">
        <f t="shared" si="49"/>
        <v>7.9774666666666671E-3</v>
      </c>
      <c r="AB54" s="163">
        <f t="shared" si="50"/>
        <v>2.9811486338703107E-4</v>
      </c>
    </row>
    <row r="55" spans="1:28" x14ac:dyDescent="0.15">
      <c r="B55" s="190"/>
      <c r="C55" s="43">
        <v>0.66666666666666663</v>
      </c>
      <c r="D55" s="44">
        <f>5.5+D54</f>
        <v>27.5</v>
      </c>
      <c r="E55" s="189"/>
      <c r="F55" s="46">
        <v>0.155</v>
      </c>
      <c r="G55" s="47">
        <v>0.159</v>
      </c>
      <c r="H55" s="47">
        <v>0.158</v>
      </c>
      <c r="I55" s="47">
        <f t="shared" si="39"/>
        <v>0.19523799999999999</v>
      </c>
      <c r="J55" s="47">
        <f t="shared" si="34"/>
        <v>0.20027640000000002</v>
      </c>
      <c r="K55" s="47">
        <f t="shared" si="34"/>
        <v>0.19901680000000002</v>
      </c>
      <c r="L55" s="48">
        <f t="shared" si="35"/>
        <v>0.19817706666666668</v>
      </c>
      <c r="M55" s="135">
        <f t="shared" si="36"/>
        <v>1.5138507955248224E-3</v>
      </c>
      <c r="N55" s="47">
        <f t="shared" si="37"/>
        <v>-1.633535951818158</v>
      </c>
      <c r="O55" s="47">
        <f t="shared" si="37"/>
        <v>-1.6080568665171728</v>
      </c>
      <c r="P55" s="47">
        <f t="shared" si="37"/>
        <v>-1.6143660357104377</v>
      </c>
      <c r="Q55" s="48">
        <f t="shared" si="38"/>
        <v>-1.6186529513485894</v>
      </c>
      <c r="R55" s="47">
        <f t="shared" si="40"/>
        <v>7.6611396282405446E-3</v>
      </c>
      <c r="S55" s="47">
        <f t="shared" si="41"/>
        <v>3.1980121175211658E-2</v>
      </c>
      <c r="T55" s="47">
        <f t="shared" si="42"/>
        <v>1.3034896082930292E-2</v>
      </c>
      <c r="U55" s="47">
        <f t="shared" si="43"/>
        <v>2.1991383712302248E-2</v>
      </c>
      <c r="V55" s="48">
        <f t="shared" si="44"/>
        <v>2.2335466990148062E-2</v>
      </c>
      <c r="W55" s="47">
        <f t="shared" si="45"/>
        <v>5.4717207356209203E-3</v>
      </c>
      <c r="X55" s="47">
        <f t="shared" si="46"/>
        <v>7.099563636363636E-3</v>
      </c>
      <c r="Y55" s="47">
        <f t="shared" si="47"/>
        <v>7.2827781818181822E-3</v>
      </c>
      <c r="Z55" s="47">
        <f t="shared" si="48"/>
        <v>7.2369745454545463E-3</v>
      </c>
      <c r="AA55" s="48">
        <f t="shared" si="49"/>
        <v>7.2064387878787882E-3</v>
      </c>
      <c r="AB55" s="163">
        <f t="shared" si="50"/>
        <v>5.5049119837266244E-5</v>
      </c>
    </row>
    <row r="56" spans="1:28" x14ac:dyDescent="0.15">
      <c r="B56" s="50" t="s">
        <v>25</v>
      </c>
      <c r="C56" s="43">
        <v>0.52083333333333337</v>
      </c>
      <c r="D56" s="44">
        <f>8.5+12+D55</f>
        <v>48</v>
      </c>
      <c r="E56" s="45">
        <v>3</v>
      </c>
      <c r="F56" s="46">
        <v>0.20699999999999999</v>
      </c>
      <c r="G56" s="47">
        <v>0.20100000000000001</v>
      </c>
      <c r="H56" s="47">
        <v>0.218</v>
      </c>
      <c r="I56" s="47">
        <f t="shared" si="39"/>
        <v>0.2607372</v>
      </c>
      <c r="J56" s="47">
        <f t="shared" si="34"/>
        <v>0.2531796</v>
      </c>
      <c r="K56" s="47">
        <f t="shared" si="34"/>
        <v>0.27459280000000003</v>
      </c>
      <c r="L56" s="48">
        <f t="shared" si="35"/>
        <v>0.26283653333333334</v>
      </c>
      <c r="M56" s="135">
        <f t="shared" si="36"/>
        <v>6.269946408418858E-3</v>
      </c>
      <c r="N56" s="47">
        <f t="shared" si="37"/>
        <v>-1.3442422754720353</v>
      </c>
      <c r="O56" s="47">
        <f t="shared" si="37"/>
        <v>-1.3736561606783289</v>
      </c>
      <c r="P56" s="47">
        <f t="shared" si="37"/>
        <v>-1.2924660059483155</v>
      </c>
      <c r="Q56" s="48">
        <f t="shared" si="38"/>
        <v>-1.3367881473662264</v>
      </c>
      <c r="R56" s="47">
        <f t="shared" si="40"/>
        <v>2.3732069200656406E-2</v>
      </c>
      <c r="S56" s="47">
        <f t="shared" si="41"/>
        <v>1.4111886651030374E-2</v>
      </c>
      <c r="T56" s="47">
        <f t="shared" si="42"/>
        <v>1.1434180772626536E-2</v>
      </c>
      <c r="U56" s="47">
        <f t="shared" si="43"/>
        <v>1.570244047620108E-2</v>
      </c>
      <c r="V56" s="48">
        <f t="shared" si="44"/>
        <v>1.3749502633285997E-2</v>
      </c>
      <c r="W56" s="47">
        <f t="shared" si="45"/>
        <v>1.2453917531613605E-3</v>
      </c>
      <c r="X56" s="47">
        <f t="shared" si="46"/>
        <v>5.432025E-3</v>
      </c>
      <c r="Y56" s="47">
        <f t="shared" si="47"/>
        <v>5.2745750000000001E-3</v>
      </c>
      <c r="Z56" s="47">
        <f t="shared" si="48"/>
        <v>5.7206833333333339E-3</v>
      </c>
      <c r="AA56" s="48">
        <f t="shared" si="49"/>
        <v>5.4757611111111116E-3</v>
      </c>
      <c r="AB56" s="163">
        <f t="shared" si="50"/>
        <v>1.3062388350872621E-4</v>
      </c>
    </row>
    <row r="57" spans="1:28" x14ac:dyDescent="0.15">
      <c r="B57" s="50" t="s">
        <v>26</v>
      </c>
      <c r="C57" s="43">
        <v>0.52083333333333337</v>
      </c>
      <c r="D57" s="44">
        <f>24+D56</f>
        <v>72</v>
      </c>
      <c r="E57" s="45">
        <v>4</v>
      </c>
      <c r="F57" s="46">
        <v>0.30199999999999999</v>
      </c>
      <c r="G57" s="47">
        <v>0.30299999999999999</v>
      </c>
      <c r="H57" s="47">
        <v>0.28100000000000003</v>
      </c>
      <c r="I57" s="47">
        <f t="shared" si="39"/>
        <v>0.38039919999999999</v>
      </c>
      <c r="J57" s="47">
        <f t="shared" si="34"/>
        <v>0.38165880000000002</v>
      </c>
      <c r="K57" s="47">
        <f t="shared" si="34"/>
        <v>0.35394760000000003</v>
      </c>
      <c r="L57" s="48">
        <f t="shared" si="35"/>
        <v>0.37200186666666668</v>
      </c>
      <c r="M57" s="135">
        <f t="shared" si="36"/>
        <v>9.0344536210614865E-3</v>
      </c>
      <c r="N57" s="47">
        <f t="shared" si="37"/>
        <v>-0.9665340513625349</v>
      </c>
      <c r="O57" s="47">
        <f t="shared" si="37"/>
        <v>-0.96322826322803534</v>
      </c>
      <c r="P57" s="47">
        <f t="shared" si="37"/>
        <v>-1.0386063994036587</v>
      </c>
      <c r="Q57" s="48">
        <f t="shared" si="38"/>
        <v>-0.98945623799807636</v>
      </c>
      <c r="R57" s="47">
        <f t="shared" si="40"/>
        <v>2.4593602375710448E-2</v>
      </c>
      <c r="S57" s="47">
        <f t="shared" si="41"/>
        <v>1.5737842671229185E-2</v>
      </c>
      <c r="T57" s="47">
        <f t="shared" si="42"/>
        <v>1.7101162393762231E-2</v>
      </c>
      <c r="U57" s="47">
        <f t="shared" si="43"/>
        <v>1.0577483606027366E-2</v>
      </c>
      <c r="V57" s="48">
        <f t="shared" si="44"/>
        <v>1.4472162890339596E-2</v>
      </c>
      <c r="W57" s="47">
        <f t="shared" si="45"/>
        <v>1.9867104479683664E-3</v>
      </c>
      <c r="X57" s="47">
        <f t="shared" si="46"/>
        <v>5.2833222222222224E-3</v>
      </c>
      <c r="Y57" s="47">
        <f t="shared" si="47"/>
        <v>5.300816666666667E-3</v>
      </c>
      <c r="Z57" s="47">
        <f t="shared" si="48"/>
        <v>4.9159388888888895E-3</v>
      </c>
      <c r="AA57" s="48">
        <f t="shared" si="49"/>
        <v>5.1666925925925927E-3</v>
      </c>
      <c r="AB57" s="163">
        <f t="shared" si="50"/>
        <v>1.2547852251474287E-4</v>
      </c>
    </row>
    <row r="58" spans="1:28" x14ac:dyDescent="0.15">
      <c r="B58" s="50" t="s">
        <v>27</v>
      </c>
      <c r="C58" s="43">
        <v>0.45833333333333331</v>
      </c>
      <c r="D58" s="44">
        <f>22.5+D57</f>
        <v>94.5</v>
      </c>
      <c r="E58" s="45">
        <v>5</v>
      </c>
      <c r="F58" s="46">
        <v>0.372</v>
      </c>
      <c r="G58" s="47">
        <v>0.36899999999999999</v>
      </c>
      <c r="H58" s="47">
        <v>0.373</v>
      </c>
      <c r="I58" s="47">
        <f t="shared" si="39"/>
        <v>0.46857120000000002</v>
      </c>
      <c r="J58" s="47">
        <f t="shared" si="34"/>
        <v>0.46479239999999999</v>
      </c>
      <c r="K58" s="47">
        <f t="shared" si="34"/>
        <v>0.46983079999999999</v>
      </c>
      <c r="L58" s="48">
        <f t="shared" si="35"/>
        <v>0.46773146666666671</v>
      </c>
      <c r="M58" s="135">
        <f t="shared" si="36"/>
        <v>1.5138507955248159E-3</v>
      </c>
      <c r="N58" s="47">
        <f t="shared" si="37"/>
        <v>-0.75806721446425795</v>
      </c>
      <c r="O58" s="47">
        <f t="shared" si="37"/>
        <v>-0.7661644246968774</v>
      </c>
      <c r="P58" s="47">
        <f t="shared" si="37"/>
        <v>-0.75538264909358899</v>
      </c>
      <c r="Q58" s="48">
        <f t="shared" si="38"/>
        <v>-0.75987142941824148</v>
      </c>
      <c r="R58" s="47">
        <f t="shared" si="40"/>
        <v>3.2405279914467415E-3</v>
      </c>
      <c r="S58" s="47">
        <f t="shared" si="41"/>
        <v>9.2651927510345299E-3</v>
      </c>
      <c r="T58" s="47">
        <f t="shared" si="42"/>
        <v>8.7583928236070197E-3</v>
      </c>
      <c r="U58" s="47">
        <f t="shared" si="43"/>
        <v>1.25877222360031E-2</v>
      </c>
      <c r="V58" s="48">
        <f t="shared" si="44"/>
        <v>1.0203769270214885E-2</v>
      </c>
      <c r="W58" s="47">
        <f t="shared" si="45"/>
        <v>1.2009212226353509E-3</v>
      </c>
      <c r="X58" s="47">
        <f t="shared" si="46"/>
        <v>4.958425396825397E-3</v>
      </c>
      <c r="Y58" s="47">
        <f t="shared" si="47"/>
        <v>4.918438095238095E-3</v>
      </c>
      <c r="Z58" s="47">
        <f t="shared" si="48"/>
        <v>4.9717544973544971E-3</v>
      </c>
      <c r="AA58" s="48">
        <f t="shared" si="49"/>
        <v>4.9495393298059969E-3</v>
      </c>
      <c r="AB58" s="163">
        <f t="shared" si="50"/>
        <v>1.6019585137828754E-5</v>
      </c>
    </row>
    <row r="59" spans="1:28" x14ac:dyDescent="0.15">
      <c r="B59" s="50" t="s">
        <v>28</v>
      </c>
      <c r="C59" s="43">
        <v>0.45833333333333331</v>
      </c>
      <c r="D59" s="44">
        <f>24+D58</f>
        <v>118.5</v>
      </c>
      <c r="E59" s="45">
        <v>6</v>
      </c>
      <c r="F59" s="46">
        <v>0.45900000000000002</v>
      </c>
      <c r="G59" s="47">
        <v>0.46800000000000003</v>
      </c>
      <c r="H59" s="47">
        <v>0.47</v>
      </c>
      <c r="I59" s="47">
        <f t="shared" si="39"/>
        <v>0.57815640000000001</v>
      </c>
      <c r="J59" s="47">
        <f t="shared" si="34"/>
        <v>0.58949280000000004</v>
      </c>
      <c r="K59" s="47">
        <f t="shared" si="34"/>
        <v>0.59201199999999998</v>
      </c>
      <c r="L59" s="48">
        <f t="shared" si="35"/>
        <v>0.58655373333333338</v>
      </c>
      <c r="M59" s="135">
        <f t="shared" si="36"/>
        <v>4.2611812717967164E-3</v>
      </c>
      <c r="N59" s="47">
        <f t="shared" si="37"/>
        <v>-0.54791085867685929</v>
      </c>
      <c r="O59" s="47">
        <f t="shared" si="37"/>
        <v>-0.52849277281975771</v>
      </c>
      <c r="P59" s="47">
        <f t="shared" si="37"/>
        <v>-0.52422837403330025</v>
      </c>
      <c r="Q59" s="48">
        <f t="shared" si="38"/>
        <v>-0.53354400184330575</v>
      </c>
      <c r="R59" s="47">
        <f t="shared" si="40"/>
        <v>7.2881457566231732E-3</v>
      </c>
      <c r="S59" s="47">
        <f t="shared" si="41"/>
        <v>8.7565148244749449E-3</v>
      </c>
      <c r="T59" s="47">
        <f t="shared" si="42"/>
        <v>9.9029854948799872E-3</v>
      </c>
      <c r="U59" s="47">
        <f t="shared" si="43"/>
        <v>9.6314281275120314E-3</v>
      </c>
      <c r="V59" s="48">
        <f t="shared" si="44"/>
        <v>9.4303094822889896E-3</v>
      </c>
      <c r="W59" s="47">
        <f t="shared" si="45"/>
        <v>3.4589751932087787E-4</v>
      </c>
      <c r="X59" s="47">
        <f t="shared" si="46"/>
        <v>4.8789569620253164E-3</v>
      </c>
      <c r="Y59" s="47">
        <f t="shared" si="47"/>
        <v>4.9746227848101272E-3</v>
      </c>
      <c r="Z59" s="47">
        <f t="shared" si="48"/>
        <v>4.9958818565400843E-3</v>
      </c>
      <c r="AA59" s="48">
        <f t="shared" si="49"/>
        <v>4.9498205344585093E-3</v>
      </c>
      <c r="AB59" s="163">
        <f t="shared" si="50"/>
        <v>3.5959335626976588E-5</v>
      </c>
    </row>
    <row r="60" spans="1:28" x14ac:dyDescent="0.15">
      <c r="B60" s="50" t="s">
        <v>29</v>
      </c>
      <c r="C60" s="43">
        <v>0.45833333333333331</v>
      </c>
      <c r="D60" s="44">
        <f>24+D59</f>
        <v>142.5</v>
      </c>
      <c r="E60" s="45">
        <v>7</v>
      </c>
      <c r="F60" s="46">
        <v>0.58299999999999996</v>
      </c>
      <c r="G60" s="47">
        <v>0.55700000000000005</v>
      </c>
      <c r="H60" s="47">
        <v>0.54600000000000004</v>
      </c>
      <c r="I60" s="47">
        <f t="shared" si="39"/>
        <v>0.73434679999999997</v>
      </c>
      <c r="J60" s="47">
        <f t="shared" si="34"/>
        <v>0.70159720000000014</v>
      </c>
      <c r="K60" s="47">
        <f t="shared" si="34"/>
        <v>0.68774160000000006</v>
      </c>
      <c r="L60" s="48">
        <f t="shared" si="35"/>
        <v>0.70789519999999995</v>
      </c>
      <c r="M60" s="135">
        <f t="shared" si="36"/>
        <v>1.3817377582353765E-2</v>
      </c>
      <c r="N60" s="47">
        <f t="shared" si="37"/>
        <v>-0.30877388238691217</v>
      </c>
      <c r="O60" s="47">
        <f t="shared" si="37"/>
        <v>-0.35439582881012027</v>
      </c>
      <c r="P60" s="47">
        <f t="shared" si="37"/>
        <v>-0.37434209299249938</v>
      </c>
      <c r="Q60" s="48">
        <f t="shared" si="38"/>
        <v>-0.34583726806317733</v>
      </c>
      <c r="R60" s="47">
        <f t="shared" si="40"/>
        <v>1.9405620165723423E-2</v>
      </c>
      <c r="S60" s="47">
        <f t="shared" si="41"/>
        <v>9.9640406787477962E-3</v>
      </c>
      <c r="T60" s="47">
        <f t="shared" si="42"/>
        <v>7.2540393337348933E-3</v>
      </c>
      <c r="U60" s="47">
        <f t="shared" si="43"/>
        <v>6.24526171003337E-3</v>
      </c>
      <c r="V60" s="48">
        <f t="shared" si="44"/>
        <v>7.8211139075053532E-3</v>
      </c>
      <c r="W60" s="47">
        <f t="shared" si="45"/>
        <v>1.1103316972419989E-3</v>
      </c>
      <c r="X60" s="47">
        <f t="shared" si="46"/>
        <v>5.1533108771929818E-3</v>
      </c>
      <c r="Y60" s="47">
        <f t="shared" si="47"/>
        <v>4.9234891228070185E-3</v>
      </c>
      <c r="Z60" s="47">
        <f t="shared" si="48"/>
        <v>4.8262568421052632E-3</v>
      </c>
      <c r="AA60" s="48">
        <f t="shared" si="49"/>
        <v>4.9676856140350879E-3</v>
      </c>
      <c r="AB60" s="163">
        <f t="shared" si="50"/>
        <v>9.696405320950004E-5</v>
      </c>
    </row>
    <row r="61" spans="1:28" x14ac:dyDescent="0.15">
      <c r="B61" s="50" t="s">
        <v>30</v>
      </c>
      <c r="C61" s="43">
        <v>0.45833333333333331</v>
      </c>
      <c r="D61" s="44">
        <f>24+D60</f>
        <v>166.5</v>
      </c>
      <c r="E61" s="45">
        <v>8</v>
      </c>
      <c r="F61" s="46">
        <v>0.72799999999999998</v>
      </c>
      <c r="G61" s="47">
        <v>0.71899999999999997</v>
      </c>
      <c r="H61" s="47">
        <v>0.70599999999999996</v>
      </c>
      <c r="I61" s="47">
        <f t="shared" si="39"/>
        <v>0.91698880000000005</v>
      </c>
      <c r="J61" s="47">
        <f t="shared" si="34"/>
        <v>0.90565240000000002</v>
      </c>
      <c r="K61" s="47">
        <f t="shared" si="34"/>
        <v>0.8892776</v>
      </c>
      <c r="L61" s="48">
        <f t="shared" si="35"/>
        <v>0.90397293333333339</v>
      </c>
      <c r="M61" s="135">
        <f t="shared" si="36"/>
        <v>8.0434882062724918E-3</v>
      </c>
      <c r="N61" s="47">
        <f t="shared" si="37"/>
        <v>-8.6660020540718502E-2</v>
      </c>
      <c r="O61" s="47">
        <f t="shared" si="37"/>
        <v>-9.9099711016357811E-2</v>
      </c>
      <c r="P61" s="47">
        <f t="shared" si="37"/>
        <v>-0.11734583124416244</v>
      </c>
      <c r="Q61" s="48">
        <f t="shared" si="38"/>
        <v>-0.10103518760041291</v>
      </c>
      <c r="R61" s="47">
        <f t="shared" si="40"/>
        <v>8.9109351704795836E-3</v>
      </c>
      <c r="S61" s="47">
        <f t="shared" si="41"/>
        <v>9.2547442435914028E-3</v>
      </c>
      <c r="T61" s="47">
        <f t="shared" si="42"/>
        <v>1.0637338241406771E-2</v>
      </c>
      <c r="U61" s="47">
        <f t="shared" si="43"/>
        <v>1.0708177572847373E-2</v>
      </c>
      <c r="V61" s="48">
        <f t="shared" si="44"/>
        <v>1.0200086685948516E-2</v>
      </c>
      <c r="W61" s="47">
        <f t="shared" si="45"/>
        <v>4.731133770782015E-4</v>
      </c>
      <c r="X61" s="47">
        <f t="shared" si="46"/>
        <v>5.5074402402402406E-3</v>
      </c>
      <c r="Y61" s="47">
        <f t="shared" si="47"/>
        <v>5.4393537537537539E-3</v>
      </c>
      <c r="Z61" s="47">
        <f t="shared" si="48"/>
        <v>5.3410066066066067E-3</v>
      </c>
      <c r="AA61" s="48">
        <f t="shared" si="49"/>
        <v>5.4292668668668677E-3</v>
      </c>
      <c r="AB61" s="163">
        <f t="shared" si="50"/>
        <v>4.8309238476111072E-5</v>
      </c>
    </row>
    <row r="62" spans="1:28" x14ac:dyDescent="0.15">
      <c r="A62" s="49"/>
      <c r="B62" s="50" t="s">
        <v>31</v>
      </c>
      <c r="C62" s="43">
        <v>0.4375</v>
      </c>
      <c r="D62" s="44">
        <f>23.5+D61</f>
        <v>190</v>
      </c>
      <c r="E62" s="45">
        <v>9</v>
      </c>
      <c r="F62" s="46">
        <v>0.82399999999999995</v>
      </c>
      <c r="G62" s="47">
        <v>0.83399999999999996</v>
      </c>
      <c r="H62" s="47">
        <v>0.84299999999999997</v>
      </c>
      <c r="I62" s="47">
        <f t="shared" si="39"/>
        <v>1.0379103999999999</v>
      </c>
      <c r="J62" s="47">
        <f t="shared" si="34"/>
        <v>1.0505064</v>
      </c>
      <c r="K62" s="47">
        <f t="shared" si="34"/>
        <v>1.0618428</v>
      </c>
      <c r="L62" s="48">
        <f t="shared" si="35"/>
        <v>1.0500865333333333</v>
      </c>
      <c r="M62" s="135">
        <f t="shared" si="36"/>
        <v>6.9118776622404199E-3</v>
      </c>
      <c r="N62" s="47">
        <f t="shared" si="37"/>
        <v>3.7209461172067082E-2</v>
      </c>
      <c r="O62" s="47">
        <f t="shared" si="37"/>
        <v>4.9272333621342188E-2</v>
      </c>
      <c r="P62" s="47">
        <f t="shared" si="37"/>
        <v>6.0005889264450912E-2</v>
      </c>
      <c r="Q62" s="48">
        <f t="shared" si="38"/>
        <v>4.882922801928672E-2</v>
      </c>
      <c r="R62" s="47">
        <f t="shared" si="40"/>
        <v>6.5844903719203896E-3</v>
      </c>
      <c r="S62" s="47">
        <f t="shared" si="41"/>
        <v>5.2710417750121523E-3</v>
      </c>
      <c r="T62" s="47">
        <f t="shared" si="42"/>
        <v>6.3137040271361699E-3</v>
      </c>
      <c r="U62" s="47">
        <f t="shared" si="43"/>
        <v>7.5468817237707812E-3</v>
      </c>
      <c r="V62" s="48">
        <f t="shared" si="44"/>
        <v>6.3772091753063684E-3</v>
      </c>
      <c r="W62" s="47">
        <f t="shared" si="45"/>
        <v>6.5774527642406501E-4</v>
      </c>
      <c r="X62" s="47">
        <f t="shared" si="46"/>
        <v>5.4626863157894731E-3</v>
      </c>
      <c r="Y62" s="47">
        <f t="shared" si="47"/>
        <v>5.5289810526315784E-3</v>
      </c>
      <c r="Z62" s="47">
        <f t="shared" si="48"/>
        <v>5.5886463157894736E-3</v>
      </c>
      <c r="AA62" s="48">
        <f t="shared" si="49"/>
        <v>5.5267712280701745E-3</v>
      </c>
      <c r="AB62" s="163">
        <f t="shared" si="50"/>
        <v>3.6378303485475916E-5</v>
      </c>
    </row>
    <row r="63" spans="1:28" x14ac:dyDescent="0.15">
      <c r="B63" s="50" t="s">
        <v>32</v>
      </c>
      <c r="C63" s="43">
        <v>0.4375</v>
      </c>
      <c r="D63" s="44">
        <f>24+D62</f>
        <v>214</v>
      </c>
      <c r="E63" s="45">
        <v>10</v>
      </c>
      <c r="F63" s="46">
        <v>0.95</v>
      </c>
      <c r="G63" s="47">
        <v>0.96299999999999997</v>
      </c>
      <c r="H63" s="47">
        <v>0.97799999999999998</v>
      </c>
      <c r="I63" s="47">
        <f t="shared" si="39"/>
        <v>1.19662</v>
      </c>
      <c r="J63" s="47">
        <f t="shared" si="34"/>
        <v>1.2129947999999999</v>
      </c>
      <c r="K63" s="47">
        <f t="shared" si="34"/>
        <v>1.2318888000000001</v>
      </c>
      <c r="L63" s="48">
        <f t="shared" si="35"/>
        <v>1.2138345333333334</v>
      </c>
      <c r="M63" s="135">
        <f t="shared" si="36"/>
        <v>1.0189879413963236E-2</v>
      </c>
      <c r="N63" s="47">
        <f t="shared" si="37"/>
        <v>0.179500915857182</v>
      </c>
      <c r="O63" s="47">
        <f t="shared" si="37"/>
        <v>0.19309234306072098</v>
      </c>
      <c r="P63" s="47">
        <f t="shared" si="37"/>
        <v>0.2085486012974129</v>
      </c>
      <c r="Q63" s="48">
        <f t="shared" si="38"/>
        <v>0.1937139534051053</v>
      </c>
      <c r="R63" s="47">
        <f t="shared" si="40"/>
        <v>8.3911025680744062E-3</v>
      </c>
      <c r="S63" s="47">
        <f t="shared" si="41"/>
        <v>5.9288106118797887E-3</v>
      </c>
      <c r="T63" s="47">
        <f t="shared" si="42"/>
        <v>5.9925003933074495E-3</v>
      </c>
      <c r="U63" s="47">
        <f t="shared" si="43"/>
        <v>6.1892796680400831E-3</v>
      </c>
      <c r="V63" s="48">
        <f t="shared" si="44"/>
        <v>6.0368635577424399E-3</v>
      </c>
      <c r="W63" s="47">
        <f t="shared" si="45"/>
        <v>7.8394515270039115E-5</v>
      </c>
      <c r="X63" s="47">
        <f t="shared" si="46"/>
        <v>5.5916822429906542E-3</v>
      </c>
      <c r="Y63" s="47">
        <f t="shared" si="47"/>
        <v>5.6682E-3</v>
      </c>
      <c r="Z63" s="47">
        <f t="shared" si="48"/>
        <v>5.7564897196261686E-3</v>
      </c>
      <c r="AA63" s="48">
        <f t="shared" si="49"/>
        <v>5.6721239875389406E-3</v>
      </c>
      <c r="AB63" s="163">
        <f t="shared" si="50"/>
        <v>4.7616258943753395E-5</v>
      </c>
    </row>
    <row r="64" spans="1:28" ht="15" customHeight="1" x14ac:dyDescent="0.15">
      <c r="B64" s="50" t="s">
        <v>33</v>
      </c>
      <c r="C64" s="43">
        <v>0.45833333333333331</v>
      </c>
      <c r="D64" s="44">
        <f>48.5+D63</f>
        <v>262.5</v>
      </c>
      <c r="E64" s="45">
        <v>12</v>
      </c>
      <c r="F64" s="46">
        <f>2*0.572</f>
        <v>1.1439999999999999</v>
      </c>
      <c r="G64" s="47">
        <f>2*0.539</f>
        <v>1.0780000000000001</v>
      </c>
      <c r="H64" s="47">
        <f>2*0.548</f>
        <v>1.0960000000000001</v>
      </c>
      <c r="I64" s="47">
        <f t="shared" si="39"/>
        <v>1.4409824</v>
      </c>
      <c r="J64" s="47">
        <f t="shared" si="34"/>
        <v>1.3578488000000002</v>
      </c>
      <c r="K64" s="47">
        <f t="shared" si="34"/>
        <v>1.3805216000000002</v>
      </c>
      <c r="L64" s="48">
        <f t="shared" si="35"/>
        <v>1.3931176000000001</v>
      </c>
      <c r="M64" s="135">
        <f t="shared" si="36"/>
        <v>2.4811242574284683E-2</v>
      </c>
      <c r="N64" s="47">
        <f t="shared" si="37"/>
        <v>0.36532510320233869</v>
      </c>
      <c r="O64" s="47">
        <f t="shared" si="37"/>
        <v>0.30590168273153806</v>
      </c>
      <c r="P64" s="47">
        <f t="shared" si="37"/>
        <v>0.32246139877055652</v>
      </c>
      <c r="Q64" s="48">
        <f t="shared" si="38"/>
        <v>0.33122939490147774</v>
      </c>
      <c r="R64" s="47">
        <f t="shared" si="40"/>
        <v>1.7705404468939978E-2</v>
      </c>
      <c r="S64" s="47">
        <f t="shared" si="41"/>
        <v>3.831426543199107E-3</v>
      </c>
      <c r="T64" s="47">
        <f t="shared" si="42"/>
        <v>2.3259657664085995E-3</v>
      </c>
      <c r="U64" s="47">
        <f t="shared" si="43"/>
        <v>2.3487174736730645E-3</v>
      </c>
      <c r="V64" s="48">
        <f t="shared" si="44"/>
        <v>2.835369927760257E-3</v>
      </c>
      <c r="W64" s="47">
        <f t="shared" si="45"/>
        <v>4.9807161329655026E-4</v>
      </c>
      <c r="X64" s="47">
        <f t="shared" si="46"/>
        <v>5.4894567619047617E-3</v>
      </c>
      <c r="Y64" s="47">
        <f t="shared" si="47"/>
        <v>5.1727573333333341E-3</v>
      </c>
      <c r="Z64" s="47">
        <f t="shared" si="48"/>
        <v>5.2591299047619056E-3</v>
      </c>
      <c r="AA64" s="48">
        <f t="shared" si="49"/>
        <v>5.3071146666666671E-3</v>
      </c>
      <c r="AB64" s="163">
        <f t="shared" si="50"/>
        <v>9.4519019330608262E-5</v>
      </c>
    </row>
    <row r="65" spans="1:28" x14ac:dyDescent="0.15">
      <c r="B65" s="50" t="s">
        <v>34</v>
      </c>
      <c r="C65" s="43">
        <v>0.45833333333333331</v>
      </c>
      <c r="D65" s="44">
        <f>24+D64</f>
        <v>286.5</v>
      </c>
      <c r="E65" s="45">
        <v>13</v>
      </c>
      <c r="F65" s="46">
        <f>2*0.584</f>
        <v>1.1679999999999999</v>
      </c>
      <c r="G65" s="47">
        <f>2*0.559</f>
        <v>1.1180000000000001</v>
      </c>
      <c r="H65" s="47">
        <f>2*0.598</f>
        <v>1.196</v>
      </c>
      <c r="I65" s="47">
        <f t="shared" si="39"/>
        <v>1.4712128</v>
      </c>
      <c r="J65" s="47">
        <f t="shared" si="34"/>
        <v>1.4082328000000002</v>
      </c>
      <c r="K65" s="47">
        <f t="shared" si="34"/>
        <v>1.5064816000000001</v>
      </c>
      <c r="L65" s="48">
        <f t="shared" si="35"/>
        <v>1.4619757333333334</v>
      </c>
      <c r="M65" s="135">
        <f t="shared" si="36"/>
        <v>2.8735571601607467E-2</v>
      </c>
      <c r="N65" s="47">
        <f t="shared" si="37"/>
        <v>0.38608709465076785</v>
      </c>
      <c r="O65" s="47">
        <f t="shared" si="37"/>
        <v>0.34233558497764005</v>
      </c>
      <c r="P65" s="47">
        <f t="shared" si="37"/>
        <v>0.40977686577317257</v>
      </c>
      <c r="Q65" s="48">
        <f t="shared" si="38"/>
        <v>0.37939984846719349</v>
      </c>
      <c r="R65" s="47">
        <f t="shared" si="40"/>
        <v>1.9753658184205304E-2</v>
      </c>
      <c r="S65" s="47">
        <f t="shared" si="41"/>
        <v>8.6508297701788173E-4</v>
      </c>
      <c r="T65" s="47">
        <f t="shared" si="42"/>
        <v>1.5180792602542497E-3</v>
      </c>
      <c r="U65" s="47">
        <f t="shared" si="43"/>
        <v>3.6381444584423356E-3</v>
      </c>
      <c r="V65" s="48">
        <f t="shared" si="44"/>
        <v>2.0071022319048224E-3</v>
      </c>
      <c r="W65" s="47">
        <f t="shared" si="45"/>
        <v>8.3702351520959157E-4</v>
      </c>
      <c r="X65" s="47">
        <f t="shared" si="46"/>
        <v>5.1351232111692844E-3</v>
      </c>
      <c r="Y65" s="47">
        <f t="shared" si="47"/>
        <v>4.9152977312390935E-3</v>
      </c>
      <c r="Z65" s="47">
        <f t="shared" si="48"/>
        <v>5.258225479930192E-3</v>
      </c>
      <c r="AA65" s="48">
        <f t="shared" si="49"/>
        <v>5.102882140779523E-3</v>
      </c>
      <c r="AB65" s="163">
        <f t="shared" si="50"/>
        <v>1.002986792377222E-4</v>
      </c>
    </row>
    <row r="66" spans="1:28" x14ac:dyDescent="0.15">
      <c r="B66" s="50" t="s">
        <v>35</v>
      </c>
      <c r="C66" s="43">
        <v>0.45833333333333331</v>
      </c>
      <c r="D66" s="44">
        <f>24+D65</f>
        <v>310.5</v>
      </c>
      <c r="E66" s="45">
        <v>14</v>
      </c>
      <c r="F66" s="46">
        <f>2*0.652</f>
        <v>1.304</v>
      </c>
      <c r="G66" s="47">
        <f>2*0.609</f>
        <v>1.218</v>
      </c>
      <c r="H66" s="47">
        <f>2*0.613</f>
        <v>1.226</v>
      </c>
      <c r="I66" s="47">
        <f t="shared" si="39"/>
        <v>1.6425184000000002</v>
      </c>
      <c r="J66" s="47">
        <f t="shared" si="34"/>
        <v>1.5341928</v>
      </c>
      <c r="K66" s="47">
        <f t="shared" si="34"/>
        <v>1.5442696</v>
      </c>
      <c r="L66" s="48">
        <f t="shared" si="35"/>
        <v>1.5736602666666668</v>
      </c>
      <c r="M66" s="135">
        <f t="shared" si="36"/>
        <v>3.4551735938894795E-2</v>
      </c>
      <c r="N66" s="47">
        <f t="shared" si="37"/>
        <v>0.49623067374919383</v>
      </c>
      <c r="O66" s="47">
        <f t="shared" si="37"/>
        <v>0.42800437953243781</v>
      </c>
      <c r="P66" s="47">
        <f t="shared" si="37"/>
        <v>0.4345510477587522</v>
      </c>
      <c r="Q66" s="48">
        <f t="shared" si="38"/>
        <v>0.45292870034679461</v>
      </c>
      <c r="R66" s="47">
        <f t="shared" si="40"/>
        <v>2.1733310774192733E-2</v>
      </c>
      <c r="S66" s="47">
        <f t="shared" si="41"/>
        <v>4.5893157957677495E-3</v>
      </c>
      <c r="T66" s="47">
        <f t="shared" si="42"/>
        <v>3.5695331064499063E-3</v>
      </c>
      <c r="U66" s="47">
        <f t="shared" si="43"/>
        <v>1.0322575827324844E-3</v>
      </c>
      <c r="V66" s="48">
        <f t="shared" si="44"/>
        <v>3.0637021616500468E-3</v>
      </c>
      <c r="W66" s="47">
        <f t="shared" si="45"/>
        <v>1.0575229692175725E-3</v>
      </c>
      <c r="X66" s="47">
        <f t="shared" si="46"/>
        <v>5.2899143317230281E-3</v>
      </c>
      <c r="Y66" s="47">
        <f t="shared" si="47"/>
        <v>4.9410396135265702E-3</v>
      </c>
      <c r="Z66" s="47">
        <f t="shared" si="48"/>
        <v>4.9734930756843805E-3</v>
      </c>
      <c r="AA66" s="48">
        <f t="shared" si="49"/>
        <v>5.0681490069779929E-3</v>
      </c>
      <c r="AB66" s="163">
        <f t="shared" si="50"/>
        <v>1.1127773249241481E-4</v>
      </c>
    </row>
    <row r="67" spans="1:28" x14ac:dyDescent="0.15">
      <c r="B67" s="50" t="s">
        <v>36</v>
      </c>
      <c r="C67" s="43">
        <v>0.45833333333333331</v>
      </c>
      <c r="D67" s="44">
        <f>24+D66</f>
        <v>334.5</v>
      </c>
      <c r="E67" s="45">
        <v>15</v>
      </c>
      <c r="F67" s="46">
        <f>2*0.653</f>
        <v>1.306</v>
      </c>
      <c r="G67" s="47">
        <f>2*0.622</f>
        <v>1.244</v>
      </c>
      <c r="H67" s="47">
        <f>2*0.649</f>
        <v>1.298</v>
      </c>
      <c r="I67" s="47">
        <f t="shared" si="39"/>
        <v>1.6450376000000002</v>
      </c>
      <c r="J67" s="47">
        <f t="shared" si="39"/>
        <v>1.5669424000000001</v>
      </c>
      <c r="K67" s="47">
        <f t="shared" si="39"/>
        <v>1.6349608000000002</v>
      </c>
      <c r="L67" s="48">
        <f t="shared" si="35"/>
        <v>1.6156469333333334</v>
      </c>
      <c r="M67" s="135">
        <f t="shared" si="36"/>
        <v>2.4525389225408437E-2</v>
      </c>
      <c r="N67" s="47">
        <f t="shared" si="37"/>
        <v>0.49776324109897196</v>
      </c>
      <c r="O67" s="47">
        <f t="shared" si="37"/>
        <v>0.44912620456172025</v>
      </c>
      <c r="P67" s="47">
        <f t="shared" si="37"/>
        <v>0.49161882852663091</v>
      </c>
      <c r="Q67" s="48">
        <f t="shared" si="38"/>
        <v>0.47950275806244108</v>
      </c>
      <c r="R67" s="47">
        <f t="shared" si="40"/>
        <v>1.529149767464914E-2</v>
      </c>
      <c r="S67" s="47">
        <f t="shared" si="41"/>
        <v>6.3856972907422316E-5</v>
      </c>
      <c r="T67" s="47">
        <f t="shared" si="42"/>
        <v>8.8007604288676872E-4</v>
      </c>
      <c r="U67" s="47">
        <f t="shared" si="43"/>
        <v>2.3778241986616134E-3</v>
      </c>
      <c r="V67" s="48">
        <f t="shared" si="44"/>
        <v>1.1072524048186016E-3</v>
      </c>
      <c r="W67" s="47">
        <f t="shared" si="45"/>
        <v>6.7757358887714778E-4</v>
      </c>
      <c r="X67" s="47">
        <f t="shared" si="46"/>
        <v>4.9179001494768313E-3</v>
      </c>
      <c r="Y67" s="47">
        <f t="shared" si="47"/>
        <v>4.6844316890881912E-3</v>
      </c>
      <c r="Z67" s="47">
        <f t="shared" si="48"/>
        <v>4.8877751868460391E-3</v>
      </c>
      <c r="AA67" s="48">
        <f t="shared" si="49"/>
        <v>4.83003567513702E-3</v>
      </c>
      <c r="AB67" s="163">
        <f t="shared" si="50"/>
        <v>7.3319549253836851E-5</v>
      </c>
    </row>
    <row r="68" spans="1:28" x14ac:dyDescent="0.15">
      <c r="B68" s="50" t="s">
        <v>37</v>
      </c>
      <c r="C68" s="43">
        <v>0.52083333333333337</v>
      </c>
      <c r="D68" s="44">
        <f>24+1.5+D67</f>
        <v>360</v>
      </c>
      <c r="E68" s="45">
        <v>16</v>
      </c>
      <c r="F68" s="46">
        <f>2*0.703</f>
        <v>1.4059999999999999</v>
      </c>
      <c r="G68" s="47">
        <f>0.71*2</f>
        <v>1.42</v>
      </c>
      <c r="H68" s="47">
        <f>2*0.689</f>
        <v>1.3779999999999999</v>
      </c>
      <c r="I68" s="47">
        <f t="shared" si="39"/>
        <v>1.7709976000000001</v>
      </c>
      <c r="J68" s="47">
        <f t="shared" si="39"/>
        <v>1.788632</v>
      </c>
      <c r="K68" s="47">
        <f t="shared" si="39"/>
        <v>1.7357288</v>
      </c>
      <c r="L68" s="48">
        <f t="shared" si="35"/>
        <v>1.7651194666666665</v>
      </c>
      <c r="M68" s="135">
        <f t="shared" si="36"/>
        <v>1.5552078973279157E-2</v>
      </c>
      <c r="N68" s="47">
        <f t="shared" si="37"/>
        <v>0.57154300363320576</v>
      </c>
      <c r="O68" s="47">
        <f t="shared" si="37"/>
        <v>0.58145108185790184</v>
      </c>
      <c r="P68" s="47">
        <f t="shared" si="37"/>
        <v>0.5514273828361993</v>
      </c>
      <c r="Q68" s="48">
        <f t="shared" si="38"/>
        <v>0.56814048944243567</v>
      </c>
      <c r="R68" s="47">
        <f t="shared" si="40"/>
        <v>8.8324864911726048E-3</v>
      </c>
      <c r="S68" s="47">
        <f t="shared" si="41"/>
        <v>2.8933240209503448E-3</v>
      </c>
      <c r="T68" s="47">
        <f t="shared" si="42"/>
        <v>5.1892108743600623E-3</v>
      </c>
      <c r="U68" s="47">
        <f t="shared" si="43"/>
        <v>2.3454335023360153E-3</v>
      </c>
      <c r="V68" s="48">
        <f t="shared" si="44"/>
        <v>3.4759894658821411E-3</v>
      </c>
      <c r="W68" s="47">
        <f t="shared" si="45"/>
        <v>8.7108968174870384E-4</v>
      </c>
      <c r="X68" s="47">
        <f t="shared" si="46"/>
        <v>4.9194377777777775E-3</v>
      </c>
      <c r="Y68" s="47">
        <f t="shared" si="47"/>
        <v>4.9684222222222225E-3</v>
      </c>
      <c r="Z68" s="47">
        <f t="shared" si="48"/>
        <v>4.8214688888888885E-3</v>
      </c>
      <c r="AA68" s="48">
        <f t="shared" si="49"/>
        <v>4.9031096296296298E-3</v>
      </c>
      <c r="AB68" s="163">
        <f t="shared" si="50"/>
        <v>4.3200219370220021E-5</v>
      </c>
    </row>
    <row r="69" spans="1:28" x14ac:dyDescent="0.15">
      <c r="B69" s="50" t="s">
        <v>38</v>
      </c>
      <c r="C69" s="43">
        <v>0.54166666666666663</v>
      </c>
      <c r="D69" s="44">
        <f>24.5+D68</f>
        <v>384.5</v>
      </c>
      <c r="E69" s="45">
        <v>17</v>
      </c>
      <c r="F69" s="46">
        <f>2*0.723</f>
        <v>1.446</v>
      </c>
      <c r="G69" s="47">
        <f>2*0.719</f>
        <v>1.4379999999999999</v>
      </c>
      <c r="H69" s="47">
        <f>2*0.703</f>
        <v>1.4059999999999999</v>
      </c>
      <c r="I69" s="47">
        <f t="shared" si="39"/>
        <v>1.8213816</v>
      </c>
      <c r="J69" s="47">
        <f t="shared" si="39"/>
        <v>1.8113048</v>
      </c>
      <c r="K69" s="47">
        <f t="shared" si="39"/>
        <v>1.7709976000000001</v>
      </c>
      <c r="L69" s="48">
        <f t="shared" si="35"/>
        <v>1.8012280000000001</v>
      </c>
      <c r="M69" s="135">
        <f t="shared" si="36"/>
        <v>1.5392566254310331E-2</v>
      </c>
      <c r="N69" s="47">
        <f t="shared" si="37"/>
        <v>0.59959533398130549</v>
      </c>
      <c r="O69" s="47">
        <f t="shared" si="37"/>
        <v>0.59404746954358745</v>
      </c>
      <c r="P69" s="47">
        <f t="shared" si="37"/>
        <v>0.57154300363320576</v>
      </c>
      <c r="Q69" s="48">
        <f t="shared" si="38"/>
        <v>0.58839526905269957</v>
      </c>
      <c r="R69" s="47">
        <f t="shared" si="40"/>
        <v>8.5769815452295377E-3</v>
      </c>
      <c r="S69" s="47">
        <f t="shared" si="41"/>
        <v>1.1449930754326421E-3</v>
      </c>
      <c r="T69" s="47">
        <f t="shared" si="42"/>
        <v>5.1413827288512674E-4</v>
      </c>
      <c r="U69" s="47">
        <f t="shared" si="43"/>
        <v>8.210457468165903E-4</v>
      </c>
      <c r="V69" s="48">
        <f t="shared" si="44"/>
        <v>8.2672569837811971E-4</v>
      </c>
      <c r="W69" s="47">
        <f t="shared" si="45"/>
        <v>1.8213423791407456E-4</v>
      </c>
      <c r="X69" s="47">
        <f t="shared" si="46"/>
        <v>4.7370132639791935E-3</v>
      </c>
      <c r="Y69" s="47">
        <f t="shared" si="47"/>
        <v>4.7108057217165149E-3</v>
      </c>
      <c r="Z69" s="47">
        <f t="shared" si="48"/>
        <v>4.6059755526658003E-3</v>
      </c>
      <c r="AA69" s="48">
        <f t="shared" si="49"/>
        <v>4.6845981794538362E-3</v>
      </c>
      <c r="AB69" s="163">
        <f t="shared" si="50"/>
        <v>4.0032682065826391E-5</v>
      </c>
    </row>
    <row r="70" spans="1:28" s="8" customFormat="1" thickBot="1" x14ac:dyDescent="0.2">
      <c r="A70" s="139"/>
      <c r="B70" s="146" t="s">
        <v>39</v>
      </c>
      <c r="C70" s="137">
        <v>0.52083333333333337</v>
      </c>
      <c r="D70" s="147">
        <f>48+D68</f>
        <v>408</v>
      </c>
      <c r="E70" s="139">
        <v>18</v>
      </c>
      <c r="F70" s="140">
        <f>2*0.758</f>
        <v>1.516</v>
      </c>
      <c r="G70" s="141">
        <f>2*0.749</f>
        <v>1.498</v>
      </c>
      <c r="H70" s="141">
        <f>2*0.743</f>
        <v>1.486</v>
      </c>
      <c r="I70" s="141">
        <f t="shared" si="39"/>
        <v>1.9095536000000002</v>
      </c>
      <c r="J70" s="141">
        <f t="shared" si="39"/>
        <v>1.8868808000000001</v>
      </c>
      <c r="K70" s="141">
        <f t="shared" si="39"/>
        <v>1.8717656</v>
      </c>
      <c r="L70" s="142">
        <f t="shared" si="35"/>
        <v>1.8894000000000002</v>
      </c>
      <c r="M70" s="143">
        <f t="shared" si="36"/>
        <v>1.0980938218567708E-2</v>
      </c>
      <c r="N70" s="141">
        <f t="shared" si="37"/>
        <v>0.64686949746491251</v>
      </c>
      <c r="O70" s="141">
        <f t="shared" si="37"/>
        <v>0.63492509533976038</v>
      </c>
      <c r="P70" s="141">
        <f t="shared" si="37"/>
        <v>0.6268821565403</v>
      </c>
      <c r="Q70" s="142">
        <f t="shared" si="38"/>
        <v>0.636225583114991</v>
      </c>
      <c r="R70" s="141">
        <f t="shared" si="40"/>
        <v>5.8063729541862228E-3</v>
      </c>
      <c r="S70" s="141">
        <f t="shared" si="41"/>
        <v>2.0116665312173202E-3</v>
      </c>
      <c r="T70" s="141">
        <f t="shared" si="42"/>
        <v>1.7394734381350186E-3</v>
      </c>
      <c r="U70" s="141">
        <f t="shared" si="43"/>
        <v>2.3548575705146482E-3</v>
      </c>
      <c r="V70" s="142">
        <f t="shared" si="44"/>
        <v>2.0353325132889954E-3</v>
      </c>
      <c r="W70" s="141">
        <f t="shared" si="45"/>
        <v>1.7803975831886545E-4</v>
      </c>
      <c r="X70" s="141">
        <f t="shared" si="46"/>
        <v>4.6802784313725492E-3</v>
      </c>
      <c r="Y70" s="141">
        <f t="shared" si="47"/>
        <v>4.6247078431372549E-3</v>
      </c>
      <c r="Z70" s="141">
        <f t="shared" si="48"/>
        <v>4.5876607843137254E-3</v>
      </c>
      <c r="AA70" s="142">
        <f t="shared" si="49"/>
        <v>4.6308823529411765E-3</v>
      </c>
      <c r="AB70" s="168">
        <f t="shared" si="50"/>
        <v>2.6914064261195323E-5</v>
      </c>
    </row>
    <row r="87" spans="1:4" x14ac:dyDescent="0.15">
      <c r="A87" s="53" t="s">
        <v>60</v>
      </c>
      <c r="B87" s="53" t="s">
        <v>69</v>
      </c>
      <c r="C87" s="53" t="s">
        <v>71</v>
      </c>
      <c r="D87" s="53"/>
    </row>
  </sheetData>
  <mergeCells count="46">
    <mergeCell ref="B51:B53"/>
    <mergeCell ref="B54:B55"/>
    <mergeCell ref="E51:E53"/>
    <mergeCell ref="E54:E55"/>
    <mergeCell ref="F50:H50"/>
    <mergeCell ref="I50:K50"/>
    <mergeCell ref="N50:P50"/>
    <mergeCell ref="S50:U50"/>
    <mergeCell ref="X50:Z50"/>
    <mergeCell ref="B5:B7"/>
    <mergeCell ref="B8:B9"/>
    <mergeCell ref="E5:E7"/>
    <mergeCell ref="E8:E9"/>
    <mergeCell ref="B48:AB48"/>
    <mergeCell ref="F26:H26"/>
    <mergeCell ref="I26:K26"/>
    <mergeCell ref="N26:P26"/>
    <mergeCell ref="S26:U26"/>
    <mergeCell ref="X26:Z26"/>
    <mergeCell ref="F27:H27"/>
    <mergeCell ref="I27:K27"/>
    <mergeCell ref="N27:P27"/>
    <mergeCell ref="S27:U27"/>
    <mergeCell ref="X27:Z27"/>
    <mergeCell ref="B25:AB25"/>
    <mergeCell ref="F49:H49"/>
    <mergeCell ref="I49:K49"/>
    <mergeCell ref="N49:P49"/>
    <mergeCell ref="S49:U49"/>
    <mergeCell ref="X49:Z49"/>
    <mergeCell ref="B28:B30"/>
    <mergeCell ref="B31:B32"/>
    <mergeCell ref="E28:E30"/>
    <mergeCell ref="E31:E32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E81C0-DDD7-A140-B3CE-28AD1E73BB4C}">
  <dimension ref="A1:AH975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6" customWidth="1"/>
    <col min="2" max="2" width="9.83203125" style="56" customWidth="1"/>
    <col min="3" max="3" width="9.5" style="56" customWidth="1"/>
    <col min="4" max="4" width="11.5" style="56" bestFit="1" customWidth="1"/>
    <col min="5" max="5" width="11.5" style="73" customWidth="1"/>
    <col min="6" max="7" width="11.5" style="56" customWidth="1"/>
    <col min="8" max="8" width="9.83203125" style="56" customWidth="1"/>
    <col min="9" max="11" width="9.6640625" style="56" customWidth="1"/>
    <col min="12" max="15" width="9.1640625" style="56"/>
    <col min="16" max="16" width="12.1640625" style="56" customWidth="1"/>
    <col min="17" max="17" width="11.83203125" style="56" customWidth="1"/>
    <col min="18" max="18" width="11.6640625" style="56" bestFit="1" customWidth="1"/>
    <col min="19" max="19" width="9.1640625" style="56"/>
    <col min="20" max="21" width="9.5" style="56" bestFit="1" customWidth="1"/>
    <col min="22" max="25" width="9.5" style="56" customWidth="1"/>
    <col min="26" max="26" width="9.6640625" style="56" customWidth="1"/>
    <col min="27" max="27" width="9.5" style="56" customWidth="1"/>
    <col min="28" max="30" width="9.1640625" style="56"/>
    <col min="31" max="31" width="11.83203125" style="56" customWidth="1"/>
    <col min="32" max="16384" width="9.1640625" style="56"/>
  </cols>
  <sheetData>
    <row r="1" spans="1:34" ht="17" thickBot="1" x14ac:dyDescent="0.25">
      <c r="A1" s="243" t="s">
        <v>79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5"/>
    </row>
    <row r="2" spans="1:34" ht="15" thickBot="1" x14ac:dyDescent="0.25">
      <c r="A2" s="57"/>
      <c r="B2" s="246" t="s">
        <v>60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8"/>
    </row>
    <row r="3" spans="1:34" ht="47" customHeight="1" x14ac:dyDescent="0.2">
      <c r="A3" s="58"/>
      <c r="B3" s="59" t="s">
        <v>0</v>
      </c>
      <c r="C3" s="60" t="s">
        <v>1</v>
      </c>
      <c r="D3" s="116" t="s">
        <v>2</v>
      </c>
      <c r="E3" s="149"/>
      <c r="F3" s="60" t="s">
        <v>8</v>
      </c>
      <c r="G3" s="60" t="s">
        <v>9</v>
      </c>
      <c r="H3" s="236" t="s">
        <v>101</v>
      </c>
      <c r="I3" s="237"/>
      <c r="J3" s="238" t="s">
        <v>80</v>
      </c>
      <c r="K3" s="239"/>
      <c r="L3" s="240" t="s">
        <v>81</v>
      </c>
      <c r="M3" s="241"/>
      <c r="N3" s="61" t="s">
        <v>82</v>
      </c>
      <c r="O3" s="62" t="s">
        <v>83</v>
      </c>
      <c r="P3" s="61" t="s">
        <v>10</v>
      </c>
      <c r="Q3" s="61" t="s">
        <v>11</v>
      </c>
      <c r="R3" s="61" t="s">
        <v>84</v>
      </c>
      <c r="S3" s="61" t="s">
        <v>85</v>
      </c>
      <c r="T3" s="61" t="s">
        <v>86</v>
      </c>
      <c r="U3" s="63" t="s">
        <v>62</v>
      </c>
      <c r="V3" s="62" t="s">
        <v>87</v>
      </c>
      <c r="W3" s="61" t="s">
        <v>88</v>
      </c>
      <c r="X3" s="61" t="s">
        <v>86</v>
      </c>
      <c r="Y3" s="64" t="s">
        <v>62</v>
      </c>
      <c r="Z3" s="64" t="s">
        <v>89</v>
      </c>
      <c r="AA3" s="61" t="s">
        <v>90</v>
      </c>
      <c r="AB3" s="65" t="s">
        <v>62</v>
      </c>
      <c r="AD3" s="226" t="s">
        <v>100</v>
      </c>
      <c r="AE3" s="226"/>
      <c r="AF3" s="226"/>
      <c r="AG3" s="226"/>
      <c r="AH3" s="226"/>
    </row>
    <row r="4" spans="1:34" ht="37" customHeight="1" x14ac:dyDescent="0.2">
      <c r="A4" s="58"/>
      <c r="B4" s="66"/>
      <c r="C4" s="67"/>
      <c r="D4" s="69"/>
      <c r="E4" s="150"/>
      <c r="F4" s="67" t="s">
        <v>13</v>
      </c>
      <c r="G4" s="67" t="s">
        <v>13</v>
      </c>
      <c r="H4" s="117" t="s">
        <v>102</v>
      </c>
      <c r="I4" s="67" t="s">
        <v>103</v>
      </c>
      <c r="J4" s="242" t="s">
        <v>13</v>
      </c>
      <c r="K4" s="235"/>
      <c r="L4" s="234" t="s">
        <v>14</v>
      </c>
      <c r="M4" s="235"/>
      <c r="N4" s="70" t="s">
        <v>14</v>
      </c>
      <c r="O4" s="70" t="s">
        <v>13</v>
      </c>
      <c r="P4" s="70" t="s">
        <v>15</v>
      </c>
      <c r="Q4" s="70" t="s">
        <v>16</v>
      </c>
      <c r="R4" s="71" t="s">
        <v>91</v>
      </c>
      <c r="S4" s="71" t="s">
        <v>91</v>
      </c>
      <c r="T4" s="70"/>
      <c r="U4" s="69"/>
      <c r="V4" s="71" t="s">
        <v>92</v>
      </c>
      <c r="W4" s="71" t="s">
        <v>92</v>
      </c>
      <c r="X4" s="70"/>
      <c r="Y4" s="70"/>
      <c r="Z4" s="71" t="s">
        <v>93</v>
      </c>
      <c r="AA4" s="71" t="s">
        <v>93</v>
      </c>
      <c r="AB4" s="68"/>
      <c r="AD4" s="56" t="s">
        <v>2</v>
      </c>
      <c r="AE4" s="72" t="str">
        <f>S3</f>
        <v>Average specific CPC conc.</v>
      </c>
      <c r="AF4" s="56" t="s">
        <v>12</v>
      </c>
      <c r="AG4" s="72" t="str">
        <f>W3</f>
        <v>Average total CPC</v>
      </c>
      <c r="AH4" s="56" t="s">
        <v>12</v>
      </c>
    </row>
    <row r="5" spans="1:34" x14ac:dyDescent="0.2">
      <c r="A5" s="58"/>
      <c r="B5" s="207" t="s">
        <v>23</v>
      </c>
      <c r="C5" s="204">
        <v>0.41666666666666669</v>
      </c>
      <c r="D5" s="226">
        <v>0</v>
      </c>
      <c r="E5" s="104" t="s">
        <v>104</v>
      </c>
      <c r="F5" s="232">
        <f>(0.04+0.0315+0.0322)/3</f>
        <v>3.4566666666666669E-2</v>
      </c>
      <c r="G5" s="213">
        <f>(0.0387+0.0303+0.0319)/3</f>
        <v>3.3633333333333335E-2</v>
      </c>
      <c r="H5" s="74">
        <f>0.1986-F5</f>
        <v>0.16403333333333334</v>
      </c>
      <c r="I5" s="76">
        <f>0.177-F5</f>
        <v>0.14243333333333333</v>
      </c>
      <c r="J5" s="76">
        <f>0.1631-G5</f>
        <v>0.12946666666666667</v>
      </c>
      <c r="K5" s="76">
        <f>0.1401-G5</f>
        <v>0.10646666666666667</v>
      </c>
      <c r="L5" s="76">
        <f>(H5-(0.605*J5))/6.17</f>
        <v>1.3890761750405187E-2</v>
      </c>
      <c r="M5" s="76">
        <f>(I5-(0.605*K5))/6.17</f>
        <v>1.2645218800648297E-2</v>
      </c>
      <c r="N5" s="76">
        <f>AVERAGE(L5:M5)</f>
        <v>1.3267990275526742E-2</v>
      </c>
      <c r="O5" s="76">
        <f>'Growth curves CeBER'!F5</f>
        <v>9.2999999999999999E-2</v>
      </c>
      <c r="P5" s="76">
        <f>1.2334*O5</f>
        <v>0.11470620000000001</v>
      </c>
      <c r="Q5" s="77">
        <f>P5*1/1000</f>
        <v>1.1470620000000001E-4</v>
      </c>
      <c r="R5" s="78">
        <f>(N5*0.5)/Q5</f>
        <v>57.834669248596597</v>
      </c>
      <c r="S5" s="79"/>
      <c r="V5" s="80">
        <f>R5*P5</f>
        <v>6.6339951377633719</v>
      </c>
      <c r="W5" s="79"/>
      <c r="AA5" s="79"/>
      <c r="AB5" s="73"/>
      <c r="AD5" s="81">
        <f>D5</f>
        <v>0</v>
      </c>
      <c r="AE5" s="80">
        <f>S7</f>
        <v>61.889567290601157</v>
      </c>
      <c r="AF5" s="80">
        <f>U7</f>
        <v>6.6524913351912085</v>
      </c>
      <c r="AG5" s="80">
        <f>W7</f>
        <v>7.1861831442463542</v>
      </c>
      <c r="AH5" s="80">
        <f>Y7</f>
        <v>0.70747599339405232</v>
      </c>
    </row>
    <row r="6" spans="1:34" ht="15" customHeight="1" x14ac:dyDescent="0.2">
      <c r="A6" s="58"/>
      <c r="B6" s="207"/>
      <c r="C6" s="204"/>
      <c r="D6" s="226"/>
      <c r="E6" s="104" t="s">
        <v>105</v>
      </c>
      <c r="F6" s="232"/>
      <c r="G6" s="213"/>
      <c r="H6" s="74">
        <f>0.1578-F5</f>
        <v>0.12323333333333333</v>
      </c>
      <c r="I6" s="76">
        <f>0.1623-F5</f>
        <v>0.12773333333333334</v>
      </c>
      <c r="J6" s="76">
        <f>0.1093-G5</f>
        <v>7.566666666666666E-2</v>
      </c>
      <c r="K6" s="76">
        <f>0.1144-G5</f>
        <v>8.0766666666666667E-2</v>
      </c>
      <c r="L6" s="76">
        <f t="shared" ref="L6:L31" si="0">(H6-(0.605*J6))/6.17</f>
        <v>1.2553484602917341E-2</v>
      </c>
      <c r="M6" s="76">
        <f t="shared" ref="M6:M31" si="1">(I6-(0.605*K6))/6.17</f>
        <v>1.2782739059967586E-2</v>
      </c>
      <c r="N6" s="76">
        <f t="shared" ref="N6:N55" si="2">AVERAGE(L6:M6)</f>
        <v>1.2668111831442463E-2</v>
      </c>
      <c r="O6" s="76">
        <f>'Growth curves CeBER'!G5</f>
        <v>9.7000000000000003E-2</v>
      </c>
      <c r="P6" s="76">
        <f t="shared" ref="P6:P55" si="3">1.2334*O6</f>
        <v>0.1196398</v>
      </c>
      <c r="Q6" s="77">
        <f>P6*1/1000</f>
        <v>1.196398E-4</v>
      </c>
      <c r="R6" s="78">
        <f t="shared" ref="R6:R55" si="4">(N6*0.5)/Q6</f>
        <v>52.942715682584151</v>
      </c>
      <c r="S6" s="79"/>
      <c r="V6" s="80">
        <f t="shared" ref="V6:V55" si="5">R6*P6</f>
        <v>6.3340559157212315</v>
      </c>
      <c r="W6" s="79"/>
      <c r="AA6" s="79"/>
      <c r="AB6" s="73"/>
      <c r="AD6" s="81">
        <f>D8</f>
        <v>24</v>
      </c>
      <c r="AE6" s="80">
        <f>S10</f>
        <v>40.959863978864085</v>
      </c>
      <c r="AF6" s="80">
        <f>U10</f>
        <v>4.8724772728837324</v>
      </c>
      <c r="AG6" s="80">
        <f>W10</f>
        <v>7.3023905996758502</v>
      </c>
      <c r="AH6" s="80">
        <f>Y10</f>
        <v>0.26444182133993793</v>
      </c>
    </row>
    <row r="7" spans="1:34" ht="15" customHeight="1" x14ac:dyDescent="0.2">
      <c r="A7" s="58"/>
      <c r="B7" s="208"/>
      <c r="C7" s="205"/>
      <c r="D7" s="227"/>
      <c r="E7" s="151" t="s">
        <v>106</v>
      </c>
      <c r="F7" s="233"/>
      <c r="G7" s="214"/>
      <c r="H7" s="83">
        <f>0.2061-F5</f>
        <v>0.17153333333333334</v>
      </c>
      <c r="I7" s="85">
        <f>0.338-F5</f>
        <v>0.30343333333333333</v>
      </c>
      <c r="J7" s="85">
        <f>0.185-G5</f>
        <v>0.15136666666666665</v>
      </c>
      <c r="K7" s="85">
        <f>0.3169-G5</f>
        <v>0.28326666666666667</v>
      </c>
      <c r="L7" s="76">
        <f t="shared" si="0"/>
        <v>1.2958914100486229E-2</v>
      </c>
      <c r="M7" s="76">
        <f t="shared" si="1"/>
        <v>2.1403079416531606E-2</v>
      </c>
      <c r="N7" s="85">
        <f t="shared" si="2"/>
        <v>1.7180996758508919E-2</v>
      </c>
      <c r="O7" s="85">
        <f>'Growth curves CeBER'!H5</f>
        <v>9.2999999999999999E-2</v>
      </c>
      <c r="P7" s="85">
        <f t="shared" si="3"/>
        <v>0.11470620000000001</v>
      </c>
      <c r="Q7" s="86">
        <f>P7*1/1000</f>
        <v>1.1470620000000001E-4</v>
      </c>
      <c r="R7" s="87">
        <f t="shared" si="4"/>
        <v>74.89131694062273</v>
      </c>
      <c r="S7" s="88">
        <f>AVERAGE(R5:R7)</f>
        <v>61.889567290601157</v>
      </c>
      <c r="T7" s="89">
        <f>STDEV(R5:R7)</f>
        <v>11.522452989462892</v>
      </c>
      <c r="U7" s="89">
        <f>T7/SQRT(3)</f>
        <v>6.6524913351912085</v>
      </c>
      <c r="V7" s="89">
        <f t="shared" si="5"/>
        <v>8.5904983792544591</v>
      </c>
      <c r="W7" s="88">
        <f>AVERAGE(V5:V7)</f>
        <v>7.1861831442463542</v>
      </c>
      <c r="X7" s="89">
        <f>STDEV(V5:V7)</f>
        <v>1.225384365693762</v>
      </c>
      <c r="Y7" s="89">
        <f>X7/SQRT(3)</f>
        <v>0.70747599339405232</v>
      </c>
      <c r="Z7" s="90"/>
      <c r="AA7" s="91"/>
      <c r="AB7" s="82"/>
      <c r="AD7" s="81">
        <f>D11</f>
        <v>49.5</v>
      </c>
      <c r="AE7" s="80">
        <f>S13</f>
        <v>36.311179434900332</v>
      </c>
      <c r="AF7" s="80">
        <f>U13</f>
        <v>2.4469473957687842</v>
      </c>
      <c r="AG7" s="80">
        <f>W13</f>
        <v>10.073494057266343</v>
      </c>
      <c r="AH7" s="80">
        <f>Y13</f>
        <v>0.55495943807266024</v>
      </c>
    </row>
    <row r="8" spans="1:34" x14ac:dyDescent="0.2">
      <c r="A8" s="58"/>
      <c r="B8" s="206" t="s">
        <v>24</v>
      </c>
      <c r="C8" s="203">
        <v>0.41666666666666669</v>
      </c>
      <c r="D8" s="228">
        <f>24+D5</f>
        <v>24</v>
      </c>
      <c r="E8" s="104" t="s">
        <v>104</v>
      </c>
      <c r="F8" s="209">
        <f>(0.0466+0.0391+0.036)/3</f>
        <v>4.0566666666666668E-2</v>
      </c>
      <c r="G8" s="212">
        <f>(0.0461+0.0386+0.0356)/3</f>
        <v>4.0099999999999997E-2</v>
      </c>
      <c r="H8" s="74">
        <f>0.168-F8</f>
        <v>0.12743333333333334</v>
      </c>
      <c r="I8" s="76">
        <f>0.1797-F8</f>
        <v>0.13913333333333333</v>
      </c>
      <c r="J8" s="76">
        <f>0.1148-G8</f>
        <v>7.4700000000000003E-2</v>
      </c>
      <c r="K8" s="76">
        <f>0.1289-G8</f>
        <v>8.879999999999999E-2</v>
      </c>
      <c r="L8" s="76">
        <f t="shared" si="0"/>
        <v>1.3328984332793087E-2</v>
      </c>
      <c r="M8" s="76">
        <f t="shared" si="1"/>
        <v>1.384267963263101E-2</v>
      </c>
      <c r="N8" s="76">
        <f t="shared" si="2"/>
        <v>1.3585831982712048E-2</v>
      </c>
      <c r="O8" s="76">
        <f>'Growth curves CeBER'!F8</f>
        <v>0.14799999999999999</v>
      </c>
      <c r="P8" s="76">
        <f t="shared" si="3"/>
        <v>0.18254319999999999</v>
      </c>
      <c r="Q8" s="77">
        <f t="shared" ref="Q8:Q13" si="6">P8*1/1000</f>
        <v>1.8254319999999998E-4</v>
      </c>
      <c r="R8" s="78">
        <f t="shared" si="4"/>
        <v>37.212648794126679</v>
      </c>
      <c r="S8" s="94"/>
      <c r="T8" s="80"/>
      <c r="U8" s="80"/>
      <c r="V8" s="80">
        <f t="shared" si="5"/>
        <v>6.7929159913560246</v>
      </c>
      <c r="W8" s="94"/>
      <c r="X8" s="80"/>
      <c r="Y8" s="80"/>
      <c r="Z8" s="80">
        <f>(V8-$V$5)/(D8-$D$5)</f>
        <v>6.6217022330271975E-3</v>
      </c>
      <c r="AA8" s="94"/>
      <c r="AB8" s="73"/>
      <c r="AD8" s="81">
        <f>D14</f>
        <v>73.5</v>
      </c>
      <c r="AE8" s="80">
        <f>S16</f>
        <v>62.809035901865492</v>
      </c>
      <c r="AF8" s="80">
        <f>U16</f>
        <v>4.673024618711799</v>
      </c>
      <c r="AG8" s="80">
        <f>W16</f>
        <v>23.070510448406271</v>
      </c>
      <c r="AH8" s="80">
        <f>Y16</f>
        <v>1.6341390658539314</v>
      </c>
    </row>
    <row r="9" spans="1:34" x14ac:dyDescent="0.2">
      <c r="A9" s="58"/>
      <c r="B9" s="207"/>
      <c r="C9" s="204"/>
      <c r="D9" s="226"/>
      <c r="E9" s="104" t="s">
        <v>105</v>
      </c>
      <c r="F9" s="210"/>
      <c r="G9" s="213"/>
      <c r="H9" s="74">
        <f>0.1976-F8</f>
        <v>0.15703333333333333</v>
      </c>
      <c r="I9" s="76">
        <f>0.1847-F8</f>
        <v>0.14413333333333334</v>
      </c>
      <c r="J9" s="76">
        <f>0.1383-G8</f>
        <v>9.820000000000001E-2</v>
      </c>
      <c r="K9" s="76">
        <f>0.1264-G8</f>
        <v>8.6300000000000016E-2</v>
      </c>
      <c r="L9" s="76">
        <f t="shared" si="0"/>
        <v>1.5822096164235546E-2</v>
      </c>
      <c r="M9" s="76">
        <f t="shared" si="1"/>
        <v>1.4898190167477038E-2</v>
      </c>
      <c r="N9" s="76">
        <f t="shared" si="2"/>
        <v>1.5360143165856292E-2</v>
      </c>
      <c r="O9" s="76">
        <f>'Growth curves CeBER'!G7</f>
        <v>0.123</v>
      </c>
      <c r="P9" s="76">
        <f t="shared" si="3"/>
        <v>0.15170820000000002</v>
      </c>
      <c r="Q9" s="77">
        <f t="shared" si="6"/>
        <v>1.5170820000000001E-4</v>
      </c>
      <c r="R9" s="78">
        <f t="shared" si="4"/>
        <v>50.623971432843746</v>
      </c>
      <c r="S9" s="79"/>
      <c r="T9" s="80"/>
      <c r="U9" s="80"/>
      <c r="V9" s="80">
        <f t="shared" si="5"/>
        <v>7.6800715829281465</v>
      </c>
      <c r="W9" s="94"/>
      <c r="X9" s="80"/>
      <c r="Y9" s="80"/>
      <c r="Z9" s="80">
        <f>(V9-$V$6)/(D8-$D$5)</f>
        <v>5.6083986133621457E-2</v>
      </c>
      <c r="AA9" s="94"/>
      <c r="AB9" s="73"/>
      <c r="AD9" s="81">
        <f>D17</f>
        <v>96</v>
      </c>
      <c r="AE9" s="80">
        <f>S19</f>
        <v>64.897153412977801</v>
      </c>
      <c r="AF9" s="80">
        <f>U19</f>
        <v>3.5458541823971133</v>
      </c>
      <c r="AG9" s="80">
        <f>W19</f>
        <v>29.278540488924904</v>
      </c>
      <c r="AH9" s="80">
        <f>Y19</f>
        <v>0.86796738255997796</v>
      </c>
    </row>
    <row r="10" spans="1:34" x14ac:dyDescent="0.2">
      <c r="A10" s="58"/>
      <c r="B10" s="208"/>
      <c r="C10" s="205"/>
      <c r="D10" s="227"/>
      <c r="E10" s="151" t="s">
        <v>106</v>
      </c>
      <c r="F10" s="211"/>
      <c r="G10" s="214"/>
      <c r="H10" s="74">
        <f>0.1799-F8</f>
        <v>0.13933333333333334</v>
      </c>
      <c r="I10" s="76">
        <f>0.178-F8</f>
        <v>0.13743333333333332</v>
      </c>
      <c r="J10" s="76">
        <f>0.1182-G8</f>
        <v>7.8100000000000003E-2</v>
      </c>
      <c r="K10" s="76">
        <f>0.1162-G8</f>
        <v>7.6100000000000001E-2</v>
      </c>
      <c r="L10" s="76">
        <f t="shared" si="0"/>
        <v>1.4924284170718531E-2</v>
      </c>
      <c r="M10" s="76">
        <f t="shared" si="1"/>
        <v>1.4812452728254996E-2</v>
      </c>
      <c r="N10" s="76">
        <f t="shared" si="2"/>
        <v>1.4868368449486764E-2</v>
      </c>
      <c r="O10" s="76">
        <f>'Growth curves CeBER'!H9</f>
        <v>0.17199999999999999</v>
      </c>
      <c r="P10" s="76">
        <f t="shared" si="3"/>
        <v>0.21214479999999999</v>
      </c>
      <c r="Q10" s="77">
        <f t="shared" si="6"/>
        <v>2.121448E-4</v>
      </c>
      <c r="R10" s="78">
        <f t="shared" si="4"/>
        <v>35.042971709621831</v>
      </c>
      <c r="S10" s="94">
        <f>AVERAGE(R8:R10)</f>
        <v>40.959863978864085</v>
      </c>
      <c r="T10" s="80">
        <f>STDEV(R8:R10)</f>
        <v>8.4393781953592697</v>
      </c>
      <c r="U10" s="89">
        <f>T10/SQRT(3)</f>
        <v>4.8724772728837324</v>
      </c>
      <c r="V10" s="89">
        <f t="shared" si="5"/>
        <v>7.4341842247433814</v>
      </c>
      <c r="W10" s="88">
        <f>AVERAGE(V8:V10)</f>
        <v>7.3023905996758502</v>
      </c>
      <c r="X10" s="89">
        <f>STDEV(V8:V10)</f>
        <v>0.45802667020682425</v>
      </c>
      <c r="Y10" s="89">
        <f>X10/SQRT(3)</f>
        <v>0.26444182133993793</v>
      </c>
      <c r="Z10" s="89">
        <f>(V10-$V$7)/(D8-$D$5)</f>
        <v>-4.8179756437961574E-2</v>
      </c>
      <c r="AA10" s="88">
        <f>AVERAGE(Z8:Z10)</f>
        <v>4.8419773095623592E-3</v>
      </c>
      <c r="AB10" s="95">
        <f>STDEV(Z8:Z10)/SQRT(3)</f>
        <v>3.0111501508895987E-2</v>
      </c>
      <c r="AD10" s="81">
        <f>D20</f>
        <v>120</v>
      </c>
      <c r="AE10" s="80">
        <f>S22</f>
        <v>59.279184940996259</v>
      </c>
      <c r="AF10" s="80">
        <f>U22</f>
        <v>6.0645476963916867</v>
      </c>
      <c r="AG10" s="80">
        <f>W22</f>
        <v>31.347484030253923</v>
      </c>
      <c r="AH10" s="80">
        <f>Y22</f>
        <v>2.8882184585178621</v>
      </c>
    </row>
    <row r="11" spans="1:34" x14ac:dyDescent="0.2">
      <c r="A11" s="58"/>
      <c r="B11" s="206" t="s">
        <v>25</v>
      </c>
      <c r="C11" s="203">
        <v>0.47916666666666669</v>
      </c>
      <c r="D11" s="228">
        <f>1.5+24+D8</f>
        <v>49.5</v>
      </c>
      <c r="E11" s="104" t="s">
        <v>104</v>
      </c>
      <c r="F11" s="209">
        <f>0.0499</f>
        <v>4.99E-2</v>
      </c>
      <c r="G11" s="212">
        <v>4.8899999999999999E-2</v>
      </c>
      <c r="H11" s="92">
        <f>0.298-F11</f>
        <v>0.24809999999999999</v>
      </c>
      <c r="I11" s="96">
        <f>0.2916-F11</f>
        <v>0.24170000000000003</v>
      </c>
      <c r="J11" s="96">
        <f>0.2349-G11</f>
        <v>0.186</v>
      </c>
      <c r="K11" s="96">
        <f>0.2269-G11</f>
        <v>0.17799999999999999</v>
      </c>
      <c r="L11" s="76">
        <f t="shared" si="0"/>
        <v>2.1972447325769855E-2</v>
      </c>
      <c r="M11" s="76">
        <f t="shared" si="1"/>
        <v>2.1719611021069694E-2</v>
      </c>
      <c r="N11" s="96">
        <f t="shared" si="2"/>
        <v>2.1846029173419775E-2</v>
      </c>
      <c r="O11" s="96">
        <f>'Growth curves CeBER'!F10</f>
        <v>0.217</v>
      </c>
      <c r="P11" s="96">
        <f t="shared" si="3"/>
        <v>0.26764779999999999</v>
      </c>
      <c r="Q11" s="97">
        <f t="shared" si="6"/>
        <v>2.6764779999999998E-4</v>
      </c>
      <c r="R11" s="98">
        <f t="shared" si="4"/>
        <v>40.811150275510904</v>
      </c>
      <c r="S11" s="99"/>
      <c r="T11" s="100"/>
      <c r="U11" s="100"/>
      <c r="V11" s="80">
        <f t="shared" si="5"/>
        <v>10.923014586709886</v>
      </c>
      <c r="W11" s="94"/>
      <c r="X11" s="80"/>
      <c r="Y11" s="80"/>
      <c r="Z11" s="80">
        <f t="shared" ref="Z11:Z53" si="7">(V11-$V$5)/(D11-$D$5)</f>
        <v>8.6646857554475043E-2</v>
      </c>
      <c r="AA11" s="94"/>
      <c r="AB11" s="101"/>
      <c r="AD11" s="81">
        <f>D23</f>
        <v>144</v>
      </c>
      <c r="AE11" s="80">
        <f>S25</f>
        <v>63.680014929630893</v>
      </c>
      <c r="AF11" s="80">
        <f>U25</f>
        <v>3.2863493871463922</v>
      </c>
      <c r="AG11" s="80">
        <f>W25</f>
        <v>40.433497379794709</v>
      </c>
      <c r="AH11" s="80">
        <f>Y25</f>
        <v>1.3061561669537123</v>
      </c>
    </row>
    <row r="12" spans="1:34" x14ac:dyDescent="0.2">
      <c r="A12" s="58"/>
      <c r="B12" s="207"/>
      <c r="C12" s="204"/>
      <c r="D12" s="226"/>
      <c r="E12" s="104" t="s">
        <v>105</v>
      </c>
      <c r="F12" s="210"/>
      <c r="G12" s="213"/>
      <c r="H12" s="74">
        <f>0.2279-F11</f>
        <v>0.17799999999999999</v>
      </c>
      <c r="I12" s="76">
        <f>0.2226-F11</f>
        <v>0.17269999999999999</v>
      </c>
      <c r="J12" s="76">
        <f>0.1571-G11</f>
        <v>0.10819999999999999</v>
      </c>
      <c r="K12" s="76">
        <f>0.152-G11</f>
        <v>0.1031</v>
      </c>
      <c r="L12" s="76">
        <f t="shared" si="0"/>
        <v>1.8239708265802269E-2</v>
      </c>
      <c r="M12" s="76">
        <f t="shared" si="1"/>
        <v>1.7880794165316044E-2</v>
      </c>
      <c r="N12" s="76">
        <f t="shared" si="2"/>
        <v>1.8060251215559157E-2</v>
      </c>
      <c r="O12" s="76">
        <f>'Growth curves CeBER'!G10</f>
        <v>0.22600000000000001</v>
      </c>
      <c r="P12" s="76">
        <f t="shared" si="3"/>
        <v>0.27874840000000001</v>
      </c>
      <c r="Q12" s="77">
        <f t="shared" si="6"/>
        <v>2.7874840000000002E-4</v>
      </c>
      <c r="R12" s="78">
        <f t="shared" si="4"/>
        <v>32.395255390809695</v>
      </c>
      <c r="S12" s="79"/>
      <c r="T12" s="80"/>
      <c r="U12" s="80"/>
      <c r="V12" s="80">
        <f t="shared" si="5"/>
        <v>9.0301256077795777</v>
      </c>
      <c r="W12" s="94"/>
      <c r="X12" s="80"/>
      <c r="Y12" s="80"/>
      <c r="Z12" s="80">
        <f>(V12-$V$6)/(D11-$D$5)</f>
        <v>5.4466054385017094E-2</v>
      </c>
      <c r="AA12" s="94"/>
      <c r="AB12" s="101"/>
      <c r="AD12" s="81">
        <f>D26</f>
        <v>168</v>
      </c>
      <c r="AE12" s="80">
        <f>S28</f>
        <v>55.478821140900408</v>
      </c>
      <c r="AF12" s="80">
        <f>U28</f>
        <v>2.0452118479979755</v>
      </c>
      <c r="AG12" s="80">
        <f>W28</f>
        <v>39.870448406266888</v>
      </c>
      <c r="AH12" s="80">
        <f>Y28</f>
        <v>1.2417703803624425</v>
      </c>
    </row>
    <row r="13" spans="1:34" x14ac:dyDescent="0.2">
      <c r="A13" s="58"/>
      <c r="B13" s="208"/>
      <c r="C13" s="205"/>
      <c r="D13" s="227"/>
      <c r="E13" s="151" t="s">
        <v>106</v>
      </c>
      <c r="F13" s="211"/>
      <c r="G13" s="214"/>
      <c r="H13" s="74">
        <f>0.2405-F11</f>
        <v>0.19059999999999999</v>
      </c>
      <c r="I13" s="76">
        <f>0.2533-F11</f>
        <v>0.20340000000000003</v>
      </c>
      <c r="J13" s="76">
        <f>0.1598-G11</f>
        <v>0.1109</v>
      </c>
      <c r="K13" s="76">
        <f>0.1704-G11</f>
        <v>0.1215</v>
      </c>
      <c r="L13" s="76">
        <f t="shared" si="0"/>
        <v>2.001709886547812E-2</v>
      </c>
      <c r="M13" s="76">
        <f t="shared" si="1"/>
        <v>2.1052269043760133E-2</v>
      </c>
      <c r="N13" s="76">
        <f t="shared" si="2"/>
        <v>2.0534683954619125E-2</v>
      </c>
      <c r="O13" s="76">
        <f>'Growth curves CeBER'!H10</f>
        <v>0.23300000000000001</v>
      </c>
      <c r="P13" s="76">
        <f t="shared" si="3"/>
        <v>0.28738220000000003</v>
      </c>
      <c r="Q13" s="77">
        <f t="shared" si="6"/>
        <v>2.8738220000000005E-4</v>
      </c>
      <c r="R13" s="78">
        <f t="shared" si="4"/>
        <v>35.72713263838039</v>
      </c>
      <c r="S13" s="94">
        <f>AVERAGE(R11:R13)</f>
        <v>36.311179434900332</v>
      </c>
      <c r="T13" s="80">
        <f>STDEV(R11:R13)</f>
        <v>4.2382372129198833</v>
      </c>
      <c r="U13" s="89">
        <f>T13/SQRT(3)</f>
        <v>2.4469473957687842</v>
      </c>
      <c r="V13" s="89">
        <f t="shared" si="5"/>
        <v>10.267341977309561</v>
      </c>
      <c r="W13" s="88">
        <f>AVERAGE(V11:V13)</f>
        <v>10.073494057266343</v>
      </c>
      <c r="X13" s="89">
        <f>STDEV(V11:V13)</f>
        <v>0.96121794288172147</v>
      </c>
      <c r="Y13" s="89">
        <f>X13/SQRT(3)</f>
        <v>0.55495943807266024</v>
      </c>
      <c r="Z13" s="89">
        <f>(V13-$V$7)/(D11-$D$5)</f>
        <v>3.3875628243537417E-2</v>
      </c>
      <c r="AA13" s="88">
        <f>AVERAGE(Z11:Z13)</f>
        <v>5.832951339434319E-2</v>
      </c>
      <c r="AB13" s="95">
        <f>STDEV(Z11:Z13)/SQRT(3)</f>
        <v>1.5355730715104897E-2</v>
      </c>
      <c r="AD13" s="81">
        <f>D29</f>
        <v>192</v>
      </c>
      <c r="AE13" s="80">
        <f>S31</f>
        <v>52.47611625860899</v>
      </c>
      <c r="AF13" s="80">
        <f>U31</f>
        <v>2.7758159299552743</v>
      </c>
      <c r="AG13" s="80">
        <f>W31</f>
        <v>43.861102106969192</v>
      </c>
      <c r="AH13" s="80">
        <f>Y31</f>
        <v>2.1221792773937111</v>
      </c>
    </row>
    <row r="14" spans="1:34" x14ac:dyDescent="0.2">
      <c r="A14" s="58"/>
      <c r="B14" s="206" t="s">
        <v>26</v>
      </c>
      <c r="C14" s="203">
        <v>0.47916666666666669</v>
      </c>
      <c r="D14" s="228">
        <f>24+D11</f>
        <v>73.5</v>
      </c>
      <c r="E14" s="104" t="s">
        <v>104</v>
      </c>
      <c r="F14" s="209">
        <f>(0.0193+0.063)/2</f>
        <v>4.1149999999999999E-2</v>
      </c>
      <c r="G14" s="212">
        <f>(0.02+0.0611)/2</f>
        <v>4.0550000000000003E-2</v>
      </c>
      <c r="H14" s="92">
        <f>0.2514-F14</f>
        <v>0.21025000000000002</v>
      </c>
      <c r="I14" s="96">
        <f>0.2815-F14</f>
        <v>0.24034999999999998</v>
      </c>
      <c r="J14" s="96">
        <f>0.1944-G14</f>
        <v>0.15384999999999999</v>
      </c>
      <c r="K14" s="96">
        <f>0.2244-G14</f>
        <v>0.18384999999999999</v>
      </c>
      <c r="L14" s="76">
        <f t="shared" si="0"/>
        <v>1.8990397082658029E-2</v>
      </c>
      <c r="M14" s="76">
        <f t="shared" si="1"/>
        <v>2.0927188006482984E-2</v>
      </c>
      <c r="N14" s="96">
        <f t="shared" si="2"/>
        <v>1.9958792544570506E-2</v>
      </c>
      <c r="O14" s="96">
        <f>'Growth curves CeBER'!F11</f>
        <v>0.29199999999999998</v>
      </c>
      <c r="P14" s="96">
        <f t="shared" si="3"/>
        <v>0.3601528</v>
      </c>
      <c r="Q14" s="97">
        <f t="shared" ref="Q14:Q22" si="8">O14*0.5/1000</f>
        <v>1.46E-4</v>
      </c>
      <c r="R14" s="98">
        <f t="shared" si="4"/>
        <v>68.352029262227759</v>
      </c>
      <c r="S14" s="99"/>
      <c r="T14" s="100"/>
      <c r="U14" s="100"/>
      <c r="V14" s="80">
        <f t="shared" si="5"/>
        <v>24.617174724473262</v>
      </c>
      <c r="W14" s="94"/>
      <c r="X14" s="80"/>
      <c r="Y14" s="80"/>
      <c r="Z14" s="80">
        <f t="shared" si="7"/>
        <v>0.24466911002326383</v>
      </c>
      <c r="AA14" s="94"/>
      <c r="AB14" s="101"/>
      <c r="AD14" s="81">
        <f>D32</f>
        <v>216</v>
      </c>
      <c r="AE14" s="80">
        <f>S34</f>
        <v>43.978318298315237</v>
      </c>
      <c r="AF14" s="80">
        <f>U34</f>
        <v>10.5806107541479</v>
      </c>
      <c r="AG14" s="80">
        <f>W34</f>
        <v>40.84606293895191</v>
      </c>
      <c r="AH14" s="80">
        <f>Y34</f>
        <v>9.3353697161986275</v>
      </c>
    </row>
    <row r="15" spans="1:34" x14ac:dyDescent="0.2">
      <c r="A15" s="58"/>
      <c r="B15" s="207"/>
      <c r="C15" s="204"/>
      <c r="D15" s="226"/>
      <c r="E15" s="104" t="s">
        <v>105</v>
      </c>
      <c r="F15" s="210"/>
      <c r="G15" s="213"/>
      <c r="H15" s="74">
        <f>0.2423-F14</f>
        <v>0.20115</v>
      </c>
      <c r="I15" s="76">
        <f>0.2397-F14</f>
        <v>0.19855</v>
      </c>
      <c r="J15" s="76">
        <f>0.1658-G14</f>
        <v>0.12525</v>
      </c>
      <c r="K15" s="76">
        <f>0.166-G14</f>
        <v>0.12545000000000001</v>
      </c>
      <c r="L15" s="76">
        <f t="shared" si="0"/>
        <v>2.0319894651539709E-2</v>
      </c>
      <c r="M15" s="76">
        <f t="shared" si="1"/>
        <v>1.9878889789303082E-2</v>
      </c>
      <c r="N15" s="76">
        <f t="shared" si="2"/>
        <v>2.0099392220421397E-2</v>
      </c>
      <c r="O15" s="76">
        <f>'Growth curves CeBER'!G11</f>
        <v>0.30199999999999999</v>
      </c>
      <c r="P15" s="76">
        <f t="shared" si="3"/>
        <v>0.37248680000000001</v>
      </c>
      <c r="Q15" s="77">
        <f t="shared" si="8"/>
        <v>1.5099999999999998E-4</v>
      </c>
      <c r="R15" s="78">
        <f t="shared" si="4"/>
        <v>66.554278875567547</v>
      </c>
      <c r="S15" s="79"/>
      <c r="T15" s="80"/>
      <c r="U15" s="80"/>
      <c r="V15" s="80">
        <f t="shared" si="5"/>
        <v>24.790590364667754</v>
      </c>
      <c r="W15" s="94"/>
      <c r="X15" s="80"/>
      <c r="Y15" s="80"/>
      <c r="Z15" s="80">
        <f>(V15-$V$6)/(D14-$D$5)</f>
        <v>0.25110931223056493</v>
      </c>
      <c r="AA15" s="94"/>
      <c r="AB15" s="101"/>
      <c r="AD15" s="81">
        <f>D35</f>
        <v>264</v>
      </c>
      <c r="AE15" s="80">
        <f>S37</f>
        <v>57.275388188728776</v>
      </c>
      <c r="AF15" s="80">
        <f>U37</f>
        <v>3.9319957661147518</v>
      </c>
      <c r="AG15" s="80">
        <f>W37</f>
        <v>62.03599405726635</v>
      </c>
      <c r="AH15" s="80">
        <f>Y37</f>
        <v>4.2101550391437845</v>
      </c>
    </row>
    <row r="16" spans="1:34" x14ac:dyDescent="0.2">
      <c r="A16" s="58"/>
      <c r="B16" s="208"/>
      <c r="C16" s="205"/>
      <c r="D16" s="227"/>
      <c r="E16" s="151" t="s">
        <v>106</v>
      </c>
      <c r="F16" s="211"/>
      <c r="G16" s="214"/>
      <c r="H16" s="74">
        <f>0.173-F14</f>
        <v>0.13184999999999999</v>
      </c>
      <c r="I16" s="76">
        <f>0.1977-F14</f>
        <v>0.15654999999999999</v>
      </c>
      <c r="J16" s="76">
        <f>0.1031-G14</f>
        <v>6.2549999999999994E-2</v>
      </c>
      <c r="K16" s="76">
        <f>0.1272-G14</f>
        <v>8.6650000000000005E-2</v>
      </c>
      <c r="L16" s="76">
        <f t="shared" si="0"/>
        <v>1.5236183144246353E-2</v>
      </c>
      <c r="M16" s="76">
        <f t="shared" si="1"/>
        <v>1.6876296596434359E-2</v>
      </c>
      <c r="N16" s="76">
        <f t="shared" si="2"/>
        <v>1.6056239870340355E-2</v>
      </c>
      <c r="O16" s="76">
        <f>'Growth curves CeBER'!H11</f>
        <v>0.3</v>
      </c>
      <c r="P16" s="76">
        <f t="shared" si="3"/>
        <v>0.37002000000000002</v>
      </c>
      <c r="Q16" s="77">
        <f t="shared" si="8"/>
        <v>1.4999999999999999E-4</v>
      </c>
      <c r="R16" s="78">
        <f t="shared" si="4"/>
        <v>53.520799567801191</v>
      </c>
      <c r="S16" s="94">
        <f>AVERAGE(R14:R16)</f>
        <v>62.809035901865492</v>
      </c>
      <c r="T16" s="80">
        <f>STDEV(R14:R16)</f>
        <v>8.0939160646290151</v>
      </c>
      <c r="U16" s="89">
        <f>T16/SQRT(3)</f>
        <v>4.673024618711799</v>
      </c>
      <c r="V16" s="89">
        <f t="shared" si="5"/>
        <v>19.803766256077797</v>
      </c>
      <c r="W16" s="88">
        <f>AVERAGE(V14:V16)</f>
        <v>23.070510448406271</v>
      </c>
      <c r="X16" s="89">
        <f>STDEV(V14:V16)</f>
        <v>2.8304118886921525</v>
      </c>
      <c r="Y16" s="89">
        <f>X16/SQRT(3)</f>
        <v>1.6341390658539314</v>
      </c>
      <c r="Z16" s="89">
        <f>(V16-$V$7)/(D14-$D$5)</f>
        <v>0.15256146771188214</v>
      </c>
      <c r="AA16" s="88">
        <f>AVERAGE(Z14:Z16)</f>
        <v>0.21611329665523696</v>
      </c>
      <c r="AB16" s="95">
        <f>STDEV(Z14:Z16)/SQRT(3)</f>
        <v>3.1830254332693229E-2</v>
      </c>
      <c r="AD16" s="81">
        <f>D38</f>
        <v>288</v>
      </c>
      <c r="AE16" s="80">
        <f>S40</f>
        <v>60.088118493126636</v>
      </c>
      <c r="AF16" s="80">
        <f>U40</f>
        <v>3.0861886657000936</v>
      </c>
      <c r="AG16" s="80">
        <f>W40</f>
        <v>71.759386817936246</v>
      </c>
      <c r="AH16" s="80">
        <f>Y40</f>
        <v>3.5059872920917292</v>
      </c>
    </row>
    <row r="17" spans="1:34" x14ac:dyDescent="0.2">
      <c r="A17" s="58"/>
      <c r="B17" s="206" t="s">
        <v>27</v>
      </c>
      <c r="C17" s="203">
        <v>0.41666666666666669</v>
      </c>
      <c r="D17" s="218">
        <f>22.5+D14</f>
        <v>96</v>
      </c>
      <c r="E17" s="104" t="s">
        <v>104</v>
      </c>
      <c r="F17" s="209">
        <f>(0.046+0.0511+0.0509)/3</f>
        <v>4.9333333333333333E-2</v>
      </c>
      <c r="G17" s="212">
        <f>(0.045+0.0494+0.0494)/3</f>
        <v>4.7933333333333328E-2</v>
      </c>
      <c r="H17" s="92">
        <f>0.3064-F17</f>
        <v>0.25706666666666667</v>
      </c>
      <c r="I17" s="96">
        <f>0.281-F17</f>
        <v>0.23166666666666669</v>
      </c>
      <c r="J17" s="96">
        <f>0.216-G17</f>
        <v>0.16806666666666667</v>
      </c>
      <c r="K17" s="96">
        <f>0.194-G17</f>
        <v>0.14606666666666668</v>
      </c>
      <c r="L17" s="76">
        <f t="shared" si="0"/>
        <v>2.5184170718530526E-2</v>
      </c>
      <c r="M17" s="76">
        <f t="shared" si="1"/>
        <v>2.3224689357104273E-2</v>
      </c>
      <c r="N17" s="96">
        <f t="shared" si="2"/>
        <v>2.4204430037817401E-2</v>
      </c>
      <c r="O17" s="96">
        <f>'Growth curves CeBER'!F12</f>
        <v>0.34200000000000003</v>
      </c>
      <c r="P17" s="96">
        <f t="shared" si="3"/>
        <v>0.42182280000000005</v>
      </c>
      <c r="Q17" s="97">
        <f t="shared" si="8"/>
        <v>1.7100000000000001E-4</v>
      </c>
      <c r="R17" s="98">
        <f t="shared" si="4"/>
        <v>70.773187245080109</v>
      </c>
      <c r="S17" s="102"/>
      <c r="T17" s="103"/>
      <c r="U17" s="103"/>
      <c r="V17" s="80">
        <f t="shared" si="5"/>
        <v>29.853744008643982</v>
      </c>
      <c r="W17" s="94"/>
      <c r="X17" s="80"/>
      <c r="Y17" s="80"/>
      <c r="Z17" s="80">
        <f t="shared" si="7"/>
        <v>0.24187238407167302</v>
      </c>
      <c r="AA17" s="94"/>
      <c r="AB17" s="101"/>
      <c r="AD17" s="81">
        <f>D41</f>
        <v>312</v>
      </c>
      <c r="AE17" s="80">
        <f>S43</f>
        <v>52.324002353257576</v>
      </c>
      <c r="AF17" s="80">
        <f>U43</f>
        <v>4.6485457419488014</v>
      </c>
      <c r="AG17" s="80">
        <f>W43</f>
        <v>67.221636952998381</v>
      </c>
      <c r="AH17" s="80">
        <f>Y43</f>
        <v>5.6329689032033734</v>
      </c>
    </row>
    <row r="18" spans="1:34" ht="15" customHeight="1" x14ac:dyDescent="0.2">
      <c r="A18" s="58"/>
      <c r="B18" s="207"/>
      <c r="C18" s="204"/>
      <c r="D18" s="219"/>
      <c r="E18" s="104" t="s">
        <v>105</v>
      </c>
      <c r="F18" s="210"/>
      <c r="G18" s="213"/>
      <c r="H18" s="74">
        <f>0.2536-F17</f>
        <v>0.20426666666666665</v>
      </c>
      <c r="I18" s="76">
        <f>0.2751-F17</f>
        <v>0.22576666666666667</v>
      </c>
      <c r="J18" s="76">
        <f>0.1654-G17</f>
        <v>0.11746666666666666</v>
      </c>
      <c r="K18" s="76">
        <f>0.1853-G17</f>
        <v>0.13736666666666666</v>
      </c>
      <c r="L18" s="76">
        <f t="shared" si="0"/>
        <v>2.1588222582387899E-2</v>
      </c>
      <c r="M18" s="76">
        <f t="shared" si="1"/>
        <v>2.3121528903295517E-2</v>
      </c>
      <c r="N18" s="76">
        <f t="shared" si="2"/>
        <v>2.2354875742841708E-2</v>
      </c>
      <c r="O18" s="76">
        <f>'Growth curves CeBER'!G12</f>
        <v>0.38200000000000001</v>
      </c>
      <c r="P18" s="76">
        <f t="shared" si="3"/>
        <v>0.47115880000000004</v>
      </c>
      <c r="Q18" s="77">
        <f t="shared" si="8"/>
        <v>1.9100000000000001E-4</v>
      </c>
      <c r="R18" s="78">
        <f t="shared" si="4"/>
        <v>58.520617127857875</v>
      </c>
      <c r="S18" s="79"/>
      <c r="V18" s="80">
        <f t="shared" si="5"/>
        <v>27.572503741220967</v>
      </c>
      <c r="W18" s="94"/>
      <c r="X18" s="80"/>
      <c r="Y18" s="80"/>
      <c r="Z18" s="80">
        <f>(V18-$V$6)/(D17-$D$5)</f>
        <v>0.22123383151562223</v>
      </c>
      <c r="AA18" s="94"/>
      <c r="AB18" s="101"/>
      <c r="AD18" s="81">
        <f>D44</f>
        <v>336</v>
      </c>
      <c r="AE18" s="80">
        <f>S46</f>
        <v>47.122668135228025</v>
      </c>
      <c r="AF18" s="80">
        <f>U46</f>
        <v>9.8691537715668414</v>
      </c>
      <c r="AG18" s="80">
        <f>W46</f>
        <v>63.068746623446771</v>
      </c>
      <c r="AH18" s="80">
        <f>Y46</f>
        <v>13.61931190507409</v>
      </c>
    </row>
    <row r="19" spans="1:34" ht="15" customHeight="1" x14ac:dyDescent="0.2">
      <c r="A19" s="58"/>
      <c r="B19" s="208"/>
      <c r="C19" s="205"/>
      <c r="D19" s="220"/>
      <c r="E19" s="151" t="s">
        <v>106</v>
      </c>
      <c r="F19" s="211"/>
      <c r="G19" s="214"/>
      <c r="H19" s="83">
        <f>0.288-F17</f>
        <v>0.23866666666666664</v>
      </c>
      <c r="I19" s="85">
        <f>0.2954-F17</f>
        <v>0.24606666666666666</v>
      </c>
      <c r="J19" s="85">
        <f>0.1948-G17</f>
        <v>0.14686666666666667</v>
      </c>
      <c r="K19" s="85">
        <f>0.1994-G17</f>
        <v>0.15146666666666667</v>
      </c>
      <c r="L19" s="76">
        <f t="shared" si="0"/>
        <v>2.4280767152890324E-2</v>
      </c>
      <c r="M19" s="76">
        <f t="shared" si="1"/>
        <v>2.5029065370070228E-2</v>
      </c>
      <c r="N19" s="85">
        <f t="shared" si="2"/>
        <v>2.4654916261480274E-2</v>
      </c>
      <c r="O19" s="85">
        <f>'Growth curves CeBER'!H12</f>
        <v>0.377</v>
      </c>
      <c r="P19" s="85">
        <f t="shared" si="3"/>
        <v>0.46499180000000001</v>
      </c>
      <c r="Q19" s="86">
        <f t="shared" si="8"/>
        <v>1.885E-4</v>
      </c>
      <c r="R19" s="87">
        <f t="shared" si="4"/>
        <v>65.397655865995418</v>
      </c>
      <c r="S19" s="88">
        <f>AVERAGE(R17:R19)</f>
        <v>64.897153412977801</v>
      </c>
      <c r="T19" s="89">
        <f>STDEV(R17:R19)</f>
        <v>6.1415996001424009</v>
      </c>
      <c r="U19" s="89">
        <f>T19/SQRT(3)</f>
        <v>3.5458541823971133</v>
      </c>
      <c r="V19" s="89">
        <f t="shared" si="5"/>
        <v>30.409373716909769</v>
      </c>
      <c r="W19" s="88">
        <f>AVERAGE(V17:V19)</f>
        <v>29.278540488924904</v>
      </c>
      <c r="X19" s="89">
        <f>STDEV(V17:V19)</f>
        <v>1.5033636059064543</v>
      </c>
      <c r="Y19" s="89">
        <f>X19/SQRT(3)</f>
        <v>0.86796738255997796</v>
      </c>
      <c r="Z19" s="89">
        <f>(V19-$V$7)/(D17-$D$5)</f>
        <v>0.22727995143390947</v>
      </c>
      <c r="AA19" s="88">
        <f>AVERAGE(Z17:Z19)</f>
        <v>0.23012872234040158</v>
      </c>
      <c r="AB19" s="95">
        <f>STDEV(Z17:Z19)/SQRT(3)</f>
        <v>6.1257403541796363E-3</v>
      </c>
      <c r="AD19" s="81">
        <f>D47</f>
        <v>361.5</v>
      </c>
      <c r="AE19" s="80">
        <f>S49</f>
        <v>69.388790678049006</v>
      </c>
      <c r="AF19" s="80">
        <f>U49</f>
        <v>4.2562949334228604</v>
      </c>
      <c r="AG19" s="80">
        <f>W49</f>
        <v>98.043422474338186</v>
      </c>
      <c r="AH19" s="80">
        <f>Y49</f>
        <v>4.3218588892713452</v>
      </c>
    </row>
    <row r="20" spans="1:34" x14ac:dyDescent="0.2">
      <c r="A20" s="58"/>
      <c r="B20" s="206" t="s">
        <v>28</v>
      </c>
      <c r="C20" s="203">
        <v>0.41666666666666669</v>
      </c>
      <c r="D20" s="218">
        <f>24+D17</f>
        <v>120</v>
      </c>
      <c r="E20" s="104" t="s">
        <v>104</v>
      </c>
      <c r="F20" s="209">
        <f>(0.0435+0.0441+0.0503)/3</f>
        <v>4.5966666666666663E-2</v>
      </c>
      <c r="G20" s="212">
        <f>(0.0432+0.0439+0.0501)/3</f>
        <v>4.5733333333333341E-2</v>
      </c>
      <c r="H20" s="74">
        <f>0.3504-F20</f>
        <v>0.30443333333333333</v>
      </c>
      <c r="I20" s="76">
        <f>0.3167-F20</f>
        <v>0.27073333333333333</v>
      </c>
      <c r="J20" s="76">
        <f>0.2304-G20</f>
        <v>0.18466666666666665</v>
      </c>
      <c r="K20" s="76">
        <f>0.202-G20</f>
        <v>0.15626666666666666</v>
      </c>
      <c r="L20" s="76">
        <f t="shared" si="0"/>
        <v>3.1233387358184768E-2</v>
      </c>
      <c r="M20" s="76">
        <f t="shared" si="1"/>
        <v>2.8556239870340359E-2</v>
      </c>
      <c r="N20" s="76">
        <f t="shared" si="2"/>
        <v>2.9894813614262564E-2</v>
      </c>
      <c r="O20" s="76">
        <f>'Growth curves CeBER'!F13</f>
        <v>0.42299999999999999</v>
      </c>
      <c r="P20" s="76">
        <f t="shared" si="3"/>
        <v>0.52172819999999998</v>
      </c>
      <c r="Q20" s="77">
        <f t="shared" si="8"/>
        <v>2.1149999999999999E-4</v>
      </c>
      <c r="R20" s="78">
        <f t="shared" si="4"/>
        <v>70.673318237027345</v>
      </c>
      <c r="S20" s="79"/>
      <c r="V20" s="80">
        <f t="shared" si="5"/>
        <v>36.872263111831451</v>
      </c>
      <c r="W20" s="94"/>
      <c r="X20" s="80"/>
      <c r="Y20" s="80"/>
      <c r="Z20" s="80">
        <f t="shared" si="7"/>
        <v>0.25198556645056736</v>
      </c>
      <c r="AA20" s="94"/>
      <c r="AB20" s="101"/>
      <c r="AD20" s="81">
        <f>D50</f>
        <v>386</v>
      </c>
      <c r="AE20" s="80">
        <f>S52</f>
        <v>57.385798229105909</v>
      </c>
      <c r="AF20" s="80">
        <f>U52</f>
        <v>2.7462747041390245</v>
      </c>
      <c r="AG20" s="80">
        <f>W52</f>
        <v>89.672744462452727</v>
      </c>
      <c r="AH20" s="80">
        <f>Y52</f>
        <v>3.8273747255056554</v>
      </c>
    </row>
    <row r="21" spans="1:34" x14ac:dyDescent="0.2">
      <c r="A21" s="58"/>
      <c r="B21" s="207"/>
      <c r="C21" s="204"/>
      <c r="D21" s="219"/>
      <c r="E21" s="104" t="s">
        <v>105</v>
      </c>
      <c r="F21" s="210"/>
      <c r="G21" s="213"/>
      <c r="H21" s="74">
        <f>0.2515-F20</f>
        <v>0.20553333333333335</v>
      </c>
      <c r="I21" s="76">
        <f>0.3352-F20</f>
        <v>0.28923333333333334</v>
      </c>
      <c r="J21" s="76">
        <f>0.167-G20</f>
        <v>0.12126666666666666</v>
      </c>
      <c r="K21" s="76">
        <f>0.2454-G20</f>
        <v>0.19966666666666666</v>
      </c>
      <c r="L21" s="76">
        <f t="shared" si="0"/>
        <v>2.1420907617504058E-2</v>
      </c>
      <c r="M21" s="76">
        <f t="shared" si="1"/>
        <v>2.7299027552674229E-2</v>
      </c>
      <c r="N21" s="76">
        <f t="shared" si="2"/>
        <v>2.4359967585089144E-2</v>
      </c>
      <c r="O21" s="76">
        <f>'Growth curves CeBER'!G13</f>
        <v>0.42599999999999999</v>
      </c>
      <c r="P21" s="76">
        <f t="shared" si="3"/>
        <v>0.52542840000000002</v>
      </c>
      <c r="Q21" s="77">
        <f t="shared" si="8"/>
        <v>2.13E-4</v>
      </c>
      <c r="R21" s="78">
        <f t="shared" si="4"/>
        <v>57.183022500209255</v>
      </c>
      <c r="S21" s="79"/>
      <c r="V21" s="80">
        <f t="shared" si="5"/>
        <v>30.045584019448949</v>
      </c>
      <c r="W21" s="94"/>
      <c r="X21" s="80"/>
      <c r="Y21" s="80"/>
      <c r="Z21" s="80">
        <f>(V21-$V$6)/(D20-$D$5)</f>
        <v>0.19759606753106429</v>
      </c>
      <c r="AA21" s="94"/>
      <c r="AB21" s="101"/>
      <c r="AD21" s="81">
        <f>D53</f>
        <v>409.5</v>
      </c>
      <c r="AE21" s="80">
        <f>S55</f>
        <v>47.710568320025722</v>
      </c>
      <c r="AF21" s="80">
        <f>U55</f>
        <v>2.7502514617564837</v>
      </c>
      <c r="AG21" s="80">
        <f>W55</f>
        <v>74.700567260940034</v>
      </c>
      <c r="AH21" s="80">
        <f>Y55</f>
        <v>6.0453010221337733</v>
      </c>
    </row>
    <row r="22" spans="1:34" x14ac:dyDescent="0.2">
      <c r="A22" s="58"/>
      <c r="B22" s="208"/>
      <c r="C22" s="205"/>
      <c r="D22" s="220"/>
      <c r="E22" s="151" t="s">
        <v>106</v>
      </c>
      <c r="F22" s="211"/>
      <c r="G22" s="214"/>
      <c r="H22" s="74">
        <f>0.2459-F20</f>
        <v>0.19993333333333335</v>
      </c>
      <c r="I22" s="76">
        <f>0.2685-F20</f>
        <v>0.22253333333333336</v>
      </c>
      <c r="J22" s="76">
        <f>0.1621-G20</f>
        <v>0.11636666666666665</v>
      </c>
      <c r="K22" s="76">
        <f>0.1791-G20</f>
        <v>0.13336666666666666</v>
      </c>
      <c r="L22" s="76">
        <f t="shared" si="0"/>
        <v>2.0993760129659648E-2</v>
      </c>
      <c r="M22" s="76">
        <f t="shared" si="1"/>
        <v>2.2989708265802277E-2</v>
      </c>
      <c r="N22" s="76">
        <f t="shared" si="2"/>
        <v>2.1991734197730962E-2</v>
      </c>
      <c r="O22" s="76">
        <f>'Growth curves CeBER'!H13</f>
        <v>0.44</v>
      </c>
      <c r="P22" s="76">
        <f t="shared" si="3"/>
        <v>0.54269600000000007</v>
      </c>
      <c r="Q22" s="77">
        <f t="shared" si="8"/>
        <v>2.2000000000000001E-4</v>
      </c>
      <c r="R22" s="78">
        <f t="shared" si="4"/>
        <v>49.981214085752185</v>
      </c>
      <c r="S22" s="94">
        <f>AVERAGE(R20:R22)</f>
        <v>59.279184940996259</v>
      </c>
      <c r="T22" s="80">
        <f>STDEV(R20:R22)</f>
        <v>10.504104735075195</v>
      </c>
      <c r="U22" s="89">
        <f>T22/SQRT(3)</f>
        <v>6.0645476963916867</v>
      </c>
      <c r="V22" s="89">
        <f t="shared" si="5"/>
        <v>27.124604959481371</v>
      </c>
      <c r="W22" s="88">
        <f>AVERAGE(V20:V22)</f>
        <v>31.347484030253923</v>
      </c>
      <c r="X22" s="89">
        <f>STDEV(V20:V22)</f>
        <v>5.0025411135112003</v>
      </c>
      <c r="Y22" s="89">
        <f>X22/SQRT(3)</f>
        <v>2.8882184585178621</v>
      </c>
      <c r="Z22" s="89">
        <f>(V22-$V$7)/(D20-$D$5)</f>
        <v>0.15445088816855759</v>
      </c>
      <c r="AA22" s="88">
        <f>AVERAGE(Z20:Z22)</f>
        <v>0.20134417405006308</v>
      </c>
      <c r="AB22" s="95">
        <f>STDEV(Z20:Z22)/SQRT(3)</f>
        <v>2.8218135975244196E-2</v>
      </c>
      <c r="AD22" s="81"/>
      <c r="AE22" s="80"/>
      <c r="AF22" s="80"/>
      <c r="AG22" s="80"/>
      <c r="AH22" s="80"/>
    </row>
    <row r="23" spans="1:34" x14ac:dyDescent="0.2">
      <c r="A23" s="58"/>
      <c r="B23" s="206" t="s">
        <v>29</v>
      </c>
      <c r="C23" s="203">
        <v>0.41666666666666669</v>
      </c>
      <c r="D23" s="218">
        <f>24+D20</f>
        <v>144</v>
      </c>
      <c r="E23" s="104" t="s">
        <v>104</v>
      </c>
      <c r="F23" s="209">
        <f>(0.0423+0.0501)/2</f>
        <v>4.6199999999999998E-2</v>
      </c>
      <c r="G23" s="212">
        <f>(0.0402+0.0474)/2</f>
        <v>4.3799999999999999E-2</v>
      </c>
      <c r="H23" s="92">
        <f>0.2059-F23</f>
        <v>0.15970000000000001</v>
      </c>
      <c r="I23" s="96">
        <f>0.2586-F23</f>
        <v>0.21240000000000001</v>
      </c>
      <c r="J23" s="96">
        <f>0.155-G23</f>
        <v>0.11119999999999999</v>
      </c>
      <c r="K23" s="96">
        <f>0.207-G23</f>
        <v>0.16319999999999998</v>
      </c>
      <c r="L23" s="76">
        <f t="shared" si="0"/>
        <v>1.4979578606158837E-2</v>
      </c>
      <c r="M23" s="76">
        <f t="shared" si="1"/>
        <v>1.8422042139384118E-2</v>
      </c>
      <c r="N23" s="96">
        <f t="shared" si="2"/>
        <v>1.6700810372771477E-2</v>
      </c>
      <c r="O23" s="96">
        <f>'Growth curves CeBER'!F14</f>
        <v>0.49199999999999999</v>
      </c>
      <c r="P23" s="96">
        <f t="shared" si="3"/>
        <v>0.60683280000000006</v>
      </c>
      <c r="Q23" s="97">
        <f>O23*0.25/1000</f>
        <v>1.2300000000000001E-4</v>
      </c>
      <c r="R23" s="98">
        <f t="shared" si="4"/>
        <v>67.889473060046654</v>
      </c>
      <c r="S23" s="102"/>
      <c r="T23" s="103"/>
      <c r="U23" s="103"/>
      <c r="V23" s="80">
        <f t="shared" si="5"/>
        <v>41.197559027552686</v>
      </c>
      <c r="W23" s="94"/>
      <c r="X23" s="80"/>
      <c r="Y23" s="80"/>
      <c r="Z23" s="80">
        <f t="shared" si="7"/>
        <v>0.240024749234648</v>
      </c>
      <c r="AA23" s="94"/>
      <c r="AB23" s="101"/>
      <c r="AC23" s="80"/>
      <c r="AD23" s="80"/>
      <c r="AE23" s="80"/>
    </row>
    <row r="24" spans="1:34" x14ac:dyDescent="0.2">
      <c r="A24" s="58"/>
      <c r="B24" s="207"/>
      <c r="C24" s="204"/>
      <c r="D24" s="219"/>
      <c r="E24" s="104" t="s">
        <v>105</v>
      </c>
      <c r="F24" s="210"/>
      <c r="G24" s="213"/>
      <c r="H24" s="74">
        <f>0.2387-F23</f>
        <v>0.1925</v>
      </c>
      <c r="I24" s="76">
        <f>0.254-F23</f>
        <v>0.20780000000000001</v>
      </c>
      <c r="J24" s="76">
        <f>0.1923-G23</f>
        <v>0.14849999999999999</v>
      </c>
      <c r="K24" s="76">
        <f>0.2079-G23</f>
        <v>0.1641</v>
      </c>
      <c r="L24" s="76">
        <f t="shared" si="0"/>
        <v>1.663816855753647E-2</v>
      </c>
      <c r="M24" s="76">
        <f t="shared" si="1"/>
        <v>1.7588249594813619E-2</v>
      </c>
      <c r="N24" s="76">
        <f t="shared" si="2"/>
        <v>1.7113209076175043E-2</v>
      </c>
      <c r="O24" s="76">
        <f>'Growth curves CeBER'!G14</f>
        <v>0.51900000000000002</v>
      </c>
      <c r="P24" s="76">
        <f t="shared" si="3"/>
        <v>0.6401346</v>
      </c>
      <c r="Q24" s="77">
        <f>O24*0.25/1000</f>
        <v>1.2975000000000001E-4</v>
      </c>
      <c r="R24" s="78">
        <f t="shared" si="4"/>
        <v>65.946855784874913</v>
      </c>
      <c r="S24" s="79"/>
      <c r="V24" s="80">
        <f t="shared" si="5"/>
        <v>42.214864149108585</v>
      </c>
      <c r="W24" s="94"/>
      <c r="X24" s="80"/>
      <c r="Y24" s="80"/>
      <c r="Z24" s="80">
        <f>(V24-$V$7)/(D23-$D$5)</f>
        <v>0.23350254006843141</v>
      </c>
      <c r="AA24" s="94"/>
      <c r="AB24" s="101"/>
      <c r="AC24" s="80"/>
      <c r="AD24" s="80"/>
      <c r="AE24" s="80"/>
    </row>
    <row r="25" spans="1:34" x14ac:dyDescent="0.2">
      <c r="A25" s="58"/>
      <c r="B25" s="208"/>
      <c r="C25" s="205"/>
      <c r="D25" s="220"/>
      <c r="E25" s="151" t="s">
        <v>106</v>
      </c>
      <c r="F25" s="211"/>
      <c r="G25" s="214"/>
      <c r="H25" s="74">
        <f>0.1958-F23</f>
        <v>0.14960000000000001</v>
      </c>
      <c r="I25" s="76">
        <f>0.1911-F23</f>
        <v>0.1449</v>
      </c>
      <c r="J25" s="76">
        <f>0.1333-G23</f>
        <v>8.9499999999999996E-2</v>
      </c>
      <c r="K25" s="76">
        <f>0.1278-G23</f>
        <v>8.3999999999999991E-2</v>
      </c>
      <c r="L25" s="76">
        <f t="shared" si="0"/>
        <v>1.5470421393841171E-2</v>
      </c>
      <c r="M25" s="76">
        <f t="shared" si="1"/>
        <v>1.5247974068071315E-2</v>
      </c>
      <c r="N25" s="76">
        <f t="shared" si="2"/>
        <v>1.5359197730956243E-2</v>
      </c>
      <c r="O25" s="76">
        <f>'Growth curves CeBER'!H14</f>
        <v>0.53700000000000003</v>
      </c>
      <c r="P25" s="76">
        <f t="shared" si="3"/>
        <v>0.66233580000000003</v>
      </c>
      <c r="Q25" s="77">
        <f>O25*0.25/1000</f>
        <v>1.3425000000000001E-4</v>
      </c>
      <c r="R25" s="78">
        <f t="shared" si="4"/>
        <v>57.203715943971105</v>
      </c>
      <c r="S25" s="94">
        <f>AVERAGE(R23:R25)</f>
        <v>63.680014929630893</v>
      </c>
      <c r="T25" s="80">
        <f>STDEV(R23:R25)</f>
        <v>5.6921241099603934</v>
      </c>
      <c r="U25" s="89">
        <f>T25/SQRT(3)</f>
        <v>3.2863493871463922</v>
      </c>
      <c r="V25" s="89">
        <f t="shared" si="5"/>
        <v>37.888068962722862</v>
      </c>
      <c r="W25" s="88">
        <f>AVERAGE(V23:V25)</f>
        <v>40.433497379794709</v>
      </c>
      <c r="X25" s="89">
        <f>STDEV(V23:V25)</f>
        <v>2.2623288437832465</v>
      </c>
      <c r="Y25" s="89">
        <f>X25/SQRT(3)</f>
        <v>1.3061561669537123</v>
      </c>
      <c r="Z25" s="89">
        <f>(V25-$V$7)/(D23-$D$5)</f>
        <v>0.20345535127408612</v>
      </c>
      <c r="AA25" s="88">
        <f>AVERAGE(Z23:Z25)</f>
        <v>0.2256608801923885</v>
      </c>
      <c r="AB25" s="95">
        <f>STDEV(Z23:Z25)/SQRT(3)</f>
        <v>1.1261274927942851E-2</v>
      </c>
    </row>
    <row r="26" spans="1:34" x14ac:dyDescent="0.2">
      <c r="A26" s="58"/>
      <c r="B26" s="206" t="s">
        <v>30</v>
      </c>
      <c r="C26" s="203">
        <v>0.41666666666666669</v>
      </c>
      <c r="D26" s="218">
        <f>24+D23</f>
        <v>168</v>
      </c>
      <c r="E26" s="104" t="s">
        <v>104</v>
      </c>
      <c r="F26" s="209">
        <f>(0.0379+0.0475)/2</f>
        <v>4.2700000000000002E-2</v>
      </c>
      <c r="G26" s="212">
        <f>(0.0375+0.0463)/2</f>
        <v>4.19E-2</v>
      </c>
      <c r="H26" s="92">
        <f>0.126-F26</f>
        <v>8.3299999999999999E-2</v>
      </c>
      <c r="I26" s="96">
        <f>0.1771-F26</f>
        <v>0.13440000000000002</v>
      </c>
      <c r="J26" s="96">
        <f>0.0883-G26</f>
        <v>4.6400000000000004E-2</v>
      </c>
      <c r="K26" s="96">
        <f>0.1395-G26</f>
        <v>9.760000000000002E-2</v>
      </c>
      <c r="L26" s="76">
        <f t="shared" si="0"/>
        <v>8.9510534846029173E-3</v>
      </c>
      <c r="M26" s="76">
        <f t="shared" si="1"/>
        <v>1.2212641815235009E-2</v>
      </c>
      <c r="N26" s="96">
        <f t="shared" si="2"/>
        <v>1.0581847649918964E-2</v>
      </c>
      <c r="O26" s="96">
        <f>'Growth curves CeBER'!F15</f>
        <v>0.57699999999999996</v>
      </c>
      <c r="P26" s="96">
        <f t="shared" si="3"/>
        <v>0.71167179999999997</v>
      </c>
      <c r="Q26" s="97">
        <f t="shared" ref="Q26:Q31" si="9">P26*0.125/1000</f>
        <v>8.8958974999999991E-5</v>
      </c>
      <c r="R26" s="98">
        <f t="shared" si="4"/>
        <v>59.47599806494491</v>
      </c>
      <c r="S26" s="102"/>
      <c r="T26" s="103"/>
      <c r="U26" s="103"/>
      <c r="V26" s="80">
        <f t="shared" si="5"/>
        <v>42.327390599675859</v>
      </c>
      <c r="W26" s="94"/>
      <c r="X26" s="80"/>
      <c r="Y26" s="80"/>
      <c r="Z26" s="80">
        <f t="shared" si="7"/>
        <v>0.21246068727328862</v>
      </c>
      <c r="AA26" s="94"/>
      <c r="AB26" s="101"/>
    </row>
    <row r="27" spans="1:34" x14ac:dyDescent="0.2">
      <c r="A27" s="58"/>
      <c r="B27" s="207"/>
      <c r="C27" s="204"/>
      <c r="D27" s="219"/>
      <c r="E27" s="104" t="s">
        <v>105</v>
      </c>
      <c r="F27" s="210"/>
      <c r="G27" s="213"/>
      <c r="H27" s="74">
        <f>0.1398-F26</f>
        <v>9.7100000000000006E-2</v>
      </c>
      <c r="I27" s="76">
        <f>0.1362-F26</f>
        <v>9.3499999999999986E-2</v>
      </c>
      <c r="J27" s="76">
        <f>0.1044-G26</f>
        <v>6.25E-2</v>
      </c>
      <c r="K27" s="76">
        <f>0.099-G26</f>
        <v>5.7100000000000005E-2</v>
      </c>
      <c r="L27" s="76">
        <f t="shared" si="0"/>
        <v>9.6089951377633723E-3</v>
      </c>
      <c r="M27" s="76">
        <f t="shared" si="1"/>
        <v>9.5550243111831423E-3</v>
      </c>
      <c r="N27" s="76">
        <f t="shared" si="2"/>
        <v>9.5820097244732581E-3</v>
      </c>
      <c r="O27" s="76">
        <f>'Growth curves CeBER'!G15</f>
        <v>0.57299999999999995</v>
      </c>
      <c r="P27" s="76">
        <f t="shared" si="3"/>
        <v>0.70673819999999998</v>
      </c>
      <c r="Q27" s="77">
        <f t="shared" si="9"/>
        <v>8.8342275000000001E-5</v>
      </c>
      <c r="R27" s="78">
        <f t="shared" si="4"/>
        <v>54.232301151816941</v>
      </c>
      <c r="S27" s="79"/>
      <c r="V27" s="80">
        <f t="shared" si="5"/>
        <v>38.32803889789303</v>
      </c>
      <c r="W27" s="94"/>
      <c r="X27" s="80"/>
      <c r="Y27" s="80"/>
      <c r="Z27" s="80">
        <f>(V27-$V$6)/(D26-$D$5)</f>
        <v>0.19044037489387977</v>
      </c>
      <c r="AA27" s="94"/>
      <c r="AB27" s="101"/>
    </row>
    <row r="28" spans="1:34" x14ac:dyDescent="0.2">
      <c r="A28" s="58"/>
      <c r="B28" s="208"/>
      <c r="C28" s="205"/>
      <c r="D28" s="220"/>
      <c r="E28" s="151" t="s">
        <v>106</v>
      </c>
      <c r="F28" s="211"/>
      <c r="G28" s="214"/>
      <c r="H28" s="74">
        <f>0.1321-F26</f>
        <v>8.9399999999999993E-2</v>
      </c>
      <c r="I28" s="76">
        <f>0.1341-F26</f>
        <v>9.1399999999999995E-2</v>
      </c>
      <c r="J28" s="76">
        <f>0.0902-G26</f>
        <v>4.8300000000000003E-2</v>
      </c>
      <c r="K28" s="76">
        <f>0.0938-G26</f>
        <v>5.1899999999999995E-2</v>
      </c>
      <c r="L28" s="76">
        <f t="shared" si="0"/>
        <v>9.7534035656401934E-3</v>
      </c>
      <c r="M28" s="76">
        <f t="shared" si="1"/>
        <v>9.7245542949756878E-3</v>
      </c>
      <c r="N28" s="76">
        <f t="shared" si="2"/>
        <v>9.7389789303079406E-3</v>
      </c>
      <c r="O28" s="76">
        <f>'Growth curves CeBER'!H15</f>
        <v>0.59899999999999998</v>
      </c>
      <c r="P28" s="76">
        <f t="shared" si="3"/>
        <v>0.73880659999999998</v>
      </c>
      <c r="Q28" s="77">
        <f t="shared" si="9"/>
        <v>9.2350824999999992E-5</v>
      </c>
      <c r="R28" s="78">
        <f t="shared" si="4"/>
        <v>52.728164205939372</v>
      </c>
      <c r="S28" s="94">
        <f>AVERAGE(R26:R28)</f>
        <v>55.478821140900408</v>
      </c>
      <c r="T28" s="80">
        <f>STDEV(R26:R28)</f>
        <v>3.5424108329743289</v>
      </c>
      <c r="U28" s="89">
        <f>T28/SQRT(3)</f>
        <v>2.0452118479979755</v>
      </c>
      <c r="V28" s="89">
        <f t="shared" si="5"/>
        <v>38.955915721231769</v>
      </c>
      <c r="W28" s="88">
        <f>AVERAGE(V26:V28)</f>
        <v>39.870448406266888</v>
      </c>
      <c r="X28" s="89">
        <f>STDEV(V26:V28)</f>
        <v>2.1508093901218803</v>
      </c>
      <c r="Y28" s="89">
        <f>X28/SQRT(3)</f>
        <v>1.2417703803624425</v>
      </c>
      <c r="Z28" s="89">
        <f>(V28-$V$7)/(D26-$D$5)</f>
        <v>0.18074653179748398</v>
      </c>
      <c r="AA28" s="88">
        <f>AVERAGE(Z26:Z28)</f>
        <v>0.19454919798821746</v>
      </c>
      <c r="AB28" s="95">
        <f>STDEV(Z26:Z28)/SQRT(3)</f>
        <v>9.3827631822276363E-3</v>
      </c>
    </row>
    <row r="29" spans="1:34" x14ac:dyDescent="0.2">
      <c r="A29" s="58"/>
      <c r="B29" s="206" t="s">
        <v>31</v>
      </c>
      <c r="C29" s="203">
        <v>0.41666666666666669</v>
      </c>
      <c r="D29" s="215">
        <f>24+D26</f>
        <v>192</v>
      </c>
      <c r="E29" s="104" t="s">
        <v>104</v>
      </c>
      <c r="F29" s="209">
        <f>(0.0433+0.0489+0.0503)/3</f>
        <v>4.7500000000000007E-2</v>
      </c>
      <c r="G29" s="212">
        <f>(0.0414+0.0468+0.0487)/3</f>
        <v>4.5633333333333331E-2</v>
      </c>
      <c r="H29" s="92">
        <f>0.1471-F29</f>
        <v>9.9599999999999994E-2</v>
      </c>
      <c r="I29" s="96">
        <f>0.1512-F29</f>
        <v>0.10369999999999999</v>
      </c>
      <c r="J29" s="96">
        <f>0.1088-G29</f>
        <v>6.3166666666666663E-2</v>
      </c>
      <c r="K29" s="96">
        <f>0.1132-G29</f>
        <v>6.7566666666666664E-2</v>
      </c>
      <c r="L29" s="76">
        <f t="shared" si="0"/>
        <v>9.9488114532685027E-3</v>
      </c>
      <c r="M29" s="76">
        <f t="shared" si="1"/>
        <v>1.0181874662344676E-2</v>
      </c>
      <c r="N29" s="96">
        <f t="shared" si="2"/>
        <v>1.006534305780659E-2</v>
      </c>
      <c r="O29" s="96">
        <f>'Growth curves CeBER'!F16</f>
        <v>0.68500000000000005</v>
      </c>
      <c r="P29" s="96">
        <f t="shared" si="3"/>
        <v>0.84487900000000005</v>
      </c>
      <c r="Q29" s="97">
        <f t="shared" si="9"/>
        <v>1.0560987500000001E-4</v>
      </c>
      <c r="R29" s="98">
        <f t="shared" si="4"/>
        <v>47.653418100374559</v>
      </c>
      <c r="S29" s="102"/>
      <c r="T29" s="103"/>
      <c r="U29" s="103"/>
      <c r="V29" s="80">
        <f t="shared" si="5"/>
        <v>40.26137223122636</v>
      </c>
      <c r="W29" s="94"/>
      <c r="X29" s="80"/>
      <c r="Y29" s="80"/>
      <c r="Z29" s="80">
        <f t="shared" si="7"/>
        <v>0.17514258902845306</v>
      </c>
      <c r="AA29" s="94"/>
      <c r="AB29" s="101"/>
    </row>
    <row r="30" spans="1:34" x14ac:dyDescent="0.2">
      <c r="A30" s="58"/>
      <c r="B30" s="207"/>
      <c r="C30" s="204"/>
      <c r="D30" s="216"/>
      <c r="E30" s="104" t="s">
        <v>105</v>
      </c>
      <c r="F30" s="210"/>
      <c r="G30" s="213"/>
      <c r="H30" s="74">
        <f>0.1452-F29</f>
        <v>9.7699999999999981E-2</v>
      </c>
      <c r="I30" s="76">
        <f>0.1872-F29</f>
        <v>0.13969999999999999</v>
      </c>
      <c r="J30" s="76">
        <f>0.1005-G29</f>
        <v>5.4866666666666675E-2</v>
      </c>
      <c r="K30" s="76">
        <f>0.1404-G29</f>
        <v>9.4766666666666666E-2</v>
      </c>
      <c r="L30" s="76">
        <f t="shared" si="0"/>
        <v>1.0454727174500265E-2</v>
      </c>
      <c r="M30" s="76">
        <f t="shared" si="1"/>
        <v>1.3349459751485682E-2</v>
      </c>
      <c r="N30" s="76">
        <f t="shared" si="2"/>
        <v>1.1902093462992973E-2</v>
      </c>
      <c r="O30" s="76">
        <f>'Growth curves CeBER'!G16</f>
        <v>0.67400000000000004</v>
      </c>
      <c r="P30" s="76">
        <f t="shared" si="3"/>
        <v>0.83131160000000004</v>
      </c>
      <c r="Q30" s="77">
        <f t="shared" si="9"/>
        <v>1.0391395E-4</v>
      </c>
      <c r="R30" s="78">
        <f t="shared" si="4"/>
        <v>57.26898776821097</v>
      </c>
      <c r="S30" s="79"/>
      <c r="V30" s="80">
        <f t="shared" si="5"/>
        <v>47.608373851971891</v>
      </c>
      <c r="W30" s="94"/>
      <c r="X30" s="80"/>
      <c r="Y30" s="80"/>
      <c r="Z30" s="80">
        <f>(V30-$V$6)/(D29-$D$5)</f>
        <v>0.2149704059179722</v>
      </c>
      <c r="AA30" s="94"/>
      <c r="AB30" s="101"/>
    </row>
    <row r="31" spans="1:34" x14ac:dyDescent="0.2">
      <c r="A31" s="58"/>
      <c r="B31" s="208"/>
      <c r="C31" s="205"/>
      <c r="D31" s="217"/>
      <c r="E31" s="151" t="s">
        <v>106</v>
      </c>
      <c r="F31" s="211"/>
      <c r="G31" s="214"/>
      <c r="H31" s="74">
        <f>0.147-F29</f>
        <v>9.9499999999999977E-2</v>
      </c>
      <c r="I31" s="76">
        <f>0.1438-F29</f>
        <v>9.6299999999999997E-2</v>
      </c>
      <c r="J31" s="76">
        <f>0.0972-G29</f>
        <v>5.1566666666666663E-2</v>
      </c>
      <c r="K31" s="76">
        <f>0.0948-G29</f>
        <v>4.9166666666666664E-2</v>
      </c>
      <c r="L31" s="76">
        <f t="shared" si="0"/>
        <v>1.1070043219881143E-2</v>
      </c>
      <c r="M31" s="76">
        <f t="shared" si="1"/>
        <v>1.0786736898973527E-2</v>
      </c>
      <c r="N31" s="76">
        <f t="shared" si="2"/>
        <v>1.0928390059427334E-2</v>
      </c>
      <c r="O31" s="76">
        <f>'Growth curves CeBER'!H16</f>
        <v>0.67500000000000004</v>
      </c>
      <c r="P31" s="76">
        <f t="shared" si="3"/>
        <v>0.83254500000000009</v>
      </c>
      <c r="Q31" s="77">
        <f t="shared" si="9"/>
        <v>1.0406812500000001E-4</v>
      </c>
      <c r="R31" s="78">
        <f t="shared" si="4"/>
        <v>52.505942907241447</v>
      </c>
      <c r="S31" s="94">
        <f>AVERAGE(R29:R31)</f>
        <v>52.47611625860899</v>
      </c>
      <c r="T31" s="80">
        <f>STDEV(R29:R31)</f>
        <v>4.8078542231415868</v>
      </c>
      <c r="U31" s="89">
        <f>T31/SQRT(3)</f>
        <v>2.7758159299552743</v>
      </c>
      <c r="V31" s="89">
        <f t="shared" si="5"/>
        <v>43.713560237709338</v>
      </c>
      <c r="W31" s="88">
        <f>AVERAGE(V29:V31)</f>
        <v>43.861102106969192</v>
      </c>
      <c r="X31" s="89">
        <f>STDEV(V29:V31)</f>
        <v>3.6757223312157135</v>
      </c>
      <c r="Y31" s="89">
        <f>X31/SQRT(3)</f>
        <v>2.1221792773937111</v>
      </c>
      <c r="Z31" s="89">
        <f>(V31-$V$7)/(D29-$D$5)</f>
        <v>0.18293261384611914</v>
      </c>
      <c r="AA31" s="88">
        <f>AVERAGE(Z29:Z31)</f>
        <v>0.19101520293084814</v>
      </c>
      <c r="AB31" s="95">
        <f>STDEV(Z29:Z31)/SQRT(3)</f>
        <v>1.2186877290494363E-2</v>
      </c>
    </row>
    <row r="32" spans="1:34" x14ac:dyDescent="0.2">
      <c r="A32" s="58"/>
      <c r="B32" s="206" t="s">
        <v>32</v>
      </c>
      <c r="C32" s="203">
        <v>0.41666666666666669</v>
      </c>
      <c r="D32" s="215">
        <f>24+D29</f>
        <v>216</v>
      </c>
      <c r="E32" s="104" t="s">
        <v>104</v>
      </c>
      <c r="F32" s="209">
        <f>(0.0494+0.0498)/2</f>
        <v>4.9599999999999998E-2</v>
      </c>
      <c r="G32" s="212">
        <f>(0.0475+0.0482)/2</f>
        <v>4.7850000000000004E-2</v>
      </c>
      <c r="H32" s="92">
        <f>0.1655-F32</f>
        <v>0.1159</v>
      </c>
      <c r="I32" s="96">
        <f>0.1514-F32</f>
        <v>0.1018</v>
      </c>
      <c r="J32" s="96">
        <f>0.1307-G32</f>
        <v>8.2850000000000007E-2</v>
      </c>
      <c r="K32" s="96">
        <f>0.1165-G32</f>
        <v>6.8650000000000003E-2</v>
      </c>
      <c r="L32" s="76">
        <f>(H32-(0.605*J32))/6.17</f>
        <v>1.0660575364667746E-2</v>
      </c>
      <c r="M32" s="76">
        <f>(I32-(0.605*K32))/6.17</f>
        <v>9.767706645056726E-3</v>
      </c>
      <c r="N32" s="96">
        <f t="shared" si="2"/>
        <v>1.0214141004862235E-2</v>
      </c>
      <c r="O32" s="96">
        <f>'Growth curves CeBER'!F17</f>
        <v>0.75900000000000001</v>
      </c>
      <c r="P32" s="96">
        <f t="shared" si="3"/>
        <v>0.93615060000000005</v>
      </c>
      <c r="Q32" s="97">
        <f t="shared" ref="Q32:Q34" si="10">P32*0.1/1000</f>
        <v>9.3615060000000008E-5</v>
      </c>
      <c r="R32" s="98">
        <f t="shared" si="4"/>
        <v>54.553941453769482</v>
      </c>
      <c r="S32" s="102"/>
      <c r="T32" s="103"/>
      <c r="U32" s="103"/>
      <c r="V32" s="80">
        <f t="shared" si="5"/>
        <v>51.070705024311174</v>
      </c>
      <c r="W32" s="94"/>
      <c r="X32" s="80"/>
      <c r="Y32" s="80"/>
      <c r="Z32" s="80">
        <f t="shared" si="7"/>
        <v>0.2057255087340176</v>
      </c>
      <c r="AA32" s="94"/>
      <c r="AB32" s="101"/>
    </row>
    <row r="33" spans="1:28" x14ac:dyDescent="0.2">
      <c r="A33" s="58"/>
      <c r="B33" s="207"/>
      <c r="C33" s="204"/>
      <c r="D33" s="216"/>
      <c r="E33" s="104" t="s">
        <v>105</v>
      </c>
      <c r="F33" s="210"/>
      <c r="G33" s="213"/>
      <c r="H33" s="74">
        <f>0.146-F32</f>
        <v>9.6399999999999986E-2</v>
      </c>
      <c r="I33" s="76">
        <f>0.1763-F32</f>
        <v>0.12670000000000001</v>
      </c>
      <c r="J33" s="76">
        <f>0.117-G32</f>
        <v>6.9150000000000003E-2</v>
      </c>
      <c r="K33" s="76">
        <f>0.1465-G32</f>
        <v>9.8649999999999988E-2</v>
      </c>
      <c r="L33" s="76">
        <f t="shared" ref="L33:L54" si="11">(H33-(0.605*J33))/6.17</f>
        <v>8.8434764991896248E-3</v>
      </c>
      <c r="M33" s="76">
        <f t="shared" ref="M33:M54" si="12">(I33-(0.605*K33))/6.17</f>
        <v>1.0861709886547815E-2</v>
      </c>
      <c r="N33" s="76">
        <f t="shared" si="2"/>
        <v>9.8525931928687208E-3</v>
      </c>
      <c r="O33" s="76">
        <f>'Growth curves CeBER'!G17</f>
        <v>0.73199999999999998</v>
      </c>
      <c r="P33" s="76">
        <f t="shared" si="3"/>
        <v>0.90284880000000001</v>
      </c>
      <c r="Q33" s="77">
        <f t="shared" si="10"/>
        <v>9.0284880000000012E-5</v>
      </c>
      <c r="R33" s="78">
        <f t="shared" si="4"/>
        <v>54.563915867577826</v>
      </c>
      <c r="S33" s="79"/>
      <c r="V33" s="80">
        <f t="shared" si="5"/>
        <v>49.2629659643436</v>
      </c>
      <c r="W33" s="94"/>
      <c r="X33" s="80"/>
      <c r="Y33" s="80"/>
      <c r="Z33" s="80">
        <f>(V33-$V$6)/(D32-$D$5)</f>
        <v>0.19874495392880728</v>
      </c>
      <c r="AA33" s="94"/>
      <c r="AB33" s="101"/>
    </row>
    <row r="34" spans="1:28" x14ac:dyDescent="0.2">
      <c r="A34" s="58"/>
      <c r="B34" s="208"/>
      <c r="C34" s="205"/>
      <c r="D34" s="217"/>
      <c r="E34" s="151" t="s">
        <v>106</v>
      </c>
      <c r="F34" s="211"/>
      <c r="G34" s="214"/>
      <c r="H34" s="74">
        <f>0.1515-F32</f>
        <v>0.10189999999999999</v>
      </c>
      <c r="I34" s="76"/>
      <c r="J34" s="76">
        <f>0.1257-G32</f>
        <v>7.7850000000000003E-2</v>
      </c>
      <c r="K34" s="76"/>
      <c r="L34" s="76">
        <f t="shared" si="11"/>
        <v>8.8818071312803878E-3</v>
      </c>
      <c r="M34" s="76">
        <f t="shared" si="12"/>
        <v>0</v>
      </c>
      <c r="N34" s="76">
        <f t="shared" si="2"/>
        <v>4.4409035656401939E-3</v>
      </c>
      <c r="O34" s="76">
        <f>'Growth curves CeBER'!H17</f>
        <v>0.78900000000000003</v>
      </c>
      <c r="P34" s="76">
        <f t="shared" si="3"/>
        <v>0.97315260000000003</v>
      </c>
      <c r="Q34" s="77">
        <f t="shared" si="10"/>
        <v>9.7315260000000017E-5</v>
      </c>
      <c r="R34" s="78">
        <f t="shared" si="4"/>
        <v>22.817097573598392</v>
      </c>
      <c r="S34" s="94">
        <f>AVERAGE(R32:R34)</f>
        <v>43.978318298315237</v>
      </c>
      <c r="T34" s="80">
        <f>STDEV(R32:R34)</f>
        <v>18.326155401293818</v>
      </c>
      <c r="U34" s="89">
        <f>T34/SQRT(3)</f>
        <v>10.5806107541479</v>
      </c>
      <c r="V34" s="89">
        <f t="shared" si="5"/>
        <v>22.204517828200967</v>
      </c>
      <c r="W34" s="88">
        <f>AVERAGE(V32:V34)</f>
        <v>40.84606293895191</v>
      </c>
      <c r="X34" s="89">
        <f>STDEV(V32:V34)</f>
        <v>16.169334655895874</v>
      </c>
      <c r="Y34" s="89">
        <f>X34/SQRT(3)</f>
        <v>9.3353697161986275</v>
      </c>
      <c r="Z34" s="89">
        <f>(V34-$V$7)/(D32-$D$5)</f>
        <v>6.3027867819196795E-2</v>
      </c>
      <c r="AA34" s="88">
        <f>AVERAGE(Z32:Z34)</f>
        <v>0.15583277682734056</v>
      </c>
      <c r="AB34" s="95">
        <f>STDEV(Z32:Z34)/SQRT(3)</f>
        <v>4.6446188894083022E-2</v>
      </c>
    </row>
    <row r="35" spans="1:28" x14ac:dyDescent="0.2">
      <c r="A35" s="58"/>
      <c r="B35" s="206" t="s">
        <v>33</v>
      </c>
      <c r="C35" s="203">
        <v>0.41666666666666669</v>
      </c>
      <c r="D35" s="215">
        <f>48+D32</f>
        <v>264</v>
      </c>
      <c r="E35" s="104" t="s">
        <v>104</v>
      </c>
      <c r="F35" s="209">
        <f>(0.039+0.0502)/2</f>
        <v>4.4600000000000001E-2</v>
      </c>
      <c r="G35" s="212">
        <f>(0.0378+0.0486)/2</f>
        <v>4.3200000000000002E-2</v>
      </c>
      <c r="H35" s="92">
        <f>0.1816-F35</f>
        <v>0.13700000000000001</v>
      </c>
      <c r="I35" s="96">
        <f>0.2054-F35</f>
        <v>0.1608</v>
      </c>
      <c r="J35" s="96">
        <f>0.1414-G35</f>
        <v>9.8199999999999996E-2</v>
      </c>
      <c r="K35" s="96">
        <f>0.165-G35</f>
        <v>0.12180000000000001</v>
      </c>
      <c r="L35" s="76">
        <f t="shared" si="11"/>
        <v>1.2575202593192872E-2</v>
      </c>
      <c r="M35" s="76">
        <f t="shared" si="12"/>
        <v>1.4118476499189627E-2</v>
      </c>
      <c r="N35" s="96">
        <f t="shared" si="2"/>
        <v>1.3346839546191249E-2</v>
      </c>
      <c r="O35" s="96">
        <f>'Growth curves CeBER'!F18</f>
        <v>0.84799999999999998</v>
      </c>
      <c r="P35" s="96">
        <f t="shared" si="3"/>
        <v>1.0459232000000001</v>
      </c>
      <c r="Q35" s="97">
        <f t="shared" ref="Q35:Q55" si="13">P35*0.1/1000</f>
        <v>1.0459232000000001E-4</v>
      </c>
      <c r="R35" s="98">
        <f t="shared" si="4"/>
        <v>63.80410887812436</v>
      </c>
      <c r="S35" s="102"/>
      <c r="T35" s="103"/>
      <c r="U35" s="103"/>
      <c r="V35" s="80">
        <f t="shared" si="5"/>
        <v>66.73419773095624</v>
      </c>
      <c r="W35" s="94"/>
      <c r="X35" s="80"/>
      <c r="Y35" s="80"/>
      <c r="Z35" s="80">
        <f t="shared" si="7"/>
        <v>0.227652282549973</v>
      </c>
      <c r="AA35" s="94"/>
      <c r="AB35" s="101"/>
    </row>
    <row r="36" spans="1:28" x14ac:dyDescent="0.2">
      <c r="A36" s="58"/>
      <c r="B36" s="207"/>
      <c r="C36" s="204"/>
      <c r="D36" s="216"/>
      <c r="E36" s="104" t="s">
        <v>105</v>
      </c>
      <c r="F36" s="210"/>
      <c r="G36" s="213"/>
      <c r="H36" s="74">
        <f>0.1693-F35</f>
        <v>0.12470000000000001</v>
      </c>
      <c r="I36" s="76">
        <f>0.1694-F35</f>
        <v>0.12479999999999999</v>
      </c>
      <c r="J36" s="76">
        <f>0.1395-G35</f>
        <v>9.6300000000000011E-2</v>
      </c>
      <c r="K36" s="76">
        <f>0.1405-G35</f>
        <v>9.7300000000000011E-2</v>
      </c>
      <c r="L36" s="76">
        <f t="shared" si="11"/>
        <v>1.0767990275526742E-2</v>
      </c>
      <c r="M36" s="76">
        <f t="shared" si="12"/>
        <v>1.0686142625607778E-2</v>
      </c>
      <c r="N36" s="76">
        <f t="shared" si="2"/>
        <v>1.0727066450567261E-2</v>
      </c>
      <c r="O36" s="76">
        <f>'Growth curves CeBER'!G18</f>
        <v>0.86599999999999999</v>
      </c>
      <c r="P36" s="76">
        <f t="shared" si="3"/>
        <v>1.0681244000000001</v>
      </c>
      <c r="Q36" s="77">
        <f t="shared" si="13"/>
        <v>1.0681244000000001E-4</v>
      </c>
      <c r="R36" s="78">
        <f t="shared" si="4"/>
        <v>50.214499596522934</v>
      </c>
      <c r="S36" s="79"/>
      <c r="V36" s="80">
        <f t="shared" si="5"/>
        <v>53.635332252836307</v>
      </c>
      <c r="W36" s="94"/>
      <c r="X36" s="80"/>
      <c r="Y36" s="80"/>
      <c r="Z36" s="80">
        <f>(V36-$V$6)/(D35-$D$5)</f>
        <v>0.17917150127695106</v>
      </c>
      <c r="AA36" s="94"/>
      <c r="AB36" s="101"/>
    </row>
    <row r="37" spans="1:28" x14ac:dyDescent="0.2">
      <c r="A37" s="58"/>
      <c r="B37" s="208"/>
      <c r="C37" s="205"/>
      <c r="D37" s="217"/>
      <c r="E37" s="151" t="s">
        <v>106</v>
      </c>
      <c r="F37" s="211"/>
      <c r="G37" s="214"/>
      <c r="H37" s="74">
        <f>0.17-F35</f>
        <v>0.12540000000000001</v>
      </c>
      <c r="I37" s="76">
        <f>0.161-F35</f>
        <v>0.1164</v>
      </c>
      <c r="J37" s="76">
        <f>0.113-G35</f>
        <v>6.9800000000000001E-2</v>
      </c>
      <c r="K37" s="76">
        <f>0.1049-G35</f>
        <v>6.1699999999999991E-2</v>
      </c>
      <c r="L37" s="76">
        <f t="shared" si="11"/>
        <v>1.3479902755267425E-2</v>
      </c>
      <c r="M37" s="76">
        <f t="shared" si="12"/>
        <v>1.2815478119935173E-2</v>
      </c>
      <c r="N37" s="76">
        <f t="shared" si="2"/>
        <v>1.3147690437601299E-2</v>
      </c>
      <c r="O37" s="76">
        <f>'Growth curves CeBER'!H18</f>
        <v>0.92200000000000004</v>
      </c>
      <c r="P37" s="76">
        <f t="shared" si="3"/>
        <v>1.1371948000000001</v>
      </c>
      <c r="Q37" s="77">
        <f t="shared" si="13"/>
        <v>1.1371948000000001E-4</v>
      </c>
      <c r="R37" s="78">
        <f t="shared" si="4"/>
        <v>57.807556091539013</v>
      </c>
      <c r="S37" s="94">
        <f>AVERAGE(R35:R37)</f>
        <v>57.275388188728776</v>
      </c>
      <c r="T37" s="80">
        <f>STDEV(R35:R37)</f>
        <v>6.8104164420564617</v>
      </c>
      <c r="U37" s="89">
        <f>T37/SQRT(3)</f>
        <v>3.9319957661147518</v>
      </c>
      <c r="V37" s="89">
        <f t="shared" si="5"/>
        <v>65.738452188006491</v>
      </c>
      <c r="W37" s="88">
        <f>AVERAGE(V35:V37)</f>
        <v>62.03599405726635</v>
      </c>
      <c r="X37" s="89">
        <f>STDEV(V35:V37)</f>
        <v>7.2922024355391697</v>
      </c>
      <c r="Y37" s="89">
        <f>X37/SQRT(3)</f>
        <v>4.2101550391437845</v>
      </c>
      <c r="Z37" s="89">
        <f>(V37-$V$7)/(D35-$D$5)</f>
        <v>0.21646952200284861</v>
      </c>
      <c r="AA37" s="88">
        <f>AVERAGE(Z35:Z37)</f>
        <v>0.20776443527659091</v>
      </c>
      <c r="AB37" s="95">
        <f>STDEV(Z35:Z37)/SQRT(3)</f>
        <v>1.4656402916977958E-2</v>
      </c>
    </row>
    <row r="38" spans="1:28" x14ac:dyDescent="0.2">
      <c r="A38" s="58"/>
      <c r="B38" s="206" t="s">
        <v>34</v>
      </c>
      <c r="C38" s="203">
        <v>0.41666666666666669</v>
      </c>
      <c r="D38" s="218">
        <f>24+D35</f>
        <v>288</v>
      </c>
      <c r="E38" s="104" t="s">
        <v>104</v>
      </c>
      <c r="F38" s="209">
        <f>(0.0403+0.052)/2</f>
        <v>4.6149999999999997E-2</v>
      </c>
      <c r="G38" s="212">
        <f>(0.0384+0.0498)/2</f>
        <v>4.41E-2</v>
      </c>
      <c r="H38" s="92">
        <f>0.2087-F38</f>
        <v>0.16255</v>
      </c>
      <c r="I38" s="96">
        <f>0.2234-F38</f>
        <v>0.17724999999999999</v>
      </c>
      <c r="J38" s="96">
        <f>0.1562-G38</f>
        <v>0.11210000000000001</v>
      </c>
      <c r="K38" s="96">
        <f>0.1724-G38</f>
        <v>0.1283</v>
      </c>
      <c r="L38" s="76">
        <f t="shared" si="11"/>
        <v>1.5353241491085899E-2</v>
      </c>
      <c r="M38" s="76">
        <f t="shared" si="12"/>
        <v>1.6147244732576983E-2</v>
      </c>
      <c r="N38" s="96">
        <f t="shared" si="2"/>
        <v>1.5750243111831441E-2</v>
      </c>
      <c r="O38" s="96">
        <f>'Growth curves CeBER'!F19</f>
        <v>0.96499999999999997</v>
      </c>
      <c r="P38" s="96">
        <f t="shared" si="3"/>
        <v>1.190231</v>
      </c>
      <c r="Q38" s="97">
        <f t="shared" si="13"/>
        <v>1.1902310000000001E-4</v>
      </c>
      <c r="R38" s="98">
        <f t="shared" si="4"/>
        <v>66.164648340664286</v>
      </c>
      <c r="S38" s="102"/>
      <c r="T38" s="103"/>
      <c r="U38" s="103"/>
      <c r="V38" s="80">
        <f t="shared" si="5"/>
        <v>78.751215559157203</v>
      </c>
      <c r="W38" s="94"/>
      <c r="X38" s="80"/>
      <c r="Y38" s="80"/>
      <c r="Z38" s="80">
        <f t="shared" si="7"/>
        <v>0.25040701535206189</v>
      </c>
      <c r="AA38" s="94"/>
      <c r="AB38" s="101"/>
    </row>
    <row r="39" spans="1:28" x14ac:dyDescent="0.2">
      <c r="A39" s="58"/>
      <c r="B39" s="207"/>
      <c r="C39" s="204"/>
      <c r="D39" s="219"/>
      <c r="E39" s="104" t="s">
        <v>105</v>
      </c>
      <c r="F39" s="210"/>
      <c r="G39" s="213"/>
      <c r="H39" s="74">
        <f>0.1741-F38</f>
        <v>0.12795000000000001</v>
      </c>
      <c r="I39" s="76">
        <f>0.1873-F38</f>
        <v>0.14115</v>
      </c>
      <c r="J39" s="76">
        <f>0.1225-G38</f>
        <v>7.8399999999999997E-2</v>
      </c>
      <c r="K39" s="76">
        <f>0.1339-G38</f>
        <v>8.9799999999999991E-2</v>
      </c>
      <c r="L39" s="76">
        <f t="shared" si="11"/>
        <v>1.3049918962722853E-2</v>
      </c>
      <c r="M39" s="76">
        <f t="shared" si="12"/>
        <v>1.4071474878444085E-2</v>
      </c>
      <c r="N39" s="76">
        <f t="shared" si="2"/>
        <v>1.3560696920583469E-2</v>
      </c>
      <c r="O39" s="76">
        <f>'Growth curves CeBER'!G19</f>
        <v>0.94799999999999995</v>
      </c>
      <c r="P39" s="76">
        <f t="shared" si="3"/>
        <v>1.1692632000000001</v>
      </c>
      <c r="Q39" s="77">
        <f t="shared" si="13"/>
        <v>1.1692632000000002E-4</v>
      </c>
      <c r="R39" s="78">
        <f t="shared" si="4"/>
        <v>57.988213947824008</v>
      </c>
      <c r="S39" s="79"/>
      <c r="V39" s="80">
        <f t="shared" si="5"/>
        <v>67.803484602917337</v>
      </c>
      <c r="W39" s="94"/>
      <c r="X39" s="80"/>
      <c r="Y39" s="80"/>
      <c r="Z39" s="80">
        <f>(V39-$V$6)/(D38-$D$5)</f>
        <v>0.21343551627498647</v>
      </c>
      <c r="AA39" s="94"/>
      <c r="AB39" s="101"/>
    </row>
    <row r="40" spans="1:28" x14ac:dyDescent="0.2">
      <c r="A40" s="58"/>
      <c r="B40" s="208"/>
      <c r="C40" s="205"/>
      <c r="D40" s="220"/>
      <c r="E40" s="151" t="s">
        <v>106</v>
      </c>
      <c r="F40" s="211"/>
      <c r="G40" s="214"/>
      <c r="H40" s="74">
        <f>0.1782-F38</f>
        <v>0.13205</v>
      </c>
      <c r="I40" s="76">
        <f>0.1842-F38</f>
        <v>0.13805000000000001</v>
      </c>
      <c r="J40" s="76">
        <f>0.1251-G38</f>
        <v>8.0999999999999989E-2</v>
      </c>
      <c r="K40" s="76">
        <f>0.1292-G38</f>
        <v>8.5100000000000009E-2</v>
      </c>
      <c r="L40" s="76">
        <f t="shared" si="11"/>
        <v>1.3459481361426258E-2</v>
      </c>
      <c r="M40" s="76">
        <f t="shared" si="12"/>
        <v>1.4029902755267424E-2</v>
      </c>
      <c r="N40" s="76">
        <f t="shared" si="2"/>
        <v>1.3744692058346841E-2</v>
      </c>
      <c r="O40" s="76">
        <f>'Growth curves CeBER'!H19</f>
        <v>0.99299999999999999</v>
      </c>
      <c r="P40" s="76">
        <f t="shared" si="3"/>
        <v>1.2247662000000001</v>
      </c>
      <c r="Q40" s="77">
        <f t="shared" si="13"/>
        <v>1.2247662000000001E-4</v>
      </c>
      <c r="R40" s="78">
        <f t="shared" si="4"/>
        <v>56.111493190891615</v>
      </c>
      <c r="S40" s="94">
        <f>AVERAGE(R38:R40)</f>
        <v>60.088118493126636</v>
      </c>
      <c r="T40" s="80">
        <f>STDEV(R38:R40)</f>
        <v>5.3454355707357628</v>
      </c>
      <c r="U40" s="89">
        <f>T40/SQRT(3)</f>
        <v>3.0861886657000936</v>
      </c>
      <c r="V40" s="89">
        <f t="shared" si="5"/>
        <v>68.723460291734199</v>
      </c>
      <c r="W40" s="88">
        <f>AVERAGE(V38:V40)</f>
        <v>71.759386817936246</v>
      </c>
      <c r="X40" s="89">
        <f>STDEV(V38:V40)</f>
        <v>6.0725481205937006</v>
      </c>
      <c r="Y40" s="89">
        <f>X40/SQRT(3)</f>
        <v>3.5059872920917292</v>
      </c>
      <c r="Z40" s="89">
        <f>(V40-$V$7)/(D38-$D$5)</f>
        <v>0.20879500664055467</v>
      </c>
      <c r="AA40" s="88">
        <f>AVERAGE(Z38:Z40)</f>
        <v>0.2242125127558677</v>
      </c>
      <c r="AB40" s="95">
        <f>STDEV(Z38:Z40)/SQRT(3)</f>
        <v>1.3165580846957629E-2</v>
      </c>
    </row>
    <row r="41" spans="1:28" x14ac:dyDescent="0.2">
      <c r="A41" s="58"/>
      <c r="B41" s="206" t="s">
        <v>35</v>
      </c>
      <c r="C41" s="203">
        <v>0.41666666666666669</v>
      </c>
      <c r="D41" s="215">
        <f>24+D38</f>
        <v>312</v>
      </c>
      <c r="E41" s="104" t="s">
        <v>104</v>
      </c>
      <c r="F41" s="209">
        <f>(0.0487+0.0514)/2</f>
        <v>5.0049999999999997E-2</v>
      </c>
      <c r="G41" s="212">
        <f>(0.047+0.0499)/2</f>
        <v>4.845E-2</v>
      </c>
      <c r="H41" s="92">
        <f>0.2264-F41</f>
        <v>0.17635000000000001</v>
      </c>
      <c r="I41" s="96">
        <f>0.1946-F41</f>
        <v>0.14455000000000001</v>
      </c>
      <c r="J41" s="96">
        <f>0.1791-G41</f>
        <v>0.13065000000000002</v>
      </c>
      <c r="K41" s="96">
        <f>0.1464-G41</f>
        <v>9.7950000000000009E-2</v>
      </c>
      <c r="L41" s="76">
        <f t="shared" si="11"/>
        <v>1.5770948136142625E-2</v>
      </c>
      <c r="M41" s="76">
        <f t="shared" si="12"/>
        <v>1.3823379254457053E-2</v>
      </c>
      <c r="N41" s="96">
        <f t="shared" si="2"/>
        <v>1.4797163695299839E-2</v>
      </c>
      <c r="O41" s="96">
        <f>'Growth curves CeBER'!F20</f>
        <v>1.04</v>
      </c>
      <c r="P41" s="96">
        <f t="shared" si="3"/>
        <v>1.2827360000000001</v>
      </c>
      <c r="Q41" s="97">
        <f t="shared" si="13"/>
        <v>1.2827360000000002E-4</v>
      </c>
      <c r="R41" s="98">
        <f t="shared" si="4"/>
        <v>57.678133674036729</v>
      </c>
      <c r="S41" s="102"/>
      <c r="T41" s="103"/>
      <c r="U41" s="103"/>
      <c r="V41" s="80">
        <f t="shared" si="5"/>
        <v>73.98581847649919</v>
      </c>
      <c r="W41" s="94"/>
      <c r="X41" s="80"/>
      <c r="Y41" s="80"/>
      <c r="Z41" s="80">
        <f t="shared" si="7"/>
        <v>0.21587122864979427</v>
      </c>
      <c r="AA41" s="94"/>
      <c r="AB41" s="101"/>
    </row>
    <row r="42" spans="1:28" x14ac:dyDescent="0.2">
      <c r="A42" s="58"/>
      <c r="B42" s="207"/>
      <c r="C42" s="204"/>
      <c r="D42" s="216"/>
      <c r="E42" s="104" t="s">
        <v>105</v>
      </c>
      <c r="F42" s="210"/>
      <c r="G42" s="213"/>
      <c r="H42" s="74">
        <f>0.1863-F41</f>
        <v>0.13624999999999998</v>
      </c>
      <c r="I42" s="76">
        <f>0.215-F41</f>
        <v>0.16494999999999999</v>
      </c>
      <c r="J42" s="76">
        <f>0.1367-G41</f>
        <v>8.8249999999999995E-2</v>
      </c>
      <c r="K42" s="76">
        <f>0.1658-G41</f>
        <v>0.11735000000000001</v>
      </c>
      <c r="L42" s="76">
        <f t="shared" si="11"/>
        <v>1.3429294975688814E-2</v>
      </c>
      <c r="M42" s="76">
        <f t="shared" si="12"/>
        <v>1.5227431118314422E-2</v>
      </c>
      <c r="N42" s="76">
        <f t="shared" si="2"/>
        <v>1.4328363047001618E-2</v>
      </c>
      <c r="O42" s="76">
        <f>'Growth curves CeBER'!G20</f>
        <v>1.0329999999999999</v>
      </c>
      <c r="P42" s="76">
        <f t="shared" si="3"/>
        <v>1.2741022</v>
      </c>
      <c r="Q42" s="77">
        <f t="shared" si="13"/>
        <v>1.2741021999999999E-4</v>
      </c>
      <c r="R42" s="78">
        <f t="shared" si="4"/>
        <v>56.229253222393069</v>
      </c>
      <c r="S42" s="79"/>
      <c r="V42" s="80">
        <f t="shared" si="5"/>
        <v>71.641815235008096</v>
      </c>
      <c r="W42" s="94"/>
      <c r="X42" s="80"/>
      <c r="Y42" s="80"/>
      <c r="Z42" s="80">
        <f>(V42-$V$6)/(D41-$D$5)</f>
        <v>0.20931974140797069</v>
      </c>
      <c r="AA42" s="94"/>
      <c r="AB42" s="101"/>
    </row>
    <row r="43" spans="1:28" x14ac:dyDescent="0.2">
      <c r="A43" s="58"/>
      <c r="B43" s="208"/>
      <c r="C43" s="205"/>
      <c r="D43" s="217"/>
      <c r="E43" s="151" t="s">
        <v>106</v>
      </c>
      <c r="F43" s="211"/>
      <c r="G43" s="214"/>
      <c r="H43" s="74">
        <f>0.1589-F41</f>
        <v>0.10885000000000002</v>
      </c>
      <c r="I43" s="76">
        <f>0.1521-F41</f>
        <v>0.10205000000000002</v>
      </c>
      <c r="J43" s="76">
        <f>0.1124-G41</f>
        <v>6.3950000000000007E-2</v>
      </c>
      <c r="K43" s="76">
        <f>0.1045-G41</f>
        <v>5.6049999999999996E-2</v>
      </c>
      <c r="L43" s="76">
        <f t="shared" si="11"/>
        <v>1.1371191247974069E-2</v>
      </c>
      <c r="M43" s="76">
        <f t="shared" si="12"/>
        <v>1.1043719611021074E-2</v>
      </c>
      <c r="N43" s="76">
        <f t="shared" si="2"/>
        <v>1.1207455429497571E-2</v>
      </c>
      <c r="O43" s="76">
        <f>'Growth curves CeBER'!H20</f>
        <v>1.0549999999999999</v>
      </c>
      <c r="P43" s="76">
        <f t="shared" si="3"/>
        <v>1.301237</v>
      </c>
      <c r="Q43" s="77">
        <f t="shared" si="13"/>
        <v>1.301237E-4</v>
      </c>
      <c r="R43" s="78">
        <f t="shared" si="4"/>
        <v>43.064620163342923</v>
      </c>
      <c r="S43" s="94">
        <f>AVERAGE(R41:R43)</f>
        <v>52.324002353257576</v>
      </c>
      <c r="T43" s="80">
        <f>STDEV(R41:R43)</f>
        <v>8.0515174063632866</v>
      </c>
      <c r="U43" s="89">
        <f>T43/SQRT(3)</f>
        <v>4.6485457419488014</v>
      </c>
      <c r="V43" s="89">
        <f t="shared" si="5"/>
        <v>56.037277147487856</v>
      </c>
      <c r="W43" s="88">
        <f>AVERAGE(V41:V43)</f>
        <v>67.221636952998381</v>
      </c>
      <c r="X43" s="89">
        <f>STDEV(V41:V43)</f>
        <v>9.756588337803775</v>
      </c>
      <c r="Y43" s="89">
        <f>X43/SQRT(3)</f>
        <v>5.6329689032033734</v>
      </c>
      <c r="Z43" s="89">
        <f>(V43-$V$7)/(D41-$D$5)</f>
        <v>0.15207300887254296</v>
      </c>
      <c r="AA43" s="88">
        <f>AVERAGE(Z41:Z43)</f>
        <v>0.19242132631010264</v>
      </c>
      <c r="AB43" s="95">
        <f>STDEV(Z41:Z43)/SQRT(3)</f>
        <v>2.0262613654227959E-2</v>
      </c>
    </row>
    <row r="44" spans="1:28" x14ac:dyDescent="0.2">
      <c r="A44" s="58"/>
      <c r="B44" s="206" t="s">
        <v>36</v>
      </c>
      <c r="C44" s="203">
        <v>0.41666666666666669</v>
      </c>
      <c r="D44" s="218">
        <f>24+D41</f>
        <v>336</v>
      </c>
      <c r="E44" s="104" t="s">
        <v>104</v>
      </c>
      <c r="F44" s="209">
        <f>(0.0424+0.0458+0.0446)/3</f>
        <v>4.4266666666666669E-2</v>
      </c>
      <c r="G44" s="212">
        <f>(0.0415+0.0442+0.0437)/3</f>
        <v>4.3133333333333336E-2</v>
      </c>
      <c r="H44" s="92">
        <f>0.1815-F44</f>
        <v>0.13723333333333332</v>
      </c>
      <c r="I44" s="96">
        <f>0.184-F44</f>
        <v>0.13973333333333332</v>
      </c>
      <c r="J44" s="96">
        <f>0.1152-G44</f>
        <v>7.2066666666666668E-2</v>
      </c>
      <c r="K44" s="96">
        <f>0.1169-G44</f>
        <v>7.3766666666666675E-2</v>
      </c>
      <c r="L44" s="76">
        <f t="shared" si="11"/>
        <v>1.5175526742301458E-2</v>
      </c>
      <c r="M44" s="76">
        <f t="shared" si="12"/>
        <v>1.5414019448946513E-2</v>
      </c>
      <c r="N44" s="96">
        <f t="shared" si="2"/>
        <v>1.5294773095623986E-2</v>
      </c>
      <c r="O44" s="96">
        <f>'Growth curves CeBER'!F21</f>
        <v>1.0569999999999999</v>
      </c>
      <c r="P44" s="96">
        <f t="shared" si="3"/>
        <v>1.3037038000000001</v>
      </c>
      <c r="Q44" s="97">
        <f t="shared" si="13"/>
        <v>1.3037038000000001E-4</v>
      </c>
      <c r="R44" s="98">
        <f t="shared" si="4"/>
        <v>58.658926573750819</v>
      </c>
      <c r="S44" s="102"/>
      <c r="T44" s="103"/>
      <c r="U44" s="103"/>
      <c r="V44" s="80">
        <f t="shared" si="5"/>
        <v>76.473865478119933</v>
      </c>
      <c r="W44" s="94"/>
      <c r="X44" s="80"/>
      <c r="Y44" s="80"/>
      <c r="Z44" s="80">
        <f t="shared" si="7"/>
        <v>0.20785675696534689</v>
      </c>
      <c r="AA44" s="94"/>
      <c r="AB44" s="101"/>
    </row>
    <row r="45" spans="1:28" x14ac:dyDescent="0.2">
      <c r="A45" s="58"/>
      <c r="B45" s="207"/>
      <c r="C45" s="204"/>
      <c r="D45" s="219"/>
      <c r="E45" s="104" t="s">
        <v>105</v>
      </c>
      <c r="F45" s="210"/>
      <c r="G45" s="213"/>
      <c r="H45" s="74"/>
      <c r="I45" s="76">
        <f>0.191-F44</f>
        <v>0.14673333333333333</v>
      </c>
      <c r="J45" s="76"/>
      <c r="K45" s="76">
        <f>0.1395-G44</f>
        <v>9.6366666666666684E-2</v>
      </c>
      <c r="L45" s="76">
        <f t="shared" si="11"/>
        <v>0</v>
      </c>
      <c r="M45" s="76">
        <f t="shared" si="12"/>
        <v>1.433249594813614E-2</v>
      </c>
      <c r="N45" s="76">
        <f t="shared" si="2"/>
        <v>7.1662479740680698E-3</v>
      </c>
      <c r="O45" s="76">
        <f>'Growth curves CeBER'!G21</f>
        <v>1.0569999999999999</v>
      </c>
      <c r="P45" s="76">
        <f t="shared" si="3"/>
        <v>1.3037038000000001</v>
      </c>
      <c r="Q45" s="77">
        <f t="shared" si="13"/>
        <v>1.3037038000000001E-4</v>
      </c>
      <c r="R45" s="78">
        <f t="shared" si="4"/>
        <v>27.484187643190381</v>
      </c>
      <c r="S45" s="79"/>
      <c r="V45" s="80">
        <f t="shared" si="5"/>
        <v>35.831239870340347</v>
      </c>
      <c r="W45" s="94"/>
      <c r="X45" s="80"/>
      <c r="Y45" s="80"/>
      <c r="Z45" s="80">
        <f>(V45-$V$6)/(D44-$D$5)</f>
        <v>8.7789237960175945E-2</v>
      </c>
      <c r="AA45" s="94"/>
      <c r="AB45" s="101"/>
    </row>
    <row r="46" spans="1:28" x14ac:dyDescent="0.2">
      <c r="A46" s="58"/>
      <c r="B46" s="208"/>
      <c r="C46" s="205"/>
      <c r="D46" s="220"/>
      <c r="E46" s="151" t="s">
        <v>106</v>
      </c>
      <c r="F46" s="211"/>
      <c r="G46" s="214"/>
      <c r="H46" s="74">
        <f>0.1787-F44</f>
        <v>0.13443333333333332</v>
      </c>
      <c r="I46" s="76">
        <f>0.1861-F44</f>
        <v>0.14183333333333331</v>
      </c>
      <c r="J46" s="76">
        <f>0.1118-G44</f>
        <v>6.8666666666666654E-2</v>
      </c>
      <c r="K46" s="76">
        <f>0.1174-G44</f>
        <v>7.4266666666666675E-2</v>
      </c>
      <c r="L46" s="76">
        <f t="shared" si="11"/>
        <v>1.5055105348460293E-2</v>
      </c>
      <c r="M46" s="76">
        <f t="shared" si="12"/>
        <v>1.5705348460291729E-2</v>
      </c>
      <c r="N46" s="76">
        <f t="shared" si="2"/>
        <v>1.5380226904376012E-2</v>
      </c>
      <c r="O46" s="76">
        <f>'Growth curves CeBER'!H21</f>
        <v>1.129</v>
      </c>
      <c r="P46" s="76">
        <f t="shared" si="3"/>
        <v>1.3925086</v>
      </c>
      <c r="Q46" s="77">
        <f t="shared" si="13"/>
        <v>1.3925086E-4</v>
      </c>
      <c r="R46" s="78">
        <f t="shared" si="4"/>
        <v>55.224890188742862</v>
      </c>
      <c r="S46" s="94">
        <f>AVERAGE(R44:R46)</f>
        <v>47.122668135228025</v>
      </c>
      <c r="T46" s="80">
        <f>STDEV(R44:R46)</f>
        <v>17.093875760063778</v>
      </c>
      <c r="U46" s="89">
        <f>T46/SQRT(3)</f>
        <v>9.8691537715668414</v>
      </c>
      <c r="V46" s="89">
        <f t="shared" si="5"/>
        <v>76.901134521880053</v>
      </c>
      <c r="W46" s="88">
        <f>AVERAGE(V44:V46)</f>
        <v>63.068746623446771</v>
      </c>
      <c r="X46" s="89">
        <f>STDEV(V44:V46)</f>
        <v>23.589340183716001</v>
      </c>
      <c r="Y46" s="89">
        <f>X46/SQRT(3)</f>
        <v>13.61931190507409</v>
      </c>
      <c r="Z46" s="89">
        <f>(V46-$V$7)/(D44-$D$5)</f>
        <v>0.20330546471019523</v>
      </c>
      <c r="AA46" s="88">
        <f>AVERAGE(Z44:Z46)</f>
        <v>0.16631715321190602</v>
      </c>
      <c r="AB46" s="95">
        <f>STDEV(Z44:Z46)/SQRT(3)</f>
        <v>3.9285933320698602E-2</v>
      </c>
    </row>
    <row r="47" spans="1:28" x14ac:dyDescent="0.2">
      <c r="A47" s="58"/>
      <c r="B47" s="206" t="s">
        <v>37</v>
      </c>
      <c r="C47" s="203">
        <v>0.47916666666666669</v>
      </c>
      <c r="D47" s="215">
        <f>1.5+24+D44</f>
        <v>361.5</v>
      </c>
      <c r="E47" s="104" t="s">
        <v>104</v>
      </c>
      <c r="F47" s="209">
        <f>(0.0415+0.0244+0.0307)/3</f>
        <v>3.2199999999999999E-2</v>
      </c>
      <c r="G47" s="212">
        <f>(0.041+0.0237+0.03)/3</f>
        <v>3.1566666666666666E-2</v>
      </c>
      <c r="H47" s="96">
        <f>0.2109-F47</f>
        <v>0.1787</v>
      </c>
      <c r="I47" s="96">
        <f>0.2804-F47</f>
        <v>0.24819999999999998</v>
      </c>
      <c r="J47" s="96">
        <f>0.1334-G47</f>
        <v>0.10183333333333333</v>
      </c>
      <c r="K47" s="96">
        <f>0.2002-G47</f>
        <v>0.16863333333333333</v>
      </c>
      <c r="L47" s="76">
        <f t="shared" si="11"/>
        <v>1.8977444624527284E-2</v>
      </c>
      <c r="M47" s="76">
        <f t="shared" si="12"/>
        <v>2.3691545110750941E-2</v>
      </c>
      <c r="N47" s="96">
        <f t="shared" si="2"/>
        <v>2.1334494867639112E-2</v>
      </c>
      <c r="O47" s="96">
        <f>'Growth curves CeBER'!F22</f>
        <v>1.111</v>
      </c>
      <c r="P47" s="96">
        <f t="shared" si="3"/>
        <v>1.3703074</v>
      </c>
      <c r="Q47" s="97">
        <f t="shared" si="13"/>
        <v>1.3703074000000001E-4</v>
      </c>
      <c r="R47" s="98">
        <f t="shared" si="4"/>
        <v>77.845652981364296</v>
      </c>
      <c r="S47" s="102"/>
      <c r="T47" s="103"/>
      <c r="U47" s="103"/>
      <c r="V47" s="80">
        <f t="shared" si="5"/>
        <v>106.67247433819556</v>
      </c>
      <c r="W47" s="94"/>
      <c r="X47" s="80"/>
      <c r="Y47" s="80"/>
      <c r="Z47" s="80">
        <f t="shared" si="7"/>
        <v>0.27673161604545554</v>
      </c>
      <c r="AA47" s="94"/>
      <c r="AB47" s="101"/>
    </row>
    <row r="48" spans="1:28" x14ac:dyDescent="0.2">
      <c r="A48" s="58"/>
      <c r="B48" s="207"/>
      <c r="C48" s="204"/>
      <c r="D48" s="216"/>
      <c r="E48" s="104" t="s">
        <v>105</v>
      </c>
      <c r="F48" s="210"/>
      <c r="G48" s="213"/>
      <c r="H48" s="76">
        <f>0.2079-F47</f>
        <v>0.1757</v>
      </c>
      <c r="I48" s="76">
        <f>0.2214-F47</f>
        <v>0.18920000000000001</v>
      </c>
      <c r="J48" s="76">
        <f>0.136-G47</f>
        <v>0.10443333333333335</v>
      </c>
      <c r="K48" s="76">
        <f>0.1497-G47</f>
        <v>0.11813333333333334</v>
      </c>
      <c r="L48" s="76">
        <f t="shared" si="11"/>
        <v>1.8236277687736356E-2</v>
      </c>
      <c r="M48" s="76">
        <f t="shared" si="12"/>
        <v>1.9080929227444626E-2</v>
      </c>
      <c r="N48" s="76">
        <f t="shared" si="2"/>
        <v>1.8658603457590489E-2</v>
      </c>
      <c r="O48" s="76">
        <f>'Growth curves CeBER'!G22</f>
        <v>1.1459999999999999</v>
      </c>
      <c r="P48" s="76">
        <f t="shared" si="3"/>
        <v>1.4134764</v>
      </c>
      <c r="Q48" s="77">
        <f t="shared" si="13"/>
        <v>1.4134763999999999E-4</v>
      </c>
      <c r="R48" s="78">
        <f t="shared" si="4"/>
        <v>66.002529145836789</v>
      </c>
      <c r="S48" s="79"/>
      <c r="V48" s="80">
        <f t="shared" si="5"/>
        <v>93.293017287952452</v>
      </c>
      <c r="W48" s="94"/>
      <c r="X48" s="80"/>
      <c r="Y48" s="80"/>
      <c r="Z48" s="80">
        <f>(V48-$V$6)/(D47-$D$5)</f>
        <v>0.24055037723992037</v>
      </c>
      <c r="AA48" s="94"/>
      <c r="AB48" s="101"/>
    </row>
    <row r="49" spans="1:34" x14ac:dyDescent="0.2">
      <c r="A49" s="58"/>
      <c r="B49" s="208"/>
      <c r="C49" s="205"/>
      <c r="D49" s="217"/>
      <c r="E49" s="151" t="s">
        <v>106</v>
      </c>
      <c r="F49" s="211"/>
      <c r="G49" s="214"/>
      <c r="H49" s="76">
        <f>0.1961-F47</f>
        <v>0.16389999999999999</v>
      </c>
      <c r="I49" s="76">
        <f>0.2267-F47</f>
        <v>0.19450000000000001</v>
      </c>
      <c r="J49" s="76">
        <f>0.1237-G47</f>
        <v>9.2133333333333345E-2</v>
      </c>
      <c r="K49" s="76">
        <f>0.1477-G47</f>
        <v>0.11613333333333334</v>
      </c>
      <c r="L49" s="76">
        <f t="shared" si="11"/>
        <v>1.7529875742841705E-2</v>
      </c>
      <c r="M49" s="76">
        <f t="shared" si="12"/>
        <v>2.0136034575904918E-2</v>
      </c>
      <c r="N49" s="76">
        <f t="shared" si="2"/>
        <v>1.8832955159373312E-2</v>
      </c>
      <c r="O49" s="76">
        <f>'Growth curves CeBER'!H22</f>
        <v>1.1870000000000001</v>
      </c>
      <c r="P49" s="76">
        <f t="shared" si="3"/>
        <v>1.4640458000000001</v>
      </c>
      <c r="Q49" s="77">
        <f t="shared" si="13"/>
        <v>1.4640458E-4</v>
      </c>
      <c r="R49" s="78">
        <f t="shared" si="4"/>
        <v>64.318189906945918</v>
      </c>
      <c r="S49" s="94">
        <f>AVERAGE(R47:R49)</f>
        <v>69.388790678049006</v>
      </c>
      <c r="T49" s="80">
        <f>STDEV(R47:R49)</f>
        <v>7.3721190766863858</v>
      </c>
      <c r="U49" s="89">
        <f>T49/SQRT(3)</f>
        <v>4.2562949334228604</v>
      </c>
      <c r="V49" s="89">
        <f t="shared" si="5"/>
        <v>94.164775796866564</v>
      </c>
      <c r="W49" s="88">
        <f>AVERAGE(V47:V49)</f>
        <v>98.043422474338186</v>
      </c>
      <c r="X49" s="89">
        <f>STDEV(V47:V49)</f>
        <v>7.4856791793611643</v>
      </c>
      <c r="Y49" s="89">
        <f>X49/SQRT(3)</f>
        <v>4.3218588892713452</v>
      </c>
      <c r="Z49" s="89">
        <f>(V49-$V$7)/(D47-$D$5)</f>
        <v>0.23671999285646503</v>
      </c>
      <c r="AA49" s="88">
        <f>AVERAGE(Z47:Z49)</f>
        <v>0.25133399538061368</v>
      </c>
      <c r="AB49" s="95">
        <f>STDEV(Z47:Z49)/SQRT(3)</f>
        <v>1.2746859910159022E-2</v>
      </c>
    </row>
    <row r="50" spans="1:34" x14ac:dyDescent="0.2">
      <c r="A50" s="58"/>
      <c r="B50" s="206" t="s">
        <v>38</v>
      </c>
      <c r="C50" s="203">
        <v>0.5</v>
      </c>
      <c r="D50" s="215">
        <f>24.5+D47</f>
        <v>386</v>
      </c>
      <c r="E50" s="104" t="s">
        <v>104</v>
      </c>
      <c r="F50" s="209">
        <f>(0.0512+0.0409)/2</f>
        <v>4.6050000000000001E-2</v>
      </c>
      <c r="G50" s="212">
        <f>(0.0496+0.0407)/2</f>
        <v>4.5149999999999996E-2</v>
      </c>
      <c r="H50" s="96">
        <f>0.2119-F50</f>
        <v>0.16585</v>
      </c>
      <c r="I50" s="96">
        <f>0.2288-F50</f>
        <v>0.18275</v>
      </c>
      <c r="J50" s="96">
        <f>0.1266-G50</f>
        <v>8.1449999999999995E-2</v>
      </c>
      <c r="K50" s="96">
        <f>0.1436-G50</f>
        <v>9.845000000000001E-2</v>
      </c>
      <c r="L50" s="76">
        <f t="shared" si="11"/>
        <v>1.8893476499189626E-2</v>
      </c>
      <c r="M50" s="76">
        <f t="shared" si="12"/>
        <v>1.996559967585089E-2</v>
      </c>
      <c r="N50" s="96">
        <f t="shared" si="2"/>
        <v>1.9429538087520258E-2</v>
      </c>
      <c r="O50" s="96">
        <f>'Growth curves CeBER'!F23</f>
        <v>1.2609999999999999</v>
      </c>
      <c r="P50" s="96">
        <f t="shared" si="3"/>
        <v>1.5553173999999999</v>
      </c>
      <c r="Q50" s="97">
        <f t="shared" si="13"/>
        <v>1.5553174000000001E-4</v>
      </c>
      <c r="R50" s="98">
        <f t="shared" si="4"/>
        <v>62.461649588438533</v>
      </c>
      <c r="S50" s="102"/>
      <c r="T50" s="103"/>
      <c r="U50" s="103"/>
      <c r="V50" s="80">
        <f t="shared" si="5"/>
        <v>97.147690437601284</v>
      </c>
      <c r="W50" s="94"/>
      <c r="X50" s="80"/>
      <c r="Y50" s="80"/>
      <c r="Z50" s="80">
        <f t="shared" si="7"/>
        <v>0.23449143860061633</v>
      </c>
      <c r="AA50" s="94"/>
      <c r="AB50" s="101"/>
    </row>
    <row r="51" spans="1:34" x14ac:dyDescent="0.2">
      <c r="A51" s="58"/>
      <c r="B51" s="207"/>
      <c r="C51" s="204"/>
      <c r="D51" s="216"/>
      <c r="E51" s="104" t="s">
        <v>105</v>
      </c>
      <c r="F51" s="210"/>
      <c r="G51" s="213"/>
      <c r="H51" s="76">
        <f>0.198-F50</f>
        <v>0.15195</v>
      </c>
      <c r="I51" s="76">
        <f>0.2073-F50</f>
        <v>0.16125</v>
      </c>
      <c r="J51" s="76">
        <f>0.1222-G50</f>
        <v>7.7050000000000007E-2</v>
      </c>
      <c r="K51" s="76">
        <f>0.1294-G50</f>
        <v>8.4249999999999992E-2</v>
      </c>
      <c r="L51" s="76">
        <f t="shared" si="11"/>
        <v>1.7072082658022691E-2</v>
      </c>
      <c r="M51" s="76">
        <f t="shared" si="12"/>
        <v>1.7873379254457051E-2</v>
      </c>
      <c r="N51" s="76">
        <f t="shared" si="2"/>
        <v>1.7472730956239871E-2</v>
      </c>
      <c r="O51" s="76">
        <f>'Growth curves CeBER'!G23</f>
        <v>1.25</v>
      </c>
      <c r="P51" s="76">
        <f t="shared" si="3"/>
        <v>1.54175</v>
      </c>
      <c r="Q51" s="77">
        <f t="shared" si="13"/>
        <v>1.5417499999999999E-4</v>
      </c>
      <c r="R51" s="78">
        <f t="shared" si="4"/>
        <v>56.665253628149415</v>
      </c>
      <c r="S51" s="79"/>
      <c r="V51" s="80">
        <f t="shared" si="5"/>
        <v>87.363654781199358</v>
      </c>
      <c r="W51" s="94"/>
      <c r="X51" s="80"/>
      <c r="Y51" s="80"/>
      <c r="Z51" s="80">
        <f>(V51-$V$6)/(D50-$D$5)</f>
        <v>0.20992124058414022</v>
      </c>
      <c r="AA51" s="94"/>
      <c r="AB51" s="101"/>
    </row>
    <row r="52" spans="1:34" x14ac:dyDescent="0.2">
      <c r="A52" s="58"/>
      <c r="B52" s="208"/>
      <c r="C52" s="205"/>
      <c r="D52" s="217"/>
      <c r="E52" s="151" t="s">
        <v>106</v>
      </c>
      <c r="F52" s="211"/>
      <c r="G52" s="214"/>
      <c r="H52" s="76">
        <f>0.2136-F50</f>
        <v>0.16755</v>
      </c>
      <c r="I52" s="76">
        <f>0.2077-F50</f>
        <v>0.16164999999999999</v>
      </c>
      <c r="J52" s="76">
        <f>0.1483-G50</f>
        <v>0.10314999999999999</v>
      </c>
      <c r="K52" s="76">
        <f>0.1414-G50</f>
        <v>9.6250000000000002E-2</v>
      </c>
      <c r="L52" s="76">
        <f t="shared" si="11"/>
        <v>1.7041207455429499E-2</v>
      </c>
      <c r="M52" s="76">
        <f t="shared" si="12"/>
        <v>1.6761547811993516E-2</v>
      </c>
      <c r="N52" s="76">
        <f t="shared" si="2"/>
        <v>1.6901377633711509E-2</v>
      </c>
      <c r="O52" s="76">
        <f>'Growth curves CeBER'!H23</f>
        <v>1.292</v>
      </c>
      <c r="P52" s="76">
        <f t="shared" si="3"/>
        <v>1.5935528000000001</v>
      </c>
      <c r="Q52" s="77">
        <f t="shared" si="13"/>
        <v>1.5935528000000001E-4</v>
      </c>
      <c r="R52" s="78">
        <f t="shared" si="4"/>
        <v>53.030491470729764</v>
      </c>
      <c r="S52" s="94">
        <f>AVERAGE(R50:R52)</f>
        <v>57.385798229105909</v>
      </c>
      <c r="T52" s="80">
        <f>STDEV(R50:R52)</f>
        <v>4.756687319109977</v>
      </c>
      <c r="U52" s="89">
        <f>T52/SQRT(3)</f>
        <v>2.7462747041390245</v>
      </c>
      <c r="V52" s="89">
        <f t="shared" si="5"/>
        <v>84.506888168557538</v>
      </c>
      <c r="W52" s="88">
        <f>AVERAGE(V50:V52)</f>
        <v>89.672744462452727</v>
      </c>
      <c r="X52" s="89">
        <f>STDEV(V50:V52)</f>
        <v>6.62920748418078</v>
      </c>
      <c r="Y52" s="89">
        <f>X52/SQRT(3)</f>
        <v>3.8273747255056554</v>
      </c>
      <c r="Z52" s="89">
        <f>(V52-$V$7)/(D50-$D$5)</f>
        <v>0.19667458494638104</v>
      </c>
      <c r="AA52" s="88">
        <f>AVERAGE(Z50:Z52)</f>
        <v>0.21369575471037919</v>
      </c>
      <c r="AB52" s="95">
        <f>STDEV(Z50:Z52)/SQRT(3)</f>
        <v>1.1078715670800857E-2</v>
      </c>
    </row>
    <row r="53" spans="1:34" x14ac:dyDescent="0.2">
      <c r="A53" s="58"/>
      <c r="B53" s="206" t="s">
        <v>39</v>
      </c>
      <c r="C53" s="203">
        <v>0.47916666666666669</v>
      </c>
      <c r="D53" s="215">
        <f>48+D47</f>
        <v>409.5</v>
      </c>
      <c r="E53" s="104" t="s">
        <v>104</v>
      </c>
      <c r="F53" s="209">
        <f>(0.0418+0.0454+0.0454)/3</f>
        <v>4.4199999999999996E-2</v>
      </c>
      <c r="G53" s="212">
        <f>(0.0405+0.0432+0.0438)/3</f>
        <v>4.2500000000000003E-2</v>
      </c>
      <c r="H53" s="96">
        <f>0.1917-F53</f>
        <v>0.14750000000000002</v>
      </c>
      <c r="I53" s="96">
        <f>0.1818-F53</f>
        <v>0.1376</v>
      </c>
      <c r="J53" s="96">
        <f>0.1369-G53</f>
        <v>9.4399999999999984E-2</v>
      </c>
      <c r="K53" s="96">
        <f>0.1268-G53</f>
        <v>8.4299999999999986E-2</v>
      </c>
      <c r="L53" s="76">
        <f t="shared" si="11"/>
        <v>1.4649594813614266E-2</v>
      </c>
      <c r="M53" s="76">
        <f t="shared" si="12"/>
        <v>1.4035413290113454E-2</v>
      </c>
      <c r="N53" s="96">
        <f t="shared" si="2"/>
        <v>1.4342504051863859E-2</v>
      </c>
      <c r="O53" s="96">
        <f>'Growth curves CeBER'!F24</f>
        <v>1.2010000000000001</v>
      </c>
      <c r="P53" s="96">
        <f t="shared" si="3"/>
        <v>1.4813134000000001</v>
      </c>
      <c r="Q53" s="97">
        <f t="shared" si="13"/>
        <v>1.4813134000000002E-4</v>
      </c>
      <c r="R53" s="98">
        <f t="shared" si="4"/>
        <v>48.411443695384982</v>
      </c>
      <c r="S53" s="102"/>
      <c r="T53" s="103"/>
      <c r="U53" s="103"/>
      <c r="V53" s="80">
        <f t="shared" si="5"/>
        <v>71.712520259319291</v>
      </c>
      <c r="W53" s="94"/>
      <c r="X53" s="80"/>
      <c r="Y53" s="80"/>
      <c r="Z53" s="80">
        <f t="shared" si="7"/>
        <v>0.15892191726875682</v>
      </c>
      <c r="AA53" s="94"/>
      <c r="AB53" s="101"/>
    </row>
    <row r="54" spans="1:34" ht="15" customHeight="1" x14ac:dyDescent="0.2">
      <c r="A54" s="58"/>
      <c r="B54" s="207"/>
      <c r="C54" s="204"/>
      <c r="D54" s="216"/>
      <c r="E54" s="104" t="s">
        <v>105</v>
      </c>
      <c r="F54" s="210"/>
      <c r="G54" s="213"/>
      <c r="H54" s="76">
        <f>0.1964-F53</f>
        <v>0.1522</v>
      </c>
      <c r="I54" s="76">
        <f>0.242-F53</f>
        <v>0.1978</v>
      </c>
      <c r="J54" s="76">
        <f>0.1339-G53</f>
        <v>9.1399999999999981E-2</v>
      </c>
      <c r="K54" s="76">
        <f>0.1774-G53</f>
        <v>0.13489999999999999</v>
      </c>
      <c r="L54" s="76">
        <f t="shared" si="11"/>
        <v>1.5705510534846031E-2</v>
      </c>
      <c r="M54" s="76">
        <f t="shared" si="12"/>
        <v>1.8830713128038901E-2</v>
      </c>
      <c r="N54" s="76">
        <f t="shared" si="2"/>
        <v>1.7268111831442466E-2</v>
      </c>
      <c r="O54" s="76">
        <f>'Growth curves CeBER'!G24</f>
        <v>1.3440000000000001</v>
      </c>
      <c r="P54" s="76">
        <f t="shared" si="3"/>
        <v>1.6576896000000001</v>
      </c>
      <c r="Q54" s="77">
        <f t="shared" si="13"/>
        <v>1.6576896000000002E-4</v>
      </c>
      <c r="R54" s="78">
        <f t="shared" si="4"/>
        <v>52.084877142990052</v>
      </c>
      <c r="S54" s="79"/>
      <c r="V54" s="80">
        <f t="shared" si="5"/>
        <v>86.340559157212326</v>
      </c>
      <c r="W54" s="94"/>
      <c r="X54" s="80"/>
      <c r="Y54" s="80"/>
      <c r="Z54" s="80">
        <f>(V54-$V$6)/(D53-$D$5)</f>
        <v>0.19537607629179754</v>
      </c>
      <c r="AA54" s="94"/>
      <c r="AB54" s="101"/>
    </row>
    <row r="55" spans="1:34" ht="16" customHeight="1" thickBot="1" x14ac:dyDescent="0.25">
      <c r="A55" s="104"/>
      <c r="B55" s="223"/>
      <c r="C55" s="224"/>
      <c r="D55" s="225"/>
      <c r="E55" s="152" t="s">
        <v>106</v>
      </c>
      <c r="F55" s="221"/>
      <c r="G55" s="222"/>
      <c r="H55" s="76">
        <f>0.1665-F53</f>
        <v>0.12230000000000002</v>
      </c>
      <c r="I55" s="76">
        <f>0.188-F53</f>
        <v>0.14380000000000001</v>
      </c>
      <c r="J55" s="76">
        <f>0.1174-G53</f>
        <v>7.4899999999999994E-2</v>
      </c>
      <c r="K55" s="76">
        <f>0.138-G53</f>
        <v>9.5500000000000002E-2</v>
      </c>
      <c r="L55" s="76">
        <f>(H55-(0.605*J55))/6.17</f>
        <v>1.2477390599675856E-2</v>
      </c>
      <c r="M55" s="76">
        <f>(I55-(0.605*K55))/6.17</f>
        <v>1.3942058346839547E-2</v>
      </c>
      <c r="N55" s="107">
        <f t="shared" si="2"/>
        <v>1.3209724473257701E-2</v>
      </c>
      <c r="O55" s="107">
        <f>'Growth curves CeBER'!H24</f>
        <v>1.256</v>
      </c>
      <c r="P55" s="107">
        <f t="shared" si="3"/>
        <v>1.5491504</v>
      </c>
      <c r="Q55" s="108">
        <f t="shared" si="13"/>
        <v>1.5491503999999999E-4</v>
      </c>
      <c r="R55" s="109">
        <f t="shared" si="4"/>
        <v>42.635384121702131</v>
      </c>
      <c r="S55" s="110">
        <f>AVERAGE(R53:R55)</f>
        <v>47.710568320025722</v>
      </c>
      <c r="T55" s="111">
        <f>STDEV(R53:R55)</f>
        <v>4.7635752653528023</v>
      </c>
      <c r="U55" s="111">
        <f>T55/SQRT(3)</f>
        <v>2.7502514617564837</v>
      </c>
      <c r="V55" s="111">
        <f t="shared" si="5"/>
        <v>66.048622366288512</v>
      </c>
      <c r="W55" s="110">
        <f>AVERAGE(V53:V55)</f>
        <v>74.700567260940034</v>
      </c>
      <c r="X55" s="111">
        <f>STDEV(V53:V55)</f>
        <v>10.47076851738376</v>
      </c>
      <c r="Y55" s="111">
        <f>X55/SQRT(3)</f>
        <v>6.0453010221337733</v>
      </c>
      <c r="Z55" s="111">
        <f>(V55-$V$7)/(D53-$D$5)</f>
        <v>0.14031287908921625</v>
      </c>
      <c r="AA55" s="110">
        <f>AVERAGE(Z53:Z55)</f>
        <v>0.16487029088325686</v>
      </c>
      <c r="AB55" s="112">
        <f>STDEV(Z53:Z55)/SQRT(3)</f>
        <v>1.6171232513693904E-2</v>
      </c>
    </row>
    <row r="56" spans="1:34" ht="15" thickBot="1" x14ac:dyDescent="0.25">
      <c r="B56" s="229" t="s">
        <v>69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1"/>
      <c r="AD56" s="226" t="s">
        <v>100</v>
      </c>
      <c r="AE56" s="226"/>
      <c r="AF56" s="226"/>
      <c r="AG56" s="226"/>
      <c r="AH56" s="226"/>
    </row>
    <row r="57" spans="1:34" ht="45" customHeight="1" x14ac:dyDescent="0.2">
      <c r="B57" s="59" t="s">
        <v>0</v>
      </c>
      <c r="C57" s="60" t="s">
        <v>1</v>
      </c>
      <c r="D57" s="116" t="s">
        <v>2</v>
      </c>
      <c r="E57" s="149"/>
      <c r="F57" s="60" t="s">
        <v>8</v>
      </c>
      <c r="G57" s="60" t="s">
        <v>9</v>
      </c>
      <c r="H57" s="236" t="s">
        <v>101</v>
      </c>
      <c r="I57" s="237"/>
      <c r="J57" s="238" t="s">
        <v>80</v>
      </c>
      <c r="K57" s="239"/>
      <c r="L57" s="240" t="s">
        <v>81</v>
      </c>
      <c r="M57" s="241"/>
      <c r="N57" s="61" t="s">
        <v>82</v>
      </c>
      <c r="O57" s="62" t="s">
        <v>83</v>
      </c>
      <c r="P57" s="61" t="s">
        <v>10</v>
      </c>
      <c r="Q57" s="61" t="s">
        <v>11</v>
      </c>
      <c r="R57" s="61" t="s">
        <v>84</v>
      </c>
      <c r="S57" s="61" t="s">
        <v>85</v>
      </c>
      <c r="T57" s="61" t="s">
        <v>86</v>
      </c>
      <c r="U57" s="63" t="s">
        <v>62</v>
      </c>
      <c r="V57" s="62" t="s">
        <v>87</v>
      </c>
      <c r="W57" s="61" t="s">
        <v>88</v>
      </c>
      <c r="X57" s="61" t="s">
        <v>86</v>
      </c>
      <c r="Y57" s="64" t="s">
        <v>62</v>
      </c>
      <c r="Z57" s="64" t="s">
        <v>89</v>
      </c>
      <c r="AA57" s="61" t="s">
        <v>90</v>
      </c>
      <c r="AB57" s="65" t="s">
        <v>62</v>
      </c>
      <c r="AD57" s="56" t="s">
        <v>2</v>
      </c>
      <c r="AE57" s="72" t="str">
        <f>S57</f>
        <v>Average specific CPC conc.</v>
      </c>
      <c r="AF57" s="56" t="s">
        <v>12</v>
      </c>
      <c r="AG57" s="72" t="str">
        <f>W57</f>
        <v>Average total CPC</v>
      </c>
      <c r="AH57" s="56" t="s">
        <v>12</v>
      </c>
    </row>
    <row r="58" spans="1:34" ht="25" customHeight="1" x14ac:dyDescent="0.2">
      <c r="B58" s="66"/>
      <c r="C58" s="67"/>
      <c r="D58" s="69"/>
      <c r="E58" s="150"/>
      <c r="F58" s="67" t="s">
        <v>13</v>
      </c>
      <c r="G58" s="67" t="s">
        <v>13</v>
      </c>
      <c r="H58" s="117" t="s">
        <v>102</v>
      </c>
      <c r="I58" s="67" t="s">
        <v>103</v>
      </c>
      <c r="J58" s="242" t="s">
        <v>13</v>
      </c>
      <c r="K58" s="235"/>
      <c r="L58" s="234" t="s">
        <v>14</v>
      </c>
      <c r="M58" s="235"/>
      <c r="N58" s="70" t="s">
        <v>14</v>
      </c>
      <c r="O58" s="70" t="s">
        <v>13</v>
      </c>
      <c r="P58" s="70" t="s">
        <v>15</v>
      </c>
      <c r="Q58" s="70" t="s">
        <v>16</v>
      </c>
      <c r="R58" s="71" t="s">
        <v>91</v>
      </c>
      <c r="S58" s="71" t="s">
        <v>91</v>
      </c>
      <c r="T58" s="70"/>
      <c r="U58" s="69"/>
      <c r="V58" s="71" t="s">
        <v>92</v>
      </c>
      <c r="W58" s="71" t="s">
        <v>92</v>
      </c>
      <c r="X58" s="70"/>
      <c r="Y58" s="70"/>
      <c r="Z58" s="71" t="s">
        <v>93</v>
      </c>
      <c r="AA58" s="71" t="s">
        <v>93</v>
      </c>
      <c r="AB58" s="68"/>
      <c r="AD58" s="81">
        <f>D59</f>
        <v>0</v>
      </c>
      <c r="AE58" s="80">
        <f>S61</f>
        <v>51.368082874133563</v>
      </c>
      <c r="AF58" s="80">
        <f>U61</f>
        <v>2.5402220358385423</v>
      </c>
      <c r="AG58" s="80">
        <f>W61</f>
        <v>6.4251958400864391</v>
      </c>
      <c r="AH58" s="80">
        <f>Y61</f>
        <v>0.15248128146460124</v>
      </c>
    </row>
    <row r="59" spans="1:34" x14ac:dyDescent="0.2">
      <c r="B59" s="207" t="s">
        <v>23</v>
      </c>
      <c r="C59" s="204">
        <v>0.45833333333333331</v>
      </c>
      <c r="D59" s="226">
        <v>0</v>
      </c>
      <c r="E59" s="104" t="s">
        <v>104</v>
      </c>
      <c r="F59" s="210">
        <f>(0.04+0.0315+0.0322)/3</f>
        <v>3.4566666666666669E-2</v>
      </c>
      <c r="G59" s="213">
        <f>(0.0387+0.0303+0.0319)/3</f>
        <v>3.3633333333333335E-2</v>
      </c>
      <c r="H59" s="74">
        <f>0.1629-F59</f>
        <v>0.12833333333333333</v>
      </c>
      <c r="I59" s="76">
        <f>0.153-F59</f>
        <v>0.11843333333333333</v>
      </c>
      <c r="J59" s="76">
        <f>0.1167-G59</f>
        <v>8.3066666666666664E-2</v>
      </c>
      <c r="K59" s="76">
        <f>0.1046-G59</f>
        <v>7.0966666666666664E-2</v>
      </c>
      <c r="L59" s="76">
        <f>(H59-(0.605*J59))/6.17</f>
        <v>1.2654457050243111E-2</v>
      </c>
      <c r="M59" s="76">
        <f>(I59-(0.605*K59))/6.17</f>
        <v>1.2236385737439221E-2</v>
      </c>
      <c r="N59" s="76">
        <f>AVERAGE(L59:M59)</f>
        <v>1.2445421393841166E-2</v>
      </c>
      <c r="O59" s="56">
        <f>'Growth curves CeBER'!F28</f>
        <v>0.106</v>
      </c>
      <c r="P59" s="76">
        <f>1.2334*O59</f>
        <v>0.13074040000000001</v>
      </c>
      <c r="Q59" s="77">
        <f>P59*1/1000</f>
        <v>1.3074040000000001E-4</v>
      </c>
      <c r="R59" s="78">
        <f>(N59*0.5)/Q59</f>
        <v>47.595928243454836</v>
      </c>
      <c r="S59" s="79"/>
      <c r="V59" s="80">
        <f>R59*P59</f>
        <v>6.2227106969205828</v>
      </c>
      <c r="W59" s="79"/>
      <c r="AA59" s="79"/>
      <c r="AB59" s="73"/>
      <c r="AD59" s="81">
        <f>D62</f>
        <v>23</v>
      </c>
      <c r="AE59" s="80">
        <f>S64</f>
        <v>43.338979782950254</v>
      </c>
      <c r="AF59" s="80">
        <f>U64</f>
        <v>3.1688387024662807</v>
      </c>
      <c r="AG59" s="80">
        <f>W64</f>
        <v>7.72285926526202</v>
      </c>
      <c r="AH59" s="80">
        <f>Y64</f>
        <v>0.38848237452951467</v>
      </c>
    </row>
    <row r="60" spans="1:34" ht="15" customHeight="1" x14ac:dyDescent="0.2">
      <c r="B60" s="207"/>
      <c r="C60" s="204"/>
      <c r="D60" s="226"/>
      <c r="E60" s="104" t="s">
        <v>105</v>
      </c>
      <c r="F60" s="210"/>
      <c r="G60" s="213"/>
      <c r="H60" s="74">
        <f>0.1635-F59</f>
        <v>0.12893333333333334</v>
      </c>
      <c r="I60" s="76">
        <f>0.1693-F59</f>
        <v>0.13473333333333334</v>
      </c>
      <c r="J60" s="76">
        <f>0.1192-G59</f>
        <v>8.5566666666666666E-2</v>
      </c>
      <c r="K60" s="76">
        <f>0.1257-G59</f>
        <v>9.2066666666666672E-2</v>
      </c>
      <c r="L60" s="76">
        <f t="shared" ref="L60:L108" si="14">(H60-(0.605*J60))/6.17</f>
        <v>1.2506564019448949E-2</v>
      </c>
      <c r="M60" s="76">
        <f t="shared" ref="M60:M108" si="15">(I60-(0.605*K60))/6.17</f>
        <v>1.2809238249594814E-2</v>
      </c>
      <c r="N60" s="76">
        <f t="shared" ref="N60:N109" si="16">AVERAGE(L60:M60)</f>
        <v>1.2657901134521882E-2</v>
      </c>
      <c r="O60" s="56">
        <f>'Growth curves CeBER'!G28</f>
        <v>0.10199999999999999</v>
      </c>
      <c r="P60" s="76">
        <f t="shared" ref="P60:P109" si="17">1.2334*O60</f>
        <v>0.1258068</v>
      </c>
      <c r="Q60" s="77">
        <f>P60*1/1000</f>
        <v>1.2580680000000001E-4</v>
      </c>
      <c r="R60" s="78">
        <f t="shared" ref="R60:R109" si="18">(N60*0.5)/Q60</f>
        <v>50.306903659110162</v>
      </c>
      <c r="S60" s="79"/>
      <c r="V60" s="80">
        <f t="shared" ref="V60:V109" si="19">R60*P60</f>
        <v>6.3289505672609403</v>
      </c>
      <c r="W60" s="79"/>
      <c r="AA60" s="79"/>
      <c r="AB60" s="73"/>
      <c r="AD60" s="81">
        <f>D65</f>
        <v>49</v>
      </c>
      <c r="AE60" s="80">
        <f>S67</f>
        <v>46.458924362785154</v>
      </c>
      <c r="AF60" s="80">
        <f>U67</f>
        <v>0.50822125400779861</v>
      </c>
      <c r="AG60" s="80">
        <f>W67</f>
        <v>12.542375742841706</v>
      </c>
      <c r="AH60" s="80">
        <f>Y67</f>
        <v>0.18291370241305002</v>
      </c>
    </row>
    <row r="61" spans="1:34" ht="15" customHeight="1" x14ac:dyDescent="0.2">
      <c r="B61" s="208"/>
      <c r="C61" s="205"/>
      <c r="D61" s="227"/>
      <c r="E61" s="151" t="s">
        <v>106</v>
      </c>
      <c r="F61" s="211"/>
      <c r="G61" s="214"/>
      <c r="H61" s="83">
        <f>0.1479-F59</f>
        <v>0.11333333333333334</v>
      </c>
      <c r="I61" s="85">
        <f>0.1961-F59</f>
        <v>0.16153333333333333</v>
      </c>
      <c r="J61" s="85">
        <f>0.1003-G59</f>
        <v>6.6666666666666666E-2</v>
      </c>
      <c r="K61" s="85">
        <f>0.147-G59</f>
        <v>0.11336666666666666</v>
      </c>
      <c r="L61" s="76">
        <f t="shared" si="14"/>
        <v>1.1831442463533227E-2</v>
      </c>
      <c r="M61" s="76">
        <f t="shared" si="15"/>
        <v>1.5064262560777961E-2</v>
      </c>
      <c r="N61" s="85">
        <f t="shared" si="16"/>
        <v>1.3447852512155594E-2</v>
      </c>
      <c r="O61" s="90">
        <f>'Growth curves CeBER'!H28</f>
        <v>9.7000000000000003E-2</v>
      </c>
      <c r="P61" s="85">
        <f t="shared" si="17"/>
        <v>0.1196398</v>
      </c>
      <c r="Q61" s="77">
        <f>P61*1/1000</f>
        <v>1.196398E-4</v>
      </c>
      <c r="R61" s="87">
        <f t="shared" si="18"/>
        <v>56.201416719835677</v>
      </c>
      <c r="S61" s="88">
        <f>AVERAGE(R59:R61)</f>
        <v>51.368082874133563</v>
      </c>
      <c r="T61" s="89">
        <f>STDEV(R59:R61)</f>
        <v>4.3997936285784043</v>
      </c>
      <c r="U61" s="89">
        <f>T61/SQRT(3)</f>
        <v>2.5402220358385423</v>
      </c>
      <c r="V61" s="89">
        <f t="shared" si="19"/>
        <v>6.7239262560777968</v>
      </c>
      <c r="W61" s="88">
        <f>AVERAGE(V59:V61)</f>
        <v>6.4251958400864391</v>
      </c>
      <c r="X61" s="89">
        <f>STDEV(V59:V61)</f>
        <v>0.26410532669989983</v>
      </c>
      <c r="Y61" s="89">
        <f>X61/SQRT(3)</f>
        <v>0.15248128146460124</v>
      </c>
      <c r="Z61" s="90"/>
      <c r="AA61" s="91"/>
      <c r="AB61" s="82"/>
      <c r="AD61" s="81">
        <f>D68</f>
        <v>73</v>
      </c>
      <c r="AE61" s="80">
        <f>S70</f>
        <v>56.598231971902671</v>
      </c>
      <c r="AF61" s="80">
        <f>U70</f>
        <v>2.4355334812279712</v>
      </c>
      <c r="AG61" s="80">
        <f>W70</f>
        <v>20.766331339816322</v>
      </c>
      <c r="AH61" s="80">
        <f>Y70</f>
        <v>0.8779422642877398</v>
      </c>
    </row>
    <row r="62" spans="1:34" x14ac:dyDescent="0.2">
      <c r="B62" s="206" t="s">
        <v>24</v>
      </c>
      <c r="C62" s="203">
        <v>0.41666666666666669</v>
      </c>
      <c r="D62" s="228">
        <f>23+D59</f>
        <v>23</v>
      </c>
      <c r="E62" s="104" t="s">
        <v>104</v>
      </c>
      <c r="F62" s="209">
        <f>(0.0466+0.0391+0.036)/3</f>
        <v>4.0566666666666668E-2</v>
      </c>
      <c r="G62" s="212">
        <f>(0.0461+0.0386+0.0356)/3</f>
        <v>4.0099999999999997E-2</v>
      </c>
      <c r="H62" s="74">
        <f>0.1996-F62</f>
        <v>0.15903333333333333</v>
      </c>
      <c r="I62" s="76">
        <f>0.1919-F62</f>
        <v>0.15133333333333332</v>
      </c>
      <c r="J62" s="76">
        <f>0.1347-G62</f>
        <v>9.459999999999999E-2</v>
      </c>
      <c r="K62" s="76">
        <f>0.1293-G62</f>
        <v>8.9200000000000002E-2</v>
      </c>
      <c r="L62" s="76">
        <f t="shared" si="14"/>
        <v>1.649924365207996E-2</v>
      </c>
      <c r="M62" s="76">
        <f t="shared" si="15"/>
        <v>1.5780767152890326E-2</v>
      </c>
      <c r="N62" s="76">
        <f t="shared" si="16"/>
        <v>1.6140005402485141E-2</v>
      </c>
      <c r="O62" s="76">
        <f>'Growth curves CeBER'!F31</f>
        <v>0.14299999999999999</v>
      </c>
      <c r="P62" s="76">
        <f t="shared" si="17"/>
        <v>0.17637619999999998</v>
      </c>
      <c r="Q62" s="77">
        <f t="shared" ref="Q62:Q67" si="20">P62*1/1000</f>
        <v>1.7637619999999999E-4</v>
      </c>
      <c r="R62" s="78">
        <f t="shared" si="18"/>
        <v>45.754487857446591</v>
      </c>
      <c r="S62" s="94"/>
      <c r="T62" s="80"/>
      <c r="U62" s="80"/>
      <c r="V62" s="80">
        <f t="shared" si="19"/>
        <v>8.0700027012425704</v>
      </c>
      <c r="W62" s="94"/>
      <c r="X62" s="80"/>
      <c r="Y62" s="80"/>
      <c r="Z62" s="80">
        <f>(V62-$V$59)/(D62-$D$59)</f>
        <v>8.0317043666173371E-2</v>
      </c>
      <c r="AA62" s="94"/>
      <c r="AB62" s="73"/>
      <c r="AD62" s="81">
        <f>D71</f>
        <v>95.5</v>
      </c>
      <c r="AE62" s="80">
        <f>S73</f>
        <v>64.555672375264308</v>
      </c>
      <c r="AF62" s="80">
        <f>U73</f>
        <v>2.8384054617351624</v>
      </c>
      <c r="AG62" s="80">
        <f>W73</f>
        <v>29.511360564559698</v>
      </c>
      <c r="AH62" s="80">
        <f>Y73</f>
        <v>0.69738711422995903</v>
      </c>
    </row>
    <row r="63" spans="1:34" x14ac:dyDescent="0.2">
      <c r="B63" s="207"/>
      <c r="C63" s="204"/>
      <c r="D63" s="226"/>
      <c r="E63" s="104" t="s">
        <v>105</v>
      </c>
      <c r="F63" s="210"/>
      <c r="G63" s="213"/>
      <c r="H63" s="74">
        <f>0.1948-F62</f>
        <v>0.15423333333333333</v>
      </c>
      <c r="I63" s="76">
        <f>0.1932-F62</f>
        <v>0.15263333333333334</v>
      </c>
      <c r="J63" s="76">
        <f>0.1281-G62</f>
        <v>8.7999999999999995E-2</v>
      </c>
      <c r="K63" s="76">
        <f>0.1268-G62</f>
        <v>8.6699999999999999E-2</v>
      </c>
      <c r="L63" s="76">
        <f t="shared" si="14"/>
        <v>1.6368449486763911E-2</v>
      </c>
      <c r="M63" s="76">
        <f t="shared" si="15"/>
        <v>1.6236601836844951E-2</v>
      </c>
      <c r="N63" s="76">
        <f t="shared" si="16"/>
        <v>1.6302525661804429E-2</v>
      </c>
      <c r="O63" s="76">
        <f>'Growth curves CeBER'!G31</f>
        <v>0.14000000000000001</v>
      </c>
      <c r="P63" s="76">
        <f t="shared" si="17"/>
        <v>0.17267600000000002</v>
      </c>
      <c r="Q63" s="77">
        <f t="shared" si="20"/>
        <v>1.7267600000000003E-4</v>
      </c>
      <c r="R63" s="78">
        <f t="shared" si="18"/>
        <v>47.20553424275645</v>
      </c>
      <c r="S63" s="79"/>
      <c r="T63" s="80"/>
      <c r="U63" s="80"/>
      <c r="V63" s="80">
        <f t="shared" si="19"/>
        <v>8.1512628309022137</v>
      </c>
      <c r="W63" s="94"/>
      <c r="X63" s="80"/>
      <c r="Y63" s="80"/>
      <c r="Z63" s="80">
        <f>(V63-$V$60)/(D62-$D$59)</f>
        <v>7.9230967984403197E-2</v>
      </c>
      <c r="AA63" s="94"/>
      <c r="AB63" s="73"/>
      <c r="AD63" s="81">
        <f>D74</f>
        <v>119.5</v>
      </c>
      <c r="AE63" s="80">
        <f>S76</f>
        <v>63.804619514360958</v>
      </c>
      <c r="AF63" s="80">
        <f>U76</f>
        <v>3.0816996622199206</v>
      </c>
      <c r="AG63" s="80">
        <f>W76</f>
        <v>34.373578622366288</v>
      </c>
      <c r="AH63" s="80">
        <f>Y76</f>
        <v>1.0900283308396252</v>
      </c>
    </row>
    <row r="64" spans="1:34" x14ac:dyDescent="0.2">
      <c r="B64" s="208"/>
      <c r="C64" s="205"/>
      <c r="D64" s="227"/>
      <c r="E64" s="151" t="s">
        <v>106</v>
      </c>
      <c r="F64" s="211"/>
      <c r="G64" s="214"/>
      <c r="H64" s="74">
        <f>0.1559-F62</f>
        <v>0.11533333333333334</v>
      </c>
      <c r="I64" s="76">
        <f>0.1653-F62</f>
        <v>0.12473333333333333</v>
      </c>
      <c r="J64" s="76">
        <f>0.0924-G62</f>
        <v>5.2299999999999999E-2</v>
      </c>
      <c r="K64" s="76">
        <f>0.1012-G62</f>
        <v>6.1100000000000002E-2</v>
      </c>
      <c r="L64" s="76">
        <f t="shared" si="14"/>
        <v>1.3564316585629394E-2</v>
      </c>
      <c r="M64" s="76">
        <f t="shared" si="15"/>
        <v>1.4224932468935711E-2</v>
      </c>
      <c r="N64" s="76">
        <f t="shared" si="16"/>
        <v>1.3894624527282552E-2</v>
      </c>
      <c r="O64" s="76">
        <f>'Growth curves CeBER'!H31</f>
        <v>0.152</v>
      </c>
      <c r="P64" s="76">
        <f t="shared" si="17"/>
        <v>0.1874768</v>
      </c>
      <c r="Q64" s="77">
        <f t="shared" si="20"/>
        <v>1.8747680000000001E-4</v>
      </c>
      <c r="R64" s="78">
        <f t="shared" si="18"/>
        <v>37.056917248647707</v>
      </c>
      <c r="S64" s="94">
        <f>AVERAGE(R62:R64)</f>
        <v>43.338979782950254</v>
      </c>
      <c r="T64" s="80">
        <f>STDEV(R62:R64)</f>
        <v>5.4885896336622348</v>
      </c>
      <c r="U64" s="89">
        <f>T64/SQRT(3)</f>
        <v>3.1688387024662807</v>
      </c>
      <c r="V64" s="89">
        <f t="shared" si="19"/>
        <v>6.9473122636412761</v>
      </c>
      <c r="W64" s="88">
        <f t="shared" ref="W64:W109" si="21">AVERAGE(V62:V64)</f>
        <v>7.72285926526202</v>
      </c>
      <c r="X64" s="89">
        <f t="shared" ref="X64:X109" si="22">STDEV(V62:V64)</f>
        <v>0.67287121053012089</v>
      </c>
      <c r="Y64" s="89">
        <f t="shared" ref="Y64:Y109" si="23">X64/SQRT(3)</f>
        <v>0.38848237452951467</v>
      </c>
      <c r="Z64" s="89">
        <f>(V64-$V$61)/(D62-$D$59)</f>
        <v>9.7124351114556192E-3</v>
      </c>
      <c r="AA64" s="88">
        <f>AVERAGE(Z62:Z64)</f>
        <v>5.6420148920677399E-2</v>
      </c>
      <c r="AB64" s="95">
        <f>STDEV(Z62:Z64)/SQRT(3)</f>
        <v>2.3355961316544417E-2</v>
      </c>
      <c r="AD64" s="81">
        <f>D77</f>
        <v>143.5</v>
      </c>
      <c r="AE64" s="80">
        <f>S79</f>
        <v>58.730331673508687</v>
      </c>
      <c r="AF64" s="80">
        <f>U79</f>
        <v>0.8729708990113676</v>
      </c>
      <c r="AG64" s="80">
        <f>W79</f>
        <v>39.470465856293906</v>
      </c>
      <c r="AH64" s="80">
        <f>Y79</f>
        <v>1.1943527913121303</v>
      </c>
    </row>
    <row r="65" spans="2:34" x14ac:dyDescent="0.2">
      <c r="B65" s="206" t="s">
        <v>25</v>
      </c>
      <c r="C65" s="203">
        <v>0.5</v>
      </c>
      <c r="D65" s="228">
        <f>2+24+D62</f>
        <v>49</v>
      </c>
      <c r="E65" s="104" t="s">
        <v>104</v>
      </c>
      <c r="F65" s="209">
        <v>4.99E-2</v>
      </c>
      <c r="G65" s="212">
        <v>4.8899999999999999E-2</v>
      </c>
      <c r="H65" s="92">
        <f>0.2865-F65</f>
        <v>0.23659999999999998</v>
      </c>
      <c r="I65" s="96">
        <f>0.2782-F65</f>
        <v>0.2283</v>
      </c>
      <c r="J65" s="96">
        <f>0.1848-G65</f>
        <v>0.13589999999999999</v>
      </c>
      <c r="K65" s="96">
        <f>0.1776-G65</f>
        <v>0.12870000000000001</v>
      </c>
      <c r="L65" s="76">
        <f t="shared" si="14"/>
        <v>2.502115072933549E-2</v>
      </c>
      <c r="M65" s="76">
        <f t="shared" si="15"/>
        <v>2.438192868719611E-2</v>
      </c>
      <c r="N65" s="96">
        <f t="shared" si="16"/>
        <v>2.4701539708265802E-2</v>
      </c>
      <c r="O65" s="96">
        <f>'Growth curves CeBER'!F33</f>
        <v>0.21199999999999999</v>
      </c>
      <c r="P65" s="96">
        <f t="shared" si="17"/>
        <v>0.26148080000000001</v>
      </c>
      <c r="Q65" s="97">
        <f t="shared" si="20"/>
        <v>2.6148080000000003E-4</v>
      </c>
      <c r="R65" s="98">
        <f t="shared" si="18"/>
        <v>47.233945490961091</v>
      </c>
      <c r="S65" s="99"/>
      <c r="T65" s="100"/>
      <c r="U65" s="100"/>
      <c r="V65" s="80">
        <f t="shared" si="19"/>
        <v>12.350769854132899</v>
      </c>
      <c r="W65" s="94"/>
      <c r="X65" s="80"/>
      <c r="Y65" s="80"/>
      <c r="Z65" s="80">
        <f t="shared" ref="Z65:Z107" si="24">(V65-$V$59)/(D65-$D$59)</f>
        <v>0.12506243177984319</v>
      </c>
      <c r="AA65" s="94"/>
      <c r="AB65" s="101"/>
      <c r="AD65" s="81">
        <f>D80</f>
        <v>167.5</v>
      </c>
      <c r="AE65" s="80">
        <f>S82</f>
        <v>54.836162052426346</v>
      </c>
      <c r="AF65" s="80">
        <f>U82</f>
        <v>1.8641563030046011</v>
      </c>
      <c r="AG65" s="80">
        <f>W82</f>
        <v>40.950729335494323</v>
      </c>
      <c r="AH65" s="80">
        <f>Y82</f>
        <v>1.9924168627174021</v>
      </c>
    </row>
    <row r="66" spans="2:34" x14ac:dyDescent="0.2">
      <c r="B66" s="207"/>
      <c r="C66" s="204"/>
      <c r="D66" s="226"/>
      <c r="E66" s="104" t="s">
        <v>105</v>
      </c>
      <c r="F66" s="210"/>
      <c r="G66" s="213"/>
      <c r="H66" s="74">
        <f>0.2755-F65</f>
        <v>0.22560000000000002</v>
      </c>
      <c r="I66" s="76">
        <f>0.2857-F65</f>
        <v>0.23580000000000001</v>
      </c>
      <c r="J66" s="76">
        <f>0.174-G65</f>
        <v>0.12509999999999999</v>
      </c>
      <c r="K66" s="76">
        <f>0.1819-G65</f>
        <v>0.13300000000000001</v>
      </c>
      <c r="L66" s="76">
        <f t="shared" si="14"/>
        <v>2.429732576985414E-2</v>
      </c>
      <c r="M66" s="76">
        <f t="shared" si="15"/>
        <v>2.517585089141005E-2</v>
      </c>
      <c r="N66" s="76">
        <f t="shared" si="16"/>
        <v>2.4736588330632095E-2</v>
      </c>
      <c r="O66" s="76">
        <f>'Growth curves CeBER'!G33</f>
        <v>0.215</v>
      </c>
      <c r="P66" s="76">
        <f t="shared" si="17"/>
        <v>0.265181</v>
      </c>
      <c r="Q66" s="77">
        <f t="shared" si="20"/>
        <v>2.6518100000000002E-4</v>
      </c>
      <c r="R66" s="78">
        <f t="shared" si="18"/>
        <v>46.640951521097087</v>
      </c>
      <c r="S66" s="79"/>
      <c r="T66" s="80"/>
      <c r="U66" s="80"/>
      <c r="V66" s="80">
        <f t="shared" si="19"/>
        <v>12.368294165316046</v>
      </c>
      <c r="W66" s="94"/>
      <c r="X66" s="80"/>
      <c r="Y66" s="80"/>
      <c r="Z66" s="80">
        <f>(V66-$V$60)/(D65-$D$59)</f>
        <v>0.12325191016438991</v>
      </c>
      <c r="AA66" s="94"/>
      <c r="AB66" s="101"/>
      <c r="AD66" s="81">
        <f>D83</f>
        <v>191.5</v>
      </c>
      <c r="AE66" s="80">
        <f>S85</f>
        <v>62.629383340052449</v>
      </c>
      <c r="AF66" s="80">
        <f>U85</f>
        <v>2.2593447083351554</v>
      </c>
      <c r="AG66" s="80">
        <f>W85</f>
        <v>54.735872501350606</v>
      </c>
      <c r="AH66" s="80">
        <f>Y85</f>
        <v>2.3422732056066722</v>
      </c>
    </row>
    <row r="67" spans="2:34" x14ac:dyDescent="0.2">
      <c r="B67" s="208"/>
      <c r="C67" s="205"/>
      <c r="D67" s="227"/>
      <c r="E67" s="151" t="s">
        <v>106</v>
      </c>
      <c r="F67" s="211"/>
      <c r="G67" s="214"/>
      <c r="H67" s="74">
        <f>0.2878-F65</f>
        <v>0.2379</v>
      </c>
      <c r="I67" s="76">
        <f>0.2938-F65</f>
        <v>0.24390000000000001</v>
      </c>
      <c r="J67" s="76">
        <f>0.181-G65</f>
        <v>0.1321</v>
      </c>
      <c r="K67" s="76">
        <f>0.1866-G65</f>
        <v>0.13769999999999999</v>
      </c>
      <c r="L67" s="76">
        <f t="shared" si="14"/>
        <v>2.5604457050243112E-2</v>
      </c>
      <c r="M67" s="76">
        <f t="shared" si="15"/>
        <v>2.6027795786061587E-2</v>
      </c>
      <c r="N67" s="76">
        <f t="shared" si="16"/>
        <v>2.5816126418152348E-2</v>
      </c>
      <c r="O67" s="76">
        <f>'Growth curves CeBER'!H33</f>
        <v>0.23</v>
      </c>
      <c r="P67" s="76">
        <f t="shared" si="17"/>
        <v>0.28368200000000005</v>
      </c>
      <c r="Q67" s="77">
        <f t="shared" si="20"/>
        <v>2.8368200000000005E-4</v>
      </c>
      <c r="R67" s="78">
        <f t="shared" si="18"/>
        <v>45.5018760762973</v>
      </c>
      <c r="S67" s="94">
        <f>AVERAGE(R65:R67)</f>
        <v>46.458924362785154</v>
      </c>
      <c r="T67" s="80">
        <f>STDEV(R65:R67)</f>
        <v>0.8802650334278751</v>
      </c>
      <c r="U67" s="89">
        <f>T67/SQRT(3)</f>
        <v>0.50822125400779861</v>
      </c>
      <c r="V67" s="89">
        <f t="shared" si="19"/>
        <v>12.908063209076174</v>
      </c>
      <c r="W67" s="88">
        <f t="shared" si="21"/>
        <v>12.542375742841706</v>
      </c>
      <c r="X67" s="89">
        <f t="shared" si="22"/>
        <v>0.31681582597993657</v>
      </c>
      <c r="Y67" s="89">
        <f t="shared" si="23"/>
        <v>0.18291370241305002</v>
      </c>
      <c r="Z67" s="89">
        <f>(V67-$V$61)/(D65-$D$59)</f>
        <v>0.1262068765918036</v>
      </c>
      <c r="AA67" s="88">
        <f t="shared" ref="AA67:AA109" si="25">AVERAGE(Z65:Z67)</f>
        <v>0.12484040617867891</v>
      </c>
      <c r="AB67" s="95">
        <f t="shared" ref="AB67:AB109" si="26">STDEV(Z65:Z67)/SQRT(3)</f>
        <v>8.6021861028941974E-4</v>
      </c>
      <c r="AD67" s="81">
        <f>D86</f>
        <v>215.5</v>
      </c>
      <c r="AE67" s="80">
        <f>S88</f>
        <v>56.780702039287895</v>
      </c>
      <c r="AF67" s="80">
        <f>U88</f>
        <v>5.3860477123849355</v>
      </c>
      <c r="AG67" s="80">
        <f>W88</f>
        <v>55.072258238789836</v>
      </c>
      <c r="AH67" s="80">
        <f>Y88</f>
        <v>5.0733654552210155</v>
      </c>
    </row>
    <row r="68" spans="2:34" x14ac:dyDescent="0.2">
      <c r="B68" s="206" t="s">
        <v>26</v>
      </c>
      <c r="C68" s="203">
        <v>0.5</v>
      </c>
      <c r="D68" s="228">
        <f>24+D65</f>
        <v>73</v>
      </c>
      <c r="E68" s="104" t="s">
        <v>104</v>
      </c>
      <c r="F68" s="209">
        <f>(0.0193+0.063)/2</f>
        <v>4.1149999999999999E-2</v>
      </c>
      <c r="G68" s="212">
        <f>(0.02+0.0611)/2</f>
        <v>4.0550000000000003E-2</v>
      </c>
      <c r="H68" s="92">
        <f>0.205-F68</f>
        <v>0.16385</v>
      </c>
      <c r="I68" s="96">
        <f>0.2076-F68</f>
        <v>0.16645000000000001</v>
      </c>
      <c r="J68" s="96">
        <f>0.1492-G68</f>
        <v>0.10865</v>
      </c>
      <c r="K68" s="96">
        <f>0.1518-G68</f>
        <v>0.11124999999999999</v>
      </c>
      <c r="L68" s="76">
        <f t="shared" si="14"/>
        <v>1.5902228525121558E-2</v>
      </c>
      <c r="M68" s="76">
        <f t="shared" si="15"/>
        <v>1.60686790923825E-2</v>
      </c>
      <c r="N68" s="96">
        <f t="shared" si="16"/>
        <v>1.5985453808752027E-2</v>
      </c>
      <c r="O68" s="96">
        <f>'Growth curves CeBER'!F34</f>
        <v>0.27500000000000002</v>
      </c>
      <c r="P68" s="96">
        <f t="shared" si="17"/>
        <v>0.33918500000000001</v>
      </c>
      <c r="Q68" s="97">
        <f t="shared" ref="Q68:Q76" si="27">O68*0.5/1000</f>
        <v>1.3750000000000001E-4</v>
      </c>
      <c r="R68" s="98">
        <f t="shared" si="18"/>
        <v>58.128922940916461</v>
      </c>
      <c r="S68" s="99"/>
      <c r="T68" s="100"/>
      <c r="U68" s="100"/>
      <c r="V68" s="80">
        <f t="shared" si="19"/>
        <v>19.716458727714752</v>
      </c>
      <c r="W68" s="94"/>
      <c r="X68" s="80"/>
      <c r="Y68" s="80"/>
      <c r="Z68" s="80">
        <f t="shared" si="24"/>
        <v>0.18484586343553655</v>
      </c>
      <c r="AA68" s="94"/>
      <c r="AB68" s="101"/>
      <c r="AD68" s="81">
        <f>D89</f>
        <v>263.5</v>
      </c>
      <c r="AE68" s="80">
        <f>S91</f>
        <v>60.830921774453408</v>
      </c>
      <c r="AF68" s="80">
        <f>U91</f>
        <v>2.383308938326878</v>
      </c>
      <c r="AG68" s="80">
        <f>W91</f>
        <v>68.471772015126959</v>
      </c>
      <c r="AH68" s="80">
        <f>Y91</f>
        <v>5.1751721294857411</v>
      </c>
    </row>
    <row r="69" spans="2:34" x14ac:dyDescent="0.2">
      <c r="B69" s="207"/>
      <c r="C69" s="204"/>
      <c r="D69" s="226"/>
      <c r="E69" s="104" t="s">
        <v>105</v>
      </c>
      <c r="F69" s="210"/>
      <c r="G69" s="213"/>
      <c r="H69" s="74">
        <f>0.2144-F68</f>
        <v>0.17325000000000002</v>
      </c>
      <c r="I69" s="76">
        <f>0.2152-F68</f>
        <v>0.17405000000000001</v>
      </c>
      <c r="J69" s="76">
        <f>0.1405-G68</f>
        <v>9.9950000000000011E-2</v>
      </c>
      <c r="K69" s="76">
        <f>0.1424-G68</f>
        <v>0.10185</v>
      </c>
      <c r="L69" s="76">
        <f t="shared" si="14"/>
        <v>1.8278808752025935E-2</v>
      </c>
      <c r="M69" s="76">
        <f t="shared" si="15"/>
        <v>1.8222163695299842E-2</v>
      </c>
      <c r="N69" s="76">
        <f t="shared" si="16"/>
        <v>1.825048622366289E-2</v>
      </c>
      <c r="O69" s="76">
        <f>'Growth curves CeBER'!G34</f>
        <v>0.30499999999999999</v>
      </c>
      <c r="P69" s="76">
        <f t="shared" si="17"/>
        <v>0.37618699999999999</v>
      </c>
      <c r="Q69" s="77">
        <f t="shared" si="27"/>
        <v>1.5249999999999999E-4</v>
      </c>
      <c r="R69" s="78">
        <f t="shared" si="18"/>
        <v>59.837659749714398</v>
      </c>
      <c r="S69" s="79"/>
      <c r="T69" s="80"/>
      <c r="U69" s="80"/>
      <c r="V69" s="80">
        <f t="shared" si="19"/>
        <v>22.510149708265811</v>
      </c>
      <c r="W69" s="94"/>
      <c r="X69" s="80"/>
      <c r="Y69" s="80"/>
      <c r="Z69" s="80">
        <f>(V69-$V$60)/(D68-$D$59)</f>
        <v>0.22166026220554619</v>
      </c>
      <c r="AA69" s="94"/>
      <c r="AB69" s="101"/>
      <c r="AD69" s="81">
        <f>D92</f>
        <v>287.5</v>
      </c>
      <c r="AE69" s="80">
        <f>S94</f>
        <v>60.185464410668324</v>
      </c>
      <c r="AF69" s="80">
        <f>U94</f>
        <v>1.3628531946645686</v>
      </c>
      <c r="AG69" s="80">
        <f>W94</f>
        <v>77.332050243111837</v>
      </c>
      <c r="AH69" s="80">
        <f>Y94</f>
        <v>4.9684701258043553</v>
      </c>
    </row>
    <row r="70" spans="2:34" x14ac:dyDescent="0.2">
      <c r="B70" s="208"/>
      <c r="C70" s="205"/>
      <c r="D70" s="227"/>
      <c r="E70" s="151" t="s">
        <v>106</v>
      </c>
      <c r="F70" s="211"/>
      <c r="G70" s="214"/>
      <c r="H70" s="74">
        <f>0.1957-F68</f>
        <v>0.15455000000000002</v>
      </c>
      <c r="I70" s="76">
        <f>0.2034-F68</f>
        <v>0.16225000000000001</v>
      </c>
      <c r="J70" s="76">
        <f>0.1326-G68</f>
        <v>9.2049999999999993E-2</v>
      </c>
      <c r="K70" s="76">
        <f>0.1402-G68</f>
        <v>9.9649999999999989E-2</v>
      </c>
      <c r="L70" s="76">
        <f t="shared" si="14"/>
        <v>1.6022649918962725E-2</v>
      </c>
      <c r="M70" s="76">
        <f t="shared" si="15"/>
        <v>1.652540518638574E-2</v>
      </c>
      <c r="N70" s="76">
        <f t="shared" si="16"/>
        <v>1.6274027552674233E-2</v>
      </c>
      <c r="O70" s="76">
        <f>'Growth curves CeBER'!H34</f>
        <v>0.314</v>
      </c>
      <c r="P70" s="76">
        <f t="shared" si="17"/>
        <v>0.38728760000000001</v>
      </c>
      <c r="Q70" s="77">
        <f t="shared" si="27"/>
        <v>1.5699999999999999E-4</v>
      </c>
      <c r="R70" s="78">
        <f t="shared" si="18"/>
        <v>51.828113225077175</v>
      </c>
      <c r="S70" s="94">
        <f>AVERAGE(R68:R70)</f>
        <v>56.598231971902671</v>
      </c>
      <c r="T70" s="80">
        <f>STDEV(R68:R70)</f>
        <v>4.2184677330219467</v>
      </c>
      <c r="U70" s="89">
        <f>T70/SQRT(3)</f>
        <v>2.4355334812279712</v>
      </c>
      <c r="V70" s="89">
        <f t="shared" si="19"/>
        <v>20.0723855834684</v>
      </c>
      <c r="W70" s="88">
        <f t="shared" si="21"/>
        <v>20.766331339816322</v>
      </c>
      <c r="X70" s="89">
        <f t="shared" si="22"/>
        <v>1.5206406078584283</v>
      </c>
      <c r="Y70" s="89">
        <f t="shared" si="23"/>
        <v>0.8779422642877398</v>
      </c>
      <c r="Z70" s="89">
        <f>(V70-$V$61)/(D68-$D$59)</f>
        <v>0.18285560722452882</v>
      </c>
      <c r="AA70" s="88">
        <f t="shared" si="25"/>
        <v>0.19645391095520384</v>
      </c>
      <c r="AB70" s="95">
        <f t="shared" si="26"/>
        <v>1.2616264469103494E-2</v>
      </c>
      <c r="AD70" s="81">
        <f>D95</f>
        <v>311.5</v>
      </c>
      <c r="AE70" s="80">
        <f>S97</f>
        <v>60.905975539696271</v>
      </c>
      <c r="AF70" s="80">
        <f>U97</f>
        <v>2.9693457193636683</v>
      </c>
      <c r="AG70" s="80">
        <f>W97</f>
        <v>83.562398703403559</v>
      </c>
      <c r="AH70" s="80">
        <f>Y97</f>
        <v>7.554997630646878</v>
      </c>
    </row>
    <row r="71" spans="2:34" x14ac:dyDescent="0.2">
      <c r="B71" s="206" t="s">
        <v>27</v>
      </c>
      <c r="C71" s="203">
        <v>0.4375</v>
      </c>
      <c r="D71" s="218">
        <f>22.5+D68</f>
        <v>95.5</v>
      </c>
      <c r="E71" s="104" t="s">
        <v>104</v>
      </c>
      <c r="F71" s="209">
        <f>(0.046+0.0511+0.0509)/3</f>
        <v>4.9333333333333333E-2</v>
      </c>
      <c r="G71" s="212">
        <f>(0.045+0.0494+0.0494)/3</f>
        <v>4.7933333333333328E-2</v>
      </c>
      <c r="H71" s="92">
        <f>0.3188-F71</f>
        <v>0.26946666666666663</v>
      </c>
      <c r="I71" s="96">
        <f>0.2991-F71</f>
        <v>0.24976666666666664</v>
      </c>
      <c r="J71" s="96">
        <f>0.2331-G71</f>
        <v>0.18516666666666667</v>
      </c>
      <c r="K71" s="96">
        <f>0.2172-G71</f>
        <v>0.16926666666666668</v>
      </c>
      <c r="L71" s="76">
        <f t="shared" si="14"/>
        <v>2.5517152890329547E-2</v>
      </c>
      <c r="M71" s="76">
        <f t="shared" si="15"/>
        <v>2.3883360345759046E-2</v>
      </c>
      <c r="N71" s="96">
        <f t="shared" si="16"/>
        <v>2.4700256618044297E-2</v>
      </c>
      <c r="O71" s="103">
        <f>'Growth curves CeBER'!F35</f>
        <v>0.35499999999999998</v>
      </c>
      <c r="P71" s="96">
        <f t="shared" si="17"/>
        <v>0.437857</v>
      </c>
      <c r="Q71" s="97">
        <f t="shared" si="27"/>
        <v>1.7749999999999998E-4</v>
      </c>
      <c r="R71" s="98">
        <f t="shared" si="18"/>
        <v>69.578187656462816</v>
      </c>
      <c r="S71" s="102"/>
      <c r="T71" s="103"/>
      <c r="U71" s="103"/>
      <c r="V71" s="80">
        <f t="shared" si="19"/>
        <v>30.46529651269584</v>
      </c>
      <c r="W71" s="94"/>
      <c r="X71" s="80"/>
      <c r="Y71" s="80"/>
      <c r="Z71" s="80">
        <f t="shared" si="24"/>
        <v>0.25384906613377234</v>
      </c>
      <c r="AA71" s="94"/>
      <c r="AB71" s="101"/>
      <c r="AD71" s="81">
        <f>D98</f>
        <v>335.5</v>
      </c>
      <c r="AE71" s="80">
        <f>S100</f>
        <v>61.619317940703041</v>
      </c>
      <c r="AF71" s="80">
        <f>U100</f>
        <v>0.80173484137150131</v>
      </c>
      <c r="AG71" s="80">
        <f>W100</f>
        <v>90.599473257698534</v>
      </c>
      <c r="AH71" s="80">
        <f>Y100</f>
        <v>6.3862737134083121</v>
      </c>
    </row>
    <row r="72" spans="2:34" ht="15" customHeight="1" x14ac:dyDescent="0.2">
      <c r="B72" s="207"/>
      <c r="C72" s="204"/>
      <c r="D72" s="219"/>
      <c r="E72" s="104" t="s">
        <v>105</v>
      </c>
      <c r="F72" s="210"/>
      <c r="G72" s="213"/>
      <c r="H72" s="74">
        <f>0.2984-F71</f>
        <v>0.24906666666666666</v>
      </c>
      <c r="I72" s="76">
        <f>0.3333-F71</f>
        <v>0.28396666666666665</v>
      </c>
      <c r="J72" s="76">
        <f>0.226-G71</f>
        <v>0.17806666666666668</v>
      </c>
      <c r="K72" s="76">
        <f>0.2562-G71</f>
        <v>0.20826666666666666</v>
      </c>
      <c r="L72" s="76">
        <f t="shared" si="14"/>
        <v>2.2907023230686118E-2</v>
      </c>
      <c r="M72" s="76">
        <f t="shared" si="15"/>
        <v>2.5602160994057266E-2</v>
      </c>
      <c r="N72" s="76">
        <f t="shared" si="16"/>
        <v>2.4254592112371694E-2</v>
      </c>
      <c r="O72" s="56">
        <f>'Growth curves CeBER'!G35</f>
        <v>0.377</v>
      </c>
      <c r="P72" s="76">
        <f t="shared" si="17"/>
        <v>0.46499180000000001</v>
      </c>
      <c r="Q72" s="77">
        <f t="shared" si="27"/>
        <v>1.885E-4</v>
      </c>
      <c r="R72" s="78">
        <f t="shared" si="18"/>
        <v>64.335788096476634</v>
      </c>
      <c r="S72" s="79"/>
      <c r="V72" s="80">
        <f t="shared" si="19"/>
        <v>29.915613911399245</v>
      </c>
      <c r="W72" s="94"/>
      <c r="X72" s="80"/>
      <c r="Y72" s="80"/>
      <c r="Z72" s="80">
        <f>(V72-$V$60)/(D71-$D$59)</f>
        <v>0.24698076800144822</v>
      </c>
      <c r="AA72" s="94"/>
      <c r="AB72" s="101"/>
      <c r="AD72" s="81">
        <f>D101</f>
        <v>361</v>
      </c>
      <c r="AE72" s="80">
        <f>S103</f>
        <v>62.707491910675678</v>
      </c>
      <c r="AF72" s="80">
        <f>U103</f>
        <v>2.2189008722417167</v>
      </c>
      <c r="AG72" s="80">
        <f>W103</f>
        <v>94.97237979470556</v>
      </c>
      <c r="AH72" s="80">
        <f>Y103</f>
        <v>2.239841040665989</v>
      </c>
    </row>
    <row r="73" spans="2:34" ht="15" customHeight="1" x14ac:dyDescent="0.2">
      <c r="B73" s="208"/>
      <c r="C73" s="205"/>
      <c r="D73" s="220"/>
      <c r="E73" s="151" t="s">
        <v>106</v>
      </c>
      <c r="F73" s="211"/>
      <c r="G73" s="214"/>
      <c r="H73" s="83">
        <f>0.272-F71</f>
        <v>0.22266666666666668</v>
      </c>
      <c r="I73" s="85">
        <f>0.2783-F71</f>
        <v>0.22896666666666665</v>
      </c>
      <c r="J73" s="85">
        <f>0.1871-G71</f>
        <v>0.13916666666666666</v>
      </c>
      <c r="K73" s="85">
        <f>0.1897-G71</f>
        <v>0.14176666666666668</v>
      </c>
      <c r="L73" s="76">
        <f t="shared" si="14"/>
        <v>2.2442598595353865E-2</v>
      </c>
      <c r="M73" s="76">
        <f t="shared" si="15"/>
        <v>2.320872501350621E-2</v>
      </c>
      <c r="N73" s="85">
        <f t="shared" si="16"/>
        <v>2.2825661804430037E-2</v>
      </c>
      <c r="O73" s="90">
        <f>'Growth curves CeBER'!H35</f>
        <v>0.38200000000000001</v>
      </c>
      <c r="P73" s="85">
        <f t="shared" si="17"/>
        <v>0.47115880000000004</v>
      </c>
      <c r="Q73" s="86">
        <f t="shared" si="27"/>
        <v>1.9100000000000001E-4</v>
      </c>
      <c r="R73" s="87">
        <f t="shared" si="18"/>
        <v>59.753041372853495</v>
      </c>
      <c r="S73" s="88">
        <f>AVERAGE(R71:R73)</f>
        <v>64.555672375264308</v>
      </c>
      <c r="T73" s="89">
        <f>STDEV(R71:R73)</f>
        <v>4.9162624722062995</v>
      </c>
      <c r="U73" s="89">
        <f>T73/SQRT(3)</f>
        <v>2.8384054617351624</v>
      </c>
      <c r="V73" s="89">
        <f t="shared" si="19"/>
        <v>28.153171269584007</v>
      </c>
      <c r="W73" s="88">
        <f t="shared" si="21"/>
        <v>29.511360564559698</v>
      </c>
      <c r="X73" s="89">
        <f t="shared" si="22"/>
        <v>1.2079099143901293</v>
      </c>
      <c r="Y73" s="89">
        <f t="shared" si="23"/>
        <v>0.69738711422995903</v>
      </c>
      <c r="Z73" s="89">
        <f>(V73-$V$61)/(D71-$D$59)</f>
        <v>0.22439000014142629</v>
      </c>
      <c r="AA73" s="88">
        <f t="shared" si="25"/>
        <v>0.24173994475888227</v>
      </c>
      <c r="AB73" s="95">
        <f t="shared" si="26"/>
        <v>8.8986668192528387E-3</v>
      </c>
      <c r="AD73" s="81">
        <f>D104</f>
        <v>385.5</v>
      </c>
      <c r="AE73" s="80">
        <f>S106</f>
        <v>49.268149116142929</v>
      </c>
      <c r="AF73" s="80">
        <f>U106</f>
        <v>12.271150393607694</v>
      </c>
      <c r="AG73" s="80">
        <f>W106</f>
        <v>78.585528092922743</v>
      </c>
      <c r="AH73" s="80">
        <f>Y106</f>
        <v>20.757579695142024</v>
      </c>
    </row>
    <row r="74" spans="2:34" x14ac:dyDescent="0.2">
      <c r="B74" s="206" t="s">
        <v>28</v>
      </c>
      <c r="C74" s="203">
        <v>0.4375</v>
      </c>
      <c r="D74" s="218">
        <f>24+D71</f>
        <v>119.5</v>
      </c>
      <c r="E74" s="104" t="s">
        <v>104</v>
      </c>
      <c r="F74" s="209">
        <f>(0.0435+0.0441+0.0503)/3</f>
        <v>4.5966666666666663E-2</v>
      </c>
      <c r="G74" s="212">
        <f>(0.0432+0.0439+0.0501)/3</f>
        <v>4.5733333333333341E-2</v>
      </c>
      <c r="H74" s="74">
        <f>0.3306-F74</f>
        <v>0.28463333333333335</v>
      </c>
      <c r="I74" s="76">
        <f>0.2997-F74</f>
        <v>0.25373333333333337</v>
      </c>
      <c r="J74" s="76">
        <f>0.2152-G74</f>
        <v>0.16946666666666665</v>
      </c>
      <c r="K74" s="76">
        <f>0.1876-G74</f>
        <v>0.14186666666666664</v>
      </c>
      <c r="L74" s="76">
        <f t="shared" si="14"/>
        <v>2.9514748784440849E-2</v>
      </c>
      <c r="M74" s="76">
        <f t="shared" si="15"/>
        <v>2.7212965964343607E-2</v>
      </c>
      <c r="N74" s="76">
        <f t="shared" si="16"/>
        <v>2.8363857374392228E-2</v>
      </c>
      <c r="O74" s="56">
        <f>'Growth curves CeBER'!F36</f>
        <v>0.41599999999999998</v>
      </c>
      <c r="P74" s="76">
        <f t="shared" si="17"/>
        <v>0.51309439999999995</v>
      </c>
      <c r="Q74" s="77">
        <f t="shared" si="27"/>
        <v>2.0799999999999999E-4</v>
      </c>
      <c r="R74" s="78">
        <f t="shared" si="18"/>
        <v>68.182349457673624</v>
      </c>
      <c r="S74" s="79"/>
      <c r="V74" s="80">
        <f t="shared" si="19"/>
        <v>34.983981685575372</v>
      </c>
      <c r="W74" s="94"/>
      <c r="X74" s="80"/>
      <c r="Y74" s="80"/>
      <c r="Z74" s="80">
        <f t="shared" si="24"/>
        <v>0.24068009195527021</v>
      </c>
      <c r="AA74" s="94"/>
      <c r="AB74" s="101"/>
      <c r="AD74" s="81">
        <f>D107</f>
        <v>409</v>
      </c>
      <c r="AE74" s="80">
        <f>S109</f>
        <v>65.538365037624331</v>
      </c>
      <c r="AF74" s="80">
        <f>U109</f>
        <v>2.5443867862169562</v>
      </c>
      <c r="AG74" s="80">
        <f>W109</f>
        <v>106.68246893571045</v>
      </c>
      <c r="AH74" s="80">
        <f>Y109</f>
        <v>2.835696422033025</v>
      </c>
    </row>
    <row r="75" spans="2:34" x14ac:dyDescent="0.2">
      <c r="B75" s="207"/>
      <c r="C75" s="204"/>
      <c r="D75" s="219"/>
      <c r="E75" s="104" t="s">
        <v>105</v>
      </c>
      <c r="F75" s="210"/>
      <c r="G75" s="213"/>
      <c r="H75" s="74">
        <f>0.3269-F74</f>
        <v>0.28093333333333337</v>
      </c>
      <c r="I75" s="76">
        <f>0.3592-F74</f>
        <v>0.31323333333333336</v>
      </c>
      <c r="J75" s="76">
        <f>0.2248-G74</f>
        <v>0.17906666666666665</v>
      </c>
      <c r="K75" s="76">
        <f>0.2554-G74</f>
        <v>0.20966666666666667</v>
      </c>
      <c r="L75" s="76">
        <f t="shared" si="14"/>
        <v>2.7973743922204218E-2</v>
      </c>
      <c r="M75" s="76">
        <f t="shared" si="15"/>
        <v>3.0208265802269048E-2</v>
      </c>
      <c r="N75" s="76">
        <f t="shared" si="16"/>
        <v>2.9091004862236633E-2</v>
      </c>
      <c r="O75" s="56">
        <f>'Growth curves CeBER'!G36</f>
        <v>0.44500000000000001</v>
      </c>
      <c r="P75" s="76">
        <f t="shared" si="17"/>
        <v>0.54886299999999999</v>
      </c>
      <c r="Q75" s="77">
        <f t="shared" si="27"/>
        <v>2.2250000000000001E-4</v>
      </c>
      <c r="R75" s="78">
        <f t="shared" si="18"/>
        <v>65.373044634239619</v>
      </c>
      <c r="S75" s="79"/>
      <c r="V75" s="80">
        <f t="shared" si="19"/>
        <v>35.880845397082659</v>
      </c>
      <c r="W75" s="94"/>
      <c r="X75" s="80"/>
      <c r="Y75" s="80"/>
      <c r="Z75" s="80">
        <f>(V75-$V$60)/(D74-$D$59)</f>
        <v>0.24729619104453321</v>
      </c>
      <c r="AA75" s="94"/>
      <c r="AB75" s="101"/>
    </row>
    <row r="76" spans="2:34" x14ac:dyDescent="0.2">
      <c r="B76" s="208"/>
      <c r="C76" s="205"/>
      <c r="D76" s="220"/>
      <c r="E76" s="151" t="s">
        <v>106</v>
      </c>
      <c r="F76" s="211"/>
      <c r="G76" s="214"/>
      <c r="H76" s="74">
        <f>0.2919-F74</f>
        <v>0.24593333333333334</v>
      </c>
      <c r="I76" s="76">
        <f>0.3128-F74</f>
        <v>0.26683333333333337</v>
      </c>
      <c r="J76" s="76">
        <f>0.1933-G74</f>
        <v>0.14756666666666665</v>
      </c>
      <c r="K76" s="76">
        <f>0.2123-G74</f>
        <v>0.16656666666666664</v>
      </c>
      <c r="L76" s="76">
        <f t="shared" si="14"/>
        <v>2.5389870340356564E-2</v>
      </c>
      <c r="M76" s="76">
        <f t="shared" si="15"/>
        <v>2.6914181523500818E-2</v>
      </c>
      <c r="N76" s="76">
        <f t="shared" si="16"/>
        <v>2.6152025931928689E-2</v>
      </c>
      <c r="O76" s="56">
        <f>'Growth curves CeBER'!H36</f>
        <v>0.45200000000000001</v>
      </c>
      <c r="P76" s="76">
        <f t="shared" si="17"/>
        <v>0.55749680000000001</v>
      </c>
      <c r="Q76" s="77">
        <f t="shared" si="27"/>
        <v>2.2600000000000002E-4</v>
      </c>
      <c r="R76" s="78">
        <f t="shared" si="18"/>
        <v>57.85846445116966</v>
      </c>
      <c r="S76" s="94">
        <f>AVERAGE(R74:R76)</f>
        <v>63.804619514360958</v>
      </c>
      <c r="T76" s="80">
        <f>STDEV(R74:R76)</f>
        <v>5.3376603886327496</v>
      </c>
      <c r="U76" s="89">
        <f>T76/SQRT(3)</f>
        <v>3.0816996622199206</v>
      </c>
      <c r="V76" s="89">
        <f t="shared" si="19"/>
        <v>32.255908784440841</v>
      </c>
      <c r="W76" s="88">
        <f t="shared" si="21"/>
        <v>34.373578622366288</v>
      </c>
      <c r="X76" s="89">
        <f t="shared" si="22"/>
        <v>1.887984450703728</v>
      </c>
      <c r="Y76" s="89">
        <f t="shared" si="23"/>
        <v>1.0900283308396252</v>
      </c>
      <c r="Z76" s="89">
        <f>(V76-$V$61)/(D74-$D$59)</f>
        <v>0.2136567575595234</v>
      </c>
      <c r="AA76" s="88">
        <f t="shared" si="25"/>
        <v>0.23387768018644228</v>
      </c>
      <c r="AB76" s="95">
        <f t="shared" si="26"/>
        <v>1.0289273957259511E-2</v>
      </c>
      <c r="AD76" s="81"/>
      <c r="AE76" s="80"/>
      <c r="AF76" s="80"/>
      <c r="AG76" s="80"/>
      <c r="AH76" s="80"/>
    </row>
    <row r="77" spans="2:34" x14ac:dyDescent="0.2">
      <c r="B77" s="206" t="s">
        <v>29</v>
      </c>
      <c r="C77" s="203">
        <v>0.4375</v>
      </c>
      <c r="D77" s="218">
        <f>24+D74</f>
        <v>143.5</v>
      </c>
      <c r="E77" s="104" t="s">
        <v>104</v>
      </c>
      <c r="F77" s="209">
        <f>(0.0423+0.0501)/2</f>
        <v>4.6199999999999998E-2</v>
      </c>
      <c r="G77" s="212">
        <f>(0.0402+0.0474)/2</f>
        <v>4.3799999999999999E-2</v>
      </c>
      <c r="H77" s="92">
        <f>0.1874-F77</f>
        <v>0.14120000000000002</v>
      </c>
      <c r="I77" s="96">
        <f>0.1937-F77</f>
        <v>0.14750000000000002</v>
      </c>
      <c r="J77" s="96">
        <f>0.1188-G77</f>
        <v>7.5000000000000011E-2</v>
      </c>
      <c r="K77" s="96">
        <f>0.1248-G77</f>
        <v>8.0999999999999989E-2</v>
      </c>
      <c r="L77" s="76">
        <f t="shared" si="14"/>
        <v>1.553079416531605E-2</v>
      </c>
      <c r="M77" s="76">
        <f t="shared" si="15"/>
        <v>1.5963533225283634E-2</v>
      </c>
      <c r="N77" s="96">
        <f t="shared" si="16"/>
        <v>1.574716369529984E-2</v>
      </c>
      <c r="O77" s="96">
        <f>'Growth curves CeBER'!F37</f>
        <v>0.52100000000000002</v>
      </c>
      <c r="P77" s="96">
        <f t="shared" si="17"/>
        <v>0.6426014000000001</v>
      </c>
      <c r="Q77" s="97">
        <f>O77*0.25/1000</f>
        <v>1.3024999999999999E-4</v>
      </c>
      <c r="R77" s="98">
        <f t="shared" si="18"/>
        <v>60.449764665258506</v>
      </c>
      <c r="S77" s="102"/>
      <c r="T77" s="103"/>
      <c r="U77" s="103"/>
      <c r="V77" s="80">
        <f t="shared" si="19"/>
        <v>38.845103403565652</v>
      </c>
      <c r="W77" s="94"/>
      <c r="X77" s="80"/>
      <c r="Y77" s="80"/>
      <c r="Z77" s="80">
        <f t="shared" si="24"/>
        <v>0.22733374708463466</v>
      </c>
      <c r="AA77" s="94"/>
      <c r="AB77" s="101"/>
      <c r="AE77" s="80"/>
      <c r="AF77" s="80"/>
      <c r="AG77" s="80"/>
      <c r="AH77" s="80"/>
    </row>
    <row r="78" spans="2:34" x14ac:dyDescent="0.2">
      <c r="B78" s="207"/>
      <c r="C78" s="204"/>
      <c r="D78" s="219"/>
      <c r="E78" s="104" t="s">
        <v>105</v>
      </c>
      <c r="F78" s="210"/>
      <c r="G78" s="213"/>
      <c r="H78" s="74">
        <f>0.2016-F77</f>
        <v>0.15540000000000001</v>
      </c>
      <c r="I78" s="76">
        <f>0.1978-F77</f>
        <v>0.15160000000000001</v>
      </c>
      <c r="J78" s="76">
        <f>0.1428-G77</f>
        <v>9.9000000000000005E-2</v>
      </c>
      <c r="K78" s="76">
        <f>0.1398-G77</f>
        <v>9.6000000000000002E-2</v>
      </c>
      <c r="L78" s="76">
        <f t="shared" si="14"/>
        <v>1.5478930307941655E-2</v>
      </c>
      <c r="M78" s="76">
        <f t="shared" si="15"/>
        <v>1.5157212317666129E-2</v>
      </c>
      <c r="N78" s="76">
        <f t="shared" si="16"/>
        <v>1.5318071312803893E-2</v>
      </c>
      <c r="O78" s="76">
        <f>'Growth curves CeBER'!G37</f>
        <v>0.52700000000000002</v>
      </c>
      <c r="P78" s="76">
        <f t="shared" si="17"/>
        <v>0.65000180000000007</v>
      </c>
      <c r="Q78" s="77">
        <f>O78*0.25/1000</f>
        <v>1.3175E-4</v>
      </c>
      <c r="R78" s="78">
        <f t="shared" si="18"/>
        <v>58.133097961305097</v>
      </c>
      <c r="S78" s="79"/>
      <c r="V78" s="80">
        <f t="shared" si="19"/>
        <v>37.786618314424651</v>
      </c>
      <c r="W78" s="94"/>
      <c r="X78" s="80"/>
      <c r="Y78" s="80"/>
      <c r="Z78" s="80">
        <f>(V78-$V$60)/(D77-$D$59)</f>
        <v>0.21921719684434643</v>
      </c>
      <c r="AA78" s="94"/>
      <c r="AB78" s="101"/>
      <c r="AE78" s="80"/>
      <c r="AF78" s="80"/>
      <c r="AG78" s="80"/>
      <c r="AH78" s="80"/>
    </row>
    <row r="79" spans="2:34" x14ac:dyDescent="0.2">
      <c r="B79" s="208"/>
      <c r="C79" s="205"/>
      <c r="D79" s="220"/>
      <c r="E79" s="151" t="s">
        <v>106</v>
      </c>
      <c r="F79" s="211"/>
      <c r="G79" s="214"/>
      <c r="H79" s="74">
        <f>0.2127-F77</f>
        <v>0.16650000000000001</v>
      </c>
      <c r="I79" s="76">
        <f>0.2097-F77</f>
        <v>0.16350000000000001</v>
      </c>
      <c r="J79" s="76">
        <f>0.1461-G77</f>
        <v>0.1023</v>
      </c>
      <c r="K79" s="76">
        <f>0.1415-G77</f>
        <v>9.7699999999999981E-2</v>
      </c>
      <c r="L79" s="76">
        <f t="shared" si="14"/>
        <v>1.6954376012965965E-2</v>
      </c>
      <c r="M79" s="76">
        <f t="shared" si="15"/>
        <v>1.691920583468396E-2</v>
      </c>
      <c r="N79" s="76">
        <f t="shared" si="16"/>
        <v>1.6936790923824961E-2</v>
      </c>
      <c r="O79" s="76">
        <f>'Growth curves CeBER'!H37</f>
        <v>0.58799999999999997</v>
      </c>
      <c r="P79" s="76">
        <f t="shared" si="17"/>
        <v>0.72523919999999997</v>
      </c>
      <c r="Q79" s="77">
        <f>O79*0.25/1000</f>
        <v>1.47E-4</v>
      </c>
      <c r="R79" s="78">
        <f t="shared" si="18"/>
        <v>57.608132393962457</v>
      </c>
      <c r="S79" s="94">
        <f>AVERAGE(R77:R79)</f>
        <v>58.730331673508687</v>
      </c>
      <c r="T79" s="80">
        <f>STDEV(R77:R79)</f>
        <v>1.512029950616768</v>
      </c>
      <c r="U79" s="89">
        <f>T79/SQRT(3)</f>
        <v>0.8729708990113676</v>
      </c>
      <c r="V79" s="89">
        <f t="shared" si="19"/>
        <v>41.779675850891415</v>
      </c>
      <c r="W79" s="88">
        <f t="shared" si="21"/>
        <v>39.470465856293906</v>
      </c>
      <c r="X79" s="89">
        <f t="shared" si="22"/>
        <v>2.0686797167143181</v>
      </c>
      <c r="Y79" s="89">
        <f t="shared" si="23"/>
        <v>1.1943527913121303</v>
      </c>
      <c r="Z79" s="89">
        <f>(V79-$V$61)/(D77-$D$59)</f>
        <v>0.24429093794295206</v>
      </c>
      <c r="AA79" s="88">
        <f t="shared" si="25"/>
        <v>0.23028062729064439</v>
      </c>
      <c r="AB79" s="95">
        <f t="shared" si="26"/>
        <v>7.3866140276720666E-3</v>
      </c>
    </row>
    <row r="80" spans="2:34" x14ac:dyDescent="0.2">
      <c r="B80" s="206" t="s">
        <v>30</v>
      </c>
      <c r="C80" s="203">
        <v>0.4375</v>
      </c>
      <c r="D80" s="218">
        <f>24+D77</f>
        <v>167.5</v>
      </c>
      <c r="E80" s="104" t="s">
        <v>104</v>
      </c>
      <c r="F80" s="209">
        <f>(0.0379+0.0475)/2</f>
        <v>4.2700000000000002E-2</v>
      </c>
      <c r="G80" s="212">
        <f>(0.0375+0.0463)/2</f>
        <v>4.19E-2</v>
      </c>
      <c r="H80" s="92">
        <f>0.1483-F80</f>
        <v>0.10559999999999999</v>
      </c>
      <c r="I80" s="96">
        <f>0.1306-F80</f>
        <v>8.7899999999999992E-2</v>
      </c>
      <c r="J80" s="96">
        <f>0.1161-G80</f>
        <v>7.4199999999999988E-2</v>
      </c>
      <c r="K80" s="96">
        <f>0.0989-G80</f>
        <v>5.7000000000000002E-2</v>
      </c>
      <c r="L80" s="76">
        <f t="shared" si="14"/>
        <v>9.8393841166936787E-3</v>
      </c>
      <c r="M80" s="76">
        <f t="shared" si="15"/>
        <v>8.6572123176661252E-3</v>
      </c>
      <c r="N80" s="96">
        <f t="shared" si="16"/>
        <v>9.2482982171799011E-3</v>
      </c>
      <c r="O80" s="103">
        <f>'Growth curves CeBER'!F38</f>
        <v>0.58499999999999996</v>
      </c>
      <c r="P80" s="96">
        <f t="shared" si="17"/>
        <v>0.72153900000000004</v>
      </c>
      <c r="Q80" s="97">
        <f t="shared" ref="Q80:Q85" si="28">P80*0.125/1000</f>
        <v>9.0192374999999999E-5</v>
      </c>
      <c r="R80" s="98">
        <f t="shared" si="18"/>
        <v>51.269845245675711</v>
      </c>
      <c r="S80" s="102"/>
      <c r="T80" s="103"/>
      <c r="U80" s="103"/>
      <c r="V80" s="80">
        <f t="shared" si="19"/>
        <v>36.993192868719611</v>
      </c>
      <c r="W80" s="94"/>
      <c r="X80" s="80"/>
      <c r="Y80" s="80"/>
      <c r="Z80" s="80">
        <f t="shared" si="24"/>
        <v>0.18370437117491956</v>
      </c>
      <c r="AA80" s="94"/>
      <c r="AB80" s="101"/>
    </row>
    <row r="81" spans="2:28" x14ac:dyDescent="0.2">
      <c r="B81" s="207"/>
      <c r="C81" s="204"/>
      <c r="D81" s="219"/>
      <c r="E81" s="104" t="s">
        <v>105</v>
      </c>
      <c r="F81" s="210"/>
      <c r="G81" s="213"/>
      <c r="H81" s="74">
        <f>0.1537-F80</f>
        <v>0.111</v>
      </c>
      <c r="I81" s="76">
        <f>0.1508-F80</f>
        <v>0.10809999999999999</v>
      </c>
      <c r="J81" s="76">
        <f>0.116-G80</f>
        <v>7.4099999999999999E-2</v>
      </c>
      <c r="K81" s="76">
        <f>0.1131-G80</f>
        <v>7.1200000000000013E-2</v>
      </c>
      <c r="L81" s="76">
        <f t="shared" si="14"/>
        <v>1.0724392220421396E-2</v>
      </c>
      <c r="M81" s="76">
        <f t="shared" si="15"/>
        <v>1.0538735818476495E-2</v>
      </c>
      <c r="N81" s="76">
        <f t="shared" si="16"/>
        <v>1.0631564019448946E-2</v>
      </c>
      <c r="O81" s="56">
        <f>'Growth curves CeBER'!G38</f>
        <v>0.59899999999999998</v>
      </c>
      <c r="P81" s="76">
        <f t="shared" si="17"/>
        <v>0.73880659999999998</v>
      </c>
      <c r="Q81" s="77">
        <f t="shared" si="28"/>
        <v>9.2350824999999992E-5</v>
      </c>
      <c r="R81" s="78">
        <f t="shared" si="18"/>
        <v>57.560741982808203</v>
      </c>
      <c r="S81" s="79"/>
      <c r="V81" s="80">
        <f t="shared" si="19"/>
        <v>42.526256077795786</v>
      </c>
      <c r="W81" s="94"/>
      <c r="X81" s="80"/>
      <c r="Y81" s="80"/>
      <c r="Z81" s="80">
        <f>(V81-$V$60)/(D80-$D$59)</f>
        <v>0.21610331648080505</v>
      </c>
      <c r="AA81" s="94"/>
      <c r="AB81" s="101"/>
    </row>
    <row r="82" spans="2:28" x14ac:dyDescent="0.2">
      <c r="B82" s="208"/>
      <c r="C82" s="205"/>
      <c r="D82" s="220"/>
      <c r="E82" s="151" t="s">
        <v>106</v>
      </c>
      <c r="F82" s="211"/>
      <c r="G82" s="214"/>
      <c r="H82" s="74">
        <f>0.1424-F80</f>
        <v>9.9699999999999997E-2</v>
      </c>
      <c r="I82" s="76">
        <f>0.1491-F80</f>
        <v>0.10640000000000001</v>
      </c>
      <c r="J82" s="76">
        <f>0.0977-G80</f>
        <v>5.5799999999999995E-2</v>
      </c>
      <c r="K82" s="76">
        <f>0.1058-G80</f>
        <v>6.3900000000000012E-2</v>
      </c>
      <c r="L82" s="76">
        <f t="shared" si="14"/>
        <v>1.0687358184764992E-2</v>
      </c>
      <c r="M82" s="76">
        <f t="shared" si="15"/>
        <v>1.0979011345218802E-2</v>
      </c>
      <c r="N82" s="76">
        <f t="shared" si="16"/>
        <v>1.0833184764991897E-2</v>
      </c>
      <c r="O82" s="56">
        <f>'Growth curves CeBER'!H38</f>
        <v>0.63100000000000001</v>
      </c>
      <c r="P82" s="76">
        <f t="shared" si="17"/>
        <v>0.77827540000000006</v>
      </c>
      <c r="Q82" s="77">
        <f t="shared" si="28"/>
        <v>9.7284425000000008E-5</v>
      </c>
      <c r="R82" s="78">
        <f t="shared" si="18"/>
        <v>55.677898928795109</v>
      </c>
      <c r="S82" s="94">
        <f>AVERAGE(R80:R82)</f>
        <v>54.836162052426346</v>
      </c>
      <c r="T82" s="80">
        <f>STDEV(R80:R82)</f>
        <v>3.2288134300537319</v>
      </c>
      <c r="U82" s="89">
        <f>T82/SQRT(3)</f>
        <v>1.8641563030046011</v>
      </c>
      <c r="V82" s="89">
        <f t="shared" si="19"/>
        <v>43.332739059967587</v>
      </c>
      <c r="W82" s="88">
        <f t="shared" si="21"/>
        <v>40.950729335494323</v>
      </c>
      <c r="X82" s="89">
        <f t="shared" si="22"/>
        <v>3.4509672360835251</v>
      </c>
      <c r="Y82" s="89">
        <f t="shared" si="23"/>
        <v>1.9924168627174021</v>
      </c>
      <c r="Z82" s="89">
        <f>(V82-$V$61)/(D80-$D$59)</f>
        <v>0.21856007644113307</v>
      </c>
      <c r="AA82" s="88">
        <f t="shared" si="25"/>
        <v>0.20612258803228589</v>
      </c>
      <c r="AB82" s="95">
        <f t="shared" si="26"/>
        <v>1.1231521901529281E-2</v>
      </c>
    </row>
    <row r="83" spans="2:28" x14ac:dyDescent="0.2">
      <c r="B83" s="206" t="s">
        <v>31</v>
      </c>
      <c r="C83" s="203">
        <v>0.4375</v>
      </c>
      <c r="D83" s="215">
        <f>24+D80</f>
        <v>191.5</v>
      </c>
      <c r="E83" s="104" t="s">
        <v>104</v>
      </c>
      <c r="F83" s="209">
        <f>(0.0433+0.0489+0.0503)/3</f>
        <v>4.7500000000000007E-2</v>
      </c>
      <c r="G83" s="212">
        <f>(0.0414+0.0468+0.0487)/3</f>
        <v>4.5633333333333331E-2</v>
      </c>
      <c r="H83" s="92">
        <f>0.1538-F83</f>
        <v>0.10629999999999998</v>
      </c>
      <c r="I83" s="96">
        <f>0.1795-F83</f>
        <v>0.13199999999999998</v>
      </c>
      <c r="J83" s="96">
        <f>0.1024-G83</f>
        <v>5.6766666666666674E-2</v>
      </c>
      <c r="K83" s="96">
        <f>0.1257-G83</f>
        <v>8.0066666666666675E-2</v>
      </c>
      <c r="L83" s="76">
        <f t="shared" si="14"/>
        <v>1.1662263641274982E-2</v>
      </c>
      <c r="M83" s="76">
        <f t="shared" si="15"/>
        <v>1.3542895732036733E-2</v>
      </c>
      <c r="N83" s="96">
        <f t="shared" si="16"/>
        <v>1.2602579686655856E-2</v>
      </c>
      <c r="O83" s="96">
        <f>'Growth curves CeBER'!F39</f>
        <v>0.66</v>
      </c>
      <c r="P83" s="96">
        <f t="shared" si="17"/>
        <v>0.8140440000000001</v>
      </c>
      <c r="Q83" s="97">
        <f t="shared" si="28"/>
        <v>1.0175550000000001E-4</v>
      </c>
      <c r="R83" s="98">
        <f t="shared" si="18"/>
        <v>61.925791169302173</v>
      </c>
      <c r="S83" s="102"/>
      <c r="T83" s="103"/>
      <c r="U83" s="103"/>
      <c r="V83" s="80">
        <f t="shared" si="19"/>
        <v>50.410318746623425</v>
      </c>
      <c r="W83" s="94"/>
      <c r="X83" s="80"/>
      <c r="Y83" s="80"/>
      <c r="Z83" s="80">
        <f t="shared" si="24"/>
        <v>0.23074468955458405</v>
      </c>
      <c r="AA83" s="94"/>
      <c r="AB83" s="101"/>
    </row>
    <row r="84" spans="2:28" x14ac:dyDescent="0.2">
      <c r="B84" s="207"/>
      <c r="C84" s="204"/>
      <c r="D84" s="216"/>
      <c r="E84" s="104" t="s">
        <v>105</v>
      </c>
      <c r="F84" s="210"/>
      <c r="G84" s="213"/>
      <c r="H84" s="74">
        <f>0.1804-F83</f>
        <v>0.13289999999999999</v>
      </c>
      <c r="I84" s="76">
        <f>0.209-F83</f>
        <v>0.16149999999999998</v>
      </c>
      <c r="J84" s="76">
        <f>0.1259-G83</f>
        <v>8.0266666666666681E-2</v>
      </c>
      <c r="K84" s="76">
        <f>0.1539-G83</f>
        <v>0.10826666666666668</v>
      </c>
      <c r="L84" s="76">
        <f t="shared" si="14"/>
        <v>1.366915180983252E-2</v>
      </c>
      <c r="M84" s="76">
        <f t="shared" si="15"/>
        <v>1.5558941112911935E-2</v>
      </c>
      <c r="N84" s="76">
        <f t="shared" si="16"/>
        <v>1.4614046461372227E-2</v>
      </c>
      <c r="O84" s="56">
        <f>'Growth curves CeBER'!G39</f>
        <v>0.70899999999999996</v>
      </c>
      <c r="P84" s="76">
        <f t="shared" si="17"/>
        <v>0.87448059999999994</v>
      </c>
      <c r="Q84" s="77">
        <f t="shared" si="28"/>
        <v>1.0931007499999999E-4</v>
      </c>
      <c r="R84" s="78">
        <f t="shared" si="18"/>
        <v>66.84674976836412</v>
      </c>
      <c r="S84" s="79"/>
      <c r="V84" s="80">
        <f t="shared" si="19"/>
        <v>58.456185845488911</v>
      </c>
      <c r="W84" s="94"/>
      <c r="X84" s="80"/>
      <c r="Y84" s="80"/>
      <c r="Z84" s="80">
        <f>(V84-$V$60)/(D83-$D$59)</f>
        <v>0.272204883959415</v>
      </c>
      <c r="AA84" s="94"/>
      <c r="AB84" s="101"/>
    </row>
    <row r="85" spans="2:28" x14ac:dyDescent="0.2">
      <c r="B85" s="208"/>
      <c r="C85" s="205"/>
      <c r="D85" s="217"/>
      <c r="E85" s="151" t="s">
        <v>106</v>
      </c>
      <c r="F85" s="211"/>
      <c r="G85" s="214"/>
      <c r="H85" s="74">
        <f>0.1712-F83</f>
        <v>0.12369999999999998</v>
      </c>
      <c r="I85" s="76">
        <f>0.1735-F83</f>
        <v>0.12599999999999997</v>
      </c>
      <c r="J85" s="76">
        <f>0.1102-G83</f>
        <v>6.4566666666666675E-2</v>
      </c>
      <c r="K85" s="76">
        <f>0.1116-G83</f>
        <v>6.5966666666666673E-2</v>
      </c>
      <c r="L85" s="76">
        <f t="shared" si="14"/>
        <v>1.3717531064289568E-2</v>
      </c>
      <c r="M85" s="76">
        <f t="shared" si="15"/>
        <v>1.3953025391680168E-2</v>
      </c>
      <c r="N85" s="76">
        <f t="shared" si="16"/>
        <v>1.3835278227984868E-2</v>
      </c>
      <c r="O85" s="56">
        <f>'Growth curves CeBER'!H39</f>
        <v>0.75900000000000001</v>
      </c>
      <c r="P85" s="76">
        <f t="shared" si="17"/>
        <v>0.93615060000000005</v>
      </c>
      <c r="Q85" s="77">
        <f t="shared" si="28"/>
        <v>1.1701882500000001E-4</v>
      </c>
      <c r="R85" s="78">
        <f t="shared" si="18"/>
        <v>59.115609082491076</v>
      </c>
      <c r="S85" s="94">
        <f>AVERAGE(R83:R85)</f>
        <v>62.629383340052449</v>
      </c>
      <c r="T85" s="80">
        <f>STDEV(R83:R85)</f>
        <v>3.9132998266483749</v>
      </c>
      <c r="U85" s="89">
        <f>T85/SQRT(3)</f>
        <v>2.2593447083351554</v>
      </c>
      <c r="V85" s="89">
        <f t="shared" si="19"/>
        <v>55.341112911939476</v>
      </c>
      <c r="W85" s="88">
        <f t="shared" si="21"/>
        <v>54.735872501350606</v>
      </c>
      <c r="X85" s="89">
        <f t="shared" si="22"/>
        <v>4.0569361973179792</v>
      </c>
      <c r="Y85" s="89">
        <f t="shared" si="23"/>
        <v>2.3422732056066722</v>
      </c>
      <c r="Z85" s="89">
        <f>(V85-$V$61)/(D83-$D$59)</f>
        <v>0.25387564833348136</v>
      </c>
      <c r="AA85" s="88">
        <f t="shared" si="25"/>
        <v>0.25227507394916016</v>
      </c>
      <c r="AB85" s="95">
        <f t="shared" si="26"/>
        <v>1.199525334999089E-2</v>
      </c>
    </row>
    <row r="86" spans="2:28" x14ac:dyDescent="0.2">
      <c r="B86" s="206" t="s">
        <v>32</v>
      </c>
      <c r="C86" s="203">
        <v>0.4375</v>
      </c>
      <c r="D86" s="215">
        <f>24+D83</f>
        <v>215.5</v>
      </c>
      <c r="E86" s="104" t="s">
        <v>104</v>
      </c>
      <c r="F86" s="209">
        <f>(0.0494+0.0498)/2</f>
        <v>4.9599999999999998E-2</v>
      </c>
      <c r="G86" s="212">
        <f>(0.0475+0.0482)/2</f>
        <v>4.7850000000000004E-2</v>
      </c>
      <c r="H86" s="92">
        <f>0.1477-F86</f>
        <v>9.8099999999999993E-2</v>
      </c>
      <c r="I86" s="96">
        <f>0.1716-F86</f>
        <v>0.122</v>
      </c>
      <c r="J86" s="96">
        <f>0.1199-G86</f>
        <v>7.2050000000000003E-2</v>
      </c>
      <c r="K86" s="96">
        <f>0.1443-G86</f>
        <v>9.6450000000000008E-2</v>
      </c>
      <c r="L86" s="76">
        <f t="shared" si="14"/>
        <v>8.8346434359805499E-3</v>
      </c>
      <c r="M86" s="76">
        <f t="shared" si="15"/>
        <v>1.031568071312804E-2</v>
      </c>
      <c r="N86" s="96">
        <f t="shared" si="16"/>
        <v>9.5751620745542949E-3</v>
      </c>
      <c r="O86" s="103">
        <f>'Growth curves CeBER'!F40</f>
        <v>0.74299999999999999</v>
      </c>
      <c r="P86" s="96">
        <f t="shared" si="17"/>
        <v>0.91641620000000001</v>
      </c>
      <c r="Q86" s="97">
        <f t="shared" ref="Q86:Q88" si="29">P86*0.1/1000</f>
        <v>9.1641620000000002E-5</v>
      </c>
      <c r="R86" s="98">
        <f t="shared" si="18"/>
        <v>52.242431302252704</v>
      </c>
      <c r="S86" s="102"/>
      <c r="T86" s="103"/>
      <c r="U86" s="103"/>
      <c r="V86" s="80">
        <f t="shared" si="19"/>
        <v>47.875810372771475</v>
      </c>
      <c r="W86" s="94"/>
      <c r="X86" s="80"/>
      <c r="Y86" s="80"/>
      <c r="Z86" s="80">
        <f t="shared" si="24"/>
        <v>0.19328584536357724</v>
      </c>
      <c r="AA86" s="94"/>
      <c r="AB86" s="101"/>
    </row>
    <row r="87" spans="2:28" x14ac:dyDescent="0.2">
      <c r="B87" s="207"/>
      <c r="C87" s="204"/>
      <c r="D87" s="216"/>
      <c r="E87" s="104" t="s">
        <v>105</v>
      </c>
      <c r="F87" s="210"/>
      <c r="G87" s="213"/>
      <c r="H87" s="74">
        <f>0.1983-F86</f>
        <v>0.1487</v>
      </c>
      <c r="I87" s="76">
        <f>0.2198-F86</f>
        <v>0.17019999999999999</v>
      </c>
      <c r="J87" s="76">
        <f>0.168-G86</f>
        <v>0.12015000000000001</v>
      </c>
      <c r="K87" s="76">
        <f>0.1902-G86</f>
        <v>0.14235</v>
      </c>
      <c r="L87" s="76">
        <f t="shared" si="14"/>
        <v>1.2319165316045381E-2</v>
      </c>
      <c r="M87" s="76">
        <f t="shared" si="15"/>
        <v>1.3626944894651539E-2</v>
      </c>
      <c r="N87" s="76">
        <f t="shared" si="16"/>
        <v>1.297305510534846E-2</v>
      </c>
      <c r="O87" s="56">
        <f>'Growth curves CeBER'!G40</f>
        <v>0.77900000000000003</v>
      </c>
      <c r="P87" s="76">
        <f t="shared" si="17"/>
        <v>0.96081860000000008</v>
      </c>
      <c r="Q87" s="77">
        <f t="shared" si="29"/>
        <v>9.6081860000000023E-5</v>
      </c>
      <c r="R87" s="78">
        <f t="shared" si="18"/>
        <v>67.510428635272348</v>
      </c>
      <c r="S87" s="79"/>
      <c r="V87" s="80">
        <f t="shared" si="19"/>
        <v>64.865275526742295</v>
      </c>
      <c r="W87" s="94"/>
      <c r="X87" s="80"/>
      <c r="Y87" s="80"/>
      <c r="Z87" s="80">
        <f>(V87-$V$60)/(D86-$D$59)</f>
        <v>0.27163027823425223</v>
      </c>
      <c r="AA87" s="94"/>
      <c r="AB87" s="101"/>
    </row>
    <row r="88" spans="2:28" x14ac:dyDescent="0.2">
      <c r="B88" s="208"/>
      <c r="C88" s="205"/>
      <c r="D88" s="217"/>
      <c r="E88" s="151" t="s">
        <v>106</v>
      </c>
      <c r="F88" s="211"/>
      <c r="G88" s="214"/>
      <c r="H88" s="74">
        <f>0.1465-F86</f>
        <v>9.6899999999999986E-2</v>
      </c>
      <c r="I88" s="76">
        <f>0.1536-F86</f>
        <v>0.10399999999999998</v>
      </c>
      <c r="J88" s="76">
        <f>0.104-G86</f>
        <v>5.6149999999999992E-2</v>
      </c>
      <c r="K88" s="76">
        <f>0.1097-G86</f>
        <v>6.1850000000000002E-2</v>
      </c>
      <c r="L88" s="76">
        <f t="shared" si="14"/>
        <v>1.0199230145867098E-2</v>
      </c>
      <c r="M88" s="76">
        <f t="shared" si="15"/>
        <v>1.07910453808752E-2</v>
      </c>
      <c r="N88" s="76">
        <f t="shared" si="16"/>
        <v>1.0495137763371149E-2</v>
      </c>
      <c r="O88" s="56">
        <f>'Growth curves CeBER'!H40</f>
        <v>0.84099999999999997</v>
      </c>
      <c r="P88" s="76">
        <f t="shared" si="17"/>
        <v>1.0372893999999999</v>
      </c>
      <c r="Q88" s="77">
        <f t="shared" si="29"/>
        <v>1.0372893999999999E-4</v>
      </c>
      <c r="R88" s="78">
        <f t="shared" si="18"/>
        <v>50.589246180338634</v>
      </c>
      <c r="S88" s="94">
        <f>AVERAGE(R86:R88)</f>
        <v>56.780702039287895</v>
      </c>
      <c r="T88" s="80">
        <f>STDEV(R86:R88)</f>
        <v>9.3289082898408306</v>
      </c>
      <c r="U88" s="89">
        <f>T88/SQRT(3)</f>
        <v>5.3860477123849355</v>
      </c>
      <c r="V88" s="89">
        <f t="shared" si="19"/>
        <v>52.475688816855751</v>
      </c>
      <c r="W88" s="88">
        <f t="shared" si="21"/>
        <v>55.072258238789836</v>
      </c>
      <c r="X88" s="89">
        <f t="shared" si="22"/>
        <v>8.7873267338076033</v>
      </c>
      <c r="Y88" s="89">
        <f t="shared" si="23"/>
        <v>5.0733654552210155</v>
      </c>
      <c r="Z88" s="89">
        <f>(V88-$V$61)/(D86-$D$59)</f>
        <v>0.21230516269502531</v>
      </c>
      <c r="AA88" s="88">
        <f t="shared" si="25"/>
        <v>0.22574042876428493</v>
      </c>
      <c r="AB88" s="95">
        <f t="shared" si="26"/>
        <v>2.3592670621902734E-2</v>
      </c>
    </row>
    <row r="89" spans="2:28" x14ac:dyDescent="0.2">
      <c r="B89" s="206" t="s">
        <v>33</v>
      </c>
      <c r="C89" s="203">
        <v>0.4375</v>
      </c>
      <c r="D89" s="215">
        <f>48+D86</f>
        <v>263.5</v>
      </c>
      <c r="E89" s="104" t="s">
        <v>104</v>
      </c>
      <c r="F89" s="209">
        <f>(0.039+0.0502)/2</f>
        <v>4.4600000000000001E-2</v>
      </c>
      <c r="G89" s="212">
        <f>(0.0378+0.0486)/2</f>
        <v>4.3200000000000002E-2</v>
      </c>
      <c r="H89" s="92">
        <f>0.1524-F89</f>
        <v>0.10780000000000001</v>
      </c>
      <c r="I89" s="96">
        <f>0.152-F89</f>
        <v>0.1074</v>
      </c>
      <c r="J89" s="96">
        <f>0.1005-G89</f>
        <v>5.7300000000000004E-2</v>
      </c>
      <c r="K89" s="96">
        <f>0.0989-G89</f>
        <v>5.57E-2</v>
      </c>
      <c r="L89" s="76">
        <f t="shared" si="14"/>
        <v>1.1853079416531605E-2</v>
      </c>
      <c r="M89" s="76">
        <f t="shared" si="15"/>
        <v>1.1945137763371151E-2</v>
      </c>
      <c r="N89" s="96">
        <f t="shared" si="16"/>
        <v>1.1899108589951378E-2</v>
      </c>
      <c r="O89" s="103">
        <f>'Growth curves CeBER'!F41</f>
        <v>0.82799999999999996</v>
      </c>
      <c r="P89" s="96">
        <f t="shared" si="17"/>
        <v>1.0212551999999999</v>
      </c>
      <c r="Q89" s="97">
        <f t="shared" ref="Q89:Q109" si="30">P89*0.1/1000</f>
        <v>1.0212552E-4</v>
      </c>
      <c r="R89" s="98">
        <f t="shared" si="18"/>
        <v>58.2572729615055</v>
      </c>
      <c r="S89" s="102"/>
      <c r="T89" s="103"/>
      <c r="U89" s="103"/>
      <c r="V89" s="80">
        <f t="shared" si="19"/>
        <v>59.495542949756889</v>
      </c>
      <c r="W89" s="94"/>
      <c r="X89" s="80"/>
      <c r="Y89" s="80"/>
      <c r="Z89" s="80">
        <f t="shared" si="24"/>
        <v>0.20217393644340156</v>
      </c>
      <c r="AA89" s="94"/>
      <c r="AB89" s="101"/>
    </row>
    <row r="90" spans="2:28" x14ac:dyDescent="0.2">
      <c r="B90" s="207"/>
      <c r="C90" s="204"/>
      <c r="D90" s="216"/>
      <c r="E90" s="104" t="s">
        <v>105</v>
      </c>
      <c r="F90" s="210"/>
      <c r="G90" s="213"/>
      <c r="H90" s="74">
        <f>0.1797-F89</f>
        <v>0.1351</v>
      </c>
      <c r="I90" s="76">
        <f>0.1886-F89</f>
        <v>0.14399999999999999</v>
      </c>
      <c r="J90" s="76">
        <f>0.13-G89</f>
        <v>8.6800000000000002E-2</v>
      </c>
      <c r="K90" s="76">
        <f>0.1383-G89</f>
        <v>9.5100000000000004E-2</v>
      </c>
      <c r="L90" s="76">
        <f t="shared" si="14"/>
        <v>1.3385089141004862E-2</v>
      </c>
      <c r="M90" s="76">
        <f t="shared" si="15"/>
        <v>1.4013695299837923E-2</v>
      </c>
      <c r="N90" s="76">
        <f t="shared" si="16"/>
        <v>1.3699392220421392E-2</v>
      </c>
      <c r="O90" s="56">
        <f>'Growth curves CeBER'!G41</f>
        <v>0.94699999999999995</v>
      </c>
      <c r="P90" s="76">
        <f t="shared" si="17"/>
        <v>1.1680298</v>
      </c>
      <c r="Q90" s="77">
        <f t="shared" si="30"/>
        <v>1.1680298E-4</v>
      </c>
      <c r="R90" s="78">
        <f t="shared" si="18"/>
        <v>58.64316227386233</v>
      </c>
      <c r="S90" s="79"/>
      <c r="V90" s="80">
        <f t="shared" si="19"/>
        <v>68.496961102106965</v>
      </c>
      <c r="W90" s="94"/>
      <c r="X90" s="80"/>
      <c r="Y90" s="80"/>
      <c r="Z90" s="80">
        <f>(V90-$V$60)/(D89-$D$59)</f>
        <v>0.23593172878499441</v>
      </c>
      <c r="AA90" s="94"/>
      <c r="AB90" s="101"/>
    </row>
    <row r="91" spans="2:28" x14ac:dyDescent="0.2">
      <c r="B91" s="208"/>
      <c r="C91" s="205"/>
      <c r="D91" s="217"/>
      <c r="E91" s="151" t="s">
        <v>106</v>
      </c>
      <c r="F91" s="211"/>
      <c r="G91" s="214"/>
      <c r="H91" s="74">
        <f>0.1765-F89</f>
        <v>0.13189999999999999</v>
      </c>
      <c r="I91" s="76">
        <f>0.1837-F89</f>
        <v>0.1391</v>
      </c>
      <c r="J91" s="76">
        <f>0.1058-G89</f>
        <v>6.2600000000000003E-2</v>
      </c>
      <c r="K91" s="76">
        <f>0.1127-G89</f>
        <v>6.9499999999999992E-2</v>
      </c>
      <c r="L91" s="76">
        <f t="shared" si="14"/>
        <v>1.5239384116693677E-2</v>
      </c>
      <c r="M91" s="76">
        <f t="shared" si="15"/>
        <v>1.5729740680713131E-2</v>
      </c>
      <c r="N91" s="76">
        <f t="shared" si="16"/>
        <v>1.5484562398703404E-2</v>
      </c>
      <c r="O91" s="56">
        <f>'Growth curves CeBER'!H41</f>
        <v>0.95699999999999996</v>
      </c>
      <c r="P91" s="76">
        <f t="shared" si="17"/>
        <v>1.1803638000000001</v>
      </c>
      <c r="Q91" s="77">
        <f t="shared" si="30"/>
        <v>1.1803638000000001E-4</v>
      </c>
      <c r="R91" s="78">
        <f t="shared" si="18"/>
        <v>65.59233008799238</v>
      </c>
      <c r="S91" s="94">
        <f>AVERAGE(R89:R91)</f>
        <v>60.830921774453408</v>
      </c>
      <c r="T91" s="80">
        <f>STDEV(R89:R91)</f>
        <v>4.1280121713151923</v>
      </c>
      <c r="U91" s="89">
        <f>T91/SQRT(3)</f>
        <v>2.383308938326878</v>
      </c>
      <c r="V91" s="89">
        <f t="shared" si="19"/>
        <v>77.42281199351703</v>
      </c>
      <c r="W91" s="88">
        <f t="shared" si="21"/>
        <v>68.471772015126959</v>
      </c>
      <c r="X91" s="89">
        <f t="shared" si="22"/>
        <v>8.9636610661837235</v>
      </c>
      <c r="Y91" s="89">
        <f t="shared" si="23"/>
        <v>5.1751721294857411</v>
      </c>
      <c r="Z91" s="89">
        <f>(V91-$V$61)/(D89-$D$59)</f>
        <v>0.26830696674549992</v>
      </c>
      <c r="AA91" s="88">
        <f t="shared" si="25"/>
        <v>0.23547087732463198</v>
      </c>
      <c r="AB91" s="95">
        <f t="shared" si="26"/>
        <v>1.9092351979138451E-2</v>
      </c>
    </row>
    <row r="92" spans="2:28" x14ac:dyDescent="0.2">
      <c r="B92" s="206" t="s">
        <v>34</v>
      </c>
      <c r="C92" s="203">
        <v>0.4375</v>
      </c>
      <c r="D92" s="218">
        <f>24+D89</f>
        <v>287.5</v>
      </c>
      <c r="E92" s="104" t="s">
        <v>104</v>
      </c>
      <c r="F92" s="209">
        <f>(0.0403+0.052)/2</f>
        <v>4.6149999999999997E-2</v>
      </c>
      <c r="G92" s="212">
        <f>(0.0384+0.0498)/2</f>
        <v>4.41E-2</v>
      </c>
      <c r="H92" s="92">
        <f>0.1797-F92</f>
        <v>0.13355</v>
      </c>
      <c r="I92" s="96">
        <f>0.1818-F92</f>
        <v>0.13564999999999999</v>
      </c>
      <c r="J92" s="96">
        <f>0.125-G92</f>
        <v>8.09E-2</v>
      </c>
      <c r="K92" s="96">
        <f>0.1285-G92</f>
        <v>8.4400000000000003E-2</v>
      </c>
      <c r="L92" s="76">
        <f t="shared" si="14"/>
        <v>1.3712398703403565E-2</v>
      </c>
      <c r="M92" s="76">
        <f t="shared" si="15"/>
        <v>1.3709562398703403E-2</v>
      </c>
      <c r="N92" s="96">
        <f t="shared" si="16"/>
        <v>1.3710980551053485E-2</v>
      </c>
      <c r="O92" s="103">
        <f>'Growth curves CeBER'!F42</f>
        <v>0.93100000000000005</v>
      </c>
      <c r="P92" s="96">
        <f t="shared" si="17"/>
        <v>1.1482954000000001</v>
      </c>
      <c r="Q92" s="97">
        <f t="shared" si="30"/>
        <v>1.1482954000000001E-4</v>
      </c>
      <c r="R92" s="98">
        <f t="shared" si="18"/>
        <v>59.701452043844661</v>
      </c>
      <c r="S92" s="102"/>
      <c r="T92" s="103"/>
      <c r="U92" s="103"/>
      <c r="V92" s="80">
        <f t="shared" si="19"/>
        <v>68.55490275526742</v>
      </c>
      <c r="W92" s="94"/>
      <c r="X92" s="80"/>
      <c r="Y92" s="80"/>
      <c r="Z92" s="80">
        <f t="shared" si="24"/>
        <v>0.2168076245507716</v>
      </c>
      <c r="AA92" s="94"/>
      <c r="AB92" s="101"/>
    </row>
    <row r="93" spans="2:28" x14ac:dyDescent="0.2">
      <c r="B93" s="207"/>
      <c r="C93" s="204"/>
      <c r="D93" s="219"/>
      <c r="E93" s="104" t="s">
        <v>105</v>
      </c>
      <c r="F93" s="210"/>
      <c r="G93" s="213"/>
      <c r="H93" s="74">
        <f>0.1997-F92</f>
        <v>0.15354999999999999</v>
      </c>
      <c r="I93" s="76">
        <f>0.2175-F92</f>
        <v>0.17135</v>
      </c>
      <c r="J93" s="76">
        <f>0.1317-G92</f>
        <v>8.7600000000000011E-2</v>
      </c>
      <c r="K93" s="76">
        <f>0.1437-G92</f>
        <v>9.9599999999999994E-2</v>
      </c>
      <c r="L93" s="76">
        <f t="shared" si="14"/>
        <v>1.6296920583468395E-2</v>
      </c>
      <c r="M93" s="76">
        <f t="shared" si="15"/>
        <v>1.8005186385737441E-2</v>
      </c>
      <c r="N93" s="76">
        <f t="shared" si="16"/>
        <v>1.715105348460292E-2</v>
      </c>
      <c r="O93" s="56">
        <f>'Growth curves CeBER'!G42</f>
        <v>1.1080000000000001</v>
      </c>
      <c r="P93" s="76">
        <f t="shared" si="17"/>
        <v>1.3666072000000002</v>
      </c>
      <c r="Q93" s="77">
        <f t="shared" si="30"/>
        <v>1.3666072000000003E-4</v>
      </c>
      <c r="R93" s="78">
        <f t="shared" si="18"/>
        <v>62.750487062423332</v>
      </c>
      <c r="S93" s="79"/>
      <c r="V93" s="80">
        <f t="shared" si="19"/>
        <v>85.755267423014587</v>
      </c>
      <c r="W93" s="94"/>
      <c r="X93" s="80"/>
      <c r="Y93" s="80"/>
      <c r="Z93" s="80">
        <f>(V93-$V$60)/(D92-$D$59)</f>
        <v>0.27626544993305613</v>
      </c>
      <c r="AA93" s="94"/>
      <c r="AB93" s="101"/>
    </row>
    <row r="94" spans="2:28" x14ac:dyDescent="0.2">
      <c r="B94" s="208"/>
      <c r="C94" s="205"/>
      <c r="D94" s="220"/>
      <c r="E94" s="151" t="s">
        <v>106</v>
      </c>
      <c r="F94" s="211"/>
      <c r="G94" s="214"/>
      <c r="H94" s="74">
        <f>0.1936-F92</f>
        <v>0.14745</v>
      </c>
      <c r="I94" s="76">
        <f>0.1692-F92</f>
        <v>0.12304999999999999</v>
      </c>
      <c r="J94" s="76">
        <f>0.1234-G92</f>
        <v>7.9299999999999995E-2</v>
      </c>
      <c r="K94" s="76">
        <f>0.095-G92</f>
        <v>5.0900000000000001E-2</v>
      </c>
      <c r="L94" s="76">
        <f t="shared" si="14"/>
        <v>1.6122123176661264E-2</v>
      </c>
      <c r="M94" s="76">
        <f t="shared" si="15"/>
        <v>1.4952269043760128E-2</v>
      </c>
      <c r="N94" s="76">
        <f t="shared" si="16"/>
        <v>1.5537196110210696E-2</v>
      </c>
      <c r="O94" s="56">
        <f>'Growth curves CeBER'!H42</f>
        <v>1.0840000000000001</v>
      </c>
      <c r="P94" s="76">
        <f t="shared" si="17"/>
        <v>1.3370056000000001</v>
      </c>
      <c r="Q94" s="77">
        <f t="shared" si="30"/>
        <v>1.3370056000000004E-4</v>
      </c>
      <c r="R94" s="78">
        <f t="shared" si="18"/>
        <v>58.104454125736993</v>
      </c>
      <c r="S94" s="94">
        <f>AVERAGE(R92:R94)</f>
        <v>60.185464410668324</v>
      </c>
      <c r="T94" s="80">
        <f>STDEV(R92:R94)</f>
        <v>2.36053097641659</v>
      </c>
      <c r="U94" s="89">
        <f>T94/SQRT(3)</f>
        <v>1.3628531946645686</v>
      </c>
      <c r="V94" s="89">
        <f t="shared" si="19"/>
        <v>77.685980551053476</v>
      </c>
      <c r="W94" s="88">
        <f t="shared" si="21"/>
        <v>77.332050243111837</v>
      </c>
      <c r="X94" s="89">
        <f t="shared" si="22"/>
        <v>8.6056426937812738</v>
      </c>
      <c r="Y94" s="89">
        <f t="shared" si="23"/>
        <v>4.9684701258043553</v>
      </c>
      <c r="Z94" s="89">
        <f>(V94-$V$61)/(D92-$D$59)</f>
        <v>0.24682453667817625</v>
      </c>
      <c r="AA94" s="88">
        <f t="shared" si="25"/>
        <v>0.24663253705400134</v>
      </c>
      <c r="AB94" s="95">
        <f t="shared" si="26"/>
        <v>1.7164264210750218E-2</v>
      </c>
    </row>
    <row r="95" spans="2:28" x14ac:dyDescent="0.2">
      <c r="B95" s="206" t="s">
        <v>35</v>
      </c>
      <c r="C95" s="203">
        <v>0.4375</v>
      </c>
      <c r="D95" s="215">
        <f>24+D92</f>
        <v>311.5</v>
      </c>
      <c r="E95" s="104" t="s">
        <v>104</v>
      </c>
      <c r="F95" s="209">
        <f>(0.0487+0.0514)/2</f>
        <v>5.0049999999999997E-2</v>
      </c>
      <c r="G95" s="212">
        <f>(0.047+0.0499)/2</f>
        <v>4.845E-2</v>
      </c>
      <c r="H95" s="92">
        <f>0.1837-F95</f>
        <v>0.13364999999999999</v>
      </c>
      <c r="I95" s="96">
        <f>0.1745-F95</f>
        <v>0.12444999999999999</v>
      </c>
      <c r="J95" s="96">
        <f>0.1167-G95</f>
        <v>6.8250000000000005E-2</v>
      </c>
      <c r="K95" s="96">
        <f>0.1103-G95</f>
        <v>6.1849999999999995E-2</v>
      </c>
      <c r="L95" s="76">
        <f t="shared" si="14"/>
        <v>1.4969003241491084E-2</v>
      </c>
      <c r="M95" s="76">
        <f t="shared" si="15"/>
        <v>1.4105470016207454E-2</v>
      </c>
      <c r="N95" s="96">
        <f t="shared" si="16"/>
        <v>1.453723662884927E-2</v>
      </c>
      <c r="O95" s="96">
        <f>'Growth curves CeBER'!F43</f>
        <v>1.01</v>
      </c>
      <c r="P95" s="96">
        <f t="shared" si="17"/>
        <v>1.2457340000000001</v>
      </c>
      <c r="Q95" s="97">
        <f t="shared" si="30"/>
        <v>1.245734E-4</v>
      </c>
      <c r="R95" s="98">
        <f t="shared" si="18"/>
        <v>58.348076832009362</v>
      </c>
      <c r="S95" s="102"/>
      <c r="T95" s="103"/>
      <c r="U95" s="103"/>
      <c r="V95" s="80">
        <f t="shared" si="19"/>
        <v>72.686183144246357</v>
      </c>
      <c r="W95" s="94"/>
      <c r="X95" s="80"/>
      <c r="Y95" s="80"/>
      <c r="Z95" s="80">
        <f t="shared" si="24"/>
        <v>0.21336588265594147</v>
      </c>
      <c r="AA95" s="94"/>
      <c r="AB95" s="101"/>
    </row>
    <row r="96" spans="2:28" x14ac:dyDescent="0.2">
      <c r="B96" s="207"/>
      <c r="C96" s="204"/>
      <c r="D96" s="216"/>
      <c r="E96" s="104" t="s">
        <v>105</v>
      </c>
      <c r="F96" s="210"/>
      <c r="G96" s="213"/>
      <c r="H96" s="74">
        <f>0.2733-F95</f>
        <v>0.22325</v>
      </c>
      <c r="I96" s="76">
        <f>0.2707-F95</f>
        <v>0.22065000000000001</v>
      </c>
      <c r="J96" s="76">
        <f>0.2183-G95</f>
        <v>0.16985</v>
      </c>
      <c r="K96" s="76">
        <f>0.2122-G95</f>
        <v>0.16375000000000001</v>
      </c>
      <c r="L96" s="76">
        <f t="shared" si="14"/>
        <v>1.9528484602917343E-2</v>
      </c>
      <c r="M96" s="76">
        <f t="shared" si="15"/>
        <v>1.9705226904376014E-2</v>
      </c>
      <c r="N96" s="76">
        <f t="shared" si="16"/>
        <v>1.9616855753646679E-2</v>
      </c>
      <c r="O96" s="76">
        <f>'Growth curves CeBER'!G43</f>
        <v>1.19</v>
      </c>
      <c r="P96" s="76">
        <f t="shared" si="17"/>
        <v>1.467746</v>
      </c>
      <c r="Q96" s="77">
        <f t="shared" si="30"/>
        <v>1.467746E-4</v>
      </c>
      <c r="R96" s="78">
        <f t="shared" si="18"/>
        <v>66.826466410559718</v>
      </c>
      <c r="S96" s="79"/>
      <c r="V96" s="80">
        <f t="shared" si="19"/>
        <v>98.084278768233389</v>
      </c>
      <c r="W96" s="94"/>
      <c r="X96" s="80"/>
      <c r="Y96" s="80"/>
      <c r="Z96" s="80">
        <f>(V96-$V$60)/(D95-$D$59)</f>
        <v>0.29455964109461458</v>
      </c>
      <c r="AA96" s="94"/>
      <c r="AB96" s="101"/>
    </row>
    <row r="97" spans="2:34" x14ac:dyDescent="0.2">
      <c r="B97" s="208"/>
      <c r="C97" s="205"/>
      <c r="D97" s="217"/>
      <c r="E97" s="151" t="s">
        <v>106</v>
      </c>
      <c r="F97" s="211"/>
      <c r="G97" s="214"/>
      <c r="H97" s="74">
        <f>0.1978-F95</f>
        <v>0.14774999999999999</v>
      </c>
      <c r="I97" s="76">
        <f>0.2333-F95</f>
        <v>0.18325000000000002</v>
      </c>
      <c r="J97" s="76">
        <f>0.1429-G95</f>
        <v>9.4450000000000006E-2</v>
      </c>
      <c r="K97" s="76">
        <f>0.1751-G95</f>
        <v>0.12665000000000001</v>
      </c>
      <c r="L97" s="76">
        <f t="shared" si="14"/>
        <v>1.4685210696920581E-2</v>
      </c>
      <c r="M97" s="76">
        <f t="shared" si="15"/>
        <v>1.7281482982171803E-2</v>
      </c>
      <c r="N97" s="76">
        <f t="shared" si="16"/>
        <v>1.5983346839546192E-2</v>
      </c>
      <c r="O97" s="56">
        <f>'Growth curves CeBER'!H43</f>
        <v>1.1259999999999999</v>
      </c>
      <c r="P97" s="76">
        <f t="shared" si="17"/>
        <v>1.3888083999999998</v>
      </c>
      <c r="Q97" s="77">
        <f t="shared" si="30"/>
        <v>1.3888083999999998E-4</v>
      </c>
      <c r="R97" s="78">
        <f t="shared" si="18"/>
        <v>57.543383376519735</v>
      </c>
      <c r="S97" s="94">
        <f>AVERAGE(R95:R97)</f>
        <v>60.905975539696271</v>
      </c>
      <c r="T97" s="80">
        <f>STDEV(R95:R97)</f>
        <v>5.1430576511750301</v>
      </c>
      <c r="U97" s="89">
        <f>T97/SQRT(3)</f>
        <v>2.9693457193636683</v>
      </c>
      <c r="V97" s="89">
        <f t="shared" si="19"/>
        <v>79.91673419773096</v>
      </c>
      <c r="W97" s="88">
        <f t="shared" si="21"/>
        <v>83.562398703403559</v>
      </c>
      <c r="X97" s="89">
        <f t="shared" si="22"/>
        <v>13.08563974734288</v>
      </c>
      <c r="Y97" s="89">
        <f t="shared" si="23"/>
        <v>7.554997630646878</v>
      </c>
      <c r="Z97" s="89">
        <f>(V97-$V$61)/(D95-$D$59)</f>
        <v>0.23496888584800371</v>
      </c>
      <c r="AA97" s="88">
        <f t="shared" si="25"/>
        <v>0.24763146986618656</v>
      </c>
      <c r="AB97" s="95">
        <f t="shared" si="26"/>
        <v>2.4278676363306849E-2</v>
      </c>
    </row>
    <row r="98" spans="2:34" x14ac:dyDescent="0.2">
      <c r="B98" s="206" t="s">
        <v>36</v>
      </c>
      <c r="C98" s="203">
        <v>0.4375</v>
      </c>
      <c r="D98" s="218">
        <f>24+D95</f>
        <v>335.5</v>
      </c>
      <c r="E98" s="104" t="s">
        <v>104</v>
      </c>
      <c r="F98" s="209">
        <f>(0.0424+0.0458+0.0446)/3</f>
        <v>4.4266666666666669E-2</v>
      </c>
      <c r="G98" s="212">
        <f>(0.0415+0.0442+0.0437)/3</f>
        <v>4.3133333333333336E-2</v>
      </c>
      <c r="H98" s="92">
        <f>0.1987-F98</f>
        <v>0.15443333333333331</v>
      </c>
      <c r="I98" s="96">
        <f>0.1865-F98</f>
        <v>0.14223333333333332</v>
      </c>
      <c r="J98" s="96">
        <f>0.1353-G98</f>
        <v>9.2166666666666675E-2</v>
      </c>
      <c r="K98" s="96">
        <f>0.1238-G98</f>
        <v>8.0666666666666664E-2</v>
      </c>
      <c r="L98" s="76">
        <f t="shared" si="14"/>
        <v>1.5992301458670984E-2</v>
      </c>
      <c r="M98" s="76">
        <f t="shared" si="15"/>
        <v>1.5142625607779577E-2</v>
      </c>
      <c r="N98" s="96">
        <f t="shared" si="16"/>
        <v>1.556746353322528E-2</v>
      </c>
      <c r="O98" s="96">
        <f>'Growth curves CeBER'!F44</f>
        <v>1.046</v>
      </c>
      <c r="P98" s="96">
        <f t="shared" si="17"/>
        <v>1.2901364000000002</v>
      </c>
      <c r="Q98" s="97">
        <f t="shared" si="30"/>
        <v>1.2901364000000002E-4</v>
      </c>
      <c r="R98" s="98">
        <f t="shared" si="18"/>
        <v>60.332626585938037</v>
      </c>
      <c r="S98" s="102"/>
      <c r="T98" s="103"/>
      <c r="U98" s="103"/>
      <c r="V98" s="80">
        <f t="shared" si="19"/>
        <v>77.837317666126395</v>
      </c>
      <c r="W98" s="94"/>
      <c r="X98" s="80"/>
      <c r="Y98" s="80"/>
      <c r="Z98" s="80">
        <f t="shared" si="24"/>
        <v>0.21345635460269988</v>
      </c>
      <c r="AA98" s="94"/>
      <c r="AB98" s="101"/>
    </row>
    <row r="99" spans="2:34" x14ac:dyDescent="0.2">
      <c r="B99" s="207"/>
      <c r="C99" s="204"/>
      <c r="D99" s="219"/>
      <c r="E99" s="104" t="s">
        <v>105</v>
      </c>
      <c r="F99" s="210"/>
      <c r="G99" s="213"/>
      <c r="H99" s="74">
        <f>0.2314-F98</f>
        <v>0.18713333333333332</v>
      </c>
      <c r="I99" s="76">
        <f>0.2357-F98</f>
        <v>0.19143333333333332</v>
      </c>
      <c r="J99" s="76">
        <f>0.1568-G98</f>
        <v>0.11366666666666667</v>
      </c>
      <c r="K99" s="76">
        <f>0.1614-G98</f>
        <v>0.11826666666666666</v>
      </c>
      <c r="L99" s="76">
        <f t="shared" si="14"/>
        <v>1.9183954619124796E-2</v>
      </c>
      <c r="M99" s="76">
        <f t="shared" si="15"/>
        <v>1.9429821717990275E-2</v>
      </c>
      <c r="N99" s="76">
        <f t="shared" si="16"/>
        <v>1.9306888168557537E-2</v>
      </c>
      <c r="O99" s="56">
        <f>'Growth curves CeBER'!G44</f>
        <v>1.274</v>
      </c>
      <c r="P99" s="76">
        <f t="shared" si="17"/>
        <v>1.5713516000000001</v>
      </c>
      <c r="Q99" s="77">
        <f t="shared" si="30"/>
        <v>1.5713516000000002E-4</v>
      </c>
      <c r="R99" s="78">
        <f t="shared" si="18"/>
        <v>61.434016958895562</v>
      </c>
      <c r="S99" s="79"/>
      <c r="V99" s="80">
        <f t="shared" si="19"/>
        <v>96.534440842787674</v>
      </c>
      <c r="W99" s="94"/>
      <c r="X99" s="80"/>
      <c r="Y99" s="80"/>
      <c r="Z99" s="80">
        <f>(V99-$V$60)/(D98-$D$59)</f>
        <v>0.26886882347399921</v>
      </c>
      <c r="AA99" s="94"/>
      <c r="AB99" s="101"/>
    </row>
    <row r="100" spans="2:34" x14ac:dyDescent="0.2">
      <c r="B100" s="208"/>
      <c r="C100" s="205"/>
      <c r="D100" s="220"/>
      <c r="E100" s="151" t="s">
        <v>106</v>
      </c>
      <c r="F100" s="211"/>
      <c r="G100" s="214"/>
      <c r="H100" s="74">
        <f>0.2211-F98</f>
        <v>0.17683333333333331</v>
      </c>
      <c r="I100" s="76">
        <f>0.2165-F98</f>
        <v>0.17223333333333332</v>
      </c>
      <c r="J100" s="76">
        <f>0.1349-G98</f>
        <v>9.1766666666666663E-2</v>
      </c>
      <c r="K100" s="76">
        <f>0.1309-G98</f>
        <v>8.776666666666666E-2</v>
      </c>
      <c r="L100" s="76">
        <f t="shared" si="14"/>
        <v>1.9661993517017827E-2</v>
      </c>
      <c r="M100" s="76">
        <f t="shared" si="15"/>
        <v>1.9308670988654783E-2</v>
      </c>
      <c r="N100" s="76">
        <f t="shared" si="16"/>
        <v>1.9485332252836305E-2</v>
      </c>
      <c r="O100" s="76">
        <f>'Growth curves CeBER'!H44</f>
        <v>1.252</v>
      </c>
      <c r="P100" s="76">
        <f t="shared" si="17"/>
        <v>1.5442168000000001</v>
      </c>
      <c r="Q100" s="77">
        <f t="shared" si="30"/>
        <v>1.5442168000000001E-4</v>
      </c>
      <c r="R100" s="78">
        <f t="shared" si="18"/>
        <v>63.091310277275518</v>
      </c>
      <c r="S100" s="94">
        <f>AVERAGE(R98:R100)</f>
        <v>61.619317940703041</v>
      </c>
      <c r="T100" s="80">
        <f>STDEV(R98:R100)</f>
        <v>1.3886454794536145</v>
      </c>
      <c r="U100" s="89">
        <f>T100/SQRT(3)</f>
        <v>0.80173484137150131</v>
      </c>
      <c r="V100" s="89">
        <f t="shared" si="19"/>
        <v>97.426661264181519</v>
      </c>
      <c r="W100" s="88">
        <f t="shared" si="21"/>
        <v>90.599473257698534</v>
      </c>
      <c r="X100" s="89">
        <f t="shared" si="22"/>
        <v>11.061350542664758</v>
      </c>
      <c r="Y100" s="89">
        <f t="shared" si="23"/>
        <v>6.3862737134083121</v>
      </c>
      <c r="Z100" s="89">
        <f>(V100-$V$61)/(D98-$D$59)</f>
        <v>0.27035092401819288</v>
      </c>
      <c r="AA100" s="88">
        <f t="shared" si="25"/>
        <v>0.25089203403163068</v>
      </c>
      <c r="AB100" s="95">
        <f t="shared" si="26"/>
        <v>1.8722728845221068E-2</v>
      </c>
    </row>
    <row r="101" spans="2:34" x14ac:dyDescent="0.2">
      <c r="B101" s="206" t="s">
        <v>37</v>
      </c>
      <c r="C101" s="203">
        <v>0.5</v>
      </c>
      <c r="D101" s="215">
        <f>24+1.5+D98</f>
        <v>361</v>
      </c>
      <c r="E101" s="104" t="s">
        <v>104</v>
      </c>
      <c r="F101" s="209">
        <f>(0.0415+0.0244+0.0307)/3</f>
        <v>3.2199999999999999E-2</v>
      </c>
      <c r="G101" s="212">
        <f>(0.041+0.0237+0.03)/3</f>
        <v>3.1566666666666666E-2</v>
      </c>
      <c r="H101" s="96">
        <f>0.2076-F101</f>
        <v>0.1754</v>
      </c>
      <c r="I101" s="96">
        <f>0.2088-F101</f>
        <v>0.17660000000000001</v>
      </c>
      <c r="J101" s="96">
        <f>0.1329-G101</f>
        <v>0.10133333333333333</v>
      </c>
      <c r="K101" s="96">
        <f>0.1341-G101</f>
        <v>0.10253333333333334</v>
      </c>
      <c r="L101" s="76">
        <f t="shared" si="14"/>
        <v>1.8491626148028094E-2</v>
      </c>
      <c r="M101" s="76">
        <f t="shared" si="15"/>
        <v>1.8568449486763911E-2</v>
      </c>
      <c r="N101" s="96">
        <f t="shared" si="16"/>
        <v>1.8530037817396004E-2</v>
      </c>
      <c r="O101" s="103">
        <f>'Growth curves CeBER'!F45</f>
        <v>1.137</v>
      </c>
      <c r="P101" s="96">
        <f t="shared" si="17"/>
        <v>1.4023758000000002</v>
      </c>
      <c r="Q101" s="97">
        <f t="shared" si="30"/>
        <v>1.4023758000000002E-4</v>
      </c>
      <c r="R101" s="98">
        <f t="shared" si="18"/>
        <v>66.066591484950052</v>
      </c>
      <c r="S101" s="102"/>
      <c r="T101" s="103"/>
      <c r="U101" s="103"/>
      <c r="V101" s="80">
        <f t="shared" si="19"/>
        <v>92.650189086980035</v>
      </c>
      <c r="W101" s="94"/>
      <c r="X101" s="80"/>
      <c r="Y101" s="80"/>
      <c r="Z101" s="80">
        <f t="shared" si="24"/>
        <v>0.23941129747938905</v>
      </c>
      <c r="AA101" s="94"/>
      <c r="AB101" s="101"/>
    </row>
    <row r="102" spans="2:34" x14ac:dyDescent="0.2">
      <c r="B102" s="207"/>
      <c r="C102" s="204"/>
      <c r="D102" s="216"/>
      <c r="E102" s="104" t="s">
        <v>105</v>
      </c>
      <c r="F102" s="210"/>
      <c r="G102" s="213"/>
      <c r="H102" s="76">
        <f>0.2232-F101</f>
        <v>0.191</v>
      </c>
      <c r="I102" s="76">
        <f>0.2167-F101</f>
        <v>0.1845</v>
      </c>
      <c r="J102" s="76">
        <f>0.1423-G101</f>
        <v>0.11073333333333335</v>
      </c>
      <c r="K102" s="76">
        <f>0.1358-G101</f>
        <v>0.10423333333333334</v>
      </c>
      <c r="L102" s="76">
        <f t="shared" si="14"/>
        <v>2.0098271204754187E-2</v>
      </c>
      <c r="M102" s="76">
        <f t="shared" si="15"/>
        <v>1.9682144786601838E-2</v>
      </c>
      <c r="N102" s="76">
        <f t="shared" si="16"/>
        <v>1.9890207995678012E-2</v>
      </c>
      <c r="O102" s="56">
        <f>'Growth curves CeBER'!G45</f>
        <v>1.2689999999999999</v>
      </c>
      <c r="P102" s="76">
        <f t="shared" si="17"/>
        <v>1.5651846</v>
      </c>
      <c r="Q102" s="77">
        <f t="shared" si="30"/>
        <v>1.5651846000000003E-4</v>
      </c>
      <c r="R102" s="78">
        <f t="shared" si="18"/>
        <v>63.539495583070547</v>
      </c>
      <c r="S102" s="79"/>
      <c r="V102" s="80">
        <f t="shared" si="19"/>
        <v>99.451039978390043</v>
      </c>
      <c r="W102" s="94"/>
      <c r="X102" s="80"/>
      <c r="Y102" s="80"/>
      <c r="Z102" s="80">
        <f>(V102-$V$60)/(D101-$D$59)</f>
        <v>0.25795592634661801</v>
      </c>
      <c r="AA102" s="94"/>
      <c r="AB102" s="101"/>
    </row>
    <row r="103" spans="2:34" x14ac:dyDescent="0.2">
      <c r="B103" s="208"/>
      <c r="C103" s="205"/>
      <c r="D103" s="217"/>
      <c r="E103" s="151" t="s">
        <v>106</v>
      </c>
      <c r="F103" s="211"/>
      <c r="G103" s="214"/>
      <c r="H103" s="76">
        <f>0.1963-F101</f>
        <v>0.1641</v>
      </c>
      <c r="I103" s="76">
        <f>0.2291-F101</f>
        <v>0.19689999999999999</v>
      </c>
      <c r="J103" s="76">
        <f>0.1258-G101</f>
        <v>9.4233333333333336E-2</v>
      </c>
      <c r="K103" s="76">
        <f>0.1554-G101</f>
        <v>0.12383333333333335</v>
      </c>
      <c r="L103" s="76">
        <f t="shared" si="14"/>
        <v>1.7356374932468936E-2</v>
      </c>
      <c r="M103" s="76">
        <f t="shared" si="15"/>
        <v>1.9769989195029713E-2</v>
      </c>
      <c r="N103" s="76">
        <f t="shared" si="16"/>
        <v>1.8563182063749323E-2</v>
      </c>
      <c r="O103" s="56">
        <f>'Growth curves CeBER'!H45</f>
        <v>1.286</v>
      </c>
      <c r="P103" s="76">
        <f t="shared" si="17"/>
        <v>1.5861524</v>
      </c>
      <c r="Q103" s="77">
        <f t="shared" si="30"/>
        <v>1.5861524000000002E-4</v>
      </c>
      <c r="R103" s="78">
        <f t="shared" si="18"/>
        <v>58.516388664006435</v>
      </c>
      <c r="S103" s="94">
        <f>AVERAGE(R101:R103)</f>
        <v>62.707491910675678</v>
      </c>
      <c r="T103" s="80">
        <f>STDEV(R101:R103)</f>
        <v>3.8432490476815513</v>
      </c>
      <c r="U103" s="89">
        <f>T103/SQRT(3)</f>
        <v>2.2189008722417167</v>
      </c>
      <c r="V103" s="89">
        <f t="shared" si="19"/>
        <v>92.815910318746603</v>
      </c>
      <c r="W103" s="88">
        <f t="shared" si="21"/>
        <v>94.97237979470556</v>
      </c>
      <c r="X103" s="89">
        <f t="shared" si="22"/>
        <v>3.8795184833114402</v>
      </c>
      <c r="Y103" s="89">
        <f t="shared" si="23"/>
        <v>2.239841040665989</v>
      </c>
      <c r="Z103" s="89">
        <f>(V103-$V$61)/(D101-$D$59)</f>
        <v>0.23848195031210193</v>
      </c>
      <c r="AA103" s="88">
        <f t="shared" si="25"/>
        <v>0.24528305804603634</v>
      </c>
      <c r="AB103" s="95">
        <f t="shared" si="26"/>
        <v>6.3421109724931032E-3</v>
      </c>
    </row>
    <row r="104" spans="2:34" x14ac:dyDescent="0.2">
      <c r="B104" s="206" t="s">
        <v>38</v>
      </c>
      <c r="C104" s="203">
        <v>0.52083333333333337</v>
      </c>
      <c r="D104" s="215">
        <f>24.5+D101</f>
        <v>385.5</v>
      </c>
      <c r="E104" s="104" t="s">
        <v>104</v>
      </c>
      <c r="F104" s="209">
        <f>(0.0512+0.0409)/2</f>
        <v>4.6050000000000001E-2</v>
      </c>
      <c r="G104" s="212">
        <f>(0.0496+0.0407)/2</f>
        <v>4.5149999999999996E-2</v>
      </c>
      <c r="H104" s="96"/>
      <c r="I104" s="96">
        <f>0.1865-F104</f>
        <v>0.14044999999999999</v>
      </c>
      <c r="J104" s="96"/>
      <c r="K104" s="96">
        <f>0.1256-G104</f>
        <v>8.0449999999999994E-2</v>
      </c>
      <c r="L104" s="76">
        <f t="shared" si="14"/>
        <v>0</v>
      </c>
      <c r="M104" s="76">
        <f t="shared" si="15"/>
        <v>1.4874837925445705E-2</v>
      </c>
      <c r="N104" s="96">
        <f t="shared" si="16"/>
        <v>7.4374189627228523E-3</v>
      </c>
      <c r="O104" s="96">
        <f>'Growth curves CeBER'!F46</f>
        <v>1.21</v>
      </c>
      <c r="P104" s="96">
        <f t="shared" si="17"/>
        <v>1.4924140000000001</v>
      </c>
      <c r="Q104" s="97">
        <f t="shared" si="30"/>
        <v>1.4924140000000002E-4</v>
      </c>
      <c r="R104" s="98">
        <f t="shared" si="18"/>
        <v>24.917412201717656</v>
      </c>
      <c r="S104" s="102"/>
      <c r="T104" s="103"/>
      <c r="U104" s="103"/>
      <c r="V104" s="80">
        <f t="shared" si="19"/>
        <v>37.187094813614259</v>
      </c>
      <c r="W104" s="94"/>
      <c r="X104" s="80"/>
      <c r="Y104" s="80"/>
      <c r="Z104" s="80">
        <f t="shared" si="24"/>
        <v>8.0322656593239103E-2</v>
      </c>
      <c r="AA104" s="94"/>
      <c r="AB104" s="101"/>
    </row>
    <row r="105" spans="2:34" x14ac:dyDescent="0.2">
      <c r="B105" s="207"/>
      <c r="C105" s="204"/>
      <c r="D105" s="216"/>
      <c r="E105" s="104" t="s">
        <v>105</v>
      </c>
      <c r="F105" s="210"/>
      <c r="G105" s="213"/>
      <c r="H105" s="76">
        <f>0.2488-F104</f>
        <v>0.20274999999999999</v>
      </c>
      <c r="I105" s="76">
        <f>0.2238-F104</f>
        <v>0.17774999999999999</v>
      </c>
      <c r="J105" s="76">
        <f>0.1741-G104</f>
        <v>0.12895000000000001</v>
      </c>
      <c r="K105" s="76">
        <f>0.1511-G104</f>
        <v>0.10595000000000002</v>
      </c>
      <c r="L105" s="76">
        <f t="shared" si="14"/>
        <v>2.0216410048622364E-2</v>
      </c>
      <c r="M105" s="76">
        <f t="shared" si="15"/>
        <v>1.8419813614262558E-2</v>
      </c>
      <c r="N105" s="76">
        <f t="shared" si="16"/>
        <v>1.9318111831442462E-2</v>
      </c>
      <c r="O105" s="56">
        <f>'Growth curves CeBER'!G46</f>
        <v>1.3320000000000001</v>
      </c>
      <c r="P105" s="76">
        <f t="shared" si="17"/>
        <v>1.6428888000000001</v>
      </c>
      <c r="Q105" s="77">
        <f t="shared" si="30"/>
        <v>1.6428888000000002E-4</v>
      </c>
      <c r="R105" s="78">
        <f t="shared" si="18"/>
        <v>58.793120482172803</v>
      </c>
      <c r="S105" s="79"/>
      <c r="V105" s="80">
        <f t="shared" si="19"/>
        <v>96.590559157212311</v>
      </c>
      <c r="W105" s="94"/>
      <c r="X105" s="80"/>
      <c r="Y105" s="80"/>
      <c r="Z105" s="80">
        <f>(V105-$V$60)/(D104-$D$59)</f>
        <v>0.23414165652386865</v>
      </c>
      <c r="AA105" s="94"/>
      <c r="AB105" s="101"/>
    </row>
    <row r="106" spans="2:34" x14ac:dyDescent="0.2">
      <c r="B106" s="208"/>
      <c r="C106" s="205"/>
      <c r="D106" s="217"/>
      <c r="E106" s="151" t="s">
        <v>106</v>
      </c>
      <c r="F106" s="211"/>
      <c r="G106" s="214"/>
      <c r="H106" s="76">
        <f>0.2428-F104</f>
        <v>0.19674999999999998</v>
      </c>
      <c r="I106" s="76">
        <f>0.2336-F104</f>
        <v>0.18754999999999999</v>
      </c>
      <c r="J106" s="76">
        <f>0.1602-G104</f>
        <v>0.11505000000000001</v>
      </c>
      <c r="K106" s="76">
        <f>0.1493-G104</f>
        <v>0.10414999999999999</v>
      </c>
      <c r="L106" s="76">
        <f t="shared" si="14"/>
        <v>2.0606928687196106E-2</v>
      </c>
      <c r="M106" s="76">
        <f t="shared" si="15"/>
        <v>2.0184643435980552E-2</v>
      </c>
      <c r="N106" s="76">
        <f t="shared" si="16"/>
        <v>2.0395786061588331E-2</v>
      </c>
      <c r="O106" s="76">
        <f>'Growth curves CeBER'!H46</f>
        <v>1.29</v>
      </c>
      <c r="P106" s="76">
        <f t="shared" si="17"/>
        <v>1.591086</v>
      </c>
      <c r="Q106" s="77">
        <f t="shared" si="30"/>
        <v>1.5910860000000002E-4</v>
      </c>
      <c r="R106" s="78">
        <f t="shared" si="18"/>
        <v>64.093914664538332</v>
      </c>
      <c r="S106" s="94">
        <f>AVERAGE(R104:R106)</f>
        <v>49.268149116142929</v>
      </c>
      <c r="T106" s="80">
        <f>STDEV(R104:R106)</f>
        <v>21.254255949047351</v>
      </c>
      <c r="U106" s="89">
        <f>T106/SQRT(3)</f>
        <v>12.271150393607694</v>
      </c>
      <c r="V106" s="89">
        <f t="shared" si="19"/>
        <v>101.97893030794164</v>
      </c>
      <c r="W106" s="88">
        <f t="shared" si="21"/>
        <v>78.585528092922743</v>
      </c>
      <c r="X106" s="89">
        <f t="shared" si="22"/>
        <v>35.95318267414607</v>
      </c>
      <c r="Y106" s="89">
        <f t="shared" si="23"/>
        <v>20.757579695142024</v>
      </c>
      <c r="Z106" s="89">
        <f>(V106-$V$61)/(D104-$D$59)</f>
        <v>0.24709469274154042</v>
      </c>
      <c r="AA106" s="88">
        <f t="shared" si="25"/>
        <v>0.18718633528621606</v>
      </c>
      <c r="AB106" s="95">
        <f t="shared" si="26"/>
        <v>5.3562516914539365E-2</v>
      </c>
    </row>
    <row r="107" spans="2:34" x14ac:dyDescent="0.2">
      <c r="B107" s="206" t="s">
        <v>39</v>
      </c>
      <c r="C107" s="203">
        <v>0.5</v>
      </c>
      <c r="D107" s="215">
        <f>48+D101</f>
        <v>409</v>
      </c>
      <c r="E107" s="104" t="s">
        <v>104</v>
      </c>
      <c r="F107" s="209">
        <f>(0.0418+0.0454+0.0454)/3</f>
        <v>4.4199999999999996E-2</v>
      </c>
      <c r="G107" s="212">
        <f>(0.0405+0.0432+0.0438)/3</f>
        <v>4.2500000000000003E-2</v>
      </c>
      <c r="H107" s="96">
        <f>0.2302-F107</f>
        <v>0.186</v>
      </c>
      <c r="I107" s="96">
        <f>0.2364-F107</f>
        <v>0.19220000000000001</v>
      </c>
      <c r="J107" s="96">
        <f>0.1392-G107</f>
        <v>9.669999999999998E-2</v>
      </c>
      <c r="K107" s="96">
        <f>0.1426-G107</f>
        <v>0.10009999999999999</v>
      </c>
      <c r="L107" s="76">
        <f t="shared" si="14"/>
        <v>2.0663938411669368E-2</v>
      </c>
      <c r="M107" s="76">
        <f t="shared" si="15"/>
        <v>2.1335413290113455E-2</v>
      </c>
      <c r="N107" s="96">
        <f t="shared" si="16"/>
        <v>2.0999675850891412E-2</v>
      </c>
      <c r="O107" s="96">
        <f>'Growth curves CeBER'!F47</f>
        <v>1.218</v>
      </c>
      <c r="P107" s="96">
        <f t="shared" si="17"/>
        <v>1.5022812000000001</v>
      </c>
      <c r="Q107" s="97">
        <f t="shared" si="30"/>
        <v>1.5022812000000001E-4</v>
      </c>
      <c r="R107" s="98">
        <f t="shared" si="18"/>
        <v>69.892626796139794</v>
      </c>
      <c r="S107" s="102"/>
      <c r="T107" s="103"/>
      <c r="U107" s="103"/>
      <c r="V107" s="80">
        <f t="shared" si="19"/>
        <v>104.99837925445705</v>
      </c>
      <c r="W107" s="94"/>
      <c r="X107" s="80"/>
      <c r="Y107" s="80"/>
      <c r="Z107" s="80">
        <f t="shared" si="24"/>
        <v>0.24150530209666618</v>
      </c>
      <c r="AA107" s="94"/>
      <c r="AB107" s="101"/>
    </row>
    <row r="108" spans="2:34" ht="15" customHeight="1" x14ac:dyDescent="0.2">
      <c r="B108" s="207"/>
      <c r="C108" s="204"/>
      <c r="D108" s="216"/>
      <c r="E108" s="104" t="s">
        <v>105</v>
      </c>
      <c r="F108" s="210"/>
      <c r="G108" s="213"/>
      <c r="H108" s="76">
        <f>0.2541-F107</f>
        <v>0.2099</v>
      </c>
      <c r="I108" s="76">
        <f>0.2703-F107</f>
        <v>0.2261</v>
      </c>
      <c r="J108" s="76">
        <f>0.1671-G107</f>
        <v>0.12459999999999999</v>
      </c>
      <c r="K108" s="76">
        <f>0.1808-G107</f>
        <v>0.13829999999999998</v>
      </c>
      <c r="L108" s="76">
        <f t="shared" si="14"/>
        <v>2.1801782820097246E-2</v>
      </c>
      <c r="M108" s="76">
        <f t="shared" si="15"/>
        <v>2.3084035656401946E-2</v>
      </c>
      <c r="N108" s="76">
        <f t="shared" si="16"/>
        <v>2.2442909238249598E-2</v>
      </c>
      <c r="O108" s="56">
        <f>'Growth curves CeBER'!G47</f>
        <v>1.3859999999999999</v>
      </c>
      <c r="P108" s="76">
        <f t="shared" si="17"/>
        <v>1.7094924</v>
      </c>
      <c r="Q108" s="77">
        <f t="shared" si="30"/>
        <v>1.7094924000000001E-4</v>
      </c>
      <c r="R108" s="78">
        <f t="shared" si="18"/>
        <v>65.642026949782277</v>
      </c>
      <c r="S108" s="79"/>
      <c r="V108" s="80">
        <f t="shared" si="19"/>
        <v>112.21454619124799</v>
      </c>
      <c r="W108" s="94"/>
      <c r="X108" s="80"/>
      <c r="Y108" s="80"/>
      <c r="Z108" s="80">
        <f>(V108-$V$60)/(D107-$D$59)</f>
        <v>0.25888898685571404</v>
      </c>
      <c r="AA108" s="94"/>
      <c r="AB108" s="101"/>
    </row>
    <row r="109" spans="2:34" ht="16" customHeight="1" thickBot="1" x14ac:dyDescent="0.25">
      <c r="B109" s="223"/>
      <c r="C109" s="224"/>
      <c r="D109" s="225"/>
      <c r="E109" s="152" t="s">
        <v>106</v>
      </c>
      <c r="F109" s="221"/>
      <c r="G109" s="222"/>
      <c r="H109" s="76">
        <f>0.2364-F107</f>
        <v>0.19220000000000001</v>
      </c>
      <c r="I109" s="76">
        <f>0.2467-F107</f>
        <v>0.20250000000000001</v>
      </c>
      <c r="J109" s="76">
        <f>0.1538-G107</f>
        <v>0.11129999999999998</v>
      </c>
      <c r="K109" s="76">
        <f>0.1641-G107</f>
        <v>0.12159999999999999</v>
      </c>
      <c r="L109" s="76">
        <f>(H109-(0.605*J109))/6.17</f>
        <v>2.0237196110210701E-2</v>
      </c>
      <c r="M109" s="76">
        <f>(I109-(0.605*K109))/6.17</f>
        <v>2.0896596434359808E-2</v>
      </c>
      <c r="N109" s="107">
        <f t="shared" si="16"/>
        <v>2.0566896272285255E-2</v>
      </c>
      <c r="O109" s="114">
        <f>'Growth curves CeBER'!H47</f>
        <v>1.365</v>
      </c>
      <c r="P109" s="107">
        <f t="shared" si="17"/>
        <v>1.6835910000000001</v>
      </c>
      <c r="Q109" s="108">
        <f t="shared" si="30"/>
        <v>1.6835910000000001E-4</v>
      </c>
      <c r="R109" s="109">
        <f t="shared" si="18"/>
        <v>61.080441366950922</v>
      </c>
      <c r="S109" s="110">
        <f>AVERAGE(R107:R109)</f>
        <v>65.538365037624331</v>
      </c>
      <c r="T109" s="111">
        <f>STDEV(R107:R109)</f>
        <v>4.4070071878346591</v>
      </c>
      <c r="U109" s="111">
        <f>T109/SQRT(3)</f>
        <v>2.5443867862169562</v>
      </c>
      <c r="V109" s="111">
        <f t="shared" si="19"/>
        <v>102.83448136142627</v>
      </c>
      <c r="W109" s="110">
        <f t="shared" si="21"/>
        <v>106.68246893571045</v>
      </c>
      <c r="X109" s="111">
        <f t="shared" si="22"/>
        <v>4.9115702778024763</v>
      </c>
      <c r="Y109" s="111">
        <f t="shared" si="23"/>
        <v>2.835696422033025</v>
      </c>
      <c r="Z109" s="80">
        <f>(V109-$V$61)/(D107-$D$59)</f>
        <v>0.23498913228691556</v>
      </c>
      <c r="AA109" s="94">
        <f t="shared" si="25"/>
        <v>0.24512780707976525</v>
      </c>
      <c r="AB109" s="101">
        <f t="shared" si="26"/>
        <v>7.1330841592040358E-3</v>
      </c>
    </row>
    <row r="110" spans="2:34" ht="15" thickBot="1" x14ac:dyDescent="0.25">
      <c r="B110" s="229" t="s">
        <v>71</v>
      </c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1"/>
      <c r="AD110" s="226" t="s">
        <v>100</v>
      </c>
      <c r="AE110" s="226"/>
      <c r="AF110" s="226"/>
      <c r="AG110" s="226"/>
      <c r="AH110" s="226"/>
    </row>
    <row r="111" spans="2:34" ht="45" customHeight="1" x14ac:dyDescent="0.2">
      <c r="B111" s="59" t="s">
        <v>0</v>
      </c>
      <c r="C111" s="60" t="s">
        <v>1</v>
      </c>
      <c r="D111" s="116" t="s">
        <v>2</v>
      </c>
      <c r="E111" s="149"/>
      <c r="F111" s="60" t="s">
        <v>8</v>
      </c>
      <c r="G111" s="60" t="s">
        <v>9</v>
      </c>
      <c r="H111" s="236" t="s">
        <v>101</v>
      </c>
      <c r="I111" s="237"/>
      <c r="J111" s="238" t="s">
        <v>80</v>
      </c>
      <c r="K111" s="239"/>
      <c r="L111" s="240" t="s">
        <v>81</v>
      </c>
      <c r="M111" s="241"/>
      <c r="N111" s="61" t="s">
        <v>82</v>
      </c>
      <c r="O111" s="62" t="s">
        <v>83</v>
      </c>
      <c r="P111" s="61" t="s">
        <v>10</v>
      </c>
      <c r="Q111" s="61" t="s">
        <v>11</v>
      </c>
      <c r="R111" s="61" t="s">
        <v>84</v>
      </c>
      <c r="S111" s="61" t="s">
        <v>85</v>
      </c>
      <c r="T111" s="61" t="s">
        <v>86</v>
      </c>
      <c r="U111" s="63" t="s">
        <v>62</v>
      </c>
      <c r="V111" s="62" t="s">
        <v>87</v>
      </c>
      <c r="W111" s="61" t="s">
        <v>88</v>
      </c>
      <c r="X111" s="61" t="s">
        <v>86</v>
      </c>
      <c r="Y111" s="64" t="s">
        <v>62</v>
      </c>
      <c r="Z111" s="64" t="s">
        <v>89</v>
      </c>
      <c r="AA111" s="61" t="s">
        <v>90</v>
      </c>
      <c r="AB111" s="65" t="s">
        <v>62</v>
      </c>
      <c r="AD111" s="56" t="s">
        <v>2</v>
      </c>
      <c r="AE111" s="72" t="str">
        <f>S111</f>
        <v>Average specific CPC conc.</v>
      </c>
      <c r="AF111" s="56" t="s">
        <v>12</v>
      </c>
      <c r="AG111" s="72" t="str">
        <f>W111</f>
        <v>Average total CPC</v>
      </c>
      <c r="AH111" s="56" t="s">
        <v>12</v>
      </c>
    </row>
    <row r="112" spans="2:34" ht="31" customHeight="1" x14ac:dyDescent="0.2">
      <c r="B112" s="66"/>
      <c r="C112" s="67"/>
      <c r="D112" s="69"/>
      <c r="E112" s="150"/>
      <c r="F112" s="67" t="s">
        <v>13</v>
      </c>
      <c r="G112" s="67" t="s">
        <v>13</v>
      </c>
      <c r="H112" s="117" t="s">
        <v>102</v>
      </c>
      <c r="I112" s="67" t="s">
        <v>103</v>
      </c>
      <c r="J112" s="242" t="s">
        <v>13</v>
      </c>
      <c r="K112" s="235"/>
      <c r="L112" s="234" t="s">
        <v>14</v>
      </c>
      <c r="M112" s="235"/>
      <c r="N112" s="70" t="s">
        <v>14</v>
      </c>
      <c r="O112" s="70" t="s">
        <v>13</v>
      </c>
      <c r="P112" s="70" t="s">
        <v>15</v>
      </c>
      <c r="Q112" s="70" t="s">
        <v>16</v>
      </c>
      <c r="R112" s="71" t="s">
        <v>91</v>
      </c>
      <c r="S112" s="71" t="s">
        <v>91</v>
      </c>
      <c r="T112" s="70"/>
      <c r="U112" s="69"/>
      <c r="V112" s="71" t="s">
        <v>92</v>
      </c>
      <c r="W112" s="71" t="s">
        <v>92</v>
      </c>
      <c r="X112" s="70"/>
      <c r="Y112" s="70"/>
      <c r="Z112" s="71" t="s">
        <v>93</v>
      </c>
      <c r="AA112" s="71" t="s">
        <v>93</v>
      </c>
      <c r="AB112" s="68"/>
      <c r="AD112" s="81">
        <f>D113</f>
        <v>0</v>
      </c>
      <c r="AE112" s="80">
        <f>S115</f>
        <v>45.34852150315416</v>
      </c>
      <c r="AF112" s="80">
        <f>U115</f>
        <v>2.2707630796834528</v>
      </c>
      <c r="AG112" s="80">
        <f>W115</f>
        <v>5.7861426256077806</v>
      </c>
      <c r="AH112" s="80">
        <f>Y115</f>
        <v>0.17364024455217983</v>
      </c>
    </row>
    <row r="113" spans="2:34" x14ac:dyDescent="0.2">
      <c r="B113" s="207" t="s">
        <v>23</v>
      </c>
      <c r="C113" s="204">
        <v>0.52083333333333337</v>
      </c>
      <c r="D113" s="226">
        <v>0</v>
      </c>
      <c r="E113" s="104" t="s">
        <v>104</v>
      </c>
      <c r="F113" s="210">
        <f>(0.04+0.0315+0.0322)/3</f>
        <v>3.4566666666666669E-2</v>
      </c>
      <c r="G113" s="213">
        <f>(0.0387+0.0303+0.0319)/3</f>
        <v>3.3633333333333335E-2</v>
      </c>
      <c r="H113" s="74">
        <f>0.154-F113</f>
        <v>0.11943333333333334</v>
      </c>
      <c r="I113" s="76">
        <f>0.151-F113</f>
        <v>0.11643333333333333</v>
      </c>
      <c r="J113" s="76">
        <f>0.1102-G113</f>
        <v>7.6566666666666672E-2</v>
      </c>
      <c r="K113" s="76">
        <f>0.1063-G113</f>
        <v>7.2666666666666671E-2</v>
      </c>
      <c r="L113" s="76">
        <f>(H113-(0.605*J113))/6.17</f>
        <v>1.1849351701782819E-2</v>
      </c>
      <c r="M113" s="277">
        <f>(I113-(0.605*K113))/6.17</f>
        <v>1.1745542949756889E-2</v>
      </c>
      <c r="N113" s="76">
        <f>AVERAGE(L113:M113)</f>
        <v>1.1797447325769855E-2</v>
      </c>
      <c r="O113" s="56">
        <v>0.10199999999999999</v>
      </c>
      <c r="P113" s="76">
        <f>1.2334*O113</f>
        <v>0.1258068</v>
      </c>
      <c r="Q113" s="77">
        <f>P113*1/1000</f>
        <v>1.2580680000000001E-4</v>
      </c>
      <c r="R113" s="78">
        <f>(N113*0.5)/Q113</f>
        <v>46.887160812332297</v>
      </c>
      <c r="S113" s="79"/>
      <c r="V113" s="80">
        <f>R113*P113</f>
        <v>5.8987236628849269</v>
      </c>
      <c r="W113" s="79"/>
      <c r="AA113" s="79"/>
      <c r="AB113" s="73"/>
      <c r="AD113" s="81">
        <f>D116</f>
        <v>22</v>
      </c>
      <c r="AE113" s="80">
        <f>S118</f>
        <v>43.477002296797387</v>
      </c>
      <c r="AF113" s="80">
        <f>U118</f>
        <v>0</v>
      </c>
      <c r="AG113" s="80">
        <f>W118</f>
        <v>7.8828065910318745</v>
      </c>
      <c r="AH113" s="80">
        <f>Y118</f>
        <v>0</v>
      </c>
    </row>
    <row r="114" spans="2:34" ht="15" customHeight="1" x14ac:dyDescent="0.2">
      <c r="B114" s="207"/>
      <c r="C114" s="204"/>
      <c r="D114" s="226"/>
      <c r="E114" s="104" t="s">
        <v>105</v>
      </c>
      <c r="F114" s="210"/>
      <c r="G114" s="213"/>
      <c r="H114" s="74">
        <f>0.149-F113</f>
        <v>0.11443333333333333</v>
      </c>
      <c r="I114" s="76">
        <f>0.1508-F113</f>
        <v>0.11623333333333333</v>
      </c>
      <c r="J114" s="76">
        <f>0.1115-G113</f>
        <v>7.7866666666666667E-2</v>
      </c>
      <c r="K114" s="76">
        <f>0.1149-G113</f>
        <v>8.1266666666666668E-2</v>
      </c>
      <c r="L114" s="76">
        <f t="shared" ref="L114:L154" si="31">(H114-(0.605*J114))/6.17</f>
        <v>1.0911507293354942E-2</v>
      </c>
      <c r="M114" s="277">
        <f t="shared" ref="M114:M162" si="32">(I114-(0.605*K114))/6.17</f>
        <v>1.0869854132901133E-2</v>
      </c>
      <c r="N114" s="76">
        <f t="shared" ref="N114:N163" si="33">AVERAGE(L114:M114)</f>
        <v>1.0890680713128037E-2</v>
      </c>
      <c r="O114" s="56">
        <v>0.108</v>
      </c>
      <c r="P114" s="76">
        <f t="shared" ref="P114:P163" si="34">1.2334*O114</f>
        <v>0.1332072</v>
      </c>
      <c r="Q114" s="77">
        <f>P114*1/1000</f>
        <v>1.332072E-4</v>
      </c>
      <c r="R114" s="78">
        <f t="shared" ref="R114:R163" si="35">(N114*0.5)/Q114</f>
        <v>40.878723947084083</v>
      </c>
      <c r="S114" s="79"/>
      <c r="V114" s="80">
        <f t="shared" ref="V114:V163" si="36">R114*P114</f>
        <v>5.445340356564019</v>
      </c>
      <c r="W114" s="79"/>
      <c r="AA114" s="79"/>
      <c r="AB114" s="73"/>
      <c r="AD114" s="81">
        <f>D119</f>
        <v>48</v>
      </c>
      <c r="AE114" s="80">
        <f>S121</f>
        <v>40.500939618083812</v>
      </c>
      <c r="AF114" s="80">
        <f>U121</f>
        <v>0.3941914955598354</v>
      </c>
      <c r="AG114" s="80">
        <f>W121</f>
        <v>10.760845488924907</v>
      </c>
      <c r="AH114" s="80">
        <f>Y121</f>
        <v>0.45428637285527823</v>
      </c>
    </row>
    <row r="115" spans="2:34" ht="15" customHeight="1" x14ac:dyDescent="0.2">
      <c r="B115" s="208"/>
      <c r="C115" s="205"/>
      <c r="D115" s="227"/>
      <c r="E115" s="151" t="s">
        <v>106</v>
      </c>
      <c r="F115" s="211"/>
      <c r="G115" s="214"/>
      <c r="H115" s="83">
        <f>0.152-F113</f>
        <v>0.11743333333333333</v>
      </c>
      <c r="I115" s="85">
        <f>0.1469-F113</f>
        <v>0.11233333333333334</v>
      </c>
      <c r="J115" s="85">
        <f>0.1016-G113</f>
        <v>6.7966666666666661E-2</v>
      </c>
      <c r="K115" s="85">
        <f>0.1001-G113</f>
        <v>6.646666666666666E-2</v>
      </c>
      <c r="L115" s="76">
        <f t="shared" si="31"/>
        <v>1.2368476499189629E-2</v>
      </c>
      <c r="M115" s="277">
        <f t="shared" si="32"/>
        <v>1.1688978930307944E-2</v>
      </c>
      <c r="N115" s="85">
        <f>AVERAGE(L115:M115)</f>
        <v>1.2028727714748787E-2</v>
      </c>
      <c r="O115" s="90">
        <v>0.10100000000000001</v>
      </c>
      <c r="P115" s="85">
        <f t="shared" si="34"/>
        <v>0.12457340000000001</v>
      </c>
      <c r="Q115" s="77">
        <f>P115*1/1000</f>
        <v>1.245734E-4</v>
      </c>
      <c r="R115" s="87">
        <f t="shared" si="35"/>
        <v>48.279679750046107</v>
      </c>
      <c r="S115" s="88">
        <f>AVERAGE(R113:R115)</f>
        <v>45.34852150315416</v>
      </c>
      <c r="T115" s="89">
        <f>STDEV(R113:R115)</f>
        <v>3.9330770259633154</v>
      </c>
      <c r="U115" s="89">
        <f>T115/SQRT(3)</f>
        <v>2.2707630796834528</v>
      </c>
      <c r="V115" s="89">
        <f t="shared" si="36"/>
        <v>6.0143638573743941</v>
      </c>
      <c r="W115" s="88">
        <f>AVERAGE(V113:V115)</f>
        <v>5.7861426256077806</v>
      </c>
      <c r="X115" s="89">
        <f>STDEV(V113:V115)</f>
        <v>0.30075372580306042</v>
      </c>
      <c r="Y115" s="89">
        <f>X115/SQRT(3)</f>
        <v>0.17364024455217983</v>
      </c>
      <c r="Z115" s="90"/>
      <c r="AA115" s="91"/>
      <c r="AB115" s="82"/>
      <c r="AD115" s="81">
        <f>D122</f>
        <v>72</v>
      </c>
      <c r="AE115" s="80">
        <f>S124</f>
        <v>55.655170565013833</v>
      </c>
      <c r="AF115" s="80">
        <f>U124</f>
        <v>2.381451001720067</v>
      </c>
      <c r="AG115" s="80">
        <f>W124</f>
        <v>20.798432390599682</v>
      </c>
      <c r="AH115" s="80">
        <f>Y124</f>
        <v>1.4982505388109293</v>
      </c>
    </row>
    <row r="116" spans="2:34" x14ac:dyDescent="0.2">
      <c r="B116" s="206" t="s">
        <v>24</v>
      </c>
      <c r="C116" s="203">
        <v>0.4375</v>
      </c>
      <c r="D116" s="228">
        <f>22+D113</f>
        <v>22</v>
      </c>
      <c r="E116" s="104" t="s">
        <v>104</v>
      </c>
      <c r="F116" s="209">
        <f>(0.0466+0.0391+0.036)/3</f>
        <v>4.0566666666666668E-2</v>
      </c>
      <c r="G116" s="212">
        <f>(0.0461+0.0386+0.0356)/3</f>
        <v>4.0099999999999997E-2</v>
      </c>
      <c r="H116" s="74">
        <f>0.1907-F116</f>
        <v>0.15013333333333334</v>
      </c>
      <c r="I116" s="76">
        <f>0.1865-F116</f>
        <v>0.14593333333333333</v>
      </c>
      <c r="J116" s="76">
        <f>0.1259-G116</f>
        <v>8.5800000000000015E-2</v>
      </c>
      <c r="K116" s="76">
        <f>0.1221-G116</f>
        <v>8.2000000000000003E-2</v>
      </c>
      <c r="L116" s="76">
        <f t="shared" si="31"/>
        <v>1.5919665045921124E-2</v>
      </c>
      <c r="M116" s="277">
        <f t="shared" si="32"/>
        <v>1.5611561318206374E-2</v>
      </c>
      <c r="N116" s="76">
        <f t="shared" si="33"/>
        <v>1.5765613182063751E-2</v>
      </c>
      <c r="O116" s="76">
        <v>0.14699999999999999</v>
      </c>
      <c r="P116" s="76">
        <f t="shared" si="34"/>
        <v>0.18130979999999999</v>
      </c>
      <c r="Q116" s="77">
        <f t="shared" ref="Q116:Q121" si="37">P116*1/1000</f>
        <v>1.813098E-4</v>
      </c>
      <c r="R116" s="78">
        <f t="shared" si="35"/>
        <v>43.477002296797387</v>
      </c>
      <c r="S116" s="94"/>
      <c r="T116" s="80"/>
      <c r="U116" s="80"/>
      <c r="V116" s="80">
        <f t="shared" si="36"/>
        <v>7.8828065910318745</v>
      </c>
      <c r="W116" s="94"/>
      <c r="X116" s="80"/>
      <c r="Y116" s="80"/>
      <c r="Z116" s="80">
        <f>(V116-$V$113)/(D116-$D$113)</f>
        <v>9.0185587643043075E-2</v>
      </c>
      <c r="AA116" s="94"/>
      <c r="AB116" s="73"/>
      <c r="AD116" s="81">
        <f>D125</f>
        <v>94.5</v>
      </c>
      <c r="AE116" s="80">
        <f>S127</f>
        <v>58.048330848069533</v>
      </c>
      <c r="AF116" s="80">
        <f>U127</f>
        <v>3.2563792586382712</v>
      </c>
      <c r="AG116" s="80">
        <f>W127</f>
        <v>27.253808773635871</v>
      </c>
      <c r="AH116" s="80">
        <f>Y127</f>
        <v>2.9699112814227968</v>
      </c>
    </row>
    <row r="117" spans="2:34" x14ac:dyDescent="0.2">
      <c r="B117" s="207"/>
      <c r="C117" s="204"/>
      <c r="D117" s="226"/>
      <c r="E117" s="104" t="s">
        <v>105</v>
      </c>
      <c r="F117" s="210"/>
      <c r="G117" s="213"/>
      <c r="H117" s="74"/>
      <c r="I117" s="76"/>
      <c r="J117" s="76"/>
      <c r="K117" s="76"/>
      <c r="L117" s="76">
        <f t="shared" si="31"/>
        <v>0</v>
      </c>
      <c r="M117" s="277">
        <f t="shared" si="32"/>
        <v>0</v>
      </c>
      <c r="N117" s="76">
        <f t="shared" si="33"/>
        <v>0</v>
      </c>
      <c r="O117" s="76">
        <v>0.13100000000000001</v>
      </c>
      <c r="P117" s="76">
        <f t="shared" si="34"/>
        <v>0.16157540000000001</v>
      </c>
      <c r="Q117" s="77">
        <f t="shared" si="37"/>
        <v>1.6157540000000001E-4</v>
      </c>
      <c r="R117" s="78"/>
      <c r="S117" s="79"/>
      <c r="T117" s="80"/>
      <c r="U117" s="80"/>
      <c r="V117" s="80"/>
      <c r="W117" s="94"/>
      <c r="X117" s="80"/>
      <c r="Y117" s="80"/>
      <c r="Z117" s="80">
        <f>(V117-$V$114)/(D116-$D$113)</f>
        <v>-0.24751547075290994</v>
      </c>
      <c r="AA117" s="94"/>
      <c r="AB117" s="73"/>
      <c r="AD117" s="81">
        <f>D128</f>
        <v>118.5</v>
      </c>
      <c r="AE117" s="80">
        <f>S130</f>
        <v>58.629662679093975</v>
      </c>
      <c r="AF117" s="80">
        <f>U130</f>
        <v>8.1173018215292032</v>
      </c>
      <c r="AG117" s="80">
        <f>W130</f>
        <v>39.951132031334424</v>
      </c>
      <c r="AH117" s="80">
        <f>Y130</f>
        <v>6.0457732952976242</v>
      </c>
    </row>
    <row r="118" spans="2:34" x14ac:dyDescent="0.2">
      <c r="B118" s="208"/>
      <c r="C118" s="205"/>
      <c r="D118" s="227"/>
      <c r="E118" s="151" t="s">
        <v>106</v>
      </c>
      <c r="F118" s="211"/>
      <c r="G118" s="214"/>
      <c r="H118" s="74"/>
      <c r="I118" s="76"/>
      <c r="J118" s="76"/>
      <c r="K118" s="76"/>
      <c r="L118" s="76">
        <f t="shared" si="31"/>
        <v>0</v>
      </c>
      <c r="M118" s="277">
        <f t="shared" si="32"/>
        <v>0</v>
      </c>
      <c r="N118" s="76">
        <f t="shared" si="33"/>
        <v>0</v>
      </c>
      <c r="O118" s="76">
        <v>0.152</v>
      </c>
      <c r="P118" s="76">
        <f t="shared" si="34"/>
        <v>0.1874768</v>
      </c>
      <c r="Q118" s="77">
        <f t="shared" si="37"/>
        <v>1.8747680000000001E-4</v>
      </c>
      <c r="R118" s="78"/>
      <c r="S118" s="94">
        <f>AVERAGE(R116:R118)</f>
        <v>43.477002296797387</v>
      </c>
      <c r="T118" s="80"/>
      <c r="U118" s="89"/>
      <c r="V118" s="89"/>
      <c r="W118" s="88">
        <f t="shared" ref="W118:W163" si="38">AVERAGE(V116:V118)</f>
        <v>7.8828065910318745</v>
      </c>
      <c r="X118" s="89"/>
      <c r="Y118" s="89"/>
      <c r="Z118" s="89">
        <f>(V118-$V$115)/(D116-$D$113)</f>
        <v>-0.2733801753351997</v>
      </c>
      <c r="AA118" s="88">
        <f>AVERAGE(Z116:Z118)</f>
        <v>-0.14357001948168888</v>
      </c>
      <c r="AB118" s="95">
        <f>STDEV(Z116:Z118)/SQRT(3)</f>
        <v>0.1171160516076131</v>
      </c>
      <c r="AD118" s="81">
        <f>D131</f>
        <v>142.5</v>
      </c>
      <c r="AE118" s="80">
        <f>S133</f>
        <v>58.65616379331474</v>
      </c>
      <c r="AF118" s="80">
        <f>U133</f>
        <v>2.6557995220984831</v>
      </c>
      <c r="AG118" s="80">
        <f>W133</f>
        <v>56.877764565099959</v>
      </c>
      <c r="AH118" s="80">
        <f>Y133</f>
        <v>5.533417769894533</v>
      </c>
    </row>
    <row r="119" spans="2:34" x14ac:dyDescent="0.2">
      <c r="B119" s="206" t="s">
        <v>25</v>
      </c>
      <c r="C119" s="203">
        <v>0.52083333333333337</v>
      </c>
      <c r="D119" s="228">
        <f>2+24+D116</f>
        <v>48</v>
      </c>
      <c r="E119" s="104" t="s">
        <v>104</v>
      </c>
      <c r="F119" s="209">
        <v>4.99E-2</v>
      </c>
      <c r="G119" s="212">
        <v>4.8899999999999999E-2</v>
      </c>
      <c r="H119" s="92">
        <f>0.2644-F119</f>
        <v>0.21450000000000002</v>
      </c>
      <c r="I119" s="96">
        <f>0.259-F119</f>
        <v>0.20910000000000001</v>
      </c>
      <c r="J119" s="96">
        <f>0.1723-G119</f>
        <v>0.12340000000000001</v>
      </c>
      <c r="K119" s="96">
        <f>0.1674-G119</f>
        <v>0.11849999999999999</v>
      </c>
      <c r="L119" s="76">
        <f t="shared" si="31"/>
        <v>2.2664991896272288E-2</v>
      </c>
      <c r="M119" s="277">
        <f t="shared" si="32"/>
        <v>2.2270259319286875E-2</v>
      </c>
      <c r="N119" s="96">
        <f t="shared" si="33"/>
        <v>2.2467625607779582E-2</v>
      </c>
      <c r="O119" s="96">
        <v>0.22600000000000001</v>
      </c>
      <c r="P119" s="96">
        <f t="shared" si="34"/>
        <v>0.27874840000000001</v>
      </c>
      <c r="Q119" s="97">
        <f t="shared" si="37"/>
        <v>2.7874840000000002E-4</v>
      </c>
      <c r="R119" s="98">
        <f t="shared" si="35"/>
        <v>40.300905059508111</v>
      </c>
      <c r="S119" s="99"/>
      <c r="T119" s="100"/>
      <c r="U119" s="100"/>
      <c r="V119" s="80">
        <f t="shared" si="36"/>
        <v>11.233812803889791</v>
      </c>
      <c r="W119" s="94"/>
      <c r="X119" s="80"/>
      <c r="Y119" s="80"/>
      <c r="Z119" s="80">
        <f t="shared" ref="Z119:Z161" si="39">(V119-$V$113)/(D119-$D$113)</f>
        <v>0.11114769043760132</v>
      </c>
      <c r="AA119" s="94"/>
      <c r="AB119" s="101"/>
      <c r="AD119" s="81">
        <f>D134</f>
        <v>166.5</v>
      </c>
      <c r="AE119" s="80">
        <f>S136</f>
        <v>55.036943553905097</v>
      </c>
      <c r="AF119" s="80">
        <f>U136</f>
        <v>3.4719326830440433</v>
      </c>
      <c r="AG119" s="80">
        <f>W136</f>
        <v>66.665045921123721</v>
      </c>
      <c r="AH119" s="80">
        <f>Y136</f>
        <v>7.0908628881161615</v>
      </c>
    </row>
    <row r="120" spans="2:34" x14ac:dyDescent="0.2">
      <c r="B120" s="207"/>
      <c r="C120" s="204"/>
      <c r="D120" s="226"/>
      <c r="E120" s="104" t="s">
        <v>105</v>
      </c>
      <c r="F120" s="210"/>
      <c r="G120" s="213"/>
      <c r="H120" s="74">
        <f>0.2365-F119</f>
        <v>0.18659999999999999</v>
      </c>
      <c r="I120" s="76">
        <f>0.2274-F119</f>
        <v>0.17749999999999999</v>
      </c>
      <c r="J120" s="76">
        <f>0.1525-G119</f>
        <v>0.1036</v>
      </c>
      <c r="K120" s="76">
        <f>0.1452-G119</f>
        <v>9.6299999999999997E-2</v>
      </c>
      <c r="L120" s="76">
        <f t="shared" si="31"/>
        <v>2.0084602917341977E-2</v>
      </c>
      <c r="M120" s="277">
        <f t="shared" si="32"/>
        <v>1.9325526742301459E-2</v>
      </c>
      <c r="N120" s="76">
        <f t="shared" si="33"/>
        <v>1.970506482982172E-2</v>
      </c>
      <c r="O120" s="76">
        <v>0.2</v>
      </c>
      <c r="P120" s="76">
        <f t="shared" si="34"/>
        <v>0.24668000000000001</v>
      </c>
      <c r="Q120" s="77">
        <f t="shared" si="37"/>
        <v>2.4667999999999999E-4</v>
      </c>
      <c r="R120" s="78">
        <f t="shared" si="35"/>
        <v>39.940540031258557</v>
      </c>
      <c r="S120" s="79"/>
      <c r="T120" s="80"/>
      <c r="U120" s="80"/>
      <c r="V120" s="80">
        <f t="shared" si="36"/>
        <v>9.8525324149108613</v>
      </c>
      <c r="W120" s="94"/>
      <c r="X120" s="80"/>
      <c r="Y120" s="80"/>
      <c r="Z120" s="80">
        <f>(V120-$V$114)/(D119-$D$113)</f>
        <v>9.1816501215559218E-2</v>
      </c>
      <c r="AA120" s="94"/>
      <c r="AB120" s="101"/>
      <c r="AD120" s="81">
        <f>D137</f>
        <v>190</v>
      </c>
      <c r="AE120" s="80">
        <f>S139</f>
        <v>53.762474727650833</v>
      </c>
      <c r="AF120" s="80">
        <f>U139</f>
        <v>4.7207242662913567</v>
      </c>
      <c r="AG120" s="80">
        <f>W139</f>
        <v>79.580605078336021</v>
      </c>
      <c r="AH120" s="80">
        <f>Y139</f>
        <v>8.9304465272315028</v>
      </c>
    </row>
    <row r="121" spans="2:34" x14ac:dyDescent="0.2">
      <c r="B121" s="208"/>
      <c r="C121" s="205"/>
      <c r="D121" s="227"/>
      <c r="E121" s="151" t="s">
        <v>106</v>
      </c>
      <c r="F121" s="211"/>
      <c r="G121" s="214"/>
      <c r="H121" s="74">
        <f>0.2538-F119</f>
        <v>0.20390000000000003</v>
      </c>
      <c r="I121" s="76">
        <f>0.2576-F119</f>
        <v>0.2077</v>
      </c>
      <c r="J121" s="76">
        <f>0.1596-G119</f>
        <v>0.11069999999999999</v>
      </c>
      <c r="K121" s="76">
        <f>0.1618-G119</f>
        <v>0.1129</v>
      </c>
      <c r="L121" s="76">
        <f t="shared" si="31"/>
        <v>2.2192301458670995E-2</v>
      </c>
      <c r="M121" s="277">
        <f t="shared" si="32"/>
        <v>2.2592463533225284E-2</v>
      </c>
      <c r="N121" s="76">
        <f t="shared" si="33"/>
        <v>2.2392382495948139E-2</v>
      </c>
      <c r="O121" s="76">
        <v>0.22</v>
      </c>
      <c r="P121" s="76">
        <f t="shared" si="34"/>
        <v>0.27134800000000003</v>
      </c>
      <c r="Q121" s="77">
        <f t="shared" si="37"/>
        <v>2.7134800000000003E-4</v>
      </c>
      <c r="R121" s="78">
        <f t="shared" si="35"/>
        <v>41.261373763484784</v>
      </c>
      <c r="S121" s="94">
        <f>AVERAGE(R119:R121)</f>
        <v>40.500939618083812</v>
      </c>
      <c r="T121" s="80">
        <f>STDEV(R119:R121)</f>
        <v>0.68275969822119642</v>
      </c>
      <c r="U121" s="89">
        <f>T121/SQRT(3)</f>
        <v>0.3941914955598354</v>
      </c>
      <c r="V121" s="89">
        <f t="shared" si="36"/>
        <v>11.19619124797407</v>
      </c>
      <c r="W121" s="88">
        <f t="shared" si="38"/>
        <v>10.760845488924907</v>
      </c>
      <c r="X121" s="89">
        <f t="shared" ref="X121:X163" si="40">STDEV(V119:V121)</f>
        <v>0.78684707897152073</v>
      </c>
      <c r="Y121" s="89">
        <f t="shared" ref="Y121:Y163" si="41">X121/SQRT(3)</f>
        <v>0.45428637285527823</v>
      </c>
      <c r="Z121" s="89">
        <f>(V121-$V$115)/(D119-$D$113)</f>
        <v>0.10795473730415993</v>
      </c>
      <c r="AA121" s="88">
        <f t="shared" ref="AA121:AA163" si="42">AVERAGE(Z119:Z121)</f>
        <v>0.10363964298577349</v>
      </c>
      <c r="AB121" s="95">
        <f t="shared" ref="AB121:AB163" si="43">STDEV(Z119:Z121)/SQRT(3)</f>
        <v>5.9829966966681893E-3</v>
      </c>
      <c r="AD121" s="81">
        <f>D140</f>
        <v>214</v>
      </c>
      <c r="AE121" s="80">
        <f>S142</f>
        <v>56.067580454673816</v>
      </c>
      <c r="AF121" s="80">
        <f>U142</f>
        <v>5.9671993312146467</v>
      </c>
      <c r="AG121" s="80">
        <f>W142</f>
        <v>87.977242031334413</v>
      </c>
      <c r="AH121" s="80">
        <f>Y142</f>
        <v>13.96056969795308</v>
      </c>
    </row>
    <row r="122" spans="2:34" x14ac:dyDescent="0.2">
      <c r="B122" s="206" t="s">
        <v>26</v>
      </c>
      <c r="C122" s="203">
        <v>0.52083333333333337</v>
      </c>
      <c r="D122" s="228">
        <f>24+D119</f>
        <v>72</v>
      </c>
      <c r="E122" s="104" t="s">
        <v>104</v>
      </c>
      <c r="F122" s="209">
        <f>(0.0193+0.063)/2</f>
        <v>4.1149999999999999E-2</v>
      </c>
      <c r="G122" s="212">
        <f>(0.02+0.0611)/2</f>
        <v>4.0550000000000003E-2</v>
      </c>
      <c r="H122" s="92">
        <f>0.2179-F122</f>
        <v>0.17675000000000002</v>
      </c>
      <c r="I122" s="96">
        <f>0.2247-F122</f>
        <v>0.18355000000000002</v>
      </c>
      <c r="J122" s="96">
        <f>0.1491-G122</f>
        <v>0.10855000000000001</v>
      </c>
      <c r="K122" s="96">
        <f>0.1568-G122</f>
        <v>0.11624999999999999</v>
      </c>
      <c r="L122" s="76">
        <f t="shared" si="31"/>
        <v>1.8002795786061593E-2</v>
      </c>
      <c r="M122" s="277">
        <f t="shared" si="32"/>
        <v>1.8349878444084283E-2</v>
      </c>
      <c r="N122" s="96">
        <f t="shared" si="33"/>
        <v>1.8176337115072938E-2</v>
      </c>
      <c r="O122" s="96">
        <v>0.32200000000000001</v>
      </c>
      <c r="P122" s="96">
        <f t="shared" si="34"/>
        <v>0.39715480000000003</v>
      </c>
      <c r="Q122" s="97">
        <f t="shared" ref="Q122:Q130" si="44">O122*0.5/1000</f>
        <v>1.6100000000000001E-4</v>
      </c>
      <c r="R122" s="98">
        <f t="shared" si="35"/>
        <v>56.448251910164402</v>
      </c>
      <c r="S122" s="99"/>
      <c r="T122" s="100"/>
      <c r="U122" s="100"/>
      <c r="V122" s="80">
        <f t="shared" si="36"/>
        <v>22.418694197730961</v>
      </c>
      <c r="W122" s="94"/>
      <c r="X122" s="80"/>
      <c r="Y122" s="80"/>
      <c r="Z122" s="80">
        <f t="shared" si="39"/>
        <v>0.22944403520619494</v>
      </c>
      <c r="AA122" s="94"/>
      <c r="AB122" s="101"/>
      <c r="AD122" s="81">
        <f>D143</f>
        <v>262.5</v>
      </c>
      <c r="AE122" s="80">
        <f>S145</f>
        <v>56.367357333975072</v>
      </c>
      <c r="AF122" s="80">
        <f>U145</f>
        <v>1.8355761667430099</v>
      </c>
      <c r="AG122" s="80">
        <f>W145</f>
        <v>104.4728525121556</v>
      </c>
      <c r="AH122" s="80">
        <f>Y145</f>
        <v>4.1231616615230564</v>
      </c>
    </row>
    <row r="123" spans="2:34" x14ac:dyDescent="0.2">
      <c r="B123" s="207"/>
      <c r="C123" s="204"/>
      <c r="D123" s="226"/>
      <c r="E123" s="104" t="s">
        <v>105</v>
      </c>
      <c r="F123" s="210"/>
      <c r="G123" s="213"/>
      <c r="H123" s="74">
        <f>0.1941-F122</f>
        <v>0.15295</v>
      </c>
      <c r="I123" s="76">
        <f>0.1825-F122</f>
        <v>0.14135</v>
      </c>
      <c r="J123" s="76">
        <f>0.1424-G122</f>
        <v>0.10185</v>
      </c>
      <c r="K123" s="76">
        <f>0.1307-G122</f>
        <v>9.0150000000000008E-2</v>
      </c>
      <c r="L123" s="76">
        <f t="shared" si="31"/>
        <v>1.4802390599675854E-2</v>
      </c>
      <c r="M123" s="277">
        <f t="shared" si="32"/>
        <v>1.4069570502431119E-2</v>
      </c>
      <c r="N123" s="76">
        <f t="shared" si="33"/>
        <v>1.4435980551053487E-2</v>
      </c>
      <c r="O123" s="76">
        <v>0.28199999999999997</v>
      </c>
      <c r="P123" s="76">
        <f t="shared" si="34"/>
        <v>0.34781879999999998</v>
      </c>
      <c r="Q123" s="77">
        <f t="shared" si="44"/>
        <v>1.4099999999999998E-4</v>
      </c>
      <c r="R123" s="78">
        <f t="shared" si="35"/>
        <v>51.191420393806695</v>
      </c>
      <c r="S123" s="79"/>
      <c r="T123" s="80"/>
      <c r="U123" s="80"/>
      <c r="V123" s="80">
        <f t="shared" si="36"/>
        <v>17.805338411669371</v>
      </c>
      <c r="W123" s="94"/>
      <c r="X123" s="80"/>
      <c r="Y123" s="80"/>
      <c r="Z123" s="80">
        <f>(V123-$V$114)/(D122-$D$113)</f>
        <v>0.171666639654241</v>
      </c>
      <c r="AA123" s="94"/>
      <c r="AB123" s="101"/>
      <c r="AD123" s="81">
        <f>D146</f>
        <v>286.5</v>
      </c>
      <c r="AE123" s="80">
        <f>S148</f>
        <v>53.639746912518696</v>
      </c>
      <c r="AF123" s="80">
        <f>U148</f>
        <v>3.6717135289633469</v>
      </c>
      <c r="AG123" s="80">
        <f>W148</f>
        <v>118.75830632090764</v>
      </c>
      <c r="AH123" s="80">
        <f>Y148</f>
        <v>8.3622213518871629</v>
      </c>
    </row>
    <row r="124" spans="2:34" x14ac:dyDescent="0.2">
      <c r="B124" s="208"/>
      <c r="C124" s="205"/>
      <c r="D124" s="227"/>
      <c r="E124" s="151" t="s">
        <v>106</v>
      </c>
      <c r="F124" s="211"/>
      <c r="G124" s="214"/>
      <c r="H124" s="74">
        <f>0.2191-F122</f>
        <v>0.17795</v>
      </c>
      <c r="I124" s="76">
        <f>0.2229-F122</f>
        <v>0.18174999999999999</v>
      </c>
      <c r="J124" s="76">
        <f>0.153-G122</f>
        <v>0.11244999999999999</v>
      </c>
      <c r="K124" s="76">
        <f>0.156-G122</f>
        <v>0.11545</v>
      </c>
      <c r="L124" s="76">
        <f t="shared" si="31"/>
        <v>1.7814870340356566E-2</v>
      </c>
      <c r="M124" s="277">
        <f t="shared" si="32"/>
        <v>1.813658833063209E-2</v>
      </c>
      <c r="N124" s="76">
        <f t="shared" si="33"/>
        <v>1.797572933549433E-2</v>
      </c>
      <c r="O124" s="76">
        <v>0.30299999999999999</v>
      </c>
      <c r="P124" s="76">
        <f t="shared" si="34"/>
        <v>0.3737202</v>
      </c>
      <c r="Q124" s="77">
        <f t="shared" si="44"/>
        <v>1.515E-4</v>
      </c>
      <c r="R124" s="78">
        <f t="shared" si="35"/>
        <v>59.325839391070396</v>
      </c>
      <c r="S124" s="94">
        <f>AVERAGE(R122:R124)</f>
        <v>55.655170565013833</v>
      </c>
      <c r="T124" s="80">
        <f>STDEV(R122:R124)</f>
        <v>4.1247941307149532</v>
      </c>
      <c r="U124" s="89">
        <f>T124/SQRT(3)</f>
        <v>2.381451001720067</v>
      </c>
      <c r="V124" s="89">
        <f t="shared" si="36"/>
        <v>22.171264562398708</v>
      </c>
      <c r="W124" s="88">
        <f t="shared" si="38"/>
        <v>20.798432390599682</v>
      </c>
      <c r="X124" s="89">
        <f t="shared" si="40"/>
        <v>2.5950460556879755</v>
      </c>
      <c r="Y124" s="89">
        <f t="shared" si="41"/>
        <v>1.4982505388109293</v>
      </c>
      <c r="Z124" s="89">
        <f>(V124-$V$115)/(D122-$D$113)</f>
        <v>0.22440139868089323</v>
      </c>
      <c r="AA124" s="88">
        <f t="shared" si="42"/>
        <v>0.20850402451377639</v>
      </c>
      <c r="AB124" s="95">
        <f t="shared" si="43"/>
        <v>1.8476126381980176E-2</v>
      </c>
      <c r="AD124" s="81">
        <f>D149</f>
        <v>310.5</v>
      </c>
      <c r="AE124" s="80">
        <f>S151</f>
        <v>45.25570309573326</v>
      </c>
      <c r="AF124" s="80">
        <f>U151</f>
        <v>1.0951086672809869</v>
      </c>
      <c r="AG124" s="80">
        <f>W151</f>
        <v>111.10264721772016</v>
      </c>
      <c r="AH124" s="80">
        <f>Y151</f>
        <v>6.6301598312848906</v>
      </c>
    </row>
    <row r="125" spans="2:34" x14ac:dyDescent="0.2">
      <c r="B125" s="206" t="s">
        <v>27</v>
      </c>
      <c r="C125" s="203">
        <v>0.45833333333333331</v>
      </c>
      <c r="D125" s="218">
        <f>22.5+D122</f>
        <v>94.5</v>
      </c>
      <c r="E125" s="104" t="s">
        <v>104</v>
      </c>
      <c r="F125" s="209">
        <f>(0.046+0.0511+0.0509)/3</f>
        <v>4.9333333333333333E-2</v>
      </c>
      <c r="G125" s="212">
        <f>(0.045+0.0494+0.0494)/3</f>
        <v>4.7933333333333328E-2</v>
      </c>
      <c r="H125" s="92">
        <f>0.3668-F125</f>
        <v>0.31746666666666667</v>
      </c>
      <c r="I125" s="96">
        <f>0.3408-F125</f>
        <v>0.29146666666666665</v>
      </c>
      <c r="J125" s="96">
        <f>0.2891-G125</f>
        <v>0.2411666666666667</v>
      </c>
      <c r="K125" s="96">
        <f>0.2657-G125</f>
        <v>0.21776666666666666</v>
      </c>
      <c r="L125" s="76">
        <f t="shared" si="31"/>
        <v>2.7805645596974609E-2</v>
      </c>
      <c r="M125" s="277">
        <f t="shared" si="32"/>
        <v>2.5886196650459211E-2</v>
      </c>
      <c r="N125" s="96">
        <f t="shared" si="33"/>
        <v>2.684592112371691E-2</v>
      </c>
      <c r="O125" s="103">
        <v>0.41599999999999998</v>
      </c>
      <c r="P125" s="96">
        <f t="shared" si="34"/>
        <v>0.51309439999999995</v>
      </c>
      <c r="Q125" s="97">
        <f t="shared" si="44"/>
        <v>2.0799999999999999E-4</v>
      </c>
      <c r="R125" s="98">
        <f t="shared" si="35"/>
        <v>64.533464239704116</v>
      </c>
      <c r="S125" s="102"/>
      <c r="T125" s="103"/>
      <c r="U125" s="103"/>
      <c r="V125" s="80">
        <f t="shared" si="36"/>
        <v>33.111759113992434</v>
      </c>
      <c r="W125" s="94"/>
      <c r="X125" s="80"/>
      <c r="Y125" s="80"/>
      <c r="Z125" s="80">
        <f t="shared" si="39"/>
        <v>0.28796862911224874</v>
      </c>
      <c r="AA125" s="94"/>
      <c r="AB125" s="101"/>
      <c r="AD125" s="81">
        <f>D152</f>
        <v>334.5</v>
      </c>
      <c r="AE125" s="80">
        <f>S154</f>
        <v>55.47537624279903</v>
      </c>
      <c r="AF125" s="80">
        <f>U154</f>
        <v>1.0624221886503598</v>
      </c>
      <c r="AG125" s="80">
        <f>W154</f>
        <v>146.67004321988114</v>
      </c>
      <c r="AH125" s="80">
        <f>Y154</f>
        <v>7.2109218549194045</v>
      </c>
    </row>
    <row r="126" spans="2:34" ht="15" customHeight="1" x14ac:dyDescent="0.2">
      <c r="B126" s="207"/>
      <c r="C126" s="204"/>
      <c r="D126" s="219"/>
      <c r="E126" s="104" t="s">
        <v>105</v>
      </c>
      <c r="F126" s="210"/>
      <c r="G126" s="213"/>
      <c r="H126" s="74">
        <f>0.2559-F125</f>
        <v>0.20656666666666668</v>
      </c>
      <c r="I126" s="76">
        <f>0.2376-F125</f>
        <v>0.18826666666666667</v>
      </c>
      <c r="J126" s="76">
        <f>0.1907-G125</f>
        <v>0.14276666666666668</v>
      </c>
      <c r="K126" s="76">
        <f>0.1696-G125</f>
        <v>0.12166666666666667</v>
      </c>
      <c r="L126" s="76">
        <f t="shared" si="31"/>
        <v>1.9480199891950298E-2</v>
      </c>
      <c r="M126" s="277">
        <f t="shared" si="32"/>
        <v>1.8583198271204755E-2</v>
      </c>
      <c r="N126" s="76">
        <f t="shared" si="33"/>
        <v>1.9031699081577529E-2</v>
      </c>
      <c r="O126" s="56">
        <v>0.34399999999999997</v>
      </c>
      <c r="P126" s="76">
        <f t="shared" si="34"/>
        <v>0.42428959999999999</v>
      </c>
      <c r="Q126" s="77">
        <f t="shared" si="44"/>
        <v>1.7199999999999998E-4</v>
      </c>
      <c r="R126" s="78">
        <f t="shared" si="35"/>
        <v>55.32470663249282</v>
      </c>
      <c r="S126" s="79"/>
      <c r="V126" s="80">
        <f t="shared" si="36"/>
        <v>23.473697647217726</v>
      </c>
      <c r="W126" s="94"/>
      <c r="X126" s="80"/>
      <c r="Y126" s="80"/>
      <c r="Z126" s="80">
        <f>(V126-$V$114)/(D125-$D$113)</f>
        <v>0.19077626762596517</v>
      </c>
      <c r="AA126" s="94"/>
      <c r="AB126" s="101"/>
      <c r="AD126" s="81">
        <f>D155</f>
        <v>360</v>
      </c>
      <c r="AE126" s="80">
        <f>S157</f>
        <v>53.019547584769761</v>
      </c>
      <c r="AF126" s="80">
        <f>U157</f>
        <v>2.0549859968699424</v>
      </c>
      <c r="AG126" s="80">
        <f>W157</f>
        <v>145.64384116693677</v>
      </c>
      <c r="AH126" s="80">
        <f>Y157</f>
        <v>18.725353751257892</v>
      </c>
    </row>
    <row r="127" spans="2:34" ht="15" customHeight="1" x14ac:dyDescent="0.2">
      <c r="B127" s="208"/>
      <c r="C127" s="205"/>
      <c r="D127" s="220"/>
      <c r="E127" s="151" t="s">
        <v>106</v>
      </c>
      <c r="F127" s="211"/>
      <c r="G127" s="214"/>
      <c r="H127" s="83">
        <f>0.2536-F125</f>
        <v>0.20426666666666665</v>
      </c>
      <c r="I127" s="85">
        <f>0.2556-F125</f>
        <v>0.20626666666666665</v>
      </c>
      <c r="J127" s="85">
        <f>0.1808-G125</f>
        <v>0.13286666666666666</v>
      </c>
      <c r="K127" s="85">
        <f>0.1773-G125</f>
        <v>0.12936666666666669</v>
      </c>
      <c r="L127" s="76">
        <f t="shared" si="31"/>
        <v>2.0078173960021609E-2</v>
      </c>
      <c r="M127" s="277">
        <f t="shared" si="32"/>
        <v>2.074551593733117E-2</v>
      </c>
      <c r="N127" s="85">
        <f t="shared" si="33"/>
        <v>2.0411844948676389E-2</v>
      </c>
      <c r="O127" s="90">
        <v>0.376</v>
      </c>
      <c r="P127" s="85">
        <f t="shared" si="34"/>
        <v>0.46375840000000002</v>
      </c>
      <c r="Q127" s="86">
        <f t="shared" si="44"/>
        <v>1.8799999999999999E-4</v>
      </c>
      <c r="R127" s="87">
        <f t="shared" si="35"/>
        <v>54.286821672011676</v>
      </c>
      <c r="S127" s="88">
        <f>AVERAGE(R125:R127)</f>
        <v>58.048330848069533</v>
      </c>
      <c r="T127" s="89">
        <f>STDEV(R125:R127)</f>
        <v>5.6402143246749592</v>
      </c>
      <c r="U127" s="89">
        <f>T127/SQRT(3)</f>
        <v>3.2563792586382712</v>
      </c>
      <c r="V127" s="89">
        <f t="shared" si="36"/>
        <v>25.17596955969746</v>
      </c>
      <c r="W127" s="88">
        <f t="shared" si="38"/>
        <v>27.253808773635871</v>
      </c>
      <c r="X127" s="89">
        <f t="shared" si="40"/>
        <v>5.1440372333962738</v>
      </c>
      <c r="Y127" s="89">
        <f t="shared" si="41"/>
        <v>2.9699112814227968</v>
      </c>
      <c r="Z127" s="89">
        <f>(V127-$V$115)/(D125-$D$113)</f>
        <v>0.20276831431029699</v>
      </c>
      <c r="AA127" s="88">
        <f t="shared" si="42"/>
        <v>0.22717107034950365</v>
      </c>
      <c r="AB127" s="95">
        <f t="shared" si="43"/>
        <v>3.059525921637685E-2</v>
      </c>
      <c r="AD127" s="81">
        <f>D158</f>
        <v>384.5</v>
      </c>
      <c r="AE127" s="80">
        <f>S160</f>
        <v>51.599685602828153</v>
      </c>
      <c r="AF127" s="80">
        <f>U160</f>
        <v>4.9668477296036357</v>
      </c>
      <c r="AG127" s="80">
        <f>W160</f>
        <v>144.45070232306858</v>
      </c>
      <c r="AH127" s="80">
        <f>Y160</f>
        <v>7.2447769529672179</v>
      </c>
    </row>
    <row r="128" spans="2:34" x14ac:dyDescent="0.2">
      <c r="B128" s="206" t="s">
        <v>28</v>
      </c>
      <c r="C128" s="203">
        <v>0.45833333333333331</v>
      </c>
      <c r="D128" s="218">
        <f>24+D125</f>
        <v>118.5</v>
      </c>
      <c r="E128" s="104" t="s">
        <v>104</v>
      </c>
      <c r="F128" s="209">
        <f>(0.0435+0.0441+0.0503)/3</f>
        <v>4.5966666666666663E-2</v>
      </c>
      <c r="G128" s="212">
        <f>(0.0432+0.0439+0.0501)/3</f>
        <v>4.5733333333333341E-2</v>
      </c>
      <c r="H128" s="74">
        <f>0.4482-F128</f>
        <v>0.40223333333333333</v>
      </c>
      <c r="I128" s="76">
        <f>0.4277-F128</f>
        <v>0.38173333333333337</v>
      </c>
      <c r="J128" s="76">
        <f>0.2745-G128</f>
        <v>0.22876666666666667</v>
      </c>
      <c r="K128" s="76">
        <f>0.256-G128</f>
        <v>0.21026666666666666</v>
      </c>
      <c r="L128" s="76">
        <f t="shared" si="31"/>
        <v>4.2760048622366285E-2</v>
      </c>
      <c r="M128" s="277">
        <f t="shared" si="32"/>
        <v>4.1251539708265804E-2</v>
      </c>
      <c r="N128" s="76">
        <f t="shared" si="33"/>
        <v>4.2005794165316045E-2</v>
      </c>
      <c r="O128" s="56">
        <v>0.56399999999999995</v>
      </c>
      <c r="P128" s="76">
        <f t="shared" si="34"/>
        <v>0.69563759999999997</v>
      </c>
      <c r="Q128" s="77">
        <f t="shared" si="44"/>
        <v>2.8199999999999997E-4</v>
      </c>
      <c r="R128" s="78">
        <f t="shared" si="35"/>
        <v>74.478358449141936</v>
      </c>
      <c r="S128" s="79"/>
      <c r="V128" s="80">
        <f t="shared" si="36"/>
        <v>51.809946523500813</v>
      </c>
      <c r="W128" s="94"/>
      <c r="X128" s="80"/>
      <c r="Y128" s="80"/>
      <c r="Z128" s="80">
        <f t="shared" si="39"/>
        <v>0.38743647983642099</v>
      </c>
      <c r="AA128" s="94"/>
      <c r="AB128" s="101"/>
      <c r="AD128" s="81">
        <f>D161</f>
        <v>408</v>
      </c>
      <c r="AE128" s="80">
        <f>S163</f>
        <v>48.950152695791395</v>
      </c>
      <c r="AF128" s="80">
        <f>U163</f>
        <v>5.6073379447210074</v>
      </c>
      <c r="AG128" s="80">
        <f>W163</f>
        <v>145.74824419232849</v>
      </c>
      <c r="AH128" s="80">
        <f>Y163</f>
        <v>27.380329074874258</v>
      </c>
    </row>
    <row r="129" spans="2:34" x14ac:dyDescent="0.2">
      <c r="B129" s="207"/>
      <c r="C129" s="204"/>
      <c r="D129" s="219"/>
      <c r="E129" s="104" t="s">
        <v>105</v>
      </c>
      <c r="F129" s="210"/>
      <c r="G129" s="213"/>
      <c r="H129" s="74">
        <f>0.2952-F128</f>
        <v>0.24923333333333336</v>
      </c>
      <c r="I129" s="76">
        <f>0.2885-F128</f>
        <v>0.24253333333333332</v>
      </c>
      <c r="J129" s="76">
        <f>0.1905-G128</f>
        <v>0.14476666666666665</v>
      </c>
      <c r="K129" s="76">
        <f>0.185-G128</f>
        <v>0.13926666666666665</v>
      </c>
      <c r="L129" s="76">
        <f t="shared" si="31"/>
        <v>2.6199270664505683E-2</v>
      </c>
      <c r="M129" s="277">
        <f t="shared" si="32"/>
        <v>2.5652674230145868E-2</v>
      </c>
      <c r="N129" s="76">
        <f t="shared" si="33"/>
        <v>2.5925972447325776E-2</v>
      </c>
      <c r="O129" s="56">
        <v>0.54400000000000004</v>
      </c>
      <c r="P129" s="76">
        <f t="shared" si="34"/>
        <v>0.67096960000000005</v>
      </c>
      <c r="Q129" s="77">
        <f t="shared" si="44"/>
        <v>2.72E-4</v>
      </c>
      <c r="R129" s="78">
        <f t="shared" si="35"/>
        <v>47.65803758699591</v>
      </c>
      <c r="S129" s="79"/>
      <c r="V129" s="80">
        <f t="shared" si="36"/>
        <v>31.977094416531614</v>
      </c>
      <c r="W129" s="94"/>
      <c r="X129" s="80"/>
      <c r="Y129" s="80"/>
      <c r="Z129" s="80">
        <f>(V129-$V$114)/(D128-$D$113)</f>
        <v>0.22389665873390377</v>
      </c>
      <c r="AA129" s="94"/>
      <c r="AB129" s="101"/>
      <c r="AD129" s="81"/>
      <c r="AE129" s="80"/>
      <c r="AF129" s="80"/>
      <c r="AG129" s="80"/>
      <c r="AH129" s="80"/>
    </row>
    <row r="130" spans="2:34" x14ac:dyDescent="0.2">
      <c r="B130" s="208"/>
      <c r="C130" s="205"/>
      <c r="D130" s="220"/>
      <c r="E130" s="151" t="s">
        <v>106</v>
      </c>
      <c r="F130" s="211"/>
      <c r="G130" s="214"/>
      <c r="H130" s="74">
        <f>0.3233-F128</f>
        <v>0.27733333333333332</v>
      </c>
      <c r="I130" s="76">
        <f>0.3361-F128</f>
        <v>0.29013333333333335</v>
      </c>
      <c r="J130" s="76">
        <f>0.2111-G128</f>
        <v>0.16536666666666666</v>
      </c>
      <c r="K130" s="76">
        <f>0.2219-G128</f>
        <v>0.17616666666666664</v>
      </c>
      <c r="L130" s="76">
        <f t="shared" si="31"/>
        <v>2.873363047001621E-2</v>
      </c>
      <c r="M130" s="277">
        <f t="shared" si="32"/>
        <v>2.9749189627228532E-2</v>
      </c>
      <c r="N130" s="76">
        <f t="shared" si="33"/>
        <v>2.9241410048622372E-2</v>
      </c>
      <c r="O130" s="56">
        <v>0.54400000000000004</v>
      </c>
      <c r="P130" s="76">
        <f t="shared" si="34"/>
        <v>0.67096960000000005</v>
      </c>
      <c r="Q130" s="77">
        <f t="shared" si="44"/>
        <v>2.72E-4</v>
      </c>
      <c r="R130" s="78">
        <f t="shared" si="35"/>
        <v>53.752592001144066</v>
      </c>
      <c r="S130" s="94">
        <f>AVERAGE(R128:R130)</f>
        <v>58.629662679093975</v>
      </c>
      <c r="T130" s="80">
        <f>STDEV(R128:R130)</f>
        <v>14.059579175259975</v>
      </c>
      <c r="U130" s="89">
        <f>T130/SQRT(3)</f>
        <v>8.1173018215292032</v>
      </c>
      <c r="V130" s="89">
        <f t="shared" si="36"/>
        <v>36.066355153970839</v>
      </c>
      <c r="W130" s="88">
        <f t="shared" si="38"/>
        <v>39.951132031334424</v>
      </c>
      <c r="X130" s="89">
        <f t="shared" si="40"/>
        <v>10.471586518498603</v>
      </c>
      <c r="Y130" s="89">
        <f t="shared" si="41"/>
        <v>6.0457732952976242</v>
      </c>
      <c r="Z130" s="89">
        <f>(V130-$V$115)/(D128-$D$113)</f>
        <v>0.25360330208098264</v>
      </c>
      <c r="AA130" s="88">
        <f t="shared" si="42"/>
        <v>0.2883121468837691</v>
      </c>
      <c r="AB130" s="95">
        <f t="shared" si="43"/>
        <v>5.0298595746530811E-2</v>
      </c>
    </row>
    <row r="131" spans="2:34" x14ac:dyDescent="0.2">
      <c r="B131" s="206" t="s">
        <v>29</v>
      </c>
      <c r="C131" s="203">
        <v>0.45833333333333331</v>
      </c>
      <c r="D131" s="218">
        <f>24+D128</f>
        <v>142.5</v>
      </c>
      <c r="E131" s="104" t="s">
        <v>104</v>
      </c>
      <c r="F131" s="209">
        <f>(0.0423+0.0501)/2</f>
        <v>4.6199999999999998E-2</v>
      </c>
      <c r="G131" s="212">
        <f>(0.0402+0.0474)/2</f>
        <v>4.3799999999999999E-2</v>
      </c>
      <c r="H131" s="92">
        <f>0.338-F131</f>
        <v>0.2918</v>
      </c>
      <c r="I131" s="96">
        <f>0.319-F131</f>
        <v>0.27279999999999999</v>
      </c>
      <c r="J131" s="96">
        <f>0.2382-G131</f>
        <v>0.19439999999999999</v>
      </c>
      <c r="K131" s="96">
        <f>0.2209-G131</f>
        <v>0.17710000000000001</v>
      </c>
      <c r="L131" s="76">
        <f t="shared" si="31"/>
        <v>2.8231442463533228E-2</v>
      </c>
      <c r="M131" s="277">
        <f t="shared" si="32"/>
        <v>2.6848379254457048E-2</v>
      </c>
      <c r="N131" s="96">
        <f t="shared" si="33"/>
        <v>2.753991085899514E-2</v>
      </c>
      <c r="O131" s="96">
        <v>0.86599999999999999</v>
      </c>
      <c r="P131" s="96">
        <f t="shared" si="34"/>
        <v>1.0681244000000001</v>
      </c>
      <c r="Q131" s="97">
        <f>O131*0.25/1000</f>
        <v>2.165E-4</v>
      </c>
      <c r="R131" s="98">
        <f t="shared" si="35"/>
        <v>63.602565494215099</v>
      </c>
      <c r="S131" s="102"/>
      <c r="T131" s="103"/>
      <c r="U131" s="103"/>
      <c r="V131" s="80">
        <f t="shared" si="36"/>
        <v>67.935452106969208</v>
      </c>
      <c r="W131" s="94"/>
      <c r="X131" s="80"/>
      <c r="Y131" s="80"/>
      <c r="Z131" s="80">
        <f t="shared" si="39"/>
        <v>0.43534546276550373</v>
      </c>
      <c r="AA131" s="94"/>
      <c r="AB131" s="101"/>
      <c r="AE131" s="80"/>
      <c r="AF131" s="80"/>
      <c r="AG131" s="80"/>
      <c r="AH131" s="80"/>
    </row>
    <row r="132" spans="2:34" x14ac:dyDescent="0.2">
      <c r="B132" s="207"/>
      <c r="C132" s="204"/>
      <c r="D132" s="219"/>
      <c r="E132" s="104" t="s">
        <v>105</v>
      </c>
      <c r="F132" s="210"/>
      <c r="G132" s="213"/>
      <c r="H132" s="74">
        <f>0.2563-F131</f>
        <v>0.21009999999999998</v>
      </c>
      <c r="I132" s="76">
        <f>0.2524-F131</f>
        <v>0.20620000000000002</v>
      </c>
      <c r="J132" s="76">
        <f>0.1758-G131</f>
        <v>0.13200000000000001</v>
      </c>
      <c r="K132" s="76">
        <f>0.1721-G131</f>
        <v>0.1283</v>
      </c>
      <c r="L132" s="76">
        <f t="shared" si="31"/>
        <v>2.110858995137763E-2</v>
      </c>
      <c r="M132" s="277">
        <f t="shared" si="32"/>
        <v>2.0839303079416539E-2</v>
      </c>
      <c r="N132" s="76">
        <f t="shared" si="33"/>
        <v>2.0973946515397086E-2</v>
      </c>
      <c r="O132" s="76">
        <v>0.72499999999999998</v>
      </c>
      <c r="P132" s="76">
        <f t="shared" si="34"/>
        <v>0.89421499999999998</v>
      </c>
      <c r="Q132" s="77">
        <f>O132*0.25/1000</f>
        <v>1.8124999999999999E-4</v>
      </c>
      <c r="R132" s="78">
        <f t="shared" si="35"/>
        <v>57.859162801095415</v>
      </c>
      <c r="S132" s="79"/>
      <c r="V132" s="80">
        <f t="shared" si="36"/>
        <v>51.738531264181539</v>
      </c>
      <c r="W132" s="94"/>
      <c r="X132" s="80"/>
      <c r="Y132" s="80"/>
      <c r="Z132" s="80">
        <f>(V132-$V$114)/(D131-$D$113)</f>
        <v>0.32486449759731595</v>
      </c>
      <c r="AA132" s="94"/>
      <c r="AB132" s="101"/>
      <c r="AE132" s="80"/>
      <c r="AF132" s="80"/>
      <c r="AG132" s="80"/>
      <c r="AH132" s="80"/>
    </row>
    <row r="133" spans="2:34" x14ac:dyDescent="0.2">
      <c r="B133" s="208"/>
      <c r="C133" s="205"/>
      <c r="D133" s="220"/>
      <c r="E133" s="151" t="s">
        <v>106</v>
      </c>
      <c r="F133" s="211"/>
      <c r="G133" s="214"/>
      <c r="H133" s="74">
        <f>0.2422-F131</f>
        <v>0.19600000000000001</v>
      </c>
      <c r="I133" s="76">
        <f>0.2672-F131</f>
        <v>0.221</v>
      </c>
      <c r="J133" s="76">
        <f>0.166-G131</f>
        <v>0.1222</v>
      </c>
      <c r="K133" s="76">
        <f>0.1895-G131</f>
        <v>0.1457</v>
      </c>
      <c r="L133" s="76">
        <f t="shared" si="31"/>
        <v>1.9784278768233389E-2</v>
      </c>
      <c r="M133" s="277">
        <f t="shared" si="32"/>
        <v>2.1531847649918966E-2</v>
      </c>
      <c r="N133" s="76">
        <f t="shared" si="33"/>
        <v>2.0658063209076177E-2</v>
      </c>
      <c r="O133" s="76">
        <v>0.75800000000000001</v>
      </c>
      <c r="P133" s="76">
        <f t="shared" si="34"/>
        <v>0.9349172</v>
      </c>
      <c r="Q133" s="77">
        <f>O133*0.25/1000</f>
        <v>1.895E-4</v>
      </c>
      <c r="R133" s="78">
        <f t="shared" si="35"/>
        <v>54.506763084633711</v>
      </c>
      <c r="S133" s="94">
        <f>AVERAGE(R131:R133)</f>
        <v>58.65616379331474</v>
      </c>
      <c r="T133" s="80">
        <f>STDEV(R131:R133)</f>
        <v>4.5999797069917161</v>
      </c>
      <c r="U133" s="89">
        <f>T133/SQRT(3)</f>
        <v>2.6557995220984831</v>
      </c>
      <c r="V133" s="89">
        <f t="shared" si="36"/>
        <v>50.959310324149115</v>
      </c>
      <c r="W133" s="88">
        <f t="shared" si="38"/>
        <v>56.877764565099959</v>
      </c>
      <c r="X133" s="89">
        <f t="shared" si="40"/>
        <v>9.5841607169618008</v>
      </c>
      <c r="Y133" s="89">
        <f t="shared" si="41"/>
        <v>5.533417769894533</v>
      </c>
      <c r="Z133" s="89">
        <f>(V133-$V$115)/(D131-$D$113)</f>
        <v>0.31540313310017348</v>
      </c>
      <c r="AA133" s="88">
        <f t="shared" si="42"/>
        <v>0.3585376978209977</v>
      </c>
      <c r="AB133" s="95">
        <f t="shared" si="43"/>
        <v>3.850088276635074E-2</v>
      </c>
    </row>
    <row r="134" spans="2:34" x14ac:dyDescent="0.2">
      <c r="B134" s="206" t="s">
        <v>30</v>
      </c>
      <c r="C134" s="203">
        <v>0.45833333333333331</v>
      </c>
      <c r="D134" s="218">
        <f>24+D131</f>
        <v>166.5</v>
      </c>
      <c r="E134" s="104" t="s">
        <v>104</v>
      </c>
      <c r="F134" s="209">
        <f>(0.0379+0.0475)/2</f>
        <v>4.2700000000000002E-2</v>
      </c>
      <c r="G134" s="212">
        <f>(0.0375+0.0463)/2</f>
        <v>4.19E-2</v>
      </c>
      <c r="H134" s="92">
        <f>0.2409-F134</f>
        <v>0.19819999999999999</v>
      </c>
      <c r="I134" s="96">
        <f>0.2297-F134</f>
        <v>0.187</v>
      </c>
      <c r="J134" s="96">
        <f>0.1603-G134</f>
        <v>0.11840000000000001</v>
      </c>
      <c r="K134" s="96">
        <f>0.1497-G134</f>
        <v>0.10780000000000001</v>
      </c>
      <c r="L134" s="76">
        <f t="shared" si="31"/>
        <v>2.051345218800648E-2</v>
      </c>
      <c r="M134" s="277">
        <f t="shared" si="32"/>
        <v>1.9737601296596435E-2</v>
      </c>
      <c r="N134" s="96">
        <f t="shared" si="33"/>
        <v>2.0125526742301458E-2</v>
      </c>
      <c r="O134" s="96">
        <v>1.06</v>
      </c>
      <c r="P134" s="96">
        <f t="shared" si="34"/>
        <v>1.307404</v>
      </c>
      <c r="Q134" s="97">
        <f t="shared" ref="Q134:Q139" si="45">P134*0.125/1000</f>
        <v>1.6342550000000001E-4</v>
      </c>
      <c r="R134" s="98">
        <f t="shared" si="35"/>
        <v>61.574009999361962</v>
      </c>
      <c r="S134" s="102"/>
      <c r="T134" s="103"/>
      <c r="U134" s="103"/>
      <c r="V134" s="80">
        <f t="shared" si="36"/>
        <v>80.502106969205826</v>
      </c>
      <c r="W134" s="94"/>
      <c r="X134" s="80"/>
      <c r="Y134" s="80"/>
      <c r="Z134" s="80">
        <f t="shared" si="39"/>
        <v>0.4480683682061315</v>
      </c>
      <c r="AA134" s="94"/>
      <c r="AB134" s="101"/>
    </row>
    <row r="135" spans="2:34" x14ac:dyDescent="0.2">
      <c r="B135" s="207"/>
      <c r="C135" s="204"/>
      <c r="D135" s="219"/>
      <c r="E135" s="104" t="s">
        <v>105</v>
      </c>
      <c r="F135" s="210"/>
      <c r="G135" s="213"/>
      <c r="H135" s="74">
        <f>0.1761-F134</f>
        <v>0.13340000000000002</v>
      </c>
      <c r="I135" s="76">
        <f>0.1875-F134</f>
        <v>0.14479999999999998</v>
      </c>
      <c r="J135" s="76">
        <f>0.1219-G134</f>
        <v>7.9999999999999988E-2</v>
      </c>
      <c r="K135" s="76">
        <f>0.1308-G134</f>
        <v>8.8900000000000007E-2</v>
      </c>
      <c r="L135" s="76">
        <f t="shared" si="31"/>
        <v>1.3776337115072937E-2</v>
      </c>
      <c r="M135" s="277">
        <f t="shared" si="32"/>
        <v>1.4751296596434356E-2</v>
      </c>
      <c r="N135" s="76">
        <f t="shared" si="33"/>
        <v>1.4263816855753647E-2</v>
      </c>
      <c r="O135" s="76">
        <v>0.93</v>
      </c>
      <c r="P135" s="76">
        <f t="shared" si="34"/>
        <v>1.147062</v>
      </c>
      <c r="Q135" s="77">
        <f t="shared" si="45"/>
        <v>1.4338275000000002E-4</v>
      </c>
      <c r="R135" s="78">
        <f t="shared" si="35"/>
        <v>49.740351805756433</v>
      </c>
      <c r="S135" s="79"/>
      <c r="V135" s="80">
        <f t="shared" si="36"/>
        <v>57.055267423014584</v>
      </c>
      <c r="W135" s="94"/>
      <c r="X135" s="80"/>
      <c r="Y135" s="80"/>
      <c r="Z135" s="80">
        <f>(V135-$V$114)/(D134-$D$113)</f>
        <v>0.30996953193063403</v>
      </c>
      <c r="AA135" s="94"/>
      <c r="AB135" s="101"/>
    </row>
    <row r="136" spans="2:34" x14ac:dyDescent="0.2">
      <c r="B136" s="208"/>
      <c r="C136" s="205"/>
      <c r="D136" s="220"/>
      <c r="E136" s="151" t="s">
        <v>106</v>
      </c>
      <c r="F136" s="211"/>
      <c r="G136" s="214"/>
      <c r="H136" s="74">
        <f>0.1879-F134</f>
        <v>0.1452</v>
      </c>
      <c r="I136" s="76">
        <f>0.1917-F134</f>
        <v>0.14900000000000002</v>
      </c>
      <c r="J136" s="76">
        <f>0.1236-G134</f>
        <v>8.1699999999999995E-2</v>
      </c>
      <c r="K136" s="76">
        <f>0.1281-G134</f>
        <v>8.6199999999999999E-2</v>
      </c>
      <c r="L136" s="76">
        <f t="shared" si="31"/>
        <v>1.5522123176661266E-2</v>
      </c>
      <c r="M136" s="277">
        <f t="shared" si="32"/>
        <v>1.5696758508914103E-2</v>
      </c>
      <c r="N136" s="76">
        <f t="shared" si="33"/>
        <v>1.5609440842787686E-2</v>
      </c>
      <c r="O136" s="56">
        <v>0.94099999999999995</v>
      </c>
      <c r="P136" s="76">
        <f t="shared" si="34"/>
        <v>1.1606293999999999</v>
      </c>
      <c r="Q136" s="77">
        <f t="shared" si="45"/>
        <v>1.45078675E-4</v>
      </c>
      <c r="R136" s="78">
        <f t="shared" si="35"/>
        <v>53.796468856596896</v>
      </c>
      <c r="S136" s="94">
        <f>AVERAGE(R134:R136)</f>
        <v>55.036943553905097</v>
      </c>
      <c r="T136" s="80">
        <f>STDEV(R134:R136)</f>
        <v>6.0135638074912139</v>
      </c>
      <c r="U136" s="89">
        <f>T136/SQRT(3)</f>
        <v>3.4719326830440433</v>
      </c>
      <c r="V136" s="89">
        <f t="shared" si="36"/>
        <v>62.437763371150737</v>
      </c>
      <c r="W136" s="88">
        <f t="shared" si="38"/>
        <v>66.665045921123721</v>
      </c>
      <c r="X136" s="89">
        <f t="shared" si="40"/>
        <v>12.281734791721778</v>
      </c>
      <c r="Y136" s="89">
        <f t="shared" si="41"/>
        <v>7.0908628881161615</v>
      </c>
      <c r="Z136" s="89">
        <f>(V136-$V$115)/(D134-$D$113)</f>
        <v>0.3388792763590171</v>
      </c>
      <c r="AA136" s="88">
        <f t="shared" si="42"/>
        <v>0.36563905883192754</v>
      </c>
      <c r="AB136" s="95">
        <f t="shared" si="43"/>
        <v>4.2051106262339981E-2</v>
      </c>
    </row>
    <row r="137" spans="2:34" x14ac:dyDescent="0.2">
      <c r="B137" s="206" t="s">
        <v>31</v>
      </c>
      <c r="C137" s="203">
        <v>0.4375</v>
      </c>
      <c r="D137" s="215">
        <f>23.5+D134</f>
        <v>190</v>
      </c>
      <c r="E137" s="104" t="s">
        <v>104</v>
      </c>
      <c r="F137" s="209">
        <f>(0.0433+0.0489+0.0503)/3</f>
        <v>4.7500000000000007E-2</v>
      </c>
      <c r="G137" s="212">
        <f>(0.0414+0.0468+0.0487)/3</f>
        <v>4.5633333333333331E-2</v>
      </c>
      <c r="H137" s="92">
        <f>0.2764-F137</f>
        <v>0.22889999999999996</v>
      </c>
      <c r="I137" s="96">
        <f>0.2529-F137</f>
        <v>0.2054</v>
      </c>
      <c r="J137" s="96">
        <f>0.1843-G137</f>
        <v>0.13866666666666666</v>
      </c>
      <c r="K137" s="96">
        <f>0.164-G137</f>
        <v>0.11836666666666668</v>
      </c>
      <c r="L137" s="76">
        <f t="shared" si="31"/>
        <v>2.3501890869800101E-2</v>
      </c>
      <c r="M137" s="277">
        <f t="shared" si="32"/>
        <v>2.1683657482441922E-2</v>
      </c>
      <c r="N137" s="96">
        <f t="shared" si="33"/>
        <v>2.259277417612101E-2</v>
      </c>
      <c r="O137" s="103">
        <v>1.298</v>
      </c>
      <c r="P137" s="96">
        <f t="shared" si="34"/>
        <v>1.6009532000000002</v>
      </c>
      <c r="Q137" s="97">
        <f t="shared" si="45"/>
        <v>2.0011915000000001E-4</v>
      </c>
      <c r="R137" s="98">
        <f t="shared" si="35"/>
        <v>56.448306361787488</v>
      </c>
      <c r="S137" s="102"/>
      <c r="T137" s="103"/>
      <c r="U137" s="103"/>
      <c r="V137" s="80">
        <f t="shared" si="36"/>
        <v>90.371096704484046</v>
      </c>
      <c r="W137" s="94"/>
      <c r="X137" s="80"/>
      <c r="Y137" s="80"/>
      <c r="Z137" s="80">
        <f t="shared" si="39"/>
        <v>0.44459143706104798</v>
      </c>
      <c r="AA137" s="94"/>
      <c r="AB137" s="101"/>
    </row>
    <row r="138" spans="2:34" x14ac:dyDescent="0.2">
      <c r="B138" s="207"/>
      <c r="C138" s="204"/>
      <c r="D138" s="216"/>
      <c r="E138" s="104" t="s">
        <v>105</v>
      </c>
      <c r="F138" s="210"/>
      <c r="G138" s="213"/>
      <c r="H138" s="74">
        <f>0.192-F137</f>
        <v>0.14449999999999999</v>
      </c>
      <c r="I138" s="76">
        <f>0.1863-F137</f>
        <v>0.13879999999999998</v>
      </c>
      <c r="J138" s="76">
        <f>0.1243-G137</f>
        <v>7.8666666666666663E-2</v>
      </c>
      <c r="K138" s="76">
        <f>0.1198-G137</f>
        <v>7.4166666666666672E-2</v>
      </c>
      <c r="L138" s="76">
        <f t="shared" si="31"/>
        <v>1.5706104808211777E-2</v>
      </c>
      <c r="M138" s="277">
        <f t="shared" si="32"/>
        <v>1.5223527822798484E-2</v>
      </c>
      <c r="N138" s="76">
        <f t="shared" si="33"/>
        <v>1.5464816315505132E-2</v>
      </c>
      <c r="O138" s="56">
        <v>1.125</v>
      </c>
      <c r="P138" s="76">
        <f t="shared" si="34"/>
        <v>1.387575</v>
      </c>
      <c r="Q138" s="77">
        <f t="shared" si="45"/>
        <v>1.7344687500000001E-4</v>
      </c>
      <c r="R138" s="78">
        <f t="shared" si="35"/>
        <v>44.580844467521054</v>
      </c>
      <c r="S138" s="79"/>
      <c r="V138" s="80">
        <f t="shared" si="36"/>
        <v>61.859265262020529</v>
      </c>
      <c r="W138" s="94"/>
      <c r="X138" s="80"/>
      <c r="Y138" s="80"/>
      <c r="Z138" s="80">
        <f>(V138-$V$114)/(D137-$D$113)</f>
        <v>0.29691539423924479</v>
      </c>
      <c r="AA138" s="94"/>
      <c r="AB138" s="101"/>
    </row>
    <row r="139" spans="2:34" x14ac:dyDescent="0.2">
      <c r="B139" s="208"/>
      <c r="C139" s="205"/>
      <c r="D139" s="217"/>
      <c r="E139" s="151" t="s">
        <v>106</v>
      </c>
      <c r="F139" s="211"/>
      <c r="G139" s="214"/>
      <c r="H139" s="74">
        <f>0.2566-F137</f>
        <v>0.20909999999999998</v>
      </c>
      <c r="I139" s="76">
        <f>0.2447-F137</f>
        <v>0.19719999999999999</v>
      </c>
      <c r="J139" s="76">
        <f>0.167-G137</f>
        <v>0.12136666666666668</v>
      </c>
      <c r="K139" s="76">
        <f>0.1547-G137</f>
        <v>0.10906666666666667</v>
      </c>
      <c r="L139" s="76">
        <f t="shared" si="31"/>
        <v>2.1989168017287945E-2</v>
      </c>
      <c r="M139" s="277">
        <f t="shared" si="32"/>
        <v>2.1266558616963801E-2</v>
      </c>
      <c r="N139" s="76">
        <f t="shared" si="33"/>
        <v>2.1627863317125871E-2</v>
      </c>
      <c r="O139" s="56">
        <v>1.1639999999999999</v>
      </c>
      <c r="P139" s="76">
        <f t="shared" si="34"/>
        <v>1.4356776</v>
      </c>
      <c r="Q139" s="77">
        <f t="shared" si="45"/>
        <v>1.794597E-4</v>
      </c>
      <c r="R139" s="78">
        <f t="shared" si="35"/>
        <v>60.258273353643943</v>
      </c>
      <c r="S139" s="94">
        <f>AVERAGE(R137:R139)</f>
        <v>53.762474727650833</v>
      </c>
      <c r="T139" s="80">
        <f>STDEV(R137:R139)</f>
        <v>8.1765342777399397</v>
      </c>
      <c r="U139" s="89">
        <f>T139/SQRT(3)</f>
        <v>4.7207242662913567</v>
      </c>
      <c r="V139" s="89">
        <f t="shared" si="36"/>
        <v>86.511453268503487</v>
      </c>
      <c r="W139" s="88">
        <f t="shared" si="38"/>
        <v>79.580605078336021</v>
      </c>
      <c r="X139" s="89">
        <f t="shared" si="40"/>
        <v>15.467987119441998</v>
      </c>
      <c r="Y139" s="89">
        <f t="shared" si="41"/>
        <v>8.9304465272315028</v>
      </c>
      <c r="Z139" s="89">
        <f>(V139-$V$115)/(D137-$D$113)</f>
        <v>0.42366889163752158</v>
      </c>
      <c r="AA139" s="88">
        <f t="shared" si="42"/>
        <v>0.38839190764593812</v>
      </c>
      <c r="AB139" s="95">
        <f t="shared" si="43"/>
        <v>4.6135317655543129E-2</v>
      </c>
    </row>
    <row r="140" spans="2:34" x14ac:dyDescent="0.2">
      <c r="B140" s="206" t="s">
        <v>32</v>
      </c>
      <c r="C140" s="203">
        <v>0.4375</v>
      </c>
      <c r="D140" s="215">
        <f>24+D137</f>
        <v>214</v>
      </c>
      <c r="E140" s="104" t="s">
        <v>104</v>
      </c>
      <c r="F140" s="209">
        <f>(0.0494+0.0498)/2</f>
        <v>4.9599999999999998E-2</v>
      </c>
      <c r="G140" s="212">
        <f>(0.0475+0.0482)/2</f>
        <v>4.7850000000000004E-2</v>
      </c>
      <c r="H140" s="92">
        <f>0.256-F140</f>
        <v>0.2064</v>
      </c>
      <c r="I140" s="96">
        <f>0.2694-F140</f>
        <v>0.21979999999999997</v>
      </c>
      <c r="J140" s="96">
        <f>0.1602-G140</f>
        <v>0.11235000000000001</v>
      </c>
      <c r="K140" s="96">
        <f>0.1703-G140</f>
        <v>0.12245</v>
      </c>
      <c r="L140" s="76">
        <f t="shared" si="31"/>
        <v>2.2435696920583469E-2</v>
      </c>
      <c r="M140" s="277">
        <f t="shared" si="32"/>
        <v>2.3617139384116692E-2</v>
      </c>
      <c r="N140" s="96">
        <f t="shared" si="33"/>
        <v>2.302641815235008E-2</v>
      </c>
      <c r="O140" s="103">
        <v>1.3859999999999999</v>
      </c>
      <c r="P140" s="96">
        <f t="shared" si="34"/>
        <v>1.7094924</v>
      </c>
      <c r="Q140" s="97">
        <f t="shared" ref="Q140:Q142" si="46">P140*0.1/1000</f>
        <v>1.7094924000000001E-4</v>
      </c>
      <c r="R140" s="98">
        <f t="shared" si="35"/>
        <v>67.348699977695361</v>
      </c>
      <c r="S140" s="102"/>
      <c r="T140" s="103"/>
      <c r="U140" s="103"/>
      <c r="V140" s="80">
        <f t="shared" si="36"/>
        <v>115.13209076175039</v>
      </c>
      <c r="W140" s="94"/>
      <c r="X140" s="80"/>
      <c r="Y140" s="80"/>
      <c r="Z140" s="80">
        <f t="shared" si="39"/>
        <v>0.51043629485451147</v>
      </c>
      <c r="AA140" s="94"/>
      <c r="AB140" s="101"/>
    </row>
    <row r="141" spans="2:34" x14ac:dyDescent="0.2">
      <c r="B141" s="207"/>
      <c r="C141" s="204"/>
      <c r="D141" s="216"/>
      <c r="E141" s="104" t="s">
        <v>105</v>
      </c>
      <c r="F141" s="210"/>
      <c r="G141" s="213"/>
      <c r="H141" s="74">
        <f>0.1687-F140</f>
        <v>0.11909999999999998</v>
      </c>
      <c r="I141" s="76">
        <f>0.2196-F140</f>
        <v>0.16999999999999998</v>
      </c>
      <c r="J141" s="76">
        <f>0.1217-G140</f>
        <v>7.3849999999999999E-2</v>
      </c>
      <c r="K141" s="76">
        <f>0.1713-G140</f>
        <v>0.12345</v>
      </c>
      <c r="L141" s="76">
        <f t="shared" si="31"/>
        <v>1.2061709886547809E-2</v>
      </c>
      <c r="M141" s="277">
        <f t="shared" si="32"/>
        <v>1.5447771474878443E-2</v>
      </c>
      <c r="N141" s="76">
        <f t="shared" si="33"/>
        <v>1.3754740680713126E-2</v>
      </c>
      <c r="O141" s="56">
        <v>1.1850000000000001</v>
      </c>
      <c r="P141" s="76">
        <f t="shared" si="34"/>
        <v>1.4615790000000002</v>
      </c>
      <c r="Q141" s="77">
        <f t="shared" si="46"/>
        <v>1.4615790000000004E-4</v>
      </c>
      <c r="R141" s="78">
        <f t="shared" si="35"/>
        <v>47.054386662346417</v>
      </c>
      <c r="S141" s="79"/>
      <c r="V141" s="80">
        <f t="shared" si="36"/>
        <v>68.773703403565619</v>
      </c>
      <c r="W141" s="94"/>
      <c r="X141" s="80"/>
      <c r="Y141" s="80"/>
      <c r="Z141" s="80">
        <f>(V141-$V$114)/(D140-$D$113)</f>
        <v>0.29592693012617571</v>
      </c>
      <c r="AA141" s="94"/>
      <c r="AB141" s="101"/>
    </row>
    <row r="142" spans="2:34" x14ac:dyDescent="0.2">
      <c r="B142" s="208"/>
      <c r="C142" s="205"/>
      <c r="D142" s="217"/>
      <c r="E142" s="151" t="s">
        <v>106</v>
      </c>
      <c r="F142" s="211"/>
      <c r="G142" s="214"/>
      <c r="H142" s="74">
        <f>0.176-F140</f>
        <v>0.12639999999999998</v>
      </c>
      <c r="I142" s="76">
        <f>0.2751-F140</f>
        <v>0.22550000000000001</v>
      </c>
      <c r="J142" s="76">
        <f>0.118-G140</f>
        <v>7.014999999999999E-2</v>
      </c>
      <c r="K142" s="76">
        <f>0.2329-G140</f>
        <v>0.18504999999999999</v>
      </c>
      <c r="L142" s="76">
        <f t="shared" si="31"/>
        <v>1.3607658022690435E-2</v>
      </c>
      <c r="M142" s="277">
        <f t="shared" si="32"/>
        <v>1.8402714748784445E-2</v>
      </c>
      <c r="N142" s="76">
        <f t="shared" si="33"/>
        <v>1.600518638573744E-2</v>
      </c>
      <c r="O142" s="56">
        <v>1.206</v>
      </c>
      <c r="P142" s="76">
        <f t="shared" si="34"/>
        <v>1.4874803999999999</v>
      </c>
      <c r="Q142" s="77">
        <f t="shared" si="46"/>
        <v>1.4874804000000001E-4</v>
      </c>
      <c r="R142" s="78">
        <f t="shared" si="35"/>
        <v>53.799654723979685</v>
      </c>
      <c r="S142" s="94">
        <f>AVERAGE(R140:R142)</f>
        <v>56.067580454673816</v>
      </c>
      <c r="T142" s="80">
        <f>STDEV(R140:R142)</f>
        <v>10.335492420554793</v>
      </c>
      <c r="U142" s="89">
        <f>T142/SQRT(3)</f>
        <v>5.9671993312146467</v>
      </c>
      <c r="V142" s="89">
        <f t="shared" si="36"/>
        <v>80.025931928687186</v>
      </c>
      <c r="W142" s="88">
        <f t="shared" si="38"/>
        <v>87.977242031334413</v>
      </c>
      <c r="X142" s="89">
        <f t="shared" si="40"/>
        <v>24.180416019461227</v>
      </c>
      <c r="Y142" s="89">
        <f t="shared" si="41"/>
        <v>13.96056969795308</v>
      </c>
      <c r="Z142" s="89">
        <f>(V142-$V$115)/(D140-$D$113)</f>
        <v>0.34584844893136818</v>
      </c>
      <c r="AA142" s="88">
        <f t="shared" si="42"/>
        <v>0.38407055797068512</v>
      </c>
      <c r="AB142" s="95">
        <f t="shared" si="43"/>
        <v>6.4805514435112191E-2</v>
      </c>
    </row>
    <row r="143" spans="2:34" x14ac:dyDescent="0.2">
      <c r="B143" s="206" t="s">
        <v>33</v>
      </c>
      <c r="C143" s="203">
        <v>0.45833333333333331</v>
      </c>
      <c r="D143" s="215">
        <f>48.5+D140</f>
        <v>262.5</v>
      </c>
      <c r="E143" s="104" t="s">
        <v>104</v>
      </c>
      <c r="F143" s="209">
        <f>(0.039+0.0502)/2</f>
        <v>4.4600000000000001E-2</v>
      </c>
      <c r="G143" s="212">
        <f>(0.0378+0.0486)/2</f>
        <v>4.3200000000000002E-2</v>
      </c>
      <c r="H143" s="92">
        <f>0.2518-F143</f>
        <v>0.20720000000000002</v>
      </c>
      <c r="I143" s="96">
        <f>0.2503-F143</f>
        <v>0.20570000000000002</v>
      </c>
      <c r="J143" s="96">
        <f>0.1566-G143</f>
        <v>0.11339999999999999</v>
      </c>
      <c r="K143" s="96">
        <f>0.157-G143</f>
        <v>0.1138</v>
      </c>
      <c r="L143" s="76">
        <f t="shared" si="31"/>
        <v>2.246239870340357E-2</v>
      </c>
      <c r="M143" s="277">
        <f t="shared" si="32"/>
        <v>2.2180064829821721E-2</v>
      </c>
      <c r="N143" s="96">
        <f t="shared" si="33"/>
        <v>2.2321231766612645E-2</v>
      </c>
      <c r="O143" s="103">
        <v>1.716</v>
      </c>
      <c r="P143" s="96">
        <f t="shared" si="34"/>
        <v>2.1165144000000002</v>
      </c>
      <c r="Q143" s="97">
        <f t="shared" ref="Q143:Q148" si="47">P143*0.1/1000</f>
        <v>2.1165144000000001E-4</v>
      </c>
      <c r="R143" s="98">
        <f t="shared" si="35"/>
        <v>52.73111245218233</v>
      </c>
      <c r="S143" s="102"/>
      <c r="T143" s="103"/>
      <c r="U143" s="103"/>
      <c r="V143" s="80">
        <f t="shared" si="36"/>
        <v>111.60615883306322</v>
      </c>
      <c r="W143" s="94"/>
      <c r="X143" s="80"/>
      <c r="Y143" s="80"/>
      <c r="Z143" s="80">
        <f t="shared" si="39"/>
        <v>0.4026949911244887</v>
      </c>
      <c r="AA143" s="94"/>
      <c r="AB143" s="101"/>
    </row>
    <row r="144" spans="2:34" x14ac:dyDescent="0.2">
      <c r="B144" s="207"/>
      <c r="C144" s="204"/>
      <c r="D144" s="216"/>
      <c r="E144" s="104" t="s">
        <v>105</v>
      </c>
      <c r="F144" s="210"/>
      <c r="G144" s="213"/>
      <c r="H144" s="74">
        <f>0.234-F143</f>
        <v>0.18940000000000001</v>
      </c>
      <c r="I144" s="76">
        <f>0.2317-F143</f>
        <v>0.18709999999999999</v>
      </c>
      <c r="J144" s="76">
        <f>0.1571-G143</f>
        <v>0.11389999999999999</v>
      </c>
      <c r="K144" s="76">
        <f>0.1546-G143</f>
        <v>0.11139999999999999</v>
      </c>
      <c r="L144" s="76">
        <f t="shared" si="31"/>
        <v>1.9528444084278774E-2</v>
      </c>
      <c r="M144" s="277">
        <f t="shared" si="32"/>
        <v>1.9400810372771474E-2</v>
      </c>
      <c r="N144" s="76">
        <f t="shared" si="33"/>
        <v>1.9464627228525124E-2</v>
      </c>
      <c r="O144" s="56">
        <v>1.3460000000000001</v>
      </c>
      <c r="P144" s="76">
        <f t="shared" si="34"/>
        <v>1.6601564000000002</v>
      </c>
      <c r="Q144" s="77">
        <f t="shared" si="47"/>
        <v>1.6601564000000003E-4</v>
      </c>
      <c r="R144" s="78">
        <f t="shared" si="35"/>
        <v>58.622872003279689</v>
      </c>
      <c r="S144" s="79"/>
      <c r="V144" s="80">
        <f t="shared" si="36"/>
        <v>97.323136142625614</v>
      </c>
      <c r="W144" s="94"/>
      <c r="X144" s="80"/>
      <c r="Y144" s="80"/>
      <c r="Z144" s="80">
        <f>(V144-$V$114)/(D143-$D$113)</f>
        <v>0.35001065061356801</v>
      </c>
      <c r="AA144" s="94"/>
      <c r="AB144" s="101"/>
    </row>
    <row r="145" spans="2:28" x14ac:dyDescent="0.2">
      <c r="B145" s="208"/>
      <c r="C145" s="205"/>
      <c r="D145" s="217"/>
      <c r="E145" s="151" t="s">
        <v>106</v>
      </c>
      <c r="F145" s="211"/>
      <c r="G145" s="214"/>
      <c r="H145" s="74">
        <f>0.2351-F143</f>
        <v>0.1905</v>
      </c>
      <c r="I145" s="76">
        <f>0.2403-F143</f>
        <v>0.19570000000000001</v>
      </c>
      <c r="J145" s="76">
        <f>0.1474-G143</f>
        <v>0.1042</v>
      </c>
      <c r="K145" s="76">
        <f>0.1511-G143</f>
        <v>0.10790000000000001</v>
      </c>
      <c r="L145" s="76">
        <f t="shared" si="31"/>
        <v>2.0657860615883306E-2</v>
      </c>
      <c r="M145" s="277">
        <f t="shared" si="32"/>
        <v>2.1137844408427878E-2</v>
      </c>
      <c r="N145" s="76">
        <f t="shared" si="33"/>
        <v>2.089785251215559E-2</v>
      </c>
      <c r="O145" s="56">
        <v>1.4670000000000001</v>
      </c>
      <c r="P145" s="76">
        <f t="shared" si="34"/>
        <v>1.8093978000000002</v>
      </c>
      <c r="Q145" s="77">
        <f t="shared" si="47"/>
        <v>1.8093978000000002E-4</v>
      </c>
      <c r="R145" s="78">
        <f t="shared" si="35"/>
        <v>57.748087546463211</v>
      </c>
      <c r="S145" s="94">
        <f>AVERAGE(R143:R145)</f>
        <v>56.367357333975072</v>
      </c>
      <c r="T145" s="80">
        <f>STDEV(R143:R145)</f>
        <v>3.1793111819614142</v>
      </c>
      <c r="U145" s="89">
        <f>T145/SQRT(3)</f>
        <v>1.8355761667430099</v>
      </c>
      <c r="V145" s="89">
        <f t="shared" si="36"/>
        <v>104.48926256077795</v>
      </c>
      <c r="W145" s="88">
        <f t="shared" si="38"/>
        <v>104.4728525121556</v>
      </c>
      <c r="X145" s="89">
        <f t="shared" si="40"/>
        <v>7.1415254855780432</v>
      </c>
      <c r="Y145" s="89">
        <f t="shared" si="41"/>
        <v>4.1231616615230564</v>
      </c>
      <c r="Z145" s="89">
        <f>(V145-$V$115)/(D143-$D$113)</f>
        <v>0.37514247125106115</v>
      </c>
      <c r="AA145" s="88">
        <f t="shared" si="42"/>
        <v>0.3759493709963726</v>
      </c>
      <c r="AB145" s="95">
        <f t="shared" si="43"/>
        <v>1.5214009433927421E-2</v>
      </c>
    </row>
    <row r="146" spans="2:28" x14ac:dyDescent="0.2">
      <c r="B146" s="206" t="s">
        <v>34</v>
      </c>
      <c r="C146" s="203">
        <v>0.45833333333333331</v>
      </c>
      <c r="D146" s="218">
        <f>24+D143</f>
        <v>286.5</v>
      </c>
      <c r="E146" s="104" t="s">
        <v>104</v>
      </c>
      <c r="F146" s="209">
        <f>(0.0403+0.052)/2</f>
        <v>4.6149999999999997E-2</v>
      </c>
      <c r="G146" s="212">
        <f>(0.0384+0.0498)/2</f>
        <v>4.41E-2</v>
      </c>
      <c r="H146" s="92">
        <f>0.3019-F146</f>
        <v>0.25575000000000003</v>
      </c>
      <c r="I146" s="96">
        <f>0.3068-F146</f>
        <v>0.26065000000000005</v>
      </c>
      <c r="J146" s="96">
        <f>0.1913-G146</f>
        <v>0.1472</v>
      </c>
      <c r="K146" s="96">
        <f>0.1979-G146</f>
        <v>0.15379999999999999</v>
      </c>
      <c r="L146" s="76">
        <f t="shared" si="31"/>
        <v>2.7016855753646683E-2</v>
      </c>
      <c r="M146" s="277">
        <f t="shared" si="32"/>
        <v>2.7163857374392229E-2</v>
      </c>
      <c r="N146" s="96">
        <f t="shared" si="33"/>
        <v>2.7090356564019456E-2</v>
      </c>
      <c r="O146" s="103">
        <v>1.9339999999999999</v>
      </c>
      <c r="P146" s="96">
        <f t="shared" si="34"/>
        <v>2.3853955999999998</v>
      </c>
      <c r="Q146" s="97">
        <f t="shared" si="47"/>
        <v>2.3853955999999997E-4</v>
      </c>
      <c r="R146" s="98">
        <f t="shared" si="35"/>
        <v>56.783781616809094</v>
      </c>
      <c r="S146" s="102"/>
      <c r="T146" s="103"/>
      <c r="U146" s="103"/>
      <c r="V146" s="80">
        <f t="shared" si="36"/>
        <v>135.45178282009729</v>
      </c>
      <c r="W146" s="94"/>
      <c r="X146" s="80"/>
      <c r="Y146" s="80"/>
      <c r="Z146" s="80">
        <f t="shared" si="39"/>
        <v>0.45219217855920552</v>
      </c>
      <c r="AA146" s="94"/>
      <c r="AB146" s="101"/>
    </row>
    <row r="147" spans="2:28" x14ac:dyDescent="0.2">
      <c r="B147" s="207"/>
      <c r="C147" s="204"/>
      <c r="D147" s="219"/>
      <c r="E147" s="104" t="s">
        <v>105</v>
      </c>
      <c r="F147" s="210"/>
      <c r="G147" s="213"/>
      <c r="H147" s="74">
        <f>0.2422-F146</f>
        <v>0.19605</v>
      </c>
      <c r="I147" s="76">
        <f>0.2606-F146</f>
        <v>0.21445</v>
      </c>
      <c r="J147" s="76">
        <f>0.1538-G146</f>
        <v>0.10969999999999999</v>
      </c>
      <c r="K147" s="76">
        <f>0.1661-G146</f>
        <v>0.122</v>
      </c>
      <c r="L147" s="76">
        <f t="shared" si="31"/>
        <v>2.101807131280389E-2</v>
      </c>
      <c r="M147" s="277">
        <f t="shared" si="32"/>
        <v>2.2794165316045379E-2</v>
      </c>
      <c r="N147" s="76">
        <f t="shared" si="33"/>
        <v>2.1906118314424634E-2</v>
      </c>
      <c r="O147" s="56">
        <v>1.536</v>
      </c>
      <c r="P147" s="76">
        <f t="shared" si="34"/>
        <v>1.8945024000000001</v>
      </c>
      <c r="Q147" s="77">
        <f t="shared" si="47"/>
        <v>1.8945024000000001E-4</v>
      </c>
      <c r="R147" s="78">
        <f t="shared" si="35"/>
        <v>57.814965857062603</v>
      </c>
      <c r="S147" s="79"/>
      <c r="V147" s="80">
        <f t="shared" si="36"/>
        <v>109.53059157212317</v>
      </c>
      <c r="W147" s="94"/>
      <c r="X147" s="80"/>
      <c r="Y147" s="80"/>
      <c r="Z147" s="80">
        <f>(V147-$V$114)/(D146-$D$113)</f>
        <v>0.36329930616251016</v>
      </c>
      <c r="AA147" s="94"/>
      <c r="AB147" s="101"/>
    </row>
    <row r="148" spans="2:28" x14ac:dyDescent="0.2">
      <c r="B148" s="208"/>
      <c r="C148" s="205"/>
      <c r="D148" s="220"/>
      <c r="E148" s="151" t="s">
        <v>106</v>
      </c>
      <c r="F148" s="211"/>
      <c r="G148" s="214"/>
      <c r="H148" s="74">
        <f>0.2625-F146</f>
        <v>0.21635000000000001</v>
      </c>
      <c r="I148" s="76">
        <f>0.2533-F146</f>
        <v>0.20715000000000003</v>
      </c>
      <c r="J148" s="76">
        <f>0.1749-G146</f>
        <v>0.1308</v>
      </c>
      <c r="K148" s="76">
        <f>0.1593-G146</f>
        <v>0.1152</v>
      </c>
      <c r="L148" s="76">
        <f t="shared" si="31"/>
        <v>2.2239222042139385E-2</v>
      </c>
      <c r="M148" s="277">
        <f t="shared" si="32"/>
        <v>2.227779578606159E-2</v>
      </c>
      <c r="N148" s="76">
        <f t="shared" si="33"/>
        <v>2.2258508914100486E-2</v>
      </c>
      <c r="O148" s="56">
        <v>1.948</v>
      </c>
      <c r="P148" s="76">
        <f t="shared" si="34"/>
        <v>2.4026632000000001</v>
      </c>
      <c r="Q148" s="77">
        <f t="shared" si="47"/>
        <v>2.4026632000000004E-4</v>
      </c>
      <c r="R148" s="78">
        <f t="shared" si="35"/>
        <v>46.320493263684405</v>
      </c>
      <c r="S148" s="94">
        <f>AVERAGE(R146:R148)</f>
        <v>53.639746912518696</v>
      </c>
      <c r="T148" s="80">
        <f>STDEV(R146:R148)</f>
        <v>6.3595943830025368</v>
      </c>
      <c r="U148" s="89">
        <f>T148/SQRT(3)</f>
        <v>3.6717135289633469</v>
      </c>
      <c r="V148" s="89">
        <f t="shared" si="36"/>
        <v>111.29254457050241</v>
      </c>
      <c r="W148" s="88">
        <f t="shared" si="38"/>
        <v>118.75830632090764</v>
      </c>
      <c r="X148" s="89">
        <f t="shared" si="40"/>
        <v>14.483792245605867</v>
      </c>
      <c r="Y148" s="89">
        <f t="shared" si="41"/>
        <v>8.3622213518871629</v>
      </c>
      <c r="Z148" s="89">
        <f>(V148-$V$115)/(D146-$D$113)</f>
        <v>0.36746310894634565</v>
      </c>
      <c r="AA148" s="88">
        <f t="shared" si="42"/>
        <v>0.39431819788935374</v>
      </c>
      <c r="AB148" s="95">
        <f t="shared" si="43"/>
        <v>2.8961943663691501E-2</v>
      </c>
    </row>
    <row r="149" spans="2:28" x14ac:dyDescent="0.2">
      <c r="B149" s="206" t="s">
        <v>35</v>
      </c>
      <c r="C149" s="203">
        <v>0.45833333333333331</v>
      </c>
      <c r="D149" s="215">
        <f>24+D146</f>
        <v>310.5</v>
      </c>
      <c r="E149" s="104" t="s">
        <v>104</v>
      </c>
      <c r="F149" s="209">
        <f>(0.0487+0.0514)/2</f>
        <v>5.0049999999999997E-2</v>
      </c>
      <c r="G149" s="212">
        <f>(0.047+0.0499)/2</f>
        <v>4.845E-2</v>
      </c>
      <c r="H149" s="92">
        <f>0.1745-F149</f>
        <v>0.12444999999999999</v>
      </c>
      <c r="I149" s="96">
        <f>0.1584-F149</f>
        <v>0.10835000000000002</v>
      </c>
      <c r="J149" s="96">
        <f>0.1273-G149</f>
        <v>7.8850000000000003E-2</v>
      </c>
      <c r="K149" s="96">
        <f>0.1117-G149</f>
        <v>6.3250000000000001E-2</v>
      </c>
      <c r="L149" s="76">
        <f t="shared" si="31"/>
        <v>1.2438533225283628E-2</v>
      </c>
      <c r="M149" s="277">
        <f t="shared" si="32"/>
        <v>1.1358792544570505E-2</v>
      </c>
      <c r="N149" s="96">
        <f t="shared" si="33"/>
        <v>1.1898662884927066E-2</v>
      </c>
      <c r="O149" s="103">
        <v>2.0339999999999998</v>
      </c>
      <c r="P149" s="96">
        <f t="shared" si="34"/>
        <v>2.5087356000000001</v>
      </c>
      <c r="Q149" s="97">
        <f t="shared" ref="Q149:Q163" si="48">P149*0.05/1000</f>
        <v>1.2543678000000001E-4</v>
      </c>
      <c r="R149" s="98">
        <f t="shared" si="35"/>
        <v>47.428923498064385</v>
      </c>
      <c r="S149" s="102"/>
      <c r="T149" s="103"/>
      <c r="U149" s="103"/>
      <c r="V149" s="80">
        <f t="shared" si="36"/>
        <v>118.98662884927066</v>
      </c>
      <c r="W149" s="94"/>
      <c r="X149" s="80"/>
      <c r="Y149" s="80"/>
      <c r="Z149" s="80">
        <f t="shared" si="39"/>
        <v>0.36421225502861748</v>
      </c>
      <c r="AA149" s="94"/>
      <c r="AB149" s="101"/>
    </row>
    <row r="150" spans="2:28" x14ac:dyDescent="0.2">
      <c r="B150" s="207"/>
      <c r="C150" s="204"/>
      <c r="D150" s="216"/>
      <c r="E150" s="104" t="s">
        <v>105</v>
      </c>
      <c r="F150" s="210"/>
      <c r="G150" s="213"/>
      <c r="H150" s="74">
        <f>0.1389-F149</f>
        <v>8.8849999999999998E-2</v>
      </c>
      <c r="I150" s="76">
        <f>0.1423-F149</f>
        <v>9.2250000000000013E-2</v>
      </c>
      <c r="J150" s="76">
        <f>0.0963-G149</f>
        <v>4.7849999999999997E-2</v>
      </c>
      <c r="K150" s="76">
        <f>0.1002-G149</f>
        <v>5.1749999999999997E-2</v>
      </c>
      <c r="L150" s="76">
        <f t="shared" si="31"/>
        <v>9.7083873581847654E-3</v>
      </c>
      <c r="M150" s="277">
        <f t="shared" si="32"/>
        <v>9.8770259319286898E-3</v>
      </c>
      <c r="N150" s="76">
        <f t="shared" si="33"/>
        <v>9.7927066450567285E-3</v>
      </c>
      <c r="O150" s="56">
        <v>1.788</v>
      </c>
      <c r="P150" s="76">
        <f t="shared" si="34"/>
        <v>2.2053191999999999</v>
      </c>
      <c r="Q150" s="77">
        <f t="shared" si="48"/>
        <v>1.1026596E-4</v>
      </c>
      <c r="R150" s="78">
        <f t="shared" si="35"/>
        <v>44.404939861117285</v>
      </c>
      <c r="S150" s="79"/>
      <c r="V150" s="80">
        <f t="shared" si="36"/>
        <v>97.927066450567281</v>
      </c>
      <c r="W150" s="94"/>
      <c r="X150" s="80"/>
      <c r="Y150" s="80"/>
      <c r="Z150" s="80">
        <f>(V150-$V$114)/(D149-$D$113)</f>
        <v>0.29784774909501854</v>
      </c>
      <c r="AA150" s="94"/>
      <c r="AB150" s="101"/>
    </row>
    <row r="151" spans="2:28" x14ac:dyDescent="0.2">
      <c r="B151" s="208"/>
      <c r="C151" s="205"/>
      <c r="D151" s="217"/>
      <c r="E151" s="151" t="s">
        <v>106</v>
      </c>
      <c r="F151" s="211"/>
      <c r="G151" s="214"/>
      <c r="H151" s="74">
        <f>0.1537-F149</f>
        <v>0.10365000000000001</v>
      </c>
      <c r="I151" s="76">
        <f>0.1783-F149</f>
        <v>0.12824999999999998</v>
      </c>
      <c r="J151" s="76">
        <f>0.109-G149</f>
        <v>6.055E-2</v>
      </c>
      <c r="K151" s="76">
        <f>0.1338-G149</f>
        <v>8.5350000000000009E-2</v>
      </c>
      <c r="L151" s="76">
        <f t="shared" si="31"/>
        <v>1.0861790923824959E-2</v>
      </c>
      <c r="M151" s="277">
        <f t="shared" si="32"/>
        <v>1.2417058346839541E-2</v>
      </c>
      <c r="N151" s="76">
        <f t="shared" si="33"/>
        <v>1.1639424635332251E-2</v>
      </c>
      <c r="O151" s="56">
        <v>2.1480000000000001</v>
      </c>
      <c r="P151" s="76">
        <f t="shared" si="34"/>
        <v>2.6493432000000001</v>
      </c>
      <c r="Q151" s="77">
        <f t="shared" si="48"/>
        <v>1.3246716E-4</v>
      </c>
      <c r="R151" s="78">
        <f t="shared" si="35"/>
        <v>43.933245928018124</v>
      </c>
      <c r="S151" s="94">
        <f>AVERAGE(R149:R151)</f>
        <v>45.25570309573326</v>
      </c>
      <c r="T151" s="80">
        <f>STDEV(R149:R151)</f>
        <v>1.8967838515397102</v>
      </c>
      <c r="U151" s="89">
        <f>T151/SQRT(3)</f>
        <v>1.0951086672809869</v>
      </c>
      <c r="V151" s="89">
        <f t="shared" si="36"/>
        <v>116.39424635332252</v>
      </c>
      <c r="W151" s="88">
        <f t="shared" si="38"/>
        <v>111.10264721772016</v>
      </c>
      <c r="X151" s="89">
        <f t="shared" si="40"/>
        <v>11.483773690087725</v>
      </c>
      <c r="Y151" s="89">
        <f t="shared" si="41"/>
        <v>6.6301598312848906</v>
      </c>
      <c r="Z151" s="89">
        <f>(V151-$V$115)/(D149-$D$113)</f>
        <v>0.3554907648822806</v>
      </c>
      <c r="AA151" s="88">
        <f t="shared" si="42"/>
        <v>0.33918358966863887</v>
      </c>
      <c r="AB151" s="95">
        <f t="shared" si="43"/>
        <v>2.0820701913712231E-2</v>
      </c>
    </row>
    <row r="152" spans="2:28" x14ac:dyDescent="0.2">
      <c r="B152" s="206" t="s">
        <v>36</v>
      </c>
      <c r="C152" s="203">
        <v>0.45833333333333331</v>
      </c>
      <c r="D152" s="218">
        <f>24+D149</f>
        <v>334.5</v>
      </c>
      <c r="E152" s="104" t="s">
        <v>104</v>
      </c>
      <c r="F152" s="209">
        <f>(0.0424+0.0458+0.0446)/3</f>
        <v>4.4266666666666669E-2</v>
      </c>
      <c r="G152" s="212">
        <f>(0.0415+0.0442+0.0437)/3</f>
        <v>4.3133333333333336E-2</v>
      </c>
      <c r="H152" s="92">
        <f>0.205-F152</f>
        <v>0.16073333333333331</v>
      </c>
      <c r="I152" s="96">
        <f>0.1927-F152</f>
        <v>0.14843333333333333</v>
      </c>
      <c r="J152" s="96">
        <f>0.1418-G152</f>
        <v>9.866666666666668E-2</v>
      </c>
      <c r="K152" s="96">
        <f>0.1292-G152</f>
        <v>8.606666666666668E-2</v>
      </c>
      <c r="L152" s="76">
        <f t="shared" si="31"/>
        <v>1.6376012965964339E-2</v>
      </c>
      <c r="M152" s="277">
        <f t="shared" si="32"/>
        <v>1.5617990275526744E-2</v>
      </c>
      <c r="N152" s="96">
        <f t="shared" si="33"/>
        <v>1.5997001620745542E-2</v>
      </c>
      <c r="O152" s="96">
        <v>2.282</v>
      </c>
      <c r="P152" s="96">
        <f t="shared" si="34"/>
        <v>2.8146188000000003</v>
      </c>
      <c r="Q152" s="97">
        <f t="shared" si="48"/>
        <v>1.4073094000000003E-4</v>
      </c>
      <c r="R152" s="98">
        <f t="shared" si="35"/>
        <v>56.835410964872182</v>
      </c>
      <c r="S152" s="102"/>
      <c r="T152" s="103"/>
      <c r="U152" s="103"/>
      <c r="V152" s="80">
        <f t="shared" si="36"/>
        <v>159.97001620745539</v>
      </c>
      <c r="W152" s="94"/>
      <c r="X152" s="80"/>
      <c r="Y152" s="80"/>
      <c r="Z152" s="80">
        <f t="shared" si="39"/>
        <v>0.46060177143369346</v>
      </c>
      <c r="AA152" s="94"/>
      <c r="AB152" s="101"/>
    </row>
    <row r="153" spans="2:28" x14ac:dyDescent="0.2">
      <c r="B153" s="207"/>
      <c r="C153" s="204"/>
      <c r="D153" s="219"/>
      <c r="E153" s="104" t="s">
        <v>105</v>
      </c>
      <c r="F153" s="210"/>
      <c r="G153" s="213"/>
      <c r="H153" s="74">
        <f>0.1636-F152</f>
        <v>0.11933333333333332</v>
      </c>
      <c r="I153" s="76">
        <f>0.1694-F152</f>
        <v>0.12513333333333332</v>
      </c>
      <c r="J153" s="76">
        <f>0.1072-G152</f>
        <v>6.4066666666666661E-2</v>
      </c>
      <c r="K153" s="76">
        <f>0.1074-G152</f>
        <v>6.4266666666666666E-2</v>
      </c>
      <c r="L153" s="76">
        <f t="shared" si="31"/>
        <v>1.3058833063209076E-2</v>
      </c>
      <c r="M153" s="277">
        <f t="shared" si="32"/>
        <v>1.3979254457050243E-2</v>
      </c>
      <c r="N153" s="76">
        <f t="shared" si="33"/>
        <v>1.3519043760129659E-2</v>
      </c>
      <c r="O153" s="76">
        <v>1.95</v>
      </c>
      <c r="P153" s="76">
        <f t="shared" si="34"/>
        <v>2.4051300000000002</v>
      </c>
      <c r="Q153" s="77">
        <f t="shared" si="48"/>
        <v>1.2025650000000002E-4</v>
      </c>
      <c r="R153" s="78">
        <f t="shared" si="35"/>
        <v>56.209201831625137</v>
      </c>
      <c r="S153" s="79"/>
      <c r="V153" s="80">
        <f t="shared" si="36"/>
        <v>135.19043760129657</v>
      </c>
      <c r="W153" s="94"/>
      <c r="X153" s="80"/>
      <c r="Y153" s="80"/>
      <c r="Z153" s="80">
        <f>(V153-$V$114)/(D152-$D$113)</f>
        <v>0.38787771971519441</v>
      </c>
      <c r="AA153" s="94"/>
      <c r="AB153" s="101"/>
    </row>
    <row r="154" spans="2:28" x14ac:dyDescent="0.2">
      <c r="B154" s="208"/>
      <c r="C154" s="205"/>
      <c r="D154" s="220"/>
      <c r="E154" s="151" t="s">
        <v>106</v>
      </c>
      <c r="F154" s="211"/>
      <c r="G154" s="214"/>
      <c r="H154" s="74">
        <f>0.1751-F152</f>
        <v>0.13083333333333333</v>
      </c>
      <c r="I154" s="76">
        <f>0.1965-F152</f>
        <v>0.15223333333333333</v>
      </c>
      <c r="J154" s="76">
        <f>0.1192-G152</f>
        <v>7.6066666666666671E-2</v>
      </c>
      <c r="K154" s="76">
        <f>0.1395-G152</f>
        <v>9.6366666666666684E-2</v>
      </c>
      <c r="L154" s="76">
        <f t="shared" si="31"/>
        <v>1.3746029173419773E-2</v>
      </c>
      <c r="M154" s="277">
        <f t="shared" si="32"/>
        <v>1.5223905996758507E-2</v>
      </c>
      <c r="N154" s="76">
        <f t="shared" si="33"/>
        <v>1.448496758508914E-2</v>
      </c>
      <c r="O154" s="76">
        <v>2.2000000000000002</v>
      </c>
      <c r="P154" s="76">
        <f t="shared" si="34"/>
        <v>2.7134800000000001</v>
      </c>
      <c r="Q154" s="77">
        <f t="shared" si="48"/>
        <v>1.3567400000000002E-4</v>
      </c>
      <c r="R154" s="78">
        <f t="shared" si="35"/>
        <v>53.38151593189977</v>
      </c>
      <c r="S154" s="94">
        <f>AVERAGE(R152:R154)</f>
        <v>55.47537624279903</v>
      </c>
      <c r="T154" s="80">
        <f>STDEV(R152:R154)</f>
        <v>1.8401692098309497</v>
      </c>
      <c r="U154" s="89">
        <f>T154/SQRT(3)</f>
        <v>1.0624221886503598</v>
      </c>
      <c r="V154" s="89">
        <f t="shared" si="36"/>
        <v>144.8496758508914</v>
      </c>
      <c r="W154" s="88">
        <f t="shared" si="38"/>
        <v>146.67004321988114</v>
      </c>
      <c r="X154" s="89">
        <f t="shared" si="40"/>
        <v>12.489683022129221</v>
      </c>
      <c r="Y154" s="89">
        <f t="shared" si="41"/>
        <v>7.2109218549194045</v>
      </c>
      <c r="Z154" s="89">
        <f>(V154-$V$115)/(D152-$D$113)</f>
        <v>0.41505324960692674</v>
      </c>
      <c r="AA154" s="88">
        <f t="shared" si="42"/>
        <v>0.42117758025193819</v>
      </c>
      <c r="AB154" s="95">
        <f t="shared" si="43"/>
        <v>2.1215776315247112E-2</v>
      </c>
    </row>
    <row r="155" spans="2:28" x14ac:dyDescent="0.2">
      <c r="B155" s="206" t="s">
        <v>37</v>
      </c>
      <c r="C155" s="203">
        <v>0.52083333333333337</v>
      </c>
      <c r="D155" s="215">
        <f>24+1.5+D152</f>
        <v>360</v>
      </c>
      <c r="E155" s="104" t="s">
        <v>104</v>
      </c>
      <c r="F155" s="209">
        <f>(0.0415+0.0244+0.0307)/3</f>
        <v>3.2199999999999999E-2</v>
      </c>
      <c r="G155" s="212">
        <f>(0.041+0.0237+0.03)/3</f>
        <v>3.1566666666666666E-2</v>
      </c>
      <c r="H155" s="96">
        <f>0.2254-F155</f>
        <v>0.19319999999999998</v>
      </c>
      <c r="I155" s="96">
        <f>0.2532-F155</f>
        <v>0.22099999999999997</v>
      </c>
      <c r="J155" s="96">
        <f>0.1782-G155</f>
        <v>0.14663333333333334</v>
      </c>
      <c r="K155" s="96">
        <f>0.2058-G155</f>
        <v>0.17423333333333335</v>
      </c>
      <c r="L155" s="76">
        <f>(H155-(0.605*J155))/6.17</f>
        <v>1.6934656942193406E-2</v>
      </c>
      <c r="M155" s="277">
        <f t="shared" si="32"/>
        <v>1.8734008643976223E-2</v>
      </c>
      <c r="N155" s="96">
        <f t="shared" si="33"/>
        <v>1.7834332793084814E-2</v>
      </c>
      <c r="O155" s="96">
        <v>2.58</v>
      </c>
      <c r="P155" s="96">
        <f t="shared" si="34"/>
        <v>3.182172</v>
      </c>
      <c r="Q155" s="97">
        <f t="shared" si="48"/>
        <v>1.5910860000000002E-4</v>
      </c>
      <c r="R155" s="98">
        <f t="shared" si="35"/>
        <v>56.044528055318231</v>
      </c>
      <c r="S155" s="102"/>
      <c r="T155" s="103"/>
      <c r="U155" s="103"/>
      <c r="V155" s="80">
        <f t="shared" si="36"/>
        <v>178.34332793084812</v>
      </c>
      <c r="W155" s="94"/>
      <c r="X155" s="80"/>
      <c r="Y155" s="80"/>
      <c r="Z155" s="80">
        <f t="shared" si="39"/>
        <v>0.47901278963323113</v>
      </c>
      <c r="AA155" s="94"/>
      <c r="AB155" s="101"/>
    </row>
    <row r="156" spans="2:28" x14ac:dyDescent="0.2">
      <c r="B156" s="207"/>
      <c r="C156" s="204"/>
      <c r="D156" s="216"/>
      <c r="E156" s="104" t="s">
        <v>105</v>
      </c>
      <c r="F156" s="210"/>
      <c r="G156" s="213"/>
      <c r="H156" s="76"/>
      <c r="I156" s="76">
        <f>0.1507-F155</f>
        <v>0.11849999999999999</v>
      </c>
      <c r="J156" s="76"/>
      <c r="K156" s="76">
        <f>0.1117-G155</f>
        <v>8.0133333333333334E-2</v>
      </c>
      <c r="L156" s="76"/>
      <c r="M156" s="277">
        <f t="shared" si="32"/>
        <v>1.1348352242031333E-2</v>
      </c>
      <c r="N156" s="76">
        <f t="shared" si="33"/>
        <v>1.1348352242031333E-2</v>
      </c>
      <c r="O156" s="56">
        <v>1.8740000000000001</v>
      </c>
      <c r="P156" s="76">
        <f t="shared" si="34"/>
        <v>2.3113916000000003</v>
      </c>
      <c r="Q156" s="77">
        <f t="shared" si="48"/>
        <v>1.1556958000000002E-4</v>
      </c>
      <c r="R156" s="78">
        <f t="shared" si="35"/>
        <v>49.097488465525842</v>
      </c>
      <c r="S156" s="79"/>
      <c r="V156" s="80">
        <f t="shared" si="36"/>
        <v>113.48352242031334</v>
      </c>
      <c r="W156" s="94"/>
      <c r="X156" s="80"/>
      <c r="Y156" s="80"/>
      <c r="Z156" s="80">
        <f>(V156-$V$114)/(D155-$D$113)</f>
        <v>0.30010606128819256</v>
      </c>
      <c r="AA156" s="94"/>
      <c r="AB156" s="101"/>
    </row>
    <row r="157" spans="2:28" x14ac:dyDescent="0.2">
      <c r="B157" s="208"/>
      <c r="C157" s="205"/>
      <c r="D157" s="217"/>
      <c r="E157" s="151" t="s">
        <v>106</v>
      </c>
      <c r="F157" s="211"/>
      <c r="G157" s="214"/>
      <c r="H157" s="76">
        <f>0.1831-F155</f>
        <v>0.15090000000000001</v>
      </c>
      <c r="I157" s="76">
        <f>0.1863-F155</f>
        <v>0.15409999999999999</v>
      </c>
      <c r="J157" s="76">
        <f>0.1332-G155</f>
        <v>0.10163333333333335</v>
      </c>
      <c r="K157" s="76">
        <f>0.1381-G155</f>
        <v>0.10653333333333334</v>
      </c>
      <c r="L157" s="76">
        <f>(H157-(0.605*J157))/6.17</f>
        <v>1.449138303619665E-2</v>
      </c>
      <c r="M157" s="277">
        <f t="shared" si="32"/>
        <v>1.4529551593733115E-2</v>
      </c>
      <c r="N157" s="76">
        <f t="shared" si="33"/>
        <v>1.4510467314964883E-2</v>
      </c>
      <c r="O157" s="56">
        <v>2.1819999999999999</v>
      </c>
      <c r="P157" s="76">
        <f t="shared" si="34"/>
        <v>2.6912788000000001</v>
      </c>
      <c r="Q157" s="77">
        <f t="shared" si="48"/>
        <v>1.3456394000000002E-4</v>
      </c>
      <c r="R157" s="78">
        <f t="shared" si="35"/>
        <v>53.916626233465223</v>
      </c>
      <c r="S157" s="94">
        <f>AVERAGE(R155:R157)</f>
        <v>53.019547584769761</v>
      </c>
      <c r="T157" s="80">
        <f>STDEV(R155:R157)</f>
        <v>3.5593401554213182</v>
      </c>
      <c r="U157" s="89">
        <f>T157/SQRT(3)</f>
        <v>2.0549859968699424</v>
      </c>
      <c r="V157" s="89">
        <f t="shared" si="36"/>
        <v>145.10467314964882</v>
      </c>
      <c r="W157" s="88">
        <f t="shared" si="38"/>
        <v>145.64384116693677</v>
      </c>
      <c r="X157" s="89">
        <f t="shared" si="40"/>
        <v>32.433264086879134</v>
      </c>
      <c r="Y157" s="89">
        <f t="shared" si="41"/>
        <v>18.725353751257892</v>
      </c>
      <c r="Z157" s="89">
        <f>(V157-$V$115)/(D155-$D$113)</f>
        <v>0.3863619702563178</v>
      </c>
      <c r="AA157" s="88">
        <f t="shared" si="42"/>
        <v>0.38849360705924713</v>
      </c>
      <c r="AB157" s="95">
        <f t="shared" si="43"/>
        <v>5.1656920376577126E-2</v>
      </c>
    </row>
    <row r="158" spans="2:28" x14ac:dyDescent="0.2">
      <c r="B158" s="206" t="s">
        <v>38</v>
      </c>
      <c r="C158" s="203">
        <v>0.54166666666666663</v>
      </c>
      <c r="D158" s="215">
        <f>24.5+D155</f>
        <v>384.5</v>
      </c>
      <c r="E158" s="104" t="s">
        <v>104</v>
      </c>
      <c r="F158" s="209">
        <f>(0.0512+0.0409)/2</f>
        <v>4.6050000000000001E-2</v>
      </c>
      <c r="G158" s="212">
        <f>(0.0496+0.0407)/2</f>
        <v>4.5149999999999996E-2</v>
      </c>
      <c r="H158" s="96">
        <f>0.2036-F158</f>
        <v>0.15755</v>
      </c>
      <c r="I158" s="96">
        <f>0.2112-F158</f>
        <v>0.16514999999999999</v>
      </c>
      <c r="J158" s="96">
        <f>0.1471-G158</f>
        <v>0.10195000000000001</v>
      </c>
      <c r="K158" s="96">
        <f>0.1545-G158</f>
        <v>0.10935</v>
      </c>
      <c r="L158" s="76">
        <f>(H158-(0.605*J158))/6.17</f>
        <v>1.5538128038897892E-2</v>
      </c>
      <c r="M158" s="277">
        <f t="shared" si="32"/>
        <v>1.6044286871961102E-2</v>
      </c>
      <c r="N158" s="96">
        <f t="shared" si="33"/>
        <v>1.5791207455429498E-2</v>
      </c>
      <c r="O158" s="96">
        <v>2.726</v>
      </c>
      <c r="P158" s="96">
        <f t="shared" si="34"/>
        <v>3.3622483999999999</v>
      </c>
      <c r="Q158" s="97">
        <f t="shared" si="48"/>
        <v>1.6811242000000002E-4</v>
      </c>
      <c r="R158" s="98">
        <f t="shared" si="35"/>
        <v>46.966213012189982</v>
      </c>
      <c r="S158" s="102"/>
      <c r="T158" s="103"/>
      <c r="U158" s="103"/>
      <c r="V158" s="80">
        <f t="shared" si="36"/>
        <v>157.91207455429495</v>
      </c>
      <c r="W158" s="94"/>
      <c r="X158" s="80"/>
      <c r="Y158" s="80"/>
      <c r="Z158" s="80">
        <f t="shared" si="39"/>
        <v>0.39535331831316001</v>
      </c>
      <c r="AA158" s="94"/>
      <c r="AB158" s="101"/>
    </row>
    <row r="159" spans="2:28" x14ac:dyDescent="0.2">
      <c r="B159" s="207"/>
      <c r="C159" s="204"/>
      <c r="D159" s="216"/>
      <c r="E159" s="104" t="s">
        <v>105</v>
      </c>
      <c r="F159" s="210"/>
      <c r="G159" s="213"/>
      <c r="H159" s="76"/>
      <c r="I159" s="76">
        <f>0.1753-F158</f>
        <v>0.12925</v>
      </c>
      <c r="J159" s="76"/>
      <c r="K159" s="76">
        <f>0.1136-G158</f>
        <v>6.8450000000000011E-2</v>
      </c>
      <c r="L159" s="76"/>
      <c r="M159" s="277">
        <f t="shared" si="32"/>
        <v>1.42362641815235E-2</v>
      </c>
      <c r="N159" s="76">
        <f t="shared" si="33"/>
        <v>1.42362641815235E-2</v>
      </c>
      <c r="O159" s="56">
        <v>1.8759999999999999</v>
      </c>
      <c r="P159" s="76">
        <f t="shared" si="34"/>
        <v>2.3138584</v>
      </c>
      <c r="Q159" s="77">
        <f t="shared" si="48"/>
        <v>1.1569292E-4</v>
      </c>
      <c r="R159" s="78">
        <f t="shared" si="35"/>
        <v>61.526082069341406</v>
      </c>
      <c r="S159" s="79"/>
      <c r="V159" s="80">
        <f t="shared" si="36"/>
        <v>142.36264181523498</v>
      </c>
      <c r="W159" s="94"/>
      <c r="X159" s="80"/>
      <c r="Y159" s="80"/>
      <c r="Z159" s="80">
        <f>(V159-$V$114)/(D158-$D$113)</f>
        <v>0.35609181133594525</v>
      </c>
      <c r="AA159" s="94"/>
      <c r="AB159" s="101"/>
    </row>
    <row r="160" spans="2:28" x14ac:dyDescent="0.2">
      <c r="B160" s="208"/>
      <c r="C160" s="205"/>
      <c r="D160" s="217"/>
      <c r="E160" s="151" t="s">
        <v>106</v>
      </c>
      <c r="F160" s="211"/>
      <c r="G160" s="214"/>
      <c r="H160" s="76">
        <f>0.1771-F158</f>
        <v>0.13105</v>
      </c>
      <c r="I160" s="76">
        <f>0.1739-F158</f>
        <v>0.12784999999999999</v>
      </c>
      <c r="J160" s="76">
        <f>0.1242-G158</f>
        <v>7.9050000000000009E-2</v>
      </c>
      <c r="K160" s="76">
        <f>0.1226-G158</f>
        <v>7.7450000000000005E-2</v>
      </c>
      <c r="L160" s="277">
        <f>(H160-(0.605*J160))/6.17</f>
        <v>1.3488614262560776E-2</v>
      </c>
      <c r="M160" s="277">
        <f t="shared" si="32"/>
        <v>1.3126863857374391E-2</v>
      </c>
      <c r="N160" s="76">
        <f t="shared" si="33"/>
        <v>1.3307739059967584E-2</v>
      </c>
      <c r="O160" s="76">
        <v>2.33</v>
      </c>
      <c r="P160" s="76">
        <f t="shared" si="34"/>
        <v>2.8738220000000001</v>
      </c>
      <c r="Q160" s="77">
        <f t="shared" si="48"/>
        <v>1.4369110000000002E-4</v>
      </c>
      <c r="R160" s="78">
        <f t="shared" si="35"/>
        <v>46.306761726953098</v>
      </c>
      <c r="S160" s="94">
        <f>AVERAGE(R158:R160)</f>
        <v>51.599685602828153</v>
      </c>
      <c r="T160" s="80">
        <f>STDEV(R158:R160)</f>
        <v>8.6028326211316219</v>
      </c>
      <c r="U160" s="89">
        <f>T160/SQRT(3)</f>
        <v>4.9668477296036357</v>
      </c>
      <c r="V160" s="89">
        <f t="shared" si="36"/>
        <v>133.07739059967582</v>
      </c>
      <c r="W160" s="88">
        <f t="shared" si="38"/>
        <v>144.45070232306858</v>
      </c>
      <c r="X160" s="89">
        <f t="shared" si="40"/>
        <v>12.548321772043259</v>
      </c>
      <c r="Y160" s="89">
        <f t="shared" si="41"/>
        <v>7.2447769529672179</v>
      </c>
      <c r="Z160" s="89">
        <f>(V160-$V$115)/(D158-$D$113)</f>
        <v>0.33046300843251347</v>
      </c>
      <c r="AA160" s="88">
        <f t="shared" si="42"/>
        <v>0.36063604602720623</v>
      </c>
      <c r="AB160" s="95">
        <f t="shared" si="43"/>
        <v>1.886951360262128E-2</v>
      </c>
    </row>
    <row r="161" spans="1:28" x14ac:dyDescent="0.2">
      <c r="B161" s="206" t="s">
        <v>39</v>
      </c>
      <c r="C161" s="203">
        <v>0.52083333333333337</v>
      </c>
      <c r="D161" s="215">
        <f>48+D155</f>
        <v>408</v>
      </c>
      <c r="E161" s="104" t="s">
        <v>104</v>
      </c>
      <c r="F161" s="209">
        <f>(0.0418+0.0454+0.0454)/3</f>
        <v>4.4199999999999996E-2</v>
      </c>
      <c r="G161" s="212">
        <f>(0.0405+0.0432+0.0438)/3</f>
        <v>4.2500000000000003E-2</v>
      </c>
      <c r="H161" s="96">
        <f>0.2472-F161</f>
        <v>0.20300000000000001</v>
      </c>
      <c r="I161" s="96">
        <f>0.2371-F161</f>
        <v>0.19290000000000002</v>
      </c>
      <c r="J161" s="96">
        <f>0.193-G161</f>
        <v>0.15049999999999999</v>
      </c>
      <c r="K161" s="96">
        <f>0.1827-G161</f>
        <v>0.14019999999999999</v>
      </c>
      <c r="L161" s="277">
        <f t="shared" ref="L161:L162" si="49">(H161-(0.605*J161))/6.17</f>
        <v>1.8143841166936795E-2</v>
      </c>
      <c r="M161" s="277">
        <f t="shared" si="32"/>
        <v>1.7516855753646681E-2</v>
      </c>
      <c r="N161" s="96">
        <f t="shared" si="33"/>
        <v>1.7830348460291738E-2</v>
      </c>
      <c r="O161" s="96">
        <v>2.6320000000000001</v>
      </c>
      <c r="P161" s="96">
        <f t="shared" si="34"/>
        <v>3.2463088000000004</v>
      </c>
      <c r="Q161" s="97">
        <f t="shared" si="48"/>
        <v>1.6231544000000004E-4</v>
      </c>
      <c r="R161" s="98">
        <f t="shared" si="35"/>
        <v>54.924991917872184</v>
      </c>
      <c r="S161" s="102"/>
      <c r="T161" s="103"/>
      <c r="U161" s="103"/>
      <c r="V161" s="80">
        <f t="shared" si="36"/>
        <v>178.30348460291737</v>
      </c>
      <c r="W161" s="94"/>
      <c r="X161" s="80"/>
      <c r="Y161" s="80"/>
      <c r="Z161" s="80">
        <f t="shared" si="39"/>
        <v>0.42256068857851092</v>
      </c>
      <c r="AA161" s="94"/>
      <c r="AB161" s="101"/>
    </row>
    <row r="162" spans="1:28" ht="15" customHeight="1" x14ac:dyDescent="0.2">
      <c r="B162" s="207"/>
      <c r="C162" s="204"/>
      <c r="D162" s="216"/>
      <c r="E162" s="104" t="s">
        <v>105</v>
      </c>
      <c r="F162" s="210"/>
      <c r="G162" s="213"/>
      <c r="H162" s="76">
        <f>0.1436-F161</f>
        <v>9.9400000000000016E-2</v>
      </c>
      <c r="I162" s="76">
        <f>0.141-F161</f>
        <v>9.6799999999999997E-2</v>
      </c>
      <c r="J162" s="76">
        <f>0.1127-G161</f>
        <v>7.0199999999999985E-2</v>
      </c>
      <c r="K162" s="76">
        <f>0.1103-G161</f>
        <v>6.7799999999999999E-2</v>
      </c>
      <c r="L162" s="277">
        <f t="shared" si="49"/>
        <v>9.2267423014586753E-3</v>
      </c>
      <c r="M162" s="277">
        <f t="shared" si="32"/>
        <v>9.0406807131280381E-3</v>
      </c>
      <c r="N162" s="76">
        <f t="shared" si="33"/>
        <v>9.1337115072933558E-3</v>
      </c>
      <c r="O162" s="56">
        <v>1.962</v>
      </c>
      <c r="P162" s="76">
        <f t="shared" si="34"/>
        <v>2.4199307999999999</v>
      </c>
      <c r="Q162" s="77">
        <f t="shared" si="48"/>
        <v>1.2099654E-4</v>
      </c>
      <c r="R162" s="78">
        <f t="shared" si="35"/>
        <v>37.743688816611431</v>
      </c>
      <c r="S162" s="79"/>
      <c r="V162" s="80">
        <f t="shared" si="36"/>
        <v>91.337115072933557</v>
      </c>
      <c r="W162" s="94"/>
      <c r="X162" s="80"/>
      <c r="Y162" s="80"/>
      <c r="Z162" s="80">
        <f>(V162-$V$114)/(D161-$D$113)</f>
        <v>0.21051905567737633</v>
      </c>
      <c r="AA162" s="94"/>
      <c r="AB162" s="101"/>
    </row>
    <row r="163" spans="1:28" ht="16" customHeight="1" thickBot="1" x14ac:dyDescent="0.25">
      <c r="A163" s="115"/>
      <c r="B163" s="223"/>
      <c r="C163" s="224"/>
      <c r="D163" s="225"/>
      <c r="E163" s="152" t="s">
        <v>106</v>
      </c>
      <c r="F163" s="221"/>
      <c r="G163" s="222"/>
      <c r="H163" s="107">
        <f>0.2185-F161</f>
        <v>0.17430000000000001</v>
      </c>
      <c r="I163" s="107">
        <f>0.2699-F161</f>
        <v>0.22569999999999998</v>
      </c>
      <c r="J163" s="107">
        <f>0.1766-G161</f>
        <v>0.1341</v>
      </c>
      <c r="K163" s="107">
        <f>0.2277-G161</f>
        <v>0.1852</v>
      </c>
      <c r="L163" s="107">
        <f>(H163-(0.605*J163))/6.17</f>
        <v>1.5100405186385741E-2</v>
      </c>
      <c r="M163" s="107">
        <f>(I163-(0.605*K163))/6.17</f>
        <v>1.8420421393841167E-2</v>
      </c>
      <c r="N163" s="107">
        <f t="shared" si="33"/>
        <v>1.6760413290113456E-2</v>
      </c>
      <c r="O163" s="114">
        <v>2.508</v>
      </c>
      <c r="P163" s="107">
        <f t="shared" si="34"/>
        <v>3.0933672000000003</v>
      </c>
      <c r="Q163" s="108">
        <f t="shared" si="48"/>
        <v>1.5466836000000003E-4</v>
      </c>
      <c r="R163" s="109">
        <f t="shared" si="35"/>
        <v>54.181777352890578</v>
      </c>
      <c r="S163" s="110">
        <f>AVERAGE(R161:R163)</f>
        <v>48.950152695791395</v>
      </c>
      <c r="T163" s="111">
        <f>STDEV(R161:R163)</f>
        <v>9.7121942154656296</v>
      </c>
      <c r="U163" s="111">
        <f>T163/SQRT(3)</f>
        <v>5.6073379447210074</v>
      </c>
      <c r="V163" s="111">
        <f t="shared" si="36"/>
        <v>167.60413290113456</v>
      </c>
      <c r="W163" s="110">
        <f t="shared" si="38"/>
        <v>145.74824419232849</v>
      </c>
      <c r="X163" s="111">
        <f t="shared" si="40"/>
        <v>47.424121085637566</v>
      </c>
      <c r="Y163" s="111">
        <f t="shared" si="41"/>
        <v>27.380329074874258</v>
      </c>
      <c r="Z163" s="111">
        <f>(V163-$V$115)/(D161-$D$113)</f>
        <v>0.39605335549941217</v>
      </c>
      <c r="AA163" s="110">
        <f t="shared" si="42"/>
        <v>0.34304436658509979</v>
      </c>
      <c r="AB163" s="112">
        <f t="shared" si="43"/>
        <v>6.6703018922517399E-2</v>
      </c>
    </row>
    <row r="164" spans="1:28" x14ac:dyDescent="0.2">
      <c r="E164" s="148"/>
    </row>
    <row r="165" spans="1:28" x14ac:dyDescent="0.2">
      <c r="E165" s="56"/>
    </row>
    <row r="166" spans="1:28" x14ac:dyDescent="0.2">
      <c r="E166" s="56"/>
    </row>
    <row r="167" spans="1:28" x14ac:dyDescent="0.2">
      <c r="E167" s="56"/>
    </row>
    <row r="168" spans="1:28" x14ac:dyDescent="0.2">
      <c r="E168" s="56"/>
    </row>
    <row r="169" spans="1:28" x14ac:dyDescent="0.2">
      <c r="E169" s="56"/>
    </row>
    <row r="170" spans="1:28" x14ac:dyDescent="0.2">
      <c r="E170" s="56"/>
    </row>
    <row r="171" spans="1:28" x14ac:dyDescent="0.2">
      <c r="E171" s="56"/>
    </row>
    <row r="172" spans="1:28" x14ac:dyDescent="0.2">
      <c r="E172" s="56"/>
    </row>
    <row r="173" spans="1:28" x14ac:dyDescent="0.2">
      <c r="E173" s="56"/>
    </row>
    <row r="174" spans="1:28" x14ac:dyDescent="0.2">
      <c r="E174" s="56"/>
    </row>
    <row r="175" spans="1:28" x14ac:dyDescent="0.2">
      <c r="E175" s="56"/>
    </row>
    <row r="176" spans="1:28" x14ac:dyDescent="0.2">
      <c r="E176" s="56"/>
    </row>
    <row r="177" spans="5:5" x14ac:dyDescent="0.2">
      <c r="E177" s="56"/>
    </row>
    <row r="178" spans="5:5" x14ac:dyDescent="0.2">
      <c r="E178" s="56"/>
    </row>
    <row r="179" spans="5:5" x14ac:dyDescent="0.2">
      <c r="E179" s="56"/>
    </row>
    <row r="180" spans="5:5" x14ac:dyDescent="0.2">
      <c r="E180" s="56"/>
    </row>
    <row r="181" spans="5:5" x14ac:dyDescent="0.2">
      <c r="E181" s="56"/>
    </row>
    <row r="182" spans="5:5" x14ac:dyDescent="0.2">
      <c r="E182" s="56"/>
    </row>
    <row r="183" spans="5:5" x14ac:dyDescent="0.2">
      <c r="E183" s="56"/>
    </row>
    <row r="184" spans="5:5" x14ac:dyDescent="0.2">
      <c r="E184" s="56"/>
    </row>
    <row r="185" spans="5:5" x14ac:dyDescent="0.2">
      <c r="E185" s="56"/>
    </row>
    <row r="186" spans="5:5" x14ac:dyDescent="0.2">
      <c r="E186" s="56"/>
    </row>
    <row r="187" spans="5:5" x14ac:dyDescent="0.2">
      <c r="E187" s="56"/>
    </row>
    <row r="188" spans="5:5" x14ac:dyDescent="0.2">
      <c r="E188" s="56"/>
    </row>
    <row r="189" spans="5:5" x14ac:dyDescent="0.2">
      <c r="E189" s="56"/>
    </row>
    <row r="190" spans="5:5" x14ac:dyDescent="0.2">
      <c r="E190" s="56"/>
    </row>
    <row r="191" spans="5:5" x14ac:dyDescent="0.2">
      <c r="E191" s="56"/>
    </row>
    <row r="192" spans="5:5" x14ac:dyDescent="0.2">
      <c r="E192" s="56"/>
    </row>
    <row r="193" spans="5:5" x14ac:dyDescent="0.2">
      <c r="E193" s="56"/>
    </row>
    <row r="194" spans="5:5" x14ac:dyDescent="0.2">
      <c r="E194" s="56"/>
    </row>
    <row r="195" spans="5:5" x14ac:dyDescent="0.2">
      <c r="E195" s="56"/>
    </row>
    <row r="196" spans="5:5" x14ac:dyDescent="0.2">
      <c r="E196" s="56"/>
    </row>
    <row r="197" spans="5:5" x14ac:dyDescent="0.2">
      <c r="E197" s="56"/>
    </row>
    <row r="198" spans="5:5" x14ac:dyDescent="0.2">
      <c r="E198" s="56"/>
    </row>
    <row r="199" spans="5:5" x14ac:dyDescent="0.2">
      <c r="E199" s="56"/>
    </row>
    <row r="200" spans="5:5" x14ac:dyDescent="0.2">
      <c r="E200" s="56"/>
    </row>
    <row r="201" spans="5:5" x14ac:dyDescent="0.2">
      <c r="E201" s="56"/>
    </row>
    <row r="202" spans="5:5" x14ac:dyDescent="0.2">
      <c r="E202" s="56"/>
    </row>
    <row r="203" spans="5:5" x14ac:dyDescent="0.2">
      <c r="E203" s="56"/>
    </row>
    <row r="204" spans="5:5" x14ac:dyDescent="0.2">
      <c r="E204" s="56"/>
    </row>
    <row r="205" spans="5:5" x14ac:dyDescent="0.2">
      <c r="E205" s="56"/>
    </row>
    <row r="206" spans="5:5" x14ac:dyDescent="0.2">
      <c r="E206" s="56"/>
    </row>
    <row r="207" spans="5:5" x14ac:dyDescent="0.2">
      <c r="E207" s="56"/>
    </row>
    <row r="208" spans="5:5" x14ac:dyDescent="0.2">
      <c r="E208" s="56"/>
    </row>
    <row r="209" spans="5:5" x14ac:dyDescent="0.2">
      <c r="E209" s="56"/>
    </row>
    <row r="210" spans="5:5" x14ac:dyDescent="0.2">
      <c r="E210" s="56"/>
    </row>
    <row r="211" spans="5:5" x14ac:dyDescent="0.2">
      <c r="E211" s="56"/>
    </row>
    <row r="212" spans="5:5" x14ac:dyDescent="0.2">
      <c r="E212" s="56"/>
    </row>
    <row r="213" spans="5:5" x14ac:dyDescent="0.2">
      <c r="E213" s="56"/>
    </row>
    <row r="214" spans="5:5" x14ac:dyDescent="0.2">
      <c r="E214" s="56"/>
    </row>
    <row r="215" spans="5:5" x14ac:dyDescent="0.2">
      <c r="E215" s="56"/>
    </row>
    <row r="216" spans="5:5" x14ac:dyDescent="0.2">
      <c r="E216" s="56"/>
    </row>
    <row r="217" spans="5:5" x14ac:dyDescent="0.2">
      <c r="E217" s="56"/>
    </row>
    <row r="218" spans="5:5" x14ac:dyDescent="0.2">
      <c r="E218" s="56"/>
    </row>
    <row r="219" spans="5:5" x14ac:dyDescent="0.2">
      <c r="E219" s="56"/>
    </row>
    <row r="220" spans="5:5" x14ac:dyDescent="0.2">
      <c r="E220" s="56"/>
    </row>
    <row r="221" spans="5:5" x14ac:dyDescent="0.2">
      <c r="E221" s="56"/>
    </row>
    <row r="222" spans="5:5" x14ac:dyDescent="0.2">
      <c r="E222" s="56"/>
    </row>
    <row r="223" spans="5:5" x14ac:dyDescent="0.2">
      <c r="E223" s="56"/>
    </row>
    <row r="224" spans="5:5" x14ac:dyDescent="0.2">
      <c r="E224" s="56"/>
    </row>
    <row r="225" spans="5:5" x14ac:dyDescent="0.2">
      <c r="E225" s="56"/>
    </row>
    <row r="226" spans="5:5" x14ac:dyDescent="0.2">
      <c r="E226" s="56"/>
    </row>
    <row r="227" spans="5:5" x14ac:dyDescent="0.2">
      <c r="E227" s="56"/>
    </row>
    <row r="228" spans="5:5" x14ac:dyDescent="0.2">
      <c r="E228" s="56"/>
    </row>
    <row r="229" spans="5:5" x14ac:dyDescent="0.2">
      <c r="E229" s="56"/>
    </row>
    <row r="230" spans="5:5" x14ac:dyDescent="0.2">
      <c r="E230" s="56"/>
    </row>
    <row r="231" spans="5:5" x14ac:dyDescent="0.2">
      <c r="E231" s="56"/>
    </row>
    <row r="232" spans="5:5" x14ac:dyDescent="0.2">
      <c r="E232" s="56"/>
    </row>
    <row r="233" spans="5:5" x14ac:dyDescent="0.2">
      <c r="E233" s="56"/>
    </row>
    <row r="234" spans="5:5" x14ac:dyDescent="0.2">
      <c r="E234" s="56"/>
    </row>
    <row r="235" spans="5:5" x14ac:dyDescent="0.2">
      <c r="E235" s="56"/>
    </row>
    <row r="236" spans="5:5" x14ac:dyDescent="0.2">
      <c r="E236" s="56"/>
    </row>
    <row r="237" spans="5:5" x14ac:dyDescent="0.2">
      <c r="E237" s="56"/>
    </row>
    <row r="238" spans="5:5" x14ac:dyDescent="0.2">
      <c r="E238" s="56"/>
    </row>
    <row r="239" spans="5:5" x14ac:dyDescent="0.2">
      <c r="E239" s="56"/>
    </row>
    <row r="240" spans="5:5" x14ac:dyDescent="0.2">
      <c r="E240" s="56"/>
    </row>
    <row r="241" spans="5:5" x14ac:dyDescent="0.2">
      <c r="E241" s="56"/>
    </row>
    <row r="242" spans="5:5" x14ac:dyDescent="0.2">
      <c r="E242" s="56"/>
    </row>
    <row r="243" spans="5:5" x14ac:dyDescent="0.2">
      <c r="E243" s="56"/>
    </row>
    <row r="244" spans="5:5" x14ac:dyDescent="0.2">
      <c r="E244" s="56"/>
    </row>
    <row r="245" spans="5:5" x14ac:dyDescent="0.2">
      <c r="E245" s="56"/>
    </row>
    <row r="246" spans="5:5" x14ac:dyDescent="0.2">
      <c r="E246" s="56"/>
    </row>
    <row r="247" spans="5:5" x14ac:dyDescent="0.2">
      <c r="E247" s="56"/>
    </row>
    <row r="248" spans="5:5" x14ac:dyDescent="0.2">
      <c r="E248" s="56"/>
    </row>
    <row r="249" spans="5:5" x14ac:dyDescent="0.2">
      <c r="E249" s="56"/>
    </row>
    <row r="250" spans="5:5" x14ac:dyDescent="0.2">
      <c r="E250" s="56"/>
    </row>
    <row r="251" spans="5:5" x14ac:dyDescent="0.2">
      <c r="E251" s="56"/>
    </row>
    <row r="252" spans="5:5" x14ac:dyDescent="0.2">
      <c r="E252" s="56"/>
    </row>
    <row r="253" spans="5:5" x14ac:dyDescent="0.2">
      <c r="E253" s="56"/>
    </row>
    <row r="254" spans="5:5" x14ac:dyDescent="0.2">
      <c r="E254" s="56"/>
    </row>
    <row r="255" spans="5:5" x14ac:dyDescent="0.2">
      <c r="E255" s="56"/>
    </row>
    <row r="256" spans="5:5" x14ac:dyDescent="0.2">
      <c r="E256" s="56"/>
    </row>
    <row r="257" spans="5:5" x14ac:dyDescent="0.2">
      <c r="E257" s="56"/>
    </row>
    <row r="258" spans="5:5" x14ac:dyDescent="0.2">
      <c r="E258" s="56"/>
    </row>
    <row r="259" spans="5:5" x14ac:dyDescent="0.2">
      <c r="E259" s="56"/>
    </row>
    <row r="260" spans="5:5" x14ac:dyDescent="0.2">
      <c r="E260" s="56"/>
    </row>
    <row r="261" spans="5:5" x14ac:dyDescent="0.2">
      <c r="E261" s="56"/>
    </row>
    <row r="262" spans="5:5" x14ac:dyDescent="0.2">
      <c r="E262" s="56"/>
    </row>
    <row r="263" spans="5:5" x14ac:dyDescent="0.2">
      <c r="E263" s="56"/>
    </row>
    <row r="264" spans="5:5" x14ac:dyDescent="0.2">
      <c r="E264" s="56"/>
    </row>
    <row r="265" spans="5:5" x14ac:dyDescent="0.2">
      <c r="E265" s="56"/>
    </row>
    <row r="266" spans="5:5" x14ac:dyDescent="0.2">
      <c r="E266" s="56"/>
    </row>
    <row r="267" spans="5:5" x14ac:dyDescent="0.2">
      <c r="E267" s="56"/>
    </row>
    <row r="268" spans="5:5" x14ac:dyDescent="0.2">
      <c r="E268" s="56"/>
    </row>
    <row r="269" spans="5:5" x14ac:dyDescent="0.2">
      <c r="E269" s="56"/>
    </row>
    <row r="270" spans="5:5" x14ac:dyDescent="0.2">
      <c r="E270" s="56"/>
    </row>
    <row r="271" spans="5:5" x14ac:dyDescent="0.2">
      <c r="E271" s="56"/>
    </row>
    <row r="272" spans="5:5" x14ac:dyDescent="0.2">
      <c r="E272" s="56"/>
    </row>
    <row r="273" spans="5:5" x14ac:dyDescent="0.2">
      <c r="E273" s="56"/>
    </row>
    <row r="274" spans="5:5" x14ac:dyDescent="0.2">
      <c r="E274" s="56"/>
    </row>
    <row r="275" spans="5:5" x14ac:dyDescent="0.2">
      <c r="E275" s="56"/>
    </row>
    <row r="276" spans="5:5" x14ac:dyDescent="0.2">
      <c r="E276" s="56"/>
    </row>
    <row r="277" spans="5:5" x14ac:dyDescent="0.2">
      <c r="E277" s="56"/>
    </row>
    <row r="278" spans="5:5" x14ac:dyDescent="0.2">
      <c r="E278" s="56"/>
    </row>
    <row r="279" spans="5:5" x14ac:dyDescent="0.2">
      <c r="E279" s="56"/>
    </row>
    <row r="280" spans="5:5" x14ac:dyDescent="0.2">
      <c r="E280" s="56"/>
    </row>
    <row r="281" spans="5:5" x14ac:dyDescent="0.2">
      <c r="E281" s="56"/>
    </row>
    <row r="282" spans="5:5" x14ac:dyDescent="0.2">
      <c r="E282" s="56"/>
    </row>
    <row r="283" spans="5:5" x14ac:dyDescent="0.2">
      <c r="E283" s="56"/>
    </row>
    <row r="284" spans="5:5" x14ac:dyDescent="0.2">
      <c r="E284" s="56"/>
    </row>
    <row r="285" spans="5:5" x14ac:dyDescent="0.2">
      <c r="E285" s="56"/>
    </row>
    <row r="286" spans="5:5" x14ac:dyDescent="0.2">
      <c r="E286" s="56"/>
    </row>
    <row r="287" spans="5:5" x14ac:dyDescent="0.2">
      <c r="E287" s="56"/>
    </row>
    <row r="288" spans="5:5" x14ac:dyDescent="0.2">
      <c r="E288" s="56"/>
    </row>
    <row r="289" spans="5:5" x14ac:dyDescent="0.2">
      <c r="E289" s="56"/>
    </row>
    <row r="290" spans="5:5" x14ac:dyDescent="0.2">
      <c r="E290" s="56"/>
    </row>
    <row r="291" spans="5:5" x14ac:dyDescent="0.2">
      <c r="E291" s="56"/>
    </row>
    <row r="292" spans="5:5" x14ac:dyDescent="0.2">
      <c r="E292" s="56"/>
    </row>
    <row r="293" spans="5:5" x14ac:dyDescent="0.2">
      <c r="E293" s="56"/>
    </row>
    <row r="294" spans="5:5" x14ac:dyDescent="0.2">
      <c r="E294" s="56"/>
    </row>
    <row r="295" spans="5:5" x14ac:dyDescent="0.2">
      <c r="E295" s="56"/>
    </row>
    <row r="296" spans="5:5" x14ac:dyDescent="0.2">
      <c r="E296" s="56"/>
    </row>
    <row r="297" spans="5:5" x14ac:dyDescent="0.2">
      <c r="E297" s="56"/>
    </row>
    <row r="298" spans="5:5" x14ac:dyDescent="0.2">
      <c r="E298" s="56"/>
    </row>
    <row r="299" spans="5:5" x14ac:dyDescent="0.2">
      <c r="E299" s="56"/>
    </row>
    <row r="300" spans="5:5" x14ac:dyDescent="0.2">
      <c r="E300" s="56"/>
    </row>
    <row r="301" spans="5:5" x14ac:dyDescent="0.2">
      <c r="E301" s="56"/>
    </row>
    <row r="302" spans="5:5" x14ac:dyDescent="0.2">
      <c r="E302" s="56"/>
    </row>
    <row r="303" spans="5:5" x14ac:dyDescent="0.2">
      <c r="E303" s="56"/>
    </row>
    <row r="304" spans="5:5" x14ac:dyDescent="0.2">
      <c r="E304" s="56"/>
    </row>
    <row r="305" spans="5:5" x14ac:dyDescent="0.2">
      <c r="E305" s="56"/>
    </row>
    <row r="306" spans="5:5" x14ac:dyDescent="0.2">
      <c r="E306" s="56"/>
    </row>
    <row r="307" spans="5:5" x14ac:dyDescent="0.2">
      <c r="E307" s="56"/>
    </row>
    <row r="308" spans="5:5" x14ac:dyDescent="0.2">
      <c r="E308" s="56"/>
    </row>
    <row r="309" spans="5:5" x14ac:dyDescent="0.2">
      <c r="E309" s="56"/>
    </row>
    <row r="310" spans="5:5" x14ac:dyDescent="0.2">
      <c r="E310" s="56"/>
    </row>
    <row r="311" spans="5:5" x14ac:dyDescent="0.2">
      <c r="E311" s="56"/>
    </row>
    <row r="312" spans="5:5" x14ac:dyDescent="0.2">
      <c r="E312" s="56"/>
    </row>
    <row r="313" spans="5:5" x14ac:dyDescent="0.2">
      <c r="E313" s="56"/>
    </row>
    <row r="314" spans="5:5" x14ac:dyDescent="0.2">
      <c r="E314" s="56"/>
    </row>
    <row r="315" spans="5:5" x14ac:dyDescent="0.2">
      <c r="E315" s="56"/>
    </row>
    <row r="316" spans="5:5" x14ac:dyDescent="0.2">
      <c r="E316" s="56"/>
    </row>
    <row r="317" spans="5:5" x14ac:dyDescent="0.2">
      <c r="E317" s="56"/>
    </row>
    <row r="318" spans="5:5" x14ac:dyDescent="0.2">
      <c r="E318" s="56"/>
    </row>
    <row r="319" spans="5:5" x14ac:dyDescent="0.2">
      <c r="E319" s="56"/>
    </row>
    <row r="320" spans="5:5" x14ac:dyDescent="0.2">
      <c r="E320" s="56"/>
    </row>
    <row r="321" spans="5:5" x14ac:dyDescent="0.2">
      <c r="E321" s="56"/>
    </row>
    <row r="322" spans="5:5" x14ac:dyDescent="0.2">
      <c r="E322" s="56"/>
    </row>
    <row r="323" spans="5:5" x14ac:dyDescent="0.2">
      <c r="E323" s="56"/>
    </row>
    <row r="324" spans="5:5" x14ac:dyDescent="0.2">
      <c r="E324" s="56"/>
    </row>
    <row r="325" spans="5:5" x14ac:dyDescent="0.2">
      <c r="E325" s="56"/>
    </row>
    <row r="326" spans="5:5" x14ac:dyDescent="0.2">
      <c r="E326" s="56"/>
    </row>
    <row r="327" spans="5:5" x14ac:dyDescent="0.2">
      <c r="E327" s="56"/>
    </row>
    <row r="328" spans="5:5" x14ac:dyDescent="0.2">
      <c r="E328" s="56"/>
    </row>
    <row r="329" spans="5:5" x14ac:dyDescent="0.2">
      <c r="E329" s="56"/>
    </row>
    <row r="330" spans="5:5" x14ac:dyDescent="0.2">
      <c r="E330" s="56"/>
    </row>
    <row r="331" spans="5:5" x14ac:dyDescent="0.2">
      <c r="E331" s="56"/>
    </row>
    <row r="332" spans="5:5" x14ac:dyDescent="0.2">
      <c r="E332" s="56"/>
    </row>
    <row r="333" spans="5:5" x14ac:dyDescent="0.2">
      <c r="E333" s="56"/>
    </row>
    <row r="334" spans="5:5" x14ac:dyDescent="0.2">
      <c r="E334" s="56"/>
    </row>
    <row r="335" spans="5:5" x14ac:dyDescent="0.2">
      <c r="E335" s="56"/>
    </row>
    <row r="336" spans="5:5" x14ac:dyDescent="0.2">
      <c r="E336" s="56"/>
    </row>
    <row r="337" spans="5:5" x14ac:dyDescent="0.2">
      <c r="E337" s="56"/>
    </row>
    <row r="338" spans="5:5" x14ac:dyDescent="0.2">
      <c r="E338" s="56"/>
    </row>
    <row r="339" spans="5:5" x14ac:dyDescent="0.2">
      <c r="E339" s="56"/>
    </row>
    <row r="340" spans="5:5" x14ac:dyDescent="0.2">
      <c r="E340" s="56"/>
    </row>
    <row r="341" spans="5:5" x14ac:dyDescent="0.2">
      <c r="E341" s="56"/>
    </row>
    <row r="342" spans="5:5" x14ac:dyDescent="0.2">
      <c r="E342" s="56"/>
    </row>
    <row r="343" spans="5:5" x14ac:dyDescent="0.2">
      <c r="E343" s="56"/>
    </row>
    <row r="344" spans="5:5" x14ac:dyDescent="0.2">
      <c r="E344" s="56"/>
    </row>
    <row r="345" spans="5:5" x14ac:dyDescent="0.2">
      <c r="E345" s="56"/>
    </row>
    <row r="346" spans="5:5" x14ac:dyDescent="0.2">
      <c r="E346" s="56"/>
    </row>
    <row r="347" spans="5:5" x14ac:dyDescent="0.2">
      <c r="E347" s="56"/>
    </row>
    <row r="348" spans="5:5" x14ac:dyDescent="0.2">
      <c r="E348" s="56"/>
    </row>
    <row r="349" spans="5:5" x14ac:dyDescent="0.2">
      <c r="E349" s="56"/>
    </row>
    <row r="350" spans="5:5" x14ac:dyDescent="0.2">
      <c r="E350" s="56"/>
    </row>
    <row r="351" spans="5:5" x14ac:dyDescent="0.2">
      <c r="E351" s="56"/>
    </row>
    <row r="352" spans="5:5" x14ac:dyDescent="0.2">
      <c r="E352" s="56"/>
    </row>
    <row r="353" spans="5:5" x14ac:dyDescent="0.2">
      <c r="E353" s="56"/>
    </row>
    <row r="354" spans="5:5" x14ac:dyDescent="0.2">
      <c r="E354" s="56"/>
    </row>
    <row r="355" spans="5:5" x14ac:dyDescent="0.2">
      <c r="E355" s="56"/>
    </row>
    <row r="356" spans="5:5" x14ac:dyDescent="0.2">
      <c r="E356" s="56"/>
    </row>
    <row r="357" spans="5:5" x14ac:dyDescent="0.2">
      <c r="E357" s="56"/>
    </row>
    <row r="358" spans="5:5" x14ac:dyDescent="0.2">
      <c r="E358" s="56"/>
    </row>
    <row r="359" spans="5:5" x14ac:dyDescent="0.2">
      <c r="E359" s="56"/>
    </row>
    <row r="360" spans="5:5" x14ac:dyDescent="0.2">
      <c r="E360" s="56"/>
    </row>
    <row r="361" spans="5:5" x14ac:dyDescent="0.2">
      <c r="E361" s="56"/>
    </row>
    <row r="362" spans="5:5" x14ac:dyDescent="0.2">
      <c r="E362" s="56"/>
    </row>
    <row r="363" spans="5:5" x14ac:dyDescent="0.2">
      <c r="E363" s="56"/>
    </row>
    <row r="364" spans="5:5" x14ac:dyDescent="0.2">
      <c r="E364" s="56"/>
    </row>
    <row r="365" spans="5:5" x14ac:dyDescent="0.2">
      <c r="E365" s="56"/>
    </row>
    <row r="366" spans="5:5" x14ac:dyDescent="0.2">
      <c r="E366" s="56"/>
    </row>
    <row r="367" spans="5:5" x14ac:dyDescent="0.2">
      <c r="E367" s="56"/>
    </row>
    <row r="368" spans="5:5" x14ac:dyDescent="0.2">
      <c r="E368" s="56"/>
    </row>
    <row r="369" spans="5:5" x14ac:dyDescent="0.2">
      <c r="E369" s="56"/>
    </row>
    <row r="370" spans="5:5" x14ac:dyDescent="0.2">
      <c r="E370" s="56"/>
    </row>
    <row r="371" spans="5:5" x14ac:dyDescent="0.2">
      <c r="E371" s="56"/>
    </row>
    <row r="372" spans="5:5" x14ac:dyDescent="0.2">
      <c r="E372" s="56"/>
    </row>
    <row r="373" spans="5:5" x14ac:dyDescent="0.2">
      <c r="E373" s="56"/>
    </row>
    <row r="374" spans="5:5" x14ac:dyDescent="0.2">
      <c r="E374" s="56"/>
    </row>
    <row r="375" spans="5:5" x14ac:dyDescent="0.2">
      <c r="E375" s="56"/>
    </row>
    <row r="376" spans="5:5" x14ac:dyDescent="0.2">
      <c r="E376" s="56"/>
    </row>
    <row r="377" spans="5:5" x14ac:dyDescent="0.2">
      <c r="E377" s="56"/>
    </row>
    <row r="378" spans="5:5" x14ac:dyDescent="0.2">
      <c r="E378" s="56"/>
    </row>
    <row r="379" spans="5:5" x14ac:dyDescent="0.2">
      <c r="E379" s="56"/>
    </row>
    <row r="380" spans="5:5" x14ac:dyDescent="0.2">
      <c r="E380" s="56"/>
    </row>
    <row r="381" spans="5:5" x14ac:dyDescent="0.2">
      <c r="E381" s="56"/>
    </row>
    <row r="382" spans="5:5" x14ac:dyDescent="0.2">
      <c r="E382" s="56"/>
    </row>
    <row r="383" spans="5:5" x14ac:dyDescent="0.2">
      <c r="E383" s="56"/>
    </row>
    <row r="384" spans="5:5" x14ac:dyDescent="0.2">
      <c r="E384" s="56"/>
    </row>
    <row r="385" spans="5:5" x14ac:dyDescent="0.2">
      <c r="E385" s="56"/>
    </row>
    <row r="386" spans="5:5" x14ac:dyDescent="0.2">
      <c r="E386" s="56"/>
    </row>
    <row r="387" spans="5:5" x14ac:dyDescent="0.2">
      <c r="E387" s="56"/>
    </row>
    <row r="388" spans="5:5" x14ac:dyDescent="0.2">
      <c r="E388" s="56"/>
    </row>
    <row r="389" spans="5:5" x14ac:dyDescent="0.2">
      <c r="E389" s="56"/>
    </row>
    <row r="390" spans="5:5" x14ac:dyDescent="0.2">
      <c r="E390" s="56"/>
    </row>
    <row r="391" spans="5:5" x14ac:dyDescent="0.2">
      <c r="E391" s="56"/>
    </row>
    <row r="392" spans="5:5" x14ac:dyDescent="0.2">
      <c r="E392" s="56"/>
    </row>
    <row r="393" spans="5:5" x14ac:dyDescent="0.2">
      <c r="E393" s="56"/>
    </row>
    <row r="394" spans="5:5" x14ac:dyDescent="0.2">
      <c r="E394" s="56"/>
    </row>
    <row r="395" spans="5:5" x14ac:dyDescent="0.2">
      <c r="E395" s="56"/>
    </row>
    <row r="396" spans="5:5" x14ac:dyDescent="0.2">
      <c r="E396" s="56"/>
    </row>
    <row r="397" spans="5:5" x14ac:dyDescent="0.2">
      <c r="E397" s="56"/>
    </row>
    <row r="398" spans="5:5" x14ac:dyDescent="0.2">
      <c r="E398" s="56"/>
    </row>
    <row r="399" spans="5:5" x14ac:dyDescent="0.2">
      <c r="E399" s="56"/>
    </row>
    <row r="400" spans="5:5" x14ac:dyDescent="0.2">
      <c r="E400" s="56"/>
    </row>
    <row r="401" spans="5:5" x14ac:dyDescent="0.2">
      <c r="E401" s="56"/>
    </row>
    <row r="402" spans="5:5" x14ac:dyDescent="0.2">
      <c r="E402" s="56"/>
    </row>
    <row r="403" spans="5:5" x14ac:dyDescent="0.2">
      <c r="E403" s="56"/>
    </row>
    <row r="404" spans="5:5" x14ac:dyDescent="0.2">
      <c r="E404" s="56"/>
    </row>
    <row r="405" spans="5:5" x14ac:dyDescent="0.2">
      <c r="E405" s="56"/>
    </row>
    <row r="406" spans="5:5" x14ac:dyDescent="0.2">
      <c r="E406" s="56"/>
    </row>
    <row r="407" spans="5:5" x14ac:dyDescent="0.2">
      <c r="E407" s="56"/>
    </row>
    <row r="408" spans="5:5" x14ac:dyDescent="0.2">
      <c r="E408" s="56"/>
    </row>
    <row r="409" spans="5:5" x14ac:dyDescent="0.2">
      <c r="E409" s="56"/>
    </row>
    <row r="410" spans="5:5" x14ac:dyDescent="0.2">
      <c r="E410" s="56"/>
    </row>
    <row r="411" spans="5:5" x14ac:dyDescent="0.2">
      <c r="E411" s="56"/>
    </row>
    <row r="412" spans="5:5" x14ac:dyDescent="0.2">
      <c r="E412" s="56"/>
    </row>
    <row r="413" spans="5:5" x14ac:dyDescent="0.2">
      <c r="E413" s="56"/>
    </row>
    <row r="414" spans="5:5" x14ac:dyDescent="0.2">
      <c r="E414" s="56"/>
    </row>
    <row r="415" spans="5:5" x14ac:dyDescent="0.2">
      <c r="E415" s="56"/>
    </row>
    <row r="416" spans="5:5" x14ac:dyDescent="0.2">
      <c r="E416" s="56"/>
    </row>
    <row r="417" spans="5:5" x14ac:dyDescent="0.2">
      <c r="E417" s="56"/>
    </row>
    <row r="418" spans="5:5" x14ac:dyDescent="0.2">
      <c r="E418" s="56"/>
    </row>
    <row r="419" spans="5:5" x14ac:dyDescent="0.2">
      <c r="E419" s="56"/>
    </row>
    <row r="420" spans="5:5" x14ac:dyDescent="0.2">
      <c r="E420" s="56"/>
    </row>
    <row r="421" spans="5:5" x14ac:dyDescent="0.2">
      <c r="E421" s="56"/>
    </row>
    <row r="422" spans="5:5" x14ac:dyDescent="0.2">
      <c r="E422" s="56"/>
    </row>
    <row r="423" spans="5:5" x14ac:dyDescent="0.2">
      <c r="E423" s="56"/>
    </row>
    <row r="424" spans="5:5" x14ac:dyDescent="0.2">
      <c r="E424" s="56"/>
    </row>
    <row r="425" spans="5:5" x14ac:dyDescent="0.2">
      <c r="E425" s="56"/>
    </row>
    <row r="426" spans="5:5" x14ac:dyDescent="0.2">
      <c r="E426" s="56"/>
    </row>
    <row r="427" spans="5:5" x14ac:dyDescent="0.2">
      <c r="E427" s="56"/>
    </row>
    <row r="428" spans="5:5" x14ac:dyDescent="0.2">
      <c r="E428" s="56"/>
    </row>
    <row r="429" spans="5:5" x14ac:dyDescent="0.2">
      <c r="E429" s="56"/>
    </row>
    <row r="430" spans="5:5" x14ac:dyDescent="0.2">
      <c r="E430" s="56"/>
    </row>
    <row r="431" spans="5:5" x14ac:dyDescent="0.2">
      <c r="E431" s="56"/>
    </row>
    <row r="432" spans="5:5" x14ac:dyDescent="0.2">
      <c r="E432" s="56"/>
    </row>
    <row r="433" spans="5:5" x14ac:dyDescent="0.2">
      <c r="E433" s="56"/>
    </row>
    <row r="434" spans="5:5" x14ac:dyDescent="0.2">
      <c r="E434" s="56"/>
    </row>
    <row r="435" spans="5:5" x14ac:dyDescent="0.2">
      <c r="E435" s="56"/>
    </row>
    <row r="436" spans="5:5" x14ac:dyDescent="0.2">
      <c r="E436" s="56"/>
    </row>
    <row r="437" spans="5:5" x14ac:dyDescent="0.2">
      <c r="E437" s="56"/>
    </row>
    <row r="438" spans="5:5" x14ac:dyDescent="0.2">
      <c r="E438" s="56"/>
    </row>
    <row r="439" spans="5:5" x14ac:dyDescent="0.2">
      <c r="E439" s="56"/>
    </row>
    <row r="440" spans="5:5" x14ac:dyDescent="0.2">
      <c r="E440" s="56"/>
    </row>
    <row r="441" spans="5:5" x14ac:dyDescent="0.2">
      <c r="E441" s="56"/>
    </row>
    <row r="442" spans="5:5" x14ac:dyDescent="0.2">
      <c r="E442" s="56"/>
    </row>
    <row r="443" spans="5:5" x14ac:dyDescent="0.2">
      <c r="E443" s="56"/>
    </row>
    <row r="444" spans="5:5" x14ac:dyDescent="0.2">
      <c r="E444" s="56"/>
    </row>
    <row r="445" spans="5:5" x14ac:dyDescent="0.2">
      <c r="E445" s="56"/>
    </row>
    <row r="446" spans="5:5" x14ac:dyDescent="0.2">
      <c r="E446" s="56"/>
    </row>
    <row r="447" spans="5:5" x14ac:dyDescent="0.2">
      <c r="E447" s="56"/>
    </row>
    <row r="448" spans="5:5" x14ac:dyDescent="0.2">
      <c r="E448" s="56"/>
    </row>
    <row r="449" spans="5:5" x14ac:dyDescent="0.2">
      <c r="E449" s="56"/>
    </row>
    <row r="450" spans="5:5" x14ac:dyDescent="0.2">
      <c r="E450" s="56"/>
    </row>
    <row r="451" spans="5:5" x14ac:dyDescent="0.2">
      <c r="E451" s="56"/>
    </row>
    <row r="452" spans="5:5" x14ac:dyDescent="0.2">
      <c r="E452" s="56"/>
    </row>
    <row r="453" spans="5:5" x14ac:dyDescent="0.2">
      <c r="E453" s="56"/>
    </row>
    <row r="454" spans="5:5" x14ac:dyDescent="0.2">
      <c r="E454" s="56"/>
    </row>
    <row r="455" spans="5:5" x14ac:dyDescent="0.2">
      <c r="E455" s="56"/>
    </row>
    <row r="456" spans="5:5" x14ac:dyDescent="0.2">
      <c r="E456" s="56"/>
    </row>
    <row r="457" spans="5:5" x14ac:dyDescent="0.2">
      <c r="E457" s="56"/>
    </row>
    <row r="458" spans="5:5" x14ac:dyDescent="0.2">
      <c r="E458" s="56"/>
    </row>
    <row r="459" spans="5:5" x14ac:dyDescent="0.2">
      <c r="E459" s="56"/>
    </row>
    <row r="460" spans="5:5" x14ac:dyDescent="0.2">
      <c r="E460" s="56"/>
    </row>
    <row r="461" spans="5:5" x14ac:dyDescent="0.2">
      <c r="E461" s="56"/>
    </row>
    <row r="462" spans="5:5" x14ac:dyDescent="0.2">
      <c r="E462" s="56"/>
    </row>
    <row r="463" spans="5:5" x14ac:dyDescent="0.2">
      <c r="E463" s="56"/>
    </row>
    <row r="464" spans="5:5" x14ac:dyDescent="0.2">
      <c r="E464" s="56"/>
    </row>
    <row r="465" spans="5:5" x14ac:dyDescent="0.2">
      <c r="E465" s="56"/>
    </row>
    <row r="466" spans="5:5" x14ac:dyDescent="0.2">
      <c r="E466" s="56"/>
    </row>
    <row r="467" spans="5:5" x14ac:dyDescent="0.2">
      <c r="E467" s="56"/>
    </row>
    <row r="468" spans="5:5" x14ac:dyDescent="0.2">
      <c r="E468" s="56"/>
    </row>
    <row r="469" spans="5:5" x14ac:dyDescent="0.2">
      <c r="E469" s="56"/>
    </row>
    <row r="470" spans="5:5" x14ac:dyDescent="0.2">
      <c r="E470" s="56"/>
    </row>
    <row r="471" spans="5:5" x14ac:dyDescent="0.2">
      <c r="E471" s="56"/>
    </row>
    <row r="472" spans="5:5" x14ac:dyDescent="0.2">
      <c r="E472" s="56"/>
    </row>
    <row r="473" spans="5:5" x14ac:dyDescent="0.2">
      <c r="E473" s="56"/>
    </row>
    <row r="474" spans="5:5" x14ac:dyDescent="0.2">
      <c r="E474" s="56"/>
    </row>
    <row r="475" spans="5:5" x14ac:dyDescent="0.2">
      <c r="E475" s="56"/>
    </row>
    <row r="476" spans="5:5" x14ac:dyDescent="0.2">
      <c r="E476" s="56"/>
    </row>
    <row r="477" spans="5:5" x14ac:dyDescent="0.2">
      <c r="E477" s="56"/>
    </row>
    <row r="478" spans="5:5" x14ac:dyDescent="0.2">
      <c r="E478" s="56"/>
    </row>
    <row r="479" spans="5:5" x14ac:dyDescent="0.2">
      <c r="E479" s="56"/>
    </row>
    <row r="480" spans="5:5" x14ac:dyDescent="0.2">
      <c r="E480" s="56"/>
    </row>
    <row r="481" spans="5:5" x14ac:dyDescent="0.2">
      <c r="E481" s="56"/>
    </row>
    <row r="482" spans="5:5" x14ac:dyDescent="0.2">
      <c r="E482" s="56"/>
    </row>
    <row r="483" spans="5:5" x14ac:dyDescent="0.2">
      <c r="E483" s="56"/>
    </row>
    <row r="484" spans="5:5" x14ac:dyDescent="0.2">
      <c r="E484" s="56"/>
    </row>
    <row r="485" spans="5:5" x14ac:dyDescent="0.2">
      <c r="E485" s="56"/>
    </row>
    <row r="486" spans="5:5" x14ac:dyDescent="0.2">
      <c r="E486" s="56"/>
    </row>
    <row r="487" spans="5:5" x14ac:dyDescent="0.2">
      <c r="E487" s="56"/>
    </row>
    <row r="488" spans="5:5" x14ac:dyDescent="0.2">
      <c r="E488" s="56"/>
    </row>
    <row r="489" spans="5:5" x14ac:dyDescent="0.2">
      <c r="E489" s="56"/>
    </row>
    <row r="490" spans="5:5" x14ac:dyDescent="0.2">
      <c r="E490" s="56"/>
    </row>
    <row r="491" spans="5:5" x14ac:dyDescent="0.2">
      <c r="E491" s="56"/>
    </row>
    <row r="492" spans="5:5" x14ac:dyDescent="0.2">
      <c r="E492" s="56"/>
    </row>
    <row r="493" spans="5:5" x14ac:dyDescent="0.2">
      <c r="E493" s="56"/>
    </row>
    <row r="494" spans="5:5" x14ac:dyDescent="0.2">
      <c r="E494" s="56"/>
    </row>
    <row r="495" spans="5:5" x14ac:dyDescent="0.2">
      <c r="E495" s="56"/>
    </row>
    <row r="496" spans="5:5" x14ac:dyDescent="0.2">
      <c r="E496" s="56"/>
    </row>
    <row r="497" spans="5:5" x14ac:dyDescent="0.2">
      <c r="E497" s="56"/>
    </row>
    <row r="498" spans="5:5" x14ac:dyDescent="0.2">
      <c r="E498" s="56"/>
    </row>
    <row r="499" spans="5:5" x14ac:dyDescent="0.2">
      <c r="E499" s="56"/>
    </row>
    <row r="500" spans="5:5" x14ac:dyDescent="0.2">
      <c r="E500" s="56"/>
    </row>
    <row r="501" spans="5:5" x14ac:dyDescent="0.2">
      <c r="E501" s="56"/>
    </row>
    <row r="502" spans="5:5" x14ac:dyDescent="0.2">
      <c r="E502" s="56"/>
    </row>
    <row r="503" spans="5:5" x14ac:dyDescent="0.2">
      <c r="E503" s="56"/>
    </row>
    <row r="504" spans="5:5" x14ac:dyDescent="0.2">
      <c r="E504" s="56"/>
    </row>
    <row r="505" spans="5:5" x14ac:dyDescent="0.2">
      <c r="E505" s="56"/>
    </row>
    <row r="506" spans="5:5" x14ac:dyDescent="0.2">
      <c r="E506" s="56"/>
    </row>
    <row r="507" spans="5:5" x14ac:dyDescent="0.2">
      <c r="E507" s="56"/>
    </row>
    <row r="508" spans="5:5" x14ac:dyDescent="0.2">
      <c r="E508" s="56"/>
    </row>
    <row r="509" spans="5:5" x14ac:dyDescent="0.2">
      <c r="E509" s="56"/>
    </row>
    <row r="510" spans="5:5" x14ac:dyDescent="0.2">
      <c r="E510" s="56"/>
    </row>
    <row r="511" spans="5:5" x14ac:dyDescent="0.2">
      <c r="E511" s="56"/>
    </row>
    <row r="512" spans="5:5" x14ac:dyDescent="0.2">
      <c r="E512" s="56"/>
    </row>
    <row r="513" spans="5:5" x14ac:dyDescent="0.2">
      <c r="E513" s="56"/>
    </row>
    <row r="514" spans="5:5" x14ac:dyDescent="0.2">
      <c r="E514" s="56"/>
    </row>
    <row r="515" spans="5:5" x14ac:dyDescent="0.2">
      <c r="E515" s="56"/>
    </row>
    <row r="516" spans="5:5" x14ac:dyDescent="0.2">
      <c r="E516" s="56"/>
    </row>
    <row r="517" spans="5:5" x14ac:dyDescent="0.2">
      <c r="E517" s="56"/>
    </row>
    <row r="518" spans="5:5" x14ac:dyDescent="0.2">
      <c r="E518" s="56"/>
    </row>
    <row r="519" spans="5:5" x14ac:dyDescent="0.2">
      <c r="E519" s="56"/>
    </row>
    <row r="520" spans="5:5" x14ac:dyDescent="0.2">
      <c r="E520" s="56"/>
    </row>
    <row r="521" spans="5:5" x14ac:dyDescent="0.2">
      <c r="E521" s="56"/>
    </row>
    <row r="522" spans="5:5" x14ac:dyDescent="0.2">
      <c r="E522" s="56"/>
    </row>
    <row r="523" spans="5:5" x14ac:dyDescent="0.2">
      <c r="E523" s="56"/>
    </row>
    <row r="524" spans="5:5" x14ac:dyDescent="0.2">
      <c r="E524" s="56"/>
    </row>
    <row r="525" spans="5:5" x14ac:dyDescent="0.2">
      <c r="E525" s="56"/>
    </row>
    <row r="526" spans="5:5" x14ac:dyDescent="0.2">
      <c r="E526" s="56"/>
    </row>
    <row r="527" spans="5:5" x14ac:dyDescent="0.2">
      <c r="E527" s="56"/>
    </row>
    <row r="528" spans="5:5" x14ac:dyDescent="0.2">
      <c r="E528" s="56"/>
    </row>
    <row r="529" spans="5:5" x14ac:dyDescent="0.2">
      <c r="E529" s="56"/>
    </row>
    <row r="530" spans="5:5" x14ac:dyDescent="0.2">
      <c r="E530" s="56"/>
    </row>
    <row r="531" spans="5:5" x14ac:dyDescent="0.2">
      <c r="E531" s="56"/>
    </row>
    <row r="532" spans="5:5" x14ac:dyDescent="0.2">
      <c r="E532" s="56"/>
    </row>
    <row r="533" spans="5:5" x14ac:dyDescent="0.2">
      <c r="E533" s="56"/>
    </row>
    <row r="534" spans="5:5" x14ac:dyDescent="0.2">
      <c r="E534" s="56"/>
    </row>
    <row r="535" spans="5:5" x14ac:dyDescent="0.2">
      <c r="E535" s="56"/>
    </row>
    <row r="536" spans="5:5" x14ac:dyDescent="0.2">
      <c r="E536" s="56"/>
    </row>
    <row r="537" spans="5:5" x14ac:dyDescent="0.2">
      <c r="E537" s="56"/>
    </row>
    <row r="538" spans="5:5" x14ac:dyDescent="0.2">
      <c r="E538" s="56"/>
    </row>
    <row r="539" spans="5:5" x14ac:dyDescent="0.2">
      <c r="E539" s="56"/>
    </row>
    <row r="540" spans="5:5" x14ac:dyDescent="0.2">
      <c r="E540" s="56"/>
    </row>
    <row r="541" spans="5:5" x14ac:dyDescent="0.2">
      <c r="E541" s="56"/>
    </row>
    <row r="542" spans="5:5" x14ac:dyDescent="0.2">
      <c r="E542" s="56"/>
    </row>
    <row r="543" spans="5:5" x14ac:dyDescent="0.2">
      <c r="E543" s="56"/>
    </row>
    <row r="544" spans="5:5" x14ac:dyDescent="0.2">
      <c r="E544" s="56"/>
    </row>
    <row r="545" spans="5:5" x14ac:dyDescent="0.2">
      <c r="E545" s="56"/>
    </row>
    <row r="546" spans="5:5" x14ac:dyDescent="0.2">
      <c r="E546" s="56"/>
    </row>
    <row r="547" spans="5:5" x14ac:dyDescent="0.2">
      <c r="E547" s="56"/>
    </row>
    <row r="548" spans="5:5" x14ac:dyDescent="0.2">
      <c r="E548" s="56"/>
    </row>
    <row r="549" spans="5:5" x14ac:dyDescent="0.2">
      <c r="E549" s="56"/>
    </row>
    <row r="550" spans="5:5" x14ac:dyDescent="0.2">
      <c r="E550" s="56"/>
    </row>
    <row r="551" spans="5:5" x14ac:dyDescent="0.2">
      <c r="E551" s="56"/>
    </row>
    <row r="552" spans="5:5" x14ac:dyDescent="0.2">
      <c r="E552" s="56"/>
    </row>
    <row r="553" spans="5:5" x14ac:dyDescent="0.2">
      <c r="E553" s="56"/>
    </row>
    <row r="554" spans="5:5" x14ac:dyDescent="0.2">
      <c r="E554" s="56"/>
    </row>
    <row r="555" spans="5:5" x14ac:dyDescent="0.2">
      <c r="E555" s="56"/>
    </row>
    <row r="556" spans="5:5" x14ac:dyDescent="0.2">
      <c r="E556" s="56"/>
    </row>
    <row r="557" spans="5:5" x14ac:dyDescent="0.2">
      <c r="E557" s="56"/>
    </row>
    <row r="558" spans="5:5" x14ac:dyDescent="0.2">
      <c r="E558" s="56"/>
    </row>
    <row r="559" spans="5:5" x14ac:dyDescent="0.2">
      <c r="E559" s="56"/>
    </row>
    <row r="560" spans="5:5" x14ac:dyDescent="0.2">
      <c r="E560" s="56"/>
    </row>
    <row r="561" spans="5:5" x14ac:dyDescent="0.2">
      <c r="E561" s="56"/>
    </row>
    <row r="562" spans="5:5" x14ac:dyDescent="0.2">
      <c r="E562" s="56"/>
    </row>
    <row r="563" spans="5:5" x14ac:dyDescent="0.2">
      <c r="E563" s="56"/>
    </row>
    <row r="564" spans="5:5" x14ac:dyDescent="0.2">
      <c r="E564" s="56"/>
    </row>
    <row r="565" spans="5:5" x14ac:dyDescent="0.2">
      <c r="E565" s="56"/>
    </row>
    <row r="566" spans="5:5" x14ac:dyDescent="0.2">
      <c r="E566" s="56"/>
    </row>
    <row r="567" spans="5:5" x14ac:dyDescent="0.2">
      <c r="E567" s="56"/>
    </row>
    <row r="568" spans="5:5" x14ac:dyDescent="0.2">
      <c r="E568" s="56"/>
    </row>
    <row r="569" spans="5:5" x14ac:dyDescent="0.2">
      <c r="E569" s="56"/>
    </row>
    <row r="570" spans="5:5" x14ac:dyDescent="0.2">
      <c r="E570" s="56"/>
    </row>
    <row r="571" spans="5:5" x14ac:dyDescent="0.2">
      <c r="E571" s="56"/>
    </row>
    <row r="572" spans="5:5" x14ac:dyDescent="0.2">
      <c r="E572" s="56"/>
    </row>
    <row r="573" spans="5:5" x14ac:dyDescent="0.2">
      <c r="E573" s="56"/>
    </row>
    <row r="574" spans="5:5" x14ac:dyDescent="0.2">
      <c r="E574" s="56"/>
    </row>
    <row r="575" spans="5:5" x14ac:dyDescent="0.2">
      <c r="E575" s="56"/>
    </row>
    <row r="576" spans="5:5" x14ac:dyDescent="0.2">
      <c r="E576" s="56"/>
    </row>
    <row r="577" spans="5:5" x14ac:dyDescent="0.2">
      <c r="E577" s="56"/>
    </row>
    <row r="578" spans="5:5" x14ac:dyDescent="0.2">
      <c r="E578" s="56"/>
    </row>
    <row r="579" spans="5:5" x14ac:dyDescent="0.2">
      <c r="E579" s="56"/>
    </row>
    <row r="580" spans="5:5" x14ac:dyDescent="0.2">
      <c r="E580" s="56"/>
    </row>
    <row r="581" spans="5:5" x14ac:dyDescent="0.2">
      <c r="E581" s="56"/>
    </row>
    <row r="582" spans="5:5" x14ac:dyDescent="0.2">
      <c r="E582" s="56"/>
    </row>
    <row r="583" spans="5:5" x14ac:dyDescent="0.2">
      <c r="E583" s="56"/>
    </row>
    <row r="584" spans="5:5" x14ac:dyDescent="0.2">
      <c r="E584" s="56"/>
    </row>
    <row r="585" spans="5:5" x14ac:dyDescent="0.2">
      <c r="E585" s="56"/>
    </row>
    <row r="586" spans="5:5" x14ac:dyDescent="0.2">
      <c r="E586" s="56"/>
    </row>
    <row r="587" spans="5:5" x14ac:dyDescent="0.2">
      <c r="E587" s="56"/>
    </row>
    <row r="588" spans="5:5" x14ac:dyDescent="0.2">
      <c r="E588" s="56"/>
    </row>
    <row r="589" spans="5:5" x14ac:dyDescent="0.2">
      <c r="E589" s="56"/>
    </row>
    <row r="590" spans="5:5" x14ac:dyDescent="0.2">
      <c r="E590" s="56"/>
    </row>
    <row r="591" spans="5:5" x14ac:dyDescent="0.2">
      <c r="E591" s="56"/>
    </row>
    <row r="592" spans="5:5" x14ac:dyDescent="0.2">
      <c r="E592" s="56"/>
    </row>
    <row r="593" spans="5:5" x14ac:dyDescent="0.2">
      <c r="E593" s="56"/>
    </row>
    <row r="594" spans="5:5" x14ac:dyDescent="0.2">
      <c r="E594" s="56"/>
    </row>
    <row r="595" spans="5:5" x14ac:dyDescent="0.2">
      <c r="E595" s="56"/>
    </row>
    <row r="596" spans="5:5" x14ac:dyDescent="0.2">
      <c r="E596" s="56"/>
    </row>
    <row r="597" spans="5:5" x14ac:dyDescent="0.2">
      <c r="E597" s="56"/>
    </row>
    <row r="598" spans="5:5" x14ac:dyDescent="0.2">
      <c r="E598" s="56"/>
    </row>
    <row r="599" spans="5:5" x14ac:dyDescent="0.2">
      <c r="E599" s="56"/>
    </row>
    <row r="600" spans="5:5" x14ac:dyDescent="0.2">
      <c r="E600" s="56"/>
    </row>
    <row r="601" spans="5:5" x14ac:dyDescent="0.2">
      <c r="E601" s="56"/>
    </row>
    <row r="602" spans="5:5" x14ac:dyDescent="0.2">
      <c r="E602" s="56"/>
    </row>
    <row r="603" spans="5:5" x14ac:dyDescent="0.2">
      <c r="E603" s="56"/>
    </row>
    <row r="604" spans="5:5" x14ac:dyDescent="0.2">
      <c r="E604" s="56"/>
    </row>
    <row r="605" spans="5:5" x14ac:dyDescent="0.2">
      <c r="E605" s="56"/>
    </row>
    <row r="606" spans="5:5" x14ac:dyDescent="0.2">
      <c r="E606" s="56"/>
    </row>
    <row r="607" spans="5:5" x14ac:dyDescent="0.2">
      <c r="E607" s="56"/>
    </row>
    <row r="608" spans="5:5" x14ac:dyDescent="0.2">
      <c r="E608" s="56"/>
    </row>
    <row r="609" spans="5:5" x14ac:dyDescent="0.2">
      <c r="E609" s="56"/>
    </row>
    <row r="610" spans="5:5" x14ac:dyDescent="0.2">
      <c r="E610" s="56"/>
    </row>
    <row r="611" spans="5:5" x14ac:dyDescent="0.2">
      <c r="E611" s="56"/>
    </row>
    <row r="612" spans="5:5" x14ac:dyDescent="0.2">
      <c r="E612" s="56"/>
    </row>
    <row r="613" spans="5:5" x14ac:dyDescent="0.2">
      <c r="E613" s="56"/>
    </row>
    <row r="614" spans="5:5" x14ac:dyDescent="0.2">
      <c r="E614" s="56"/>
    </row>
    <row r="615" spans="5:5" x14ac:dyDescent="0.2">
      <c r="E615" s="56"/>
    </row>
    <row r="616" spans="5:5" x14ac:dyDescent="0.2">
      <c r="E616" s="56"/>
    </row>
    <row r="617" spans="5:5" x14ac:dyDescent="0.2">
      <c r="E617" s="56"/>
    </row>
    <row r="618" spans="5:5" x14ac:dyDescent="0.2">
      <c r="E618" s="56"/>
    </row>
    <row r="619" spans="5:5" x14ac:dyDescent="0.2">
      <c r="E619" s="56"/>
    </row>
    <row r="620" spans="5:5" x14ac:dyDescent="0.2">
      <c r="E620" s="56"/>
    </row>
    <row r="621" spans="5:5" x14ac:dyDescent="0.2">
      <c r="E621" s="56"/>
    </row>
    <row r="622" spans="5:5" x14ac:dyDescent="0.2">
      <c r="E622" s="56"/>
    </row>
    <row r="623" spans="5:5" x14ac:dyDescent="0.2">
      <c r="E623" s="56"/>
    </row>
    <row r="624" spans="5:5" x14ac:dyDescent="0.2">
      <c r="E624" s="56"/>
    </row>
    <row r="625" spans="5:5" x14ac:dyDescent="0.2">
      <c r="E625" s="56"/>
    </row>
    <row r="626" spans="5:5" x14ac:dyDescent="0.2">
      <c r="E626" s="56"/>
    </row>
    <row r="627" spans="5:5" x14ac:dyDescent="0.2">
      <c r="E627" s="56"/>
    </row>
    <row r="628" spans="5:5" x14ac:dyDescent="0.2">
      <c r="E628" s="56"/>
    </row>
    <row r="629" spans="5:5" x14ac:dyDescent="0.2">
      <c r="E629" s="56"/>
    </row>
    <row r="630" spans="5:5" x14ac:dyDescent="0.2">
      <c r="E630" s="56"/>
    </row>
    <row r="631" spans="5:5" x14ac:dyDescent="0.2">
      <c r="E631" s="56"/>
    </row>
    <row r="632" spans="5:5" x14ac:dyDescent="0.2">
      <c r="E632" s="56"/>
    </row>
    <row r="633" spans="5:5" x14ac:dyDescent="0.2">
      <c r="E633" s="56"/>
    </row>
    <row r="634" spans="5:5" x14ac:dyDescent="0.2">
      <c r="E634" s="56"/>
    </row>
    <row r="635" spans="5:5" x14ac:dyDescent="0.2">
      <c r="E635" s="56"/>
    </row>
    <row r="636" spans="5:5" x14ac:dyDescent="0.2">
      <c r="E636" s="56"/>
    </row>
    <row r="637" spans="5:5" x14ac:dyDescent="0.2">
      <c r="E637" s="56"/>
    </row>
    <row r="638" spans="5:5" x14ac:dyDescent="0.2">
      <c r="E638" s="56"/>
    </row>
    <row r="639" spans="5:5" x14ac:dyDescent="0.2">
      <c r="E639" s="56"/>
    </row>
    <row r="640" spans="5:5" x14ac:dyDescent="0.2">
      <c r="E640" s="56"/>
    </row>
    <row r="641" spans="5:5" x14ac:dyDescent="0.2">
      <c r="E641" s="56"/>
    </row>
    <row r="642" spans="5:5" x14ac:dyDescent="0.2">
      <c r="E642" s="56"/>
    </row>
    <row r="643" spans="5:5" x14ac:dyDescent="0.2">
      <c r="E643" s="56"/>
    </row>
    <row r="644" spans="5:5" x14ac:dyDescent="0.2">
      <c r="E644" s="56"/>
    </row>
    <row r="645" spans="5:5" x14ac:dyDescent="0.2">
      <c r="E645" s="56"/>
    </row>
    <row r="646" spans="5:5" x14ac:dyDescent="0.2">
      <c r="E646" s="56"/>
    </row>
    <row r="647" spans="5:5" x14ac:dyDescent="0.2">
      <c r="E647" s="56"/>
    </row>
    <row r="648" spans="5:5" x14ac:dyDescent="0.2">
      <c r="E648" s="56"/>
    </row>
    <row r="649" spans="5:5" x14ac:dyDescent="0.2">
      <c r="E649" s="56"/>
    </row>
    <row r="650" spans="5:5" x14ac:dyDescent="0.2">
      <c r="E650" s="56"/>
    </row>
    <row r="651" spans="5:5" x14ac:dyDescent="0.2">
      <c r="E651" s="56"/>
    </row>
    <row r="652" spans="5:5" x14ac:dyDescent="0.2">
      <c r="E652" s="56"/>
    </row>
    <row r="653" spans="5:5" x14ac:dyDescent="0.2">
      <c r="E653" s="56"/>
    </row>
    <row r="654" spans="5:5" x14ac:dyDescent="0.2">
      <c r="E654" s="56"/>
    </row>
    <row r="655" spans="5:5" x14ac:dyDescent="0.2">
      <c r="E655" s="56"/>
    </row>
    <row r="656" spans="5:5" x14ac:dyDescent="0.2">
      <c r="E656" s="56"/>
    </row>
    <row r="657" spans="5:5" x14ac:dyDescent="0.2">
      <c r="E657" s="56"/>
    </row>
    <row r="658" spans="5:5" x14ac:dyDescent="0.2">
      <c r="E658" s="56"/>
    </row>
    <row r="659" spans="5:5" x14ac:dyDescent="0.2">
      <c r="E659" s="56"/>
    </row>
    <row r="660" spans="5:5" x14ac:dyDescent="0.2">
      <c r="E660" s="56"/>
    </row>
    <row r="661" spans="5:5" x14ac:dyDescent="0.2">
      <c r="E661" s="56"/>
    </row>
    <row r="662" spans="5:5" x14ac:dyDescent="0.2">
      <c r="E662" s="56"/>
    </row>
    <row r="663" spans="5:5" x14ac:dyDescent="0.2">
      <c r="E663" s="56"/>
    </row>
    <row r="664" spans="5:5" x14ac:dyDescent="0.2">
      <c r="E664" s="56"/>
    </row>
    <row r="665" spans="5:5" x14ac:dyDescent="0.2">
      <c r="E665" s="56"/>
    </row>
    <row r="666" spans="5:5" x14ac:dyDescent="0.2">
      <c r="E666" s="56"/>
    </row>
    <row r="667" spans="5:5" x14ac:dyDescent="0.2">
      <c r="E667" s="56"/>
    </row>
    <row r="668" spans="5:5" x14ac:dyDescent="0.2">
      <c r="E668" s="56"/>
    </row>
    <row r="669" spans="5:5" x14ac:dyDescent="0.2">
      <c r="E669" s="56"/>
    </row>
    <row r="670" spans="5:5" x14ac:dyDescent="0.2">
      <c r="E670" s="56"/>
    </row>
    <row r="671" spans="5:5" x14ac:dyDescent="0.2">
      <c r="E671" s="56"/>
    </row>
    <row r="672" spans="5:5" x14ac:dyDescent="0.2">
      <c r="E672" s="56"/>
    </row>
    <row r="673" spans="5:5" x14ac:dyDescent="0.2">
      <c r="E673" s="56"/>
    </row>
    <row r="674" spans="5:5" x14ac:dyDescent="0.2">
      <c r="E674" s="56"/>
    </row>
    <row r="675" spans="5:5" x14ac:dyDescent="0.2">
      <c r="E675" s="56"/>
    </row>
    <row r="676" spans="5:5" x14ac:dyDescent="0.2">
      <c r="E676" s="56"/>
    </row>
    <row r="677" spans="5:5" x14ac:dyDescent="0.2">
      <c r="E677" s="56"/>
    </row>
    <row r="678" spans="5:5" x14ac:dyDescent="0.2">
      <c r="E678" s="56"/>
    </row>
    <row r="679" spans="5:5" x14ac:dyDescent="0.2">
      <c r="E679" s="56"/>
    </row>
    <row r="680" spans="5:5" x14ac:dyDescent="0.2">
      <c r="E680" s="56"/>
    </row>
    <row r="681" spans="5:5" x14ac:dyDescent="0.2">
      <c r="E681" s="56"/>
    </row>
    <row r="682" spans="5:5" x14ac:dyDescent="0.2">
      <c r="E682" s="56"/>
    </row>
    <row r="683" spans="5:5" x14ac:dyDescent="0.2">
      <c r="E683" s="56"/>
    </row>
    <row r="684" spans="5:5" x14ac:dyDescent="0.2">
      <c r="E684" s="56"/>
    </row>
    <row r="685" spans="5:5" x14ac:dyDescent="0.2">
      <c r="E685" s="56"/>
    </row>
    <row r="686" spans="5:5" x14ac:dyDescent="0.2">
      <c r="E686" s="56"/>
    </row>
    <row r="687" spans="5:5" x14ac:dyDescent="0.2">
      <c r="E687" s="56"/>
    </row>
    <row r="688" spans="5:5" x14ac:dyDescent="0.2">
      <c r="E688" s="56"/>
    </row>
    <row r="689" spans="5:5" x14ac:dyDescent="0.2">
      <c r="E689" s="56"/>
    </row>
    <row r="690" spans="5:5" x14ac:dyDescent="0.2">
      <c r="E690" s="56"/>
    </row>
    <row r="691" spans="5:5" x14ac:dyDescent="0.2">
      <c r="E691" s="56"/>
    </row>
    <row r="692" spans="5:5" x14ac:dyDescent="0.2">
      <c r="E692" s="56"/>
    </row>
    <row r="693" spans="5:5" x14ac:dyDescent="0.2">
      <c r="E693" s="56"/>
    </row>
    <row r="694" spans="5:5" x14ac:dyDescent="0.2">
      <c r="E694" s="56"/>
    </row>
    <row r="695" spans="5:5" x14ac:dyDescent="0.2">
      <c r="E695" s="56"/>
    </row>
    <row r="696" spans="5:5" x14ac:dyDescent="0.2">
      <c r="E696" s="56"/>
    </row>
    <row r="697" spans="5:5" x14ac:dyDescent="0.2">
      <c r="E697" s="56"/>
    </row>
    <row r="698" spans="5:5" x14ac:dyDescent="0.2">
      <c r="E698" s="56"/>
    </row>
    <row r="699" spans="5:5" x14ac:dyDescent="0.2">
      <c r="E699" s="56"/>
    </row>
    <row r="700" spans="5:5" x14ac:dyDescent="0.2">
      <c r="E700" s="56"/>
    </row>
    <row r="701" spans="5:5" x14ac:dyDescent="0.2">
      <c r="E701" s="56"/>
    </row>
    <row r="702" spans="5:5" x14ac:dyDescent="0.2">
      <c r="E702" s="56"/>
    </row>
    <row r="703" spans="5:5" x14ac:dyDescent="0.2">
      <c r="E703" s="56"/>
    </row>
    <row r="704" spans="5:5" x14ac:dyDescent="0.2">
      <c r="E704" s="56"/>
    </row>
    <row r="705" spans="5:5" x14ac:dyDescent="0.2">
      <c r="E705" s="56"/>
    </row>
    <row r="706" spans="5:5" x14ac:dyDescent="0.2">
      <c r="E706" s="56"/>
    </row>
    <row r="707" spans="5:5" x14ac:dyDescent="0.2">
      <c r="E707" s="56"/>
    </row>
    <row r="708" spans="5:5" x14ac:dyDescent="0.2">
      <c r="E708" s="56"/>
    </row>
    <row r="709" spans="5:5" x14ac:dyDescent="0.2">
      <c r="E709" s="56"/>
    </row>
    <row r="710" spans="5:5" x14ac:dyDescent="0.2">
      <c r="E710" s="56"/>
    </row>
    <row r="711" spans="5:5" x14ac:dyDescent="0.2">
      <c r="E711" s="56"/>
    </row>
    <row r="712" spans="5:5" x14ac:dyDescent="0.2">
      <c r="E712" s="56"/>
    </row>
    <row r="713" spans="5:5" x14ac:dyDescent="0.2">
      <c r="E713" s="56"/>
    </row>
    <row r="714" spans="5:5" x14ac:dyDescent="0.2">
      <c r="E714" s="56"/>
    </row>
    <row r="715" spans="5:5" x14ac:dyDescent="0.2">
      <c r="E715" s="56"/>
    </row>
    <row r="716" spans="5:5" x14ac:dyDescent="0.2">
      <c r="E716" s="56"/>
    </row>
    <row r="717" spans="5:5" x14ac:dyDescent="0.2">
      <c r="E717" s="56"/>
    </row>
    <row r="718" spans="5:5" x14ac:dyDescent="0.2">
      <c r="E718" s="56"/>
    </row>
    <row r="719" spans="5:5" x14ac:dyDescent="0.2">
      <c r="E719" s="56"/>
    </row>
    <row r="720" spans="5:5" x14ac:dyDescent="0.2">
      <c r="E720" s="56"/>
    </row>
    <row r="721" spans="5:5" x14ac:dyDescent="0.2">
      <c r="E721" s="56"/>
    </row>
    <row r="722" spans="5:5" x14ac:dyDescent="0.2">
      <c r="E722" s="56"/>
    </row>
    <row r="723" spans="5:5" x14ac:dyDescent="0.2">
      <c r="E723" s="56"/>
    </row>
    <row r="724" spans="5:5" x14ac:dyDescent="0.2">
      <c r="E724" s="56"/>
    </row>
    <row r="725" spans="5:5" x14ac:dyDescent="0.2">
      <c r="E725" s="56"/>
    </row>
    <row r="726" spans="5:5" x14ac:dyDescent="0.2">
      <c r="E726" s="56"/>
    </row>
    <row r="727" spans="5:5" x14ac:dyDescent="0.2">
      <c r="E727" s="56"/>
    </row>
    <row r="728" spans="5:5" x14ac:dyDescent="0.2">
      <c r="E728" s="56"/>
    </row>
    <row r="729" spans="5:5" x14ac:dyDescent="0.2">
      <c r="E729" s="56"/>
    </row>
    <row r="730" spans="5:5" x14ac:dyDescent="0.2">
      <c r="E730" s="56"/>
    </row>
    <row r="731" spans="5:5" x14ac:dyDescent="0.2">
      <c r="E731" s="56"/>
    </row>
    <row r="732" spans="5:5" x14ac:dyDescent="0.2">
      <c r="E732" s="56"/>
    </row>
    <row r="733" spans="5:5" x14ac:dyDescent="0.2">
      <c r="E733" s="56"/>
    </row>
    <row r="734" spans="5:5" x14ac:dyDescent="0.2">
      <c r="E734" s="56"/>
    </row>
    <row r="735" spans="5:5" x14ac:dyDescent="0.2">
      <c r="E735" s="56"/>
    </row>
    <row r="736" spans="5:5" x14ac:dyDescent="0.2">
      <c r="E736" s="56"/>
    </row>
    <row r="737" spans="5:5" x14ac:dyDescent="0.2">
      <c r="E737" s="56"/>
    </row>
    <row r="738" spans="5:5" x14ac:dyDescent="0.2">
      <c r="E738" s="56"/>
    </row>
    <row r="739" spans="5:5" x14ac:dyDescent="0.2">
      <c r="E739" s="56"/>
    </row>
    <row r="740" spans="5:5" x14ac:dyDescent="0.2">
      <c r="E740" s="56"/>
    </row>
    <row r="741" spans="5:5" x14ac:dyDescent="0.2">
      <c r="E741" s="56"/>
    </row>
    <row r="742" spans="5:5" x14ac:dyDescent="0.2">
      <c r="E742" s="56"/>
    </row>
    <row r="743" spans="5:5" x14ac:dyDescent="0.2">
      <c r="E743" s="56"/>
    </row>
    <row r="744" spans="5:5" x14ac:dyDescent="0.2">
      <c r="E744" s="56"/>
    </row>
    <row r="745" spans="5:5" x14ac:dyDescent="0.2">
      <c r="E745" s="56"/>
    </row>
    <row r="746" spans="5:5" x14ac:dyDescent="0.2">
      <c r="E746" s="56"/>
    </row>
    <row r="747" spans="5:5" x14ac:dyDescent="0.2">
      <c r="E747" s="56"/>
    </row>
    <row r="748" spans="5:5" x14ac:dyDescent="0.2">
      <c r="E748" s="56"/>
    </row>
    <row r="749" spans="5:5" x14ac:dyDescent="0.2">
      <c r="E749" s="56"/>
    </row>
    <row r="750" spans="5:5" x14ac:dyDescent="0.2">
      <c r="E750" s="56"/>
    </row>
    <row r="751" spans="5:5" x14ac:dyDescent="0.2">
      <c r="E751" s="56"/>
    </row>
    <row r="752" spans="5:5" x14ac:dyDescent="0.2">
      <c r="E752" s="56"/>
    </row>
    <row r="753" spans="5:5" x14ac:dyDescent="0.2">
      <c r="E753" s="56"/>
    </row>
    <row r="754" spans="5:5" x14ac:dyDescent="0.2">
      <c r="E754" s="56"/>
    </row>
    <row r="755" spans="5:5" x14ac:dyDescent="0.2">
      <c r="E755" s="56"/>
    </row>
    <row r="756" spans="5:5" x14ac:dyDescent="0.2">
      <c r="E756" s="56"/>
    </row>
    <row r="757" spans="5:5" x14ac:dyDescent="0.2">
      <c r="E757" s="56"/>
    </row>
    <row r="758" spans="5:5" x14ac:dyDescent="0.2">
      <c r="E758" s="56"/>
    </row>
    <row r="759" spans="5:5" x14ac:dyDescent="0.2">
      <c r="E759" s="56"/>
    </row>
    <row r="760" spans="5:5" x14ac:dyDescent="0.2">
      <c r="E760" s="56"/>
    </row>
    <row r="761" spans="5:5" x14ac:dyDescent="0.2">
      <c r="E761" s="56"/>
    </row>
    <row r="762" spans="5:5" x14ac:dyDescent="0.2">
      <c r="E762" s="56"/>
    </row>
    <row r="763" spans="5:5" x14ac:dyDescent="0.2">
      <c r="E763" s="56"/>
    </row>
    <row r="764" spans="5:5" x14ac:dyDescent="0.2">
      <c r="E764" s="56"/>
    </row>
    <row r="765" spans="5:5" x14ac:dyDescent="0.2">
      <c r="E765" s="56"/>
    </row>
    <row r="766" spans="5:5" x14ac:dyDescent="0.2">
      <c r="E766" s="56"/>
    </row>
    <row r="767" spans="5:5" x14ac:dyDescent="0.2">
      <c r="E767" s="56"/>
    </row>
    <row r="768" spans="5:5" x14ac:dyDescent="0.2">
      <c r="E768" s="56"/>
    </row>
    <row r="769" spans="5:5" x14ac:dyDescent="0.2">
      <c r="E769" s="56"/>
    </row>
    <row r="770" spans="5:5" x14ac:dyDescent="0.2">
      <c r="E770" s="56"/>
    </row>
    <row r="771" spans="5:5" x14ac:dyDescent="0.2">
      <c r="E771" s="56"/>
    </row>
    <row r="772" spans="5:5" x14ac:dyDescent="0.2">
      <c r="E772" s="56"/>
    </row>
    <row r="773" spans="5:5" x14ac:dyDescent="0.2">
      <c r="E773" s="56"/>
    </row>
    <row r="774" spans="5:5" x14ac:dyDescent="0.2">
      <c r="E774" s="56"/>
    </row>
    <row r="775" spans="5:5" x14ac:dyDescent="0.2">
      <c r="E775" s="56"/>
    </row>
    <row r="776" spans="5:5" x14ac:dyDescent="0.2">
      <c r="E776" s="56"/>
    </row>
    <row r="777" spans="5:5" x14ac:dyDescent="0.2">
      <c r="E777" s="56"/>
    </row>
    <row r="778" spans="5:5" x14ac:dyDescent="0.2">
      <c r="E778" s="56"/>
    </row>
    <row r="779" spans="5:5" x14ac:dyDescent="0.2">
      <c r="E779" s="56"/>
    </row>
    <row r="780" spans="5:5" x14ac:dyDescent="0.2">
      <c r="E780" s="56"/>
    </row>
    <row r="781" spans="5:5" x14ac:dyDescent="0.2">
      <c r="E781" s="56"/>
    </row>
    <row r="782" spans="5:5" x14ac:dyDescent="0.2">
      <c r="E782" s="56"/>
    </row>
    <row r="783" spans="5:5" x14ac:dyDescent="0.2">
      <c r="E783" s="56"/>
    </row>
    <row r="784" spans="5:5" x14ac:dyDescent="0.2">
      <c r="E784" s="56"/>
    </row>
    <row r="785" spans="5:5" x14ac:dyDescent="0.2">
      <c r="E785" s="56"/>
    </row>
    <row r="786" spans="5:5" x14ac:dyDescent="0.2">
      <c r="E786" s="56"/>
    </row>
    <row r="787" spans="5:5" x14ac:dyDescent="0.2">
      <c r="E787" s="56"/>
    </row>
    <row r="788" spans="5:5" x14ac:dyDescent="0.2">
      <c r="E788" s="56"/>
    </row>
    <row r="789" spans="5:5" x14ac:dyDescent="0.2">
      <c r="E789" s="56"/>
    </row>
    <row r="790" spans="5:5" x14ac:dyDescent="0.2">
      <c r="E790" s="56"/>
    </row>
    <row r="791" spans="5:5" x14ac:dyDescent="0.2">
      <c r="E791" s="56"/>
    </row>
    <row r="792" spans="5:5" x14ac:dyDescent="0.2">
      <c r="E792" s="56"/>
    </row>
    <row r="793" spans="5:5" x14ac:dyDescent="0.2">
      <c r="E793" s="56"/>
    </row>
    <row r="794" spans="5:5" x14ac:dyDescent="0.2">
      <c r="E794" s="56"/>
    </row>
    <row r="795" spans="5:5" x14ac:dyDescent="0.2">
      <c r="E795" s="56"/>
    </row>
    <row r="796" spans="5:5" x14ac:dyDescent="0.2">
      <c r="E796" s="56"/>
    </row>
    <row r="797" spans="5:5" x14ac:dyDescent="0.2">
      <c r="E797" s="56"/>
    </row>
    <row r="798" spans="5:5" x14ac:dyDescent="0.2">
      <c r="E798" s="56"/>
    </row>
    <row r="799" spans="5:5" x14ac:dyDescent="0.2">
      <c r="E799" s="56"/>
    </row>
    <row r="800" spans="5:5" x14ac:dyDescent="0.2">
      <c r="E800" s="56"/>
    </row>
    <row r="801" spans="5:5" x14ac:dyDescent="0.2">
      <c r="E801" s="56"/>
    </row>
    <row r="802" spans="5:5" x14ac:dyDescent="0.2">
      <c r="E802" s="56"/>
    </row>
    <row r="803" spans="5:5" x14ac:dyDescent="0.2">
      <c r="E803" s="56"/>
    </row>
    <row r="804" spans="5:5" x14ac:dyDescent="0.2">
      <c r="E804" s="56"/>
    </row>
    <row r="805" spans="5:5" x14ac:dyDescent="0.2">
      <c r="E805" s="56"/>
    </row>
    <row r="806" spans="5:5" x14ac:dyDescent="0.2">
      <c r="E806" s="56"/>
    </row>
    <row r="807" spans="5:5" x14ac:dyDescent="0.2">
      <c r="E807" s="56"/>
    </row>
    <row r="808" spans="5:5" x14ac:dyDescent="0.2">
      <c r="E808" s="56"/>
    </row>
    <row r="809" spans="5:5" x14ac:dyDescent="0.2">
      <c r="E809" s="56"/>
    </row>
    <row r="810" spans="5:5" x14ac:dyDescent="0.2">
      <c r="E810" s="56"/>
    </row>
    <row r="811" spans="5:5" x14ac:dyDescent="0.2">
      <c r="E811" s="56"/>
    </row>
    <row r="812" spans="5:5" x14ac:dyDescent="0.2">
      <c r="E812" s="56"/>
    </row>
    <row r="813" spans="5:5" x14ac:dyDescent="0.2">
      <c r="E813" s="56"/>
    </row>
    <row r="814" spans="5:5" x14ac:dyDescent="0.2">
      <c r="E814" s="56"/>
    </row>
    <row r="815" spans="5:5" x14ac:dyDescent="0.2">
      <c r="E815" s="56"/>
    </row>
    <row r="816" spans="5:5" x14ac:dyDescent="0.2">
      <c r="E816" s="56"/>
    </row>
    <row r="817" spans="5:5" x14ac:dyDescent="0.2">
      <c r="E817" s="56"/>
    </row>
    <row r="818" spans="5:5" x14ac:dyDescent="0.2">
      <c r="E818" s="56"/>
    </row>
    <row r="819" spans="5:5" x14ac:dyDescent="0.2">
      <c r="E819" s="56"/>
    </row>
    <row r="820" spans="5:5" x14ac:dyDescent="0.2">
      <c r="E820" s="56"/>
    </row>
    <row r="821" spans="5:5" x14ac:dyDescent="0.2">
      <c r="E821" s="56"/>
    </row>
    <row r="822" spans="5:5" x14ac:dyDescent="0.2">
      <c r="E822" s="56"/>
    </row>
    <row r="823" spans="5:5" x14ac:dyDescent="0.2">
      <c r="E823" s="56"/>
    </row>
    <row r="824" spans="5:5" x14ac:dyDescent="0.2">
      <c r="E824" s="56"/>
    </row>
    <row r="825" spans="5:5" x14ac:dyDescent="0.2">
      <c r="E825" s="56"/>
    </row>
    <row r="826" spans="5:5" x14ac:dyDescent="0.2">
      <c r="E826" s="56"/>
    </row>
    <row r="827" spans="5:5" x14ac:dyDescent="0.2">
      <c r="E827" s="56"/>
    </row>
    <row r="828" spans="5:5" x14ac:dyDescent="0.2">
      <c r="E828" s="56"/>
    </row>
    <row r="829" spans="5:5" x14ac:dyDescent="0.2">
      <c r="E829" s="56"/>
    </row>
    <row r="830" spans="5:5" x14ac:dyDescent="0.2">
      <c r="E830" s="56"/>
    </row>
    <row r="831" spans="5:5" x14ac:dyDescent="0.2">
      <c r="E831" s="56"/>
    </row>
    <row r="832" spans="5:5" x14ac:dyDescent="0.2">
      <c r="E832" s="56"/>
    </row>
    <row r="833" spans="5:5" x14ac:dyDescent="0.2">
      <c r="E833" s="56"/>
    </row>
    <row r="834" spans="5:5" x14ac:dyDescent="0.2">
      <c r="E834" s="56"/>
    </row>
    <row r="835" spans="5:5" x14ac:dyDescent="0.2">
      <c r="E835" s="56"/>
    </row>
    <row r="836" spans="5:5" x14ac:dyDescent="0.2">
      <c r="E836" s="56"/>
    </row>
    <row r="837" spans="5:5" x14ac:dyDescent="0.2">
      <c r="E837" s="56"/>
    </row>
    <row r="838" spans="5:5" x14ac:dyDescent="0.2">
      <c r="E838" s="56"/>
    </row>
    <row r="839" spans="5:5" x14ac:dyDescent="0.2">
      <c r="E839" s="56"/>
    </row>
    <row r="840" spans="5:5" x14ac:dyDescent="0.2">
      <c r="E840" s="56"/>
    </row>
    <row r="841" spans="5:5" x14ac:dyDescent="0.2">
      <c r="E841" s="56"/>
    </row>
    <row r="842" spans="5:5" x14ac:dyDescent="0.2">
      <c r="E842" s="56"/>
    </row>
    <row r="843" spans="5:5" x14ac:dyDescent="0.2">
      <c r="E843" s="56"/>
    </row>
    <row r="844" spans="5:5" x14ac:dyDescent="0.2">
      <c r="E844" s="56"/>
    </row>
    <row r="845" spans="5:5" x14ac:dyDescent="0.2">
      <c r="E845" s="56"/>
    </row>
    <row r="846" spans="5:5" x14ac:dyDescent="0.2">
      <c r="E846" s="56"/>
    </row>
    <row r="847" spans="5:5" x14ac:dyDescent="0.2">
      <c r="E847" s="56"/>
    </row>
    <row r="848" spans="5:5" x14ac:dyDescent="0.2">
      <c r="E848" s="56"/>
    </row>
    <row r="849" spans="5:5" x14ac:dyDescent="0.2">
      <c r="E849" s="56"/>
    </row>
    <row r="850" spans="5:5" x14ac:dyDescent="0.2">
      <c r="E850" s="56"/>
    </row>
    <row r="851" spans="5:5" x14ac:dyDescent="0.2">
      <c r="E851" s="56"/>
    </row>
    <row r="852" spans="5:5" x14ac:dyDescent="0.2">
      <c r="E852" s="56"/>
    </row>
    <row r="853" spans="5:5" x14ac:dyDescent="0.2">
      <c r="E853" s="56"/>
    </row>
    <row r="854" spans="5:5" x14ac:dyDescent="0.2">
      <c r="E854" s="56"/>
    </row>
    <row r="855" spans="5:5" x14ac:dyDescent="0.2">
      <c r="E855" s="56"/>
    </row>
    <row r="856" spans="5:5" x14ac:dyDescent="0.2">
      <c r="E856" s="56"/>
    </row>
    <row r="857" spans="5:5" x14ac:dyDescent="0.2">
      <c r="E857" s="56"/>
    </row>
    <row r="858" spans="5:5" x14ac:dyDescent="0.2">
      <c r="E858" s="56"/>
    </row>
    <row r="859" spans="5:5" x14ac:dyDescent="0.2">
      <c r="E859" s="56"/>
    </row>
    <row r="860" spans="5:5" x14ac:dyDescent="0.2">
      <c r="E860" s="56"/>
    </row>
    <row r="861" spans="5:5" x14ac:dyDescent="0.2">
      <c r="E861" s="56"/>
    </row>
    <row r="862" spans="5:5" x14ac:dyDescent="0.2">
      <c r="E862" s="56"/>
    </row>
    <row r="863" spans="5:5" x14ac:dyDescent="0.2">
      <c r="E863" s="56"/>
    </row>
    <row r="864" spans="5:5" x14ac:dyDescent="0.2">
      <c r="E864" s="56"/>
    </row>
    <row r="865" spans="5:5" x14ac:dyDescent="0.2">
      <c r="E865" s="56"/>
    </row>
    <row r="866" spans="5:5" x14ac:dyDescent="0.2">
      <c r="E866" s="56"/>
    </row>
    <row r="867" spans="5:5" x14ac:dyDescent="0.2">
      <c r="E867" s="56"/>
    </row>
    <row r="868" spans="5:5" x14ac:dyDescent="0.2">
      <c r="E868" s="56"/>
    </row>
    <row r="869" spans="5:5" x14ac:dyDescent="0.2">
      <c r="E869" s="56"/>
    </row>
    <row r="870" spans="5:5" x14ac:dyDescent="0.2">
      <c r="E870" s="56"/>
    </row>
    <row r="871" spans="5:5" x14ac:dyDescent="0.2">
      <c r="E871" s="56"/>
    </row>
    <row r="872" spans="5:5" x14ac:dyDescent="0.2">
      <c r="E872" s="56"/>
    </row>
    <row r="873" spans="5:5" x14ac:dyDescent="0.2">
      <c r="E873" s="56"/>
    </row>
    <row r="874" spans="5:5" x14ac:dyDescent="0.2">
      <c r="E874" s="56"/>
    </row>
    <row r="875" spans="5:5" x14ac:dyDescent="0.2">
      <c r="E875" s="56"/>
    </row>
    <row r="876" spans="5:5" x14ac:dyDescent="0.2">
      <c r="E876" s="56"/>
    </row>
    <row r="877" spans="5:5" x14ac:dyDescent="0.2">
      <c r="E877" s="56"/>
    </row>
    <row r="878" spans="5:5" x14ac:dyDescent="0.2">
      <c r="E878" s="56"/>
    </row>
    <row r="879" spans="5:5" x14ac:dyDescent="0.2">
      <c r="E879" s="56"/>
    </row>
    <row r="880" spans="5:5" x14ac:dyDescent="0.2">
      <c r="E880" s="56"/>
    </row>
    <row r="881" spans="5:5" x14ac:dyDescent="0.2">
      <c r="E881" s="56"/>
    </row>
    <row r="882" spans="5:5" x14ac:dyDescent="0.2">
      <c r="E882" s="56"/>
    </row>
    <row r="883" spans="5:5" x14ac:dyDescent="0.2">
      <c r="E883" s="56"/>
    </row>
    <row r="884" spans="5:5" x14ac:dyDescent="0.2">
      <c r="E884" s="56"/>
    </row>
    <row r="885" spans="5:5" x14ac:dyDescent="0.2">
      <c r="E885" s="56"/>
    </row>
    <row r="886" spans="5:5" x14ac:dyDescent="0.2">
      <c r="E886" s="56"/>
    </row>
    <row r="887" spans="5:5" x14ac:dyDescent="0.2">
      <c r="E887" s="56"/>
    </row>
    <row r="888" spans="5:5" x14ac:dyDescent="0.2">
      <c r="E888" s="56"/>
    </row>
    <row r="889" spans="5:5" x14ac:dyDescent="0.2">
      <c r="E889" s="56"/>
    </row>
    <row r="890" spans="5:5" x14ac:dyDescent="0.2">
      <c r="E890" s="56"/>
    </row>
    <row r="891" spans="5:5" x14ac:dyDescent="0.2">
      <c r="E891" s="56"/>
    </row>
    <row r="892" spans="5:5" x14ac:dyDescent="0.2">
      <c r="E892" s="56"/>
    </row>
    <row r="893" spans="5:5" x14ac:dyDescent="0.2">
      <c r="E893" s="56"/>
    </row>
    <row r="894" spans="5:5" x14ac:dyDescent="0.2">
      <c r="E894" s="56"/>
    </row>
    <row r="895" spans="5:5" x14ac:dyDescent="0.2">
      <c r="E895" s="56"/>
    </row>
    <row r="896" spans="5:5" x14ac:dyDescent="0.2">
      <c r="E896" s="56"/>
    </row>
    <row r="897" spans="5:5" x14ac:dyDescent="0.2">
      <c r="E897" s="56"/>
    </row>
    <row r="898" spans="5:5" x14ac:dyDescent="0.2">
      <c r="E898" s="56"/>
    </row>
    <row r="899" spans="5:5" x14ac:dyDescent="0.2">
      <c r="E899" s="56"/>
    </row>
    <row r="900" spans="5:5" x14ac:dyDescent="0.2">
      <c r="E900" s="56"/>
    </row>
    <row r="901" spans="5:5" x14ac:dyDescent="0.2">
      <c r="E901" s="56"/>
    </row>
    <row r="902" spans="5:5" x14ac:dyDescent="0.2">
      <c r="E902" s="56"/>
    </row>
    <row r="903" spans="5:5" x14ac:dyDescent="0.2">
      <c r="E903" s="56"/>
    </row>
    <row r="904" spans="5:5" x14ac:dyDescent="0.2">
      <c r="E904" s="56"/>
    </row>
    <row r="905" spans="5:5" x14ac:dyDescent="0.2">
      <c r="E905" s="56"/>
    </row>
    <row r="906" spans="5:5" x14ac:dyDescent="0.2">
      <c r="E906" s="56"/>
    </row>
    <row r="907" spans="5:5" x14ac:dyDescent="0.2">
      <c r="E907" s="56"/>
    </row>
    <row r="908" spans="5:5" x14ac:dyDescent="0.2">
      <c r="E908" s="56"/>
    </row>
    <row r="909" spans="5:5" x14ac:dyDescent="0.2">
      <c r="E909" s="56"/>
    </row>
    <row r="910" spans="5:5" x14ac:dyDescent="0.2">
      <c r="E910" s="56"/>
    </row>
    <row r="911" spans="5:5" x14ac:dyDescent="0.2">
      <c r="E911" s="56"/>
    </row>
    <row r="912" spans="5:5" x14ac:dyDescent="0.2">
      <c r="E912" s="56"/>
    </row>
    <row r="913" spans="5:5" x14ac:dyDescent="0.2">
      <c r="E913" s="56"/>
    </row>
    <row r="914" spans="5:5" x14ac:dyDescent="0.2">
      <c r="E914" s="56"/>
    </row>
    <row r="915" spans="5:5" x14ac:dyDescent="0.2">
      <c r="E915" s="56"/>
    </row>
    <row r="916" spans="5:5" x14ac:dyDescent="0.2">
      <c r="E916" s="56"/>
    </row>
    <row r="917" spans="5:5" x14ac:dyDescent="0.2">
      <c r="E917" s="56"/>
    </row>
    <row r="918" spans="5:5" x14ac:dyDescent="0.2">
      <c r="E918" s="56"/>
    </row>
    <row r="919" spans="5:5" x14ac:dyDescent="0.2">
      <c r="E919" s="56"/>
    </row>
    <row r="920" spans="5:5" x14ac:dyDescent="0.2">
      <c r="E920" s="56"/>
    </row>
    <row r="921" spans="5:5" x14ac:dyDescent="0.2">
      <c r="E921" s="56"/>
    </row>
    <row r="922" spans="5:5" x14ac:dyDescent="0.2">
      <c r="E922" s="56"/>
    </row>
    <row r="923" spans="5:5" x14ac:dyDescent="0.2">
      <c r="E923" s="56"/>
    </row>
    <row r="924" spans="5:5" x14ac:dyDescent="0.2">
      <c r="E924" s="56"/>
    </row>
    <row r="925" spans="5:5" x14ac:dyDescent="0.2">
      <c r="E925" s="56"/>
    </row>
    <row r="926" spans="5:5" x14ac:dyDescent="0.2">
      <c r="E926" s="56"/>
    </row>
    <row r="927" spans="5:5" x14ac:dyDescent="0.2">
      <c r="E927" s="56"/>
    </row>
    <row r="928" spans="5:5" x14ac:dyDescent="0.2">
      <c r="E928" s="56"/>
    </row>
    <row r="929" spans="5:5" x14ac:dyDescent="0.2">
      <c r="E929" s="56"/>
    </row>
    <row r="930" spans="5:5" x14ac:dyDescent="0.2">
      <c r="E930" s="56"/>
    </row>
    <row r="931" spans="5:5" x14ac:dyDescent="0.2">
      <c r="E931" s="56"/>
    </row>
    <row r="932" spans="5:5" x14ac:dyDescent="0.2">
      <c r="E932" s="56"/>
    </row>
    <row r="933" spans="5:5" x14ac:dyDescent="0.2">
      <c r="E933" s="56"/>
    </row>
    <row r="934" spans="5:5" x14ac:dyDescent="0.2">
      <c r="E934" s="56"/>
    </row>
    <row r="935" spans="5:5" x14ac:dyDescent="0.2">
      <c r="E935" s="56"/>
    </row>
    <row r="936" spans="5:5" x14ac:dyDescent="0.2">
      <c r="E936" s="56"/>
    </row>
    <row r="937" spans="5:5" x14ac:dyDescent="0.2">
      <c r="E937" s="56"/>
    </row>
    <row r="938" spans="5:5" x14ac:dyDescent="0.2">
      <c r="E938" s="56"/>
    </row>
    <row r="939" spans="5:5" x14ac:dyDescent="0.2">
      <c r="E939" s="56"/>
    </row>
    <row r="940" spans="5:5" x14ac:dyDescent="0.2">
      <c r="E940" s="56"/>
    </row>
    <row r="941" spans="5:5" x14ac:dyDescent="0.2">
      <c r="E941" s="56"/>
    </row>
    <row r="942" spans="5:5" x14ac:dyDescent="0.2">
      <c r="E942" s="56"/>
    </row>
    <row r="943" spans="5:5" x14ac:dyDescent="0.2">
      <c r="E943" s="56"/>
    </row>
    <row r="944" spans="5:5" x14ac:dyDescent="0.2">
      <c r="E944" s="56"/>
    </row>
    <row r="945" spans="5:5" x14ac:dyDescent="0.2">
      <c r="E945" s="56"/>
    </row>
    <row r="946" spans="5:5" x14ac:dyDescent="0.2">
      <c r="E946" s="56"/>
    </row>
    <row r="947" spans="5:5" x14ac:dyDescent="0.2">
      <c r="E947" s="56"/>
    </row>
    <row r="948" spans="5:5" x14ac:dyDescent="0.2">
      <c r="E948" s="56"/>
    </row>
    <row r="949" spans="5:5" x14ac:dyDescent="0.2">
      <c r="E949" s="56"/>
    </row>
    <row r="950" spans="5:5" x14ac:dyDescent="0.2">
      <c r="E950" s="56"/>
    </row>
    <row r="951" spans="5:5" x14ac:dyDescent="0.2">
      <c r="E951" s="56"/>
    </row>
    <row r="952" spans="5:5" x14ac:dyDescent="0.2">
      <c r="E952" s="56"/>
    </row>
    <row r="953" spans="5:5" x14ac:dyDescent="0.2">
      <c r="E953" s="56"/>
    </row>
    <row r="954" spans="5:5" x14ac:dyDescent="0.2">
      <c r="E954" s="56"/>
    </row>
    <row r="955" spans="5:5" x14ac:dyDescent="0.2">
      <c r="E955" s="56"/>
    </row>
    <row r="956" spans="5:5" x14ac:dyDescent="0.2">
      <c r="E956" s="56"/>
    </row>
    <row r="957" spans="5:5" x14ac:dyDescent="0.2">
      <c r="E957" s="56"/>
    </row>
    <row r="958" spans="5:5" x14ac:dyDescent="0.2">
      <c r="E958" s="56"/>
    </row>
    <row r="959" spans="5:5" x14ac:dyDescent="0.2">
      <c r="E959" s="56"/>
    </row>
    <row r="960" spans="5:5" x14ac:dyDescent="0.2">
      <c r="E960" s="56"/>
    </row>
    <row r="961" spans="5:5" x14ac:dyDescent="0.2">
      <c r="E961" s="56"/>
    </row>
    <row r="962" spans="5:5" x14ac:dyDescent="0.2">
      <c r="E962" s="56"/>
    </row>
    <row r="963" spans="5:5" x14ac:dyDescent="0.2">
      <c r="E963" s="56"/>
    </row>
    <row r="964" spans="5:5" x14ac:dyDescent="0.2">
      <c r="E964" s="56"/>
    </row>
    <row r="965" spans="5:5" x14ac:dyDescent="0.2">
      <c r="E965" s="56"/>
    </row>
    <row r="966" spans="5:5" x14ac:dyDescent="0.2">
      <c r="E966" s="56"/>
    </row>
    <row r="967" spans="5:5" x14ac:dyDescent="0.2">
      <c r="E967" s="56"/>
    </row>
    <row r="968" spans="5:5" x14ac:dyDescent="0.2">
      <c r="E968" s="56"/>
    </row>
    <row r="969" spans="5:5" x14ac:dyDescent="0.2">
      <c r="E969" s="56"/>
    </row>
    <row r="970" spans="5:5" x14ac:dyDescent="0.2">
      <c r="E970" s="56"/>
    </row>
    <row r="971" spans="5:5" x14ac:dyDescent="0.2">
      <c r="E971" s="56"/>
    </row>
    <row r="972" spans="5:5" x14ac:dyDescent="0.2">
      <c r="E972" s="56"/>
    </row>
    <row r="973" spans="5:5" x14ac:dyDescent="0.2">
      <c r="E973" s="56"/>
    </row>
    <row r="974" spans="5:5" x14ac:dyDescent="0.2">
      <c r="E974" s="56"/>
    </row>
    <row r="975" spans="5:5" x14ac:dyDescent="0.2">
      <c r="E975" s="56"/>
    </row>
  </sheetData>
  <mergeCells count="277">
    <mergeCell ref="H111:I111"/>
    <mergeCell ref="J111:K111"/>
    <mergeCell ref="L111:M111"/>
    <mergeCell ref="J112:K112"/>
    <mergeCell ref="L112:M112"/>
    <mergeCell ref="B56:AB56"/>
    <mergeCell ref="A1:AB1"/>
    <mergeCell ref="B2:AB2"/>
    <mergeCell ref="H3:I3"/>
    <mergeCell ref="J3:K3"/>
    <mergeCell ref="L3:M3"/>
    <mergeCell ref="J4:K4"/>
    <mergeCell ref="L4:M4"/>
    <mergeCell ref="D11:D13"/>
    <mergeCell ref="C11:C13"/>
    <mergeCell ref="B11:B13"/>
    <mergeCell ref="C17:C19"/>
    <mergeCell ref="B14:B16"/>
    <mergeCell ref="D17:D19"/>
    <mergeCell ref="B17:B19"/>
    <mergeCell ref="H57:I57"/>
    <mergeCell ref="J57:K57"/>
    <mergeCell ref="L57:M57"/>
    <mergeCell ref="J58:K58"/>
    <mergeCell ref="B110:AB110"/>
    <mergeCell ref="AD3:AH3"/>
    <mergeCell ref="AD56:AH56"/>
    <mergeCell ref="AD110:AH110"/>
    <mergeCell ref="B5:B7"/>
    <mergeCell ref="C5:C7"/>
    <mergeCell ref="D5:D7"/>
    <mergeCell ref="F5:F7"/>
    <mergeCell ref="G5:G7"/>
    <mergeCell ref="B8:B10"/>
    <mergeCell ref="C8:C10"/>
    <mergeCell ref="D8:D10"/>
    <mergeCell ref="F8:F10"/>
    <mergeCell ref="G8:G10"/>
    <mergeCell ref="G11:G13"/>
    <mergeCell ref="F11:F13"/>
    <mergeCell ref="L58:M58"/>
    <mergeCell ref="B23:B25"/>
    <mergeCell ref="B20:B22"/>
    <mergeCell ref="C20:C22"/>
    <mergeCell ref="D20:D22"/>
    <mergeCell ref="G20:G22"/>
    <mergeCell ref="F20:F22"/>
    <mergeCell ref="D14:D16"/>
    <mergeCell ref="C14:C16"/>
    <mergeCell ref="G23:G25"/>
    <mergeCell ref="F23:F25"/>
    <mergeCell ref="D23:D25"/>
    <mergeCell ref="C23:C25"/>
    <mergeCell ref="F17:F19"/>
    <mergeCell ref="G17:G19"/>
    <mergeCell ref="G14:G16"/>
    <mergeCell ref="F14:F16"/>
    <mergeCell ref="G32:G34"/>
    <mergeCell ref="F32:F34"/>
    <mergeCell ref="D32:D34"/>
    <mergeCell ref="C32:C34"/>
    <mergeCell ref="B32:B34"/>
    <mergeCell ref="B35:B37"/>
    <mergeCell ref="C35:C37"/>
    <mergeCell ref="D35:D37"/>
    <mergeCell ref="F35:F37"/>
    <mergeCell ref="G35:G37"/>
    <mergeCell ref="G26:G28"/>
    <mergeCell ref="F26:F28"/>
    <mergeCell ref="D26:D28"/>
    <mergeCell ref="C26:C28"/>
    <mergeCell ref="B26:B28"/>
    <mergeCell ref="B29:B31"/>
    <mergeCell ref="C29:C31"/>
    <mergeCell ref="D29:D31"/>
    <mergeCell ref="F29:F31"/>
    <mergeCell ref="G29:G31"/>
    <mergeCell ref="G47:G49"/>
    <mergeCell ref="G50:G52"/>
    <mergeCell ref="F50:F52"/>
    <mergeCell ref="D50:D52"/>
    <mergeCell ref="C50:C52"/>
    <mergeCell ref="B50:B52"/>
    <mergeCell ref="B53:B55"/>
    <mergeCell ref="C53:C55"/>
    <mergeCell ref="D53:D55"/>
    <mergeCell ref="F53:F55"/>
    <mergeCell ref="G53:G55"/>
    <mergeCell ref="G71:G73"/>
    <mergeCell ref="F71:F73"/>
    <mergeCell ref="D71:D73"/>
    <mergeCell ref="C71:C73"/>
    <mergeCell ref="B71:B73"/>
    <mergeCell ref="G38:G40"/>
    <mergeCell ref="F38:F40"/>
    <mergeCell ref="D38:D40"/>
    <mergeCell ref="C38:C40"/>
    <mergeCell ref="B38:B40"/>
    <mergeCell ref="B41:B43"/>
    <mergeCell ref="C41:C43"/>
    <mergeCell ref="D41:D43"/>
    <mergeCell ref="F41:F43"/>
    <mergeCell ref="G41:G43"/>
    <mergeCell ref="G44:G46"/>
    <mergeCell ref="F44:F46"/>
    <mergeCell ref="D44:D46"/>
    <mergeCell ref="C44:C46"/>
    <mergeCell ref="B44:B46"/>
    <mergeCell ref="B47:B49"/>
    <mergeCell ref="C47:C49"/>
    <mergeCell ref="D47:D49"/>
    <mergeCell ref="F47:F49"/>
    <mergeCell ref="G65:G67"/>
    <mergeCell ref="F65:F67"/>
    <mergeCell ref="D65:D67"/>
    <mergeCell ref="C65:C67"/>
    <mergeCell ref="B65:B67"/>
    <mergeCell ref="B68:B70"/>
    <mergeCell ref="C68:C70"/>
    <mergeCell ref="D68:D70"/>
    <mergeCell ref="F68:F70"/>
    <mergeCell ref="G68:G70"/>
    <mergeCell ref="G59:G61"/>
    <mergeCell ref="F59:F61"/>
    <mergeCell ref="D59:D61"/>
    <mergeCell ref="C59:C61"/>
    <mergeCell ref="B59:B61"/>
    <mergeCell ref="B62:B64"/>
    <mergeCell ref="C62:C64"/>
    <mergeCell ref="D62:D64"/>
    <mergeCell ref="F62:F64"/>
    <mergeCell ref="G62:G64"/>
    <mergeCell ref="B86:B88"/>
    <mergeCell ref="C86:C88"/>
    <mergeCell ref="D86:D88"/>
    <mergeCell ref="F86:F88"/>
    <mergeCell ref="G86:G88"/>
    <mergeCell ref="G89:G91"/>
    <mergeCell ref="F89:F91"/>
    <mergeCell ref="D89:D91"/>
    <mergeCell ref="C89:C91"/>
    <mergeCell ref="B89:B91"/>
    <mergeCell ref="B80:B82"/>
    <mergeCell ref="C80:C82"/>
    <mergeCell ref="D80:D82"/>
    <mergeCell ref="F80:F82"/>
    <mergeCell ref="G80:G82"/>
    <mergeCell ref="G83:G85"/>
    <mergeCell ref="F83:F85"/>
    <mergeCell ref="D83:D85"/>
    <mergeCell ref="C83:C85"/>
    <mergeCell ref="B83:B85"/>
    <mergeCell ref="B74:B76"/>
    <mergeCell ref="C74:C76"/>
    <mergeCell ref="D74:D76"/>
    <mergeCell ref="G74:G76"/>
    <mergeCell ref="F74:F76"/>
    <mergeCell ref="G77:G79"/>
    <mergeCell ref="F77:F79"/>
    <mergeCell ref="D77:D79"/>
    <mergeCell ref="C77:C79"/>
    <mergeCell ref="B77:B79"/>
    <mergeCell ref="B104:B106"/>
    <mergeCell ref="C104:C106"/>
    <mergeCell ref="D104:D106"/>
    <mergeCell ref="F104:F106"/>
    <mergeCell ref="G104:G106"/>
    <mergeCell ref="G107:G109"/>
    <mergeCell ref="F107:F109"/>
    <mergeCell ref="D107:D109"/>
    <mergeCell ref="C107:C109"/>
    <mergeCell ref="B107:B109"/>
    <mergeCell ref="B98:B100"/>
    <mergeCell ref="C98:C100"/>
    <mergeCell ref="D98:D100"/>
    <mergeCell ref="F98:F100"/>
    <mergeCell ref="G98:G100"/>
    <mergeCell ref="G101:G103"/>
    <mergeCell ref="F101:F103"/>
    <mergeCell ref="D101:D103"/>
    <mergeCell ref="C101:C103"/>
    <mergeCell ref="B101:B103"/>
    <mergeCell ref="B92:B94"/>
    <mergeCell ref="C92:C94"/>
    <mergeCell ref="D92:D94"/>
    <mergeCell ref="F92:F94"/>
    <mergeCell ref="G92:G94"/>
    <mergeCell ref="G95:G97"/>
    <mergeCell ref="F95:F97"/>
    <mergeCell ref="D95:D97"/>
    <mergeCell ref="C95:C97"/>
    <mergeCell ref="B95:B97"/>
    <mergeCell ref="G125:G127"/>
    <mergeCell ref="F125:F127"/>
    <mergeCell ref="D125:D127"/>
    <mergeCell ref="C125:C127"/>
    <mergeCell ref="B125:B127"/>
    <mergeCell ref="B128:B130"/>
    <mergeCell ref="C128:C130"/>
    <mergeCell ref="D128:D130"/>
    <mergeCell ref="F128:F130"/>
    <mergeCell ref="G128:G130"/>
    <mergeCell ref="G119:G121"/>
    <mergeCell ref="F119:F121"/>
    <mergeCell ref="D119:D121"/>
    <mergeCell ref="C119:C121"/>
    <mergeCell ref="B119:B121"/>
    <mergeCell ref="B122:B124"/>
    <mergeCell ref="C122:C124"/>
    <mergeCell ref="D122:D124"/>
    <mergeCell ref="F122:F124"/>
    <mergeCell ref="G122:G124"/>
    <mergeCell ref="G113:G115"/>
    <mergeCell ref="F113:F115"/>
    <mergeCell ref="D113:D115"/>
    <mergeCell ref="C113:C115"/>
    <mergeCell ref="B113:B115"/>
    <mergeCell ref="B116:B118"/>
    <mergeCell ref="C116:C118"/>
    <mergeCell ref="D116:D118"/>
    <mergeCell ref="F116:F118"/>
    <mergeCell ref="G116:G118"/>
    <mergeCell ref="G143:G145"/>
    <mergeCell ref="F143:F145"/>
    <mergeCell ref="D143:D145"/>
    <mergeCell ref="C143:C145"/>
    <mergeCell ref="B143:B145"/>
    <mergeCell ref="B146:B148"/>
    <mergeCell ref="C146:C148"/>
    <mergeCell ref="D146:D148"/>
    <mergeCell ref="F146:F148"/>
    <mergeCell ref="G146:G148"/>
    <mergeCell ref="G137:G139"/>
    <mergeCell ref="F137:F139"/>
    <mergeCell ref="D137:D139"/>
    <mergeCell ref="C137:C139"/>
    <mergeCell ref="B137:B139"/>
    <mergeCell ref="B140:B142"/>
    <mergeCell ref="C140:C142"/>
    <mergeCell ref="D140:D142"/>
    <mergeCell ref="F140:F142"/>
    <mergeCell ref="G140:G142"/>
    <mergeCell ref="G131:G133"/>
    <mergeCell ref="F131:F133"/>
    <mergeCell ref="D131:D133"/>
    <mergeCell ref="C131:C133"/>
    <mergeCell ref="B131:B133"/>
    <mergeCell ref="B134:B136"/>
    <mergeCell ref="C134:C136"/>
    <mergeCell ref="D134:D136"/>
    <mergeCell ref="F134:F136"/>
    <mergeCell ref="G134:G136"/>
    <mergeCell ref="F158:F160"/>
    <mergeCell ref="F161:F163"/>
    <mergeCell ref="G161:G163"/>
    <mergeCell ref="G158:G160"/>
    <mergeCell ref="G155:G157"/>
    <mergeCell ref="F155:F157"/>
    <mergeCell ref="B161:B163"/>
    <mergeCell ref="B158:B160"/>
    <mergeCell ref="C158:C160"/>
    <mergeCell ref="C161:C163"/>
    <mergeCell ref="D161:D163"/>
    <mergeCell ref="D158:D160"/>
    <mergeCell ref="C149:C151"/>
    <mergeCell ref="B149:B151"/>
    <mergeCell ref="F152:F154"/>
    <mergeCell ref="G152:G154"/>
    <mergeCell ref="G149:G151"/>
    <mergeCell ref="F149:F151"/>
    <mergeCell ref="D149:D151"/>
    <mergeCell ref="D155:D157"/>
    <mergeCell ref="C155:C157"/>
    <mergeCell ref="B155:B157"/>
    <mergeCell ref="B152:B154"/>
    <mergeCell ref="C152:C154"/>
    <mergeCell ref="D152:D154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D069A-BE4A-8A40-A8F0-45710481B771}">
  <dimension ref="A1:AH163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6" customWidth="1"/>
    <col min="2" max="2" width="9.83203125" style="56" customWidth="1"/>
    <col min="3" max="3" width="9.5" style="56" customWidth="1"/>
    <col min="4" max="4" width="11.5" style="56" bestFit="1" customWidth="1"/>
    <col min="5" max="7" width="11.5" style="56" customWidth="1"/>
    <col min="8" max="8" width="9.83203125" style="56" customWidth="1"/>
    <col min="9" max="11" width="9.6640625" style="56" customWidth="1"/>
    <col min="12" max="15" width="9.1640625" style="56"/>
    <col min="16" max="16" width="12.1640625" style="56" customWidth="1"/>
    <col min="17" max="17" width="11.83203125" style="56" customWidth="1"/>
    <col min="18" max="18" width="11.6640625" style="56" bestFit="1" customWidth="1"/>
    <col min="19" max="19" width="9.1640625" style="56"/>
    <col min="20" max="21" width="9.5" style="56" bestFit="1" customWidth="1"/>
    <col min="22" max="25" width="9.5" style="56" customWidth="1"/>
    <col min="26" max="26" width="9.6640625" style="56" customWidth="1"/>
    <col min="27" max="27" width="9.5" style="56" customWidth="1"/>
    <col min="28" max="30" width="9.1640625" style="56"/>
    <col min="31" max="31" width="11.83203125" style="56" customWidth="1"/>
    <col min="32" max="16384" width="9.1640625" style="56"/>
  </cols>
  <sheetData>
    <row r="1" spans="1:34" ht="17" thickBot="1" x14ac:dyDescent="0.25">
      <c r="A1" s="243" t="s">
        <v>94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  <c r="Q1" s="244"/>
      <c r="R1" s="244"/>
      <c r="S1" s="244"/>
      <c r="T1" s="244"/>
      <c r="U1" s="244"/>
      <c r="V1" s="244"/>
      <c r="W1" s="244"/>
      <c r="X1" s="244"/>
      <c r="Y1" s="244"/>
      <c r="Z1" s="244"/>
      <c r="AA1" s="244"/>
      <c r="AB1" s="245"/>
    </row>
    <row r="2" spans="1:34" ht="15" thickBot="1" x14ac:dyDescent="0.25">
      <c r="A2" s="57"/>
      <c r="B2" s="246" t="s">
        <v>60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8"/>
    </row>
    <row r="3" spans="1:34" ht="47" customHeight="1" x14ac:dyDescent="0.2">
      <c r="A3" s="58"/>
      <c r="B3" s="59" t="s">
        <v>0</v>
      </c>
      <c r="C3" s="60" t="s">
        <v>1</v>
      </c>
      <c r="D3" s="116" t="s">
        <v>2</v>
      </c>
      <c r="E3" s="149"/>
      <c r="F3" s="60" t="s">
        <v>8</v>
      </c>
      <c r="G3" s="60" t="s">
        <v>9</v>
      </c>
      <c r="H3" s="236" t="s">
        <v>101</v>
      </c>
      <c r="I3" s="237"/>
      <c r="J3" s="238" t="s">
        <v>80</v>
      </c>
      <c r="K3" s="239"/>
      <c r="L3" s="240" t="s">
        <v>81</v>
      </c>
      <c r="M3" s="241"/>
      <c r="N3" s="61" t="s">
        <v>82</v>
      </c>
      <c r="O3" s="62" t="s">
        <v>83</v>
      </c>
      <c r="P3" s="61" t="s">
        <v>10</v>
      </c>
      <c r="Q3" s="61" t="s">
        <v>11</v>
      </c>
      <c r="R3" s="61" t="s">
        <v>84</v>
      </c>
      <c r="S3" s="61" t="s">
        <v>85</v>
      </c>
      <c r="T3" s="61" t="s">
        <v>86</v>
      </c>
      <c r="U3" s="63" t="s">
        <v>62</v>
      </c>
      <c r="V3" s="62" t="s">
        <v>87</v>
      </c>
      <c r="W3" s="61" t="s">
        <v>88</v>
      </c>
      <c r="X3" s="61" t="s">
        <v>86</v>
      </c>
      <c r="Y3" s="64" t="s">
        <v>62</v>
      </c>
      <c r="Z3" s="64" t="s">
        <v>89</v>
      </c>
      <c r="AA3" s="61" t="s">
        <v>90</v>
      </c>
      <c r="AB3" s="65" t="s">
        <v>62</v>
      </c>
    </row>
    <row r="4" spans="1:34" ht="37" customHeight="1" x14ac:dyDescent="0.2">
      <c r="A4" s="58"/>
      <c r="B4" s="66"/>
      <c r="C4" s="67"/>
      <c r="D4" s="69"/>
      <c r="E4" s="150"/>
      <c r="F4" s="67" t="s">
        <v>13</v>
      </c>
      <c r="G4" s="67" t="s">
        <v>13</v>
      </c>
      <c r="H4" s="117" t="s">
        <v>102</v>
      </c>
      <c r="I4" s="67" t="s">
        <v>103</v>
      </c>
      <c r="J4" s="242" t="s">
        <v>13</v>
      </c>
      <c r="K4" s="235"/>
      <c r="L4" s="234" t="s">
        <v>14</v>
      </c>
      <c r="M4" s="235"/>
      <c r="N4" s="70" t="s">
        <v>14</v>
      </c>
      <c r="O4" s="70" t="s">
        <v>13</v>
      </c>
      <c r="P4" s="70" t="s">
        <v>15</v>
      </c>
      <c r="Q4" s="70" t="s">
        <v>16</v>
      </c>
      <c r="R4" s="71" t="s">
        <v>91</v>
      </c>
      <c r="S4" s="71" t="s">
        <v>91</v>
      </c>
      <c r="T4" s="70"/>
      <c r="U4" s="69"/>
      <c r="V4" s="71" t="s">
        <v>92</v>
      </c>
      <c r="W4" s="71" t="s">
        <v>92</v>
      </c>
      <c r="X4" s="70"/>
      <c r="Y4" s="70"/>
      <c r="Z4" s="71" t="s">
        <v>93</v>
      </c>
      <c r="AA4" s="71" t="s">
        <v>93</v>
      </c>
      <c r="AB4" s="68"/>
      <c r="AD4" s="56" t="s">
        <v>2</v>
      </c>
      <c r="AE4" s="72" t="str">
        <f>S3</f>
        <v>Average specific CPC conc.</v>
      </c>
      <c r="AF4" s="56" t="s">
        <v>12</v>
      </c>
      <c r="AG4" s="72" t="str">
        <f>W3</f>
        <v>Average total CPC</v>
      </c>
      <c r="AH4" s="56" t="s">
        <v>12</v>
      </c>
    </row>
    <row r="5" spans="1:34" x14ac:dyDescent="0.2">
      <c r="A5" s="58"/>
      <c r="B5" s="207" t="s">
        <v>23</v>
      </c>
      <c r="C5" s="204">
        <v>0.41666666666666669</v>
      </c>
      <c r="D5" s="226">
        <v>0</v>
      </c>
      <c r="E5" s="104" t="s">
        <v>104</v>
      </c>
      <c r="F5" s="232">
        <f>(0.04+0.0315+0.0322)/3</f>
        <v>3.4566666666666669E-2</v>
      </c>
      <c r="G5" s="213">
        <f>(0.0387+0.0303+0.0319)/3</f>
        <v>3.3633333333333335E-2</v>
      </c>
      <c r="H5" s="74">
        <f>0.1629-F5</f>
        <v>0.12833333333333333</v>
      </c>
      <c r="I5" s="76">
        <f>0.1689-F5</f>
        <v>0.13433333333333333</v>
      </c>
      <c r="J5" s="76">
        <f>0.1087-G5</f>
        <v>7.506666666666667E-2</v>
      </c>
      <c r="K5" s="76">
        <f>0.1147-G5</f>
        <v>8.1066666666666662E-2</v>
      </c>
      <c r="L5" s="76">
        <f>(H5-(0.605*J5))/6.17</f>
        <v>1.3438897893030793E-2</v>
      </c>
      <c r="M5" s="76">
        <f>(I5-(0.605*K5))/6.17</f>
        <v>1.3823014586709887E-2</v>
      </c>
      <c r="N5" s="76">
        <f>AVERAGE(L5:M5)</f>
        <v>1.363095623987034E-2</v>
      </c>
      <c r="O5" s="76">
        <f>'Growth curves UTEX #1926'!F5</f>
        <v>0.10299999999999999</v>
      </c>
      <c r="P5" s="76">
        <f>1.2596*O5</f>
        <v>0.12973879999999999</v>
      </c>
      <c r="Q5" s="77">
        <f>P5*1/1000</f>
        <v>1.2973879999999999E-4</v>
      </c>
      <c r="R5" s="78">
        <f>(N5*0.5)/Q5</f>
        <v>52.532304290891936</v>
      </c>
      <c r="S5" s="79"/>
      <c r="V5" s="80">
        <f>R5*P5</f>
        <v>6.8154781199351699</v>
      </c>
      <c r="W5" s="79"/>
      <c r="AA5" s="79"/>
      <c r="AB5" s="73"/>
      <c r="AD5" s="81">
        <f>D5</f>
        <v>0</v>
      </c>
      <c r="AE5" s="80">
        <f>S7</f>
        <v>53.218178369351534</v>
      </c>
      <c r="AF5" s="80">
        <f>U7</f>
        <v>1.1675917491109167</v>
      </c>
      <c r="AG5" s="80">
        <f>W7</f>
        <v>6.8611088600756354</v>
      </c>
      <c r="AH5" s="80">
        <f>Y7</f>
        <v>0.18376787097495445</v>
      </c>
    </row>
    <row r="6" spans="1:34" ht="15" customHeight="1" x14ac:dyDescent="0.2">
      <c r="A6" s="58"/>
      <c r="B6" s="207"/>
      <c r="C6" s="204"/>
      <c r="D6" s="226"/>
      <c r="E6" s="104" t="s">
        <v>105</v>
      </c>
      <c r="F6" s="232"/>
      <c r="G6" s="213"/>
      <c r="H6" s="74">
        <f>0.169-F5</f>
        <v>0.13443333333333335</v>
      </c>
      <c r="I6" s="76">
        <f>0.1864-F5</f>
        <v>0.15183333333333335</v>
      </c>
      <c r="J6" s="76">
        <f>0.1265-G5</f>
        <v>9.2866666666666667E-2</v>
      </c>
      <c r="K6" s="76">
        <f>0.146-G5</f>
        <v>0.11236666666666666</v>
      </c>
      <c r="L6" s="76">
        <f t="shared" ref="L6:L54" si="0">(H6-(0.605*J6))/6.17</f>
        <v>1.2682171799027555E-2</v>
      </c>
      <c r="M6" s="76">
        <f t="shared" ref="M6:M49" si="1">(I6-(0.605*K6))/6.17</f>
        <v>1.3590194489465158E-2</v>
      </c>
      <c r="N6" s="76">
        <f t="shared" ref="N6:N55" si="2">AVERAGE(L6:M6)</f>
        <v>1.3136183144246357E-2</v>
      </c>
      <c r="O6" s="76">
        <f>'Growth curves UTEX #1926'!G5</f>
        <v>0.10100000000000001</v>
      </c>
      <c r="P6" s="76">
        <f t="shared" ref="P6:P55" si="3">1.2596*O6</f>
        <v>0.12721960000000002</v>
      </c>
      <c r="Q6" s="77">
        <f>P6*1/1000</f>
        <v>1.2721960000000002E-4</v>
      </c>
      <c r="R6" s="78">
        <f t="shared" ref="R6:R55" si="4">(N6*0.5)/Q6</f>
        <v>51.627984776898984</v>
      </c>
      <c r="S6" s="79"/>
      <c r="V6" s="80">
        <f t="shared" ref="V6:V55" si="5">R6*P6</f>
        <v>6.568091572123179</v>
      </c>
      <c r="W6" s="79"/>
      <c r="AA6" s="79"/>
      <c r="AB6" s="73"/>
      <c r="AD6" s="81">
        <f>D8</f>
        <v>24</v>
      </c>
      <c r="AE6" s="80">
        <f>S10</f>
        <v>43.737580629034618</v>
      </c>
      <c r="AF6" s="80">
        <f>U10</f>
        <v>3.7335510333668549</v>
      </c>
      <c r="AG6" s="80">
        <f>W10</f>
        <v>8.5511885467314954</v>
      </c>
      <c r="AH6" s="80">
        <f>Y10</f>
        <v>0.40324484393185051</v>
      </c>
    </row>
    <row r="7" spans="1:34" ht="15" customHeight="1" x14ac:dyDescent="0.2">
      <c r="A7" s="58"/>
      <c r="B7" s="208"/>
      <c r="C7" s="205"/>
      <c r="D7" s="227"/>
      <c r="E7" s="151" t="s">
        <v>106</v>
      </c>
      <c r="F7" s="233"/>
      <c r="G7" s="214"/>
      <c r="H7" s="83">
        <f>0.1862-F5</f>
        <v>0.15163333333333334</v>
      </c>
      <c r="I7" s="85">
        <f>0.2151-F5</f>
        <v>0.18053333333333335</v>
      </c>
      <c r="J7" s="85">
        <f>0.1461-G5</f>
        <v>0.11246666666666667</v>
      </c>
      <c r="K7" s="85">
        <f>0.1765-G5</f>
        <v>0.14286666666666664</v>
      </c>
      <c r="L7" s="76">
        <f t="shared" si="0"/>
        <v>1.3547974068071315E-2</v>
      </c>
      <c r="M7" s="76">
        <f t="shared" si="1"/>
        <v>1.5251053484602923E-2</v>
      </c>
      <c r="N7" s="85">
        <f t="shared" si="2"/>
        <v>1.4399513776337119E-2</v>
      </c>
      <c r="O7" s="85">
        <f>'Growth curves UTEX #1926'!H5</f>
        <v>0.10299999999999999</v>
      </c>
      <c r="P7" s="76">
        <f t="shared" si="3"/>
        <v>0.12973879999999999</v>
      </c>
      <c r="Q7" s="86">
        <f>P7*1/1000</f>
        <v>1.2973879999999999E-4</v>
      </c>
      <c r="R7" s="87">
        <f t="shared" si="4"/>
        <v>55.494246040263668</v>
      </c>
      <c r="S7" s="88">
        <f>AVERAGE(R5:R7)</f>
        <v>53.218178369351534</v>
      </c>
      <c r="T7" s="89">
        <f>STDEV(R5:R7)</f>
        <v>2.0223282319583209</v>
      </c>
      <c r="U7" s="89">
        <f>T7/SQRT(3)</f>
        <v>1.1675917491109167</v>
      </c>
      <c r="V7" s="89">
        <f t="shared" si="5"/>
        <v>7.199756888168559</v>
      </c>
      <c r="W7" s="88">
        <f>AVERAGE(V5:V7)</f>
        <v>6.8611088600756354</v>
      </c>
      <c r="X7" s="89">
        <f>STDEV(V5:V7)</f>
        <v>0.3182952893273831</v>
      </c>
      <c r="Y7" s="89">
        <f>X7/SQRT(3)</f>
        <v>0.18376787097495445</v>
      </c>
      <c r="Z7" s="90"/>
      <c r="AA7" s="91"/>
      <c r="AB7" s="82"/>
      <c r="AD7" s="81">
        <f>D11</f>
        <v>49.5</v>
      </c>
      <c r="AE7" s="80">
        <f>S13</f>
        <v>43.722315076090261</v>
      </c>
      <c r="AF7" s="80">
        <f>U13</f>
        <v>1.2321014549432359</v>
      </c>
      <c r="AG7" s="80">
        <f>W13</f>
        <v>12.440538897893029</v>
      </c>
      <c r="AH7" s="80">
        <f>Y13</f>
        <v>0.37095018825514475</v>
      </c>
    </row>
    <row r="8" spans="1:34" x14ac:dyDescent="0.2">
      <c r="A8" s="58"/>
      <c r="B8" s="206" t="s">
        <v>24</v>
      </c>
      <c r="C8" s="203">
        <v>0.41666666666666669</v>
      </c>
      <c r="D8" s="228">
        <f>24+D5</f>
        <v>24</v>
      </c>
      <c r="E8" s="104" t="s">
        <v>104</v>
      </c>
      <c r="F8" s="209">
        <f>(0.0466+0.0391+0.036)/3</f>
        <v>4.0566666666666668E-2</v>
      </c>
      <c r="G8" s="212">
        <f>(0.0461+0.0386+0.0356)/3</f>
        <v>4.0099999999999997E-2</v>
      </c>
      <c r="H8" s="74">
        <f>0.1883-F8</f>
        <v>0.14773333333333333</v>
      </c>
      <c r="I8" s="76">
        <f>0.1834-F8</f>
        <v>0.14283333333333334</v>
      </c>
      <c r="J8" s="76">
        <f>0.1248-G8</f>
        <v>8.4699999999999998E-2</v>
      </c>
      <c r="K8" s="76">
        <f>0.1197-G8</f>
        <v>7.9600000000000004E-2</v>
      </c>
      <c r="L8" s="76">
        <f t="shared" si="0"/>
        <v>1.5638546731496488E-2</v>
      </c>
      <c r="M8" s="76">
        <f t="shared" si="1"/>
        <v>1.5344462452728256E-2</v>
      </c>
      <c r="N8" s="76">
        <f t="shared" si="2"/>
        <v>1.5491504592112373E-2</v>
      </c>
      <c r="O8" s="76">
        <f>'Growth curves UTEX #1926'!F8</f>
        <v>0.16900000000000001</v>
      </c>
      <c r="P8" s="76">
        <f t="shared" si="3"/>
        <v>0.21287240000000002</v>
      </c>
      <c r="Q8" s="77">
        <f t="shared" ref="Q8:Q13" si="6">P8*1/1000</f>
        <v>2.1287240000000002E-4</v>
      </c>
      <c r="R8" s="78">
        <f t="shared" si="4"/>
        <v>36.386832187057529</v>
      </c>
      <c r="S8" s="94"/>
      <c r="T8" s="80"/>
      <c r="U8" s="80"/>
      <c r="V8" s="80">
        <f t="shared" si="5"/>
        <v>7.7457522960561853</v>
      </c>
      <c r="W8" s="94"/>
      <c r="X8" s="80"/>
      <c r="Y8" s="80"/>
      <c r="Z8" s="80">
        <f>(V8-$V$5)/(D8-$D$5)</f>
        <v>3.876142400504231E-2</v>
      </c>
      <c r="AA8" s="94"/>
      <c r="AB8" s="73"/>
      <c r="AD8" s="81">
        <f>D14</f>
        <v>73.5</v>
      </c>
      <c r="AE8" s="80">
        <f>S16</f>
        <v>53.875722277763693</v>
      </c>
      <c r="AF8" s="80">
        <f>U16</f>
        <v>2.5603326629834675</v>
      </c>
      <c r="AG8" s="80">
        <f>W16</f>
        <v>20.60793384116694</v>
      </c>
      <c r="AH8" s="80">
        <f>Y16</f>
        <v>0.99773587032749633</v>
      </c>
    </row>
    <row r="9" spans="1:34" x14ac:dyDescent="0.2">
      <c r="A9" s="58"/>
      <c r="B9" s="207"/>
      <c r="C9" s="204"/>
      <c r="D9" s="226"/>
      <c r="E9" s="104" t="s">
        <v>105</v>
      </c>
      <c r="F9" s="210"/>
      <c r="G9" s="213"/>
      <c r="H9" s="74">
        <f>0.2064-F8</f>
        <v>0.16583333333333333</v>
      </c>
      <c r="I9" s="76">
        <f>0.2156-F8</f>
        <v>0.17503333333333335</v>
      </c>
      <c r="J9" s="76">
        <f>0.1345-G8</f>
        <v>9.4400000000000012E-2</v>
      </c>
      <c r="K9" s="76">
        <f>0.1424-G8</f>
        <v>0.1023</v>
      </c>
      <c r="L9" s="76">
        <f t="shared" si="0"/>
        <v>1.7620961642355486E-2</v>
      </c>
      <c r="M9" s="76">
        <f t="shared" si="1"/>
        <v>1.8337412209616426E-2</v>
      </c>
      <c r="N9" s="76">
        <f t="shared" si="2"/>
        <v>1.7979186925985956E-2</v>
      </c>
      <c r="O9" s="76">
        <f>'Growth curves UTEX #1926'!G8</f>
        <v>0.14699999999999999</v>
      </c>
      <c r="P9" s="76">
        <f t="shared" si="3"/>
        <v>0.1851612</v>
      </c>
      <c r="Q9" s="77">
        <f t="shared" si="6"/>
        <v>1.851612E-4</v>
      </c>
      <c r="R9" s="78">
        <f t="shared" si="4"/>
        <v>48.550092908195552</v>
      </c>
      <c r="S9" s="79"/>
      <c r="T9" s="80"/>
      <c r="U9" s="80"/>
      <c r="V9" s="80">
        <f t="shared" si="5"/>
        <v>8.9895934629929783</v>
      </c>
      <c r="W9" s="94"/>
      <c r="X9" s="80"/>
      <c r="Y9" s="80"/>
      <c r="Z9" s="80">
        <f>(V9-$V$6)/(D8-$D$5)</f>
        <v>0.10089591211957498</v>
      </c>
      <c r="AA9" s="94"/>
      <c r="AB9" s="73"/>
      <c r="AD9" s="81">
        <f>D17</f>
        <v>96</v>
      </c>
      <c r="AE9" s="80">
        <f>S19</f>
        <v>64.646085697895629</v>
      </c>
      <c r="AF9" s="80">
        <f>U19</f>
        <v>3.4994387175772057</v>
      </c>
      <c r="AG9" s="80">
        <f>W19</f>
        <v>29.431836736898973</v>
      </c>
      <c r="AH9" s="80">
        <f>Y19</f>
        <v>0.96102189509823788</v>
      </c>
    </row>
    <row r="10" spans="1:34" x14ac:dyDescent="0.2">
      <c r="A10" s="58"/>
      <c r="B10" s="208"/>
      <c r="C10" s="205"/>
      <c r="D10" s="227"/>
      <c r="E10" s="151" t="s">
        <v>106</v>
      </c>
      <c r="F10" s="211"/>
      <c r="G10" s="214"/>
      <c r="H10" s="74">
        <f>0.2095-F8</f>
        <v>0.16893333333333332</v>
      </c>
      <c r="I10" s="76">
        <f>0.2085-F8</f>
        <v>0.16793333333333332</v>
      </c>
      <c r="J10" s="76">
        <f>0.1374-G8</f>
        <v>9.7299999999999998E-2</v>
      </c>
      <c r="K10" s="76">
        <f>0.1358-G8</f>
        <v>9.5700000000000007E-2</v>
      </c>
      <c r="L10" s="76">
        <f t="shared" si="0"/>
        <v>1.7839032955159373E-2</v>
      </c>
      <c r="M10" s="76">
        <f t="shared" si="1"/>
        <v>1.783384656942193E-2</v>
      </c>
      <c r="N10" s="76">
        <f t="shared" si="2"/>
        <v>1.783643976229065E-2</v>
      </c>
      <c r="O10" s="76">
        <f>'Growth curves UTEX #1926'!H8</f>
        <v>0.153</v>
      </c>
      <c r="P10" s="76">
        <f t="shared" si="3"/>
        <v>0.1927188</v>
      </c>
      <c r="Q10" s="77">
        <f t="shared" si="6"/>
        <v>1.9271880000000001E-4</v>
      </c>
      <c r="R10" s="78">
        <f t="shared" si="4"/>
        <v>46.275816791850744</v>
      </c>
      <c r="S10" s="94">
        <f>AVERAGE(R8:R10)</f>
        <v>43.737580629034618</v>
      </c>
      <c r="T10" s="80">
        <f>STDEV(R8:R10)</f>
        <v>6.466700082442677</v>
      </c>
      <c r="U10" s="89">
        <f>T10/SQRT(3)</f>
        <v>3.7335510333668549</v>
      </c>
      <c r="V10" s="89">
        <f t="shared" si="5"/>
        <v>8.9182198811453244</v>
      </c>
      <c r="W10" s="88">
        <f>AVERAGE(V8:V10)</f>
        <v>8.5511885467314954</v>
      </c>
      <c r="X10" s="89">
        <f>STDEV(V8:V10)</f>
        <v>0.69844055758014756</v>
      </c>
      <c r="Y10" s="89">
        <f>X10/SQRT(3)</f>
        <v>0.40324484393185051</v>
      </c>
      <c r="Z10" s="89">
        <f>(V10-$V$7)/(D8-$D$5)</f>
        <v>7.1602624707365226E-2</v>
      </c>
      <c r="AA10" s="88">
        <f>AVERAGE(Z8:Z10)</f>
        <v>7.0419986943994164E-2</v>
      </c>
      <c r="AB10" s="95">
        <f>STDEV(Z8:Z10)/SQRT(3)</f>
        <v>1.7946426082215427E-2</v>
      </c>
      <c r="AD10" s="81">
        <f>D20</f>
        <v>120</v>
      </c>
      <c r="AE10" s="80">
        <f>S22</f>
        <v>55.982045929380888</v>
      </c>
      <c r="AF10" s="80">
        <f>U22</f>
        <v>0.78668244798237763</v>
      </c>
      <c r="AG10" s="80">
        <f>W22</f>
        <v>32.059269789303094</v>
      </c>
      <c r="AH10" s="80">
        <f>Y22</f>
        <v>0.3958172077785943</v>
      </c>
    </row>
    <row r="11" spans="1:34" x14ac:dyDescent="0.2">
      <c r="A11" s="58"/>
      <c r="B11" s="206" t="s">
        <v>25</v>
      </c>
      <c r="C11" s="203">
        <v>0.47916666666666669</v>
      </c>
      <c r="D11" s="228">
        <f>1.5+24+D8</f>
        <v>49.5</v>
      </c>
      <c r="E11" s="104" t="s">
        <v>104</v>
      </c>
      <c r="F11" s="209">
        <f>0.0499</f>
        <v>4.99E-2</v>
      </c>
      <c r="G11" s="212">
        <v>4.8899999999999999E-2</v>
      </c>
      <c r="H11" s="92">
        <f>0.318-F11</f>
        <v>0.2681</v>
      </c>
      <c r="I11" s="96">
        <f>0.3181-F11</f>
        <v>0.26819999999999999</v>
      </c>
      <c r="J11" s="96">
        <f>0.2237-G11</f>
        <v>0.17480000000000001</v>
      </c>
      <c r="K11" s="96">
        <f>0.2238-G11</f>
        <v>0.1749</v>
      </c>
      <c r="L11" s="76">
        <f t="shared" si="0"/>
        <v>2.6312155591572121E-2</v>
      </c>
      <c r="M11" s="76">
        <f t="shared" si="1"/>
        <v>2.6318557536466777E-2</v>
      </c>
      <c r="N11" s="96">
        <f t="shared" si="2"/>
        <v>2.6315356564019447E-2</v>
      </c>
      <c r="O11" s="96">
        <f>'Growth curves UTEX #1926'!F10</f>
        <v>0.22800000000000001</v>
      </c>
      <c r="P11" s="76">
        <f t="shared" si="3"/>
        <v>0.28718880000000002</v>
      </c>
      <c r="Q11" s="97">
        <f t="shared" si="6"/>
        <v>2.8718880000000002E-4</v>
      </c>
      <c r="R11" s="98">
        <f t="shared" si="4"/>
        <v>45.815429717348735</v>
      </c>
      <c r="S11" s="99"/>
      <c r="T11" s="100"/>
      <c r="U11" s="100"/>
      <c r="V11" s="80">
        <f t="shared" si="5"/>
        <v>13.157678282009723</v>
      </c>
      <c r="W11" s="94"/>
      <c r="X11" s="80"/>
      <c r="Y11" s="80"/>
      <c r="Z11" s="80">
        <f t="shared" ref="Z11:Z53" si="7">(V11-$V$5)/(D11-$D$5)</f>
        <v>0.12812525579948592</v>
      </c>
      <c r="AA11" s="94"/>
      <c r="AB11" s="101"/>
      <c r="AD11" s="81">
        <f>D23</f>
        <v>144</v>
      </c>
      <c r="AE11" s="80">
        <f>S25</f>
        <v>62.500329335512482</v>
      </c>
      <c r="AF11" s="80">
        <f>U25</f>
        <v>2.7213799716076994</v>
      </c>
      <c r="AG11" s="80">
        <f>W25</f>
        <v>42.091259059967591</v>
      </c>
      <c r="AH11" s="80">
        <f>Y25</f>
        <v>1.2830440574194424</v>
      </c>
    </row>
    <row r="12" spans="1:34" x14ac:dyDescent="0.2">
      <c r="A12" s="58"/>
      <c r="B12" s="207"/>
      <c r="C12" s="204"/>
      <c r="D12" s="226"/>
      <c r="E12" s="104" t="s">
        <v>105</v>
      </c>
      <c r="F12" s="210"/>
      <c r="G12" s="213"/>
      <c r="H12" s="74">
        <f>0.2795-F11</f>
        <v>0.22960000000000003</v>
      </c>
      <c r="I12" s="76">
        <f>0.2765-F11</f>
        <v>0.22660000000000002</v>
      </c>
      <c r="J12" s="76">
        <f>0.1836-G11</f>
        <v>0.13470000000000001</v>
      </c>
      <c r="K12" s="76">
        <f>0.1821-G11</f>
        <v>0.13320000000000001</v>
      </c>
      <c r="L12" s="76">
        <f t="shared" si="0"/>
        <v>2.400429497568882E-2</v>
      </c>
      <c r="M12" s="76">
        <f t="shared" si="1"/>
        <v>2.3665153970826587E-2</v>
      </c>
      <c r="N12" s="76">
        <f t="shared" si="2"/>
        <v>2.3834724473257705E-2</v>
      </c>
      <c r="O12" s="76">
        <f>'Growth curves UTEX #1926'!G10</f>
        <v>0.216</v>
      </c>
      <c r="P12" s="76">
        <f t="shared" si="3"/>
        <v>0.27207360000000003</v>
      </c>
      <c r="Q12" s="77">
        <f t="shared" si="6"/>
        <v>2.7207360000000005E-4</v>
      </c>
      <c r="R12" s="78">
        <f t="shared" si="4"/>
        <v>43.801979451989645</v>
      </c>
      <c r="S12" s="79"/>
      <c r="T12" s="80"/>
      <c r="U12" s="80"/>
      <c r="V12" s="80">
        <f t="shared" si="5"/>
        <v>11.917362236628851</v>
      </c>
      <c r="W12" s="94"/>
      <c r="X12" s="80"/>
      <c r="Y12" s="80"/>
      <c r="Z12" s="80">
        <f>(V12-$V$6)/(D11-$D$5)</f>
        <v>0.10806607403041761</v>
      </c>
      <c r="AA12" s="94"/>
      <c r="AB12" s="101"/>
      <c r="AD12" s="81">
        <f>D26</f>
        <v>168</v>
      </c>
      <c r="AE12" s="80">
        <f>S28</f>
        <v>45.88047091827989</v>
      </c>
      <c r="AF12" s="80">
        <f>U28</f>
        <v>1.219455336193227</v>
      </c>
      <c r="AG12" s="80">
        <f>W28</f>
        <v>36.622420313344143</v>
      </c>
      <c r="AH12" s="80">
        <f>Y28</f>
        <v>1.0188533024031132</v>
      </c>
    </row>
    <row r="13" spans="1:34" x14ac:dyDescent="0.2">
      <c r="A13" s="58"/>
      <c r="B13" s="208"/>
      <c r="C13" s="205"/>
      <c r="D13" s="227"/>
      <c r="E13" s="151" t="s">
        <v>106</v>
      </c>
      <c r="F13" s="211"/>
      <c r="G13" s="214"/>
      <c r="H13" s="74">
        <f>0.2997-F11</f>
        <v>0.24980000000000002</v>
      </c>
      <c r="I13" s="76">
        <f>0.2614-F11</f>
        <v>0.21150000000000002</v>
      </c>
      <c r="J13" s="76">
        <f>0.202-G11</f>
        <v>0.15310000000000001</v>
      </c>
      <c r="K13" s="76">
        <f>0.1587-G11</f>
        <v>0.10980000000000001</v>
      </c>
      <c r="L13" s="76">
        <f t="shared" si="0"/>
        <v>2.547398703403566E-2</v>
      </c>
      <c r="M13" s="76">
        <f t="shared" si="1"/>
        <v>2.3512317666126419E-2</v>
      </c>
      <c r="N13" s="76">
        <f t="shared" si="2"/>
        <v>2.4493152350081038E-2</v>
      </c>
      <c r="O13" s="76">
        <f>'Growth curves UTEX #1926'!H10</f>
        <v>0.23400000000000001</v>
      </c>
      <c r="P13" s="76">
        <f t="shared" si="3"/>
        <v>0.29474640000000002</v>
      </c>
      <c r="Q13" s="77">
        <f t="shared" si="6"/>
        <v>2.947464E-4</v>
      </c>
      <c r="R13" s="78">
        <f t="shared" si="4"/>
        <v>41.549536058932418</v>
      </c>
      <c r="S13" s="94">
        <f>AVERAGE(R11:R13)</f>
        <v>43.722315076090261</v>
      </c>
      <c r="T13" s="80">
        <f>STDEV(R11:R13)</f>
        <v>2.1340623200412203</v>
      </c>
      <c r="U13" s="89">
        <f>T13/SQRT(3)</f>
        <v>1.2321014549432359</v>
      </c>
      <c r="V13" s="89">
        <f t="shared" si="5"/>
        <v>12.246576175040518</v>
      </c>
      <c r="W13" s="88">
        <f>AVERAGE(V11:V13)</f>
        <v>12.440538897893029</v>
      </c>
      <c r="X13" s="89">
        <f>STDEV(V11:V13)</f>
        <v>0.64250457313515053</v>
      </c>
      <c r="Y13" s="89">
        <f>X13/SQRT(3)</f>
        <v>0.37095018825514475</v>
      </c>
      <c r="Z13" s="89">
        <f>(V13-$V$7)/(D11-$D$5)</f>
        <v>0.10195594518933251</v>
      </c>
      <c r="AA13" s="88">
        <f>AVERAGE(Z11:Z13)</f>
        <v>0.11271575833974534</v>
      </c>
      <c r="AB13" s="95">
        <f>STDEV(Z11:Z13)/SQRT(3)</f>
        <v>7.9040680999296863E-3</v>
      </c>
      <c r="AD13" s="81">
        <f>D29</f>
        <v>192</v>
      </c>
      <c r="AE13" s="80">
        <f>S31</f>
        <v>57.823355441037357</v>
      </c>
      <c r="AF13" s="80">
        <f>U31</f>
        <v>1.5607336753403616</v>
      </c>
      <c r="AG13" s="80">
        <f>W31</f>
        <v>50.452890329551586</v>
      </c>
      <c r="AH13" s="80">
        <f>Y31</f>
        <v>1.6707493047525901</v>
      </c>
    </row>
    <row r="14" spans="1:34" x14ac:dyDescent="0.2">
      <c r="A14" s="58"/>
      <c r="B14" s="206" t="s">
        <v>26</v>
      </c>
      <c r="C14" s="203">
        <v>0.47916666666666669</v>
      </c>
      <c r="D14" s="228">
        <f>24+D11</f>
        <v>73.5</v>
      </c>
      <c r="E14" s="104" t="s">
        <v>104</v>
      </c>
      <c r="F14" s="209">
        <f>(0.0193+0.063)/2</f>
        <v>4.1149999999999999E-2</v>
      </c>
      <c r="G14" s="212">
        <f>(0.02+0.0611)/2</f>
        <v>4.0550000000000003E-2</v>
      </c>
      <c r="H14" s="92">
        <f>0.189-F14</f>
        <v>0.14785000000000001</v>
      </c>
      <c r="I14" s="96">
        <f>0.195-F14</f>
        <v>0.15385000000000001</v>
      </c>
      <c r="J14" s="96">
        <f>0.1259-G14</f>
        <v>8.5350000000000009E-2</v>
      </c>
      <c r="K14" s="96">
        <f>0.1305-G14</f>
        <v>8.9950000000000002E-2</v>
      </c>
      <c r="L14" s="76">
        <f t="shared" si="0"/>
        <v>1.5593719611021069E-2</v>
      </c>
      <c r="M14" s="76">
        <f t="shared" si="1"/>
        <v>1.611511345218801E-2</v>
      </c>
      <c r="N14" s="96">
        <f t="shared" si="2"/>
        <v>1.5854416531604541E-2</v>
      </c>
      <c r="O14" s="96">
        <f>'Growth curves UTEX #1926'!F11</f>
        <v>0.3</v>
      </c>
      <c r="P14" s="76">
        <f t="shared" si="3"/>
        <v>0.37787999999999999</v>
      </c>
      <c r="Q14" s="97">
        <f t="shared" ref="Q14:Q22" si="8">O14*0.5/1000</f>
        <v>1.4999999999999999E-4</v>
      </c>
      <c r="R14" s="98">
        <f t="shared" si="4"/>
        <v>52.848055105348479</v>
      </c>
      <c r="S14" s="99"/>
      <c r="T14" s="100"/>
      <c r="U14" s="100"/>
      <c r="V14" s="80">
        <f t="shared" si="5"/>
        <v>19.970223063209083</v>
      </c>
      <c r="W14" s="94"/>
      <c r="X14" s="80"/>
      <c r="Y14" s="80"/>
      <c r="Z14" s="80">
        <f t="shared" si="7"/>
        <v>0.17897612167719609</v>
      </c>
      <c r="AA14" s="94"/>
      <c r="AB14" s="101"/>
      <c r="AD14" s="81">
        <f>D32</f>
        <v>216</v>
      </c>
      <c r="AE14" s="80">
        <f>S34</f>
        <v>52.507054075519953</v>
      </c>
      <c r="AF14" s="80">
        <f>U34</f>
        <v>4.5449105137786772</v>
      </c>
      <c r="AG14" s="80">
        <f>W34</f>
        <v>54.38918152350081</v>
      </c>
      <c r="AH14" s="80">
        <f>Y34</f>
        <v>5.1778515460281849</v>
      </c>
    </row>
    <row r="15" spans="1:34" x14ac:dyDescent="0.2">
      <c r="A15" s="58"/>
      <c r="B15" s="207"/>
      <c r="C15" s="204"/>
      <c r="D15" s="226"/>
      <c r="E15" s="104" t="s">
        <v>105</v>
      </c>
      <c r="F15" s="210"/>
      <c r="G15" s="213"/>
      <c r="H15" s="74">
        <f>0.21-F14</f>
        <v>0.16885</v>
      </c>
      <c r="I15" s="76">
        <f>0.2123-F14</f>
        <v>0.17115</v>
      </c>
      <c r="J15" s="76">
        <f>0.1388-G14</f>
        <v>9.8250000000000004E-2</v>
      </c>
      <c r="K15" s="76">
        <f>0.1389-G14</f>
        <v>9.8349999999999993E-2</v>
      </c>
      <c r="L15" s="76">
        <f t="shared" si="0"/>
        <v>1.7732374392220421E-2</v>
      </c>
      <c r="M15" s="76">
        <f t="shared" si="1"/>
        <v>1.8095340356564019E-2</v>
      </c>
      <c r="N15" s="76">
        <f t="shared" si="2"/>
        <v>1.791385737439222E-2</v>
      </c>
      <c r="O15" s="76">
        <f>'Growth curves UTEX #1926'!G11</f>
        <v>0.30499999999999999</v>
      </c>
      <c r="P15" s="76">
        <f t="shared" si="3"/>
        <v>0.38417800000000002</v>
      </c>
      <c r="Q15" s="77">
        <f t="shared" si="8"/>
        <v>1.5249999999999999E-4</v>
      </c>
      <c r="R15" s="78">
        <f t="shared" si="4"/>
        <v>58.733958604564663</v>
      </c>
      <c r="S15" s="79"/>
      <c r="T15" s="80"/>
      <c r="U15" s="80"/>
      <c r="V15" s="80">
        <f t="shared" si="5"/>
        <v>22.564294748784445</v>
      </c>
      <c r="W15" s="94"/>
      <c r="X15" s="80"/>
      <c r="Y15" s="80"/>
      <c r="Z15" s="80">
        <f>(V15-$V$6)/(D14-$D$5)</f>
        <v>0.21763541736954101</v>
      </c>
      <c r="AA15" s="94"/>
      <c r="AB15" s="101"/>
      <c r="AD15" s="81">
        <f>D35</f>
        <v>264</v>
      </c>
      <c r="AE15" s="80">
        <f>S37</f>
        <v>53.696757289105705</v>
      </c>
      <c r="AF15" s="80">
        <f>U37</f>
        <v>4.1839534371526703</v>
      </c>
      <c r="AG15" s="80">
        <f>W37</f>
        <v>66.634454349000535</v>
      </c>
      <c r="AH15" s="80">
        <f>Y37</f>
        <v>5.2879837186667578</v>
      </c>
    </row>
    <row r="16" spans="1:34" x14ac:dyDescent="0.2">
      <c r="A16" s="58"/>
      <c r="B16" s="208"/>
      <c r="C16" s="205"/>
      <c r="D16" s="227"/>
      <c r="E16" s="151" t="s">
        <v>106</v>
      </c>
      <c r="F16" s="211"/>
      <c r="G16" s="214"/>
      <c r="H16" s="74">
        <f>0.159-F14</f>
        <v>0.11785000000000001</v>
      </c>
      <c r="I16" s="76">
        <f>0.2124-F14</f>
        <v>0.17125000000000001</v>
      </c>
      <c r="J16" s="76">
        <f>0.1079-G14</f>
        <v>6.7349999999999993E-2</v>
      </c>
      <c r="K16" s="76">
        <f>0.1387-G14</f>
        <v>9.8149999999999987E-2</v>
      </c>
      <c r="L16" s="76">
        <f t="shared" si="0"/>
        <v>1.2496474878444087E-2</v>
      </c>
      <c r="M16" s="76">
        <f t="shared" si="1"/>
        <v>1.8131158833063214E-2</v>
      </c>
      <c r="N16" s="76">
        <f t="shared" si="2"/>
        <v>1.5313816855753649E-2</v>
      </c>
      <c r="O16" s="76">
        <f>'Growth curves UTEX #1926'!H11</f>
        <v>0.30599999999999999</v>
      </c>
      <c r="P16" s="76">
        <f t="shared" si="3"/>
        <v>0.38543759999999999</v>
      </c>
      <c r="Q16" s="77">
        <f t="shared" si="8"/>
        <v>1.5300000000000001E-4</v>
      </c>
      <c r="R16" s="78">
        <f t="shared" si="4"/>
        <v>50.045153123377936</v>
      </c>
      <c r="S16" s="94">
        <f>AVERAGE(R14:R16)</f>
        <v>53.875722277763693</v>
      </c>
      <c r="T16" s="80">
        <f>STDEV(R14:R16)</f>
        <v>4.4346262565654886</v>
      </c>
      <c r="U16" s="89">
        <f>T16/SQRT(3)</f>
        <v>2.5603326629834675</v>
      </c>
      <c r="V16" s="89">
        <f t="shared" si="5"/>
        <v>19.289283711507295</v>
      </c>
      <c r="W16" s="88">
        <f>AVERAGE(V14:V16)</f>
        <v>20.60793384116694</v>
      </c>
      <c r="X16" s="89">
        <f>STDEV(V14:V16)</f>
        <v>1.7281292199411766</v>
      </c>
      <c r="Y16" s="89">
        <f>X16/SQRT(3)</f>
        <v>0.99773587032749633</v>
      </c>
      <c r="Z16" s="89">
        <f>(V16-$V$7)/(D14-$D$5)</f>
        <v>0.16448335814066309</v>
      </c>
      <c r="AA16" s="88">
        <f>AVERAGE(Z14:Z16)</f>
        <v>0.18703163239580003</v>
      </c>
      <c r="AB16" s="95">
        <f>STDEV(Z14:Z16)/SQRT(3)</f>
        <v>1.5863519888628153E-2</v>
      </c>
      <c r="AD16" s="81">
        <f>D38</f>
        <v>288</v>
      </c>
      <c r="AE16" s="80">
        <f>S40</f>
        <v>57.598136739088126</v>
      </c>
      <c r="AF16" s="80">
        <f>U40</f>
        <v>1.954082374200824</v>
      </c>
      <c r="AG16" s="80">
        <f>W40</f>
        <v>77.360886007563479</v>
      </c>
      <c r="AH16" s="80">
        <f>Y40</f>
        <v>2.9631839949006142</v>
      </c>
    </row>
    <row r="17" spans="1:34" x14ac:dyDescent="0.2">
      <c r="A17" s="58"/>
      <c r="B17" s="206" t="s">
        <v>27</v>
      </c>
      <c r="C17" s="203">
        <v>0.41666666666666669</v>
      </c>
      <c r="D17" s="218">
        <f>22.5+D14</f>
        <v>96</v>
      </c>
      <c r="E17" s="104" t="s">
        <v>104</v>
      </c>
      <c r="F17" s="209">
        <f>(0.046+0.0511+0.0509)/3</f>
        <v>4.9333333333333333E-2</v>
      </c>
      <c r="G17" s="212">
        <f>(0.045+0.0494+0.0494)/3</f>
        <v>4.7933333333333328E-2</v>
      </c>
      <c r="H17" s="92">
        <f>0.2368-F17</f>
        <v>0.18746666666666667</v>
      </c>
      <c r="I17" s="96">
        <f>0.2908-F17</f>
        <v>0.24146666666666666</v>
      </c>
      <c r="J17" s="96">
        <f>0.1527-G17</f>
        <v>0.10476666666666667</v>
      </c>
      <c r="K17" s="96">
        <f>0.2065-G17</f>
        <v>0.15856666666666666</v>
      </c>
      <c r="L17" s="76">
        <f t="shared" si="0"/>
        <v>2.0110669908157755E-2</v>
      </c>
      <c r="M17" s="76">
        <f t="shared" si="1"/>
        <v>2.3587331172339278E-2</v>
      </c>
      <c r="N17" s="96">
        <f t="shared" si="2"/>
        <v>2.1849000540248516E-2</v>
      </c>
      <c r="O17" s="96">
        <f>'Growth curves UTEX #1926'!F12</f>
        <v>0.378</v>
      </c>
      <c r="P17" s="76">
        <f t="shared" si="3"/>
        <v>0.47612880000000002</v>
      </c>
      <c r="Q17" s="97">
        <f t="shared" si="8"/>
        <v>1.8900000000000001E-4</v>
      </c>
      <c r="R17" s="98">
        <f t="shared" si="4"/>
        <v>57.801588730816178</v>
      </c>
      <c r="S17" s="102"/>
      <c r="T17" s="103"/>
      <c r="U17" s="103"/>
      <c r="V17" s="80">
        <f t="shared" si="5"/>
        <v>27.52100108049703</v>
      </c>
      <c r="W17" s="94"/>
      <c r="X17" s="80"/>
      <c r="Y17" s="80"/>
      <c r="Z17" s="80">
        <f t="shared" si="7"/>
        <v>0.21568253083918601</v>
      </c>
      <c r="AA17" s="94"/>
      <c r="AB17" s="101"/>
      <c r="AD17" s="81">
        <f>D41</f>
        <v>312</v>
      </c>
      <c r="AE17" s="80">
        <f>S43</f>
        <v>55.473305296313384</v>
      </c>
      <c r="AF17" s="80">
        <f>U43</f>
        <v>1.1941404371512905</v>
      </c>
      <c r="AG17" s="80">
        <f>W43</f>
        <v>81.594746083198274</v>
      </c>
      <c r="AH17" s="80">
        <f>Y43</f>
        <v>3.4652435129497214</v>
      </c>
    </row>
    <row r="18" spans="1:34" ht="15" customHeight="1" x14ac:dyDescent="0.2">
      <c r="A18" s="58"/>
      <c r="B18" s="207"/>
      <c r="C18" s="204"/>
      <c r="D18" s="219"/>
      <c r="E18" s="104" t="s">
        <v>105</v>
      </c>
      <c r="F18" s="210"/>
      <c r="G18" s="213"/>
      <c r="H18" s="74">
        <f>0.2704-F17</f>
        <v>0.22106666666666663</v>
      </c>
      <c r="I18" s="76">
        <f>0.2969-F17</f>
        <v>0.24756666666666666</v>
      </c>
      <c r="J18" s="76">
        <f>0.1775-G17</f>
        <v>0.12956666666666666</v>
      </c>
      <c r="K18" s="76">
        <f>0.198-G17</f>
        <v>0.15006666666666668</v>
      </c>
      <c r="L18" s="76">
        <f t="shared" si="0"/>
        <v>2.3124608319827118E-2</v>
      </c>
      <c r="M18" s="76">
        <f t="shared" si="1"/>
        <v>2.5409454349000538E-2</v>
      </c>
      <c r="N18" s="76">
        <f t="shared" si="2"/>
        <v>2.4267031334413828E-2</v>
      </c>
      <c r="O18" s="76">
        <f>'Growth curves UTEX #1926'!G12</f>
        <v>0.35</v>
      </c>
      <c r="P18" s="76">
        <f t="shared" si="3"/>
        <v>0.44085999999999997</v>
      </c>
      <c r="Q18" s="77">
        <f t="shared" si="8"/>
        <v>1.75E-4</v>
      </c>
      <c r="R18" s="78">
        <f t="shared" si="4"/>
        <v>69.334375241182371</v>
      </c>
      <c r="S18" s="79"/>
      <c r="V18" s="80">
        <f t="shared" si="5"/>
        <v>30.566752668827657</v>
      </c>
      <c r="W18" s="94"/>
      <c r="X18" s="80"/>
      <c r="Y18" s="80"/>
      <c r="Z18" s="80">
        <f>(V18-$V$6)/(D17-$D$5)</f>
        <v>0.24998605309067165</v>
      </c>
      <c r="AA18" s="94"/>
      <c r="AB18" s="101"/>
      <c r="AD18" s="81">
        <f>D44</f>
        <v>336</v>
      </c>
      <c r="AE18" s="80">
        <f>S46</f>
        <v>53.492934078550753</v>
      </c>
      <c r="AF18" s="80">
        <f>U46</f>
        <v>1.4852817685597137</v>
      </c>
      <c r="AG18" s="80">
        <f>W46</f>
        <v>83.611021069692057</v>
      </c>
      <c r="AH18" s="80">
        <f>Y46</f>
        <v>2.3228280658240816</v>
      </c>
    </row>
    <row r="19" spans="1:34" ht="15" customHeight="1" x14ac:dyDescent="0.2">
      <c r="A19" s="58"/>
      <c r="B19" s="208"/>
      <c r="C19" s="205"/>
      <c r="D19" s="220"/>
      <c r="E19" s="151" t="s">
        <v>106</v>
      </c>
      <c r="F19" s="211"/>
      <c r="G19" s="214"/>
      <c r="H19" s="83">
        <f>0.3156-F17</f>
        <v>0.26626666666666665</v>
      </c>
      <c r="I19" s="85">
        <f>0.3301-F17</f>
        <v>0.28076666666666666</v>
      </c>
      <c r="J19" s="85">
        <f>0.2492-G17</f>
        <v>0.20126666666666668</v>
      </c>
      <c r="K19" s="85">
        <f>0.2617-G17</f>
        <v>0.21376666666666666</v>
      </c>
      <c r="L19" s="76">
        <f t="shared" si="0"/>
        <v>2.3419827120475415E-2</v>
      </c>
      <c r="M19" s="76">
        <f t="shared" si="1"/>
        <v>2.4544219340896813E-2</v>
      </c>
      <c r="N19" s="85">
        <f t="shared" si="2"/>
        <v>2.3982023230686114E-2</v>
      </c>
      <c r="O19" s="85">
        <f>'Growth curves UTEX #1926'!H12</f>
        <v>0.35899999999999999</v>
      </c>
      <c r="P19" s="76">
        <f t="shared" si="3"/>
        <v>0.4521964</v>
      </c>
      <c r="Q19" s="86">
        <f t="shared" si="8"/>
        <v>1.795E-4</v>
      </c>
      <c r="R19" s="87">
        <f t="shared" si="4"/>
        <v>66.802293121688336</v>
      </c>
      <c r="S19" s="88">
        <f>AVERAGE(R17:R19)</f>
        <v>64.646085697895629</v>
      </c>
      <c r="T19" s="89">
        <f>STDEV(R17:R19)</f>
        <v>6.0612056568173953</v>
      </c>
      <c r="U19" s="89">
        <f>T19/SQRT(3)</f>
        <v>3.4994387175772057</v>
      </c>
      <c r="V19" s="89">
        <f t="shared" si="5"/>
        <v>30.207756461372227</v>
      </c>
      <c r="W19" s="88">
        <f>AVERAGE(V17:V19)</f>
        <v>29.431836736898973</v>
      </c>
      <c r="X19" s="89">
        <f>STDEV(V17:V19)</f>
        <v>1.6645387494962758</v>
      </c>
      <c r="Y19" s="89">
        <f>X19/SQRT(3)</f>
        <v>0.96102189509823788</v>
      </c>
      <c r="Z19" s="89">
        <f>(V19-$V$7)/(D17-$D$5)</f>
        <v>0.23966666222087155</v>
      </c>
      <c r="AA19" s="88">
        <f>AVERAGE(Z17:Z19)</f>
        <v>0.23511174871690974</v>
      </c>
      <c r="AB19" s="95">
        <f>STDEV(Z17:Z19)/SQRT(3)</f>
        <v>1.0161091435568866E-2</v>
      </c>
      <c r="AD19" s="81">
        <f>D47</f>
        <v>361.5</v>
      </c>
      <c r="AE19" s="80">
        <f>S49</f>
        <v>59.54309735748074</v>
      </c>
      <c r="AF19" s="80">
        <f>U49</f>
        <v>3.4799723640287974</v>
      </c>
      <c r="AG19" s="80">
        <f>W49</f>
        <v>99.121285791464075</v>
      </c>
      <c r="AH19" s="80">
        <f>Y49</f>
        <v>4.4004651977465912</v>
      </c>
    </row>
    <row r="20" spans="1:34" x14ac:dyDescent="0.2">
      <c r="A20" s="58"/>
      <c r="B20" s="206" t="s">
        <v>28</v>
      </c>
      <c r="C20" s="203">
        <v>0.41666666666666669</v>
      </c>
      <c r="D20" s="218">
        <f>24+D17</f>
        <v>120</v>
      </c>
      <c r="E20" s="104" t="s">
        <v>104</v>
      </c>
      <c r="F20" s="209">
        <f>(0.0435+0.0441+0.0503)/3</f>
        <v>4.5966666666666663E-2</v>
      </c>
      <c r="G20" s="212">
        <f>(0.0432+0.0439+0.0501)/3</f>
        <v>4.5733333333333341E-2</v>
      </c>
      <c r="H20" s="74">
        <f>0.2921-F20</f>
        <v>0.24613333333333337</v>
      </c>
      <c r="I20" s="76">
        <f>0.2936-F20</f>
        <v>0.24763333333333337</v>
      </c>
      <c r="J20" s="76">
        <f>0.195-G20</f>
        <v>0.14926666666666666</v>
      </c>
      <c r="K20" s="76">
        <f>0.1972-G20</f>
        <v>0.15146666666666664</v>
      </c>
      <c r="L20" s="76">
        <f t="shared" si="0"/>
        <v>2.5255591572123186E-2</v>
      </c>
      <c r="M20" s="76">
        <f t="shared" si="1"/>
        <v>2.5282982171799039E-2</v>
      </c>
      <c r="N20" s="76">
        <f t="shared" si="2"/>
        <v>2.5269286871961113E-2</v>
      </c>
      <c r="O20" s="76">
        <f>'Growth curves UTEX #1926'!F13</f>
        <v>0.45600000000000002</v>
      </c>
      <c r="P20" s="76">
        <f t="shared" si="3"/>
        <v>0.57437760000000004</v>
      </c>
      <c r="Q20" s="77">
        <f t="shared" si="8"/>
        <v>2.2800000000000001E-4</v>
      </c>
      <c r="R20" s="78">
        <f t="shared" si="4"/>
        <v>55.415102789388399</v>
      </c>
      <c r="S20" s="79"/>
      <c r="V20" s="80">
        <f t="shared" si="5"/>
        <v>31.829193743922218</v>
      </c>
      <c r="W20" s="94"/>
      <c r="X20" s="80"/>
      <c r="Y20" s="80"/>
      <c r="Z20" s="80">
        <f t="shared" si="7"/>
        <v>0.20844763019989204</v>
      </c>
      <c r="AA20" s="94"/>
      <c r="AB20" s="101"/>
      <c r="AD20" s="81">
        <f>D50</f>
        <v>386</v>
      </c>
      <c r="AE20" s="80">
        <f>S52</f>
        <v>56.460363312859805</v>
      </c>
      <c r="AF20" s="80">
        <f>U52</f>
        <v>2.1806691729451688</v>
      </c>
      <c r="AG20" s="80">
        <f>W52</f>
        <v>99.916126418152331</v>
      </c>
      <c r="AH20" s="80">
        <f>Y52</f>
        <v>3.3873151637303547</v>
      </c>
    </row>
    <row r="21" spans="1:34" x14ac:dyDescent="0.2">
      <c r="A21" s="58"/>
      <c r="B21" s="207"/>
      <c r="C21" s="204"/>
      <c r="D21" s="219"/>
      <c r="E21" s="104" t="s">
        <v>105</v>
      </c>
      <c r="F21" s="210"/>
      <c r="G21" s="213"/>
      <c r="H21" s="74">
        <f>0.291-F20</f>
        <v>0.24503333333333333</v>
      </c>
      <c r="I21" s="76">
        <f>0.3157-F20</f>
        <v>0.26973333333333332</v>
      </c>
      <c r="J21" s="76">
        <f>0.1944-G20</f>
        <v>0.14866666666666664</v>
      </c>
      <c r="K21" s="76">
        <f>0.2163-G20</f>
        <v>0.17056666666666664</v>
      </c>
      <c r="L21" s="76">
        <f t="shared" si="0"/>
        <v>2.5136142625607781E-2</v>
      </c>
      <c r="M21" s="76">
        <f t="shared" si="1"/>
        <v>2.69919773095624E-2</v>
      </c>
      <c r="N21" s="76">
        <f t="shared" si="2"/>
        <v>2.6064059967585089E-2</v>
      </c>
      <c r="O21" s="76">
        <f>'Growth curves UTEX #1926'!G13</f>
        <v>0.45300000000000001</v>
      </c>
      <c r="P21" s="76">
        <f t="shared" si="3"/>
        <v>0.57059880000000007</v>
      </c>
      <c r="Q21" s="77">
        <f t="shared" si="8"/>
        <v>2.265E-4</v>
      </c>
      <c r="R21" s="78">
        <f t="shared" si="4"/>
        <v>57.53655621983463</v>
      </c>
      <c r="S21" s="79"/>
      <c r="V21" s="80">
        <f t="shared" si="5"/>
        <v>32.830289935170178</v>
      </c>
      <c r="W21" s="94"/>
      <c r="X21" s="80"/>
      <c r="Y21" s="80"/>
      <c r="Z21" s="80">
        <f>(V21-$V$6)/(D20-$D$5)</f>
        <v>0.21885165302539164</v>
      </c>
      <c r="AA21" s="94"/>
      <c r="AB21" s="101"/>
      <c r="AD21" s="81">
        <f>D53</f>
        <v>409.5</v>
      </c>
      <c r="AE21" s="80">
        <f>S55</f>
        <v>58.077974804429232</v>
      </c>
      <c r="AF21" s="80">
        <f>U55</f>
        <v>4.5943534917784064</v>
      </c>
      <c r="AG21" s="80">
        <f>W55</f>
        <v>102.90093192868721</v>
      </c>
      <c r="AH21" s="80">
        <f>Y55</f>
        <v>9.9415546384015983</v>
      </c>
    </row>
    <row r="22" spans="1:34" x14ac:dyDescent="0.2">
      <c r="A22" s="58"/>
      <c r="B22" s="208"/>
      <c r="C22" s="205"/>
      <c r="D22" s="220"/>
      <c r="E22" s="151" t="s">
        <v>106</v>
      </c>
      <c r="F22" s="211"/>
      <c r="G22" s="214"/>
      <c r="H22" s="74">
        <f>0.2802-F20</f>
        <v>0.23423333333333335</v>
      </c>
      <c r="I22" s="76">
        <f>0.2886-F20</f>
        <v>0.24263333333333337</v>
      </c>
      <c r="J22" s="76">
        <f>0.1822-G20</f>
        <v>0.13646666666666665</v>
      </c>
      <c r="K22" s="76">
        <f>0.1871-G20</f>
        <v>0.14136666666666664</v>
      </c>
      <c r="L22" s="76">
        <f t="shared" si="0"/>
        <v>2.4582009724473261E-2</v>
      </c>
      <c r="M22" s="76">
        <f t="shared" si="1"/>
        <v>2.5462965964343606E-2</v>
      </c>
      <c r="N22" s="76">
        <f t="shared" si="2"/>
        <v>2.5022487844408435E-2</v>
      </c>
      <c r="O22" s="76">
        <f>'Growth curves UTEX #1926'!H13</f>
        <v>0.45500000000000002</v>
      </c>
      <c r="P22" s="76">
        <f t="shared" si="3"/>
        <v>0.57311800000000002</v>
      </c>
      <c r="Q22" s="77">
        <f t="shared" si="8"/>
        <v>2.275E-4</v>
      </c>
      <c r="R22" s="78">
        <f t="shared" si="4"/>
        <v>54.994478778919635</v>
      </c>
      <c r="S22" s="94">
        <f>AVERAGE(R20:R22)</f>
        <v>55.982045929380888</v>
      </c>
      <c r="T22" s="80">
        <f>STDEV(R20:R22)</f>
        <v>1.3625739693281385</v>
      </c>
      <c r="U22" s="89">
        <f>T22/SQRT(3)</f>
        <v>0.78668244798237763</v>
      </c>
      <c r="V22" s="89">
        <f t="shared" si="5"/>
        <v>31.518325688816866</v>
      </c>
      <c r="W22" s="88">
        <f>AVERAGE(V20:V22)</f>
        <v>32.059269789303094</v>
      </c>
      <c r="X22" s="89">
        <f>STDEV(V20:V22)</f>
        <v>0.68557551438257236</v>
      </c>
      <c r="Y22" s="89">
        <f>X22/SQRT(3)</f>
        <v>0.3958172077785943</v>
      </c>
      <c r="Z22" s="89">
        <f>(V22-$V$7)/(D20-$D$5)</f>
        <v>0.20265474000540257</v>
      </c>
      <c r="AA22" s="88">
        <f>AVERAGE(Z20:Z22)</f>
        <v>0.20998467441022872</v>
      </c>
      <c r="AB22" s="95">
        <f>STDEV(Z20:Z22)/SQRT(3)</f>
        <v>4.7383849753078701E-3</v>
      </c>
      <c r="AD22" s="81"/>
      <c r="AE22" s="80"/>
      <c r="AF22" s="80"/>
      <c r="AG22" s="80"/>
      <c r="AH22" s="80"/>
    </row>
    <row r="23" spans="1:34" x14ac:dyDescent="0.2">
      <c r="A23" s="58"/>
      <c r="B23" s="206" t="s">
        <v>29</v>
      </c>
      <c r="C23" s="203">
        <v>0.41666666666666669</v>
      </c>
      <c r="D23" s="218">
        <f>24+D20</f>
        <v>144</v>
      </c>
      <c r="E23" s="104" t="s">
        <v>104</v>
      </c>
      <c r="F23" s="209">
        <f>(0.0423+0.0501)/2</f>
        <v>4.6199999999999998E-2</v>
      </c>
      <c r="G23" s="212">
        <f>(0.0402+0.0474)/2</f>
        <v>4.3799999999999999E-2</v>
      </c>
      <c r="H23" s="92">
        <f>0.2333-F23</f>
        <v>0.18710000000000002</v>
      </c>
      <c r="I23" s="96">
        <f>0.1996-F23</f>
        <v>0.15340000000000001</v>
      </c>
      <c r="J23" s="96">
        <f>0.1674-G23</f>
        <v>0.12359999999999999</v>
      </c>
      <c r="K23" s="96">
        <f>0.1365-G23</f>
        <v>9.2700000000000005E-2</v>
      </c>
      <c r="L23" s="76">
        <f t="shared" si="0"/>
        <v>1.8204538087520261E-2</v>
      </c>
      <c r="M23" s="76">
        <f t="shared" si="1"/>
        <v>1.5772528363047003E-2</v>
      </c>
      <c r="N23" s="96">
        <f t="shared" si="2"/>
        <v>1.6988533225283632E-2</v>
      </c>
      <c r="O23" s="96">
        <f>'Growth curves UTEX #1926'!F14</f>
        <v>0.52200000000000002</v>
      </c>
      <c r="P23" s="76">
        <f t="shared" si="3"/>
        <v>0.65751120000000007</v>
      </c>
      <c r="Q23" s="97">
        <f>O23*0.25/1000</f>
        <v>1.305E-4</v>
      </c>
      <c r="R23" s="98">
        <f t="shared" si="4"/>
        <v>65.090165614113531</v>
      </c>
      <c r="S23" s="102"/>
      <c r="T23" s="103"/>
      <c r="U23" s="103"/>
      <c r="V23" s="80">
        <f t="shared" si="5"/>
        <v>42.797512901134532</v>
      </c>
      <c r="W23" s="94"/>
      <c r="X23" s="80"/>
      <c r="Y23" s="80"/>
      <c r="Z23" s="80">
        <f t="shared" si="7"/>
        <v>0.24987524153610666</v>
      </c>
      <c r="AA23" s="94"/>
      <c r="AB23" s="101"/>
      <c r="AC23" s="80"/>
      <c r="AD23" s="80"/>
      <c r="AE23" s="80"/>
    </row>
    <row r="24" spans="1:34" x14ac:dyDescent="0.2">
      <c r="A24" s="58"/>
      <c r="B24" s="207"/>
      <c r="C24" s="204"/>
      <c r="D24" s="219"/>
      <c r="E24" s="104" t="s">
        <v>105</v>
      </c>
      <c r="F24" s="210"/>
      <c r="G24" s="213"/>
      <c r="H24" s="74">
        <f>0.1975-F23</f>
        <v>0.15130000000000002</v>
      </c>
      <c r="I24" s="76">
        <f>0.1973-F23</f>
        <v>0.15110000000000001</v>
      </c>
      <c r="J24" s="76">
        <f>0.1328-G23</f>
        <v>8.8999999999999996E-2</v>
      </c>
      <c r="K24" s="76">
        <f>0.134-G23</f>
        <v>9.0200000000000002E-2</v>
      </c>
      <c r="L24" s="76">
        <f t="shared" si="0"/>
        <v>1.5794975688816857E-2</v>
      </c>
      <c r="M24" s="76">
        <f t="shared" si="1"/>
        <v>1.5644894651539711E-2</v>
      </c>
      <c r="N24" s="76">
        <f t="shared" si="2"/>
        <v>1.5719935170178286E-2</v>
      </c>
      <c r="O24" s="76">
        <f>'Growth curves UTEX #1926'!G14</f>
        <v>0.55100000000000005</v>
      </c>
      <c r="P24" s="76">
        <f t="shared" si="3"/>
        <v>0.69403960000000009</v>
      </c>
      <c r="Q24" s="77">
        <f>O24*0.25/1000</f>
        <v>1.3775000000000001E-4</v>
      </c>
      <c r="R24" s="78">
        <f t="shared" si="4"/>
        <v>57.059655790120814</v>
      </c>
      <c r="S24" s="79"/>
      <c r="V24" s="80">
        <f t="shared" si="5"/>
        <v>39.601660680713138</v>
      </c>
      <c r="W24" s="94"/>
      <c r="X24" s="80"/>
      <c r="Y24" s="80"/>
      <c r="Z24" s="80">
        <f>(V24-$V$7)/(D23-$D$5)</f>
        <v>0.22501322078155958</v>
      </c>
      <c r="AA24" s="94"/>
      <c r="AB24" s="101"/>
      <c r="AC24" s="80"/>
      <c r="AD24" s="80"/>
      <c r="AE24" s="80"/>
    </row>
    <row r="25" spans="1:34" x14ac:dyDescent="0.2">
      <c r="A25" s="58"/>
      <c r="B25" s="208"/>
      <c r="C25" s="205"/>
      <c r="D25" s="220"/>
      <c r="E25" s="151" t="s">
        <v>106</v>
      </c>
      <c r="F25" s="211"/>
      <c r="G25" s="214"/>
      <c r="H25" s="74">
        <f>0.2109-F23</f>
        <v>0.16470000000000001</v>
      </c>
      <c r="I25" s="76">
        <f>0.2205-F23</f>
        <v>0.17430000000000001</v>
      </c>
      <c r="J25" s="76">
        <f>0.1425-G23</f>
        <v>9.8699999999999982E-2</v>
      </c>
      <c r="K25" s="76">
        <f>0.1502-G23</f>
        <v>0.10639999999999999</v>
      </c>
      <c r="L25" s="76">
        <f t="shared" si="0"/>
        <v>1.7015640194489468E-2</v>
      </c>
      <c r="M25" s="76">
        <f t="shared" si="1"/>
        <v>1.781653160453809E-2</v>
      </c>
      <c r="N25" s="76">
        <f t="shared" si="2"/>
        <v>1.7416085899513781E-2</v>
      </c>
      <c r="O25" s="76">
        <f>'Growth curves UTEX #1926'!H14</f>
        <v>0.53300000000000003</v>
      </c>
      <c r="P25" s="76">
        <f t="shared" si="3"/>
        <v>0.67136680000000004</v>
      </c>
      <c r="Q25" s="77">
        <f>O25*0.25/1000</f>
        <v>1.3325000000000001E-4</v>
      </c>
      <c r="R25" s="78">
        <f t="shared" si="4"/>
        <v>65.35116660230311</v>
      </c>
      <c r="S25" s="94">
        <f>AVERAGE(R23:R25)</f>
        <v>62.500329335512482</v>
      </c>
      <c r="T25" s="80">
        <f>STDEV(R23:R25)</f>
        <v>4.7135683775248838</v>
      </c>
      <c r="U25" s="89">
        <f>T25/SQRT(3)</f>
        <v>2.7213799716076994</v>
      </c>
      <c r="V25" s="89">
        <f t="shared" si="5"/>
        <v>43.874603598055117</v>
      </c>
      <c r="W25" s="88">
        <f>AVERAGE(V23:V25)</f>
        <v>42.091259059967591</v>
      </c>
      <c r="X25" s="89">
        <f>STDEV(V23:V25)</f>
        <v>2.2222974957997939</v>
      </c>
      <c r="Y25" s="89">
        <f>X25/SQRT(3)</f>
        <v>1.2830440574194424</v>
      </c>
      <c r="Z25" s="89">
        <f>(V25-$V$7)/(D23-$D$5)</f>
        <v>0.25468643548532333</v>
      </c>
      <c r="AA25" s="88">
        <f>AVERAGE(Z23:Z25)</f>
        <v>0.24319163260099652</v>
      </c>
      <c r="AB25" s="95">
        <f>STDEV(Z23:Z25)/SQRT(3)</f>
        <v>9.1947066114518358E-3</v>
      </c>
    </row>
    <row r="26" spans="1:34" x14ac:dyDescent="0.2">
      <c r="A26" s="58"/>
      <c r="B26" s="206" t="s">
        <v>30</v>
      </c>
      <c r="C26" s="203">
        <v>0.41666666666666669</v>
      </c>
      <c r="D26" s="218">
        <f>24+D23</f>
        <v>168</v>
      </c>
      <c r="E26" s="104" t="s">
        <v>104</v>
      </c>
      <c r="F26" s="209">
        <f>(0.0379+0.0475)/2</f>
        <v>4.2700000000000002E-2</v>
      </c>
      <c r="G26" s="212">
        <f>(0.0375+0.0463)/2</f>
        <v>4.19E-2</v>
      </c>
      <c r="H26" s="92">
        <f>0.1274-F26</f>
        <v>8.4700000000000011E-2</v>
      </c>
      <c r="I26" s="96">
        <f>0.1159-F26</f>
        <v>7.3200000000000001E-2</v>
      </c>
      <c r="J26" s="96">
        <f>0.0894-G26</f>
        <v>4.7499999999999994E-2</v>
      </c>
      <c r="K26" s="96">
        <f>0.0779-G26</f>
        <v>3.5999999999999997E-2</v>
      </c>
      <c r="L26" s="76">
        <f t="shared" si="0"/>
        <v>9.0700972447325789E-3</v>
      </c>
      <c r="M26" s="76">
        <f t="shared" si="1"/>
        <v>8.333873581847652E-3</v>
      </c>
      <c r="N26" s="96">
        <f t="shared" si="2"/>
        <v>8.7019854132901163E-3</v>
      </c>
      <c r="O26" s="96">
        <f>'Growth curves UTEX #1926'!F15</f>
        <v>0.63</v>
      </c>
      <c r="P26" s="76">
        <f t="shared" si="3"/>
        <v>0.79354800000000003</v>
      </c>
      <c r="Q26" s="97">
        <f t="shared" ref="Q26:Q31" si="9">P26*0.125/1000</f>
        <v>9.9193500000000005E-5</v>
      </c>
      <c r="R26" s="98">
        <f t="shared" si="4"/>
        <v>43.863687707814101</v>
      </c>
      <c r="S26" s="102"/>
      <c r="T26" s="103"/>
      <c r="U26" s="103"/>
      <c r="V26" s="80">
        <f t="shared" si="5"/>
        <v>34.807941653160469</v>
      </c>
      <c r="W26" s="94"/>
      <c r="X26" s="80"/>
      <c r="Y26" s="80"/>
      <c r="Z26" s="80">
        <f t="shared" si="7"/>
        <v>0.16662180674538868</v>
      </c>
      <c r="AA26" s="94"/>
      <c r="AB26" s="101"/>
    </row>
    <row r="27" spans="1:34" x14ac:dyDescent="0.2">
      <c r="A27" s="58"/>
      <c r="B27" s="207"/>
      <c r="C27" s="204"/>
      <c r="D27" s="219"/>
      <c r="E27" s="104" t="s">
        <v>105</v>
      </c>
      <c r="F27" s="210"/>
      <c r="G27" s="213"/>
      <c r="H27" s="74">
        <f>0.1157-F26</f>
        <v>7.2999999999999995E-2</v>
      </c>
      <c r="I27" s="76">
        <f>0.1409-F26</f>
        <v>9.8199999999999996E-2</v>
      </c>
      <c r="J27" s="76">
        <f>0.0778-G26</f>
        <v>3.5899999999999994E-2</v>
      </c>
      <c r="K27" s="76">
        <f>0.1017-G26</f>
        <v>5.9799999999999999E-2</v>
      </c>
      <c r="L27" s="76">
        <f t="shared" si="0"/>
        <v>8.3112641815235016E-3</v>
      </c>
      <c r="M27" s="76">
        <f t="shared" si="1"/>
        <v>1.0052025931928688E-2</v>
      </c>
      <c r="N27" s="76">
        <f t="shared" si="2"/>
        <v>9.1816450567260947E-3</v>
      </c>
      <c r="O27" s="76">
        <f>'Growth curves UTEX #1926'!G15</f>
        <v>0.63800000000000001</v>
      </c>
      <c r="P27" s="76">
        <f t="shared" si="3"/>
        <v>0.80362480000000003</v>
      </c>
      <c r="Q27" s="77">
        <f t="shared" si="9"/>
        <v>1.004531E-4</v>
      </c>
      <c r="R27" s="78">
        <f t="shared" si="4"/>
        <v>45.70115335776643</v>
      </c>
      <c r="S27" s="79"/>
      <c r="V27" s="80">
        <f t="shared" si="5"/>
        <v>36.726580226904375</v>
      </c>
      <c r="W27" s="94"/>
      <c r="X27" s="80"/>
      <c r="Y27" s="80"/>
      <c r="Z27" s="80">
        <f>(V27-$V$6)/(D26-$D$5)</f>
        <v>0.17951481342131664</v>
      </c>
      <c r="AA27" s="94"/>
      <c r="AB27" s="101"/>
    </row>
    <row r="28" spans="1:34" x14ac:dyDescent="0.2">
      <c r="A28" s="58"/>
      <c r="B28" s="208"/>
      <c r="C28" s="205"/>
      <c r="D28" s="220"/>
      <c r="E28" s="151" t="s">
        <v>106</v>
      </c>
      <c r="F28" s="211"/>
      <c r="G28" s="214"/>
      <c r="H28" s="74">
        <f>0.1357-F26</f>
        <v>9.2999999999999985E-2</v>
      </c>
      <c r="I28" s="76">
        <f>0.1313-F26</f>
        <v>8.8599999999999998E-2</v>
      </c>
      <c r="J28" s="76">
        <f>0.097-G26</f>
        <v>5.5100000000000003E-2</v>
      </c>
      <c r="K28" s="76">
        <f>0.0915-G26</f>
        <v>4.9599999999999998E-2</v>
      </c>
      <c r="L28" s="76">
        <f t="shared" si="0"/>
        <v>9.6700972447325735E-3</v>
      </c>
      <c r="M28" s="76">
        <f t="shared" si="1"/>
        <v>9.4962722852512168E-3</v>
      </c>
      <c r="N28" s="76">
        <f t="shared" si="2"/>
        <v>9.5831847649918943E-3</v>
      </c>
      <c r="O28" s="76">
        <f>'Growth curves UTEX #1926'!H15</f>
        <v>0.63300000000000001</v>
      </c>
      <c r="P28" s="76">
        <f t="shared" si="3"/>
        <v>0.7973268</v>
      </c>
      <c r="Q28" s="77">
        <f t="shared" si="9"/>
        <v>9.9665849999999994E-5</v>
      </c>
      <c r="R28" s="78">
        <f t="shared" si="4"/>
        <v>48.076571689259133</v>
      </c>
      <c r="S28" s="94">
        <f>AVERAGE(R26:R28)</f>
        <v>45.88047091827989</v>
      </c>
      <c r="T28" s="80">
        <f>STDEV(R26:R28)</f>
        <v>2.1121585998476555</v>
      </c>
      <c r="U28" s="89">
        <f>T28/SQRT(3)</f>
        <v>1.219455336193227</v>
      </c>
      <c r="V28" s="89">
        <f t="shared" si="5"/>
        <v>38.332739059967579</v>
      </c>
      <c r="W28" s="88">
        <f>AVERAGE(V26:V28)</f>
        <v>36.622420313344143</v>
      </c>
      <c r="X28" s="89">
        <f>STDEV(V26:V28)</f>
        <v>1.7647056852215297</v>
      </c>
      <c r="Y28" s="89">
        <f>X28/SQRT(3)</f>
        <v>1.0188533024031132</v>
      </c>
      <c r="Z28" s="89">
        <f>(V28-$V$7)/(D26-$D$5)</f>
        <v>0.18531537007023227</v>
      </c>
      <c r="AA28" s="88">
        <f>AVERAGE(Z26:Z28)</f>
        <v>0.17715066341231253</v>
      </c>
      <c r="AB28" s="95">
        <f>STDEV(Z26:Z28)/SQRT(3)</f>
        <v>5.5243168927264956E-3</v>
      </c>
    </row>
    <row r="29" spans="1:34" x14ac:dyDescent="0.2">
      <c r="A29" s="58"/>
      <c r="B29" s="206" t="s">
        <v>31</v>
      </c>
      <c r="C29" s="203">
        <v>0.41666666666666669</v>
      </c>
      <c r="D29" s="215">
        <f>24+D26</f>
        <v>192</v>
      </c>
      <c r="E29" s="104" t="s">
        <v>104</v>
      </c>
      <c r="F29" s="209">
        <f>(0.0433+0.0489+0.0503)/3</f>
        <v>4.7500000000000007E-2</v>
      </c>
      <c r="G29" s="212">
        <f>(0.0414+0.0468+0.0487)/3</f>
        <v>4.5633333333333331E-2</v>
      </c>
      <c r="H29" s="92">
        <f>0.1762-F29</f>
        <v>0.12869999999999998</v>
      </c>
      <c r="I29" s="96">
        <f>0.1853-F29</f>
        <v>0.13779999999999998</v>
      </c>
      <c r="J29" s="96">
        <f>0.1254-G29</f>
        <v>7.976666666666668E-2</v>
      </c>
      <c r="K29" s="96">
        <f>0.1321-G29</f>
        <v>8.6466666666666664E-2</v>
      </c>
      <c r="L29" s="76">
        <f t="shared" si="0"/>
        <v>1.3037466234467852E-2</v>
      </c>
      <c r="M29" s="76">
        <f t="shared" si="1"/>
        <v>1.3855375472717448E-2</v>
      </c>
      <c r="N29" s="96">
        <f t="shared" si="2"/>
        <v>1.344642085359265E-2</v>
      </c>
      <c r="O29" s="96">
        <f>'Growth curves UTEX #1926'!F16</f>
        <v>0.71799999999999997</v>
      </c>
      <c r="P29" s="76">
        <f t="shared" si="3"/>
        <v>0.9043928</v>
      </c>
      <c r="Q29" s="97">
        <f t="shared" si="9"/>
        <v>1.130491E-4</v>
      </c>
      <c r="R29" s="98">
        <f t="shared" si="4"/>
        <v>59.471596207279184</v>
      </c>
      <c r="S29" s="102"/>
      <c r="T29" s="103"/>
      <c r="U29" s="103"/>
      <c r="V29" s="80">
        <f t="shared" si="5"/>
        <v>53.785683414370602</v>
      </c>
      <c r="W29" s="94"/>
      <c r="X29" s="80"/>
      <c r="Y29" s="80"/>
      <c r="Z29" s="80">
        <f t="shared" si="7"/>
        <v>0.24463648590851786</v>
      </c>
      <c r="AA29" s="94"/>
      <c r="AB29" s="101"/>
    </row>
    <row r="30" spans="1:34" x14ac:dyDescent="0.2">
      <c r="A30" s="58"/>
      <c r="B30" s="207"/>
      <c r="C30" s="204"/>
      <c r="D30" s="216"/>
      <c r="E30" s="104" t="s">
        <v>105</v>
      </c>
      <c r="F30" s="210"/>
      <c r="G30" s="213"/>
      <c r="H30" s="74">
        <f>0.1641-F29</f>
        <v>0.11659999999999998</v>
      </c>
      <c r="I30" s="76">
        <f>0.1676-F29</f>
        <v>0.12009999999999998</v>
      </c>
      <c r="J30" s="76">
        <f>0.116-G29</f>
        <v>7.0366666666666675E-2</v>
      </c>
      <c r="K30" s="76">
        <f>0.1188-G29</f>
        <v>7.3166666666666672E-2</v>
      </c>
      <c r="L30" s="76">
        <f t="shared" si="0"/>
        <v>1.1998082117774173E-2</v>
      </c>
      <c r="M30" s="76">
        <f t="shared" si="1"/>
        <v>1.22907887628309E-2</v>
      </c>
      <c r="N30" s="76">
        <f t="shared" si="2"/>
        <v>1.2144435440302536E-2</v>
      </c>
      <c r="O30" s="76">
        <f>'Growth curves UTEX #1926'!G16</f>
        <v>0.70499999999999996</v>
      </c>
      <c r="P30" s="76">
        <f t="shared" si="3"/>
        <v>0.88801799999999997</v>
      </c>
      <c r="Q30" s="77">
        <f t="shared" si="9"/>
        <v>1.1100225E-4</v>
      </c>
      <c r="R30" s="78">
        <f t="shared" si="4"/>
        <v>54.703555289656457</v>
      </c>
      <c r="S30" s="79"/>
      <c r="V30" s="80">
        <f t="shared" si="5"/>
        <v>48.577741761210149</v>
      </c>
      <c r="W30" s="94"/>
      <c r="X30" s="80"/>
      <c r="Y30" s="80"/>
      <c r="Z30" s="80">
        <f>(V30-$V$6)/(D29-$D$5)</f>
        <v>0.21880026140149464</v>
      </c>
      <c r="AA30" s="94"/>
      <c r="AB30" s="101"/>
    </row>
    <row r="31" spans="1:34" x14ac:dyDescent="0.2">
      <c r="A31" s="58"/>
      <c r="B31" s="208"/>
      <c r="C31" s="205"/>
      <c r="D31" s="217"/>
      <c r="E31" s="151" t="s">
        <v>106</v>
      </c>
      <c r="F31" s="211"/>
      <c r="G31" s="214"/>
      <c r="H31" s="74">
        <f>0.1772-F29</f>
        <v>0.12969999999999998</v>
      </c>
      <c r="I31" s="76">
        <f>0.1766-F29</f>
        <v>0.12909999999999999</v>
      </c>
      <c r="J31" s="76">
        <f>0.1351-G29</f>
        <v>8.9466666666666667E-2</v>
      </c>
      <c r="K31" s="76">
        <f>0.1341-G29</f>
        <v>8.8466666666666666E-2</v>
      </c>
      <c r="L31" s="76">
        <f t="shared" si="0"/>
        <v>1.2248406266882764E-2</v>
      </c>
      <c r="M31" s="76">
        <f t="shared" si="1"/>
        <v>1.224921663965424E-2</v>
      </c>
      <c r="N31" s="76">
        <f t="shared" si="2"/>
        <v>1.2248811453268501E-2</v>
      </c>
      <c r="O31" s="76">
        <f>'Growth curves UTEX #1926'!H16</f>
        <v>0.65600000000000003</v>
      </c>
      <c r="P31" s="76">
        <f t="shared" si="3"/>
        <v>0.82629760000000008</v>
      </c>
      <c r="Q31" s="77">
        <f t="shared" si="9"/>
        <v>1.0328720000000002E-4</v>
      </c>
      <c r="R31" s="78">
        <f t="shared" si="4"/>
        <v>59.294914826176424</v>
      </c>
      <c r="S31" s="94">
        <f>AVERAGE(R29:R31)</f>
        <v>57.823355441037357</v>
      </c>
      <c r="T31" s="80">
        <f>STDEV(R29:R31)</f>
        <v>2.7032700227732152</v>
      </c>
      <c r="U31" s="89">
        <f>T31/SQRT(3)</f>
        <v>1.5607336753403616</v>
      </c>
      <c r="V31" s="89">
        <f t="shared" si="5"/>
        <v>48.995245813074</v>
      </c>
      <c r="W31" s="88">
        <f>AVERAGE(V29:V31)</f>
        <v>50.452890329551586</v>
      </c>
      <c r="X31" s="89">
        <f>STDEV(V29:V31)</f>
        <v>2.8938226825418636</v>
      </c>
      <c r="Y31" s="89">
        <f>X31/SQRT(3)</f>
        <v>1.6707493047525901</v>
      </c>
      <c r="Z31" s="89">
        <f>(V31-$V$7)/(D29-$D$5)</f>
        <v>0.21768483815054918</v>
      </c>
      <c r="AA31" s="88">
        <f>AVERAGE(Z29:Z31)</f>
        <v>0.22704052848685388</v>
      </c>
      <c r="AB31" s="95">
        <f>STDEV(Z29:Z31)/SQRT(3)</f>
        <v>8.803869044269606E-3</v>
      </c>
    </row>
    <row r="32" spans="1:34" x14ac:dyDescent="0.2">
      <c r="A32" s="58"/>
      <c r="B32" s="206" t="s">
        <v>32</v>
      </c>
      <c r="C32" s="203">
        <v>0.41666666666666669</v>
      </c>
      <c r="D32" s="215">
        <f>24+D29</f>
        <v>216</v>
      </c>
      <c r="E32" s="104" t="s">
        <v>104</v>
      </c>
      <c r="F32" s="209">
        <f>(0.0494+0.0498)/2</f>
        <v>4.9599999999999998E-2</v>
      </c>
      <c r="G32" s="212">
        <f>(0.0475+0.0482)/2</f>
        <v>4.7850000000000004E-2</v>
      </c>
      <c r="H32" s="92">
        <f>0.1446-F32</f>
        <v>9.5000000000000001E-2</v>
      </c>
      <c r="I32" s="96">
        <f>0.1322-F32</f>
        <v>8.2600000000000007E-2</v>
      </c>
      <c r="J32" s="96">
        <f>0.1118-G32</f>
        <v>6.3949999999999993E-2</v>
      </c>
      <c r="K32" s="96">
        <f>0.0972-G32</f>
        <v>4.9349999999999991E-2</v>
      </c>
      <c r="L32" s="76">
        <f t="shared" si="0"/>
        <v>9.1264586709886557E-3</v>
      </c>
      <c r="M32" s="76">
        <f t="shared" si="1"/>
        <v>8.5483387358184781E-3</v>
      </c>
      <c r="N32" s="96">
        <f t="shared" si="2"/>
        <v>8.8373987034035678E-3</v>
      </c>
      <c r="O32" s="96">
        <f>'Growth curves UTEX #1926'!F17</f>
        <v>0.80500000000000005</v>
      </c>
      <c r="P32" s="76">
        <f t="shared" si="3"/>
        <v>1.013978</v>
      </c>
      <c r="Q32" s="97">
        <f t="shared" ref="Q32:Q55" si="10">P32*0.1/1000</f>
        <v>1.0139780000000001E-4</v>
      </c>
      <c r="R32" s="98">
        <f t="shared" si="4"/>
        <v>43.577862159748868</v>
      </c>
      <c r="S32" s="102"/>
      <c r="T32" s="103"/>
      <c r="U32" s="103"/>
      <c r="V32" s="80">
        <f t="shared" si="5"/>
        <v>44.186993517017839</v>
      </c>
      <c r="W32" s="94"/>
      <c r="X32" s="80"/>
      <c r="Y32" s="80"/>
      <c r="Z32" s="80">
        <f t="shared" si="7"/>
        <v>0.17301627498649383</v>
      </c>
      <c r="AA32" s="94"/>
      <c r="AB32" s="101"/>
    </row>
    <row r="33" spans="1:28" x14ac:dyDescent="0.2">
      <c r="A33" s="58"/>
      <c r="B33" s="207"/>
      <c r="C33" s="204"/>
      <c r="D33" s="216"/>
      <c r="E33" s="104" t="s">
        <v>105</v>
      </c>
      <c r="F33" s="210"/>
      <c r="G33" s="213"/>
      <c r="H33" s="74">
        <f>0.1655-F32</f>
        <v>0.1159</v>
      </c>
      <c r="I33" s="76">
        <f>0.2248-F32</f>
        <v>0.17519999999999999</v>
      </c>
      <c r="J33" s="76">
        <f>0.1347-G32</f>
        <v>8.6849999999999983E-2</v>
      </c>
      <c r="K33" s="76">
        <f>0.1932-G32</f>
        <v>0.14535000000000001</v>
      </c>
      <c r="L33" s="76">
        <f t="shared" si="0"/>
        <v>1.0268354943273909E-2</v>
      </c>
      <c r="M33" s="76">
        <f t="shared" si="1"/>
        <v>1.4143152350081034E-2</v>
      </c>
      <c r="N33" s="76">
        <f t="shared" si="2"/>
        <v>1.2205753646677472E-2</v>
      </c>
      <c r="O33" s="76">
        <f>'Growth curves UTEX #1926'!G17</f>
        <v>0.82899999999999996</v>
      </c>
      <c r="P33" s="76">
        <f t="shared" si="3"/>
        <v>1.0442084</v>
      </c>
      <c r="Q33" s="77">
        <f t="shared" si="10"/>
        <v>1.0442084000000001E-4</v>
      </c>
      <c r="R33" s="78">
        <f t="shared" si="4"/>
        <v>58.44500794418753</v>
      </c>
      <c r="S33" s="79"/>
      <c r="V33" s="80">
        <f t="shared" si="5"/>
        <v>61.028768233387353</v>
      </c>
      <c r="W33" s="94"/>
      <c r="X33" s="80"/>
      <c r="Y33" s="80"/>
      <c r="Z33" s="80">
        <f>(V33-$V$6)/(D32-$D$5)</f>
        <v>0.25213276232066745</v>
      </c>
      <c r="AA33" s="94"/>
      <c r="AB33" s="101"/>
    </row>
    <row r="34" spans="1:28" x14ac:dyDescent="0.2">
      <c r="A34" s="58"/>
      <c r="B34" s="208"/>
      <c r="C34" s="205"/>
      <c r="D34" s="217"/>
      <c r="E34" s="151" t="s">
        <v>106</v>
      </c>
      <c r="F34" s="211"/>
      <c r="G34" s="214"/>
      <c r="H34" s="74">
        <f>0.174-F32</f>
        <v>0.12439999999999998</v>
      </c>
      <c r="I34" s="76">
        <f>0.1983-F32</f>
        <v>0.1487</v>
      </c>
      <c r="J34" s="76">
        <f>0.144-G32</f>
        <v>9.6149999999999985E-2</v>
      </c>
      <c r="K34" s="76">
        <f>0.1667-G32</f>
        <v>0.11884999999999998</v>
      </c>
      <c r="L34" s="76">
        <f t="shared" si="0"/>
        <v>1.0734076175040517E-2</v>
      </c>
      <c r="M34" s="76">
        <f t="shared" si="1"/>
        <v>1.244663695299838E-2</v>
      </c>
      <c r="N34" s="76">
        <f t="shared" si="2"/>
        <v>1.1590356564019449E-2</v>
      </c>
      <c r="O34" s="76">
        <f>'Growth curves UTEX #1926'!H17</f>
        <v>0.82899999999999996</v>
      </c>
      <c r="P34" s="76">
        <f t="shared" si="3"/>
        <v>1.0442084</v>
      </c>
      <c r="Q34" s="77">
        <f t="shared" si="10"/>
        <v>1.0442084000000001E-4</v>
      </c>
      <c r="R34" s="78">
        <f t="shared" si="4"/>
        <v>55.498292122623454</v>
      </c>
      <c r="S34" s="94">
        <f>AVERAGE(R32:R34)</f>
        <v>52.507054075519953</v>
      </c>
      <c r="T34" s="80">
        <f>STDEV(R32:R34)</f>
        <v>7.8720159257186388</v>
      </c>
      <c r="U34" s="89">
        <f>T34/SQRT(3)</f>
        <v>4.5449105137786772</v>
      </c>
      <c r="V34" s="89">
        <f t="shared" si="5"/>
        <v>57.951782820097243</v>
      </c>
      <c r="W34" s="88">
        <f>AVERAGE(V32:V34)</f>
        <v>54.38918152350081</v>
      </c>
      <c r="X34" s="89">
        <f>STDEV(V32:V34)</f>
        <v>8.9683019517698774</v>
      </c>
      <c r="Y34" s="89">
        <f>X34/SQRT(3)</f>
        <v>5.1778515460281849</v>
      </c>
      <c r="Z34" s="89">
        <f>(V34-$V$7)/(D32-$D$5)</f>
        <v>0.23496308301818836</v>
      </c>
      <c r="AA34" s="88">
        <f>AVERAGE(Z32:Z34)</f>
        <v>0.2200373734417832</v>
      </c>
      <c r="AB34" s="95">
        <f>STDEV(Z32:Z34)/SQRT(3)</f>
        <v>2.4027326434666044E-2</v>
      </c>
    </row>
    <row r="35" spans="1:28" x14ac:dyDescent="0.2">
      <c r="A35" s="58"/>
      <c r="B35" s="206" t="s">
        <v>33</v>
      </c>
      <c r="C35" s="203">
        <v>0.41666666666666669</v>
      </c>
      <c r="D35" s="215">
        <f>48+D32</f>
        <v>264</v>
      </c>
      <c r="E35" s="104" t="s">
        <v>104</v>
      </c>
      <c r="F35" s="209">
        <f>(0.039+0.0502)/2</f>
        <v>4.4600000000000001E-2</v>
      </c>
      <c r="G35" s="212">
        <f>(0.0378+0.0486)/2</f>
        <v>4.3200000000000002E-2</v>
      </c>
      <c r="H35" s="92">
        <f>0.1576-F35</f>
        <v>0.11299999999999999</v>
      </c>
      <c r="I35" s="96">
        <f>0.1554-F35</f>
        <v>0.11080000000000001</v>
      </c>
      <c r="J35" s="96">
        <f>0.1157-G35</f>
        <v>7.2499999999999995E-2</v>
      </c>
      <c r="K35" s="96">
        <f>0.111-G35</f>
        <v>6.7799999999999999E-2</v>
      </c>
      <c r="L35" s="76">
        <f t="shared" si="0"/>
        <v>1.120542949756888E-2</v>
      </c>
      <c r="M35" s="76">
        <f t="shared" si="1"/>
        <v>1.1309724473257701E-2</v>
      </c>
      <c r="N35" s="96">
        <f t="shared" si="2"/>
        <v>1.1257576985413291E-2</v>
      </c>
      <c r="O35" s="96">
        <f>'Growth curves UTEX #1926'!F18</f>
        <v>0.98399999999999999</v>
      </c>
      <c r="P35" s="76">
        <f t="shared" si="3"/>
        <v>1.2394464000000001</v>
      </c>
      <c r="Q35" s="97">
        <f t="shared" si="10"/>
        <v>1.2394464000000001E-4</v>
      </c>
      <c r="R35" s="98">
        <f t="shared" si="4"/>
        <v>45.413730619626996</v>
      </c>
      <c r="S35" s="102"/>
      <c r="T35" s="103"/>
      <c r="U35" s="103"/>
      <c r="V35" s="80">
        <f t="shared" si="5"/>
        <v>56.28788492706645</v>
      </c>
      <c r="W35" s="94"/>
      <c r="X35" s="80"/>
      <c r="Y35" s="80"/>
      <c r="Z35" s="80">
        <f t="shared" si="7"/>
        <v>0.18739548033004272</v>
      </c>
      <c r="AA35" s="94"/>
      <c r="AB35" s="101"/>
    </row>
    <row r="36" spans="1:28" x14ac:dyDescent="0.2">
      <c r="A36" s="58"/>
      <c r="B36" s="207"/>
      <c r="C36" s="204"/>
      <c r="D36" s="216"/>
      <c r="E36" s="104" t="s">
        <v>105</v>
      </c>
      <c r="F36" s="210"/>
      <c r="G36" s="213"/>
      <c r="H36" s="74">
        <f>0.18-F35</f>
        <v>0.13539999999999999</v>
      </c>
      <c r="I36" s="76">
        <f>0.1835-F35</f>
        <v>0.1389</v>
      </c>
      <c r="J36" s="76">
        <f>0.1255-G35</f>
        <v>8.2299999999999998E-2</v>
      </c>
      <c r="K36" s="76">
        <f>0.1291-G35</f>
        <v>8.589999999999999E-2</v>
      </c>
      <c r="L36" s="76">
        <f t="shared" si="0"/>
        <v>1.3874959481361427E-2</v>
      </c>
      <c r="M36" s="76">
        <f t="shared" si="1"/>
        <v>1.4089222042139382E-2</v>
      </c>
      <c r="N36" s="76">
        <f t="shared" si="2"/>
        <v>1.3982090761750405E-2</v>
      </c>
      <c r="O36" s="76">
        <f>'Growth curves UTEX #1926'!G18</f>
        <v>0.97699999999999998</v>
      </c>
      <c r="P36" s="76">
        <f t="shared" si="3"/>
        <v>1.2306292000000001</v>
      </c>
      <c r="Q36" s="77">
        <f t="shared" si="10"/>
        <v>1.2306292000000002E-4</v>
      </c>
      <c r="R36" s="78">
        <f t="shared" si="4"/>
        <v>56.808707130264757</v>
      </c>
      <c r="S36" s="79"/>
      <c r="V36" s="80">
        <f t="shared" si="5"/>
        <v>69.910453808752024</v>
      </c>
      <c r="W36" s="94"/>
      <c r="X36" s="80"/>
      <c r="Y36" s="80"/>
      <c r="Z36" s="80">
        <f>(V36-$V$6)/(D35-$D$5)</f>
        <v>0.23993319029026078</v>
      </c>
      <c r="AA36" s="94"/>
      <c r="AB36" s="101"/>
    </row>
    <row r="37" spans="1:28" x14ac:dyDescent="0.2">
      <c r="A37" s="58"/>
      <c r="B37" s="208"/>
      <c r="C37" s="205"/>
      <c r="D37" s="217"/>
      <c r="E37" s="151" t="s">
        <v>106</v>
      </c>
      <c r="F37" s="211"/>
      <c r="G37" s="214"/>
      <c r="H37" s="74">
        <f>0.2054-F35</f>
        <v>0.1608</v>
      </c>
      <c r="I37" s="76">
        <f>0.1959-F35</f>
        <v>0.15129999999999999</v>
      </c>
      <c r="J37" s="76">
        <f>0.1556-G35</f>
        <v>0.11239999999999999</v>
      </c>
      <c r="K37" s="76">
        <f>0.146-G35</f>
        <v>0.10279999999999999</v>
      </c>
      <c r="L37" s="76">
        <f t="shared" si="0"/>
        <v>1.5040194489465156E-2</v>
      </c>
      <c r="M37" s="76">
        <f t="shared" si="1"/>
        <v>1.4441815235008102E-2</v>
      </c>
      <c r="N37" s="76">
        <f t="shared" si="2"/>
        <v>1.4741004862236628E-2</v>
      </c>
      <c r="O37" s="76">
        <f>'Growth curves UTEX #1926'!H18</f>
        <v>0.99399999999999999</v>
      </c>
      <c r="P37" s="76">
        <f t="shared" si="3"/>
        <v>1.2520424000000001</v>
      </c>
      <c r="Q37" s="77">
        <f t="shared" si="10"/>
        <v>1.2520424000000003E-4</v>
      </c>
      <c r="R37" s="78">
        <f t="shared" si="4"/>
        <v>58.867834117425353</v>
      </c>
      <c r="S37" s="94">
        <f>AVERAGE(R35:R37)</f>
        <v>53.696757289105705</v>
      </c>
      <c r="T37" s="80">
        <f>STDEV(R35:R37)</f>
        <v>7.2468199296508615</v>
      </c>
      <c r="U37" s="89">
        <f>T37/SQRT(3)</f>
        <v>4.1839534371526703</v>
      </c>
      <c r="V37" s="89">
        <f t="shared" si="5"/>
        <v>73.705024311183124</v>
      </c>
      <c r="W37" s="88">
        <f>AVERAGE(V35:V37)</f>
        <v>66.634454349000535</v>
      </c>
      <c r="X37" s="89">
        <f>STDEV(V35:V37)</f>
        <v>9.1590564703278314</v>
      </c>
      <c r="Y37" s="89">
        <f>X37/SQRT(3)</f>
        <v>5.2879837186667578</v>
      </c>
      <c r="Z37" s="89">
        <f>(V37-$V$7)/(D35-$D$5)</f>
        <v>0.25191389175384304</v>
      </c>
      <c r="AA37" s="88">
        <f>AVERAGE(Z35:Z37)</f>
        <v>0.22641418745804884</v>
      </c>
      <c r="AB37" s="95">
        <f>STDEV(Z35:Z37)/SQRT(3)</f>
        <v>1.9813538564541554E-2</v>
      </c>
    </row>
    <row r="38" spans="1:28" x14ac:dyDescent="0.2">
      <c r="A38" s="58"/>
      <c r="B38" s="206" t="s">
        <v>34</v>
      </c>
      <c r="C38" s="203">
        <v>0.41666666666666669</v>
      </c>
      <c r="D38" s="218">
        <f>24+D35</f>
        <v>288</v>
      </c>
      <c r="E38" s="104" t="s">
        <v>104</v>
      </c>
      <c r="F38" s="209">
        <f>(0.0403+0.052)/2</f>
        <v>4.6149999999999997E-2</v>
      </c>
      <c r="G38" s="212">
        <f>(0.0384+0.0498)/2</f>
        <v>4.41E-2</v>
      </c>
      <c r="H38" s="92">
        <f>0.1869-F38</f>
        <v>0.14075000000000001</v>
      </c>
      <c r="I38" s="96">
        <f>0.1813-F38</f>
        <v>0.13514999999999999</v>
      </c>
      <c r="J38" s="96">
        <f>0.1254-G38</f>
        <v>8.1300000000000011E-2</v>
      </c>
      <c r="K38" s="96">
        <f>0.1211-G38</f>
        <v>7.6999999999999999E-2</v>
      </c>
      <c r="L38" s="76">
        <f t="shared" si="0"/>
        <v>1.4840113452188008E-2</v>
      </c>
      <c r="M38" s="76">
        <f t="shared" si="1"/>
        <v>1.435413290113452E-2</v>
      </c>
      <c r="N38" s="96">
        <f t="shared" si="2"/>
        <v>1.4597123176661264E-2</v>
      </c>
      <c r="O38" s="96">
        <f>'Growth curves UTEX #1926'!F19</f>
        <v>1.054</v>
      </c>
      <c r="P38" s="76">
        <f t="shared" si="3"/>
        <v>1.3276184000000002</v>
      </c>
      <c r="Q38" s="97">
        <f t="shared" si="10"/>
        <v>1.3276184000000002E-4</v>
      </c>
      <c r="R38" s="98">
        <f t="shared" si="4"/>
        <v>54.974845093519576</v>
      </c>
      <c r="S38" s="102"/>
      <c r="T38" s="103"/>
      <c r="U38" s="103"/>
      <c r="V38" s="80">
        <f t="shared" si="5"/>
        <v>72.985615883306323</v>
      </c>
      <c r="W38" s="94"/>
      <c r="X38" s="80"/>
      <c r="Y38" s="80"/>
      <c r="Z38" s="80">
        <f t="shared" si="7"/>
        <v>0.22975742278948319</v>
      </c>
      <c r="AA38" s="94"/>
      <c r="AB38" s="101"/>
    </row>
    <row r="39" spans="1:28" x14ac:dyDescent="0.2">
      <c r="A39" s="58"/>
      <c r="B39" s="207"/>
      <c r="C39" s="204"/>
      <c r="D39" s="219"/>
      <c r="E39" s="104" t="s">
        <v>105</v>
      </c>
      <c r="F39" s="210"/>
      <c r="G39" s="213"/>
      <c r="H39" s="74">
        <f>0.194-F38</f>
        <v>0.14785000000000001</v>
      </c>
      <c r="I39" s="76">
        <f>0.202-F38</f>
        <v>0.15585000000000002</v>
      </c>
      <c r="J39" s="76">
        <f>0.1363-G38</f>
        <v>9.2200000000000004E-2</v>
      </c>
      <c r="K39" s="76">
        <f>0.1435-G38</f>
        <v>9.9399999999999988E-2</v>
      </c>
      <c r="L39" s="76">
        <f t="shared" si="0"/>
        <v>1.4922042139384119E-2</v>
      </c>
      <c r="M39" s="76">
        <f t="shared" si="1"/>
        <v>1.5512641815235012E-2</v>
      </c>
      <c r="N39" s="76">
        <f t="shared" si="2"/>
        <v>1.5217341977309565E-2</v>
      </c>
      <c r="O39" s="76">
        <f>'Growth curves UTEX #1926'!G19</f>
        <v>1.071</v>
      </c>
      <c r="P39" s="76">
        <f t="shared" si="3"/>
        <v>1.3490316</v>
      </c>
      <c r="Q39" s="77">
        <f t="shared" si="10"/>
        <v>1.3490316E-4</v>
      </c>
      <c r="R39" s="78">
        <f t="shared" si="4"/>
        <v>56.400984147849336</v>
      </c>
      <c r="S39" s="79"/>
      <c r="V39" s="80">
        <f t="shared" si="5"/>
        <v>76.086709886547823</v>
      </c>
      <c r="W39" s="94"/>
      <c r="X39" s="80"/>
      <c r="Y39" s="80"/>
      <c r="Z39" s="80">
        <f>(V39-$V$6)/(D38-$D$5)</f>
        <v>0.24138409136953001</v>
      </c>
      <c r="AA39" s="94"/>
      <c r="AB39" s="101"/>
    </row>
    <row r="40" spans="1:28" x14ac:dyDescent="0.2">
      <c r="A40" s="58"/>
      <c r="B40" s="208"/>
      <c r="C40" s="205"/>
      <c r="D40" s="220"/>
      <c r="E40" s="151" t="s">
        <v>106</v>
      </c>
      <c r="F40" s="211"/>
      <c r="G40" s="214"/>
      <c r="H40" s="74">
        <f>0.2061-F38</f>
        <v>0.15995000000000001</v>
      </c>
      <c r="I40" s="76">
        <f>0.2206-F38</f>
        <v>0.17444999999999999</v>
      </c>
      <c r="J40" s="76">
        <f>0.1454-G38</f>
        <v>0.1013</v>
      </c>
      <c r="K40" s="76">
        <f>0.1569-G38</f>
        <v>0.11280000000000001</v>
      </c>
      <c r="L40" s="76">
        <f t="shared" si="0"/>
        <v>1.5990842787682338E-2</v>
      </c>
      <c r="M40" s="76">
        <f t="shared" si="1"/>
        <v>1.7213290113452188E-2</v>
      </c>
      <c r="N40" s="76">
        <f t="shared" si="2"/>
        <v>1.6602066450567263E-2</v>
      </c>
      <c r="O40" s="76">
        <f>'Growth curves UTEX #1926'!H19</f>
        <v>1.073</v>
      </c>
      <c r="P40" s="76">
        <f t="shared" si="3"/>
        <v>1.3515508000000001</v>
      </c>
      <c r="Q40" s="77">
        <f t="shared" si="10"/>
        <v>1.3515508000000001E-4</v>
      </c>
      <c r="R40" s="78">
        <f t="shared" si="4"/>
        <v>61.418580975895473</v>
      </c>
      <c r="S40" s="94">
        <f>AVERAGE(R38:R40)</f>
        <v>57.598136739088126</v>
      </c>
      <c r="T40" s="80">
        <f>STDEV(R38:R40)</f>
        <v>3.384569954290646</v>
      </c>
      <c r="U40" s="89">
        <f>T40/SQRT(3)</f>
        <v>1.954082374200824</v>
      </c>
      <c r="V40" s="89">
        <f t="shared" si="5"/>
        <v>83.010332252836307</v>
      </c>
      <c r="W40" s="88">
        <f>AVERAGE(V38:V40)</f>
        <v>77.360886007563479</v>
      </c>
      <c r="X40" s="89">
        <f>STDEV(V38:V40)</f>
        <v>5.1323852313427807</v>
      </c>
      <c r="Y40" s="89">
        <f>X40/SQRT(3)</f>
        <v>2.9631839949006142</v>
      </c>
      <c r="Z40" s="89">
        <f>(V40-$V$7)/(D38-$D$5)</f>
        <v>0.26323116446065187</v>
      </c>
      <c r="AA40" s="88">
        <f>AVERAGE(Z38:Z40)</f>
        <v>0.24479089287322167</v>
      </c>
      <c r="AB40" s="95">
        <f>STDEV(Z38:Z40)/SQRT(3)</f>
        <v>9.8120260859009233E-3</v>
      </c>
    </row>
    <row r="41" spans="1:28" x14ac:dyDescent="0.2">
      <c r="A41" s="58"/>
      <c r="B41" s="206" t="s">
        <v>35</v>
      </c>
      <c r="C41" s="203">
        <v>0.41666666666666669</v>
      </c>
      <c r="D41" s="215">
        <f>24+D38</f>
        <v>312</v>
      </c>
      <c r="E41" s="104" t="s">
        <v>104</v>
      </c>
      <c r="F41" s="209">
        <f>(0.0487+0.0514)/2</f>
        <v>5.0049999999999997E-2</v>
      </c>
      <c r="G41" s="212">
        <f>(0.047+0.0499)/2</f>
        <v>4.845E-2</v>
      </c>
      <c r="H41" s="92">
        <f>0.1845-F41</f>
        <v>0.13445000000000001</v>
      </c>
      <c r="I41" s="96">
        <f>0.1902-F41</f>
        <v>0.14015</v>
      </c>
      <c r="J41" s="96">
        <f>0.1206-G41</f>
        <v>7.2149999999999992E-2</v>
      </c>
      <c r="K41" s="96">
        <f>0.1255-G41</f>
        <v>7.7050000000000007E-2</v>
      </c>
      <c r="L41" s="76">
        <f t="shared" si="0"/>
        <v>1.4716247974068076E-2</v>
      </c>
      <c r="M41" s="76">
        <f t="shared" si="1"/>
        <v>1.5159602917341978E-2</v>
      </c>
      <c r="N41" s="96">
        <f t="shared" si="2"/>
        <v>1.4937925445705026E-2</v>
      </c>
      <c r="O41" s="96">
        <f>'Growth curves UTEX #1926'!F20</f>
        <v>1.117</v>
      </c>
      <c r="P41" s="76">
        <f t="shared" si="3"/>
        <v>1.4069732000000001</v>
      </c>
      <c r="Q41" s="97">
        <f t="shared" si="10"/>
        <v>1.4069732000000001E-4</v>
      </c>
      <c r="R41" s="98">
        <f t="shared" si="4"/>
        <v>53.085323322807518</v>
      </c>
      <c r="S41" s="102"/>
      <c r="T41" s="103"/>
      <c r="U41" s="103"/>
      <c r="V41" s="80">
        <f t="shared" si="5"/>
        <v>74.68962722852514</v>
      </c>
      <c r="W41" s="94"/>
      <c r="X41" s="80"/>
      <c r="Y41" s="80"/>
      <c r="Z41" s="80">
        <f t="shared" si="7"/>
        <v>0.21754534970701916</v>
      </c>
      <c r="AA41" s="94"/>
      <c r="AB41" s="101"/>
    </row>
    <row r="42" spans="1:28" x14ac:dyDescent="0.2">
      <c r="A42" s="58"/>
      <c r="B42" s="207"/>
      <c r="C42" s="204"/>
      <c r="D42" s="216"/>
      <c r="E42" s="104" t="s">
        <v>105</v>
      </c>
      <c r="F42" s="210"/>
      <c r="G42" s="213"/>
      <c r="H42" s="74">
        <f>0.1988-F41</f>
        <v>0.14874999999999999</v>
      </c>
      <c r="I42" s="76">
        <f>0.2103-F41</f>
        <v>0.16025</v>
      </c>
      <c r="J42" s="76">
        <f>0.1271-G41</f>
        <v>7.8649999999999998E-2</v>
      </c>
      <c r="K42" s="76">
        <f>0.1357-G41</f>
        <v>8.7249999999999994E-2</v>
      </c>
      <c r="L42" s="76">
        <f t="shared" si="0"/>
        <v>1.6396555915721232E-2</v>
      </c>
      <c r="M42" s="76">
        <f t="shared" si="1"/>
        <v>1.7417139384116695E-2</v>
      </c>
      <c r="N42" s="76">
        <f t="shared" si="2"/>
        <v>1.6906847649918962E-2</v>
      </c>
      <c r="O42" s="56">
        <f>'Growth curves UTEX #1926'!G20</f>
        <v>1.1850000000000001</v>
      </c>
      <c r="P42" s="76">
        <f t="shared" si="3"/>
        <v>1.4926260000000002</v>
      </c>
      <c r="Q42" s="77">
        <f t="shared" si="10"/>
        <v>1.4926260000000001E-4</v>
      </c>
      <c r="R42" s="78">
        <f t="shared" si="4"/>
        <v>56.63457440081762</v>
      </c>
      <c r="S42" s="79"/>
      <c r="V42" s="80">
        <f t="shared" si="5"/>
        <v>84.534238249594807</v>
      </c>
      <c r="W42" s="94"/>
      <c r="X42" s="80"/>
      <c r="Y42" s="80"/>
      <c r="Z42" s="80">
        <f>(V42-$V$6)/(D41-$D$5)</f>
        <v>0.24989149576112701</v>
      </c>
      <c r="AA42" s="94"/>
      <c r="AB42" s="101"/>
    </row>
    <row r="43" spans="1:28" x14ac:dyDescent="0.2">
      <c r="A43" s="58"/>
      <c r="B43" s="208"/>
      <c r="C43" s="205"/>
      <c r="D43" s="217"/>
      <c r="E43" s="151" t="s">
        <v>106</v>
      </c>
      <c r="F43" s="211"/>
      <c r="G43" s="214"/>
      <c r="H43" s="74">
        <f>0.201-F41</f>
        <v>0.15095000000000003</v>
      </c>
      <c r="I43" s="76">
        <f>0.2067-F41</f>
        <v>0.15665000000000001</v>
      </c>
      <c r="J43" s="76">
        <f>0.1261-G41</f>
        <v>7.7649999999999997E-2</v>
      </c>
      <c r="K43" s="76">
        <f>0.1302-G41</f>
        <v>8.1750000000000017E-2</v>
      </c>
      <c r="L43" s="76">
        <f t="shared" si="0"/>
        <v>1.6851175040518643E-2</v>
      </c>
      <c r="M43" s="76">
        <f t="shared" si="1"/>
        <v>1.7372974068071312E-2</v>
      </c>
      <c r="N43" s="76">
        <f t="shared" si="2"/>
        <v>1.7112074554294976E-2</v>
      </c>
      <c r="O43" s="56">
        <f>'Growth curves UTEX #1926'!H20</f>
        <v>1.198</v>
      </c>
      <c r="P43" s="76">
        <f t="shared" si="3"/>
        <v>1.5090007999999999</v>
      </c>
      <c r="Q43" s="77">
        <f t="shared" si="10"/>
        <v>1.5090007999999999E-4</v>
      </c>
      <c r="R43" s="78">
        <f t="shared" si="4"/>
        <v>56.700018165315015</v>
      </c>
      <c r="S43" s="94">
        <f>AVERAGE(R41:R43)</f>
        <v>55.473305296313384</v>
      </c>
      <c r="T43" s="80">
        <f>STDEV(R41:R43)</f>
        <v>2.0683119085185449</v>
      </c>
      <c r="U43" s="89">
        <f>T43/SQRT(3)</f>
        <v>1.1941404371512905</v>
      </c>
      <c r="V43" s="89">
        <f t="shared" si="5"/>
        <v>85.560372771474889</v>
      </c>
      <c r="W43" s="88">
        <f>AVERAGE(V41:V43)</f>
        <v>81.594746083198274</v>
      </c>
      <c r="X43" s="89">
        <f>STDEV(V41:V43)</f>
        <v>6.0019778250273781</v>
      </c>
      <c r="Y43" s="89">
        <f>X43/SQRT(3)</f>
        <v>3.4652435129497214</v>
      </c>
      <c r="Z43" s="89">
        <f>(V43-$V$7)/(D41-$D$5)</f>
        <v>0.25115582013880233</v>
      </c>
      <c r="AA43" s="88">
        <f>AVERAGE(Z41:Z43)</f>
        <v>0.23953088853564952</v>
      </c>
      <c r="AB43" s="95">
        <f>STDEV(Z41:Z43)/SQRT(3)</f>
        <v>1.0998826713516693E-2</v>
      </c>
    </row>
    <row r="44" spans="1:28" x14ac:dyDescent="0.2">
      <c r="A44" s="58"/>
      <c r="B44" s="206" t="s">
        <v>36</v>
      </c>
      <c r="C44" s="203">
        <v>0.41666666666666669</v>
      </c>
      <c r="D44" s="218">
        <f>24+D41</f>
        <v>336</v>
      </c>
      <c r="E44" s="104" t="s">
        <v>104</v>
      </c>
      <c r="F44" s="209">
        <f>(0.0424+0.0458+0.0446)/3</f>
        <v>4.4266666666666669E-2</v>
      </c>
      <c r="G44" s="212">
        <f>(0.0415+0.0442+0.0437)/3</f>
        <v>4.3133333333333336E-2</v>
      </c>
      <c r="H44" s="92">
        <f>0.2177-F44</f>
        <v>0.17343333333333333</v>
      </c>
      <c r="I44" s="96">
        <f>0.2124-F44</f>
        <v>0.16813333333333333</v>
      </c>
      <c r="J44" s="96">
        <f>0.1656-G44</f>
        <v>0.12246666666666667</v>
      </c>
      <c r="K44" s="96">
        <f>0.1581-G44</f>
        <v>0.11496666666666666</v>
      </c>
      <c r="L44" s="76">
        <f t="shared" si="0"/>
        <v>1.6100648298217179E-2</v>
      </c>
      <c r="M44" s="76">
        <f t="shared" si="1"/>
        <v>1.5977066450567262E-2</v>
      </c>
      <c r="N44" s="96">
        <f t="shared" si="2"/>
        <v>1.6038857374392222E-2</v>
      </c>
      <c r="O44" s="103">
        <f>'Growth curves UTEX #1926'!F21</f>
        <v>1.222</v>
      </c>
      <c r="P44" s="76">
        <f t="shared" si="3"/>
        <v>1.5392312000000001</v>
      </c>
      <c r="Q44" s="97">
        <f t="shared" si="10"/>
        <v>1.5392312000000002E-4</v>
      </c>
      <c r="R44" s="98">
        <f t="shared" si="4"/>
        <v>52.100221767828707</v>
      </c>
      <c r="S44" s="102"/>
      <c r="T44" s="103"/>
      <c r="U44" s="103"/>
      <c r="V44" s="80">
        <f t="shared" si="5"/>
        <v>80.194286871961111</v>
      </c>
      <c r="W44" s="94"/>
      <c r="X44" s="80"/>
      <c r="Y44" s="80"/>
      <c r="Z44" s="80">
        <f t="shared" si="7"/>
        <v>0.21838931176198198</v>
      </c>
      <c r="AA44" s="94"/>
      <c r="AB44" s="101"/>
    </row>
    <row r="45" spans="1:28" x14ac:dyDescent="0.2">
      <c r="A45" s="58"/>
      <c r="B45" s="207"/>
      <c r="C45" s="204"/>
      <c r="D45" s="219"/>
      <c r="E45" s="104" t="s">
        <v>105</v>
      </c>
      <c r="F45" s="210"/>
      <c r="G45" s="213"/>
      <c r="H45" s="74">
        <f>0.1943-F44</f>
        <v>0.15003333333333332</v>
      </c>
      <c r="I45" s="76">
        <f>0.2053-F44</f>
        <v>0.16103333333333333</v>
      </c>
      <c r="J45" s="76">
        <f>0.1251-G44</f>
        <v>8.196666666666666E-2</v>
      </c>
      <c r="K45" s="76">
        <f>0.1384-G44</f>
        <v>9.5266666666666666E-2</v>
      </c>
      <c r="L45" s="76">
        <f t="shared" si="0"/>
        <v>1.627933549432739E-2</v>
      </c>
      <c r="M45" s="76">
        <f t="shared" si="1"/>
        <v>1.67580226904376E-2</v>
      </c>
      <c r="N45" s="76">
        <f t="shared" si="2"/>
        <v>1.6518679092382495E-2</v>
      </c>
      <c r="O45" s="56">
        <f>'Growth curves UTEX #1926'!G21</f>
        <v>1.2629999999999999</v>
      </c>
      <c r="P45" s="76">
        <f t="shared" si="3"/>
        <v>1.5908747999999999</v>
      </c>
      <c r="Q45" s="77">
        <f t="shared" si="10"/>
        <v>1.5908748000000001E-4</v>
      </c>
      <c r="R45" s="78">
        <f t="shared" si="4"/>
        <v>51.916967609212534</v>
      </c>
      <c r="S45" s="79"/>
      <c r="V45" s="80">
        <f t="shared" si="5"/>
        <v>82.593395461912465</v>
      </c>
      <c r="W45" s="94"/>
      <c r="X45" s="80"/>
      <c r="Y45" s="80"/>
      <c r="Z45" s="80">
        <f>(V45-$V$6)/(D44-$D$5)</f>
        <v>0.22626578538627765</v>
      </c>
      <c r="AA45" s="94"/>
      <c r="AB45" s="101"/>
    </row>
    <row r="46" spans="1:28" x14ac:dyDescent="0.2">
      <c r="A46" s="58"/>
      <c r="B46" s="208"/>
      <c r="C46" s="205"/>
      <c r="D46" s="220"/>
      <c r="E46" s="151" t="s">
        <v>106</v>
      </c>
      <c r="F46" s="211"/>
      <c r="G46" s="214"/>
      <c r="H46" s="74">
        <f>0.2123-F44</f>
        <v>0.16803333333333331</v>
      </c>
      <c r="I46" s="76">
        <f>0.2134-F44</f>
        <v>0.16913333333333333</v>
      </c>
      <c r="J46" s="76">
        <f>0.1433-G44</f>
        <v>0.10016666666666668</v>
      </c>
      <c r="K46" s="76">
        <f>0.1411-G44</f>
        <v>9.7966666666666674E-2</v>
      </c>
      <c r="L46" s="76">
        <f t="shared" si="0"/>
        <v>1.7412074554294971E-2</v>
      </c>
      <c r="M46" s="76">
        <f t="shared" si="1"/>
        <v>1.7806077795786062E-2</v>
      </c>
      <c r="N46" s="76">
        <f t="shared" si="2"/>
        <v>1.7609076175040518E-2</v>
      </c>
      <c r="O46" s="56">
        <f>'Growth curves UTEX #1926'!H21</f>
        <v>1.238</v>
      </c>
      <c r="P46" s="76">
        <f t="shared" si="3"/>
        <v>1.5593848000000001</v>
      </c>
      <c r="Q46" s="77">
        <f t="shared" si="10"/>
        <v>1.5593848000000003E-4</v>
      </c>
      <c r="R46" s="78">
        <f t="shared" si="4"/>
        <v>56.461612858611019</v>
      </c>
      <c r="S46" s="94">
        <f>AVERAGE(R44:R46)</f>
        <v>53.492934078550753</v>
      </c>
      <c r="T46" s="80">
        <f>STDEV(R44:R46)</f>
        <v>2.5725834867011823</v>
      </c>
      <c r="U46" s="89">
        <f>T46/SQRT(3)</f>
        <v>1.4852817685597137</v>
      </c>
      <c r="V46" s="89">
        <f t="shared" si="5"/>
        <v>88.045380875202582</v>
      </c>
      <c r="W46" s="88">
        <f>AVERAGE(V44:V46)</f>
        <v>83.611021069692057</v>
      </c>
      <c r="X46" s="89">
        <f>STDEV(V44:V46)</f>
        <v>4.0232562272542536</v>
      </c>
      <c r="Y46" s="89">
        <f>X46/SQRT(3)</f>
        <v>2.3228280658240816</v>
      </c>
      <c r="Z46" s="89">
        <f>(V46-$V$7)/(D44-$D$5)</f>
        <v>0.24061197615188695</v>
      </c>
      <c r="AA46" s="88">
        <f>AVERAGE(Z44:Z46)</f>
        <v>0.22842235776671552</v>
      </c>
      <c r="AB46" s="95">
        <f>STDEV(Z44:Z46)/SQRT(3)</f>
        <v>6.5051212253792335E-3</v>
      </c>
    </row>
    <row r="47" spans="1:28" x14ac:dyDescent="0.2">
      <c r="A47" s="58"/>
      <c r="B47" s="206" t="s">
        <v>37</v>
      </c>
      <c r="C47" s="203">
        <v>0.47916666666666669</v>
      </c>
      <c r="D47" s="215">
        <f>1.5+24+D44</f>
        <v>361.5</v>
      </c>
      <c r="E47" s="104" t="s">
        <v>104</v>
      </c>
      <c r="F47" s="209">
        <f>(0.0415+0.0244+0.0307)/3</f>
        <v>3.2199999999999999E-2</v>
      </c>
      <c r="G47" s="212">
        <f>(0.041+0.0237+0.03)/3</f>
        <v>3.1566666666666666E-2</v>
      </c>
      <c r="H47" s="96">
        <f>0.2174-F47</f>
        <v>0.1852</v>
      </c>
      <c r="I47" s="96">
        <f>0.2296-F47</f>
        <v>0.19739999999999999</v>
      </c>
      <c r="J47" s="96">
        <f>0.1298-G47</f>
        <v>9.8233333333333339E-2</v>
      </c>
      <c r="K47" s="96">
        <f>0.1399-G47</f>
        <v>0.10833333333333334</v>
      </c>
      <c r="L47" s="76">
        <f t="shared" si="0"/>
        <v>2.0383927606699083E-2</v>
      </c>
      <c r="M47" s="76">
        <f t="shared" si="1"/>
        <v>2.1370880605078336E-2</v>
      </c>
      <c r="N47" s="96">
        <f t="shared" si="2"/>
        <v>2.087740410588871E-2</v>
      </c>
      <c r="O47" s="103">
        <f>'Growth curves UTEX #1926'!F22</f>
        <v>1.2749999999999999</v>
      </c>
      <c r="P47" s="76">
        <f t="shared" si="3"/>
        <v>1.60599</v>
      </c>
      <c r="Q47" s="97">
        <f t="shared" si="10"/>
        <v>1.6059900000000001E-4</v>
      </c>
      <c r="R47" s="98">
        <f t="shared" si="4"/>
        <v>64.99854951116977</v>
      </c>
      <c r="S47" s="102"/>
      <c r="T47" s="103"/>
      <c r="U47" s="103"/>
      <c r="V47" s="80">
        <f t="shared" si="5"/>
        <v>104.38702052944355</v>
      </c>
      <c r="W47" s="94"/>
      <c r="X47" s="80"/>
      <c r="Y47" s="80"/>
      <c r="Z47" s="80">
        <f t="shared" si="7"/>
        <v>0.26990744788245746</v>
      </c>
      <c r="AA47" s="94"/>
      <c r="AB47" s="101"/>
    </row>
    <row r="48" spans="1:28" x14ac:dyDescent="0.2">
      <c r="A48" s="58"/>
      <c r="B48" s="207"/>
      <c r="C48" s="204"/>
      <c r="D48" s="216"/>
      <c r="E48" s="104" t="s">
        <v>105</v>
      </c>
      <c r="F48" s="210"/>
      <c r="G48" s="213"/>
      <c r="H48" s="76">
        <f>0.222-F47</f>
        <v>0.1898</v>
      </c>
      <c r="I48" s="76">
        <f>0.2323-F47</f>
        <v>0.2001</v>
      </c>
      <c r="J48" s="76">
        <f>0.1809-G47</f>
        <v>0.14933333333333335</v>
      </c>
      <c r="K48" s="76">
        <f>0.158-G47</f>
        <v>0.12643333333333334</v>
      </c>
      <c r="L48" s="76">
        <f t="shared" si="0"/>
        <v>1.6118854673149649E-2</v>
      </c>
      <c r="M48" s="76">
        <f t="shared" si="1"/>
        <v>2.0033684494867639E-2</v>
      </c>
      <c r="N48" s="76">
        <f t="shared" si="2"/>
        <v>1.8076269584008646E-2</v>
      </c>
      <c r="O48" s="56">
        <f>'Growth curves UTEX #1926'!G22</f>
        <v>1.3520000000000001</v>
      </c>
      <c r="P48" s="76">
        <f t="shared" si="3"/>
        <v>1.7029792000000001</v>
      </c>
      <c r="Q48" s="77">
        <f t="shared" si="10"/>
        <v>1.7029792000000001E-4</v>
      </c>
      <c r="R48" s="78">
        <f t="shared" si="4"/>
        <v>53.072490797329309</v>
      </c>
      <c r="S48" s="79"/>
      <c r="V48" s="80">
        <f t="shared" si="5"/>
        <v>90.38134792004324</v>
      </c>
      <c r="W48" s="94"/>
      <c r="X48" s="80"/>
      <c r="Y48" s="80"/>
      <c r="Z48" s="80">
        <f>(V48-$V$6)/(D47-$D$5)</f>
        <v>0.23184856527778716</v>
      </c>
      <c r="AA48" s="94"/>
      <c r="AB48" s="101"/>
    </row>
    <row r="49" spans="1:34" x14ac:dyDescent="0.2">
      <c r="A49" s="58"/>
      <c r="B49" s="208"/>
      <c r="C49" s="205"/>
      <c r="D49" s="217"/>
      <c r="E49" s="151" t="s">
        <v>106</v>
      </c>
      <c r="F49" s="211"/>
      <c r="G49" s="214"/>
      <c r="H49" s="76">
        <f>0.2335-F47</f>
        <v>0.20130000000000001</v>
      </c>
      <c r="I49" s="76">
        <f>0.2262-F47</f>
        <v>0.19400000000000001</v>
      </c>
      <c r="J49" s="76">
        <f>0.1527-G47</f>
        <v>0.12113333333333334</v>
      </c>
      <c r="K49" s="76">
        <f>0.1453-G47</f>
        <v>0.11373333333333335</v>
      </c>
      <c r="L49" s="76">
        <f t="shared" si="0"/>
        <v>2.0747866018368449E-2</v>
      </c>
      <c r="M49" s="76">
        <f t="shared" si="1"/>
        <v>2.0290329551593732E-2</v>
      </c>
      <c r="N49" s="76">
        <f t="shared" si="2"/>
        <v>2.0519097784981091E-2</v>
      </c>
      <c r="O49" s="56">
        <f>'Growth curves UTEX #1926'!H22</f>
        <v>1.345</v>
      </c>
      <c r="P49" s="76">
        <f t="shared" si="3"/>
        <v>1.6941619999999999</v>
      </c>
      <c r="Q49" s="77">
        <f t="shared" si="10"/>
        <v>1.6941620000000002E-4</v>
      </c>
      <c r="R49" s="78">
        <f t="shared" si="4"/>
        <v>60.55825176394314</v>
      </c>
      <c r="S49" s="94">
        <f>AVERAGE(R47:R49)</f>
        <v>59.54309735748074</v>
      </c>
      <c r="T49" s="80">
        <f>STDEV(R47:R49)</f>
        <v>6.0274889434334531</v>
      </c>
      <c r="U49" s="89">
        <f>T49/SQRT(3)</f>
        <v>3.4799723640287974</v>
      </c>
      <c r="V49" s="89">
        <f t="shared" si="5"/>
        <v>102.59548892490544</v>
      </c>
      <c r="W49" s="88">
        <f>AVERAGE(V47:V49)</f>
        <v>99.121285791464075</v>
      </c>
      <c r="X49" s="89">
        <f>STDEV(V47:V49)</f>
        <v>7.6218292994357224</v>
      </c>
      <c r="Y49" s="89">
        <f>X49/SQRT(3)</f>
        <v>4.4004651977465912</v>
      </c>
      <c r="Z49" s="89">
        <f>(V49-$V$7)/(D47-$D$5)</f>
        <v>0.26388860867700381</v>
      </c>
      <c r="AA49" s="88">
        <f>AVERAGE(Z47:Z49)</f>
        <v>0.25521487394574949</v>
      </c>
      <c r="AB49" s="95">
        <f>STDEV(Z47:Z49)/SQRT(3)</f>
        <v>1.1811645269537246E-2</v>
      </c>
    </row>
    <row r="50" spans="1:34" x14ac:dyDescent="0.2">
      <c r="A50" s="58"/>
      <c r="B50" s="206" t="s">
        <v>38</v>
      </c>
      <c r="C50" s="203">
        <v>0.5</v>
      </c>
      <c r="D50" s="215">
        <f>24.5+D47</f>
        <v>386</v>
      </c>
      <c r="E50" s="104" t="s">
        <v>104</v>
      </c>
      <c r="F50" s="209">
        <f>(0.0512+0.0409)/2</f>
        <v>4.6050000000000001E-2</v>
      </c>
      <c r="G50" s="212">
        <f>(0.0496+0.0407)/2</f>
        <v>4.5149999999999996E-2</v>
      </c>
      <c r="H50" s="96">
        <f>0.2341-F50</f>
        <v>0.18804999999999999</v>
      </c>
      <c r="I50" s="96">
        <f>0.2227-F50</f>
        <v>0.17665</v>
      </c>
      <c r="J50" s="96">
        <f>0.1502-G50</f>
        <v>0.10505</v>
      </c>
      <c r="K50" s="96">
        <f>0.1395-G50</f>
        <v>9.4350000000000017E-2</v>
      </c>
      <c r="L50" s="76">
        <f t="shared" si="0"/>
        <v>2.0177431118314423E-2</v>
      </c>
      <c r="M50" s="96"/>
      <c r="N50" s="96">
        <f t="shared" si="2"/>
        <v>2.0177431118314423E-2</v>
      </c>
      <c r="O50" s="103">
        <f>'Growth curves UTEX #1926'!F23</f>
        <v>1.3520000000000001</v>
      </c>
      <c r="P50" s="76">
        <f t="shared" si="3"/>
        <v>1.7029792000000001</v>
      </c>
      <c r="Q50" s="97">
        <f t="shared" si="10"/>
        <v>1.7029792000000001E-4</v>
      </c>
      <c r="R50" s="98">
        <f t="shared" si="4"/>
        <v>59.241566539140415</v>
      </c>
      <c r="S50" s="102"/>
      <c r="T50" s="103"/>
      <c r="U50" s="103"/>
      <c r="V50" s="80">
        <f t="shared" si="5"/>
        <v>100.88715559157212</v>
      </c>
      <c r="W50" s="94"/>
      <c r="X50" s="80"/>
      <c r="Y50" s="80"/>
      <c r="Z50" s="80">
        <f t="shared" si="7"/>
        <v>0.24370900899387812</v>
      </c>
      <c r="AA50" s="94"/>
      <c r="AB50" s="101"/>
    </row>
    <row r="51" spans="1:34" x14ac:dyDescent="0.2">
      <c r="A51" s="58"/>
      <c r="B51" s="207"/>
      <c r="C51" s="204"/>
      <c r="D51" s="216"/>
      <c r="E51" s="104" t="s">
        <v>105</v>
      </c>
      <c r="F51" s="210"/>
      <c r="G51" s="213"/>
      <c r="H51" s="76">
        <f>0.273-F50</f>
        <v>0.22695000000000001</v>
      </c>
      <c r="I51" s="76">
        <f>0.2331-F50</f>
        <v>0.18704999999999999</v>
      </c>
      <c r="J51" s="76">
        <f>0.1922-G50</f>
        <v>0.14705000000000001</v>
      </c>
      <c r="K51" s="76">
        <f>0.1531-G50</f>
        <v>0.10795000000000002</v>
      </c>
      <c r="L51" s="76">
        <f t="shared" si="0"/>
        <v>2.2363816855753647E-2</v>
      </c>
      <c r="M51" s="76">
        <f>(I51-(0.605*K51))/6.17</f>
        <v>1.9730996758508913E-2</v>
      </c>
      <c r="N51" s="76">
        <f t="shared" si="2"/>
        <v>2.104740680713128E-2</v>
      </c>
      <c r="O51" s="56">
        <f>'Growth curves UTEX #1926'!G23</f>
        <v>1.4410000000000001</v>
      </c>
      <c r="P51" s="76">
        <f t="shared" si="3"/>
        <v>1.8150836000000001</v>
      </c>
      <c r="Q51" s="77">
        <f t="shared" si="10"/>
        <v>1.8150836000000004E-4</v>
      </c>
      <c r="R51" s="78">
        <f t="shared" si="4"/>
        <v>57.979166378703646</v>
      </c>
      <c r="S51" s="79"/>
      <c r="V51" s="80">
        <f t="shared" si="5"/>
        <v>105.23703403565638</v>
      </c>
      <c r="W51" s="94"/>
      <c r="X51" s="80"/>
      <c r="Y51" s="80"/>
      <c r="Z51" s="80">
        <f>(V51-$V$6)/(D50-$D$5)</f>
        <v>0.2556190219262518</v>
      </c>
      <c r="AA51" s="94"/>
      <c r="AB51" s="101"/>
    </row>
    <row r="52" spans="1:34" x14ac:dyDescent="0.2">
      <c r="A52" s="58"/>
      <c r="B52" s="208"/>
      <c r="C52" s="205"/>
      <c r="D52" s="217"/>
      <c r="E52" s="151" t="s">
        <v>106</v>
      </c>
      <c r="F52" s="211"/>
      <c r="G52" s="214"/>
      <c r="H52" s="76">
        <f>0.2205-F50</f>
        <v>0.17444999999999999</v>
      </c>
      <c r="I52" s="76">
        <f>0.2328-F50</f>
        <v>0.18675</v>
      </c>
      <c r="J52" s="76">
        <f>0.1466-G50</f>
        <v>0.10145000000000001</v>
      </c>
      <c r="K52" s="76">
        <f>0.1588-G50</f>
        <v>0.11365</v>
      </c>
      <c r="L52" s="76">
        <f t="shared" si="0"/>
        <v>1.832621555915721E-2</v>
      </c>
      <c r="M52" s="76">
        <f>(I52-(0.605*K52))/6.17</f>
        <v>1.9123460291734198E-2</v>
      </c>
      <c r="N52" s="76">
        <f t="shared" si="2"/>
        <v>1.8724837925445704E-2</v>
      </c>
      <c r="O52" s="56">
        <f>'Growth curves UTEX #1926'!H23</f>
        <v>1.425</v>
      </c>
      <c r="P52" s="76">
        <f t="shared" si="3"/>
        <v>1.7949300000000001</v>
      </c>
      <c r="Q52" s="77">
        <f t="shared" si="10"/>
        <v>1.7949300000000002E-4</v>
      </c>
      <c r="R52" s="78">
        <f t="shared" si="4"/>
        <v>52.160357020735354</v>
      </c>
      <c r="S52" s="94">
        <f>AVERAGE(R50:R52)</f>
        <v>56.460363312859805</v>
      </c>
      <c r="T52" s="80">
        <f>STDEV(R50:R52)</f>
        <v>3.7770298020402349</v>
      </c>
      <c r="U52" s="89">
        <f>T52/SQRT(3)</f>
        <v>2.1806691729451688</v>
      </c>
      <c r="V52" s="89">
        <f t="shared" si="5"/>
        <v>93.624189627228517</v>
      </c>
      <c r="W52" s="88">
        <f>AVERAGE(V50:V52)</f>
        <v>99.916126418152331</v>
      </c>
      <c r="X52" s="89">
        <f>STDEV(V50:V52)</f>
        <v>5.8670019648294645</v>
      </c>
      <c r="Y52" s="89">
        <f>X52/SQRT(3)</f>
        <v>3.3873151637303547</v>
      </c>
      <c r="Z52" s="89">
        <f>(V52-$V$7)/(D50-$D$5)</f>
        <v>0.22389749414264237</v>
      </c>
      <c r="AA52" s="88">
        <f>AVERAGE(Z50:Z52)</f>
        <v>0.2410751750209241</v>
      </c>
      <c r="AB52" s="95">
        <f>STDEV(Z50:Z52)/SQRT(3)</f>
        <v>9.2514258771173828E-3</v>
      </c>
    </row>
    <row r="53" spans="1:34" x14ac:dyDescent="0.2">
      <c r="A53" s="58"/>
      <c r="B53" s="206" t="s">
        <v>39</v>
      </c>
      <c r="C53" s="203">
        <v>0.47916666666666669</v>
      </c>
      <c r="D53" s="215">
        <f>48+D47</f>
        <v>409.5</v>
      </c>
      <c r="E53" s="104" t="s">
        <v>104</v>
      </c>
      <c r="F53" s="209">
        <f>(0.0418+0.0454+0.0454)/3</f>
        <v>4.4199999999999996E-2</v>
      </c>
      <c r="G53" s="212">
        <f>(0.0405+0.0432+0.0438)/3</f>
        <v>4.2500000000000003E-2</v>
      </c>
      <c r="H53" s="96">
        <f>0.1994-F53</f>
        <v>0.1552</v>
      </c>
      <c r="I53" s="96">
        <f>0.2207-F53</f>
        <v>0.17650000000000002</v>
      </c>
      <c r="J53" s="96">
        <f>0.1297-G53</f>
        <v>8.72E-2</v>
      </c>
      <c r="K53" s="96">
        <f>0.1497-G53</f>
        <v>0.10719999999999999</v>
      </c>
      <c r="L53" s="76">
        <f t="shared" si="0"/>
        <v>1.6603565640194492E-2</v>
      </c>
      <c r="M53" s="96"/>
      <c r="N53" s="96">
        <f t="shared" si="2"/>
        <v>1.6603565640194492E-2</v>
      </c>
      <c r="O53" s="103">
        <f>'Growth curves UTEX #1926'!F24</f>
        <v>1.3480000000000001</v>
      </c>
      <c r="P53" s="76">
        <f t="shared" si="3"/>
        <v>1.6979408000000002</v>
      </c>
      <c r="Q53" s="97">
        <f t="shared" si="10"/>
        <v>1.6979408000000005E-4</v>
      </c>
      <c r="R53" s="98">
        <f t="shared" si="4"/>
        <v>48.893240683640109</v>
      </c>
      <c r="S53" s="102"/>
      <c r="T53" s="103"/>
      <c r="U53" s="103"/>
      <c r="V53" s="80">
        <f t="shared" si="5"/>
        <v>83.017828200972446</v>
      </c>
      <c r="W53" s="94"/>
      <c r="X53" s="80"/>
      <c r="Y53" s="80"/>
      <c r="Z53" s="80">
        <f t="shared" si="7"/>
        <v>0.18608632498421804</v>
      </c>
      <c r="AA53" s="94"/>
      <c r="AB53" s="101"/>
    </row>
    <row r="54" spans="1:34" ht="15" customHeight="1" x14ac:dyDescent="0.2">
      <c r="A54" s="58"/>
      <c r="B54" s="207"/>
      <c r="C54" s="204"/>
      <c r="D54" s="216"/>
      <c r="E54" s="104" t="s">
        <v>105</v>
      </c>
      <c r="F54" s="210"/>
      <c r="G54" s="213"/>
      <c r="H54" s="76">
        <f>0.2504-F53</f>
        <v>0.20620000000000002</v>
      </c>
      <c r="I54" s="76">
        <f>0.2685-F53</f>
        <v>0.22430000000000003</v>
      </c>
      <c r="J54" s="76">
        <f>0.1593-G53</f>
        <v>0.11679999999999999</v>
      </c>
      <c r="K54" s="76">
        <f>0.177-G53</f>
        <v>0.13449999999999998</v>
      </c>
      <c r="L54" s="76">
        <f t="shared" si="0"/>
        <v>2.1966936790923833E-2</v>
      </c>
      <c r="M54" s="76">
        <f>(I54-(0.605*K54))/6.17</f>
        <v>2.3164910858995146E-2</v>
      </c>
      <c r="N54" s="76">
        <f t="shared" si="2"/>
        <v>2.2565923824959491E-2</v>
      </c>
      <c r="O54" s="56">
        <f>'Growth curves UTEX #1926'!G24</f>
        <v>1.4239999999999999</v>
      </c>
      <c r="P54" s="76">
        <f t="shared" si="3"/>
        <v>1.7936703999999999</v>
      </c>
      <c r="Q54" s="77">
        <f t="shared" si="10"/>
        <v>1.7936703999999999E-4</v>
      </c>
      <c r="R54" s="78">
        <f t="shared" si="4"/>
        <v>62.904321287120233</v>
      </c>
      <c r="S54" s="79"/>
      <c r="V54" s="80">
        <f t="shared" si="5"/>
        <v>112.82961912479746</v>
      </c>
      <c r="W54" s="94"/>
      <c r="X54" s="80"/>
      <c r="Y54" s="80"/>
      <c r="Z54" s="80">
        <f>(V54-$V$6)/(D53-$D$5)</f>
        <v>0.25949090977454037</v>
      </c>
      <c r="AA54" s="94"/>
      <c r="AB54" s="101"/>
    </row>
    <row r="55" spans="1:34" ht="16" customHeight="1" thickBot="1" x14ac:dyDescent="0.25">
      <c r="A55" s="104"/>
      <c r="B55" s="223"/>
      <c r="C55" s="224"/>
      <c r="D55" s="225"/>
      <c r="E55" s="152" t="s">
        <v>106</v>
      </c>
      <c r="F55" s="221"/>
      <c r="G55" s="222"/>
      <c r="H55" s="76">
        <f>0.2494-F53</f>
        <v>0.20520000000000002</v>
      </c>
      <c r="I55" s="76">
        <f>0.2764-F53</f>
        <v>0.23219999999999999</v>
      </c>
      <c r="J55" s="76">
        <f>0.1604-G53</f>
        <v>0.11789999999999998</v>
      </c>
      <c r="K55" s="76">
        <f>0.1872-G53</f>
        <v>0.1447</v>
      </c>
      <c r="L55" s="76">
        <f>(H55-(0.605*J55))/6.17</f>
        <v>2.1697001620745549E-2</v>
      </c>
      <c r="M55" s="76">
        <f>(I55-(0.605*K55))/6.17</f>
        <v>2.3445137763371149E-2</v>
      </c>
      <c r="N55" s="76">
        <f t="shared" si="2"/>
        <v>2.2571069692058347E-2</v>
      </c>
      <c r="O55" s="56">
        <f>'Growth curves UTEX #1926'!H24</f>
        <v>1.4350000000000001</v>
      </c>
      <c r="P55" s="76">
        <f t="shared" si="3"/>
        <v>1.8075260000000002</v>
      </c>
      <c r="Q55" s="108">
        <f t="shared" si="10"/>
        <v>1.8075260000000005E-4</v>
      </c>
      <c r="R55" s="109">
        <f t="shared" si="4"/>
        <v>62.436362442527361</v>
      </c>
      <c r="S55" s="110">
        <f>AVERAGE(R53:R55)</f>
        <v>58.077974804429232</v>
      </c>
      <c r="T55" s="111">
        <f>STDEV(R53:R55)</f>
        <v>7.95765367569168</v>
      </c>
      <c r="U55" s="111">
        <f>T55/SQRT(3)</f>
        <v>4.5943534917784064</v>
      </c>
      <c r="V55" s="111">
        <f t="shared" si="5"/>
        <v>112.85534846029172</v>
      </c>
      <c r="W55" s="110">
        <f>AVERAGE(V53:V55)</f>
        <v>102.90093192868721</v>
      </c>
      <c r="X55" s="111">
        <f>STDEV(V53:V55)</f>
        <v>17.219277739933606</v>
      </c>
      <c r="Y55" s="111">
        <f>X55/SQRT(3)</f>
        <v>9.9415546384015983</v>
      </c>
      <c r="Z55" s="111">
        <f>(V55-$V$7)/(D53-$D$5)</f>
        <v>0.25801121263033738</v>
      </c>
      <c r="AA55" s="110">
        <f>AVERAGE(Z53:Z55)</f>
        <v>0.23452948246303196</v>
      </c>
      <c r="AB55" s="112">
        <f>STDEV(Z53:Z55)/SQRT(3)</f>
        <v>2.4225344894672478E-2</v>
      </c>
    </row>
    <row r="56" spans="1:34" ht="15" thickBot="1" x14ac:dyDescent="0.25">
      <c r="B56" s="229" t="s">
        <v>69</v>
      </c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1"/>
    </row>
    <row r="57" spans="1:34" ht="45" customHeight="1" x14ac:dyDescent="0.2">
      <c r="B57" s="59" t="s">
        <v>0</v>
      </c>
      <c r="C57" s="60" t="s">
        <v>1</v>
      </c>
      <c r="D57" s="116" t="s">
        <v>2</v>
      </c>
      <c r="E57" s="149"/>
      <c r="F57" s="60" t="s">
        <v>8</v>
      </c>
      <c r="G57" s="60" t="s">
        <v>9</v>
      </c>
      <c r="H57" s="236" t="s">
        <v>101</v>
      </c>
      <c r="I57" s="237"/>
      <c r="J57" s="238" t="s">
        <v>80</v>
      </c>
      <c r="K57" s="239"/>
      <c r="L57" s="240" t="s">
        <v>81</v>
      </c>
      <c r="M57" s="241"/>
      <c r="N57" s="61" t="s">
        <v>82</v>
      </c>
      <c r="O57" s="62" t="s">
        <v>83</v>
      </c>
      <c r="P57" s="61" t="s">
        <v>10</v>
      </c>
      <c r="Q57" s="61" t="s">
        <v>11</v>
      </c>
      <c r="R57" s="61" t="s">
        <v>84</v>
      </c>
      <c r="S57" s="61" t="s">
        <v>85</v>
      </c>
      <c r="T57" s="61" t="s">
        <v>86</v>
      </c>
      <c r="U57" s="63" t="s">
        <v>62</v>
      </c>
      <c r="V57" s="62" t="s">
        <v>87</v>
      </c>
      <c r="W57" s="61" t="s">
        <v>88</v>
      </c>
      <c r="X57" s="61" t="s">
        <v>86</v>
      </c>
      <c r="Y57" s="64" t="s">
        <v>62</v>
      </c>
      <c r="Z57" s="64" t="s">
        <v>89</v>
      </c>
      <c r="AA57" s="61" t="s">
        <v>90</v>
      </c>
      <c r="AB57" s="65" t="s">
        <v>62</v>
      </c>
      <c r="AD57" s="56" t="s">
        <v>2</v>
      </c>
      <c r="AE57" s="72" t="str">
        <f>S57</f>
        <v>Average specific CPC conc.</v>
      </c>
      <c r="AF57" s="56" t="s">
        <v>12</v>
      </c>
      <c r="AG57" s="72" t="str">
        <f>W57</f>
        <v>Average total CPC</v>
      </c>
      <c r="AH57" s="56" t="s">
        <v>12</v>
      </c>
    </row>
    <row r="58" spans="1:34" ht="25" customHeight="1" x14ac:dyDescent="0.2">
      <c r="B58" s="66"/>
      <c r="C58" s="67"/>
      <c r="D58" s="69"/>
      <c r="E58" s="150"/>
      <c r="F58" s="67" t="s">
        <v>13</v>
      </c>
      <c r="G58" s="67" t="s">
        <v>13</v>
      </c>
      <c r="H58" s="117" t="s">
        <v>102</v>
      </c>
      <c r="I58" s="67" t="s">
        <v>103</v>
      </c>
      <c r="J58" s="242" t="s">
        <v>13</v>
      </c>
      <c r="K58" s="235"/>
      <c r="L58" s="234" t="s">
        <v>14</v>
      </c>
      <c r="M58" s="235"/>
      <c r="N58" s="70" t="s">
        <v>14</v>
      </c>
      <c r="O58" s="70" t="s">
        <v>13</v>
      </c>
      <c r="P58" s="70" t="s">
        <v>15</v>
      </c>
      <c r="Q58" s="70" t="s">
        <v>16</v>
      </c>
      <c r="R58" s="71" t="s">
        <v>91</v>
      </c>
      <c r="S58" s="71" t="s">
        <v>91</v>
      </c>
      <c r="T58" s="70"/>
      <c r="U58" s="69"/>
      <c r="V58" s="71" t="s">
        <v>92</v>
      </c>
      <c r="W58" s="71" t="s">
        <v>92</v>
      </c>
      <c r="X58" s="70"/>
      <c r="Y58" s="70"/>
      <c r="Z58" s="71" t="s">
        <v>93</v>
      </c>
      <c r="AA58" s="71" t="s">
        <v>93</v>
      </c>
      <c r="AB58" s="68"/>
      <c r="AD58" s="81">
        <f>D59</f>
        <v>0</v>
      </c>
      <c r="AE58" s="80">
        <f>S61</f>
        <v>57.629791390362044</v>
      </c>
      <c r="AF58" s="80">
        <f>U61</f>
        <v>2.0295067317733926</v>
      </c>
      <c r="AG58" s="80">
        <f>W61</f>
        <v>7.3013303619665058</v>
      </c>
      <c r="AH58" s="80">
        <f>Y61</f>
        <v>0.17355161419903695</v>
      </c>
    </row>
    <row r="59" spans="1:34" x14ac:dyDescent="0.2">
      <c r="B59" s="207" t="s">
        <v>23</v>
      </c>
      <c r="C59" s="204">
        <v>0.45833333333333331</v>
      </c>
      <c r="D59" s="226">
        <v>0</v>
      </c>
      <c r="E59" s="104" t="s">
        <v>104</v>
      </c>
      <c r="F59" s="210">
        <f>(0.04+0.0315+0.0322)/3</f>
        <v>3.4566666666666669E-2</v>
      </c>
      <c r="G59" s="213">
        <f>(0.0387+0.0303+0.0319)/3</f>
        <v>3.3633333333333335E-2</v>
      </c>
      <c r="H59" s="74">
        <f>0.173-F59</f>
        <v>0.13843333333333332</v>
      </c>
      <c r="I59" s="76">
        <f>0.178-F59</f>
        <v>0.14343333333333333</v>
      </c>
      <c r="J59" s="76">
        <f>0.111-G59</f>
        <v>7.7366666666666667E-2</v>
      </c>
      <c r="K59" s="76">
        <f>0.1163-G59</f>
        <v>8.2666666666666666E-2</v>
      </c>
      <c r="L59" s="76">
        <f>(H59-(0.605*J59))/6.17</f>
        <v>1.485032414910859E-2</v>
      </c>
      <c r="M59" s="76">
        <f>(I59-(0.605*K59))/6.17</f>
        <v>1.5141004862236629E-2</v>
      </c>
      <c r="N59" s="76">
        <f>AVERAGE(L59:M59)</f>
        <v>1.499566450567261E-2</v>
      </c>
      <c r="O59" s="76">
        <f>'Growth curves UTEX #1926'!F28</f>
        <v>9.9000000000000005E-2</v>
      </c>
      <c r="P59" s="76">
        <f>1.2596*O59</f>
        <v>0.12470040000000002</v>
      </c>
      <c r="Q59" s="77">
        <f>P59*1/1000</f>
        <v>1.2470040000000002E-4</v>
      </c>
      <c r="R59" s="78">
        <f>(N59*0.5)/Q59</f>
        <v>60.126769864702148</v>
      </c>
      <c r="S59" s="79"/>
      <c r="V59" s="80">
        <f>R59*P59</f>
        <v>7.4978322528363046</v>
      </c>
      <c r="W59" s="79"/>
      <c r="AA59" s="79"/>
      <c r="AB59" s="73"/>
      <c r="AD59" s="81">
        <f>D62</f>
        <v>23</v>
      </c>
      <c r="AE59" s="80">
        <f>S64</f>
        <v>47.891676868255807</v>
      </c>
      <c r="AF59" s="80">
        <f>U64</f>
        <v>2.5947400316110354</v>
      </c>
      <c r="AG59" s="80">
        <f>W64</f>
        <v>9.2572325769854142</v>
      </c>
      <c r="AH59" s="80">
        <f>Y64</f>
        <v>0.40027620880856807</v>
      </c>
    </row>
    <row r="60" spans="1:34" ht="15" customHeight="1" x14ac:dyDescent="0.2">
      <c r="B60" s="207"/>
      <c r="C60" s="204"/>
      <c r="D60" s="226"/>
      <c r="E60" s="104" t="s">
        <v>105</v>
      </c>
      <c r="F60" s="210"/>
      <c r="G60" s="213"/>
      <c r="H60" s="74">
        <f>0.1797-F59</f>
        <v>0.14513333333333334</v>
      </c>
      <c r="I60" s="76">
        <f>0.1797-F59</f>
        <v>0.14513333333333334</v>
      </c>
      <c r="J60" s="76">
        <f>0.1227-G59</f>
        <v>8.9066666666666669E-2</v>
      </c>
      <c r="K60" s="76">
        <f>0.1204-G59</f>
        <v>8.6766666666666659E-2</v>
      </c>
      <c r="L60" s="76">
        <f t="shared" ref="L60:L109" si="11">(H60-(0.605*J60))/6.17</f>
        <v>1.4788978930307941E-2</v>
      </c>
      <c r="M60" s="76">
        <f t="shared" ref="M60:M109" si="12">(I60-(0.605*K60))/6.17</f>
        <v>1.5014505672609403E-2</v>
      </c>
      <c r="N60" s="76">
        <f t="shared" ref="N60:N109" si="13">AVERAGE(L60:M60)</f>
        <v>1.4901742301458673E-2</v>
      </c>
      <c r="O60" s="76">
        <f>'Growth curves UTEX #1926'!G28</f>
        <v>0.1</v>
      </c>
      <c r="P60" s="76">
        <f t="shared" ref="P60:P109" si="14">1.2596*O60</f>
        <v>0.12596000000000002</v>
      </c>
      <c r="Q60" s="77">
        <f>P60*1/1000</f>
        <v>1.2596000000000002E-4</v>
      </c>
      <c r="R60" s="78">
        <f t="shared" ref="R60:R109" si="15">(N60*0.5)/Q60</f>
        <v>59.152676649169067</v>
      </c>
      <c r="S60" s="79"/>
      <c r="V60" s="80">
        <f t="shared" ref="V60:V109" si="16">R60*P60</f>
        <v>7.4508711507293368</v>
      </c>
      <c r="W60" s="79"/>
      <c r="AA60" s="79"/>
      <c r="AB60" s="73"/>
      <c r="AD60" s="81">
        <f>D65</f>
        <v>49</v>
      </c>
      <c r="AE60" s="80">
        <f>S67</f>
        <v>45.828103053370604</v>
      </c>
      <c r="AF60" s="80">
        <f>U67</f>
        <v>0.51257719921451572</v>
      </c>
      <c r="AG60" s="80">
        <f>W67</f>
        <v>13.44979740680713</v>
      </c>
      <c r="AH60" s="80">
        <f>Y67</f>
        <v>0.18329117617213217</v>
      </c>
    </row>
    <row r="61" spans="1:34" ht="15" customHeight="1" x14ac:dyDescent="0.2">
      <c r="B61" s="208"/>
      <c r="C61" s="205"/>
      <c r="D61" s="227"/>
      <c r="E61" s="151" t="s">
        <v>106</v>
      </c>
      <c r="F61" s="211"/>
      <c r="G61" s="214"/>
      <c r="H61" s="83">
        <f>0.1696-F59</f>
        <v>0.13503333333333334</v>
      </c>
      <c r="I61" s="85">
        <f>0.1668-F59</f>
        <v>0.13223333333333334</v>
      </c>
      <c r="J61" s="85">
        <f>0.1134-G59</f>
        <v>7.9766666666666666E-2</v>
      </c>
      <c r="K61" s="85">
        <f>0.1119-G59</f>
        <v>7.8266666666666665E-2</v>
      </c>
      <c r="L61" s="76">
        <f t="shared" si="11"/>
        <v>1.4063938411669369E-2</v>
      </c>
      <c r="M61" s="76">
        <f t="shared" si="12"/>
        <v>1.3757212317666129E-2</v>
      </c>
      <c r="N61" s="85">
        <f t="shared" si="13"/>
        <v>1.3910575364667749E-2</v>
      </c>
      <c r="O61" s="85">
        <f>'Growth curves UTEX #1926'!H28</f>
        <v>0.10299999999999999</v>
      </c>
      <c r="P61" s="76">
        <f t="shared" si="14"/>
        <v>0.12973879999999999</v>
      </c>
      <c r="Q61" s="77">
        <f>P61*1/1000</f>
        <v>1.2973879999999999E-4</v>
      </c>
      <c r="R61" s="87">
        <f t="shared" si="15"/>
        <v>53.609927657214918</v>
      </c>
      <c r="S61" s="88">
        <f>AVERAGE(R59:R61)</f>
        <v>57.629791390362044</v>
      </c>
      <c r="T61" s="89">
        <f>STDEV(R59:R61)</f>
        <v>3.5152087737345776</v>
      </c>
      <c r="U61" s="89">
        <f>T61/SQRT(3)</f>
        <v>2.0295067317733926</v>
      </c>
      <c r="V61" s="89">
        <f t="shared" si="16"/>
        <v>6.9552876823338741</v>
      </c>
      <c r="W61" s="88">
        <f>AVERAGE(V59:V61)</f>
        <v>7.3013303619665058</v>
      </c>
      <c r="X61" s="89">
        <f>STDEV(V59:V61)</f>
        <v>0.30060021352832417</v>
      </c>
      <c r="Y61" s="89">
        <f>X61/SQRT(3)</f>
        <v>0.17355161419903695</v>
      </c>
      <c r="Z61" s="90"/>
      <c r="AA61" s="91"/>
      <c r="AB61" s="82"/>
      <c r="AD61" s="81">
        <f>D68</f>
        <v>73</v>
      </c>
      <c r="AE61" s="80">
        <f>S70</f>
        <v>59.382806569542424</v>
      </c>
      <c r="AF61" s="80">
        <f>U70</f>
        <v>3.7030945046622654</v>
      </c>
      <c r="AG61" s="80">
        <f>W70</f>
        <v>23.568572263641276</v>
      </c>
      <c r="AH61" s="80">
        <f>Y70</f>
        <v>1.5357676206092643</v>
      </c>
    </row>
    <row r="62" spans="1:34" x14ac:dyDescent="0.2">
      <c r="B62" s="206" t="s">
        <v>24</v>
      </c>
      <c r="C62" s="203">
        <v>0.41666666666666669</v>
      </c>
      <c r="D62" s="228">
        <f>23+D59</f>
        <v>23</v>
      </c>
      <c r="E62" s="104" t="s">
        <v>104</v>
      </c>
      <c r="F62" s="209">
        <f>(0.0466+0.0391+0.036)/3</f>
        <v>4.0566666666666668E-2</v>
      </c>
      <c r="G62" s="212">
        <f>(0.0461+0.0386+0.0356)/3</f>
        <v>4.0099999999999997E-2</v>
      </c>
      <c r="H62" s="74">
        <f>0.2146-F62</f>
        <v>0.17403333333333335</v>
      </c>
      <c r="I62" s="76">
        <f>0.2261-F62</f>
        <v>0.18553333333333333</v>
      </c>
      <c r="J62" s="76">
        <f>0.1356-G62</f>
        <v>9.5500000000000002E-2</v>
      </c>
      <c r="K62" s="76">
        <f>0.147-G62</f>
        <v>0.1069</v>
      </c>
      <c r="L62" s="76">
        <f t="shared" si="11"/>
        <v>1.8842112371690978E-2</v>
      </c>
      <c r="M62" s="76">
        <f t="shared" si="12"/>
        <v>1.9588141545110752E-2</v>
      </c>
      <c r="N62" s="76">
        <f t="shared" si="13"/>
        <v>1.9215126958400865E-2</v>
      </c>
      <c r="O62" s="76">
        <f>'Growth curves UTEX #1926'!F31</f>
        <v>0.14899999999999999</v>
      </c>
      <c r="P62" s="76">
        <f t="shared" si="14"/>
        <v>0.1876804</v>
      </c>
      <c r="Q62" s="77">
        <f t="shared" ref="Q62:Q67" si="17">P62*1/1000</f>
        <v>1.8768039999999999E-4</v>
      </c>
      <c r="R62" s="78">
        <f t="shared" si="15"/>
        <v>51.191085905616319</v>
      </c>
      <c r="S62" s="94"/>
      <c r="T62" s="80"/>
      <c r="U62" s="80"/>
      <c r="V62" s="80">
        <f t="shared" si="16"/>
        <v>9.607563479200433</v>
      </c>
      <c r="W62" s="94"/>
      <c r="X62" s="80"/>
      <c r="Y62" s="80"/>
      <c r="Z62" s="80">
        <f>(V62-$V$59)/(D62-$D$59)</f>
        <v>9.1727444624527324E-2</v>
      </c>
      <c r="AA62" s="94"/>
      <c r="AB62" s="73"/>
      <c r="AD62" s="81">
        <f>D71</f>
        <v>95.5</v>
      </c>
      <c r="AE62" s="80">
        <f>S73</f>
        <v>69.055662235877534</v>
      </c>
      <c r="AF62" s="80">
        <f>U73</f>
        <v>3.3892154692767211</v>
      </c>
      <c r="AG62" s="80">
        <f>W73</f>
        <v>33.694027801188547</v>
      </c>
      <c r="AH62" s="80">
        <f>Y73</f>
        <v>2.0618664303473881</v>
      </c>
    </row>
    <row r="63" spans="1:34" x14ac:dyDescent="0.2">
      <c r="B63" s="207"/>
      <c r="C63" s="204"/>
      <c r="D63" s="226"/>
      <c r="E63" s="104" t="s">
        <v>105</v>
      </c>
      <c r="F63" s="210"/>
      <c r="G63" s="213"/>
      <c r="H63" s="74">
        <f>0.2058-F62</f>
        <v>0.16523333333333334</v>
      </c>
      <c r="I63" s="76">
        <f>0.1962-F62</f>
        <v>0.15563333333333335</v>
      </c>
      <c r="J63" s="76">
        <f>0.1374-G62</f>
        <v>9.7299999999999998E-2</v>
      </c>
      <c r="K63" s="76">
        <f>0.1281-G62</f>
        <v>8.7999999999999995E-2</v>
      </c>
      <c r="L63" s="76">
        <f t="shared" si="11"/>
        <v>1.7239357104267966E-2</v>
      </c>
      <c r="M63" s="76">
        <f t="shared" si="12"/>
        <v>1.6595353862776881E-2</v>
      </c>
      <c r="N63" s="76">
        <f t="shared" si="13"/>
        <v>1.6917355483522425E-2</v>
      </c>
      <c r="O63" s="76">
        <f>'Growth curves UTEX #1926'!G31</f>
        <v>0.157</v>
      </c>
      <c r="P63" s="76">
        <f t="shared" si="14"/>
        <v>0.19775720000000002</v>
      </c>
      <c r="Q63" s="77">
        <f t="shared" si="17"/>
        <v>1.9775720000000002E-4</v>
      </c>
      <c r="R63" s="78">
        <f t="shared" si="15"/>
        <v>42.77304564264265</v>
      </c>
      <c r="S63" s="79"/>
      <c r="T63" s="80"/>
      <c r="U63" s="80"/>
      <c r="V63" s="80">
        <f t="shared" si="16"/>
        <v>8.4586777417612122</v>
      </c>
      <c r="W63" s="94"/>
      <c r="X63" s="80"/>
      <c r="Y63" s="80"/>
      <c r="Z63" s="80">
        <f>(V63-$V$60)/(D62-$D$59)</f>
        <v>4.3817677870951102E-2</v>
      </c>
      <c r="AA63" s="94"/>
      <c r="AB63" s="73"/>
      <c r="AD63" s="81">
        <f>D74</f>
        <v>119.5</v>
      </c>
      <c r="AE63" s="80">
        <f>S76</f>
        <v>64.473504672072337</v>
      </c>
      <c r="AF63" s="80">
        <f>U76</f>
        <v>4.1714063582988326</v>
      </c>
      <c r="AG63" s="80">
        <f>W76</f>
        <v>37.231472517558082</v>
      </c>
      <c r="AH63" s="80">
        <f>Y76</f>
        <v>3.9073945161032886</v>
      </c>
    </row>
    <row r="64" spans="1:34" x14ac:dyDescent="0.2">
      <c r="B64" s="208"/>
      <c r="C64" s="205"/>
      <c r="D64" s="227"/>
      <c r="E64" s="151" t="s">
        <v>106</v>
      </c>
      <c r="F64" s="211"/>
      <c r="G64" s="214"/>
      <c r="H64" s="74">
        <f>0.2407-F62</f>
        <v>0.20013333333333333</v>
      </c>
      <c r="I64" s="76">
        <f>0.2392-F62</f>
        <v>0.19863333333333333</v>
      </c>
      <c r="J64" s="76">
        <f>0.1727-G62</f>
        <v>0.1326</v>
      </c>
      <c r="K64" s="76">
        <f>0.1707-G62</f>
        <v>0.13059999999999999</v>
      </c>
      <c r="L64" s="76">
        <f t="shared" si="11"/>
        <v>1.9434413830361968E-2</v>
      </c>
      <c r="M64" s="76">
        <f t="shared" si="12"/>
        <v>1.9387412209616425E-2</v>
      </c>
      <c r="N64" s="76">
        <f t="shared" si="13"/>
        <v>1.9410913019989196E-2</v>
      </c>
      <c r="O64" s="76">
        <f>'Growth curves UTEX #1926'!H31</f>
        <v>0.155</v>
      </c>
      <c r="P64" s="76">
        <f t="shared" si="14"/>
        <v>0.19523799999999999</v>
      </c>
      <c r="Q64" s="77">
        <f t="shared" si="17"/>
        <v>1.95238E-4</v>
      </c>
      <c r="R64" s="78">
        <f t="shared" si="15"/>
        <v>49.710899056508453</v>
      </c>
      <c r="S64" s="94">
        <f>AVERAGE(R62:R64)</f>
        <v>47.891676868255807</v>
      </c>
      <c r="T64" s="80">
        <f>STDEV(R62:R64)</f>
        <v>4.494221567183188</v>
      </c>
      <c r="U64" s="89">
        <f>T64/SQRT(3)</f>
        <v>2.5947400316110354</v>
      </c>
      <c r="V64" s="89">
        <f t="shared" si="16"/>
        <v>9.7054565099945975</v>
      </c>
      <c r="W64" s="88">
        <f t="shared" ref="W64:W109" si="18">AVERAGE(V62:V64)</f>
        <v>9.2572325769854142</v>
      </c>
      <c r="X64" s="89">
        <f t="shared" ref="X64:X109" si="19">STDEV(V62:V64)</f>
        <v>0.69329873071748882</v>
      </c>
      <c r="Y64" s="89">
        <f t="shared" ref="Y64:Y109" si="20">X64/SQRT(3)</f>
        <v>0.40027620880856807</v>
      </c>
      <c r="Z64" s="89">
        <f>(V64-$V$61)/(D62-$D$59)</f>
        <v>0.11957255772437927</v>
      </c>
      <c r="AA64" s="88">
        <f>AVERAGE(Z62:Z64)</f>
        <v>8.5039226739952567E-2</v>
      </c>
      <c r="AB64" s="95">
        <f>STDEV(Z62:Z64)/SQRT(3)</f>
        <v>2.2122760898039624E-2</v>
      </c>
      <c r="AD64" s="81">
        <f>D77</f>
        <v>143.5</v>
      </c>
      <c r="AE64" s="80">
        <f>S79</f>
        <v>59.894633957773046</v>
      </c>
      <c r="AF64" s="80">
        <f>U79</f>
        <v>2.6356036066460273</v>
      </c>
      <c r="AG64" s="80">
        <f>W79</f>
        <v>42.687816780118872</v>
      </c>
      <c r="AH64" s="80">
        <f>Y79</f>
        <v>0.85115971585125638</v>
      </c>
    </row>
    <row r="65" spans="2:34" x14ac:dyDescent="0.2">
      <c r="B65" s="206" t="s">
        <v>25</v>
      </c>
      <c r="C65" s="203">
        <v>0.5</v>
      </c>
      <c r="D65" s="228">
        <f>2+24+D62</f>
        <v>49</v>
      </c>
      <c r="E65" s="104" t="s">
        <v>104</v>
      </c>
      <c r="F65" s="209">
        <v>4.99E-2</v>
      </c>
      <c r="G65" s="212">
        <v>4.8899999999999999E-2</v>
      </c>
      <c r="H65" s="92">
        <f>0.3117-F65</f>
        <v>0.26179999999999998</v>
      </c>
      <c r="I65" s="96">
        <f>0.3115-F65</f>
        <v>0.2616</v>
      </c>
      <c r="J65" s="96">
        <f>0.2044-G65</f>
        <v>0.1555</v>
      </c>
      <c r="K65" s="96">
        <f>0.2037-G65</f>
        <v>0.15479999999999999</v>
      </c>
      <c r="L65" s="76">
        <f t="shared" si="11"/>
        <v>2.7183549432739061E-2</v>
      </c>
      <c r="M65" s="76">
        <f t="shared" si="12"/>
        <v>2.7219773095623991E-2</v>
      </c>
      <c r="N65" s="96">
        <f t="shared" si="13"/>
        <v>2.7201661264181526E-2</v>
      </c>
      <c r="O65" s="76">
        <f>'Growth curves UTEX #1926'!F33</f>
        <v>0.23100000000000001</v>
      </c>
      <c r="P65" s="76">
        <f t="shared" si="14"/>
        <v>0.29096760000000005</v>
      </c>
      <c r="Q65" s="97">
        <f t="shared" si="17"/>
        <v>2.9096760000000004E-4</v>
      </c>
      <c r="R65" s="98">
        <f t="shared" si="15"/>
        <v>46.743454020622096</v>
      </c>
      <c r="S65" s="99"/>
      <c r="T65" s="100"/>
      <c r="U65" s="100"/>
      <c r="V65" s="80">
        <f t="shared" si="16"/>
        <v>13.600830632090764</v>
      </c>
      <c r="W65" s="94"/>
      <c r="X65" s="80"/>
      <c r="Y65" s="80"/>
      <c r="Z65" s="80">
        <f t="shared" ref="Z65:Z107" si="21">(V65-$V$59)/(D65-$D$59)</f>
        <v>0.12455098733172366</v>
      </c>
      <c r="AA65" s="94"/>
      <c r="AB65" s="101"/>
      <c r="AD65" s="81">
        <f>D80</f>
        <v>167.5</v>
      </c>
      <c r="AE65" s="80">
        <f>S82</f>
        <v>52.949395882920449</v>
      </c>
      <c r="AF65" s="80">
        <f>U82</f>
        <v>0.4815012905441452</v>
      </c>
      <c r="AG65" s="80">
        <f>W82</f>
        <v>42.348838465694222</v>
      </c>
      <c r="AH65" s="80">
        <f>Y82</f>
        <v>0.98894208671521522</v>
      </c>
    </row>
    <row r="66" spans="2:34" x14ac:dyDescent="0.2">
      <c r="B66" s="207"/>
      <c r="C66" s="204"/>
      <c r="D66" s="226"/>
      <c r="E66" s="104" t="s">
        <v>105</v>
      </c>
      <c r="F66" s="210"/>
      <c r="G66" s="213"/>
      <c r="H66" s="74">
        <f>0.3005-F65</f>
        <v>0.25059999999999999</v>
      </c>
      <c r="I66" s="76">
        <f>0.2822-F65</f>
        <v>0.23230000000000001</v>
      </c>
      <c r="J66" s="76">
        <f>0.1907-G65</f>
        <v>0.14180000000000001</v>
      </c>
      <c r="K66" s="76">
        <f>0.1715-G65</f>
        <v>0.12260000000000001</v>
      </c>
      <c r="L66" s="76">
        <f t="shared" si="11"/>
        <v>2.6711669367909235E-2</v>
      </c>
      <c r="M66" s="76">
        <f t="shared" si="12"/>
        <v>2.5628363047001623E-2</v>
      </c>
      <c r="N66" s="76">
        <f t="shared" si="13"/>
        <v>2.6170016207455429E-2</v>
      </c>
      <c r="O66" s="76">
        <f>'Growth curves UTEX #1926'!G33</f>
        <v>0.23100000000000001</v>
      </c>
      <c r="P66" s="76">
        <f t="shared" si="14"/>
        <v>0.29096760000000005</v>
      </c>
      <c r="Q66" s="77">
        <f t="shared" si="17"/>
        <v>2.9096760000000004E-4</v>
      </c>
      <c r="R66" s="78">
        <f t="shared" si="15"/>
        <v>44.970670630433467</v>
      </c>
      <c r="S66" s="79"/>
      <c r="T66" s="80"/>
      <c r="U66" s="80"/>
      <c r="V66" s="80">
        <f t="shared" si="16"/>
        <v>13.085008103727715</v>
      </c>
      <c r="W66" s="94"/>
      <c r="X66" s="80"/>
      <c r="Y66" s="80"/>
      <c r="Z66" s="80">
        <f>(V66-$V$60)/(D65-$D$59)</f>
        <v>0.11498238679588527</v>
      </c>
      <c r="AA66" s="94"/>
      <c r="AB66" s="101"/>
      <c r="AD66" s="81">
        <f>D83</f>
        <v>191.5</v>
      </c>
      <c r="AE66" s="80">
        <f>S85</f>
        <v>59.278286549231673</v>
      </c>
      <c r="AF66" s="80">
        <f>U85</f>
        <v>2.1456788253402461</v>
      </c>
      <c r="AG66" s="80">
        <f>W85</f>
        <v>54.649648838465687</v>
      </c>
      <c r="AH66" s="80">
        <f>Y85</f>
        <v>3.134456577939531</v>
      </c>
    </row>
    <row r="67" spans="2:34" x14ac:dyDescent="0.2">
      <c r="B67" s="208"/>
      <c r="C67" s="205"/>
      <c r="D67" s="227"/>
      <c r="E67" s="151" t="s">
        <v>106</v>
      </c>
      <c r="F67" s="211"/>
      <c r="G67" s="214"/>
      <c r="H67" s="74">
        <f>0.3005-F65</f>
        <v>0.25059999999999999</v>
      </c>
      <c r="I67" s="76">
        <f>0.3015-F65</f>
        <v>0.25159999999999999</v>
      </c>
      <c r="J67" s="76">
        <f>0.186-G65</f>
        <v>0.1371</v>
      </c>
      <c r="K67" s="76">
        <f>0.1845-G65</f>
        <v>0.1356</v>
      </c>
      <c r="L67" s="76">
        <f t="shared" si="11"/>
        <v>2.7172528363047E-2</v>
      </c>
      <c r="M67" s="76">
        <f t="shared" si="12"/>
        <v>2.7481685575364668E-2</v>
      </c>
      <c r="N67" s="76">
        <f t="shared" si="13"/>
        <v>2.7327106969205834E-2</v>
      </c>
      <c r="O67" s="76">
        <f>'Growth curves UTEX #1926'!H33</f>
        <v>0.23699999999999999</v>
      </c>
      <c r="P67" s="76">
        <f t="shared" si="14"/>
        <v>0.29852519999999999</v>
      </c>
      <c r="Q67" s="77">
        <f t="shared" si="17"/>
        <v>2.9852519999999997E-4</v>
      </c>
      <c r="R67" s="78">
        <f t="shared" si="15"/>
        <v>45.77018450905625</v>
      </c>
      <c r="S67" s="94">
        <f>AVERAGE(R65:R67)</f>
        <v>45.828103053370604</v>
      </c>
      <c r="T67" s="80">
        <f>STDEV(R65:R67)</f>
        <v>0.88780975184089528</v>
      </c>
      <c r="U67" s="89">
        <f>T67/SQRT(3)</f>
        <v>0.51257719921451572</v>
      </c>
      <c r="V67" s="89">
        <f t="shared" si="16"/>
        <v>13.663553484602918</v>
      </c>
      <c r="W67" s="88">
        <f t="shared" si="18"/>
        <v>13.44979740680713</v>
      </c>
      <c r="X67" s="89">
        <f t="shared" si="19"/>
        <v>0.31746962970919085</v>
      </c>
      <c r="Y67" s="89">
        <f t="shared" si="20"/>
        <v>0.18329117617213217</v>
      </c>
      <c r="Z67" s="89">
        <f>(V67-$V$61)/(D65-$D$59)</f>
        <v>0.13690338371977639</v>
      </c>
      <c r="AA67" s="88">
        <f t="shared" ref="AA67:AA109" si="22">AVERAGE(Z65:Z67)</f>
        <v>0.12547891928246177</v>
      </c>
      <c r="AB67" s="95">
        <f t="shared" ref="AB67:AB109" si="23">STDEV(Z65:Z67)/SQRT(3)</f>
        <v>6.345032697924983E-3</v>
      </c>
      <c r="AD67" s="81">
        <f>D86</f>
        <v>215.5</v>
      </c>
      <c r="AE67" s="80">
        <f>S88</f>
        <v>47.361220315444974</v>
      </c>
      <c r="AF67" s="80">
        <f>U88</f>
        <v>1.4779409558870256</v>
      </c>
      <c r="AG67" s="80">
        <f>W88</f>
        <v>48.637898433279304</v>
      </c>
      <c r="AH67" s="80">
        <f>Y88</f>
        <v>3.3460102039352879</v>
      </c>
    </row>
    <row r="68" spans="2:34" x14ac:dyDescent="0.2">
      <c r="B68" s="206" t="s">
        <v>26</v>
      </c>
      <c r="C68" s="203">
        <v>0.5</v>
      </c>
      <c r="D68" s="228">
        <f>24+D65</f>
        <v>73</v>
      </c>
      <c r="E68" s="104" t="s">
        <v>104</v>
      </c>
      <c r="F68" s="209">
        <f>(0.0193+0.063)/2</f>
        <v>4.1149999999999999E-2</v>
      </c>
      <c r="G68" s="212">
        <f>(0.02+0.0611)/2</f>
        <v>4.0550000000000003E-2</v>
      </c>
      <c r="H68" s="92">
        <f>0.2546-F68</f>
        <v>0.21345</v>
      </c>
      <c r="I68" s="96">
        <f>0.2283-F68</f>
        <v>0.18715000000000001</v>
      </c>
      <c r="J68" s="96">
        <f>0.1701-G68</f>
        <v>0.12955</v>
      </c>
      <c r="K68" s="96">
        <f>0.1429-G68</f>
        <v>0.10235</v>
      </c>
      <c r="L68" s="76">
        <f t="shared" si="11"/>
        <v>2.1891774716369532E-2</v>
      </c>
      <c r="M68" s="76">
        <f t="shared" si="12"/>
        <v>2.0296312803889792E-2</v>
      </c>
      <c r="N68" s="96">
        <f t="shared" si="13"/>
        <v>2.109404376012966E-2</v>
      </c>
      <c r="O68" s="76">
        <f>'Growth curves UTEX #1926'!F34</f>
        <v>0.316</v>
      </c>
      <c r="P68" s="76">
        <f t="shared" si="14"/>
        <v>0.39803360000000004</v>
      </c>
      <c r="Q68" s="97">
        <f t="shared" ref="Q68:Q76" si="24">O68*0.5/1000</f>
        <v>1.5799999999999999E-4</v>
      </c>
      <c r="R68" s="98">
        <f t="shared" si="15"/>
        <v>66.753303038384999</v>
      </c>
      <c r="S68" s="99"/>
      <c r="T68" s="100"/>
      <c r="U68" s="100"/>
      <c r="V68" s="80">
        <f t="shared" si="16"/>
        <v>26.570057520259322</v>
      </c>
      <c r="W68" s="94"/>
      <c r="X68" s="80"/>
      <c r="Y68" s="80"/>
      <c r="Z68" s="80">
        <f t="shared" si="21"/>
        <v>0.26126335982771259</v>
      </c>
      <c r="AA68" s="94"/>
      <c r="AB68" s="101"/>
      <c r="AD68" s="81">
        <f>D89</f>
        <v>263.5</v>
      </c>
      <c r="AE68" s="80">
        <f>S91</f>
        <v>59.429676419298097</v>
      </c>
      <c r="AF68" s="80">
        <f>U91</f>
        <v>1.8495829632182808</v>
      </c>
      <c r="AG68" s="80">
        <f>W91</f>
        <v>74.675715829281472</v>
      </c>
      <c r="AH68" s="80">
        <f>Y91</f>
        <v>2.2087124606311055</v>
      </c>
    </row>
    <row r="69" spans="2:34" x14ac:dyDescent="0.2">
      <c r="B69" s="207"/>
      <c r="C69" s="204"/>
      <c r="D69" s="226"/>
      <c r="E69" s="104" t="s">
        <v>105</v>
      </c>
      <c r="F69" s="210"/>
      <c r="G69" s="213"/>
      <c r="H69" s="74">
        <f>0.2299-F68</f>
        <v>0.18875</v>
      </c>
      <c r="I69" s="76">
        <f>0.2209-F68</f>
        <v>0.17975000000000002</v>
      </c>
      <c r="J69" s="76">
        <f>0.1663-G68</f>
        <v>0.12575</v>
      </c>
      <c r="K69" s="76">
        <f>0.1574-G68</f>
        <v>0.11685000000000001</v>
      </c>
      <c r="L69" s="76">
        <f t="shared" si="11"/>
        <v>1.8261142625607778E-2</v>
      </c>
      <c r="M69" s="76">
        <f t="shared" si="12"/>
        <v>1.7675162074554298E-2</v>
      </c>
      <c r="N69" s="76">
        <f t="shared" si="13"/>
        <v>1.7968152350081038E-2</v>
      </c>
      <c r="O69" s="76">
        <f>'Growth curves UTEX #1926'!G34</f>
        <v>0.31900000000000001</v>
      </c>
      <c r="P69" s="76">
        <f t="shared" si="14"/>
        <v>0.40181240000000001</v>
      </c>
      <c r="Q69" s="77">
        <f t="shared" si="24"/>
        <v>1.595E-4</v>
      </c>
      <c r="R69" s="78">
        <f t="shared" si="15"/>
        <v>56.326496395238365</v>
      </c>
      <c r="S69" s="79"/>
      <c r="T69" s="80"/>
      <c r="U69" s="80"/>
      <c r="V69" s="80">
        <f t="shared" si="16"/>
        <v>22.632684700162077</v>
      </c>
      <c r="W69" s="94"/>
      <c r="X69" s="80"/>
      <c r="Y69" s="80"/>
      <c r="Z69" s="80">
        <f>(V69-$V$60)/(D68-$D$59)</f>
        <v>0.20797004862236629</v>
      </c>
      <c r="AA69" s="94"/>
      <c r="AB69" s="101"/>
      <c r="AD69" s="81">
        <f>D92</f>
        <v>287.5</v>
      </c>
      <c r="AE69" s="80">
        <f>S94</f>
        <v>59.586007970477532</v>
      </c>
      <c r="AF69" s="80">
        <f>U94</f>
        <v>3.1876431209868641</v>
      </c>
      <c r="AG69" s="80">
        <f>W94</f>
        <v>83.845488924905453</v>
      </c>
      <c r="AH69" s="80">
        <f>Y94</f>
        <v>7.8205136381786202</v>
      </c>
    </row>
    <row r="70" spans="2:34" x14ac:dyDescent="0.2">
      <c r="B70" s="208"/>
      <c r="C70" s="205"/>
      <c r="D70" s="227"/>
      <c r="E70" s="151" t="s">
        <v>106</v>
      </c>
      <c r="F70" s="211"/>
      <c r="G70" s="214"/>
      <c r="H70" s="74">
        <f>0.2075-F68</f>
        <v>0.16635</v>
      </c>
      <c r="I70" s="76">
        <f>0.2041-F68</f>
        <v>0.16295000000000001</v>
      </c>
      <c r="J70" s="76">
        <f>0.1394-G68</f>
        <v>9.8849999999999993E-2</v>
      </c>
      <c r="K70" s="76">
        <f>0.1378-G68</f>
        <v>9.7250000000000003E-2</v>
      </c>
      <c r="L70" s="76">
        <f t="shared" si="11"/>
        <v>1.7268354943273907E-2</v>
      </c>
      <c r="M70" s="76">
        <f t="shared" si="12"/>
        <v>1.6874189627228527E-2</v>
      </c>
      <c r="N70" s="76">
        <f t="shared" si="13"/>
        <v>1.7071272285251217E-2</v>
      </c>
      <c r="O70" s="76">
        <f>'Growth curves UTEX #1926'!H34</f>
        <v>0.31</v>
      </c>
      <c r="P70" s="76">
        <f t="shared" si="14"/>
        <v>0.39047599999999999</v>
      </c>
      <c r="Q70" s="77">
        <f t="shared" si="24"/>
        <v>1.55E-4</v>
      </c>
      <c r="R70" s="78">
        <f t="shared" si="15"/>
        <v>55.068620275003923</v>
      </c>
      <c r="S70" s="94">
        <f>AVERAGE(R68:R70)</f>
        <v>59.382806569542424</v>
      </c>
      <c r="T70" s="80">
        <f>STDEV(R68:R70)</f>
        <v>6.4139478273041481</v>
      </c>
      <c r="U70" s="89">
        <f>T70/SQRT(3)</f>
        <v>3.7030945046622654</v>
      </c>
      <c r="V70" s="89">
        <f t="shared" si="16"/>
        <v>21.502974570502431</v>
      </c>
      <c r="W70" s="88">
        <f t="shared" si="18"/>
        <v>23.568572263641276</v>
      </c>
      <c r="X70" s="89">
        <f t="shared" si="19"/>
        <v>2.6600275475144093</v>
      </c>
      <c r="Y70" s="89">
        <f t="shared" si="20"/>
        <v>1.5357676206092643</v>
      </c>
      <c r="Z70" s="89">
        <f>(V70-$V$61)/(D68-$D$59)</f>
        <v>0.19928338202970625</v>
      </c>
      <c r="AA70" s="88">
        <f t="shared" si="22"/>
        <v>0.22283893015992837</v>
      </c>
      <c r="AB70" s="95">
        <f t="shared" si="23"/>
        <v>1.9375174326905172E-2</v>
      </c>
      <c r="AD70" s="81">
        <f>D95</f>
        <v>311.5</v>
      </c>
      <c r="AE70" s="80">
        <f>S97</f>
        <v>53.589328752543146</v>
      </c>
      <c r="AF70" s="80">
        <f>U97</f>
        <v>2.824157975681088</v>
      </c>
      <c r="AG70" s="80">
        <f>W97</f>
        <v>79.33589951377634</v>
      </c>
      <c r="AH70" s="80">
        <f>Y97</f>
        <v>2.9603795805859332</v>
      </c>
    </row>
    <row r="71" spans="2:34" x14ac:dyDescent="0.2">
      <c r="B71" s="206" t="s">
        <v>27</v>
      </c>
      <c r="C71" s="203">
        <v>0.4375</v>
      </c>
      <c r="D71" s="218">
        <f>22.5+D68</f>
        <v>95.5</v>
      </c>
      <c r="E71" s="104" t="s">
        <v>104</v>
      </c>
      <c r="F71" s="209">
        <f>(0.046+0.0511+0.0509)/3</f>
        <v>4.9333333333333333E-2</v>
      </c>
      <c r="G71" s="212">
        <f>(0.045+0.0494+0.0494)/3</f>
        <v>4.7933333333333328E-2</v>
      </c>
      <c r="H71" s="92">
        <f>0.4019-F71</f>
        <v>0.35256666666666664</v>
      </c>
      <c r="I71" s="96">
        <f>0.3747-F71</f>
        <v>0.32536666666666664</v>
      </c>
      <c r="J71" s="96">
        <f>0.3147-G71</f>
        <v>0.26676666666666665</v>
      </c>
      <c r="K71" s="96">
        <f>0.29-G71</f>
        <v>0.24206666666666665</v>
      </c>
      <c r="L71" s="76">
        <f t="shared" si="11"/>
        <v>3.0984251755807671E-2</v>
      </c>
      <c r="M71" s="76">
        <f t="shared" si="12"/>
        <v>2.8997784981091301E-2</v>
      </c>
      <c r="N71" s="96">
        <f t="shared" si="13"/>
        <v>2.9991018368449487E-2</v>
      </c>
      <c r="O71" s="76">
        <f>'Growth curves UTEX #1926'!F35</f>
        <v>0.39800000000000002</v>
      </c>
      <c r="P71" s="76">
        <f t="shared" si="14"/>
        <v>0.50132080000000001</v>
      </c>
      <c r="Q71" s="97">
        <f t="shared" si="24"/>
        <v>1.9900000000000001E-4</v>
      </c>
      <c r="R71" s="98">
        <f t="shared" si="15"/>
        <v>75.354317508667052</v>
      </c>
      <c r="S71" s="102"/>
      <c r="T71" s="103"/>
      <c r="U71" s="103"/>
      <c r="V71" s="80">
        <f t="shared" si="16"/>
        <v>37.776686736898974</v>
      </c>
      <c r="W71" s="94"/>
      <c r="X71" s="80"/>
      <c r="Y71" s="80"/>
      <c r="Z71" s="80">
        <f t="shared" si="21"/>
        <v>0.3170560678959442</v>
      </c>
      <c r="AA71" s="94"/>
      <c r="AB71" s="101"/>
      <c r="AD71" s="81">
        <f>D98</f>
        <v>335.5</v>
      </c>
      <c r="AE71" s="80">
        <f>S100</f>
        <v>57.752902123609772</v>
      </c>
      <c r="AF71" s="80">
        <f>U100</f>
        <v>3.4339511208660931</v>
      </c>
      <c r="AG71" s="80">
        <f>W100</f>
        <v>91.122974068071315</v>
      </c>
      <c r="AH71" s="80">
        <f>Y100</f>
        <v>9.0362880141150459</v>
      </c>
    </row>
    <row r="72" spans="2:34" ht="15" customHeight="1" x14ac:dyDescent="0.2">
      <c r="B72" s="207"/>
      <c r="C72" s="204"/>
      <c r="D72" s="219"/>
      <c r="E72" s="104" t="s">
        <v>105</v>
      </c>
      <c r="F72" s="210"/>
      <c r="G72" s="213"/>
      <c r="H72" s="74">
        <f>0.2886-F71</f>
        <v>0.23926666666666668</v>
      </c>
      <c r="I72" s="76">
        <f>0.3022-F71</f>
        <v>0.25286666666666668</v>
      </c>
      <c r="J72" s="76">
        <f>0.1992-G71</f>
        <v>0.15126666666666666</v>
      </c>
      <c r="K72" s="76">
        <f>0.2057-G71</f>
        <v>0.15776666666666667</v>
      </c>
      <c r="L72" s="76">
        <f t="shared" si="11"/>
        <v>2.3946569421934096E-2</v>
      </c>
      <c r="M72" s="76">
        <f t="shared" si="12"/>
        <v>2.5513425175580771E-2</v>
      </c>
      <c r="N72" s="76">
        <f t="shared" si="13"/>
        <v>2.4729997298757432E-2</v>
      </c>
      <c r="O72" s="76">
        <f>'Growth curves UTEX #1926'!G35</f>
        <v>0.38800000000000001</v>
      </c>
      <c r="P72" s="76">
        <f t="shared" si="14"/>
        <v>0.48872480000000001</v>
      </c>
      <c r="Q72" s="77">
        <f t="shared" si="24"/>
        <v>1.94E-4</v>
      </c>
      <c r="R72" s="78">
        <f t="shared" si="15"/>
        <v>63.737106440096476</v>
      </c>
      <c r="S72" s="79"/>
      <c r="V72" s="80">
        <f t="shared" si="16"/>
        <v>31.149904597514862</v>
      </c>
      <c r="W72" s="94"/>
      <c r="X72" s="80"/>
      <c r="Y72" s="80"/>
      <c r="Z72" s="80">
        <f>(V72-$V$60)/(D71-$D$59)</f>
        <v>0.2481574182909479</v>
      </c>
      <c r="AA72" s="94"/>
      <c r="AB72" s="101"/>
      <c r="AD72" s="81">
        <f>D101</f>
        <v>361</v>
      </c>
      <c r="AE72" s="80">
        <f>S103</f>
        <v>54.986983861255148</v>
      </c>
      <c r="AF72" s="80">
        <f>U103</f>
        <v>2.800788834422232</v>
      </c>
      <c r="AG72" s="80">
        <f>W103</f>
        <v>90.642085359265252</v>
      </c>
      <c r="AH72" s="80">
        <f>Y103</f>
        <v>4.4632479394123594</v>
      </c>
    </row>
    <row r="73" spans="2:34" ht="15" customHeight="1" x14ac:dyDescent="0.2">
      <c r="B73" s="208"/>
      <c r="C73" s="205"/>
      <c r="D73" s="220"/>
      <c r="E73" s="151" t="s">
        <v>106</v>
      </c>
      <c r="F73" s="211"/>
      <c r="G73" s="214"/>
      <c r="H73" s="83">
        <f>0.3215-F71</f>
        <v>0.27216666666666667</v>
      </c>
      <c r="I73" s="85">
        <f>0.331-F71</f>
        <v>0.28166666666666668</v>
      </c>
      <c r="J73" s="85">
        <f>0.2421-G71</f>
        <v>0.19416666666666668</v>
      </c>
      <c r="K73" s="85">
        <f>0.2485-G71</f>
        <v>0.20056666666666667</v>
      </c>
      <c r="L73" s="76">
        <f t="shared" si="11"/>
        <v>2.5072258238789839E-2</v>
      </c>
      <c r="M73" s="76">
        <f t="shared" si="12"/>
        <v>2.5984413830361968E-2</v>
      </c>
      <c r="N73" s="85">
        <f t="shared" si="13"/>
        <v>2.5528336034575903E-2</v>
      </c>
      <c r="O73" s="76">
        <f>'Growth curves UTEX #1926'!H35</f>
        <v>0.375</v>
      </c>
      <c r="P73" s="76">
        <f t="shared" si="14"/>
        <v>0.47235000000000005</v>
      </c>
      <c r="Q73" s="86">
        <f t="shared" si="24"/>
        <v>1.875E-4</v>
      </c>
      <c r="R73" s="87">
        <f t="shared" si="15"/>
        <v>68.075562758869069</v>
      </c>
      <c r="S73" s="88">
        <f>AVERAGE(R71:R73)</f>
        <v>69.055662235877534</v>
      </c>
      <c r="T73" s="89">
        <f>STDEV(R71:R73)</f>
        <v>5.870293390585676</v>
      </c>
      <c r="U73" s="89">
        <f>T73/SQRT(3)</f>
        <v>3.3892154692767211</v>
      </c>
      <c r="V73" s="89">
        <f t="shared" si="16"/>
        <v>32.155492069151805</v>
      </c>
      <c r="W73" s="88">
        <f t="shared" si="18"/>
        <v>33.694027801188547</v>
      </c>
      <c r="X73" s="89">
        <f t="shared" si="19"/>
        <v>3.5712574157823518</v>
      </c>
      <c r="Y73" s="89">
        <f t="shared" si="20"/>
        <v>2.0618664303473881</v>
      </c>
      <c r="Z73" s="89">
        <f>(V73-$V$61)/(D71-$D$59)</f>
        <v>0.26387648572584221</v>
      </c>
      <c r="AA73" s="88">
        <f t="shared" si="22"/>
        <v>0.2763633239709114</v>
      </c>
      <c r="AB73" s="95">
        <f t="shared" si="23"/>
        <v>2.0846237281317112E-2</v>
      </c>
      <c r="AD73" s="81">
        <f>D104</f>
        <v>385.5</v>
      </c>
      <c r="AE73" s="80">
        <f>S106</f>
        <v>60.751117228965803</v>
      </c>
      <c r="AF73" s="80">
        <f>U106</f>
        <v>2.1067429983971051</v>
      </c>
      <c r="AG73" s="80">
        <f>W106</f>
        <v>107.85291734197729</v>
      </c>
      <c r="AH73" s="80">
        <f>Y106</f>
        <v>8.2437257681603882</v>
      </c>
    </row>
    <row r="74" spans="2:34" x14ac:dyDescent="0.2">
      <c r="B74" s="206" t="s">
        <v>28</v>
      </c>
      <c r="C74" s="203">
        <v>0.4375</v>
      </c>
      <c r="D74" s="218">
        <f>24+D71</f>
        <v>119.5</v>
      </c>
      <c r="E74" s="104" t="s">
        <v>104</v>
      </c>
      <c r="F74" s="209">
        <f>(0.0435+0.0441+0.0503)/3</f>
        <v>4.5966666666666663E-2</v>
      </c>
      <c r="G74" s="212">
        <f>(0.0432+0.0439+0.0501)/3</f>
        <v>4.5733333333333341E-2</v>
      </c>
      <c r="H74" s="74">
        <f>0.3448-F74</f>
        <v>0.29883333333333334</v>
      </c>
      <c r="I74" s="76">
        <f>0.3256-F74</f>
        <v>0.27963333333333334</v>
      </c>
      <c r="J74" s="76">
        <f>0.2334-G74</f>
        <v>0.18766666666666665</v>
      </c>
      <c r="K74" s="76">
        <f>0.2184-G74</f>
        <v>0.17266666666666666</v>
      </c>
      <c r="L74" s="76">
        <f t="shared" si="11"/>
        <v>3.0031604538087522E-2</v>
      </c>
      <c r="M74" s="76">
        <f t="shared" si="12"/>
        <v>2.8390599675850895E-2</v>
      </c>
      <c r="N74" s="76">
        <f t="shared" si="13"/>
        <v>2.9211102106969207E-2</v>
      </c>
      <c r="O74" s="76">
        <f>'Growth curves UTEX #1926'!F36</f>
        <v>0.47299999999999998</v>
      </c>
      <c r="P74" s="76">
        <f t="shared" si="14"/>
        <v>0.59579079999999995</v>
      </c>
      <c r="Q74" s="77">
        <f t="shared" si="24"/>
        <v>2.3649999999999998E-4</v>
      </c>
      <c r="R74" s="78">
        <f t="shared" si="15"/>
        <v>61.757086906911653</v>
      </c>
      <c r="S74" s="79"/>
      <c r="V74" s="80">
        <f t="shared" si="16"/>
        <v>36.794304213938418</v>
      </c>
      <c r="W74" s="94"/>
      <c r="X74" s="80"/>
      <c r="Y74" s="80"/>
      <c r="Z74" s="80">
        <f t="shared" si="21"/>
        <v>0.24515876118077082</v>
      </c>
      <c r="AA74" s="94"/>
      <c r="AB74" s="101"/>
      <c r="AD74" s="81">
        <f>D107</f>
        <v>409</v>
      </c>
      <c r="AE74" s="80">
        <f>S109</f>
        <v>58.077263163917202</v>
      </c>
      <c r="AF74" s="80">
        <f>U109</f>
        <v>4.8882430787264841</v>
      </c>
      <c r="AG74" s="80">
        <f>W109</f>
        <v>105.08785791464074</v>
      </c>
      <c r="AH74" s="80">
        <f>Y109</f>
        <v>12.432622855513609</v>
      </c>
    </row>
    <row r="75" spans="2:34" x14ac:dyDescent="0.2">
      <c r="B75" s="207"/>
      <c r="C75" s="204"/>
      <c r="D75" s="219"/>
      <c r="E75" s="104" t="s">
        <v>105</v>
      </c>
      <c r="F75" s="210"/>
      <c r="G75" s="213"/>
      <c r="H75" s="74">
        <f>0.3669-F74</f>
        <v>0.32093333333333335</v>
      </c>
      <c r="I75" s="76">
        <f>0.3806-F74</f>
        <v>0.33463333333333334</v>
      </c>
      <c r="J75" s="76">
        <f>0.2236-G74</f>
        <v>0.17786666666666665</v>
      </c>
      <c r="K75" s="76">
        <f>0.2356-G74</f>
        <v>0.18986666666666666</v>
      </c>
      <c r="L75" s="76">
        <f t="shared" si="11"/>
        <v>3.4574392220421399E-2</v>
      </c>
      <c r="M75" s="76">
        <f t="shared" si="12"/>
        <v>3.5618152350081041E-2</v>
      </c>
      <c r="N75" s="76">
        <f t="shared" si="13"/>
        <v>3.5096272285251223E-2</v>
      </c>
      <c r="O75" s="76">
        <f>'Growth curves UTEX #1926'!G36</f>
        <v>0.48299999999999998</v>
      </c>
      <c r="P75" s="76">
        <f t="shared" si="14"/>
        <v>0.60838680000000001</v>
      </c>
      <c r="Q75" s="77">
        <f t="shared" si="24"/>
        <v>2.4149999999999999E-4</v>
      </c>
      <c r="R75" s="78">
        <f t="shared" si="15"/>
        <v>72.663089617497363</v>
      </c>
      <c r="S75" s="79"/>
      <c r="V75" s="80">
        <f t="shared" si="16"/>
        <v>44.207264570502446</v>
      </c>
      <c r="W75" s="94"/>
      <c r="X75" s="80"/>
      <c r="Y75" s="80"/>
      <c r="Z75" s="80">
        <f>(V75-$V$60)/(D74-$D$59)</f>
        <v>0.30758488217383356</v>
      </c>
      <c r="AA75" s="94"/>
      <c r="AB75" s="101"/>
    </row>
    <row r="76" spans="2:34" x14ac:dyDescent="0.2">
      <c r="B76" s="208"/>
      <c r="C76" s="205"/>
      <c r="D76" s="220"/>
      <c r="E76" s="151" t="s">
        <v>106</v>
      </c>
      <c r="F76" s="211"/>
      <c r="G76" s="214"/>
      <c r="H76" s="74">
        <f>0.2718-F74</f>
        <v>0.22583333333333333</v>
      </c>
      <c r="I76" s="76">
        <f>0.2825-F74</f>
        <v>0.23653333333333332</v>
      </c>
      <c r="J76" s="76">
        <f>0.1749-G74</f>
        <v>0.12916666666666665</v>
      </c>
      <c r="K76" s="76">
        <f>0.1838-G74</f>
        <v>0.13806666666666664</v>
      </c>
      <c r="L76" s="76">
        <f t="shared" si="11"/>
        <v>2.3936385737439225E-2</v>
      </c>
      <c r="M76" s="76">
        <f t="shared" si="12"/>
        <v>2.4797893030794167E-2</v>
      </c>
      <c r="N76" s="76">
        <f t="shared" si="13"/>
        <v>2.4367139384116696E-2</v>
      </c>
      <c r="O76" s="76">
        <f>'Growth curves UTEX #1926'!H36</f>
        <v>0.41299999999999998</v>
      </c>
      <c r="P76" s="76">
        <f t="shared" si="14"/>
        <v>0.52021479999999998</v>
      </c>
      <c r="Q76" s="77">
        <f t="shared" si="24"/>
        <v>2.0649999999999998E-4</v>
      </c>
      <c r="R76" s="78">
        <f t="shared" si="15"/>
        <v>59.00033749180799</v>
      </c>
      <c r="S76" s="94">
        <f>AVERAGE(R74:R76)</f>
        <v>64.473504672072337</v>
      </c>
      <c r="T76" s="80">
        <f>STDEV(R74:R76)</f>
        <v>7.2250877515894425</v>
      </c>
      <c r="U76" s="89">
        <f>T76/SQRT(3)</f>
        <v>4.1714063582988326</v>
      </c>
      <c r="V76" s="89">
        <f t="shared" si="16"/>
        <v>30.692848768233393</v>
      </c>
      <c r="W76" s="88">
        <f t="shared" si="18"/>
        <v>37.231472517558082</v>
      </c>
      <c r="X76" s="89">
        <f t="shared" si="19"/>
        <v>6.767805827106903</v>
      </c>
      <c r="Y76" s="89">
        <f t="shared" si="20"/>
        <v>3.9073945161032886</v>
      </c>
      <c r="Z76" s="89">
        <f>(V76-$V$61)/(D74-$D$59)</f>
        <v>0.1986406785430922</v>
      </c>
      <c r="AA76" s="88">
        <f t="shared" si="22"/>
        <v>0.25046144063256554</v>
      </c>
      <c r="AB76" s="95">
        <f t="shared" si="23"/>
        <v>3.15610449933168E-2</v>
      </c>
      <c r="AD76" s="81"/>
      <c r="AE76" s="80"/>
      <c r="AF76" s="80"/>
      <c r="AG76" s="80"/>
      <c r="AH76" s="80"/>
    </row>
    <row r="77" spans="2:34" x14ac:dyDescent="0.2">
      <c r="B77" s="206" t="s">
        <v>29</v>
      </c>
      <c r="C77" s="203">
        <v>0.4375</v>
      </c>
      <c r="D77" s="218">
        <f>24+D74</f>
        <v>143.5</v>
      </c>
      <c r="E77" s="104" t="s">
        <v>104</v>
      </c>
      <c r="F77" s="209">
        <f>(0.0423+0.0501)/2</f>
        <v>4.6199999999999998E-2</v>
      </c>
      <c r="G77" s="212">
        <f>(0.0402+0.0474)/2</f>
        <v>4.3799999999999999E-2</v>
      </c>
      <c r="H77" s="92">
        <f>0.2048-F77</f>
        <v>0.15860000000000002</v>
      </c>
      <c r="I77" s="96">
        <f>0.2062-F77</f>
        <v>0.16</v>
      </c>
      <c r="J77" s="96">
        <f>0.1353-G77</f>
        <v>9.1499999999999998E-2</v>
      </c>
      <c r="K77" s="96">
        <f>0.1361-G77</f>
        <v>9.2299999999999993E-2</v>
      </c>
      <c r="L77" s="76">
        <f t="shared" si="11"/>
        <v>1.673298217179903E-2</v>
      </c>
      <c r="M77" s="76">
        <f t="shared" si="12"/>
        <v>1.6881442463533229E-2</v>
      </c>
      <c r="N77" s="96">
        <f t="shared" si="13"/>
        <v>1.6807212317666131E-2</v>
      </c>
      <c r="O77" s="76">
        <f>'Growth curves UTEX #1926'!F37</f>
        <v>0.58199999999999996</v>
      </c>
      <c r="P77" s="76">
        <f t="shared" si="14"/>
        <v>0.73308719999999994</v>
      </c>
      <c r="Q77" s="97">
        <f>O77*0.25/1000</f>
        <v>1.4549999999999999E-4</v>
      </c>
      <c r="R77" s="98">
        <f t="shared" si="15"/>
        <v>57.756743359677436</v>
      </c>
      <c r="S77" s="102"/>
      <c r="T77" s="103"/>
      <c r="U77" s="103"/>
      <c r="V77" s="80">
        <f t="shared" si="16"/>
        <v>42.340729270664518</v>
      </c>
      <c r="W77" s="94"/>
      <c r="X77" s="80"/>
      <c r="Y77" s="80"/>
      <c r="Z77" s="80">
        <f t="shared" si="21"/>
        <v>0.24280764472354155</v>
      </c>
      <c r="AA77" s="94"/>
      <c r="AB77" s="101"/>
      <c r="AE77" s="80"/>
      <c r="AF77" s="80"/>
      <c r="AG77" s="80"/>
      <c r="AH77" s="80"/>
    </row>
    <row r="78" spans="2:34" x14ac:dyDescent="0.2">
      <c r="B78" s="207"/>
      <c r="C78" s="204"/>
      <c r="D78" s="219"/>
      <c r="E78" s="104" t="s">
        <v>105</v>
      </c>
      <c r="F78" s="210"/>
      <c r="G78" s="213"/>
      <c r="H78" s="74">
        <f>0.2222-F77</f>
        <v>0.17600000000000002</v>
      </c>
      <c r="I78" s="76">
        <f>0.206-F77</f>
        <v>0.1598</v>
      </c>
      <c r="J78" s="76">
        <f>0.1621-G77</f>
        <v>0.11829999999999999</v>
      </c>
      <c r="K78" s="76">
        <f>0.1452-G77</f>
        <v>0.10139999999999999</v>
      </c>
      <c r="L78" s="76">
        <f t="shared" si="11"/>
        <v>1.6925202593192874E-2</v>
      </c>
      <c r="M78" s="76">
        <f t="shared" si="12"/>
        <v>1.5956726094003244E-2</v>
      </c>
      <c r="N78" s="76">
        <f t="shared" si="13"/>
        <v>1.6440964343598059E-2</v>
      </c>
      <c r="O78" s="76">
        <f>'Growth curves UTEX #1926'!G37</f>
        <v>0.57899999999999996</v>
      </c>
      <c r="P78" s="76">
        <f t="shared" si="14"/>
        <v>0.72930839999999997</v>
      </c>
      <c r="Q78" s="77">
        <f>O78*0.25/1000</f>
        <v>1.4474999999999999E-4</v>
      </c>
      <c r="R78" s="78">
        <f t="shared" si="15"/>
        <v>56.790895832808495</v>
      </c>
      <c r="S78" s="79"/>
      <c r="V78" s="80">
        <f t="shared" si="16"/>
        <v>41.418077374392226</v>
      </c>
      <c r="W78" s="94"/>
      <c r="X78" s="80"/>
      <c r="Y78" s="80"/>
      <c r="Z78" s="80">
        <f>(V78-$V$60)/(D77-$D$59)</f>
        <v>0.23670526985130935</v>
      </c>
      <c r="AA78" s="94"/>
      <c r="AB78" s="101"/>
      <c r="AE78" s="80"/>
      <c r="AF78" s="80"/>
      <c r="AG78" s="80"/>
      <c r="AH78" s="80"/>
    </row>
    <row r="79" spans="2:34" x14ac:dyDescent="0.2">
      <c r="B79" s="208"/>
      <c r="C79" s="205"/>
      <c r="D79" s="220"/>
      <c r="E79" s="151" t="s">
        <v>106</v>
      </c>
      <c r="F79" s="211"/>
      <c r="G79" s="214"/>
      <c r="H79" s="74">
        <f>0.2056-F77</f>
        <v>0.15940000000000001</v>
      </c>
      <c r="I79" s="76">
        <f>0.2126-F77</f>
        <v>0.16640000000000002</v>
      </c>
      <c r="J79" s="76">
        <f>0.1311-G77</f>
        <v>8.7299999999999989E-2</v>
      </c>
      <c r="K79" s="76">
        <f>0.1363-G77</f>
        <v>9.2499999999999999E-2</v>
      </c>
      <c r="L79" s="76">
        <f t="shared" si="11"/>
        <v>1.7274473257698545E-2</v>
      </c>
      <c r="M79" s="76">
        <f t="shared" si="12"/>
        <v>1.789910858995138E-2</v>
      </c>
      <c r="N79" s="76">
        <f t="shared" si="13"/>
        <v>1.7586790923824962E-2</v>
      </c>
      <c r="O79" s="76">
        <f>'Growth curves UTEX #1926'!H37</f>
        <v>0.54</v>
      </c>
      <c r="P79" s="76">
        <f t="shared" si="14"/>
        <v>0.68018400000000012</v>
      </c>
      <c r="Q79" s="77">
        <f>O79*0.25/1000</f>
        <v>1.35E-4</v>
      </c>
      <c r="R79" s="78">
        <f t="shared" si="15"/>
        <v>65.136262680833198</v>
      </c>
      <c r="S79" s="94">
        <f>AVERAGE(R77:R79)</f>
        <v>59.894633957773046</v>
      </c>
      <c r="T79" s="80">
        <f>STDEV(R77:R79)</f>
        <v>4.5649993553226969</v>
      </c>
      <c r="U79" s="89">
        <f>T79/SQRT(3)</f>
        <v>2.6356036066460273</v>
      </c>
      <c r="V79" s="89">
        <f t="shared" si="16"/>
        <v>44.304643695299859</v>
      </c>
      <c r="W79" s="88">
        <f t="shared" si="18"/>
        <v>42.687816780118872</v>
      </c>
      <c r="X79" s="89">
        <f t="shared" si="19"/>
        <v>1.4742518732102647</v>
      </c>
      <c r="Y79" s="89">
        <f t="shared" si="20"/>
        <v>0.85115971585125638</v>
      </c>
      <c r="Z79" s="89">
        <f>(V79-$V$61)/(D77-$D$59)</f>
        <v>0.26027425793007652</v>
      </c>
      <c r="AA79" s="88">
        <f t="shared" si="22"/>
        <v>0.24659572416830913</v>
      </c>
      <c r="AB79" s="95">
        <f t="shared" si="23"/>
        <v>7.0624938743140478E-3</v>
      </c>
    </row>
    <row r="80" spans="2:34" x14ac:dyDescent="0.2">
      <c r="B80" s="206" t="s">
        <v>30</v>
      </c>
      <c r="C80" s="203">
        <v>0.4375</v>
      </c>
      <c r="D80" s="218">
        <f>24+D77</f>
        <v>167.5</v>
      </c>
      <c r="E80" s="104" t="s">
        <v>104</v>
      </c>
      <c r="F80" s="209">
        <f>(0.0379+0.0475)/2</f>
        <v>4.2700000000000002E-2</v>
      </c>
      <c r="G80" s="212">
        <f>(0.0375+0.0463)/2</f>
        <v>4.19E-2</v>
      </c>
      <c r="H80" s="92">
        <f>0.1343-F80</f>
        <v>9.1600000000000001E-2</v>
      </c>
      <c r="I80" s="96">
        <f>0.1399-F80</f>
        <v>9.7199999999999995E-2</v>
      </c>
      <c r="J80" s="96">
        <f>0.0861-G80</f>
        <v>4.4199999999999996E-2</v>
      </c>
      <c r="K80" s="96">
        <f>0.0924-G80</f>
        <v>5.0499999999999996E-2</v>
      </c>
      <c r="L80" s="76">
        <f t="shared" si="11"/>
        <v>1.0511993517017829E-2</v>
      </c>
      <c r="M80" s="76">
        <f t="shared" si="12"/>
        <v>1.0801863857374392E-2</v>
      </c>
      <c r="N80" s="96">
        <f t="shared" si="13"/>
        <v>1.065692868719611E-2</v>
      </c>
      <c r="O80" s="76">
        <f>'Growth curves UTEX #1926'!F38</f>
        <v>0.64200000000000002</v>
      </c>
      <c r="P80" s="76">
        <f t="shared" si="14"/>
        <v>0.80866320000000003</v>
      </c>
      <c r="Q80" s="97">
        <f t="shared" ref="Q80:Q85" si="25">P80*0.125/1000</f>
        <v>1.010829E-4</v>
      </c>
      <c r="R80" s="98">
        <f t="shared" si="15"/>
        <v>52.713805634761719</v>
      </c>
      <c r="S80" s="102"/>
      <c r="T80" s="103"/>
      <c r="U80" s="103"/>
      <c r="V80" s="80">
        <f t="shared" si="16"/>
        <v>42.627714748784442</v>
      </c>
      <c r="W80" s="94"/>
      <c r="X80" s="80"/>
      <c r="Y80" s="80"/>
      <c r="Z80" s="80">
        <f t="shared" si="21"/>
        <v>0.20973064176685455</v>
      </c>
      <c r="AA80" s="94"/>
      <c r="AB80" s="101"/>
    </row>
    <row r="81" spans="2:28" x14ac:dyDescent="0.2">
      <c r="B81" s="207"/>
      <c r="C81" s="204"/>
      <c r="D81" s="219"/>
      <c r="E81" s="104" t="s">
        <v>105</v>
      </c>
      <c r="F81" s="210"/>
      <c r="G81" s="213"/>
      <c r="H81" s="74">
        <f>0.1469-F80</f>
        <v>0.1042</v>
      </c>
      <c r="I81" s="76">
        <f>0.1408-F80</f>
        <v>9.8100000000000007E-2</v>
      </c>
      <c r="J81" s="76">
        <f>0.0997-G80</f>
        <v>5.7799999999999997E-2</v>
      </c>
      <c r="K81" s="76">
        <f>0.0946-G80</f>
        <v>5.2700000000000004E-2</v>
      </c>
      <c r="L81" s="76">
        <f t="shared" si="11"/>
        <v>1.1220583468395462E-2</v>
      </c>
      <c r="M81" s="76">
        <f t="shared" si="12"/>
        <v>1.073200972447326E-2</v>
      </c>
      <c r="N81" s="76">
        <f t="shared" si="13"/>
        <v>1.097629659643436E-2</v>
      </c>
      <c r="O81" s="76">
        <f>'Growth curves UTEX #1926'!G38</f>
        <v>0.66700000000000004</v>
      </c>
      <c r="P81" s="76">
        <f t="shared" si="14"/>
        <v>0.84015320000000004</v>
      </c>
      <c r="Q81" s="77">
        <f t="shared" si="25"/>
        <v>1.0501915E-4</v>
      </c>
      <c r="R81" s="78">
        <f t="shared" si="15"/>
        <v>52.258548066873324</v>
      </c>
      <c r="S81" s="79"/>
      <c r="V81" s="80">
        <f t="shared" si="16"/>
        <v>43.905186385737437</v>
      </c>
      <c r="W81" s="94"/>
      <c r="X81" s="80"/>
      <c r="Y81" s="80"/>
      <c r="Z81" s="80">
        <f>(V81-$V$60)/(D80-$D$59)</f>
        <v>0.21763770289557077</v>
      </c>
      <c r="AA81" s="94"/>
      <c r="AB81" s="101"/>
    </row>
    <row r="82" spans="2:28" x14ac:dyDescent="0.2">
      <c r="B82" s="208"/>
      <c r="C82" s="205"/>
      <c r="D82" s="220"/>
      <c r="E82" s="151" t="s">
        <v>106</v>
      </c>
      <c r="F82" s="211"/>
      <c r="G82" s="214"/>
      <c r="H82" s="74">
        <f>0.1454-F80</f>
        <v>0.1027</v>
      </c>
      <c r="I82" s="76">
        <f>0.1322-F80</f>
        <v>8.950000000000001E-2</v>
      </c>
      <c r="J82" s="76">
        <f>0.1032-G80</f>
        <v>6.13E-2</v>
      </c>
      <c r="K82" s="76">
        <f>0.0917-G80</f>
        <v>4.9800000000000004E-2</v>
      </c>
      <c r="L82" s="76">
        <f t="shared" si="11"/>
        <v>1.0634278768233385E-2</v>
      </c>
      <c r="M82" s="76">
        <f t="shared" si="12"/>
        <v>9.6225283630470022E-3</v>
      </c>
      <c r="N82" s="76">
        <f t="shared" si="13"/>
        <v>1.0128403565640194E-2</v>
      </c>
      <c r="O82" s="76">
        <f>'Growth curves UTEX #1926'!H38</f>
        <v>0.59699999999999998</v>
      </c>
      <c r="P82" s="76">
        <f t="shared" si="14"/>
        <v>0.75198120000000002</v>
      </c>
      <c r="Q82" s="77">
        <f t="shared" si="25"/>
        <v>9.3997650000000006E-5</v>
      </c>
      <c r="R82" s="78">
        <f t="shared" si="15"/>
        <v>53.875833947126303</v>
      </c>
      <c r="S82" s="94">
        <f>AVERAGE(R80:R82)</f>
        <v>52.949395882920449</v>
      </c>
      <c r="T82" s="80">
        <f>STDEV(R80:R82)</f>
        <v>0.83398469913244322</v>
      </c>
      <c r="U82" s="89">
        <f>T82/SQRT(3)</f>
        <v>0.4815012905441452</v>
      </c>
      <c r="V82" s="89">
        <f t="shared" si="16"/>
        <v>40.513614262560772</v>
      </c>
      <c r="W82" s="88">
        <f t="shared" si="18"/>
        <v>42.348838465694222</v>
      </c>
      <c r="X82" s="89">
        <f t="shared" si="19"/>
        <v>1.712897939933939</v>
      </c>
      <c r="Y82" s="89">
        <f t="shared" si="20"/>
        <v>0.98894208671521522</v>
      </c>
      <c r="Z82" s="89">
        <f>(V82-$V$61)/(D80-$D$59)</f>
        <v>0.2003482183894143</v>
      </c>
      <c r="AA82" s="88">
        <f t="shared" si="22"/>
        <v>0.20923885435061321</v>
      </c>
      <c r="AB82" s="95">
        <f t="shared" si="23"/>
        <v>4.9970978167077533E-3</v>
      </c>
    </row>
    <row r="83" spans="2:28" x14ac:dyDescent="0.2">
      <c r="B83" s="206" t="s">
        <v>31</v>
      </c>
      <c r="C83" s="203">
        <v>0.4375</v>
      </c>
      <c r="D83" s="215">
        <f>24+D80</f>
        <v>191.5</v>
      </c>
      <c r="E83" s="104" t="s">
        <v>104</v>
      </c>
      <c r="F83" s="209">
        <f>(0.0433+0.0489+0.0503)/3</f>
        <v>4.7500000000000007E-2</v>
      </c>
      <c r="G83" s="212">
        <f>(0.0414+0.0468+0.0487)/3</f>
        <v>4.5633333333333331E-2</v>
      </c>
      <c r="H83" s="92">
        <f>0.1695-F83</f>
        <v>0.122</v>
      </c>
      <c r="I83" s="96">
        <f>0.1785-F83</f>
        <v>0.13099999999999998</v>
      </c>
      <c r="J83" s="96">
        <f>0.1098-G83</f>
        <v>6.4166666666666664E-2</v>
      </c>
      <c r="K83" s="96">
        <f>0.1164-G83</f>
        <v>7.0766666666666672E-2</v>
      </c>
      <c r="L83" s="76">
        <f t="shared" si="11"/>
        <v>1.3481226364127498E-2</v>
      </c>
      <c r="M83" s="76">
        <f t="shared" si="12"/>
        <v>1.4292733657482438E-2</v>
      </c>
      <c r="N83" s="96">
        <f t="shared" si="13"/>
        <v>1.3886980010804968E-2</v>
      </c>
      <c r="O83" s="76">
        <f>'Growth curves UTEX #1926'!F39</f>
        <v>0.75700000000000001</v>
      </c>
      <c r="P83" s="76">
        <f t="shared" si="14"/>
        <v>0.95351720000000006</v>
      </c>
      <c r="Q83" s="97">
        <f t="shared" si="25"/>
        <v>1.1918965E-4</v>
      </c>
      <c r="R83" s="98">
        <f t="shared" si="15"/>
        <v>58.255813364687988</v>
      </c>
      <c r="S83" s="102"/>
      <c r="T83" s="103"/>
      <c r="U83" s="103"/>
      <c r="V83" s="80">
        <f t="shared" si="16"/>
        <v>55.547920043219875</v>
      </c>
      <c r="W83" s="94"/>
      <c r="X83" s="80"/>
      <c r="Y83" s="80"/>
      <c r="Z83" s="80">
        <f t="shared" si="21"/>
        <v>0.25091429655552777</v>
      </c>
      <c r="AA83" s="94"/>
      <c r="AB83" s="101"/>
    </row>
    <row r="84" spans="2:28" x14ac:dyDescent="0.2">
      <c r="B84" s="207"/>
      <c r="C84" s="204"/>
      <c r="D84" s="216"/>
      <c r="E84" s="104" t="s">
        <v>105</v>
      </c>
      <c r="F84" s="210"/>
      <c r="G84" s="213"/>
      <c r="H84" s="74">
        <f>0.1852-F83</f>
        <v>0.13769999999999999</v>
      </c>
      <c r="I84" s="76">
        <f>0.1947-F83</f>
        <v>0.1472</v>
      </c>
      <c r="J84" s="76">
        <f>0.125-G83</f>
        <v>7.9366666666666669E-2</v>
      </c>
      <c r="K84" s="76">
        <f>0.1334-G83</f>
        <v>8.776666666666666E-2</v>
      </c>
      <c r="L84" s="76">
        <f t="shared" si="11"/>
        <v>1.4535359265262018E-2</v>
      </c>
      <c r="M84" s="76">
        <f t="shared" si="12"/>
        <v>1.5251404646137225E-2</v>
      </c>
      <c r="N84" s="76">
        <f t="shared" si="13"/>
        <v>1.4893381955699621E-2</v>
      </c>
      <c r="O84" s="76">
        <f>'Growth curves UTEX #1926'!G39</f>
        <v>0.746</v>
      </c>
      <c r="P84" s="76">
        <f t="shared" si="14"/>
        <v>0.93966159999999999</v>
      </c>
      <c r="Q84" s="77">
        <f t="shared" si="25"/>
        <v>1.1745769999999999E-4</v>
      </c>
      <c r="R84" s="78">
        <f t="shared" si="15"/>
        <v>63.398917038642942</v>
      </c>
      <c r="S84" s="79"/>
      <c r="V84" s="80">
        <f t="shared" si="16"/>
        <v>59.573527822798489</v>
      </c>
      <c r="W84" s="94"/>
      <c r="X84" s="80"/>
      <c r="Y84" s="80"/>
      <c r="Z84" s="80">
        <f>(V84-$V$60)/(D83-$D$59)</f>
        <v>0.27218097478887288</v>
      </c>
      <c r="AA84" s="94"/>
      <c r="AB84" s="101"/>
    </row>
    <row r="85" spans="2:28" x14ac:dyDescent="0.2">
      <c r="B85" s="208"/>
      <c r="C85" s="205"/>
      <c r="D85" s="217"/>
      <c r="E85" s="151" t="s">
        <v>106</v>
      </c>
      <c r="F85" s="211"/>
      <c r="G85" s="214"/>
      <c r="H85" s="74">
        <f>0.1598-F83</f>
        <v>0.11229999999999998</v>
      </c>
      <c r="I85" s="76">
        <f>0.1593-F83</f>
        <v>0.11179999999999998</v>
      </c>
      <c r="J85" s="76">
        <f>0.1067-G83</f>
        <v>6.1066666666666672E-2</v>
      </c>
      <c r="K85" s="76">
        <f>0.106-G83</f>
        <v>6.0366666666666666E-2</v>
      </c>
      <c r="L85" s="76">
        <f t="shared" si="11"/>
        <v>1.2213074014046459E-2</v>
      </c>
      <c r="M85" s="76">
        <f t="shared" si="12"/>
        <v>1.2200675310642893E-2</v>
      </c>
      <c r="N85" s="76">
        <f t="shared" si="13"/>
        <v>1.2206874662344675E-2</v>
      </c>
      <c r="O85" s="76">
        <f>'Growth curves UTEX #1926'!H39</f>
        <v>0.69</v>
      </c>
      <c r="P85" s="76">
        <f t="shared" si="14"/>
        <v>0.86912400000000001</v>
      </c>
      <c r="Q85" s="77">
        <f t="shared" si="25"/>
        <v>1.086405E-4</v>
      </c>
      <c r="R85" s="78">
        <f t="shared" si="15"/>
        <v>56.180129244364096</v>
      </c>
      <c r="S85" s="94">
        <f>AVERAGE(R83:R85)</f>
        <v>59.278286549231673</v>
      </c>
      <c r="T85" s="80">
        <f>STDEV(R83:R85)</f>
        <v>3.7164247422140133</v>
      </c>
      <c r="U85" s="89">
        <f>T85/SQRT(3)</f>
        <v>2.1456788253402461</v>
      </c>
      <c r="V85" s="89">
        <f t="shared" si="16"/>
        <v>48.827498649378704</v>
      </c>
      <c r="W85" s="88">
        <f t="shared" si="18"/>
        <v>54.649648838465687</v>
      </c>
      <c r="X85" s="89">
        <f t="shared" si="19"/>
        <v>5.4290380471097439</v>
      </c>
      <c r="Y85" s="89">
        <f t="shared" si="20"/>
        <v>3.134456577939531</v>
      </c>
      <c r="Z85" s="89">
        <f>(V85-$V$61)/(D83-$D$59)</f>
        <v>0.21865384316994688</v>
      </c>
      <c r="AA85" s="88">
        <f t="shared" si="22"/>
        <v>0.24724970483811581</v>
      </c>
      <c r="AB85" s="95">
        <f t="shared" si="23"/>
        <v>1.5560209715584921E-2</v>
      </c>
    </row>
    <row r="86" spans="2:28" x14ac:dyDescent="0.2">
      <c r="B86" s="206" t="s">
        <v>32</v>
      </c>
      <c r="C86" s="203">
        <v>0.4375</v>
      </c>
      <c r="D86" s="215">
        <f>24+D83</f>
        <v>215.5</v>
      </c>
      <c r="E86" s="104" t="s">
        <v>104</v>
      </c>
      <c r="F86" s="209">
        <f>(0.0494+0.0498)/2</f>
        <v>4.9599999999999998E-2</v>
      </c>
      <c r="G86" s="212">
        <f>(0.0475+0.0482)/2</f>
        <v>4.7850000000000004E-2</v>
      </c>
      <c r="H86" s="92">
        <f>0.1887-F86</f>
        <v>0.1391</v>
      </c>
      <c r="I86" s="96">
        <f>0.1376-F86</f>
        <v>8.7999999999999995E-2</v>
      </c>
      <c r="J86" s="96">
        <f>0.1538-G86</f>
        <v>0.10594999999999999</v>
      </c>
      <c r="K86" s="96">
        <f>0.1043-G86</f>
        <v>5.645E-2</v>
      </c>
      <c r="L86" s="76">
        <f t="shared" si="11"/>
        <v>1.2155632090761752E-2</v>
      </c>
      <c r="M86" s="76">
        <f t="shared" si="12"/>
        <v>8.7273500810372759E-3</v>
      </c>
      <c r="N86" s="96">
        <f t="shared" si="13"/>
        <v>1.0441491085899514E-2</v>
      </c>
      <c r="O86" s="76">
        <f>'Growth curves UTEX #1926'!F40</f>
        <v>0.85</v>
      </c>
      <c r="P86" s="76">
        <f t="shared" si="14"/>
        <v>1.0706599999999999</v>
      </c>
      <c r="Q86" s="97">
        <f t="shared" ref="Q86:Q88" si="26">P86*0.1/1000</f>
        <v>1.0706599999999999E-4</v>
      </c>
      <c r="R86" s="98">
        <f t="shared" si="15"/>
        <v>48.76193696364632</v>
      </c>
      <c r="S86" s="102"/>
      <c r="T86" s="103"/>
      <c r="U86" s="103"/>
      <c r="V86" s="80">
        <f t="shared" si="16"/>
        <v>52.207455429497564</v>
      </c>
      <c r="W86" s="94"/>
      <c r="X86" s="80"/>
      <c r="Y86" s="80"/>
      <c r="Z86" s="80">
        <f t="shared" si="21"/>
        <v>0.20746924907963463</v>
      </c>
      <c r="AA86" s="94"/>
      <c r="AB86" s="101"/>
    </row>
    <row r="87" spans="2:28" x14ac:dyDescent="0.2">
      <c r="B87" s="207"/>
      <c r="C87" s="204"/>
      <c r="D87" s="216"/>
      <c r="E87" s="104" t="s">
        <v>105</v>
      </c>
      <c r="F87" s="210"/>
      <c r="G87" s="213"/>
      <c r="H87" s="74">
        <f>0.1477-F86</f>
        <v>9.8099999999999993E-2</v>
      </c>
      <c r="I87" s="76">
        <f>0.1407-F86</f>
        <v>9.1099999999999987E-2</v>
      </c>
      <c r="J87" s="76">
        <f>0.1036-G86</f>
        <v>5.5749999999999994E-2</v>
      </c>
      <c r="K87" s="76">
        <f>0.0937-G86</f>
        <v>4.5850000000000002E-2</v>
      </c>
      <c r="L87" s="76">
        <f t="shared" si="11"/>
        <v>1.0432941653160452E-2</v>
      </c>
      <c r="M87" s="76">
        <f t="shared" si="12"/>
        <v>1.0269165316045379E-2</v>
      </c>
      <c r="N87" s="76">
        <f t="shared" si="13"/>
        <v>1.0351053484602916E-2</v>
      </c>
      <c r="O87" s="76">
        <f>'Growth curves UTEX #1926'!G40</f>
        <v>0.84</v>
      </c>
      <c r="P87" s="76">
        <f t="shared" si="14"/>
        <v>1.0580640000000001</v>
      </c>
      <c r="Q87" s="77">
        <f t="shared" si="26"/>
        <v>1.0580640000000002E-4</v>
      </c>
      <c r="R87" s="78">
        <f t="shared" si="15"/>
        <v>48.915063193733616</v>
      </c>
      <c r="S87" s="79"/>
      <c r="V87" s="80">
        <f t="shared" si="16"/>
        <v>51.755267423014573</v>
      </c>
      <c r="W87" s="94"/>
      <c r="X87" s="80"/>
      <c r="Y87" s="80"/>
      <c r="Z87" s="80">
        <f>(V87-$V$60)/(D86-$D$59)</f>
        <v>0.2055888458110684</v>
      </c>
      <c r="AA87" s="94"/>
      <c r="AB87" s="101"/>
    </row>
    <row r="88" spans="2:28" x14ac:dyDescent="0.2">
      <c r="B88" s="208"/>
      <c r="C88" s="205"/>
      <c r="D88" s="217"/>
      <c r="E88" s="151" t="s">
        <v>106</v>
      </c>
      <c r="F88" s="211"/>
      <c r="G88" s="214"/>
      <c r="H88" s="74">
        <f>0.1267-F86</f>
        <v>7.7100000000000002E-2</v>
      </c>
      <c r="I88" s="76">
        <f>0.1323-F86</f>
        <v>8.2699999999999996E-2</v>
      </c>
      <c r="J88" s="76">
        <f>0.0905-G86</f>
        <v>4.2649999999999993E-2</v>
      </c>
      <c r="K88" s="76">
        <f>0.0982-G86</f>
        <v>5.0349999999999992E-2</v>
      </c>
      <c r="L88" s="76">
        <f t="shared" si="11"/>
        <v>8.3138978930307941E-3</v>
      </c>
      <c r="M88" s="76">
        <f t="shared" si="12"/>
        <v>8.4664910858995145E-3</v>
      </c>
      <c r="N88" s="76">
        <f t="shared" si="13"/>
        <v>8.3901944894651543E-3</v>
      </c>
      <c r="O88" s="76">
        <f>'Growth curves UTEX #1926'!H40</f>
        <v>0.75</v>
      </c>
      <c r="P88" s="76">
        <f t="shared" si="14"/>
        <v>0.9447000000000001</v>
      </c>
      <c r="Q88" s="77">
        <f t="shared" si="26"/>
        <v>9.4470000000000009E-5</v>
      </c>
      <c r="R88" s="78">
        <f t="shared" si="15"/>
        <v>44.40666078895498</v>
      </c>
      <c r="S88" s="94">
        <f>AVERAGE(R86:R88)</f>
        <v>47.361220315444974</v>
      </c>
      <c r="T88" s="80">
        <f>STDEV(R86:R88)</f>
        <v>2.5598688261832407</v>
      </c>
      <c r="U88" s="89">
        <f>T88/SQRT(3)</f>
        <v>1.4779409558870256</v>
      </c>
      <c r="V88" s="89">
        <f t="shared" si="16"/>
        <v>41.950972447325775</v>
      </c>
      <c r="W88" s="88">
        <f t="shared" si="18"/>
        <v>48.637898433279304</v>
      </c>
      <c r="X88" s="89">
        <f t="shared" si="19"/>
        <v>5.7954596758598189</v>
      </c>
      <c r="Y88" s="89">
        <f t="shared" si="20"/>
        <v>3.3460102039352879</v>
      </c>
      <c r="Z88" s="89">
        <f>(V88-$V$61)/(D86-$D$59)</f>
        <v>0.16239296874706219</v>
      </c>
      <c r="AA88" s="88">
        <f t="shared" si="22"/>
        <v>0.1918170212125884</v>
      </c>
      <c r="AB88" s="95">
        <f t="shared" si="23"/>
        <v>1.4722037072969218E-2</v>
      </c>
    </row>
    <row r="89" spans="2:28" x14ac:dyDescent="0.2">
      <c r="B89" s="206" t="s">
        <v>33</v>
      </c>
      <c r="C89" s="203">
        <v>0.4375</v>
      </c>
      <c r="D89" s="215">
        <f>48+D86</f>
        <v>263.5</v>
      </c>
      <c r="E89" s="104" t="s">
        <v>104</v>
      </c>
      <c r="F89" s="209">
        <f>(0.039+0.0502)/2</f>
        <v>4.4600000000000001E-2</v>
      </c>
      <c r="G89" s="212">
        <f>(0.0378+0.0486)/2</f>
        <v>4.3200000000000002E-2</v>
      </c>
      <c r="H89" s="92">
        <f>0.1899-F89</f>
        <v>0.14530000000000001</v>
      </c>
      <c r="I89" s="96">
        <f>0.1864-F89</f>
        <v>0.14180000000000001</v>
      </c>
      <c r="J89" s="96">
        <f>0.1206-G89</f>
        <v>7.7399999999999997E-2</v>
      </c>
      <c r="K89" s="96">
        <f>0.1177-G89</f>
        <v>7.4499999999999997E-2</v>
      </c>
      <c r="L89" s="76">
        <f t="shared" si="11"/>
        <v>1.5959967585089146E-2</v>
      </c>
      <c r="M89" s="76">
        <f t="shared" si="12"/>
        <v>1.5677066450567264E-2</v>
      </c>
      <c r="N89" s="96">
        <f t="shared" si="13"/>
        <v>1.5818517017828205E-2</v>
      </c>
      <c r="O89" s="76">
        <f>'Growth curves UTEX #1926'!F41</f>
        <v>1.079</v>
      </c>
      <c r="P89" s="76">
        <f t="shared" si="14"/>
        <v>1.3591084</v>
      </c>
      <c r="Q89" s="97">
        <f t="shared" ref="Q89:Q109" si="27">P89*0.1/1000</f>
        <v>1.3591084E-4</v>
      </c>
      <c r="R89" s="98">
        <f t="shared" si="15"/>
        <v>58.194464171615031</v>
      </c>
      <c r="S89" s="102"/>
      <c r="T89" s="103"/>
      <c r="U89" s="103"/>
      <c r="V89" s="80">
        <f t="shared" si="16"/>
        <v>79.092585089141025</v>
      </c>
      <c r="W89" s="94"/>
      <c r="X89" s="80"/>
      <c r="Y89" s="80"/>
      <c r="Z89" s="80">
        <f t="shared" si="21"/>
        <v>0.27170684188350935</v>
      </c>
      <c r="AA89" s="94"/>
      <c r="AB89" s="101"/>
    </row>
    <row r="90" spans="2:28" x14ac:dyDescent="0.2">
      <c r="B90" s="207"/>
      <c r="C90" s="204"/>
      <c r="D90" s="216"/>
      <c r="E90" s="104" t="s">
        <v>105</v>
      </c>
      <c r="F90" s="210"/>
      <c r="G90" s="213"/>
      <c r="H90" s="74">
        <f>0.1842-F89</f>
        <v>0.1396</v>
      </c>
      <c r="I90" s="76">
        <f>0.1733-F89</f>
        <v>0.12870000000000001</v>
      </c>
      <c r="J90" s="76">
        <f>0.1222-G89</f>
        <v>7.9000000000000001E-2</v>
      </c>
      <c r="K90" s="76">
        <f>0.1123-G89</f>
        <v>6.9099999999999995E-2</v>
      </c>
      <c r="L90" s="76">
        <f t="shared" si="11"/>
        <v>1.4879254457050243E-2</v>
      </c>
      <c r="M90" s="76">
        <f t="shared" si="12"/>
        <v>1.4083387358184768E-2</v>
      </c>
      <c r="N90" s="76">
        <f t="shared" si="13"/>
        <v>1.4481320907617504E-2</v>
      </c>
      <c r="O90" s="76">
        <f>'Growth curves UTEX #1926'!G41</f>
        <v>1.008</v>
      </c>
      <c r="P90" s="76">
        <f t="shared" si="14"/>
        <v>1.2696768</v>
      </c>
      <c r="Q90" s="77">
        <f t="shared" si="27"/>
        <v>1.2696768000000001E-4</v>
      </c>
      <c r="R90" s="78">
        <f t="shared" si="15"/>
        <v>57.027587286849311</v>
      </c>
      <c r="S90" s="79"/>
      <c r="V90" s="80">
        <f t="shared" si="16"/>
        <v>72.406604538087521</v>
      </c>
      <c r="W90" s="94"/>
      <c r="X90" s="80"/>
      <c r="Y90" s="80"/>
      <c r="Z90" s="80">
        <f>(V90-$V$60)/(D89-$D$59)</f>
        <v>0.24651132215316196</v>
      </c>
      <c r="AA90" s="94"/>
      <c r="AB90" s="101"/>
    </row>
    <row r="91" spans="2:28" x14ac:dyDescent="0.2">
      <c r="B91" s="208"/>
      <c r="C91" s="205"/>
      <c r="D91" s="217"/>
      <c r="E91" s="151" t="s">
        <v>106</v>
      </c>
      <c r="F91" s="211"/>
      <c r="G91" s="214"/>
      <c r="H91" s="74">
        <f>0.1721-F89</f>
        <v>0.1275</v>
      </c>
      <c r="I91" s="76">
        <f>0.1785-F89</f>
        <v>0.13389999999999999</v>
      </c>
      <c r="J91" s="76">
        <f>0.1076-G89</f>
        <v>6.4399999999999999E-2</v>
      </c>
      <c r="K91" s="76">
        <f>0.115-G89</f>
        <v>7.1800000000000003E-2</v>
      </c>
      <c r="L91" s="76">
        <f t="shared" si="11"/>
        <v>1.4349756888168558E-2</v>
      </c>
      <c r="M91" s="76">
        <f t="shared" si="12"/>
        <v>1.4661426256077794E-2</v>
      </c>
      <c r="N91" s="76">
        <f t="shared" si="13"/>
        <v>1.4505591572123177E-2</v>
      </c>
      <c r="O91" s="76">
        <f>'Growth curves UTEX #1926'!H41</f>
        <v>0.91300000000000003</v>
      </c>
      <c r="P91" s="76">
        <f t="shared" si="14"/>
        <v>1.1500148000000001</v>
      </c>
      <c r="Q91" s="77">
        <f t="shared" si="27"/>
        <v>1.1500148000000001E-4</v>
      </c>
      <c r="R91" s="78">
        <f t="shared" si="15"/>
        <v>63.066977799429949</v>
      </c>
      <c r="S91" s="94">
        <f>AVERAGE(R89:R91)</f>
        <v>59.429676419298097</v>
      </c>
      <c r="T91" s="80">
        <f>STDEV(R89:R91)</f>
        <v>3.2035716651078601</v>
      </c>
      <c r="U91" s="89">
        <f>T91/SQRT(3)</f>
        <v>1.8495829632182808</v>
      </c>
      <c r="V91" s="89">
        <f t="shared" si="16"/>
        <v>72.527957860615885</v>
      </c>
      <c r="W91" s="88">
        <f t="shared" si="18"/>
        <v>74.675715829281472</v>
      </c>
      <c r="X91" s="89">
        <f t="shared" si="19"/>
        <v>3.8256022011235484</v>
      </c>
      <c r="Y91" s="89">
        <f t="shared" si="20"/>
        <v>2.2087124606311055</v>
      </c>
      <c r="Z91" s="89">
        <f>(V91-$V$61)/(D89-$D$59)</f>
        <v>0.24885263824774956</v>
      </c>
      <c r="AA91" s="88">
        <f t="shared" si="22"/>
        <v>0.25569026742814027</v>
      </c>
      <c r="AB91" s="95">
        <f t="shared" si="23"/>
        <v>8.0367579123877091E-3</v>
      </c>
    </row>
    <row r="92" spans="2:28" x14ac:dyDescent="0.2">
      <c r="B92" s="206" t="s">
        <v>34</v>
      </c>
      <c r="C92" s="203">
        <v>0.4375</v>
      </c>
      <c r="D92" s="218">
        <f>24+D89</f>
        <v>287.5</v>
      </c>
      <c r="E92" s="104" t="s">
        <v>104</v>
      </c>
      <c r="F92" s="209">
        <f>(0.0403+0.052)/2</f>
        <v>4.6149999999999997E-2</v>
      </c>
      <c r="G92" s="212">
        <f>(0.0384+0.0498)/2</f>
        <v>4.41E-2</v>
      </c>
      <c r="H92" s="92">
        <f>0.2408-F92</f>
        <v>0.19464999999999999</v>
      </c>
      <c r="I92" s="96">
        <f>0.2318-F92</f>
        <v>0.18565000000000001</v>
      </c>
      <c r="J92" s="96">
        <f>0.1583-G92</f>
        <v>0.1142</v>
      </c>
      <c r="K92" s="96">
        <f>0.1542-G92</f>
        <v>0.1101</v>
      </c>
      <c r="L92" s="76">
        <f t="shared" si="11"/>
        <v>2.0349918962722847E-2</v>
      </c>
      <c r="M92" s="76">
        <f t="shared" si="12"/>
        <v>1.929327390599676E-2</v>
      </c>
      <c r="N92" s="96">
        <f t="shared" si="13"/>
        <v>1.9821596434359802E-2</v>
      </c>
      <c r="O92" s="76">
        <f>'Growth curves UTEX #1926'!F42</f>
        <v>1.1930000000000001</v>
      </c>
      <c r="P92" s="76">
        <f t="shared" si="14"/>
        <v>1.5027028000000002</v>
      </c>
      <c r="Q92" s="97">
        <f t="shared" si="27"/>
        <v>1.5027028000000003E-4</v>
      </c>
      <c r="R92" s="98">
        <f t="shared" si="15"/>
        <v>65.953149333187497</v>
      </c>
      <c r="S92" s="102"/>
      <c r="T92" s="103"/>
      <c r="U92" s="103"/>
      <c r="V92" s="80">
        <f t="shared" si="16"/>
        <v>99.107982171798994</v>
      </c>
      <c r="W92" s="94"/>
      <c r="X92" s="80"/>
      <c r="Y92" s="80"/>
      <c r="Z92" s="80">
        <f t="shared" si="21"/>
        <v>0.31864399971813112</v>
      </c>
      <c r="AA92" s="94"/>
      <c r="AB92" s="101"/>
    </row>
    <row r="93" spans="2:28" x14ac:dyDescent="0.2">
      <c r="B93" s="207"/>
      <c r="C93" s="204"/>
      <c r="D93" s="219"/>
      <c r="E93" s="104" t="s">
        <v>105</v>
      </c>
      <c r="F93" s="210"/>
      <c r="G93" s="213"/>
      <c r="H93" s="74">
        <f>0.1898-F92</f>
        <v>0.14365</v>
      </c>
      <c r="I93" s="76">
        <f>0.1987-F92</f>
        <v>0.15254999999999999</v>
      </c>
      <c r="J93" s="76">
        <f>0.1241-G92</f>
        <v>0.08</v>
      </c>
      <c r="K93" s="76">
        <f>0.1307-G92</f>
        <v>8.660000000000001E-2</v>
      </c>
      <c r="L93" s="76">
        <f t="shared" si="11"/>
        <v>1.5437601296596435E-2</v>
      </c>
      <c r="M93" s="76">
        <f t="shared" si="12"/>
        <v>1.6232901134521881E-2</v>
      </c>
      <c r="N93" s="76">
        <f t="shared" si="13"/>
        <v>1.5835251215559159E-2</v>
      </c>
      <c r="O93" s="76">
        <f>'Growth curves UTEX #1926'!G42</f>
        <v>1.1200000000000001</v>
      </c>
      <c r="P93" s="76">
        <f t="shared" si="14"/>
        <v>1.4107520000000002</v>
      </c>
      <c r="Q93" s="77">
        <f t="shared" si="27"/>
        <v>1.4107520000000004E-4</v>
      </c>
      <c r="R93" s="78">
        <f t="shared" si="15"/>
        <v>56.123440603164674</v>
      </c>
      <c r="S93" s="79"/>
      <c r="V93" s="80">
        <f t="shared" si="16"/>
        <v>79.176256077795784</v>
      </c>
      <c r="W93" s="94"/>
      <c r="X93" s="80"/>
      <c r="Y93" s="80"/>
      <c r="Z93" s="80">
        <f>(V93-$V$60)/(D92-$D$59)</f>
        <v>0.24947959974631806</v>
      </c>
      <c r="AA93" s="94"/>
      <c r="AB93" s="101"/>
    </row>
    <row r="94" spans="2:28" x14ac:dyDescent="0.2">
      <c r="B94" s="208"/>
      <c r="C94" s="205"/>
      <c r="D94" s="220"/>
      <c r="E94" s="151" t="s">
        <v>106</v>
      </c>
      <c r="F94" s="211"/>
      <c r="G94" s="214"/>
      <c r="H94" s="74">
        <f>0.1769-F92</f>
        <v>0.13075000000000001</v>
      </c>
      <c r="I94" s="76">
        <f>0.1801-F92</f>
        <v>0.13395000000000001</v>
      </c>
      <c r="J94" s="76">
        <f>0.1131-G92</f>
        <v>6.9000000000000006E-2</v>
      </c>
      <c r="K94" s="76">
        <f>0.1138-G92</f>
        <v>6.9699999999999998E-2</v>
      </c>
      <c r="L94" s="76">
        <f t="shared" si="11"/>
        <v>1.4425445705024312E-2</v>
      </c>
      <c r="M94" s="76">
        <f t="shared" si="12"/>
        <v>1.4875445705024314E-2</v>
      </c>
      <c r="N94" s="76">
        <f t="shared" si="13"/>
        <v>1.4650445705024313E-2</v>
      </c>
      <c r="O94" s="76">
        <f>'Growth curves UTEX #1926'!H42</f>
        <v>1.026</v>
      </c>
      <c r="P94" s="76">
        <f t="shared" si="14"/>
        <v>1.2923496000000001</v>
      </c>
      <c r="Q94" s="77">
        <f t="shared" si="27"/>
        <v>1.2923496E-4</v>
      </c>
      <c r="R94" s="78">
        <f t="shared" si="15"/>
        <v>56.681433975080402</v>
      </c>
      <c r="S94" s="94">
        <f>AVERAGE(R92:R94)</f>
        <v>59.586007970477532</v>
      </c>
      <c r="T94" s="80">
        <f>STDEV(R92:R94)</f>
        <v>5.5211598419466741</v>
      </c>
      <c r="U94" s="89">
        <f>T94/SQRT(3)</f>
        <v>3.1876431209868641</v>
      </c>
      <c r="V94" s="89">
        <f t="shared" si="16"/>
        <v>73.252228525121581</v>
      </c>
      <c r="W94" s="88">
        <f t="shared" si="18"/>
        <v>83.845488924905453</v>
      </c>
      <c r="X94" s="89">
        <f t="shared" si="19"/>
        <v>13.545526962610698</v>
      </c>
      <c r="Y94" s="89">
        <f t="shared" si="20"/>
        <v>7.8205136381786202</v>
      </c>
      <c r="Z94" s="89">
        <f>(V94-$V$61)/(D92-$D$59)</f>
        <v>0.23059805510534853</v>
      </c>
      <c r="AA94" s="88">
        <f t="shared" si="22"/>
        <v>0.26624055152326592</v>
      </c>
      <c r="AB94" s="95">
        <f t="shared" si="23"/>
        <v>2.6762655691847721E-2</v>
      </c>
    </row>
    <row r="95" spans="2:28" x14ac:dyDescent="0.2">
      <c r="B95" s="206" t="s">
        <v>35</v>
      </c>
      <c r="C95" s="203">
        <v>0.4375</v>
      </c>
      <c r="D95" s="215">
        <f>24+D92</f>
        <v>311.5</v>
      </c>
      <c r="E95" s="104" t="s">
        <v>104</v>
      </c>
      <c r="F95" s="209">
        <f>(0.0487+0.0514)/2</f>
        <v>5.0049999999999997E-2</v>
      </c>
      <c r="G95" s="212">
        <f>(0.047+0.0499)/2</f>
        <v>4.845E-2</v>
      </c>
      <c r="H95" s="92">
        <f>0.2249-F95</f>
        <v>0.17485000000000001</v>
      </c>
      <c r="I95" s="96">
        <f>0.2106-F95</f>
        <v>0.16055000000000003</v>
      </c>
      <c r="J95" s="96">
        <f>0.1623-G95</f>
        <v>0.11385000000000001</v>
      </c>
      <c r="K95" s="96">
        <f>0.148-G95</f>
        <v>9.955E-2</v>
      </c>
      <c r="L95" s="76">
        <f t="shared" si="11"/>
        <v>1.7175162074554294E-2</v>
      </c>
      <c r="M95" s="76">
        <f t="shared" si="12"/>
        <v>1.6259683954619131E-2</v>
      </c>
      <c r="N95" s="96">
        <f t="shared" si="13"/>
        <v>1.6717423014586712E-2</v>
      </c>
      <c r="O95" s="76">
        <f>'Growth curves UTEX #1926'!F43</f>
        <v>1.3660000000000001</v>
      </c>
      <c r="P95" s="76">
        <f t="shared" si="14"/>
        <v>1.7206136000000003</v>
      </c>
      <c r="Q95" s="97">
        <f t="shared" si="27"/>
        <v>1.7206136000000004E-4</v>
      </c>
      <c r="R95" s="98">
        <f t="shared" si="15"/>
        <v>48.579829354442822</v>
      </c>
      <c r="S95" s="102"/>
      <c r="T95" s="103"/>
      <c r="U95" s="103"/>
      <c r="V95" s="80">
        <f t="shared" si="16"/>
        <v>83.587115072933557</v>
      </c>
      <c r="W95" s="94"/>
      <c r="X95" s="80"/>
      <c r="Y95" s="80"/>
      <c r="Z95" s="80">
        <f t="shared" si="21"/>
        <v>0.24426736057816131</v>
      </c>
      <c r="AA95" s="94"/>
      <c r="AB95" s="101"/>
    </row>
    <row r="96" spans="2:28" x14ac:dyDescent="0.2">
      <c r="B96" s="207"/>
      <c r="C96" s="204"/>
      <c r="D96" s="216"/>
      <c r="E96" s="104" t="s">
        <v>105</v>
      </c>
      <c r="F96" s="210"/>
      <c r="G96" s="213"/>
      <c r="H96" s="74">
        <f>0.193-F95</f>
        <v>0.14295000000000002</v>
      </c>
      <c r="I96" s="76">
        <f>0.215-F95</f>
        <v>0.16494999999999999</v>
      </c>
      <c r="J96" s="76">
        <f>0.1289-G95</f>
        <v>8.0449999999999994E-2</v>
      </c>
      <c r="K96" s="76">
        <f>0.1474-G95</f>
        <v>9.895000000000001E-2</v>
      </c>
      <c r="L96" s="76">
        <f t="shared" si="11"/>
        <v>1.5280024311183148E-2</v>
      </c>
      <c r="M96" s="76">
        <f t="shared" si="12"/>
        <v>1.7031645056726094E-2</v>
      </c>
      <c r="N96" s="76">
        <f t="shared" si="13"/>
        <v>1.6155834683954623E-2</v>
      </c>
      <c r="O96" s="76">
        <f>'Growth curves UTEX #1926'!G43</f>
        <v>1.099</v>
      </c>
      <c r="P96" s="76">
        <f t="shared" si="14"/>
        <v>1.3843004000000001</v>
      </c>
      <c r="Q96" s="77">
        <f t="shared" si="27"/>
        <v>1.3843004000000002E-4</v>
      </c>
      <c r="R96" s="78">
        <f t="shared" si="15"/>
        <v>58.353788975119201</v>
      </c>
      <c r="S96" s="79"/>
      <c r="V96" s="80">
        <f t="shared" si="16"/>
        <v>80.779173419773102</v>
      </c>
      <c r="W96" s="94"/>
      <c r="X96" s="80"/>
      <c r="Y96" s="80"/>
      <c r="Z96" s="80">
        <f>(V96-$V$60)/(D95-$D$59)</f>
        <v>0.23540385961169746</v>
      </c>
      <c r="AA96" s="94"/>
      <c r="AB96" s="101"/>
    </row>
    <row r="97" spans="2:34" x14ac:dyDescent="0.2">
      <c r="B97" s="208"/>
      <c r="C97" s="205"/>
      <c r="D97" s="217"/>
      <c r="E97" s="151" t="s">
        <v>106</v>
      </c>
      <c r="F97" s="211"/>
      <c r="G97" s="214"/>
      <c r="H97" s="74">
        <f>0.1758-F95</f>
        <v>0.12575000000000003</v>
      </c>
      <c r="I97" s="76">
        <f>0.202-F95</f>
        <v>0.15195000000000003</v>
      </c>
      <c r="J97" s="76">
        <f>0.1161-G95</f>
        <v>6.7649999999999988E-2</v>
      </c>
      <c r="K97" s="76">
        <f>0.1394-G95</f>
        <v>9.0950000000000003E-2</v>
      </c>
      <c r="L97" s="76">
        <f t="shared" si="11"/>
        <v>1.3747447325769858E-2</v>
      </c>
      <c r="M97" s="76">
        <f t="shared" si="12"/>
        <v>1.5709116693679099E-2</v>
      </c>
      <c r="N97" s="76">
        <f t="shared" si="13"/>
        <v>1.4728282009724479E-2</v>
      </c>
      <c r="O97" s="76">
        <f>'Growth curves UTEX #1926'!H43</f>
        <v>1.0860000000000001</v>
      </c>
      <c r="P97" s="76">
        <f t="shared" si="14"/>
        <v>1.3679256000000002</v>
      </c>
      <c r="Q97" s="77">
        <f t="shared" si="27"/>
        <v>1.3679256000000004E-4</v>
      </c>
      <c r="R97" s="78">
        <f t="shared" si="15"/>
        <v>53.834367928067415</v>
      </c>
      <c r="S97" s="94">
        <f>AVERAGE(R95:R97)</f>
        <v>53.589328752543146</v>
      </c>
      <c r="T97" s="80">
        <f>STDEV(R95:R97)</f>
        <v>4.8915851024805139</v>
      </c>
      <c r="U97" s="89">
        <f>T97/SQRT(3)</f>
        <v>2.824157975681088</v>
      </c>
      <c r="V97" s="89">
        <f t="shared" si="16"/>
        <v>73.64141004862239</v>
      </c>
      <c r="W97" s="88">
        <f t="shared" si="18"/>
        <v>79.33589951377634</v>
      </c>
      <c r="X97" s="89">
        <f t="shared" si="19"/>
        <v>5.1275278432642795</v>
      </c>
      <c r="Y97" s="89">
        <f t="shared" si="20"/>
        <v>2.9603795805859332</v>
      </c>
      <c r="Z97" s="89">
        <f>(V97-$V$61)/(D95-$D$59)</f>
        <v>0.21408064965100648</v>
      </c>
      <c r="AA97" s="88">
        <f t="shared" si="22"/>
        <v>0.23125062328028842</v>
      </c>
      <c r="AB97" s="95">
        <f t="shared" si="23"/>
        <v>8.9581696078366406E-3</v>
      </c>
    </row>
    <row r="98" spans="2:34" x14ac:dyDescent="0.2">
      <c r="B98" s="206" t="s">
        <v>36</v>
      </c>
      <c r="C98" s="203">
        <v>0.4375</v>
      </c>
      <c r="D98" s="218">
        <f>24+D95</f>
        <v>335.5</v>
      </c>
      <c r="E98" s="104" t="s">
        <v>104</v>
      </c>
      <c r="F98" s="209">
        <f>(0.0424+0.0458+0.0446)/3</f>
        <v>4.4266666666666669E-2</v>
      </c>
      <c r="G98" s="212">
        <f>(0.0415+0.0442+0.0437)/3</f>
        <v>4.3133333333333336E-2</v>
      </c>
      <c r="H98" s="92">
        <f>0.2355-F98</f>
        <v>0.19123333333333331</v>
      </c>
      <c r="I98" s="96">
        <f>0.2442-F98</f>
        <v>0.19993333333333332</v>
      </c>
      <c r="J98" s="96">
        <f>0.1457-G98</f>
        <v>0.10256666666666667</v>
      </c>
      <c r="K98" s="96">
        <f>0.1513-G98</f>
        <v>0.10816666666666666</v>
      </c>
      <c r="L98" s="76">
        <f t="shared" si="11"/>
        <v>2.0936871961102103E-2</v>
      </c>
      <c r="M98" s="76">
        <f t="shared" si="12"/>
        <v>2.1797811993517019E-2</v>
      </c>
      <c r="N98" s="96">
        <f t="shared" si="13"/>
        <v>2.1367341977309561E-2</v>
      </c>
      <c r="O98" s="76">
        <f>'Growth curves UTEX #1926'!F44</f>
        <v>1.335</v>
      </c>
      <c r="P98" s="76">
        <f t="shared" si="14"/>
        <v>1.6815660000000001</v>
      </c>
      <c r="Q98" s="97">
        <f t="shared" si="27"/>
        <v>1.6815660000000002E-4</v>
      </c>
      <c r="R98" s="98">
        <f t="shared" si="15"/>
        <v>63.534056877070419</v>
      </c>
      <c r="S98" s="102"/>
      <c r="T98" s="103"/>
      <c r="U98" s="103"/>
      <c r="V98" s="80">
        <f t="shared" si="16"/>
        <v>106.83670988654781</v>
      </c>
      <c r="W98" s="94"/>
      <c r="X98" s="80"/>
      <c r="Y98" s="80"/>
      <c r="Z98" s="80">
        <f t="shared" si="21"/>
        <v>0.29609203467574219</v>
      </c>
      <c r="AA98" s="94"/>
      <c r="AB98" s="101"/>
    </row>
    <row r="99" spans="2:34" x14ac:dyDescent="0.2">
      <c r="B99" s="207"/>
      <c r="C99" s="204"/>
      <c r="D99" s="219"/>
      <c r="E99" s="104" t="s">
        <v>105</v>
      </c>
      <c r="F99" s="210"/>
      <c r="G99" s="213"/>
      <c r="H99" s="74">
        <f>0.2111-F98</f>
        <v>0.16683333333333333</v>
      </c>
      <c r="I99" s="76">
        <f>0.2067-F98</f>
        <v>0.16243333333333332</v>
      </c>
      <c r="J99" s="76">
        <f>0.1332-G98</f>
        <v>9.0066666666666684E-2</v>
      </c>
      <c r="K99" s="76">
        <f>0.1261-G98</f>
        <v>8.2966666666666661E-2</v>
      </c>
      <c r="L99" s="76">
        <f t="shared" si="11"/>
        <v>1.8207941653160455E-2</v>
      </c>
      <c r="M99" s="76">
        <f t="shared" si="12"/>
        <v>1.8191004862236626E-2</v>
      </c>
      <c r="N99" s="76">
        <f t="shared" si="13"/>
        <v>1.819947325769854E-2</v>
      </c>
      <c r="O99" s="76">
        <f>'Growth curves UTEX #1926'!G44</f>
        <v>1.244</v>
      </c>
      <c r="P99" s="76">
        <f t="shared" si="14"/>
        <v>1.5669424000000001</v>
      </c>
      <c r="Q99" s="77">
        <f t="shared" si="27"/>
        <v>1.5669424000000002E-4</v>
      </c>
      <c r="R99" s="78">
        <f t="shared" si="15"/>
        <v>58.073204406551696</v>
      </c>
      <c r="S99" s="79"/>
      <c r="V99" s="80">
        <f t="shared" si="16"/>
        <v>90.997366288492699</v>
      </c>
      <c r="W99" s="94"/>
      <c r="X99" s="80"/>
      <c r="Y99" s="80"/>
      <c r="Z99" s="80">
        <f>(V99-$V$60)/(D98-$D$59)</f>
        <v>0.24902084988901149</v>
      </c>
      <c r="AA99" s="94"/>
      <c r="AB99" s="101"/>
    </row>
    <row r="100" spans="2:34" x14ac:dyDescent="0.2">
      <c r="B100" s="208"/>
      <c r="C100" s="205"/>
      <c r="D100" s="220"/>
      <c r="E100" s="151" t="s">
        <v>106</v>
      </c>
      <c r="F100" s="211"/>
      <c r="G100" s="214"/>
      <c r="H100" s="74">
        <f>0.1847-F98</f>
        <v>0.14043333333333333</v>
      </c>
      <c r="I100" s="76">
        <f>0.1806-F98</f>
        <v>0.13633333333333333</v>
      </c>
      <c r="J100" s="76">
        <f>0.1199-G98</f>
        <v>7.6766666666666677E-2</v>
      </c>
      <c r="K100" s="76">
        <f>0.1157-G98</f>
        <v>7.2566666666666668E-2</v>
      </c>
      <c r="L100" s="76">
        <f t="shared" si="11"/>
        <v>1.5233306320907617E-2</v>
      </c>
      <c r="M100" s="76">
        <f t="shared" si="12"/>
        <v>1.4980632090761751E-2</v>
      </c>
      <c r="N100" s="76">
        <f t="shared" si="13"/>
        <v>1.5106969205834684E-2</v>
      </c>
      <c r="O100" s="76">
        <f>'Growth curves UTEX #1926'!H44</f>
        <v>1.161</v>
      </c>
      <c r="P100" s="76">
        <f t="shared" si="14"/>
        <v>1.4623956</v>
      </c>
      <c r="Q100" s="77">
        <f t="shared" si="27"/>
        <v>1.4623956000000001E-4</v>
      </c>
      <c r="R100" s="78">
        <f t="shared" si="15"/>
        <v>51.651445087207193</v>
      </c>
      <c r="S100" s="94">
        <f>AVERAGE(R98:R100)</f>
        <v>57.752902123609772</v>
      </c>
      <c r="T100" s="80">
        <f>STDEV(R98:R100)</f>
        <v>5.9477778120481677</v>
      </c>
      <c r="U100" s="89">
        <f>T100/SQRT(3)</f>
        <v>3.4339511208660931</v>
      </c>
      <c r="V100" s="89">
        <f t="shared" si="16"/>
        <v>75.534846029173423</v>
      </c>
      <c r="W100" s="88">
        <f t="shared" si="18"/>
        <v>91.122974068071315</v>
      </c>
      <c r="X100" s="89">
        <f t="shared" si="19"/>
        <v>15.65130995227293</v>
      </c>
      <c r="Y100" s="89">
        <f t="shared" si="20"/>
        <v>9.0362880141150459</v>
      </c>
      <c r="Z100" s="89">
        <f>(V100-$V$61)/(D98-$D$59)</f>
        <v>0.20441000997567674</v>
      </c>
      <c r="AA100" s="88">
        <f t="shared" si="22"/>
        <v>0.24984096484681015</v>
      </c>
      <c r="AB100" s="95">
        <f t="shared" si="23"/>
        <v>2.646949725428532E-2</v>
      </c>
    </row>
    <row r="101" spans="2:34" x14ac:dyDescent="0.2">
      <c r="B101" s="206" t="s">
        <v>37</v>
      </c>
      <c r="C101" s="203">
        <v>0.5</v>
      </c>
      <c r="D101" s="215">
        <f>24+1.5+D98</f>
        <v>361</v>
      </c>
      <c r="E101" s="104" t="s">
        <v>104</v>
      </c>
      <c r="F101" s="209">
        <f>(0.0415+0.0244+0.0307)/3</f>
        <v>3.2199999999999999E-2</v>
      </c>
      <c r="G101" s="212">
        <f>(0.041+0.0237+0.03)/3</f>
        <v>3.1566666666666666E-2</v>
      </c>
      <c r="H101" s="96">
        <f>0.255-F101</f>
        <v>0.2228</v>
      </c>
      <c r="I101" s="96">
        <f>0.2132-F101</f>
        <v>0.18099999999999999</v>
      </c>
      <c r="J101" s="96">
        <f>0.189-G101</f>
        <v>0.15743333333333334</v>
      </c>
      <c r="K101" s="96">
        <f>0.1479-G101</f>
        <v>0.11633333333333334</v>
      </c>
      <c r="L101" s="76">
        <f t="shared" si="11"/>
        <v>2.0673068611561318E-2</v>
      </c>
      <c r="M101" s="76">
        <f t="shared" si="12"/>
        <v>1.792841707185305E-2</v>
      </c>
      <c r="N101" s="96">
        <f t="shared" si="13"/>
        <v>1.9300742841707186E-2</v>
      </c>
      <c r="O101" s="76">
        <f>'Growth curves UTEX #1926'!F45</f>
        <v>1.478</v>
      </c>
      <c r="P101" s="76">
        <f t="shared" si="14"/>
        <v>1.8616888</v>
      </c>
      <c r="Q101" s="97">
        <f t="shared" si="27"/>
        <v>1.8616888000000002E-4</v>
      </c>
      <c r="R101" s="98">
        <f t="shared" si="15"/>
        <v>51.836651866056194</v>
      </c>
      <c r="S101" s="102"/>
      <c r="T101" s="103"/>
      <c r="U101" s="103"/>
      <c r="V101" s="80">
        <f t="shared" si="16"/>
        <v>96.503714208535911</v>
      </c>
      <c r="W101" s="94"/>
      <c r="X101" s="80"/>
      <c r="Y101" s="80"/>
      <c r="Z101" s="80">
        <f t="shared" si="21"/>
        <v>0.24655368962797675</v>
      </c>
      <c r="AA101" s="94"/>
      <c r="AB101" s="101"/>
    </row>
    <row r="102" spans="2:34" x14ac:dyDescent="0.2">
      <c r="B102" s="207"/>
      <c r="C102" s="204"/>
      <c r="D102" s="216"/>
      <c r="E102" s="104" t="s">
        <v>105</v>
      </c>
      <c r="F102" s="210"/>
      <c r="G102" s="213"/>
      <c r="H102" s="76">
        <f>0.226-F101</f>
        <v>0.1938</v>
      </c>
      <c r="I102" s="76">
        <f>0.241-F101</f>
        <v>0.20879999999999999</v>
      </c>
      <c r="J102" s="76">
        <f>0.1658-G101</f>
        <v>0.13423333333333334</v>
      </c>
      <c r="K102" s="76">
        <f>0.1812-G101</f>
        <v>0.14963333333333334</v>
      </c>
      <c r="L102" s="76">
        <f t="shared" si="11"/>
        <v>1.8247784981091301E-2</v>
      </c>
      <c r="M102" s="76">
        <f t="shared" si="12"/>
        <v>1.9168854673149646E-2</v>
      </c>
      <c r="N102" s="76">
        <f t="shared" si="13"/>
        <v>1.8708319827120474E-2</v>
      </c>
      <c r="O102" s="76">
        <f>'Growth curves UTEX #1926'!G45</f>
        <v>1.226</v>
      </c>
      <c r="P102" s="76">
        <f t="shared" si="14"/>
        <v>1.5442696</v>
      </c>
      <c r="Q102" s="77">
        <f t="shared" si="27"/>
        <v>1.5442696E-4</v>
      </c>
      <c r="R102" s="78">
        <f t="shared" si="15"/>
        <v>60.573360464780478</v>
      </c>
      <c r="S102" s="79"/>
      <c r="V102" s="80">
        <f t="shared" si="16"/>
        <v>93.541599135602368</v>
      </c>
      <c r="W102" s="94"/>
      <c r="X102" s="80"/>
      <c r="Y102" s="80"/>
      <c r="Z102" s="80">
        <f>(V102-$V$60)/(D101-$D$59)</f>
        <v>0.23847847087222446</v>
      </c>
      <c r="AA102" s="94"/>
      <c r="AB102" s="101"/>
    </row>
    <row r="103" spans="2:34" x14ac:dyDescent="0.2">
      <c r="B103" s="208"/>
      <c r="C103" s="205"/>
      <c r="D103" s="217"/>
      <c r="E103" s="151" t="s">
        <v>106</v>
      </c>
      <c r="F103" s="211"/>
      <c r="G103" s="214"/>
      <c r="H103" s="76">
        <f>0.1969-F101</f>
        <v>0.16469999999999999</v>
      </c>
      <c r="I103" s="76">
        <f>0.2-F101</f>
        <v>0.1678</v>
      </c>
      <c r="J103" s="76">
        <f>0.1379-G101</f>
        <v>0.10633333333333334</v>
      </c>
      <c r="K103" s="76">
        <f>0.1408-G101</f>
        <v>0.10923333333333335</v>
      </c>
      <c r="L103" s="76">
        <f t="shared" si="11"/>
        <v>1.626715289032955E-2</v>
      </c>
      <c r="M103" s="76">
        <f t="shared" si="12"/>
        <v>1.6485224203133444E-2</v>
      </c>
      <c r="N103" s="76">
        <f t="shared" si="13"/>
        <v>1.6376188546731497E-2</v>
      </c>
      <c r="O103" s="76">
        <f>'Growth curves UTEX #1926'!H45</f>
        <v>1.2370000000000001</v>
      </c>
      <c r="P103" s="76">
        <f t="shared" si="14"/>
        <v>1.5581252000000001</v>
      </c>
      <c r="Q103" s="77">
        <f t="shared" si="27"/>
        <v>1.5581252E-4</v>
      </c>
      <c r="R103" s="78">
        <f t="shared" si="15"/>
        <v>52.550939252928764</v>
      </c>
      <c r="S103" s="94">
        <f>AVERAGE(R101:R103)</f>
        <v>54.986983861255148</v>
      </c>
      <c r="T103" s="80">
        <f>STDEV(R101:R103)</f>
        <v>4.8511085624909214</v>
      </c>
      <c r="U103" s="89">
        <f>T103/SQRT(3)</f>
        <v>2.800788834422232</v>
      </c>
      <c r="V103" s="89">
        <f t="shared" si="16"/>
        <v>81.880942733657491</v>
      </c>
      <c r="W103" s="88">
        <f t="shared" si="18"/>
        <v>90.642085359265252</v>
      </c>
      <c r="X103" s="89">
        <f t="shared" si="19"/>
        <v>7.7305721978393045</v>
      </c>
      <c r="Y103" s="89">
        <f t="shared" si="20"/>
        <v>4.4632479394123594</v>
      </c>
      <c r="Z103" s="89">
        <f>(V103-$V$61)/(D101-$D$59)</f>
        <v>0.20755029100089645</v>
      </c>
      <c r="AA103" s="88">
        <f t="shared" si="22"/>
        <v>0.23086081716703255</v>
      </c>
      <c r="AB103" s="95">
        <f t="shared" si="23"/>
        <v>1.1886094986648622E-2</v>
      </c>
    </row>
    <row r="104" spans="2:34" x14ac:dyDescent="0.2">
      <c r="B104" s="206" t="s">
        <v>38</v>
      </c>
      <c r="C104" s="203">
        <v>0.52083333333333337</v>
      </c>
      <c r="D104" s="215">
        <f>24.5+D101</f>
        <v>385.5</v>
      </c>
      <c r="E104" s="104" t="s">
        <v>104</v>
      </c>
      <c r="F104" s="209">
        <f>(0.0512+0.0409)/2</f>
        <v>4.6050000000000001E-2</v>
      </c>
      <c r="G104" s="212">
        <f>(0.0496+0.0407)/2</f>
        <v>4.5149999999999996E-2</v>
      </c>
      <c r="H104" s="96">
        <f>0.2801-F104</f>
        <v>0.23405000000000001</v>
      </c>
      <c r="I104" s="96">
        <f>0.2788-F104</f>
        <v>0.23274999999999998</v>
      </c>
      <c r="J104" s="96">
        <f>0.1779-G104</f>
        <v>0.13275000000000001</v>
      </c>
      <c r="K104" s="96">
        <f>0.1788-G104</f>
        <v>0.13364999999999999</v>
      </c>
      <c r="L104" s="76">
        <f t="shared" si="11"/>
        <v>2.4916734197730959E-2</v>
      </c>
      <c r="M104" s="76">
        <f t="shared" si="12"/>
        <v>2.4617787682333872E-2</v>
      </c>
      <c r="N104" s="96">
        <f t="shared" si="13"/>
        <v>2.4767260940032416E-2</v>
      </c>
      <c r="O104" s="76">
        <f>'Growth curves UTEX #1926'!F46</f>
        <v>1.5409999999999999</v>
      </c>
      <c r="P104" s="76">
        <f t="shared" si="14"/>
        <v>1.9410436</v>
      </c>
      <c r="Q104" s="97">
        <f t="shared" si="27"/>
        <v>1.9410436000000001E-4</v>
      </c>
      <c r="R104" s="98">
        <f t="shared" si="15"/>
        <v>63.798826930091664</v>
      </c>
      <c r="S104" s="102"/>
      <c r="T104" s="103"/>
      <c r="U104" s="103"/>
      <c r="V104" s="80">
        <f t="shared" si="16"/>
        <v>123.83630470016207</v>
      </c>
      <c r="W104" s="94"/>
      <c r="X104" s="80"/>
      <c r="Y104" s="80"/>
      <c r="Z104" s="80">
        <f t="shared" si="21"/>
        <v>0.30178592074533273</v>
      </c>
      <c r="AA104" s="94"/>
      <c r="AB104" s="101"/>
    </row>
    <row r="105" spans="2:34" x14ac:dyDescent="0.2">
      <c r="B105" s="207"/>
      <c r="C105" s="204"/>
      <c r="D105" s="216"/>
      <c r="E105" s="104" t="s">
        <v>105</v>
      </c>
      <c r="F105" s="210"/>
      <c r="G105" s="213"/>
      <c r="H105" s="76">
        <f>0.2233-F104</f>
        <v>0.17724999999999999</v>
      </c>
      <c r="I105" s="76">
        <f>0.2215-F104</f>
        <v>0.17544999999999999</v>
      </c>
      <c r="J105" s="76">
        <f>0.1403-G104</f>
        <v>9.5150000000000012E-2</v>
      </c>
      <c r="K105" s="76">
        <f>0.1399-G104</f>
        <v>9.4750000000000001E-2</v>
      </c>
      <c r="L105" s="76">
        <f t="shared" si="11"/>
        <v>1.9397771474878443E-2</v>
      </c>
      <c r="M105" s="76">
        <f t="shared" si="12"/>
        <v>1.9145259319286869E-2</v>
      </c>
      <c r="N105" s="76">
        <f t="shared" si="13"/>
        <v>1.9271515397082654E-2</v>
      </c>
      <c r="O105" s="76">
        <f>'Growth curves UTEX #1926'!G46</f>
        <v>1.349</v>
      </c>
      <c r="P105" s="76">
        <f t="shared" si="14"/>
        <v>1.6992004000000001</v>
      </c>
      <c r="Q105" s="77">
        <f t="shared" si="27"/>
        <v>1.6992004000000003E-4</v>
      </c>
      <c r="R105" s="78">
        <f t="shared" si="15"/>
        <v>56.707600225031285</v>
      </c>
      <c r="S105" s="79"/>
      <c r="V105" s="80">
        <f t="shared" si="16"/>
        <v>96.35757698541326</v>
      </c>
      <c r="W105" s="94"/>
      <c r="X105" s="80"/>
      <c r="Y105" s="80"/>
      <c r="Z105" s="80">
        <f>(V105-$V$60)/(D104-$D$59)</f>
        <v>0.2306269930860802</v>
      </c>
      <c r="AA105" s="94"/>
      <c r="AB105" s="101"/>
    </row>
    <row r="106" spans="2:34" x14ac:dyDescent="0.2">
      <c r="B106" s="208"/>
      <c r="C106" s="205"/>
      <c r="D106" s="217"/>
      <c r="E106" s="151" t="s">
        <v>106</v>
      </c>
      <c r="F106" s="211"/>
      <c r="G106" s="214"/>
      <c r="H106" s="76">
        <f>0.2281-F104</f>
        <v>0.18204999999999999</v>
      </c>
      <c r="I106" s="76">
        <f>0.2444-F104</f>
        <v>0.19835</v>
      </c>
      <c r="J106" s="76">
        <f>0.1421-G104</f>
        <v>9.6950000000000008E-2</v>
      </c>
      <c r="K106" s="76">
        <f>0.1553-G104</f>
        <v>0.11015</v>
      </c>
      <c r="L106" s="76">
        <f t="shared" si="11"/>
        <v>1.9999230145867096E-2</v>
      </c>
      <c r="M106" s="76">
        <f t="shared" si="12"/>
        <v>2.1346717990275526E-2</v>
      </c>
      <c r="N106" s="76">
        <f t="shared" si="13"/>
        <v>2.0672974068071309E-2</v>
      </c>
      <c r="O106" s="76">
        <f>'Growth curves UTEX #1926'!H46</f>
        <v>1.329</v>
      </c>
      <c r="P106" s="76">
        <f t="shared" si="14"/>
        <v>1.6740084</v>
      </c>
      <c r="Q106" s="77">
        <f t="shared" si="27"/>
        <v>1.6740084000000001E-4</v>
      </c>
      <c r="R106" s="78">
        <f t="shared" si="15"/>
        <v>61.746924531774475</v>
      </c>
      <c r="S106" s="94">
        <f>AVERAGE(R104:R106)</f>
        <v>60.751117228965803</v>
      </c>
      <c r="T106" s="80">
        <f>STDEV(R104:R106)</f>
        <v>3.6489859117137837</v>
      </c>
      <c r="U106" s="89">
        <f>T106/SQRT(3)</f>
        <v>2.1067429983971051</v>
      </c>
      <c r="V106" s="89">
        <f t="shared" si="16"/>
        <v>103.36487034035653</v>
      </c>
      <c r="W106" s="88">
        <f t="shared" si="18"/>
        <v>107.85291734197729</v>
      </c>
      <c r="X106" s="89">
        <f t="shared" si="19"/>
        <v>14.278551874118563</v>
      </c>
      <c r="Y106" s="89">
        <f t="shared" si="20"/>
        <v>8.2437257681603882</v>
      </c>
      <c r="Z106" s="89">
        <f>(V106-$V$61)/(D104-$D$59)</f>
        <v>0.25008970858112234</v>
      </c>
      <c r="AA106" s="88">
        <f t="shared" si="22"/>
        <v>0.26083420747084507</v>
      </c>
      <c r="AB106" s="95">
        <f t="shared" si="23"/>
        <v>2.1232690508562004E-2</v>
      </c>
    </row>
    <row r="107" spans="2:34" x14ac:dyDescent="0.2">
      <c r="B107" s="206" t="s">
        <v>39</v>
      </c>
      <c r="C107" s="203">
        <v>0.5</v>
      </c>
      <c r="D107" s="215">
        <f>48+D101</f>
        <v>409</v>
      </c>
      <c r="E107" s="104" t="s">
        <v>104</v>
      </c>
      <c r="F107" s="209">
        <f>(0.0418+0.0454+0.0454)/3</f>
        <v>4.4199999999999996E-2</v>
      </c>
      <c r="G107" s="212">
        <f>(0.0405+0.0432+0.0438)/3</f>
        <v>4.2500000000000003E-2</v>
      </c>
      <c r="H107" s="96">
        <f>0.3636-F107</f>
        <v>0.31939999999999996</v>
      </c>
      <c r="I107" s="96">
        <f>0.3215-F107</f>
        <v>0.27729999999999999</v>
      </c>
      <c r="J107" s="96">
        <f>0.2905-G107</f>
        <v>0.24799999999999997</v>
      </c>
      <c r="K107" s="96">
        <f>0.2517-G107</f>
        <v>0.20919999999999997</v>
      </c>
      <c r="L107" s="76">
        <f t="shared" si="11"/>
        <v>2.7448946515397081E-2</v>
      </c>
      <c r="M107" s="76">
        <f t="shared" si="12"/>
        <v>2.4430145867098865E-2</v>
      </c>
      <c r="N107" s="96">
        <f t="shared" si="13"/>
        <v>2.5939546191247973E-2</v>
      </c>
      <c r="O107" s="76">
        <f>'Growth curves UTEX #1926'!F47</f>
        <v>1.5249999999999999</v>
      </c>
      <c r="P107" s="76">
        <f t="shared" si="14"/>
        <v>1.92089</v>
      </c>
      <c r="Q107" s="97">
        <f t="shared" si="27"/>
        <v>1.92089E-4</v>
      </c>
      <c r="R107" s="98">
        <f t="shared" si="15"/>
        <v>67.519603390220084</v>
      </c>
      <c r="S107" s="102"/>
      <c r="T107" s="103"/>
      <c r="U107" s="103"/>
      <c r="V107" s="80">
        <f t="shared" si="16"/>
        <v>129.69773095623987</v>
      </c>
      <c r="W107" s="94"/>
      <c r="X107" s="80"/>
      <c r="Y107" s="80"/>
      <c r="Z107" s="80">
        <f t="shared" si="21"/>
        <v>0.29877725844352948</v>
      </c>
      <c r="AA107" s="94"/>
      <c r="AB107" s="101"/>
    </row>
    <row r="108" spans="2:34" ht="15" customHeight="1" x14ac:dyDescent="0.2">
      <c r="B108" s="207"/>
      <c r="C108" s="204"/>
      <c r="D108" s="216"/>
      <c r="E108" s="104" t="s">
        <v>105</v>
      </c>
      <c r="F108" s="210"/>
      <c r="G108" s="213"/>
      <c r="H108" s="76">
        <f>0.2226-F107</f>
        <v>0.1784</v>
      </c>
      <c r="I108" s="76">
        <f>0.2359-F107</f>
        <v>0.19170000000000001</v>
      </c>
      <c r="J108" s="76">
        <f>0.159-G107</f>
        <v>0.11649999999999999</v>
      </c>
      <c r="K108" s="76">
        <f>0.1718-G107</f>
        <v>0.1293</v>
      </c>
      <c r="L108" s="76">
        <f t="shared" si="11"/>
        <v>1.7490680713128041E-2</v>
      </c>
      <c r="M108" s="76">
        <f t="shared" si="12"/>
        <v>1.8391166936790927E-2</v>
      </c>
      <c r="N108" s="76">
        <f t="shared" si="13"/>
        <v>1.7940923824959484E-2</v>
      </c>
      <c r="O108" s="76">
        <f>'Growth curves UTEX #1926'!G47</f>
        <v>1.3919999999999999</v>
      </c>
      <c r="P108" s="76">
        <f t="shared" si="14"/>
        <v>1.7533631999999999</v>
      </c>
      <c r="Q108" s="77">
        <f t="shared" si="27"/>
        <v>1.7533632E-4</v>
      </c>
      <c r="R108" s="78">
        <f t="shared" si="15"/>
        <v>51.1614588037421</v>
      </c>
      <c r="S108" s="79"/>
      <c r="V108" s="80">
        <f t="shared" si="16"/>
        <v>89.704619124797418</v>
      </c>
      <c r="W108" s="94"/>
      <c r="X108" s="80"/>
      <c r="Y108" s="80"/>
      <c r="Z108" s="80">
        <f>(V108-$V$60)/(D107-$D$59)</f>
        <v>0.2011094082495552</v>
      </c>
      <c r="AA108" s="94"/>
      <c r="AB108" s="101"/>
    </row>
    <row r="109" spans="2:34" ht="16" customHeight="1" thickBot="1" x14ac:dyDescent="0.25">
      <c r="B109" s="223"/>
      <c r="C109" s="224"/>
      <c r="D109" s="225"/>
      <c r="E109" s="152" t="s">
        <v>106</v>
      </c>
      <c r="F109" s="221"/>
      <c r="G109" s="222"/>
      <c r="H109" s="76">
        <f>0.2692-F107</f>
        <v>0.22500000000000001</v>
      </c>
      <c r="I109" s="76">
        <f>0.2342-F107</f>
        <v>0.19</v>
      </c>
      <c r="J109" s="76">
        <f>0.2084-G107</f>
        <v>0.16589999999999999</v>
      </c>
      <c r="K109" s="76">
        <f>0.1715-G107</f>
        <v>0.129</v>
      </c>
      <c r="L109" s="76">
        <f t="shared" si="11"/>
        <v>2.0199432739059969E-2</v>
      </c>
      <c r="M109" s="76">
        <f t="shared" si="12"/>
        <v>1.8145056726094004E-2</v>
      </c>
      <c r="N109" s="76">
        <f t="shared" si="13"/>
        <v>1.9172244732576987E-2</v>
      </c>
      <c r="O109" s="76">
        <f>'Growth curves UTEX #1926'!H47</f>
        <v>1.37</v>
      </c>
      <c r="P109" s="76">
        <f t="shared" si="14"/>
        <v>1.7256520000000002</v>
      </c>
      <c r="Q109" s="108">
        <f t="shared" si="27"/>
        <v>1.7256520000000003E-4</v>
      </c>
      <c r="R109" s="109">
        <f t="shared" si="15"/>
        <v>55.550727297789429</v>
      </c>
      <c r="S109" s="110">
        <f>AVERAGE(R107:R109)</f>
        <v>58.077263163917202</v>
      </c>
      <c r="T109" s="111">
        <f>STDEV(R107:R109)</f>
        <v>8.4666853721011819</v>
      </c>
      <c r="U109" s="111">
        <f>T109/SQRT(3)</f>
        <v>4.8882430787264841</v>
      </c>
      <c r="V109" s="111">
        <f t="shared" si="16"/>
        <v>95.861223662884939</v>
      </c>
      <c r="W109" s="110">
        <f t="shared" si="18"/>
        <v>105.08785791464074</v>
      </c>
      <c r="X109" s="111">
        <f t="shared" si="19"/>
        <v>21.533934457091625</v>
      </c>
      <c r="Y109" s="111">
        <f t="shared" si="20"/>
        <v>12.432622855513609</v>
      </c>
      <c r="Z109" s="80">
        <f>(V109-$V$61)/(D107-$D$59)</f>
        <v>0.21737392660281435</v>
      </c>
      <c r="AA109" s="94">
        <f t="shared" si="22"/>
        <v>0.23908686443196636</v>
      </c>
      <c r="AB109" s="101">
        <f t="shared" si="23"/>
        <v>3.0212254645301286E-2</v>
      </c>
    </row>
    <row r="110" spans="2:34" ht="15" thickBot="1" x14ac:dyDescent="0.25">
      <c r="B110" s="229" t="s">
        <v>71</v>
      </c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1"/>
    </row>
    <row r="111" spans="2:34" ht="45" customHeight="1" x14ac:dyDescent="0.2">
      <c r="B111" s="59" t="s">
        <v>0</v>
      </c>
      <c r="C111" s="60" t="s">
        <v>1</v>
      </c>
      <c r="D111" s="116" t="s">
        <v>2</v>
      </c>
      <c r="E111" s="149"/>
      <c r="F111" s="60" t="s">
        <v>8</v>
      </c>
      <c r="G111" s="60" t="s">
        <v>9</v>
      </c>
      <c r="H111" s="236" t="s">
        <v>101</v>
      </c>
      <c r="I111" s="237"/>
      <c r="J111" s="238" t="s">
        <v>80</v>
      </c>
      <c r="K111" s="239"/>
      <c r="L111" s="240" t="s">
        <v>81</v>
      </c>
      <c r="M111" s="241"/>
      <c r="N111" s="61" t="s">
        <v>82</v>
      </c>
      <c r="O111" s="62" t="s">
        <v>83</v>
      </c>
      <c r="P111" s="61" t="s">
        <v>10</v>
      </c>
      <c r="Q111" s="61" t="s">
        <v>11</v>
      </c>
      <c r="R111" s="61" t="s">
        <v>84</v>
      </c>
      <c r="S111" s="61" t="s">
        <v>85</v>
      </c>
      <c r="T111" s="61" t="s">
        <v>86</v>
      </c>
      <c r="U111" s="63" t="s">
        <v>62</v>
      </c>
      <c r="V111" s="62" t="s">
        <v>87</v>
      </c>
      <c r="W111" s="61" t="s">
        <v>88</v>
      </c>
      <c r="X111" s="61" t="s">
        <v>86</v>
      </c>
      <c r="Y111" s="64" t="s">
        <v>62</v>
      </c>
      <c r="Z111" s="64" t="s">
        <v>89</v>
      </c>
      <c r="AA111" s="61" t="s">
        <v>90</v>
      </c>
      <c r="AB111" s="65" t="s">
        <v>62</v>
      </c>
      <c r="AD111" s="56" t="s">
        <v>2</v>
      </c>
      <c r="AE111" s="72" t="str">
        <f>S111</f>
        <v>Average specific CPC conc.</v>
      </c>
      <c r="AF111" s="56" t="s">
        <v>12</v>
      </c>
      <c r="AG111" s="72" t="str">
        <f>W111</f>
        <v>Average total CPC</v>
      </c>
      <c r="AH111" s="56" t="s">
        <v>12</v>
      </c>
    </row>
    <row r="112" spans="2:34" ht="31" customHeight="1" x14ac:dyDescent="0.2">
      <c r="B112" s="66"/>
      <c r="C112" s="67"/>
      <c r="D112" s="69"/>
      <c r="E112" s="150"/>
      <c r="F112" s="67" t="s">
        <v>13</v>
      </c>
      <c r="G112" s="67" t="s">
        <v>13</v>
      </c>
      <c r="H112" s="117" t="s">
        <v>102</v>
      </c>
      <c r="I112" s="67" t="s">
        <v>103</v>
      </c>
      <c r="J112" s="242" t="s">
        <v>13</v>
      </c>
      <c r="K112" s="235"/>
      <c r="L112" s="234" t="s">
        <v>14</v>
      </c>
      <c r="M112" s="235"/>
      <c r="N112" s="70" t="s">
        <v>14</v>
      </c>
      <c r="O112" s="70" t="s">
        <v>13</v>
      </c>
      <c r="P112" s="70" t="s">
        <v>15</v>
      </c>
      <c r="Q112" s="70" t="s">
        <v>16</v>
      </c>
      <c r="R112" s="71" t="s">
        <v>91</v>
      </c>
      <c r="S112" s="71" t="s">
        <v>91</v>
      </c>
      <c r="T112" s="70"/>
      <c r="U112" s="69"/>
      <c r="V112" s="71" t="s">
        <v>92</v>
      </c>
      <c r="W112" s="71" t="s">
        <v>92</v>
      </c>
      <c r="X112" s="70"/>
      <c r="Y112" s="70"/>
      <c r="Z112" s="71" t="s">
        <v>93</v>
      </c>
      <c r="AA112" s="71" t="s">
        <v>93</v>
      </c>
      <c r="AB112" s="68"/>
      <c r="AD112" s="81">
        <f>D113</f>
        <v>0</v>
      </c>
      <c r="AE112" s="80">
        <f>S115</f>
        <v>50.056228536629334</v>
      </c>
      <c r="AF112" s="80">
        <f>U115</f>
        <v>1.9944538224190418</v>
      </c>
      <c r="AG112" s="80">
        <f>W115</f>
        <v>6.35434224743382</v>
      </c>
      <c r="AH112" s="80">
        <f>Y115</f>
        <v>0.34348604863076126</v>
      </c>
    </row>
    <row r="113" spans="2:34" x14ac:dyDescent="0.2">
      <c r="B113" s="207" t="s">
        <v>23</v>
      </c>
      <c r="C113" s="204">
        <v>0.52083333333333337</v>
      </c>
      <c r="D113" s="226">
        <v>0</v>
      </c>
      <c r="E113" s="104" t="s">
        <v>104</v>
      </c>
      <c r="F113" s="210">
        <f>(0.04+0.0315+0.0322)/3</f>
        <v>3.4566666666666669E-2</v>
      </c>
      <c r="G113" s="213">
        <f>(0.0387+0.0303+0.0319)/3</f>
        <v>3.3633333333333335E-2</v>
      </c>
      <c r="H113" s="74">
        <f>0.1503-F113</f>
        <v>0.11573333333333333</v>
      </c>
      <c r="I113" s="76">
        <f>0.1594-F113</f>
        <v>0.12483333333333332</v>
      </c>
      <c r="J113" s="76">
        <f>0.0985-G113</f>
        <v>6.486666666666667E-2</v>
      </c>
      <c r="K113" s="76">
        <f>0.1072-G113</f>
        <v>7.3566666666666669E-2</v>
      </c>
      <c r="L113" s="277">
        <f>(H113-(0.605*J113))/6.17</f>
        <v>1.2396920583468396E-2</v>
      </c>
      <c r="M113" s="277">
        <f>(I113-(0.605*K113))/6.17</f>
        <v>1.3018719611021069E-2</v>
      </c>
      <c r="N113" s="76">
        <f>AVERAGE(L113:M113)</f>
        <v>1.2707820097244731E-2</v>
      </c>
      <c r="O113" s="76">
        <v>0.10100000000000001</v>
      </c>
      <c r="P113" s="76">
        <f>1.2596*O113</f>
        <v>0.12721960000000002</v>
      </c>
      <c r="Q113" s="77">
        <f>P113*1/1000</f>
        <v>1.2721960000000002E-4</v>
      </c>
      <c r="R113" s="78">
        <f>(N113*0.5)/Q113</f>
        <v>49.944427184351817</v>
      </c>
      <c r="S113" s="79"/>
      <c r="V113" s="80">
        <f>R113*P113</f>
        <v>6.3539100486223647</v>
      </c>
      <c r="W113" s="79"/>
      <c r="AA113" s="79"/>
      <c r="AB113" s="73"/>
      <c r="AD113" s="81">
        <f>D116</f>
        <v>22</v>
      </c>
      <c r="AE113" s="80">
        <f>S118</f>
        <v>15.588941486508466</v>
      </c>
      <c r="AF113" s="80">
        <f>U118</f>
        <v>15.588941486508469</v>
      </c>
      <c r="AG113" s="80">
        <f>W118</f>
        <v>2.7490162974968495</v>
      </c>
      <c r="AH113" s="80">
        <f>Y118</f>
        <v>2.7490162974968499</v>
      </c>
    </row>
    <row r="114" spans="2:34" ht="15" customHeight="1" x14ac:dyDescent="0.2">
      <c r="B114" s="207"/>
      <c r="C114" s="204"/>
      <c r="D114" s="226"/>
      <c r="E114" s="104" t="s">
        <v>105</v>
      </c>
      <c r="F114" s="210"/>
      <c r="G114" s="213"/>
      <c r="H114" s="74">
        <f>0.164-F113</f>
        <v>0.12943333333333334</v>
      </c>
      <c r="I114" s="76">
        <f>0.1702-F113</f>
        <v>0.13563333333333333</v>
      </c>
      <c r="J114" s="76">
        <f>0.1087-G113</f>
        <v>7.506666666666667E-2</v>
      </c>
      <c r="K114" s="76">
        <f>0.1132-G113</f>
        <v>7.9566666666666661E-2</v>
      </c>
      <c r="L114" s="277">
        <f t="shared" ref="L114:L163" si="28">(H114-(0.605*J114))/6.17</f>
        <v>1.361717990275527E-2</v>
      </c>
      <c r="M114" s="277">
        <f t="shared" ref="M114:M163" si="29">(I114-(0.605*K114))/6.17</f>
        <v>1.4180794165316046E-2</v>
      </c>
      <c r="N114" s="76">
        <f t="shared" ref="N114:N163" si="30">AVERAGE(L114:M114)</f>
        <v>1.3898987034035658E-2</v>
      </c>
      <c r="O114" s="76">
        <v>0.10299999999999999</v>
      </c>
      <c r="P114" s="76">
        <f t="shared" ref="P114:P163" si="31">1.2596*O114</f>
        <v>0.12973879999999999</v>
      </c>
      <c r="Q114" s="77">
        <f>P114*1/1000</f>
        <v>1.2973879999999999E-4</v>
      </c>
      <c r="R114" s="78">
        <f t="shared" ref="R114:R163" si="32">(N114*0.5)/Q114</f>
        <v>53.565267422065176</v>
      </c>
      <c r="S114" s="79"/>
      <c r="V114" s="80">
        <f t="shared" ref="V114:V163" si="33">R114*P114</f>
        <v>6.9494935170178289</v>
      </c>
      <c r="W114" s="79"/>
      <c r="AA114" s="79"/>
      <c r="AB114" s="73"/>
      <c r="AD114" s="81">
        <f>D119</f>
        <v>48</v>
      </c>
      <c r="AE114" s="80">
        <f>S121</f>
        <v>38.510627265853493</v>
      </c>
      <c r="AF114" s="80">
        <f>U121</f>
        <v>1.4327262823990414</v>
      </c>
      <c r="AG114" s="80">
        <f>W121</f>
        <v>11.109420583468397</v>
      </c>
      <c r="AH114" s="80">
        <f>Y121</f>
        <v>0.65000919221279019</v>
      </c>
    </row>
    <row r="115" spans="2:34" ht="15" customHeight="1" x14ac:dyDescent="0.2">
      <c r="B115" s="208"/>
      <c r="C115" s="205"/>
      <c r="D115" s="227"/>
      <c r="E115" s="151" t="s">
        <v>106</v>
      </c>
      <c r="F115" s="211"/>
      <c r="G115" s="214"/>
      <c r="H115" s="83">
        <f>0.1478-F113</f>
        <v>0.11323333333333332</v>
      </c>
      <c r="I115" s="85">
        <f>0.1505-F113</f>
        <v>0.11593333333333333</v>
      </c>
      <c r="J115" s="85">
        <f>0.104-G113</f>
        <v>7.0366666666666661E-2</v>
      </c>
      <c r="K115" s="85">
        <f>0.1071-G113</f>
        <v>7.3466666666666666E-2</v>
      </c>
      <c r="L115" s="277">
        <f t="shared" si="28"/>
        <v>1.1452431118314423E-2</v>
      </c>
      <c r="M115" s="277">
        <f t="shared" si="29"/>
        <v>1.1586061588330631E-2</v>
      </c>
      <c r="N115" s="85">
        <f t="shared" si="30"/>
        <v>1.1519246353322528E-2</v>
      </c>
      <c r="O115" s="85">
        <v>9.8000000000000004E-2</v>
      </c>
      <c r="P115" s="76">
        <f t="shared" si="31"/>
        <v>0.1234408</v>
      </c>
      <c r="Q115" s="77">
        <f>P115*1/1000</f>
        <v>1.234408E-4</v>
      </c>
      <c r="R115" s="87">
        <f t="shared" si="32"/>
        <v>46.658991003471009</v>
      </c>
      <c r="S115" s="88">
        <f>AVERAGE(R113:R115)</f>
        <v>50.056228536629334</v>
      </c>
      <c r="T115" s="89">
        <f>STDEV(R113:R115)</f>
        <v>3.4544953537797354</v>
      </c>
      <c r="U115" s="89">
        <f>T115/SQRT(3)</f>
        <v>1.9944538224190418</v>
      </c>
      <c r="V115" s="89">
        <f t="shared" si="33"/>
        <v>5.7596231766612647</v>
      </c>
      <c r="W115" s="88">
        <f>AVERAGE(V113:V115)</f>
        <v>6.35434224743382</v>
      </c>
      <c r="X115" s="89">
        <f>STDEV(V113:V115)</f>
        <v>0.59493528791955264</v>
      </c>
      <c r="Y115" s="89">
        <f>X115/SQRT(3)</f>
        <v>0.34348604863076126</v>
      </c>
      <c r="Z115" s="90"/>
      <c r="AA115" s="91"/>
      <c r="AB115" s="82"/>
      <c r="AD115" s="81">
        <f>D122</f>
        <v>72</v>
      </c>
      <c r="AE115" s="80">
        <f>S124</f>
        <v>60.384952106798131</v>
      </c>
      <c r="AF115" s="80">
        <f>U124</f>
        <v>1.1953399264158833</v>
      </c>
      <c r="AG115" s="80">
        <f>W124</f>
        <v>23.709248011885467</v>
      </c>
      <c r="AH115" s="80">
        <f>Y124</f>
        <v>0.75115855395834952</v>
      </c>
    </row>
    <row r="116" spans="2:34" x14ac:dyDescent="0.2">
      <c r="B116" s="206" t="s">
        <v>24</v>
      </c>
      <c r="C116" s="203">
        <v>0.4375</v>
      </c>
      <c r="D116" s="228">
        <f>22+D113</f>
        <v>22</v>
      </c>
      <c r="E116" s="104" t="s">
        <v>104</v>
      </c>
      <c r="F116" s="209">
        <f>(0.0466+0.0391+0.036)/3</f>
        <v>4.0566666666666668E-2</v>
      </c>
      <c r="G116" s="212">
        <f>(0.0461+0.0386+0.0356)/3</f>
        <v>4.0099999999999997E-2</v>
      </c>
      <c r="H116" s="74">
        <f>0.2061-F116</f>
        <v>0.16553333333333334</v>
      </c>
      <c r="I116" s="76">
        <f>0.1983-F116</f>
        <v>0.15773333333333334</v>
      </c>
      <c r="J116" s="76">
        <f>0.1431-G116</f>
        <v>0.10300000000000001</v>
      </c>
      <c r="K116" s="76">
        <f>0.135-G116</f>
        <v>9.4900000000000012E-2</v>
      </c>
      <c r="L116" s="277">
        <f t="shared" si="28"/>
        <v>1.6729065370070233E-2</v>
      </c>
      <c r="M116" s="277">
        <f t="shared" si="29"/>
        <v>1.625913019989195E-2</v>
      </c>
      <c r="N116" s="76">
        <f t="shared" si="30"/>
        <v>1.6494097784981093E-2</v>
      </c>
      <c r="O116" s="76">
        <v>0.14000000000000001</v>
      </c>
      <c r="P116" s="76">
        <f t="shared" si="31"/>
        <v>0.17634400000000003</v>
      </c>
      <c r="Q116" s="77">
        <f t="shared" ref="Q116:Q121" si="34">P116*1/1000</f>
        <v>1.7634400000000002E-4</v>
      </c>
      <c r="R116" s="78">
        <f t="shared" si="32"/>
        <v>46.766824459525395</v>
      </c>
      <c r="S116" s="94"/>
      <c r="T116" s="80"/>
      <c r="U116" s="80"/>
      <c r="V116" s="80">
        <f t="shared" si="33"/>
        <v>8.2470488924905485</v>
      </c>
      <c r="W116" s="94"/>
      <c r="X116" s="80"/>
      <c r="Y116" s="80"/>
      <c r="Z116" s="80">
        <f>(V116-$V$113)/(D116-$D$113)</f>
        <v>8.6051765630371993E-2</v>
      </c>
      <c r="AA116" s="94"/>
      <c r="AB116" s="73"/>
      <c r="AD116" s="81">
        <f>D125</f>
        <v>94.5</v>
      </c>
      <c r="AE116" s="80">
        <f>S127</f>
        <v>64.959278004159259</v>
      </c>
      <c r="AF116" s="80">
        <f>U127</f>
        <v>5.5115223201238184</v>
      </c>
      <c r="AG116" s="80">
        <f>W127</f>
        <v>32.55494382495948</v>
      </c>
      <c r="AH116" s="80">
        <f>Y127</f>
        <v>1.9983917990918518</v>
      </c>
    </row>
    <row r="117" spans="2:34" x14ac:dyDescent="0.2">
      <c r="B117" s="207"/>
      <c r="C117" s="204"/>
      <c r="D117" s="226"/>
      <c r="E117" s="104" t="s">
        <v>105</v>
      </c>
      <c r="F117" s="210"/>
      <c r="G117" s="213"/>
      <c r="H117" s="74"/>
      <c r="I117" s="76"/>
      <c r="J117" s="76"/>
      <c r="K117" s="76"/>
      <c r="L117" s="277">
        <f t="shared" si="28"/>
        <v>0</v>
      </c>
      <c r="M117" s="277">
        <f t="shared" si="29"/>
        <v>0</v>
      </c>
      <c r="N117" s="76">
        <f t="shared" si="30"/>
        <v>0</v>
      </c>
      <c r="O117" s="76">
        <v>0.158</v>
      </c>
      <c r="P117" s="76">
        <f t="shared" si="31"/>
        <v>0.19901680000000002</v>
      </c>
      <c r="Q117" s="77">
        <f t="shared" si="34"/>
        <v>1.9901680000000002E-4</v>
      </c>
      <c r="R117" s="78">
        <f t="shared" si="32"/>
        <v>0</v>
      </c>
      <c r="S117" s="79"/>
      <c r="T117" s="80"/>
      <c r="U117" s="80"/>
      <c r="V117" s="80">
        <f t="shared" si="33"/>
        <v>0</v>
      </c>
      <c r="W117" s="94"/>
      <c r="X117" s="80"/>
      <c r="Y117" s="80"/>
      <c r="Z117" s="80">
        <f>(V117-$V$114)/(D116-$D$113)</f>
        <v>-0.31588606895535587</v>
      </c>
      <c r="AA117" s="94"/>
      <c r="AB117" s="73"/>
      <c r="AD117" s="81">
        <f>D128</f>
        <v>118.5</v>
      </c>
      <c r="AE117" s="80">
        <f>S130</f>
        <v>54.48239811448363</v>
      </c>
      <c r="AF117" s="80">
        <f>U130</f>
        <v>0.6595995879959764</v>
      </c>
      <c r="AG117" s="80">
        <f>W130</f>
        <v>45.031142323068622</v>
      </c>
      <c r="AH117" s="80">
        <f>Y130</f>
        <v>1.821995931305026</v>
      </c>
    </row>
    <row r="118" spans="2:34" x14ac:dyDescent="0.2">
      <c r="B118" s="208"/>
      <c r="C118" s="205"/>
      <c r="D118" s="227"/>
      <c r="E118" s="151" t="s">
        <v>106</v>
      </c>
      <c r="F118" s="211"/>
      <c r="G118" s="214"/>
      <c r="H118" s="74"/>
      <c r="I118" s="76"/>
      <c r="J118" s="76"/>
      <c r="K118" s="76"/>
      <c r="L118" s="277">
        <f t="shared" si="28"/>
        <v>0</v>
      </c>
      <c r="M118" s="277">
        <f t="shared" si="29"/>
        <v>0</v>
      </c>
      <c r="N118" s="76">
        <f t="shared" si="30"/>
        <v>0</v>
      </c>
      <c r="O118" s="76">
        <v>0.14799999999999999</v>
      </c>
      <c r="P118" s="76">
        <f t="shared" si="31"/>
        <v>0.1864208</v>
      </c>
      <c r="Q118" s="77">
        <f t="shared" si="34"/>
        <v>1.864208E-4</v>
      </c>
      <c r="R118" s="78">
        <f t="shared" si="32"/>
        <v>0</v>
      </c>
      <c r="S118" s="94">
        <f>AVERAGE(R116:R118)</f>
        <v>15.588941486508466</v>
      </c>
      <c r="T118" s="80">
        <f>STDEV(R116:R118)</f>
        <v>27.000838690850966</v>
      </c>
      <c r="U118" s="89">
        <f>T118/SQRT(3)</f>
        <v>15.588941486508469</v>
      </c>
      <c r="V118" s="89">
        <f t="shared" si="33"/>
        <v>0</v>
      </c>
      <c r="W118" s="88">
        <f t="shared" ref="W118:W163" si="35">AVERAGE(V116:V118)</f>
        <v>2.7490162974968495</v>
      </c>
      <c r="X118" s="89">
        <f t="shared" ref="X118:X163" si="36">STDEV(V116:V118)</f>
        <v>4.7614358980994238</v>
      </c>
      <c r="Y118" s="89">
        <f t="shared" ref="Y118:Y163" si="37">X118/SQRT(3)</f>
        <v>2.7490162974968499</v>
      </c>
      <c r="Z118" s="89">
        <f>(V118-$V$115)/(D116-$D$113)</f>
        <v>-0.26180105348460292</v>
      </c>
      <c r="AA118" s="88">
        <f>AVERAGE(Z116:Z118)</f>
        <v>-0.16387845226986228</v>
      </c>
      <c r="AB118" s="95">
        <f>STDEV(Z116:Z118)/SQRT(3)</f>
        <v>0.12593666740252396</v>
      </c>
      <c r="AD118" s="81">
        <f>D131</f>
        <v>142.5</v>
      </c>
      <c r="AE118" s="80">
        <f>S133</f>
        <v>59.227088748244533</v>
      </c>
      <c r="AF118" s="80">
        <f>U133</f>
        <v>5.1820431167080363</v>
      </c>
      <c r="AG118" s="80">
        <f>W133</f>
        <v>71.518026094003247</v>
      </c>
      <c r="AH118" s="80">
        <f>Y133</f>
        <v>6.2139758386790964</v>
      </c>
    </row>
    <row r="119" spans="2:34" x14ac:dyDescent="0.2">
      <c r="B119" s="206" t="s">
        <v>25</v>
      </c>
      <c r="C119" s="203">
        <v>0.52083333333333337</v>
      </c>
      <c r="D119" s="228">
        <f>2+24+D116</f>
        <v>48</v>
      </c>
      <c r="E119" s="104" t="s">
        <v>104</v>
      </c>
      <c r="F119" s="209">
        <v>4.99E-2</v>
      </c>
      <c r="G119" s="212">
        <v>4.8899999999999999E-2</v>
      </c>
      <c r="H119" s="92">
        <f>0.2857-F119</f>
        <v>0.23580000000000001</v>
      </c>
      <c r="I119" s="96">
        <f>0.2742-F119</f>
        <v>0.2243</v>
      </c>
      <c r="J119" s="96">
        <f>0.1953-G119</f>
        <v>0.1464</v>
      </c>
      <c r="K119" s="96">
        <f>0.1841-G119</f>
        <v>0.13520000000000001</v>
      </c>
      <c r="L119" s="277">
        <f t="shared" si="28"/>
        <v>2.3861912479740684E-2</v>
      </c>
      <c r="M119" s="277">
        <f t="shared" si="29"/>
        <v>2.3096272285251216E-2</v>
      </c>
      <c r="N119" s="96">
        <f t="shared" si="30"/>
        <v>2.3479092382495952E-2</v>
      </c>
      <c r="O119" s="96">
        <v>0.23699999999999999</v>
      </c>
      <c r="P119" s="76">
        <f t="shared" si="31"/>
        <v>0.29852519999999999</v>
      </c>
      <c r="Q119" s="97">
        <f t="shared" si="34"/>
        <v>2.9852519999999997E-4</v>
      </c>
      <c r="R119" s="98">
        <f t="shared" si="32"/>
        <v>39.325143040681247</v>
      </c>
      <c r="S119" s="99"/>
      <c r="T119" s="100"/>
      <c r="U119" s="100"/>
      <c r="V119" s="80">
        <f t="shared" si="33"/>
        <v>11.739546191247976</v>
      </c>
      <c r="W119" s="94"/>
      <c r="X119" s="80"/>
      <c r="Y119" s="80"/>
      <c r="Z119" s="80">
        <f t="shared" ref="Z119:Z161" si="38">(V119-$V$113)/(D119-$D$113)</f>
        <v>0.1122007529713669</v>
      </c>
      <c r="AA119" s="94"/>
      <c r="AB119" s="101"/>
      <c r="AD119" s="81">
        <f>D134</f>
        <v>166.5</v>
      </c>
      <c r="AE119" s="80">
        <f>S136</f>
        <v>54.502014444135092</v>
      </c>
      <c r="AF119" s="80">
        <f>U136</f>
        <v>1.0181627942578766</v>
      </c>
      <c r="AG119" s="80">
        <f>W136</f>
        <v>75.23824959481361</v>
      </c>
      <c r="AH119" s="80">
        <f>Y136</f>
        <v>6.5761070174530634</v>
      </c>
    </row>
    <row r="120" spans="2:34" x14ac:dyDescent="0.2">
      <c r="B120" s="207"/>
      <c r="C120" s="204"/>
      <c r="D120" s="226"/>
      <c r="E120" s="104" t="s">
        <v>105</v>
      </c>
      <c r="F120" s="210"/>
      <c r="G120" s="213"/>
      <c r="H120" s="74">
        <f>0.2794-F119</f>
        <v>0.22949999999999998</v>
      </c>
      <c r="I120" s="76">
        <f>0.2819-F119</f>
        <v>0.23199999999999998</v>
      </c>
      <c r="J120" s="76">
        <f>0.1904-G119</f>
        <v>0.14150000000000001</v>
      </c>
      <c r="K120" s="76">
        <f>0.1897-G119</f>
        <v>0.14080000000000001</v>
      </c>
      <c r="L120" s="277">
        <f t="shared" si="28"/>
        <v>2.3321312803889785E-2</v>
      </c>
      <c r="M120" s="277">
        <f t="shared" si="29"/>
        <v>2.3795137763371152E-2</v>
      </c>
      <c r="N120" s="76">
        <f t="shared" si="30"/>
        <v>2.3558225283630468E-2</v>
      </c>
      <c r="O120" s="76">
        <v>0.23100000000000001</v>
      </c>
      <c r="P120" s="76">
        <f t="shared" si="31"/>
        <v>0.29096760000000005</v>
      </c>
      <c r="Q120" s="77">
        <f t="shared" si="34"/>
        <v>2.9096760000000004E-4</v>
      </c>
      <c r="R120" s="78">
        <f t="shared" si="32"/>
        <v>40.482557651832138</v>
      </c>
      <c r="S120" s="79"/>
      <c r="T120" s="80"/>
      <c r="U120" s="80"/>
      <c r="V120" s="80">
        <f t="shared" si="33"/>
        <v>11.779112641815235</v>
      </c>
      <c r="W120" s="94"/>
      <c r="X120" s="80"/>
      <c r="Y120" s="80"/>
      <c r="Z120" s="80">
        <f>(V120-$V$114)/(D119-$D$113)</f>
        <v>0.10061706509994596</v>
      </c>
      <c r="AA120" s="94"/>
      <c r="AB120" s="101"/>
      <c r="AD120" s="81">
        <f>D137</f>
        <v>190</v>
      </c>
      <c r="AE120" s="80">
        <f>S139</f>
        <v>63.982676449482604</v>
      </c>
      <c r="AF120" s="80">
        <f>U139</f>
        <v>1.1966658392127119</v>
      </c>
      <c r="AG120" s="80">
        <f>W139</f>
        <v>101.41874662344678</v>
      </c>
      <c r="AH120" s="80">
        <f>Y139</f>
        <v>4.6722411182806667</v>
      </c>
    </row>
    <row r="121" spans="2:34" x14ac:dyDescent="0.2">
      <c r="B121" s="208"/>
      <c r="C121" s="205"/>
      <c r="D121" s="227"/>
      <c r="E121" s="151" t="s">
        <v>106</v>
      </c>
      <c r="F121" s="211"/>
      <c r="G121" s="214"/>
      <c r="H121" s="74">
        <f>0.2314-F119</f>
        <v>0.18149999999999999</v>
      </c>
      <c r="I121" s="76">
        <f>0.2338-F119</f>
        <v>0.18390000000000001</v>
      </c>
      <c r="J121" s="76">
        <f>0.1497-G119</f>
        <v>0.1008</v>
      </c>
      <c r="K121" s="76">
        <f>0.1519-G119</f>
        <v>0.10300000000000001</v>
      </c>
      <c r="L121" s="277">
        <f t="shared" si="28"/>
        <v>1.9532576985413289E-2</v>
      </c>
      <c r="M121" s="277">
        <f t="shared" si="29"/>
        <v>1.9705834683954621E-2</v>
      </c>
      <c r="N121" s="76">
        <f t="shared" si="30"/>
        <v>1.9619205834683955E-2</v>
      </c>
      <c r="O121" s="76">
        <v>0.218</v>
      </c>
      <c r="P121" s="76">
        <f t="shared" si="31"/>
        <v>0.27459280000000003</v>
      </c>
      <c r="Q121" s="77">
        <f t="shared" si="34"/>
        <v>2.7459280000000005E-4</v>
      </c>
      <c r="R121" s="78">
        <f t="shared" si="32"/>
        <v>35.724181105047094</v>
      </c>
      <c r="S121" s="94">
        <f>AVERAGE(R119:R121)</f>
        <v>38.510627265853493</v>
      </c>
      <c r="T121" s="80">
        <f>STDEV(R119:R121)</f>
        <v>2.4815547144544148</v>
      </c>
      <c r="U121" s="89">
        <f>T121/SQRT(3)</f>
        <v>1.4327262823990414</v>
      </c>
      <c r="V121" s="89">
        <f t="shared" si="33"/>
        <v>9.8096029173419765</v>
      </c>
      <c r="W121" s="88">
        <f t="shared" si="35"/>
        <v>11.109420583468397</v>
      </c>
      <c r="X121" s="89">
        <f t="shared" si="36"/>
        <v>1.1258489462993568</v>
      </c>
      <c r="Y121" s="89">
        <f t="shared" si="37"/>
        <v>0.65000919221279019</v>
      </c>
      <c r="Z121" s="89">
        <f>(V121-$V$115)/(D119-$D$113)</f>
        <v>8.4374577930848169E-2</v>
      </c>
      <c r="AA121" s="88">
        <f t="shared" ref="AA121:AA163" si="39">AVERAGE(Z119:Z121)</f>
        <v>9.906413200072034E-2</v>
      </c>
      <c r="AB121" s="95">
        <f t="shared" ref="AB121:AB163" si="40">STDEV(Z119:Z121)/SQRT(3)</f>
        <v>8.0701653278066783E-3</v>
      </c>
      <c r="AD121" s="81">
        <f>D140</f>
        <v>214</v>
      </c>
      <c r="AE121" s="80">
        <f>S142</f>
        <v>51.705706573954167</v>
      </c>
      <c r="AF121" s="80">
        <f>U142</f>
        <v>4.4520011045852135</v>
      </c>
      <c r="AG121" s="80">
        <f>W142</f>
        <v>97.176998919502978</v>
      </c>
      <c r="AH121" s="80">
        <f>Y142</f>
        <v>12.014101357187629</v>
      </c>
    </row>
    <row r="122" spans="2:34" x14ac:dyDescent="0.2">
      <c r="B122" s="206" t="s">
        <v>26</v>
      </c>
      <c r="C122" s="203">
        <v>0.52083333333333337</v>
      </c>
      <c r="D122" s="228">
        <f>24+D119</f>
        <v>72</v>
      </c>
      <c r="E122" s="104" t="s">
        <v>104</v>
      </c>
      <c r="F122" s="209">
        <f>(0.0193+0.063)/2</f>
        <v>4.1149999999999999E-2</v>
      </c>
      <c r="G122" s="212">
        <f>(0.02+0.0611)/2</f>
        <v>4.0550000000000003E-2</v>
      </c>
      <c r="H122" s="92">
        <f>0.234-F122</f>
        <v>0.19285000000000002</v>
      </c>
      <c r="I122" s="96">
        <f>0.2209-F122</f>
        <v>0.17975000000000002</v>
      </c>
      <c r="J122" s="96">
        <f>0.1548-G122</f>
        <v>0.11424999999999999</v>
      </c>
      <c r="K122" s="96">
        <f>0.1435-G122</f>
        <v>0.10294999999999999</v>
      </c>
      <c r="L122" s="277">
        <f t="shared" si="28"/>
        <v>2.0053282009724477E-2</v>
      </c>
      <c r="M122" s="277">
        <f t="shared" si="29"/>
        <v>1.9038128038897897E-2</v>
      </c>
      <c r="N122" s="96">
        <f t="shared" si="30"/>
        <v>1.9545705024311189E-2</v>
      </c>
      <c r="O122" s="96">
        <v>0.33</v>
      </c>
      <c r="P122" s="76">
        <f t="shared" si="31"/>
        <v>0.41566800000000004</v>
      </c>
      <c r="Q122" s="97">
        <f t="shared" ref="Q122:Q130" si="41">O122*0.5/1000</f>
        <v>1.65E-4</v>
      </c>
      <c r="R122" s="98">
        <f t="shared" si="32"/>
        <v>59.229409164579359</v>
      </c>
      <c r="S122" s="99"/>
      <c r="T122" s="100"/>
      <c r="U122" s="100"/>
      <c r="V122" s="80">
        <f t="shared" si="33"/>
        <v>24.619770048622375</v>
      </c>
      <c r="W122" s="94"/>
      <c r="X122" s="80"/>
      <c r="Y122" s="80"/>
      <c r="Z122" s="80">
        <f t="shared" si="38"/>
        <v>0.25369250000000015</v>
      </c>
      <c r="AA122" s="94"/>
      <c r="AB122" s="101"/>
      <c r="AD122" s="81">
        <f>D143</f>
        <v>262.5</v>
      </c>
      <c r="AE122" s="80">
        <f>S145</f>
        <v>51.586544659822273</v>
      </c>
      <c r="AF122" s="80">
        <f>U145</f>
        <v>3.6923086057659948</v>
      </c>
      <c r="AG122" s="80">
        <f>W145</f>
        <v>108.82610750945435</v>
      </c>
      <c r="AH122" s="80">
        <f>Y145</f>
        <v>11.484358982686578</v>
      </c>
    </row>
    <row r="123" spans="2:34" x14ac:dyDescent="0.2">
      <c r="B123" s="207"/>
      <c r="C123" s="204"/>
      <c r="D123" s="226"/>
      <c r="E123" s="104" t="s">
        <v>105</v>
      </c>
      <c r="F123" s="210"/>
      <c r="G123" s="213"/>
      <c r="H123" s="74">
        <f>0.2222-F122</f>
        <v>0.18105000000000002</v>
      </c>
      <c r="I123" s="76">
        <f>0.2297-F122</f>
        <v>0.18855</v>
      </c>
      <c r="J123" s="76">
        <f>0.1464-G122</f>
        <v>0.10585</v>
      </c>
      <c r="K123" s="76">
        <f>0.1523-G122</f>
        <v>0.11174999999999999</v>
      </c>
      <c r="L123" s="277">
        <f t="shared" si="28"/>
        <v>1.8964465153970832E-2</v>
      </c>
      <c r="M123" s="277">
        <f t="shared" si="29"/>
        <v>1.9601499189627229E-2</v>
      </c>
      <c r="N123" s="76">
        <f t="shared" si="30"/>
        <v>1.928298217179903E-2</v>
      </c>
      <c r="O123" s="76">
        <v>0.32600000000000001</v>
      </c>
      <c r="P123" s="76">
        <f t="shared" si="31"/>
        <v>0.41062960000000004</v>
      </c>
      <c r="Q123" s="77">
        <f t="shared" si="41"/>
        <v>1.63E-4</v>
      </c>
      <c r="R123" s="78">
        <f t="shared" si="32"/>
        <v>59.150252060733223</v>
      </c>
      <c r="S123" s="79"/>
      <c r="T123" s="80"/>
      <c r="U123" s="80"/>
      <c r="V123" s="80">
        <f t="shared" si="33"/>
        <v>24.288844343598061</v>
      </c>
      <c r="W123" s="94"/>
      <c r="X123" s="80"/>
      <c r="Y123" s="80"/>
      <c r="Z123" s="80">
        <f>(V123-$V$114)/(D122-$D$113)</f>
        <v>0.24082431703583657</v>
      </c>
      <c r="AA123" s="94"/>
      <c r="AB123" s="101"/>
      <c r="AD123" s="81">
        <f>D146</f>
        <v>286.5</v>
      </c>
      <c r="AE123" s="80">
        <f>S148</f>
        <v>51.7235115593964</v>
      </c>
      <c r="AF123" s="80">
        <f>U148</f>
        <v>2.3608513264238828</v>
      </c>
      <c r="AG123" s="80">
        <f>W148</f>
        <v>144.49351701782817</v>
      </c>
      <c r="AH123" s="80">
        <f>Y148</f>
        <v>11.761084344688063</v>
      </c>
    </row>
    <row r="124" spans="2:34" x14ac:dyDescent="0.2">
      <c r="B124" s="208"/>
      <c r="C124" s="205"/>
      <c r="D124" s="227"/>
      <c r="E124" s="151" t="s">
        <v>106</v>
      </c>
      <c r="F124" s="211"/>
      <c r="G124" s="214"/>
      <c r="H124" s="74">
        <f>0.209-F122</f>
        <v>0.16785</v>
      </c>
      <c r="I124" s="76">
        <f>0.2101-F122</f>
        <v>0.16895000000000002</v>
      </c>
      <c r="J124" s="76">
        <f>0.138-G122</f>
        <v>9.7450000000000009E-2</v>
      </c>
      <c r="K124" s="76">
        <f>0.14-G122</f>
        <v>9.9450000000000011E-2</v>
      </c>
      <c r="L124" s="277">
        <f t="shared" si="28"/>
        <v>1.7648743922204214E-2</v>
      </c>
      <c r="M124" s="277">
        <f t="shared" si="29"/>
        <v>1.7630915721231769E-2</v>
      </c>
      <c r="N124" s="76">
        <f t="shared" si="30"/>
        <v>1.7639829821717991E-2</v>
      </c>
      <c r="O124" s="76">
        <v>0.28100000000000003</v>
      </c>
      <c r="P124" s="76">
        <f t="shared" si="31"/>
        <v>0.35394760000000003</v>
      </c>
      <c r="Q124" s="77">
        <f t="shared" si="41"/>
        <v>1.4050000000000003E-4</v>
      </c>
      <c r="R124" s="78">
        <f t="shared" si="32"/>
        <v>62.775195095081806</v>
      </c>
      <c r="S124" s="94">
        <f>AVERAGE(R122:R124)</f>
        <v>60.384952106798131</v>
      </c>
      <c r="T124" s="80">
        <f>STDEV(R122:R124)</f>
        <v>2.0703894848679529</v>
      </c>
      <c r="U124" s="89">
        <f>T124/SQRT(3)</f>
        <v>1.1953399264158833</v>
      </c>
      <c r="V124" s="89">
        <f t="shared" si="33"/>
        <v>22.219129643435977</v>
      </c>
      <c r="W124" s="88">
        <f t="shared" si="35"/>
        <v>23.709248011885467</v>
      </c>
      <c r="X124" s="89">
        <f t="shared" si="36"/>
        <v>1.3010447799958293</v>
      </c>
      <c r="Y124" s="89">
        <f t="shared" si="37"/>
        <v>0.75115855395834952</v>
      </c>
      <c r="Z124" s="89">
        <f>(V124-$V$115)/(D122-$D$113)</f>
        <v>0.2286042564829821</v>
      </c>
      <c r="AA124" s="88">
        <f t="shared" si="39"/>
        <v>0.24104035783960628</v>
      </c>
      <c r="AB124" s="95">
        <f t="shared" si="40"/>
        <v>7.2431575967476522E-3</v>
      </c>
      <c r="AD124" s="81">
        <f>D149</f>
        <v>310.5</v>
      </c>
      <c r="AE124" s="80">
        <f>S151</f>
        <v>65.40614751010493</v>
      </c>
      <c r="AF124" s="80">
        <f>U151</f>
        <v>9.3421876635317584</v>
      </c>
      <c r="AG124" s="80">
        <f>W151</f>
        <v>192.45867098865475</v>
      </c>
      <c r="AH124" s="80">
        <f>Y151</f>
        <v>30.01996333415871</v>
      </c>
    </row>
    <row r="125" spans="2:34" x14ac:dyDescent="0.2">
      <c r="B125" s="206" t="s">
        <v>27</v>
      </c>
      <c r="C125" s="203">
        <v>0.45833333333333331</v>
      </c>
      <c r="D125" s="218">
        <f>22.5+D122</f>
        <v>94.5</v>
      </c>
      <c r="E125" s="104" t="s">
        <v>104</v>
      </c>
      <c r="F125" s="209">
        <f>(0.046+0.0511+0.0509)/3</f>
        <v>4.9333333333333333E-2</v>
      </c>
      <c r="G125" s="212">
        <f>(0.045+0.0494+0.0494)/3</f>
        <v>4.7933333333333328E-2</v>
      </c>
      <c r="H125" s="92">
        <f>0.3008-F125</f>
        <v>0.25146666666666667</v>
      </c>
      <c r="I125" s="96">
        <f>0.284-F125</f>
        <v>0.23466666666666663</v>
      </c>
      <c r="J125" s="96">
        <f>0.2218-G125</f>
        <v>0.17386666666666667</v>
      </c>
      <c r="K125" s="96">
        <f>0.2088-G125</f>
        <v>0.16086666666666669</v>
      </c>
      <c r="L125" s="277">
        <f t="shared" si="28"/>
        <v>2.3707833603457591E-2</v>
      </c>
      <c r="M125" s="277">
        <f t="shared" si="29"/>
        <v>2.2259697460831975E-2</v>
      </c>
      <c r="N125" s="96">
        <f t="shared" si="30"/>
        <v>2.2983765532144783E-2</v>
      </c>
      <c r="O125" s="96">
        <v>0.42599999999999999</v>
      </c>
      <c r="P125" s="76">
        <f t="shared" si="31"/>
        <v>0.5365896</v>
      </c>
      <c r="Q125" s="97">
        <f t="shared" si="41"/>
        <v>2.13E-4</v>
      </c>
      <c r="R125" s="98">
        <f t="shared" si="32"/>
        <v>53.952501249166154</v>
      </c>
      <c r="S125" s="102"/>
      <c r="T125" s="103"/>
      <c r="U125" s="103"/>
      <c r="V125" s="80">
        <f t="shared" si="33"/>
        <v>28.950351064289567</v>
      </c>
      <c r="W125" s="94"/>
      <c r="X125" s="80"/>
      <c r="Y125" s="80"/>
      <c r="Z125" s="80">
        <f t="shared" si="38"/>
        <v>0.23911577794356828</v>
      </c>
      <c r="AA125" s="94"/>
      <c r="AB125" s="101"/>
      <c r="AD125" s="81">
        <f>D152</f>
        <v>334.5</v>
      </c>
      <c r="AE125" s="80">
        <f>S154</f>
        <v>60.671465443431998</v>
      </c>
      <c r="AF125" s="80">
        <f>U154</f>
        <v>3.1918503350718233</v>
      </c>
      <c r="AG125" s="80">
        <f>W154</f>
        <v>180.97528363046999</v>
      </c>
      <c r="AH125" s="80">
        <f>Y154</f>
        <v>4.8993611812326208</v>
      </c>
    </row>
    <row r="126" spans="2:34" ht="15" customHeight="1" x14ac:dyDescent="0.2">
      <c r="B126" s="207"/>
      <c r="C126" s="204"/>
      <c r="D126" s="219"/>
      <c r="E126" s="104" t="s">
        <v>105</v>
      </c>
      <c r="F126" s="210"/>
      <c r="G126" s="213"/>
      <c r="H126" s="74">
        <f>0.4134-F125</f>
        <v>0.36406666666666665</v>
      </c>
      <c r="I126" s="76">
        <f>0.3432-F125</f>
        <v>0.29386666666666666</v>
      </c>
      <c r="J126" s="76">
        <f>0.3375-G125</f>
        <v>0.28956666666666669</v>
      </c>
      <c r="K126" s="76">
        <f>0.2653-G125</f>
        <v>0.21736666666666665</v>
      </c>
      <c r="L126" s="277">
        <f t="shared" si="28"/>
        <v>3.0612452728254993E-2</v>
      </c>
      <c r="M126" s="277">
        <f t="shared" si="29"/>
        <v>2.6314397622906539E-2</v>
      </c>
      <c r="N126" s="76">
        <f t="shared" si="30"/>
        <v>2.8463425175580766E-2</v>
      </c>
      <c r="O126" s="76">
        <v>0.40100000000000002</v>
      </c>
      <c r="P126" s="76">
        <f t="shared" si="31"/>
        <v>0.50509960000000009</v>
      </c>
      <c r="Q126" s="77">
        <f t="shared" si="41"/>
        <v>2.0050000000000002E-4</v>
      </c>
      <c r="R126" s="78">
        <f t="shared" si="32"/>
        <v>70.98111016354305</v>
      </c>
      <c r="S126" s="79"/>
      <c r="V126" s="80">
        <f t="shared" si="33"/>
        <v>35.852530351161533</v>
      </c>
      <c r="W126" s="94"/>
      <c r="X126" s="80"/>
      <c r="Y126" s="80"/>
      <c r="Z126" s="80">
        <f>(V126-$V$114)/(D125-$D$113)</f>
        <v>0.30585224163115032</v>
      </c>
      <c r="AA126" s="94"/>
      <c r="AB126" s="101"/>
      <c r="AD126" s="81">
        <f>D155</f>
        <v>360</v>
      </c>
      <c r="AE126" s="80">
        <f>S157</f>
        <v>48.521230804439163</v>
      </c>
      <c r="AF126" s="80">
        <f>U157</f>
        <v>2.3353840973032325</v>
      </c>
      <c r="AG126" s="80">
        <f>W157</f>
        <v>158.25283630470014</v>
      </c>
      <c r="AH126" s="80">
        <f>Y157</f>
        <v>4.5496604331787633</v>
      </c>
    </row>
    <row r="127" spans="2:34" ht="15" customHeight="1" x14ac:dyDescent="0.2">
      <c r="B127" s="208"/>
      <c r="C127" s="205"/>
      <c r="D127" s="220"/>
      <c r="E127" s="151" t="s">
        <v>106</v>
      </c>
      <c r="F127" s="211"/>
      <c r="G127" s="214"/>
      <c r="H127" s="83">
        <f>0.3219-F125</f>
        <v>0.27256666666666668</v>
      </c>
      <c r="I127" s="85">
        <f>0.3253-F125</f>
        <v>0.27596666666666664</v>
      </c>
      <c r="J127" s="85">
        <f>0.2359-G125</f>
        <v>0.18796666666666667</v>
      </c>
      <c r="K127" s="85">
        <f>0.2345-G125</f>
        <v>0.18656666666666666</v>
      </c>
      <c r="L127" s="277">
        <f t="shared" si="28"/>
        <v>2.574502971366829E-2</v>
      </c>
      <c r="M127" s="277">
        <f t="shared" si="29"/>
        <v>2.6433360345759049E-2</v>
      </c>
      <c r="N127" s="85">
        <f t="shared" si="30"/>
        <v>2.6089195029713672E-2</v>
      </c>
      <c r="O127" s="85">
        <v>0.373</v>
      </c>
      <c r="P127" s="76">
        <f t="shared" si="31"/>
        <v>0.46983079999999999</v>
      </c>
      <c r="Q127" s="86">
        <f t="shared" si="41"/>
        <v>1.8650000000000001E-4</v>
      </c>
      <c r="R127" s="87">
        <f t="shared" si="32"/>
        <v>69.944222599768551</v>
      </c>
      <c r="S127" s="88">
        <f>AVERAGE(R125:R127)</f>
        <v>64.959278004159259</v>
      </c>
      <c r="T127" s="89">
        <f>STDEV(R125:R127)</f>
        <v>9.5462366855043506</v>
      </c>
      <c r="U127" s="89">
        <f>T127/SQRT(3)</f>
        <v>5.5115223201238184</v>
      </c>
      <c r="V127" s="89">
        <f t="shared" si="33"/>
        <v>32.861950059427336</v>
      </c>
      <c r="W127" s="88">
        <f t="shared" si="35"/>
        <v>32.55494382495948</v>
      </c>
      <c r="X127" s="89">
        <f t="shared" si="36"/>
        <v>3.4613161294560633</v>
      </c>
      <c r="Y127" s="89">
        <f t="shared" si="37"/>
        <v>1.9983917990918518</v>
      </c>
      <c r="Z127" s="89">
        <f>(V127-$V$115)/(D125-$D$113)</f>
        <v>0.28679710987054041</v>
      </c>
      <c r="AA127" s="88">
        <f t="shared" si="39"/>
        <v>0.2772550431484197</v>
      </c>
      <c r="AB127" s="95">
        <f t="shared" si="40"/>
        <v>1.9847142316363999E-2</v>
      </c>
      <c r="AD127" s="81">
        <f>D158</f>
        <v>384.5</v>
      </c>
      <c r="AE127" s="80">
        <f>S160</f>
        <v>58.101122377100545</v>
      </c>
      <c r="AF127" s="80">
        <f>U160</f>
        <v>4.8291173901893139</v>
      </c>
      <c r="AG127" s="80">
        <f>W160</f>
        <v>196.86615343057804</v>
      </c>
      <c r="AH127" s="80">
        <f>Y160</f>
        <v>18.2173526413719</v>
      </c>
    </row>
    <row r="128" spans="2:34" x14ac:dyDescent="0.2">
      <c r="B128" s="206" t="s">
        <v>28</v>
      </c>
      <c r="C128" s="203">
        <v>0.45833333333333331</v>
      </c>
      <c r="D128" s="218">
        <f>24+D125</f>
        <v>118.5</v>
      </c>
      <c r="E128" s="104" t="s">
        <v>104</v>
      </c>
      <c r="F128" s="209">
        <f>(0.0435+0.0441+0.0503)/3</f>
        <v>4.5966666666666663E-2</v>
      </c>
      <c r="G128" s="212">
        <f>(0.0432+0.0439+0.0501)/3</f>
        <v>4.5733333333333341E-2</v>
      </c>
      <c r="H128" s="74">
        <f>0.4119-F128</f>
        <v>0.36593333333333333</v>
      </c>
      <c r="I128" s="76">
        <f>0.3892-F128</f>
        <v>0.34323333333333333</v>
      </c>
      <c r="J128" s="76">
        <f>0.2821-G128</f>
        <v>0.23636666666666667</v>
      </c>
      <c r="K128" s="76">
        <f>0.2604-G128</f>
        <v>0.21466666666666667</v>
      </c>
      <c r="L128" s="277">
        <f t="shared" si="28"/>
        <v>3.6131523500810371E-2</v>
      </c>
      <c r="M128" s="277">
        <f t="shared" si="29"/>
        <v>3.458022690437601E-2</v>
      </c>
      <c r="N128" s="76">
        <f t="shared" si="30"/>
        <v>3.5355875202593187E-2</v>
      </c>
      <c r="O128" s="76">
        <v>0.66500000000000004</v>
      </c>
      <c r="P128" s="76">
        <f t="shared" si="31"/>
        <v>0.8376340000000001</v>
      </c>
      <c r="Q128" s="77">
        <f t="shared" si="41"/>
        <v>3.325E-4</v>
      </c>
      <c r="R128" s="78">
        <f t="shared" si="32"/>
        <v>53.166729627959683</v>
      </c>
      <c r="S128" s="79"/>
      <c r="V128" s="80">
        <f t="shared" si="33"/>
        <v>44.534260405186387</v>
      </c>
      <c r="W128" s="94"/>
      <c r="X128" s="80"/>
      <c r="Y128" s="80"/>
      <c r="Z128" s="80">
        <f t="shared" si="38"/>
        <v>0.32219704942248117</v>
      </c>
      <c r="AA128" s="94"/>
      <c r="AB128" s="101"/>
      <c r="AD128" s="81">
        <f>D161</f>
        <v>408</v>
      </c>
      <c r="AE128" s="80">
        <f>S163</f>
        <v>56.414432623914706</v>
      </c>
      <c r="AF128" s="80">
        <f>U163</f>
        <v>6.6593083394519459</v>
      </c>
      <c r="AG128" s="80">
        <f>W163</f>
        <v>196.78349540788767</v>
      </c>
      <c r="AH128" s="80">
        <f>Y163</f>
        <v>27.105178334225304</v>
      </c>
    </row>
    <row r="129" spans="2:34" x14ac:dyDescent="0.2">
      <c r="B129" s="207"/>
      <c r="C129" s="204"/>
      <c r="D129" s="219"/>
      <c r="E129" s="104" t="s">
        <v>105</v>
      </c>
      <c r="F129" s="210"/>
      <c r="G129" s="213"/>
      <c r="H129" s="74">
        <f>0.546-F128</f>
        <v>0.50003333333333333</v>
      </c>
      <c r="I129" s="76">
        <f>0.379-F128</f>
        <v>0.33303333333333335</v>
      </c>
      <c r="J129" s="76">
        <f>0.42-G128</f>
        <v>0.37426666666666664</v>
      </c>
      <c r="K129" s="76">
        <f>0.2646-G128</f>
        <v>0.21886666666666665</v>
      </c>
      <c r="L129" s="277">
        <f t="shared" si="28"/>
        <v>4.4343922204213938E-2</v>
      </c>
      <c r="M129" s="277">
        <f t="shared" si="29"/>
        <v>3.2515235008103729E-2</v>
      </c>
      <c r="N129" s="76">
        <f t="shared" si="30"/>
        <v>3.8429578606158837E-2</v>
      </c>
      <c r="O129" s="76">
        <v>0.69799999999999995</v>
      </c>
      <c r="P129" s="76">
        <f t="shared" si="31"/>
        <v>0.8792008</v>
      </c>
      <c r="Q129" s="77">
        <f t="shared" si="41"/>
        <v>3.4899999999999997E-4</v>
      </c>
      <c r="R129" s="78">
        <f t="shared" si="32"/>
        <v>55.056702874153068</v>
      </c>
      <c r="S129" s="79"/>
      <c r="V129" s="80">
        <f t="shared" si="33"/>
        <v>48.405897212317676</v>
      </c>
      <c r="W129" s="94"/>
      <c r="X129" s="80"/>
      <c r="Y129" s="80"/>
      <c r="Z129" s="80">
        <f>(V129-$V$114)/(D128-$D$113)</f>
        <v>0.34984306915864849</v>
      </c>
      <c r="AA129" s="94"/>
      <c r="AB129" s="101"/>
      <c r="AD129" s="81"/>
      <c r="AE129" s="80"/>
      <c r="AF129" s="80"/>
      <c r="AG129" s="80"/>
      <c r="AH129" s="80"/>
    </row>
    <row r="130" spans="2:34" x14ac:dyDescent="0.2">
      <c r="B130" s="208"/>
      <c r="C130" s="205"/>
      <c r="D130" s="220"/>
      <c r="E130" s="151" t="s">
        <v>106</v>
      </c>
      <c r="F130" s="211"/>
      <c r="G130" s="214"/>
      <c r="H130" s="74">
        <f>0.3624-F128</f>
        <v>0.31643333333333334</v>
      </c>
      <c r="I130" s="76">
        <f>0.3556-F128</f>
        <v>0.30963333333333337</v>
      </c>
      <c r="J130" s="76">
        <f>0.2259-G128</f>
        <v>0.18016666666666664</v>
      </c>
      <c r="K130" s="76">
        <f>0.2178-G128</f>
        <v>0.17206666666666665</v>
      </c>
      <c r="L130" s="277">
        <f t="shared" si="28"/>
        <v>3.361952998379255E-2</v>
      </c>
      <c r="M130" s="277">
        <f t="shared" si="29"/>
        <v>3.3311669367909247E-2</v>
      </c>
      <c r="N130" s="76">
        <f t="shared" si="30"/>
        <v>3.3465599675850902E-2</v>
      </c>
      <c r="O130" s="76">
        <v>0.60599999999999998</v>
      </c>
      <c r="P130" s="76">
        <f t="shared" si="31"/>
        <v>0.76331760000000004</v>
      </c>
      <c r="Q130" s="77">
        <f t="shared" si="41"/>
        <v>3.0299999999999999E-4</v>
      </c>
      <c r="R130" s="78">
        <f t="shared" si="32"/>
        <v>55.223761841338124</v>
      </c>
      <c r="S130" s="94">
        <f>AVERAGE(R128:R130)</f>
        <v>54.48239811448363</v>
      </c>
      <c r="T130" s="80">
        <f>STDEV(R128:R130)</f>
        <v>1.1424599990605295</v>
      </c>
      <c r="U130" s="89">
        <f>T130/SQRT(3)</f>
        <v>0.6595995879959764</v>
      </c>
      <c r="V130" s="89">
        <f t="shared" si="33"/>
        <v>42.153269351701802</v>
      </c>
      <c r="W130" s="88">
        <f t="shared" si="35"/>
        <v>45.031142323068622</v>
      </c>
      <c r="X130" s="89">
        <f t="shared" si="36"/>
        <v>3.1557895242040788</v>
      </c>
      <c r="Y130" s="89">
        <f t="shared" si="37"/>
        <v>1.821995931305026</v>
      </c>
      <c r="Z130" s="89">
        <f>(V130-$V$115)/(D128-$D$113)</f>
        <v>0.30711937700456149</v>
      </c>
      <c r="AA130" s="88">
        <f t="shared" si="39"/>
        <v>0.32638649852856372</v>
      </c>
      <c r="AB130" s="95">
        <f t="shared" si="40"/>
        <v>1.2509890496171962E-2</v>
      </c>
    </row>
    <row r="131" spans="2:34" x14ac:dyDescent="0.2">
      <c r="B131" s="206" t="s">
        <v>29</v>
      </c>
      <c r="C131" s="203">
        <v>0.45833333333333331</v>
      </c>
      <c r="D131" s="218">
        <f>24+D128</f>
        <v>142.5</v>
      </c>
      <c r="E131" s="104" t="s">
        <v>104</v>
      </c>
      <c r="F131" s="209">
        <f>(0.0423+0.0501)/2</f>
        <v>4.6199999999999998E-2</v>
      </c>
      <c r="G131" s="212">
        <f>(0.0402+0.0474)/2</f>
        <v>4.3799999999999999E-2</v>
      </c>
      <c r="H131" s="92">
        <f>0.322-F131</f>
        <v>0.27579999999999999</v>
      </c>
      <c r="I131" s="96">
        <f>0.31-F131</f>
        <v>0.26379999999999998</v>
      </c>
      <c r="J131" s="96">
        <f>0.2145-G131</f>
        <v>0.17069999999999999</v>
      </c>
      <c r="K131" s="96">
        <f>0.2033-G131</f>
        <v>0.1595</v>
      </c>
      <c r="L131" s="277">
        <f t="shared" si="28"/>
        <v>2.7962155591572124E-2</v>
      </c>
      <c r="M131" s="277">
        <f t="shared" si="29"/>
        <v>2.7115478119935164E-2</v>
      </c>
      <c r="N131" s="96">
        <f t="shared" si="30"/>
        <v>2.7538816855753642E-2</v>
      </c>
      <c r="O131" s="96">
        <v>1.0720000000000001</v>
      </c>
      <c r="P131" s="76">
        <f t="shared" si="31"/>
        <v>1.3502912000000002</v>
      </c>
      <c r="Q131" s="97">
        <f>O131*0.25/1000</f>
        <v>2.6800000000000001E-4</v>
      </c>
      <c r="R131" s="98">
        <f t="shared" si="32"/>
        <v>51.378389656256793</v>
      </c>
      <c r="S131" s="102"/>
      <c r="T131" s="103"/>
      <c r="U131" s="103"/>
      <c r="V131" s="80">
        <f t="shared" si="33"/>
        <v>69.375787423014586</v>
      </c>
      <c r="W131" s="94"/>
      <c r="X131" s="80"/>
      <c r="Y131" s="80"/>
      <c r="Z131" s="80">
        <f t="shared" si="38"/>
        <v>0.44225878859222612</v>
      </c>
      <c r="AA131" s="94"/>
      <c r="AB131" s="101"/>
      <c r="AE131" s="80"/>
      <c r="AF131" s="80"/>
      <c r="AG131" s="80"/>
      <c r="AH131" s="80"/>
    </row>
    <row r="132" spans="2:34" x14ac:dyDescent="0.2">
      <c r="B132" s="207"/>
      <c r="C132" s="204"/>
      <c r="D132" s="219"/>
      <c r="E132" s="104" t="s">
        <v>105</v>
      </c>
      <c r="F132" s="210"/>
      <c r="G132" s="213"/>
      <c r="H132" s="74">
        <f>0.3609-F131</f>
        <v>0.31469999999999998</v>
      </c>
      <c r="I132" s="76">
        <f>0.3712-F131</f>
        <v>0.32499999999999996</v>
      </c>
      <c r="J132" s="76">
        <f>0.23-G131</f>
        <v>0.1862</v>
      </c>
      <c r="K132" s="76">
        <f>0.2414-G131</f>
        <v>0.1976</v>
      </c>
      <c r="L132" s="277">
        <f t="shared" si="28"/>
        <v>3.2747001620745543E-2</v>
      </c>
      <c r="M132" s="277">
        <f t="shared" si="29"/>
        <v>3.329854132901134E-2</v>
      </c>
      <c r="N132" s="76">
        <f t="shared" si="30"/>
        <v>3.3022771474878441E-2</v>
      </c>
      <c r="O132" s="76">
        <v>0.95699999999999996</v>
      </c>
      <c r="P132" s="76">
        <f t="shared" si="31"/>
        <v>1.2054372</v>
      </c>
      <c r="Q132" s="77">
        <f>O132*0.25/1000</f>
        <v>2.3924999999999999E-4</v>
      </c>
      <c r="R132" s="78">
        <f t="shared" si="32"/>
        <v>69.013106530571463</v>
      </c>
      <c r="S132" s="79"/>
      <c r="V132" s="80">
        <f t="shared" si="33"/>
        <v>83.190965899513785</v>
      </c>
      <c r="W132" s="94"/>
      <c r="X132" s="80"/>
      <c r="Y132" s="80"/>
      <c r="Z132" s="80">
        <f>(V132-$V$114)/(D131-$D$113)</f>
        <v>0.53502787636839266</v>
      </c>
      <c r="AA132" s="94"/>
      <c r="AB132" s="101"/>
      <c r="AE132" s="80"/>
      <c r="AF132" s="80"/>
      <c r="AG132" s="80"/>
      <c r="AH132" s="80"/>
    </row>
    <row r="133" spans="2:34" x14ac:dyDescent="0.2">
      <c r="B133" s="208"/>
      <c r="C133" s="205"/>
      <c r="D133" s="220"/>
      <c r="E133" s="151" t="s">
        <v>106</v>
      </c>
      <c r="F133" s="211"/>
      <c r="G133" s="214"/>
      <c r="H133" s="74">
        <f>0.278-F131</f>
        <v>0.23180000000000003</v>
      </c>
      <c r="I133" s="76">
        <f>0.295-F131</f>
        <v>0.24879999999999999</v>
      </c>
      <c r="J133" s="76">
        <f>0.1825-G131</f>
        <v>0.13869999999999999</v>
      </c>
      <c r="K133" s="76">
        <f>0.1976-G131</f>
        <v>0.15379999999999999</v>
      </c>
      <c r="L133" s="277">
        <f t="shared" si="28"/>
        <v>2.3968638573743928E-2</v>
      </c>
      <c r="M133" s="277">
        <f t="shared" si="29"/>
        <v>2.524327390599676E-2</v>
      </c>
      <c r="N133" s="76">
        <f t="shared" si="30"/>
        <v>2.4605956239870344E-2</v>
      </c>
      <c r="O133" s="76">
        <v>0.85899999999999999</v>
      </c>
      <c r="P133" s="76">
        <f t="shared" si="31"/>
        <v>1.0819964</v>
      </c>
      <c r="Q133" s="77">
        <f>O133*0.25/1000</f>
        <v>2.1474999999999999E-4</v>
      </c>
      <c r="R133" s="78">
        <f t="shared" si="32"/>
        <v>57.289770057905343</v>
      </c>
      <c r="S133" s="94">
        <f>AVERAGE(R131:R133)</f>
        <v>59.227088748244533</v>
      </c>
      <c r="T133" s="80">
        <f>STDEV(R131:R133)</f>
        <v>8.9755619651508951</v>
      </c>
      <c r="U133" s="89">
        <f>T133/SQRT(3)</f>
        <v>5.1820431167080363</v>
      </c>
      <c r="V133" s="89">
        <f t="shared" si="33"/>
        <v>61.98732495948137</v>
      </c>
      <c r="W133" s="88">
        <f t="shared" si="35"/>
        <v>71.518026094003247</v>
      </c>
      <c r="X133" s="89">
        <f t="shared" si="36"/>
        <v>10.762921869597619</v>
      </c>
      <c r="Y133" s="89">
        <f t="shared" si="37"/>
        <v>6.2139758386790964</v>
      </c>
      <c r="Z133" s="89">
        <f>(V133-$V$115)/(D131-$D$113)</f>
        <v>0.39458036338821129</v>
      </c>
      <c r="AA133" s="88">
        <f t="shared" si="39"/>
        <v>0.45728900944961004</v>
      </c>
      <c r="AB133" s="95">
        <f t="shared" si="40"/>
        <v>4.123431673515722E-2</v>
      </c>
    </row>
    <row r="134" spans="2:34" x14ac:dyDescent="0.2">
      <c r="B134" s="206" t="s">
        <v>30</v>
      </c>
      <c r="C134" s="203">
        <v>0.45833333333333331</v>
      </c>
      <c r="D134" s="218">
        <f>24+D131</f>
        <v>166.5</v>
      </c>
      <c r="E134" s="104" t="s">
        <v>104</v>
      </c>
      <c r="F134" s="209">
        <f>(0.0379+0.0475)/2</f>
        <v>4.2700000000000002E-2</v>
      </c>
      <c r="G134" s="212">
        <f>(0.0375+0.0463)/2</f>
        <v>4.19E-2</v>
      </c>
      <c r="H134" s="92">
        <f>0.2651-F134</f>
        <v>0.22239999999999999</v>
      </c>
      <c r="I134" s="96">
        <f>0.2463-F134</f>
        <v>0.2036</v>
      </c>
      <c r="J134" s="96">
        <f>0.1797-G134</f>
        <v>0.13780000000000001</v>
      </c>
      <c r="K134" s="96">
        <f>0.1616-G134</f>
        <v>0.1197</v>
      </c>
      <c r="L134" s="277">
        <f t="shared" si="28"/>
        <v>2.2533387358184762E-2</v>
      </c>
      <c r="M134" s="277">
        <f t="shared" si="29"/>
        <v>2.1261183144246354E-2</v>
      </c>
      <c r="N134" s="96">
        <f t="shared" si="30"/>
        <v>2.1897285251215558E-2</v>
      </c>
      <c r="O134" s="96">
        <v>1.23</v>
      </c>
      <c r="P134" s="76">
        <f t="shared" si="31"/>
        <v>1.5493080000000001</v>
      </c>
      <c r="Q134" s="97">
        <f t="shared" ref="Q134:Q139" si="42">P134*0.125/1000</f>
        <v>1.9366350000000001E-4</v>
      </c>
      <c r="R134" s="98">
        <f t="shared" si="32"/>
        <v>56.534363086527804</v>
      </c>
      <c r="S134" s="102"/>
      <c r="T134" s="103"/>
      <c r="U134" s="103"/>
      <c r="V134" s="80">
        <f t="shared" si="33"/>
        <v>87.589141004862228</v>
      </c>
      <c r="W134" s="94"/>
      <c r="X134" s="80"/>
      <c r="Y134" s="80"/>
      <c r="Z134" s="80">
        <f t="shared" si="38"/>
        <v>0.4878992850224616</v>
      </c>
      <c r="AA134" s="94"/>
      <c r="AB134" s="101"/>
    </row>
    <row r="135" spans="2:34" x14ac:dyDescent="0.2">
      <c r="B135" s="207"/>
      <c r="C135" s="204"/>
      <c r="D135" s="219"/>
      <c r="E135" s="104" t="s">
        <v>105</v>
      </c>
      <c r="F135" s="210"/>
      <c r="G135" s="213"/>
      <c r="H135" s="74">
        <f>0.2212-F134</f>
        <v>0.17849999999999999</v>
      </c>
      <c r="I135" s="76">
        <f>0.2156-F134</f>
        <v>0.1729</v>
      </c>
      <c r="J135" s="76">
        <f>0.1489-G134</f>
        <v>0.10700000000000001</v>
      </c>
      <c r="K135" s="76">
        <f>0.1436-G134</f>
        <v>0.10170000000000001</v>
      </c>
      <c r="L135" s="277">
        <f t="shared" si="28"/>
        <v>1.8438411669367907E-2</v>
      </c>
      <c r="M135" s="277">
        <f t="shared" si="29"/>
        <v>1.8050486223662881E-2</v>
      </c>
      <c r="N135" s="76">
        <f t="shared" si="30"/>
        <v>1.8244448946515394E-2</v>
      </c>
      <c r="O135" s="76">
        <v>1.081</v>
      </c>
      <c r="P135" s="76">
        <f t="shared" si="31"/>
        <v>1.3616276</v>
      </c>
      <c r="Q135" s="77">
        <f t="shared" si="42"/>
        <v>1.7020345E-4</v>
      </c>
      <c r="R135" s="78">
        <f t="shared" si="32"/>
        <v>53.596002156582003</v>
      </c>
      <c r="S135" s="79"/>
      <c r="V135" s="80">
        <f t="shared" si="33"/>
        <v>72.977795786061577</v>
      </c>
      <c r="W135" s="94"/>
      <c r="X135" s="80"/>
      <c r="Y135" s="80"/>
      <c r="Z135" s="80">
        <f>(V135-$V$114)/(D134-$D$113)</f>
        <v>0.39656637999425676</v>
      </c>
      <c r="AA135" s="94"/>
      <c r="AB135" s="101"/>
    </row>
    <row r="136" spans="2:34" x14ac:dyDescent="0.2">
      <c r="B136" s="208"/>
      <c r="C136" s="205"/>
      <c r="D136" s="220"/>
      <c r="E136" s="151" t="s">
        <v>106</v>
      </c>
      <c r="F136" s="211"/>
      <c r="G136" s="214"/>
      <c r="H136" s="74">
        <f>0.1947-F134</f>
        <v>0.15200000000000002</v>
      </c>
      <c r="I136" s="76">
        <f>0.2053-F134</f>
        <v>0.16260000000000002</v>
      </c>
      <c r="J136" s="76">
        <f>0.1318-G134</f>
        <v>8.9900000000000008E-2</v>
      </c>
      <c r="K136" s="76">
        <f>0.1398-G134</f>
        <v>9.7900000000000015E-2</v>
      </c>
      <c r="L136" s="277">
        <f t="shared" si="28"/>
        <v>1.5820178282009729E-2</v>
      </c>
      <c r="M136" s="277">
        <f t="shared" si="29"/>
        <v>1.6753727714748787E-2</v>
      </c>
      <c r="N136" s="76">
        <f t="shared" si="30"/>
        <v>1.6286952998379258E-2</v>
      </c>
      <c r="O136" s="76">
        <v>0.96899999999999997</v>
      </c>
      <c r="P136" s="76">
        <f t="shared" si="31"/>
        <v>1.2205524000000001</v>
      </c>
      <c r="Q136" s="77">
        <f t="shared" si="42"/>
        <v>1.5256905000000001E-4</v>
      </c>
      <c r="R136" s="78">
        <f t="shared" si="32"/>
        <v>53.375678089295491</v>
      </c>
      <c r="S136" s="94">
        <f>AVERAGE(R134:R136)</f>
        <v>54.502014444135092</v>
      </c>
      <c r="T136" s="80">
        <f>STDEV(R134:R136)</f>
        <v>1.7635096900309397</v>
      </c>
      <c r="U136" s="89">
        <f>T136/SQRT(3)</f>
        <v>1.0181627942578766</v>
      </c>
      <c r="V136" s="89">
        <f t="shared" si="33"/>
        <v>65.147811993517024</v>
      </c>
      <c r="W136" s="88">
        <f t="shared" si="35"/>
        <v>75.23824959481361</v>
      </c>
      <c r="X136" s="89">
        <f t="shared" si="36"/>
        <v>11.390151470238939</v>
      </c>
      <c r="Y136" s="89">
        <f t="shared" si="37"/>
        <v>6.5761070174530634</v>
      </c>
      <c r="Z136" s="89">
        <f>(V136-$V$115)/(D134-$D$113)</f>
        <v>0.35668581871985439</v>
      </c>
      <c r="AA136" s="88">
        <f t="shared" si="39"/>
        <v>0.41371716124552432</v>
      </c>
      <c r="AB136" s="95">
        <f t="shared" si="40"/>
        <v>3.8836646816861456E-2</v>
      </c>
    </row>
    <row r="137" spans="2:34" x14ac:dyDescent="0.2">
      <c r="B137" s="206" t="s">
        <v>31</v>
      </c>
      <c r="C137" s="203">
        <v>0.4375</v>
      </c>
      <c r="D137" s="215">
        <f>23.5+D134</f>
        <v>190</v>
      </c>
      <c r="E137" s="104" t="s">
        <v>104</v>
      </c>
      <c r="F137" s="209">
        <f>(0.0433+0.0489+0.0503)/3</f>
        <v>4.7500000000000007E-2</v>
      </c>
      <c r="G137" s="212">
        <f>(0.0414+0.0468+0.0487)/3</f>
        <v>4.5633333333333331E-2</v>
      </c>
      <c r="H137" s="92">
        <f>0.2877-F137</f>
        <v>0.2402</v>
      </c>
      <c r="I137" s="96">
        <f>0.2923-F137</f>
        <v>0.24479999999999999</v>
      </c>
      <c r="J137" s="96">
        <f>0.176-G137</f>
        <v>0.13036666666666666</v>
      </c>
      <c r="K137" s="96">
        <f>0.1835-G137</f>
        <v>0.13786666666666667</v>
      </c>
      <c r="L137" s="277">
        <f t="shared" si="28"/>
        <v>2.6147190707725552E-2</v>
      </c>
      <c r="M137" s="277">
        <f t="shared" si="29"/>
        <v>2.6157320367368987E-2</v>
      </c>
      <c r="N137" s="96">
        <f t="shared" si="30"/>
        <v>2.615225553754727E-2</v>
      </c>
      <c r="O137" s="96">
        <v>1.325</v>
      </c>
      <c r="P137" s="76">
        <f t="shared" si="31"/>
        <v>1.6689700000000001</v>
      </c>
      <c r="Q137" s="97">
        <f t="shared" si="42"/>
        <v>2.0862125000000001E-4</v>
      </c>
      <c r="R137" s="98">
        <f t="shared" si="32"/>
        <v>62.678791200674112</v>
      </c>
      <c r="S137" s="102"/>
      <c r="T137" s="103"/>
      <c r="U137" s="103"/>
      <c r="V137" s="80">
        <f t="shared" si="33"/>
        <v>104.60902215018908</v>
      </c>
      <c r="W137" s="94"/>
      <c r="X137" s="80"/>
      <c r="Y137" s="80"/>
      <c r="Z137" s="80">
        <f t="shared" si="38"/>
        <v>0.51713216895561431</v>
      </c>
      <c r="AA137" s="94"/>
      <c r="AB137" s="101"/>
    </row>
    <row r="138" spans="2:34" x14ac:dyDescent="0.2">
      <c r="B138" s="207"/>
      <c r="C138" s="204"/>
      <c r="D138" s="216"/>
      <c r="E138" s="104" t="s">
        <v>105</v>
      </c>
      <c r="F138" s="210"/>
      <c r="G138" s="213"/>
      <c r="H138" s="74">
        <f>0.387-F137</f>
        <v>0.33950000000000002</v>
      </c>
      <c r="I138" s="76">
        <f>0.274-F137</f>
        <v>0.22650000000000001</v>
      </c>
      <c r="J138" s="76">
        <f>0.2947-G137</f>
        <v>0.24906666666666669</v>
      </c>
      <c r="K138" s="76">
        <f>0.1843-G137</f>
        <v>0.13866666666666666</v>
      </c>
      <c r="L138" s="277">
        <f t="shared" si="28"/>
        <v>3.0602052944354405E-2</v>
      </c>
      <c r="M138" s="277">
        <f t="shared" si="29"/>
        <v>2.3112911939492164E-2</v>
      </c>
      <c r="N138" s="76">
        <f t="shared" si="30"/>
        <v>2.6857482441923285E-2</v>
      </c>
      <c r="O138" s="76">
        <v>1.2849999999999999</v>
      </c>
      <c r="P138" s="76">
        <f t="shared" si="31"/>
        <v>1.6185859999999999</v>
      </c>
      <c r="Q138" s="77">
        <f t="shared" si="42"/>
        <v>2.0232324999999997E-4</v>
      </c>
      <c r="R138" s="78">
        <f t="shared" si="32"/>
        <v>66.37270417987871</v>
      </c>
      <c r="S138" s="79"/>
      <c r="V138" s="80">
        <f t="shared" si="33"/>
        <v>107.42992976769315</v>
      </c>
      <c r="W138" s="94"/>
      <c r="X138" s="80"/>
      <c r="Y138" s="80"/>
      <c r="Z138" s="80">
        <f>(V138-$V$114)/(D137-$D$113)</f>
        <v>0.52884440131934385</v>
      </c>
      <c r="AA138" s="94"/>
      <c r="AB138" s="101"/>
    </row>
    <row r="139" spans="2:34" x14ac:dyDescent="0.2">
      <c r="B139" s="208"/>
      <c r="C139" s="205"/>
      <c r="D139" s="217"/>
      <c r="E139" s="151" t="s">
        <v>106</v>
      </c>
      <c r="F139" s="211"/>
      <c r="G139" s="214"/>
      <c r="H139" s="74">
        <f>0.2714-F137</f>
        <v>0.22389999999999996</v>
      </c>
      <c r="I139" s="76">
        <f>0.2593-F137</f>
        <v>0.21179999999999996</v>
      </c>
      <c r="J139" s="76">
        <f>0.1761-G137</f>
        <v>0.13046666666666668</v>
      </c>
      <c r="K139" s="76">
        <f>0.1651-G137</f>
        <v>0.11946666666666667</v>
      </c>
      <c r="L139" s="277">
        <f t="shared" si="28"/>
        <v>2.3495569962182595E-2</v>
      </c>
      <c r="M139" s="277">
        <f t="shared" si="29"/>
        <v>2.2613074014046455E-2</v>
      </c>
      <c r="N139" s="76">
        <f t="shared" si="30"/>
        <v>2.3054321988114523E-2</v>
      </c>
      <c r="O139" s="76">
        <v>1.1639999999999999</v>
      </c>
      <c r="P139" s="76">
        <f t="shared" si="31"/>
        <v>1.4661743999999999</v>
      </c>
      <c r="Q139" s="77">
        <f t="shared" si="42"/>
        <v>1.8327179999999999E-4</v>
      </c>
      <c r="R139" s="78">
        <f t="shared" si="32"/>
        <v>62.896533967895017</v>
      </c>
      <c r="S139" s="94">
        <f>AVERAGE(R137:R139)</f>
        <v>63.982676449482604</v>
      </c>
      <c r="T139" s="80">
        <f>STDEV(R137:R139)</f>
        <v>2.0726860331984658</v>
      </c>
      <c r="U139" s="89">
        <f>T139/SQRT(3)</f>
        <v>1.1966658392127119</v>
      </c>
      <c r="V139" s="89">
        <f t="shared" si="33"/>
        <v>92.217287952458094</v>
      </c>
      <c r="W139" s="88">
        <f t="shared" si="35"/>
        <v>101.41874662344678</v>
      </c>
      <c r="X139" s="89">
        <f t="shared" si="36"/>
        <v>8.0925590020745428</v>
      </c>
      <c r="Y139" s="89">
        <f t="shared" si="37"/>
        <v>4.6722411182806667</v>
      </c>
      <c r="Z139" s="89">
        <f>(V139-$V$115)/(D137-$D$113)</f>
        <v>0.45504034092524648</v>
      </c>
      <c r="AA139" s="88">
        <f t="shared" si="39"/>
        <v>0.50033897040006814</v>
      </c>
      <c r="AB139" s="95">
        <f t="shared" si="40"/>
        <v>2.2900279990707467E-2</v>
      </c>
    </row>
    <row r="140" spans="2:34" x14ac:dyDescent="0.2">
      <c r="B140" s="206" t="s">
        <v>32</v>
      </c>
      <c r="C140" s="203">
        <v>0.4375</v>
      </c>
      <c r="D140" s="215">
        <f>24+D137</f>
        <v>214</v>
      </c>
      <c r="E140" s="104" t="s">
        <v>104</v>
      </c>
      <c r="F140" s="209">
        <f>(0.0494+0.0498)/2</f>
        <v>4.9599999999999998E-2</v>
      </c>
      <c r="G140" s="212">
        <f>(0.0475+0.0482)/2</f>
        <v>4.7850000000000004E-2</v>
      </c>
      <c r="H140" s="92">
        <f>0.3008-F140</f>
        <v>0.25120000000000003</v>
      </c>
      <c r="I140" s="96">
        <f>0.2578-F140</f>
        <v>0.20819999999999997</v>
      </c>
      <c r="J140" s="96">
        <f>0.2169-G140</f>
        <v>0.16905000000000001</v>
      </c>
      <c r="K140" s="96">
        <f>0.1771-G140</f>
        <v>0.12925</v>
      </c>
      <c r="L140" s="277">
        <f t="shared" si="28"/>
        <v>2.4136912479740688E-2</v>
      </c>
      <c r="M140" s="277">
        <f t="shared" si="29"/>
        <v>2.1070299837925442E-2</v>
      </c>
      <c r="N140" s="96">
        <f t="shared" si="30"/>
        <v>2.2603606158833063E-2</v>
      </c>
      <c r="O140" s="96">
        <v>1.62</v>
      </c>
      <c r="P140" s="76">
        <f t="shared" si="31"/>
        <v>2.0405520000000004</v>
      </c>
      <c r="Q140" s="97">
        <f t="shared" ref="Q140:Q142" si="43">P140*0.1/1000</f>
        <v>2.0405520000000004E-4</v>
      </c>
      <c r="R140" s="98">
        <f t="shared" si="32"/>
        <v>55.386008684985875</v>
      </c>
      <c r="S140" s="102"/>
      <c r="T140" s="103"/>
      <c r="U140" s="103"/>
      <c r="V140" s="80">
        <f t="shared" si="33"/>
        <v>113.01803079416531</v>
      </c>
      <c r="W140" s="94"/>
      <c r="X140" s="80"/>
      <c r="Y140" s="80"/>
      <c r="Z140" s="80">
        <f t="shared" si="38"/>
        <v>0.49843047077356517</v>
      </c>
      <c r="AA140" s="94"/>
      <c r="AB140" s="101"/>
    </row>
    <row r="141" spans="2:34" x14ac:dyDescent="0.2">
      <c r="B141" s="207"/>
      <c r="C141" s="204"/>
      <c r="D141" s="216"/>
      <c r="E141" s="104" t="s">
        <v>105</v>
      </c>
      <c r="F141" s="210"/>
      <c r="G141" s="213"/>
      <c r="H141" s="74">
        <f>0.3401-F140</f>
        <v>0.29050000000000004</v>
      </c>
      <c r="I141" s="76">
        <f>0.2188-F140</f>
        <v>0.16919999999999999</v>
      </c>
      <c r="J141" s="76">
        <f>0.2728-G140</f>
        <v>0.22494999999999998</v>
      </c>
      <c r="K141" s="76">
        <f>0.1548-G140</f>
        <v>0.10694999999999999</v>
      </c>
      <c r="L141" s="277">
        <f t="shared" si="28"/>
        <v>2.5025162074554304E-2</v>
      </c>
      <c r="M141" s="277">
        <f t="shared" si="29"/>
        <v>1.6936021069692057E-2</v>
      </c>
      <c r="N141" s="76">
        <f t="shared" si="30"/>
        <v>2.0980591572123182E-2</v>
      </c>
      <c r="O141" s="76">
        <v>1.464</v>
      </c>
      <c r="P141" s="76">
        <f t="shared" si="31"/>
        <v>1.8440544000000001</v>
      </c>
      <c r="Q141" s="77">
        <f t="shared" si="43"/>
        <v>1.8440544000000004E-4</v>
      </c>
      <c r="R141" s="78">
        <f t="shared" si="32"/>
        <v>56.887127549282653</v>
      </c>
      <c r="S141" s="79"/>
      <c r="V141" s="80">
        <f t="shared" si="33"/>
        <v>104.9029578606159</v>
      </c>
      <c r="W141" s="94"/>
      <c r="X141" s="80"/>
      <c r="Y141" s="80"/>
      <c r="Z141" s="80">
        <f>(V141-$V$114)/(D140-$D$113)</f>
        <v>0.45772646889531809</v>
      </c>
      <c r="AA141" s="94"/>
      <c r="AB141" s="101"/>
    </row>
    <row r="142" spans="2:34" x14ac:dyDescent="0.2">
      <c r="B142" s="208"/>
      <c r="C142" s="205"/>
      <c r="D142" s="217"/>
      <c r="E142" s="151" t="s">
        <v>106</v>
      </c>
      <c r="F142" s="211"/>
      <c r="G142" s="214"/>
      <c r="H142" s="74">
        <f>0.2-F140</f>
        <v>0.15040000000000001</v>
      </c>
      <c r="I142" s="76">
        <f>0.1983-F140</f>
        <v>0.1487</v>
      </c>
      <c r="J142" s="76">
        <f>0.1464-G140</f>
        <v>9.8549999999999999E-2</v>
      </c>
      <c r="K142" s="76">
        <f>0.1434-G140</f>
        <v>9.5549999999999996E-2</v>
      </c>
      <c r="L142" s="277">
        <f t="shared" si="28"/>
        <v>1.4712682333873583E-2</v>
      </c>
      <c r="M142" s="277">
        <f t="shared" si="29"/>
        <v>1.4731320907617506E-2</v>
      </c>
      <c r="N142" s="76">
        <f t="shared" si="30"/>
        <v>1.4722001620745544E-2</v>
      </c>
      <c r="O142" s="76">
        <v>1.3640000000000001</v>
      </c>
      <c r="P142" s="76">
        <f t="shared" si="31"/>
        <v>1.7180944000000002</v>
      </c>
      <c r="Q142" s="77">
        <f t="shared" si="43"/>
        <v>1.7180944000000004E-4</v>
      </c>
      <c r="R142" s="78">
        <f t="shared" si="32"/>
        <v>42.843983487593988</v>
      </c>
      <c r="S142" s="94">
        <f>AVERAGE(R140:R142)</f>
        <v>51.705706573954167</v>
      </c>
      <c r="T142" s="80">
        <f>STDEV(R140:R142)</f>
        <v>7.711092108494352</v>
      </c>
      <c r="U142" s="89">
        <f>T142/SQRT(3)</f>
        <v>4.4520011045852135</v>
      </c>
      <c r="V142" s="89">
        <f t="shared" si="33"/>
        <v>73.610008103727708</v>
      </c>
      <c r="W142" s="88">
        <f t="shared" si="35"/>
        <v>97.176998919502978</v>
      </c>
      <c r="X142" s="89">
        <f t="shared" si="36"/>
        <v>20.809033957931177</v>
      </c>
      <c r="Y142" s="89">
        <f t="shared" si="37"/>
        <v>12.014101357187629</v>
      </c>
      <c r="Z142" s="89">
        <f>(V142-$V$115)/(D140-$D$113)</f>
        <v>0.3170578734909647</v>
      </c>
      <c r="AA142" s="88">
        <f t="shared" si="39"/>
        <v>0.4244049377199493</v>
      </c>
      <c r="AB142" s="95">
        <f t="shared" si="40"/>
        <v>5.4944663347657997E-2</v>
      </c>
    </row>
    <row r="143" spans="2:34" x14ac:dyDescent="0.2">
      <c r="B143" s="206" t="s">
        <v>33</v>
      </c>
      <c r="C143" s="203">
        <v>0.45833333333333331</v>
      </c>
      <c r="D143" s="215">
        <f>48.5+D140</f>
        <v>262.5</v>
      </c>
      <c r="E143" s="104" t="s">
        <v>104</v>
      </c>
      <c r="F143" s="209">
        <f>(0.039+0.0502)/2</f>
        <v>4.4600000000000001E-2</v>
      </c>
      <c r="G143" s="212">
        <f>(0.0378+0.0486)/2</f>
        <v>4.3200000000000002E-2</v>
      </c>
      <c r="H143" s="92">
        <f>0.2876-F143</f>
        <v>0.24300000000000002</v>
      </c>
      <c r="I143" s="96">
        <f>0.3005-F143</f>
        <v>0.25590000000000002</v>
      </c>
      <c r="J143" s="96">
        <f>0.1776-G143</f>
        <v>0.13440000000000002</v>
      </c>
      <c r="K143" s="96">
        <f>0.1961-G143</f>
        <v>0.15289999999999998</v>
      </c>
      <c r="L143" s="277">
        <f t="shared" si="28"/>
        <v>2.620551053484603E-2</v>
      </c>
      <c r="M143" s="277">
        <f t="shared" si="29"/>
        <v>2.6482252836304704E-2</v>
      </c>
      <c r="N143" s="96">
        <f t="shared" si="30"/>
        <v>2.6343881685575367E-2</v>
      </c>
      <c r="O143" s="96">
        <v>1.78</v>
      </c>
      <c r="P143" s="76">
        <f t="shared" si="31"/>
        <v>2.2420880000000003</v>
      </c>
      <c r="Q143" s="97">
        <f t="shared" ref="Q143:Q148" si="44">P143*0.1/1000</f>
        <v>2.2420880000000005E-4</v>
      </c>
      <c r="R143" s="98">
        <f t="shared" si="32"/>
        <v>58.748545297007432</v>
      </c>
      <c r="S143" s="102"/>
      <c r="T143" s="103"/>
      <c r="U143" s="103"/>
      <c r="V143" s="80">
        <f t="shared" si="33"/>
        <v>131.71940842787683</v>
      </c>
      <c r="W143" s="94"/>
      <c r="X143" s="80"/>
      <c r="Y143" s="80"/>
      <c r="Z143" s="80">
        <f t="shared" si="38"/>
        <v>0.47758285096858843</v>
      </c>
      <c r="AA143" s="94"/>
      <c r="AB143" s="101"/>
    </row>
    <row r="144" spans="2:34" x14ac:dyDescent="0.2">
      <c r="B144" s="207"/>
      <c r="C144" s="204"/>
      <c r="D144" s="216"/>
      <c r="E144" s="104" t="s">
        <v>105</v>
      </c>
      <c r="F144" s="210"/>
      <c r="G144" s="213"/>
      <c r="H144" s="74">
        <f>0.2454-F143</f>
        <v>0.20080000000000001</v>
      </c>
      <c r="I144" s="76">
        <f>0.2687-F143</f>
        <v>0.22409999999999999</v>
      </c>
      <c r="J144" s="76">
        <f>0.1811-G143</f>
        <v>0.13790000000000002</v>
      </c>
      <c r="K144" s="76">
        <f>0.2038-G143</f>
        <v>0.16060000000000002</v>
      </c>
      <c r="L144" s="277">
        <f t="shared" si="28"/>
        <v>1.9022771474878443E-2</v>
      </c>
      <c r="M144" s="277">
        <f t="shared" si="29"/>
        <v>2.0573257698541323E-2</v>
      </c>
      <c r="N144" s="76">
        <f t="shared" si="30"/>
        <v>1.9798014586709885E-2</v>
      </c>
      <c r="O144" s="76">
        <v>1.6919999999999999</v>
      </c>
      <c r="P144" s="76">
        <f t="shared" si="31"/>
        <v>2.1312432000000001</v>
      </c>
      <c r="Q144" s="77">
        <f t="shared" si="44"/>
        <v>2.1312432000000002E-4</v>
      </c>
      <c r="R144" s="78">
        <f t="shared" si="32"/>
        <v>46.447103236997734</v>
      </c>
      <c r="S144" s="79"/>
      <c r="V144" s="80">
        <f t="shared" si="33"/>
        <v>98.990072933549413</v>
      </c>
      <c r="W144" s="94"/>
      <c r="X144" s="80"/>
      <c r="Y144" s="80"/>
      <c r="Z144" s="80">
        <f>(V144-$V$114)/(D143-$D$113)</f>
        <v>0.35063077872964415</v>
      </c>
      <c r="AA144" s="94"/>
      <c r="AB144" s="101"/>
    </row>
    <row r="145" spans="2:28" x14ac:dyDescent="0.2">
      <c r="B145" s="208"/>
      <c r="C145" s="205"/>
      <c r="D145" s="217"/>
      <c r="E145" s="151" t="s">
        <v>106</v>
      </c>
      <c r="F145" s="211"/>
      <c r="G145" s="214"/>
      <c r="H145" s="74">
        <f>0.2309-F143</f>
        <v>0.18629999999999999</v>
      </c>
      <c r="I145" s="76">
        <f>0.2571-F143</f>
        <v>0.21249999999999999</v>
      </c>
      <c r="J145" s="76">
        <f>0.1655-G143</f>
        <v>0.12230000000000001</v>
      </c>
      <c r="K145" s="76">
        <f>0.1894-G143</f>
        <v>0.1462</v>
      </c>
      <c r="L145" s="277">
        <f t="shared" si="28"/>
        <v>1.8202350081037277E-2</v>
      </c>
      <c r="M145" s="277">
        <f t="shared" si="29"/>
        <v>2.0105186385737439E-2</v>
      </c>
      <c r="N145" s="76">
        <f t="shared" si="30"/>
        <v>1.915376823338736E-2</v>
      </c>
      <c r="O145" s="76">
        <v>1.534</v>
      </c>
      <c r="P145" s="76">
        <f t="shared" si="31"/>
        <v>1.9322264</v>
      </c>
      <c r="Q145" s="77">
        <f t="shared" si="44"/>
        <v>1.9322263999999999E-4</v>
      </c>
      <c r="R145" s="78">
        <f t="shared" si="32"/>
        <v>49.563985445461668</v>
      </c>
      <c r="S145" s="94">
        <f>AVERAGE(R143:R145)</f>
        <v>51.586544659822273</v>
      </c>
      <c r="T145" s="80">
        <f>STDEV(R143:R145)</f>
        <v>6.3952661024105062</v>
      </c>
      <c r="U145" s="89">
        <f>T145/SQRT(3)</f>
        <v>3.6923086057659948</v>
      </c>
      <c r="V145" s="89">
        <f t="shared" si="33"/>
        <v>95.768841166936795</v>
      </c>
      <c r="W145" s="88">
        <f t="shared" si="35"/>
        <v>108.82610750945435</v>
      </c>
      <c r="X145" s="89">
        <f t="shared" si="36"/>
        <v>19.891493250373177</v>
      </c>
      <c r="Y145" s="89">
        <f t="shared" si="37"/>
        <v>11.484358982686578</v>
      </c>
      <c r="Z145" s="89">
        <f>(V145-$V$115)/(D143-$D$113)</f>
        <v>0.34289225901057346</v>
      </c>
      <c r="AA145" s="88">
        <f t="shared" si="39"/>
        <v>0.390368629569602</v>
      </c>
      <c r="AB145" s="95">
        <f t="shared" si="40"/>
        <v>4.3664293125826321E-2</v>
      </c>
    </row>
    <row r="146" spans="2:28" x14ac:dyDescent="0.2">
      <c r="B146" s="206" t="s">
        <v>34</v>
      </c>
      <c r="C146" s="203">
        <v>0.45833333333333331</v>
      </c>
      <c r="D146" s="218">
        <f>24+D143</f>
        <v>286.5</v>
      </c>
      <c r="E146" s="104" t="s">
        <v>104</v>
      </c>
      <c r="F146" s="209">
        <f>(0.0403+0.052)/2</f>
        <v>4.6149999999999997E-2</v>
      </c>
      <c r="G146" s="212">
        <f>(0.0384+0.0498)/2</f>
        <v>4.41E-2</v>
      </c>
      <c r="H146" s="92">
        <f>0.351-F146</f>
        <v>0.30484999999999995</v>
      </c>
      <c r="I146" s="96">
        <f>0.3363-F146</f>
        <v>0.29015000000000002</v>
      </c>
      <c r="J146" s="96">
        <f>0.2252-G146</f>
        <v>0.18110000000000001</v>
      </c>
      <c r="K146" s="96">
        <f>0.2145-G146</f>
        <v>0.1704</v>
      </c>
      <c r="L146" s="277">
        <f t="shared" si="28"/>
        <v>3.165064829821717E-2</v>
      </c>
      <c r="M146" s="277">
        <f t="shared" si="29"/>
        <v>3.0317341977309568E-2</v>
      </c>
      <c r="N146" s="96">
        <f t="shared" si="30"/>
        <v>3.098399513776337E-2</v>
      </c>
      <c r="O146" s="96">
        <v>2.38</v>
      </c>
      <c r="P146" s="76">
        <f t="shared" si="31"/>
        <v>2.9978479999999998</v>
      </c>
      <c r="Q146" s="97">
        <f t="shared" si="44"/>
        <v>2.9978480000000004E-4</v>
      </c>
      <c r="R146" s="98">
        <f t="shared" si="32"/>
        <v>51.677061575108823</v>
      </c>
      <c r="S146" s="102"/>
      <c r="T146" s="103"/>
      <c r="U146" s="103"/>
      <c r="V146" s="80">
        <f t="shared" si="33"/>
        <v>154.91997568881683</v>
      </c>
      <c r="W146" s="94"/>
      <c r="X146" s="80"/>
      <c r="Y146" s="80"/>
      <c r="Z146" s="80">
        <f t="shared" si="38"/>
        <v>0.51855520293261592</v>
      </c>
      <c r="AA146" s="94"/>
      <c r="AB146" s="101"/>
    </row>
    <row r="147" spans="2:28" x14ac:dyDescent="0.2">
      <c r="B147" s="207"/>
      <c r="C147" s="204"/>
      <c r="D147" s="219"/>
      <c r="E147" s="104" t="s">
        <v>105</v>
      </c>
      <c r="F147" s="210"/>
      <c r="G147" s="213"/>
      <c r="H147" s="74">
        <f>0.3559-F146</f>
        <v>0.30974999999999997</v>
      </c>
      <c r="I147" s="76">
        <f>0.3539-F146</f>
        <v>0.30774999999999997</v>
      </c>
      <c r="J147" s="76">
        <f>0.2362-G146</f>
        <v>0.19209999999999999</v>
      </c>
      <c r="K147" s="76">
        <f>0.23-G146</f>
        <v>0.18590000000000001</v>
      </c>
      <c r="L147" s="277">
        <f t="shared" si="28"/>
        <v>3.1366207455429493E-2</v>
      </c>
      <c r="M147" s="277">
        <f t="shared" si="29"/>
        <v>3.1649999999999998E-2</v>
      </c>
      <c r="N147" s="76">
        <f t="shared" si="30"/>
        <v>3.1508103727714745E-2</v>
      </c>
      <c r="O147" s="76">
        <v>2.2400000000000002</v>
      </c>
      <c r="P147" s="76">
        <f t="shared" si="31"/>
        <v>2.8215040000000005</v>
      </c>
      <c r="Q147" s="77">
        <f t="shared" si="44"/>
        <v>2.8215040000000008E-4</v>
      </c>
      <c r="R147" s="78">
        <f t="shared" si="32"/>
        <v>55.835653126337469</v>
      </c>
      <c r="S147" s="79"/>
      <c r="V147" s="80">
        <f t="shared" si="33"/>
        <v>157.5405186385737</v>
      </c>
      <c r="W147" s="94"/>
      <c r="X147" s="80"/>
      <c r="Y147" s="80"/>
      <c r="Z147" s="80">
        <f>(V147-$V$114)/(D146-$D$113)</f>
        <v>0.52562312433352831</v>
      </c>
      <c r="AA147" s="94"/>
      <c r="AB147" s="101"/>
    </row>
    <row r="148" spans="2:28" x14ac:dyDescent="0.2">
      <c r="B148" s="208"/>
      <c r="C148" s="205"/>
      <c r="D148" s="220"/>
      <c r="E148" s="151" t="s">
        <v>106</v>
      </c>
      <c r="F148" s="211"/>
      <c r="G148" s="214"/>
      <c r="H148" s="74">
        <f>0.2686-F146</f>
        <v>0.22245000000000001</v>
      </c>
      <c r="I148" s="76">
        <f>0.2824-F146</f>
        <v>0.23624999999999999</v>
      </c>
      <c r="J148" s="76">
        <f>0.1723-G146</f>
        <v>0.12820000000000001</v>
      </c>
      <c r="K148" s="76">
        <f>0.1804-G146</f>
        <v>0.1363</v>
      </c>
      <c r="L148" s="277">
        <f t="shared" si="28"/>
        <v>2.3482820097244731E-2</v>
      </c>
      <c r="M148" s="277">
        <f t="shared" si="29"/>
        <v>2.4925202593192867E-2</v>
      </c>
      <c r="N148" s="76">
        <f t="shared" si="30"/>
        <v>2.4204011345218799E-2</v>
      </c>
      <c r="O148" s="76">
        <v>2.016</v>
      </c>
      <c r="P148" s="76">
        <f t="shared" si="31"/>
        <v>2.5393536000000001</v>
      </c>
      <c r="Q148" s="77">
        <f t="shared" si="44"/>
        <v>2.5393536000000003E-4</v>
      </c>
      <c r="R148" s="78">
        <f t="shared" si="32"/>
        <v>47.657819976742893</v>
      </c>
      <c r="S148" s="94">
        <f>AVERAGE(R146:R148)</f>
        <v>51.7235115593964</v>
      </c>
      <c r="T148" s="80">
        <f>STDEV(R146:R148)</f>
        <v>4.0891144464825411</v>
      </c>
      <c r="U148" s="89">
        <f>T148/SQRT(3)</f>
        <v>2.3608513264238828</v>
      </c>
      <c r="V148" s="89">
        <f t="shared" si="33"/>
        <v>121.02005672609398</v>
      </c>
      <c r="W148" s="88">
        <f t="shared" si="35"/>
        <v>144.49351701782817</v>
      </c>
      <c r="X148" s="89">
        <f t="shared" si="36"/>
        <v>20.370795637102638</v>
      </c>
      <c r="Y148" s="89">
        <f t="shared" si="37"/>
        <v>11.761084344688063</v>
      </c>
      <c r="Z148" s="89">
        <f>(V148-$V$115)/(D146-$D$113)</f>
        <v>0.40230517818301126</v>
      </c>
      <c r="AA148" s="88">
        <f t="shared" si="39"/>
        <v>0.48216116848305185</v>
      </c>
      <c r="AB148" s="95">
        <f t="shared" si="40"/>
        <v>3.9980091997277964E-2</v>
      </c>
    </row>
    <row r="149" spans="2:28" x14ac:dyDescent="0.2">
      <c r="B149" s="206" t="s">
        <v>35</v>
      </c>
      <c r="C149" s="203">
        <v>0.45833333333333331</v>
      </c>
      <c r="D149" s="215">
        <f>24+D146</f>
        <v>310.5</v>
      </c>
      <c r="E149" s="104" t="s">
        <v>104</v>
      </c>
      <c r="F149" s="209">
        <f>(0.0487+0.0514)/2</f>
        <v>5.0049999999999997E-2</v>
      </c>
      <c r="G149" s="212">
        <f>(0.047+0.0499)/2</f>
        <v>4.845E-2</v>
      </c>
      <c r="H149" s="92">
        <f>0.2694-F149</f>
        <v>0.21934999999999999</v>
      </c>
      <c r="I149" s="96">
        <f>0.2648-F149</f>
        <v>0.21475</v>
      </c>
      <c r="J149" s="96">
        <f>0.1743-G149</f>
        <v>0.12585000000000002</v>
      </c>
      <c r="K149" s="96">
        <f>0.1743-G149</f>
        <v>0.12585000000000002</v>
      </c>
      <c r="L149" s="277">
        <f t="shared" si="28"/>
        <v>2.3210818476499188E-2</v>
      </c>
      <c r="M149" s="277">
        <f t="shared" si="29"/>
        <v>2.2465275526742302E-2</v>
      </c>
      <c r="N149" s="96">
        <f t="shared" si="30"/>
        <v>2.2838047001620745E-2</v>
      </c>
      <c r="O149" s="96">
        <v>2.5059999999999998</v>
      </c>
      <c r="P149" s="76">
        <f t="shared" si="31"/>
        <v>3.1565575999999997</v>
      </c>
      <c r="Q149" s="97">
        <f t="shared" ref="Q149:Q163" si="45">P149*0.05/1000</f>
        <v>1.5782788000000001E-4</v>
      </c>
      <c r="R149" s="98">
        <f t="shared" si="32"/>
        <v>72.351117564338892</v>
      </c>
      <c r="S149" s="102"/>
      <c r="T149" s="103"/>
      <c r="U149" s="103"/>
      <c r="V149" s="80">
        <f t="shared" si="33"/>
        <v>228.3804700162074</v>
      </c>
      <c r="W149" s="94"/>
      <c r="X149" s="80"/>
      <c r="Y149" s="80"/>
      <c r="Z149" s="80">
        <f t="shared" si="38"/>
        <v>0.71506138475872794</v>
      </c>
      <c r="AA149" s="94"/>
      <c r="AB149" s="101"/>
    </row>
    <row r="150" spans="2:28" x14ac:dyDescent="0.2">
      <c r="B150" s="207"/>
      <c r="C150" s="204"/>
      <c r="D150" s="216"/>
      <c r="E150" s="104" t="s">
        <v>105</v>
      </c>
      <c r="F150" s="210"/>
      <c r="G150" s="213"/>
      <c r="H150" s="74">
        <f>0.3151-F149</f>
        <v>0.26505000000000001</v>
      </c>
      <c r="I150" s="76">
        <f>0.2281-F149</f>
        <v>0.17804999999999999</v>
      </c>
      <c r="J150" s="76">
        <f>0.2373-G149</f>
        <v>0.18885000000000002</v>
      </c>
      <c r="K150" s="76">
        <f>0.1511-G149</f>
        <v>0.10265000000000002</v>
      </c>
      <c r="L150" s="277">
        <f t="shared" si="28"/>
        <v>2.4440153970826582E-2</v>
      </c>
      <c r="M150" s="277">
        <f t="shared" si="29"/>
        <v>1.8792017828200967E-2</v>
      </c>
      <c r="N150" s="76">
        <f t="shared" si="30"/>
        <v>2.1616085899513776E-2</v>
      </c>
      <c r="O150" s="76">
        <v>2.23</v>
      </c>
      <c r="P150" s="76">
        <f t="shared" si="31"/>
        <v>2.8089080000000002</v>
      </c>
      <c r="Q150" s="77">
        <f t="shared" si="45"/>
        <v>1.4044540000000003E-4</v>
      </c>
      <c r="R150" s="78">
        <f t="shared" si="32"/>
        <v>76.95547842618474</v>
      </c>
      <c r="S150" s="79"/>
      <c r="V150" s="80">
        <f t="shared" si="33"/>
        <v>216.16085899513774</v>
      </c>
      <c r="W150" s="94"/>
      <c r="X150" s="80"/>
      <c r="Y150" s="80"/>
      <c r="Z150" s="80">
        <f>(V150-$V$114)/(D149-$D$113)</f>
        <v>0.67378861667671475</v>
      </c>
      <c r="AA150" s="94"/>
      <c r="AB150" s="101"/>
    </row>
    <row r="151" spans="2:28" x14ac:dyDescent="0.2">
      <c r="B151" s="208"/>
      <c r="C151" s="205"/>
      <c r="D151" s="217"/>
      <c r="E151" s="151" t="s">
        <v>106</v>
      </c>
      <c r="F151" s="211"/>
      <c r="G151" s="214"/>
      <c r="H151" s="74">
        <f>0.1724-F149</f>
        <v>0.12235</v>
      </c>
      <c r="I151" s="76">
        <f>0.1693-F149</f>
        <v>0.11925000000000001</v>
      </c>
      <c r="J151" s="76">
        <f>0.1132-G149</f>
        <v>6.4750000000000002E-2</v>
      </c>
      <c r="K151" s="76">
        <f>0.1121-G149</f>
        <v>6.3650000000000012E-2</v>
      </c>
      <c r="L151" s="277">
        <f t="shared" si="28"/>
        <v>1.3480753646677474E-2</v>
      </c>
      <c r="M151" s="277">
        <f t="shared" si="29"/>
        <v>1.3086183144246354E-2</v>
      </c>
      <c r="N151" s="76">
        <f t="shared" si="30"/>
        <v>1.3283468395461913E-2</v>
      </c>
      <c r="O151" s="76">
        <v>2.2480000000000002</v>
      </c>
      <c r="P151" s="76">
        <f t="shared" si="31"/>
        <v>2.8315808000000002</v>
      </c>
      <c r="Q151" s="77">
        <f t="shared" si="45"/>
        <v>1.4157904000000002E-4</v>
      </c>
      <c r="R151" s="78">
        <f t="shared" si="32"/>
        <v>46.911846539791171</v>
      </c>
      <c r="S151" s="94">
        <f>AVERAGE(R149:R151)</f>
        <v>65.40614751010493</v>
      </c>
      <c r="T151" s="80">
        <f>STDEV(R149:R151)</f>
        <v>16.181143687080183</v>
      </c>
      <c r="U151" s="89">
        <f>T151/SQRT(3)</f>
        <v>9.3421876635317584</v>
      </c>
      <c r="V151" s="89">
        <f t="shared" si="33"/>
        <v>132.83468395461912</v>
      </c>
      <c r="W151" s="88">
        <f t="shared" si="35"/>
        <v>192.45867098865475</v>
      </c>
      <c r="X151" s="89">
        <f t="shared" si="36"/>
        <v>51.99610173611768</v>
      </c>
      <c r="Y151" s="89">
        <f t="shared" si="37"/>
        <v>30.01996333415871</v>
      </c>
      <c r="Z151" s="89">
        <f>(V151-$V$115)/(D149-$D$113)</f>
        <v>0.40925945500147459</v>
      </c>
      <c r="AA151" s="88">
        <f t="shared" si="39"/>
        <v>0.59936981881230567</v>
      </c>
      <c r="AB151" s="95">
        <f t="shared" si="40"/>
        <v>9.5798961663654425E-2</v>
      </c>
    </row>
    <row r="152" spans="2:28" x14ac:dyDescent="0.2">
      <c r="B152" s="206" t="s">
        <v>36</v>
      </c>
      <c r="C152" s="203">
        <v>0.45833333333333331</v>
      </c>
      <c r="D152" s="218">
        <f>24+D149</f>
        <v>334.5</v>
      </c>
      <c r="E152" s="104" t="s">
        <v>104</v>
      </c>
      <c r="F152" s="209">
        <f>(0.0424+0.0458+0.0446)/3</f>
        <v>4.4266666666666669E-2</v>
      </c>
      <c r="G152" s="212">
        <f>(0.0415+0.0442+0.0437)/3</f>
        <v>4.3133333333333336E-2</v>
      </c>
      <c r="H152" s="92">
        <f>0.2115-F152</f>
        <v>0.16723333333333332</v>
      </c>
      <c r="I152" s="96">
        <f>0.2101-F152</f>
        <v>0.16583333333333333</v>
      </c>
      <c r="J152" s="96">
        <f>0.14-G152</f>
        <v>9.6866666666666684E-2</v>
      </c>
      <c r="K152" s="96">
        <f>0.1394-G152</f>
        <v>9.6266666666666667E-2</v>
      </c>
      <c r="L152" s="277">
        <f t="shared" si="28"/>
        <v>1.7605996758508911E-2</v>
      </c>
      <c r="M152" s="277">
        <f t="shared" si="29"/>
        <v>1.7437925445705025E-2</v>
      </c>
      <c r="N152" s="96">
        <f t="shared" si="30"/>
        <v>1.7521961102106968E-2</v>
      </c>
      <c r="O152" s="96">
        <v>2.496</v>
      </c>
      <c r="P152" s="76">
        <f t="shared" si="31"/>
        <v>3.1439615999999999</v>
      </c>
      <c r="Q152" s="97">
        <f t="shared" si="45"/>
        <v>1.5719808000000003E-4</v>
      </c>
      <c r="R152" s="98">
        <f t="shared" si="32"/>
        <v>55.732109139332252</v>
      </c>
      <c r="S152" s="102"/>
      <c r="T152" s="103"/>
      <c r="U152" s="103"/>
      <c r="V152" s="80">
        <f t="shared" si="33"/>
        <v>175.21961102106965</v>
      </c>
      <c r="W152" s="94"/>
      <c r="X152" s="80"/>
      <c r="Y152" s="80"/>
      <c r="Z152" s="80">
        <f t="shared" si="38"/>
        <v>0.50483019722704714</v>
      </c>
      <c r="AA152" s="94"/>
      <c r="AB152" s="101"/>
    </row>
    <row r="153" spans="2:28" x14ac:dyDescent="0.2">
      <c r="B153" s="207"/>
      <c r="C153" s="204"/>
      <c r="D153" s="219"/>
      <c r="E153" s="104" t="s">
        <v>105</v>
      </c>
      <c r="F153" s="210"/>
      <c r="G153" s="213"/>
      <c r="H153" s="74">
        <f>0.2894-F152</f>
        <v>0.24513333333333331</v>
      </c>
      <c r="I153" s="76">
        <f>0.2229-F152</f>
        <v>0.17863333333333331</v>
      </c>
      <c r="J153" s="76">
        <f>0.2327-G152</f>
        <v>0.18956666666666666</v>
      </c>
      <c r="K153" s="76">
        <f>0.165-G152</f>
        <v>0.12186666666666668</v>
      </c>
      <c r="L153" s="277">
        <f t="shared" si="28"/>
        <v>2.114189627228525E-2</v>
      </c>
      <c r="M153" s="277">
        <f t="shared" si="29"/>
        <v>1.7002269043760124E-2</v>
      </c>
      <c r="N153" s="76">
        <f t="shared" si="30"/>
        <v>1.9072082658022689E-2</v>
      </c>
      <c r="O153" s="76">
        <v>2.2719999999999998</v>
      </c>
      <c r="P153" s="76">
        <f t="shared" si="31"/>
        <v>2.8618112</v>
      </c>
      <c r="Q153" s="77">
        <f t="shared" si="45"/>
        <v>1.4309056E-4</v>
      </c>
      <c r="R153" s="78">
        <f t="shared" si="32"/>
        <v>66.643399320062372</v>
      </c>
      <c r="S153" s="79"/>
      <c r="V153" s="80">
        <f t="shared" si="33"/>
        <v>190.72082658022688</v>
      </c>
      <c r="W153" s="94"/>
      <c r="X153" s="80"/>
      <c r="Y153" s="80"/>
      <c r="Z153" s="80">
        <f>(V153-$V$114)/(D152-$D$113)</f>
        <v>0.54939113023380881</v>
      </c>
      <c r="AA153" s="94"/>
      <c r="AB153" s="101"/>
    </row>
    <row r="154" spans="2:28" x14ac:dyDescent="0.2">
      <c r="B154" s="208"/>
      <c r="C154" s="205"/>
      <c r="D154" s="220"/>
      <c r="E154" s="151" t="s">
        <v>106</v>
      </c>
      <c r="F154" s="211"/>
      <c r="G154" s="214"/>
      <c r="H154" s="74">
        <f>0.2103-F152</f>
        <v>0.16603333333333331</v>
      </c>
      <c r="I154" s="76">
        <f>0.2015-F152</f>
        <v>0.15723333333333334</v>
      </c>
      <c r="J154" s="76">
        <f>0.1344-G152</f>
        <v>9.1266666666666663E-2</v>
      </c>
      <c r="K154" s="76">
        <f>0.1252-G152</f>
        <v>8.2066666666666677E-2</v>
      </c>
      <c r="L154" s="277">
        <f t="shared" si="28"/>
        <v>1.7960615883306316E-2</v>
      </c>
      <c r="M154" s="277">
        <f t="shared" si="29"/>
        <v>1.7436466774716369E-2</v>
      </c>
      <c r="N154" s="76">
        <f t="shared" si="30"/>
        <v>1.7698541329011344E-2</v>
      </c>
      <c r="O154" s="76">
        <v>2.3559999999999999</v>
      </c>
      <c r="P154" s="76">
        <f t="shared" si="31"/>
        <v>2.9676176000000001</v>
      </c>
      <c r="Q154" s="77">
        <f t="shared" si="45"/>
        <v>1.4838088000000002E-4</v>
      </c>
      <c r="R154" s="78">
        <f t="shared" si="32"/>
        <v>59.638887870901364</v>
      </c>
      <c r="S154" s="94">
        <f>AVERAGE(R152:R154)</f>
        <v>60.671465443431998</v>
      </c>
      <c r="T154" s="80">
        <f>STDEV(R152:R154)</f>
        <v>5.5284469505001423</v>
      </c>
      <c r="U154" s="89">
        <f>T154/SQRT(3)</f>
        <v>3.1918503350718233</v>
      </c>
      <c r="V154" s="89">
        <f t="shared" si="33"/>
        <v>176.98541329011343</v>
      </c>
      <c r="W154" s="88">
        <f t="shared" si="35"/>
        <v>180.97528363046999</v>
      </c>
      <c r="X154" s="89">
        <f t="shared" si="36"/>
        <v>8.4859424905255683</v>
      </c>
      <c r="Y154" s="89">
        <f t="shared" si="37"/>
        <v>4.8993611812326208</v>
      </c>
      <c r="Z154" s="89">
        <f>(V154-$V$115)/(D152-$D$113)</f>
        <v>0.51188577014484948</v>
      </c>
      <c r="AA154" s="88">
        <f t="shared" si="39"/>
        <v>0.52203569920190185</v>
      </c>
      <c r="AB154" s="95">
        <f t="shared" si="40"/>
        <v>1.3828533092916638E-2</v>
      </c>
    </row>
    <row r="155" spans="2:28" x14ac:dyDescent="0.2">
      <c r="B155" s="206" t="s">
        <v>37</v>
      </c>
      <c r="C155" s="203">
        <v>0.52083333333333337</v>
      </c>
      <c r="D155" s="215">
        <f>24+1.5+D152</f>
        <v>360</v>
      </c>
      <c r="E155" s="104" t="s">
        <v>104</v>
      </c>
      <c r="F155" s="209">
        <f>(0.0415+0.0244+0.0307)/3</f>
        <v>3.2199999999999999E-2</v>
      </c>
      <c r="G155" s="212">
        <f>(0.041+0.0237+0.03)/3</f>
        <v>3.1566666666666666E-2</v>
      </c>
      <c r="H155" s="96">
        <f>0.2003-F155</f>
        <v>0.1681</v>
      </c>
      <c r="I155" s="96">
        <f>0.1869-F155</f>
        <v>0.1547</v>
      </c>
      <c r="J155" s="96">
        <f>0.1483-G155</f>
        <v>0.11673333333333333</v>
      </c>
      <c r="K155" s="96">
        <f>0.1318-G155</f>
        <v>0.10023333333333334</v>
      </c>
      <c r="L155" s="277">
        <f t="shared" si="28"/>
        <v>1.5798433279308483E-2</v>
      </c>
      <c r="M155" s="277">
        <f t="shared" si="29"/>
        <v>1.5244543490005404E-2</v>
      </c>
      <c r="N155" s="96">
        <f t="shared" si="30"/>
        <v>1.5521488384656943E-2</v>
      </c>
      <c r="O155" s="96">
        <v>2.6520000000000001</v>
      </c>
      <c r="P155" s="76">
        <f t="shared" si="31"/>
        <v>3.3404592000000002</v>
      </c>
      <c r="Q155" s="97">
        <f t="shared" si="45"/>
        <v>1.6702296000000003E-4</v>
      </c>
      <c r="R155" s="98">
        <f t="shared" si="32"/>
        <v>46.46513384943286</v>
      </c>
      <c r="S155" s="102"/>
      <c r="T155" s="103"/>
      <c r="U155" s="103"/>
      <c r="V155" s="80">
        <f t="shared" si="33"/>
        <v>155.21488384656942</v>
      </c>
      <c r="W155" s="94"/>
      <c r="X155" s="80"/>
      <c r="Y155" s="80"/>
      <c r="Z155" s="80">
        <f t="shared" si="38"/>
        <v>0.41350270499429737</v>
      </c>
      <c r="AA155" s="94"/>
      <c r="AB155" s="101"/>
    </row>
    <row r="156" spans="2:28" x14ac:dyDescent="0.2">
      <c r="B156" s="207"/>
      <c r="C156" s="204"/>
      <c r="D156" s="216"/>
      <c r="E156" s="104" t="s">
        <v>105</v>
      </c>
      <c r="F156" s="210"/>
      <c r="G156" s="213"/>
      <c r="H156" s="76">
        <f>0.2107-F155</f>
        <v>0.17849999999999999</v>
      </c>
      <c r="I156" s="76">
        <f>0.2337-F155</f>
        <v>0.20149999999999998</v>
      </c>
      <c r="J156" s="76">
        <f>0.1639-G155</f>
        <v>0.13233333333333333</v>
      </c>
      <c r="K156" s="76">
        <f>0.1863-G155</f>
        <v>0.15473333333333333</v>
      </c>
      <c r="L156" s="277">
        <f t="shared" si="28"/>
        <v>1.5954349000540248E-2</v>
      </c>
      <c r="M156" s="277">
        <f t="shared" si="29"/>
        <v>1.7485629389519176E-2</v>
      </c>
      <c r="N156" s="76">
        <f t="shared" si="30"/>
        <v>1.6719989195029712E-2</v>
      </c>
      <c r="O156" s="76">
        <v>2.496</v>
      </c>
      <c r="P156" s="76">
        <f t="shared" si="31"/>
        <v>3.1439615999999999</v>
      </c>
      <c r="Q156" s="77">
        <f t="shared" si="45"/>
        <v>1.5719808000000003E-4</v>
      </c>
      <c r="R156" s="78">
        <f t="shared" si="32"/>
        <v>53.181276752965779</v>
      </c>
      <c r="S156" s="79"/>
      <c r="V156" s="80">
        <f t="shared" si="33"/>
        <v>167.19989195029709</v>
      </c>
      <c r="W156" s="94"/>
      <c r="X156" s="80"/>
      <c r="Y156" s="80"/>
      <c r="Z156" s="80">
        <f>(V156-$V$114)/(D155-$D$113)</f>
        <v>0.44513999564799794</v>
      </c>
      <c r="AA156" s="94"/>
      <c r="AB156" s="101"/>
    </row>
    <row r="157" spans="2:28" x14ac:dyDescent="0.2">
      <c r="B157" s="208"/>
      <c r="C157" s="205"/>
      <c r="D157" s="217"/>
      <c r="E157" s="151" t="s">
        <v>106</v>
      </c>
      <c r="F157" s="211"/>
      <c r="G157" s="214"/>
      <c r="H157" s="76">
        <f>0.2049-F155</f>
        <v>0.17269999999999999</v>
      </c>
      <c r="I157" s="76">
        <f>0.2009-F155</f>
        <v>0.16869999999999999</v>
      </c>
      <c r="J157" s="76">
        <f>0.1599-G155</f>
        <v>0.12833333333333333</v>
      </c>
      <c r="K157" s="76">
        <f>0.1568-G155</f>
        <v>0.12523333333333334</v>
      </c>
      <c r="L157" s="277">
        <f t="shared" si="28"/>
        <v>1.5406537007023231E-2</v>
      </c>
      <c r="M157" s="277">
        <f t="shared" si="29"/>
        <v>1.5062209616423555E-2</v>
      </c>
      <c r="N157" s="76">
        <f t="shared" si="30"/>
        <v>1.5234373311723393E-2</v>
      </c>
      <c r="O157" s="76">
        <v>2.6339999999999999</v>
      </c>
      <c r="P157" s="76">
        <f t="shared" si="31"/>
        <v>3.3177864000000001</v>
      </c>
      <c r="Q157" s="77">
        <f t="shared" si="45"/>
        <v>1.6588932000000001E-4</v>
      </c>
      <c r="R157" s="78">
        <f t="shared" si="32"/>
        <v>45.917281810918844</v>
      </c>
      <c r="S157" s="94">
        <f>AVERAGE(R155:R157)</f>
        <v>48.521230804439163</v>
      </c>
      <c r="T157" s="80">
        <f>STDEV(R155:R157)</f>
        <v>4.0450039117175773</v>
      </c>
      <c r="U157" s="89">
        <f>T157/SQRT(3)</f>
        <v>2.3353840973032325</v>
      </c>
      <c r="V157" s="89">
        <f t="shared" si="33"/>
        <v>152.34373311723391</v>
      </c>
      <c r="W157" s="88">
        <f t="shared" si="35"/>
        <v>158.25283630470014</v>
      </c>
      <c r="X157" s="89">
        <f t="shared" si="36"/>
        <v>7.8802430274514448</v>
      </c>
      <c r="Y157" s="89">
        <f t="shared" si="37"/>
        <v>4.5496604331787633</v>
      </c>
      <c r="Z157" s="89">
        <f>(V157-$V$115)/(D155-$D$113)</f>
        <v>0.40717808316825738</v>
      </c>
      <c r="AA157" s="88">
        <f t="shared" si="39"/>
        <v>0.42194026127018419</v>
      </c>
      <c r="AB157" s="95">
        <f t="shared" si="40"/>
        <v>1.1742671000975305E-2</v>
      </c>
    </row>
    <row r="158" spans="2:28" x14ac:dyDescent="0.2">
      <c r="B158" s="206" t="s">
        <v>38</v>
      </c>
      <c r="C158" s="203">
        <v>0.54166666666666663</v>
      </c>
      <c r="D158" s="215">
        <f>24.5+D155</f>
        <v>384.5</v>
      </c>
      <c r="E158" s="104" t="s">
        <v>104</v>
      </c>
      <c r="F158" s="209">
        <f>(0.0512+0.0409)/2</f>
        <v>4.6050000000000001E-2</v>
      </c>
      <c r="G158" s="212">
        <f>(0.0496+0.0407)/2</f>
        <v>4.5149999999999996E-2</v>
      </c>
      <c r="H158" s="96">
        <f>0.2615-F158</f>
        <v>0.21545</v>
      </c>
      <c r="I158" s="96">
        <f>0.2622-F158</f>
        <v>0.21614999999999998</v>
      </c>
      <c r="J158" s="96">
        <f>0.1694-G158</f>
        <v>0.12425</v>
      </c>
      <c r="K158" s="96">
        <f>0.1696-G158</f>
        <v>0.12445000000000001</v>
      </c>
      <c r="L158" s="277">
        <f t="shared" si="28"/>
        <v>2.2735615883306321E-2</v>
      </c>
      <c r="M158" s="277">
        <f t="shared" si="29"/>
        <v>2.2829457050243109E-2</v>
      </c>
      <c r="N158" s="96">
        <f t="shared" si="30"/>
        <v>2.2782536466774715E-2</v>
      </c>
      <c r="O158" s="96">
        <v>2.746</v>
      </c>
      <c r="P158" s="76">
        <f t="shared" si="31"/>
        <v>3.4588616000000001</v>
      </c>
      <c r="Q158" s="97">
        <f t="shared" si="45"/>
        <v>1.7294308000000003E-4</v>
      </c>
      <c r="R158" s="98">
        <f t="shared" si="32"/>
        <v>65.867152553240956</v>
      </c>
      <c r="S158" s="102"/>
      <c r="T158" s="103"/>
      <c r="U158" s="103"/>
      <c r="V158" s="80">
        <f t="shared" si="33"/>
        <v>227.8253646677471</v>
      </c>
      <c r="W158" s="94"/>
      <c r="X158" s="80"/>
      <c r="Y158" s="80"/>
      <c r="Z158" s="80">
        <f t="shared" si="38"/>
        <v>0.57599858158419959</v>
      </c>
      <c r="AA158" s="94"/>
      <c r="AB158" s="101"/>
    </row>
    <row r="159" spans="2:28" x14ac:dyDescent="0.2">
      <c r="B159" s="207"/>
      <c r="C159" s="204"/>
      <c r="D159" s="216"/>
      <c r="E159" s="104" t="s">
        <v>105</v>
      </c>
      <c r="F159" s="210"/>
      <c r="G159" s="213"/>
      <c r="H159" s="76">
        <f>0.205-F158</f>
        <v>0.15894999999999998</v>
      </c>
      <c r="I159" s="76">
        <f>0.1918-F158</f>
        <v>0.14574999999999999</v>
      </c>
      <c r="J159" s="76">
        <f>0.1364-G158</f>
        <v>9.1249999999999998E-2</v>
      </c>
      <c r="K159" s="76">
        <f>0.1215-G158</f>
        <v>7.6350000000000001E-2</v>
      </c>
      <c r="L159" s="277">
        <f t="shared" si="28"/>
        <v>1.6814222042139382E-2</v>
      </c>
      <c r="M159" s="277">
        <f t="shared" si="29"/>
        <v>1.613585899513776E-2</v>
      </c>
      <c r="N159" s="76">
        <f t="shared" si="30"/>
        <v>1.6475040518638573E-2</v>
      </c>
      <c r="O159" s="76">
        <v>2.6560000000000001</v>
      </c>
      <c r="P159" s="76">
        <f t="shared" si="31"/>
        <v>3.3454976000000003</v>
      </c>
      <c r="Q159" s="77">
        <f t="shared" si="45"/>
        <v>1.6727488000000001E-4</v>
      </c>
      <c r="R159" s="78">
        <f t="shared" si="32"/>
        <v>49.245411261507321</v>
      </c>
      <c r="S159" s="79"/>
      <c r="V159" s="80">
        <f t="shared" si="33"/>
        <v>164.75040518638573</v>
      </c>
      <c r="W159" s="94"/>
      <c r="X159" s="80"/>
      <c r="Y159" s="80"/>
      <c r="Z159" s="80">
        <f>(V159-$V$114)/(D158-$D$113)</f>
        <v>0.41040549198795295</v>
      </c>
      <c r="AA159" s="94"/>
      <c r="AB159" s="101"/>
    </row>
    <row r="160" spans="2:28" x14ac:dyDescent="0.2">
      <c r="B160" s="208"/>
      <c r="C160" s="205"/>
      <c r="D160" s="217"/>
      <c r="E160" s="151" t="s">
        <v>106</v>
      </c>
      <c r="F160" s="211"/>
      <c r="G160" s="214"/>
      <c r="H160" s="76">
        <f>0.2271-F158</f>
        <v>0.18104999999999999</v>
      </c>
      <c r="I160" s="76">
        <f>0.2352-F158</f>
        <v>0.18914999999999998</v>
      </c>
      <c r="J160" s="76">
        <f>0.1456-G158</f>
        <v>0.10045000000000001</v>
      </c>
      <c r="K160" s="76">
        <f>0.1527-G158</f>
        <v>0.10755000000000001</v>
      </c>
      <c r="L160" s="277">
        <f t="shared" si="28"/>
        <v>1.9493962722852511E-2</v>
      </c>
      <c r="M160" s="277">
        <f t="shared" si="29"/>
        <v>2.0110575364667743E-2</v>
      </c>
      <c r="N160" s="76">
        <f t="shared" si="30"/>
        <v>1.9802269043760125E-2</v>
      </c>
      <c r="O160" s="76">
        <v>2.6560000000000001</v>
      </c>
      <c r="P160" s="76">
        <f t="shared" si="31"/>
        <v>3.3454976000000003</v>
      </c>
      <c r="Q160" s="77">
        <f t="shared" si="45"/>
        <v>1.6727488000000001E-4</v>
      </c>
      <c r="R160" s="78">
        <f t="shared" si="32"/>
        <v>59.190803316553342</v>
      </c>
      <c r="S160" s="94">
        <f>AVERAGE(R158:R160)</f>
        <v>58.101122377100545</v>
      </c>
      <c r="T160" s="80">
        <f>STDEV(R158:R160)</f>
        <v>8.3642766755223104</v>
      </c>
      <c r="U160" s="89">
        <f>T160/SQRT(3)</f>
        <v>4.8291173901893139</v>
      </c>
      <c r="V160" s="89">
        <f t="shared" si="33"/>
        <v>198.02269043760126</v>
      </c>
      <c r="W160" s="88">
        <f t="shared" si="35"/>
        <v>196.86615343057804</v>
      </c>
      <c r="X160" s="89">
        <f t="shared" si="36"/>
        <v>31.553380354255214</v>
      </c>
      <c r="Y160" s="89">
        <f t="shared" si="37"/>
        <v>18.2173526413719</v>
      </c>
      <c r="Z160" s="89">
        <f>(V160-$V$115)/(D158-$D$113)</f>
        <v>0.50003398507396613</v>
      </c>
      <c r="AA160" s="88">
        <f t="shared" si="39"/>
        <v>0.49547935288203959</v>
      </c>
      <c r="AB160" s="95">
        <f t="shared" si="40"/>
        <v>4.7856822349972093E-2</v>
      </c>
    </row>
    <row r="161" spans="1:28" x14ac:dyDescent="0.2">
      <c r="B161" s="206" t="s">
        <v>39</v>
      </c>
      <c r="C161" s="203">
        <v>0.52083333333333337</v>
      </c>
      <c r="D161" s="215">
        <f>48+D155</f>
        <v>408</v>
      </c>
      <c r="E161" s="104" t="s">
        <v>104</v>
      </c>
      <c r="F161" s="209">
        <f>(0.0418+0.0454+0.0454)/3</f>
        <v>4.4199999999999996E-2</v>
      </c>
      <c r="G161" s="212">
        <f>(0.0405+0.0432+0.0438)/3</f>
        <v>4.2500000000000003E-2</v>
      </c>
      <c r="H161" s="96">
        <f>0.2041-F161</f>
        <v>0.15990000000000001</v>
      </c>
      <c r="I161" s="96">
        <f>0.1911-F161</f>
        <v>0.1469</v>
      </c>
      <c r="J161" s="96">
        <f>0.1522-G161</f>
        <v>0.10969999999999999</v>
      </c>
      <c r="K161" s="96">
        <f>0.1401-G161</f>
        <v>9.7599999999999992E-2</v>
      </c>
      <c r="L161" s="277">
        <f t="shared" si="28"/>
        <v>1.5159076175040521E-2</v>
      </c>
      <c r="M161" s="277">
        <f t="shared" si="29"/>
        <v>1.4238573743922206E-2</v>
      </c>
      <c r="N161" s="96">
        <f t="shared" si="30"/>
        <v>1.4698824959481363E-2</v>
      </c>
      <c r="O161" s="96">
        <v>2.59</v>
      </c>
      <c r="P161" s="76">
        <f t="shared" si="31"/>
        <v>3.2623639999999998</v>
      </c>
      <c r="Q161" s="97">
        <f t="shared" si="45"/>
        <v>1.6311819999999998E-4</v>
      </c>
      <c r="R161" s="98">
        <f t="shared" si="32"/>
        <v>45.055747793567377</v>
      </c>
      <c r="S161" s="102"/>
      <c r="T161" s="103"/>
      <c r="U161" s="103"/>
      <c r="V161" s="80">
        <f t="shared" si="33"/>
        <v>146.98824959481362</v>
      </c>
      <c r="W161" s="94"/>
      <c r="X161" s="80"/>
      <c r="Y161" s="80"/>
      <c r="Z161" s="80">
        <f t="shared" si="38"/>
        <v>0.34469200869164524</v>
      </c>
      <c r="AA161" s="94"/>
      <c r="AB161" s="101"/>
    </row>
    <row r="162" spans="1:28" ht="15" customHeight="1" x14ac:dyDescent="0.2">
      <c r="B162" s="207"/>
      <c r="C162" s="204"/>
      <c r="D162" s="216"/>
      <c r="E162" s="104" t="s">
        <v>105</v>
      </c>
      <c r="F162" s="210"/>
      <c r="G162" s="213"/>
      <c r="H162" s="76">
        <f>0.2694-F161</f>
        <v>0.22519999999999998</v>
      </c>
      <c r="I162" s="76">
        <f>0.2301-F161</f>
        <v>0.18590000000000001</v>
      </c>
      <c r="J162" s="76">
        <f>0.1936-G161</f>
        <v>0.15109999999999998</v>
      </c>
      <c r="K162" s="76">
        <f>0.1566-G161</f>
        <v>0.11409999999999998</v>
      </c>
      <c r="L162" s="277">
        <f t="shared" si="28"/>
        <v>2.1683063209076175E-2</v>
      </c>
      <c r="M162" s="277">
        <f t="shared" si="29"/>
        <v>1.8941572123176667E-2</v>
      </c>
      <c r="N162" s="76">
        <f t="shared" si="30"/>
        <v>2.0312317666126421E-2</v>
      </c>
      <c r="O162" s="76">
        <v>2.8759999999999999</v>
      </c>
      <c r="P162" s="76">
        <f t="shared" si="31"/>
        <v>3.6226096000000001</v>
      </c>
      <c r="Q162" s="77">
        <f t="shared" si="45"/>
        <v>1.8113048E-4</v>
      </c>
      <c r="R162" s="78">
        <f t="shared" si="32"/>
        <v>56.070954115857312</v>
      </c>
      <c r="S162" s="79"/>
      <c r="V162" s="80">
        <f t="shared" si="33"/>
        <v>203.12317666126421</v>
      </c>
      <c r="W162" s="94"/>
      <c r="X162" s="80"/>
      <c r="Y162" s="80"/>
      <c r="Z162" s="80">
        <f>(V162-$V$114)/(D161-$D$113)</f>
        <v>0.48081785084374112</v>
      </c>
      <c r="AA162" s="94"/>
      <c r="AB162" s="101"/>
    </row>
    <row r="163" spans="1:28" ht="16" customHeight="1" thickBot="1" x14ac:dyDescent="0.25">
      <c r="A163" s="115"/>
      <c r="B163" s="223"/>
      <c r="C163" s="224"/>
      <c r="D163" s="225"/>
      <c r="E163" s="152" t="s">
        <v>106</v>
      </c>
      <c r="F163" s="221"/>
      <c r="G163" s="222"/>
      <c r="H163" s="107">
        <f>0.2705-F161</f>
        <v>0.22630000000000003</v>
      </c>
      <c r="I163" s="107">
        <f>0.265-F161</f>
        <v>0.22080000000000002</v>
      </c>
      <c r="J163" s="107">
        <f>0.1697-G161</f>
        <v>0.12719999999999998</v>
      </c>
      <c r="K163" s="107">
        <f>0.1643-G161</f>
        <v>0.12179999999999999</v>
      </c>
      <c r="L163" s="107">
        <f t="shared" si="28"/>
        <v>2.4204862236628856E-2</v>
      </c>
      <c r="M163" s="107">
        <f t="shared" si="29"/>
        <v>2.3842949756888176E-2</v>
      </c>
      <c r="N163" s="107">
        <f t="shared" si="30"/>
        <v>2.4023905996758514E-2</v>
      </c>
      <c r="O163" s="107">
        <v>2.8</v>
      </c>
      <c r="P163" s="107">
        <f t="shared" si="31"/>
        <v>3.5268799999999998</v>
      </c>
      <c r="Q163" s="108">
        <f t="shared" si="45"/>
        <v>1.7634399999999999E-4</v>
      </c>
      <c r="R163" s="109">
        <f t="shared" si="32"/>
        <v>68.116595962319437</v>
      </c>
      <c r="S163" s="110">
        <f>AVERAGE(R161:R163)</f>
        <v>56.414432623914706</v>
      </c>
      <c r="T163" s="111">
        <f>STDEV(R161:R163)</f>
        <v>11.534260387197902</v>
      </c>
      <c r="U163" s="111">
        <f>T163/SQRT(3)</f>
        <v>6.6593083394519459</v>
      </c>
      <c r="V163" s="111">
        <f t="shared" si="33"/>
        <v>240.23905996758515</v>
      </c>
      <c r="W163" s="110">
        <f t="shared" si="35"/>
        <v>196.78349540788767</v>
      </c>
      <c r="X163" s="111">
        <f t="shared" si="36"/>
        <v>46.947546023093373</v>
      </c>
      <c r="Y163" s="111">
        <f t="shared" si="37"/>
        <v>27.105178334225304</v>
      </c>
      <c r="Z163" s="111">
        <f>(V163-$V$115)/(D161-$D$113)</f>
        <v>0.57470450193853895</v>
      </c>
      <c r="AA163" s="110">
        <f t="shared" si="39"/>
        <v>0.46673812049130842</v>
      </c>
      <c r="AB163" s="112">
        <f t="shared" si="40"/>
        <v>6.6771041296635483E-2</v>
      </c>
    </row>
  </sheetData>
  <mergeCells count="274">
    <mergeCell ref="J4:K4"/>
    <mergeCell ref="L4:M4"/>
    <mergeCell ref="H57:I57"/>
    <mergeCell ref="J57:K57"/>
    <mergeCell ref="L57:M57"/>
    <mergeCell ref="A1:AB1"/>
    <mergeCell ref="B2:AB2"/>
    <mergeCell ref="H3:I3"/>
    <mergeCell ref="J3:K3"/>
    <mergeCell ref="L3:M3"/>
    <mergeCell ref="B14:B16"/>
    <mergeCell ref="C14:C16"/>
    <mergeCell ref="D14:D16"/>
    <mergeCell ref="B5:B7"/>
    <mergeCell ref="C5:C7"/>
    <mergeCell ref="D5:D7"/>
    <mergeCell ref="B8:B10"/>
    <mergeCell ref="C8:C10"/>
    <mergeCell ref="D8:D10"/>
    <mergeCell ref="B11:B13"/>
    <mergeCell ref="C11:C13"/>
    <mergeCell ref="D11:D13"/>
    <mergeCell ref="B17:B19"/>
    <mergeCell ref="C17:C19"/>
    <mergeCell ref="J58:K58"/>
    <mergeCell ref="L58:M58"/>
    <mergeCell ref="B56:AB56"/>
    <mergeCell ref="H111:I111"/>
    <mergeCell ref="J111:K111"/>
    <mergeCell ref="L111:M111"/>
    <mergeCell ref="B62:B64"/>
    <mergeCell ref="C62:C64"/>
    <mergeCell ref="D62:D64"/>
    <mergeCell ref="F62:F64"/>
    <mergeCell ref="G62:G64"/>
    <mergeCell ref="B65:B67"/>
    <mergeCell ref="C65:C67"/>
    <mergeCell ref="D65:D67"/>
    <mergeCell ref="F65:F67"/>
    <mergeCell ref="B80:B82"/>
    <mergeCell ref="C80:C82"/>
    <mergeCell ref="D80:D82"/>
    <mergeCell ref="F80:F82"/>
    <mergeCell ref="G80:G82"/>
    <mergeCell ref="B77:B79"/>
    <mergeCell ref="C77:C79"/>
    <mergeCell ref="D77:D79"/>
    <mergeCell ref="F77:F79"/>
    <mergeCell ref="D17:D19"/>
    <mergeCell ref="B20:B22"/>
    <mergeCell ref="C20:C22"/>
    <mergeCell ref="D20:D22"/>
    <mergeCell ref="J112:K112"/>
    <mergeCell ref="L112:M112"/>
    <mergeCell ref="B110:AB110"/>
    <mergeCell ref="B29:B31"/>
    <mergeCell ref="C29:C31"/>
    <mergeCell ref="D29:D31"/>
    <mergeCell ref="B32:B34"/>
    <mergeCell ref="C32:C34"/>
    <mergeCell ref="D32:D34"/>
    <mergeCell ref="B23:B25"/>
    <mergeCell ref="C23:C25"/>
    <mergeCell ref="D23:D25"/>
    <mergeCell ref="B26:B28"/>
    <mergeCell ref="C26:C28"/>
    <mergeCell ref="D26:D28"/>
    <mergeCell ref="B41:B43"/>
    <mergeCell ref="C41:C43"/>
    <mergeCell ref="D41:D43"/>
    <mergeCell ref="B44:B46"/>
    <mergeCell ref="C44:C46"/>
    <mergeCell ref="F20:F22"/>
    <mergeCell ref="G20:G22"/>
    <mergeCell ref="F23:F25"/>
    <mergeCell ref="B47:B49"/>
    <mergeCell ref="C47:C49"/>
    <mergeCell ref="D47:D49"/>
    <mergeCell ref="F41:F43"/>
    <mergeCell ref="G41:G43"/>
    <mergeCell ref="F44:F46"/>
    <mergeCell ref="G44:G46"/>
    <mergeCell ref="F47:F49"/>
    <mergeCell ref="D44:D46"/>
    <mergeCell ref="B35:B37"/>
    <mergeCell ref="C35:C37"/>
    <mergeCell ref="D35:D37"/>
    <mergeCell ref="B38:B40"/>
    <mergeCell ref="C38:C40"/>
    <mergeCell ref="D38:D40"/>
    <mergeCell ref="G23:G25"/>
    <mergeCell ref="F26:F28"/>
    <mergeCell ref="G26:G28"/>
    <mergeCell ref="F29:F31"/>
    <mergeCell ref="G29:G31"/>
    <mergeCell ref="G47:G49"/>
    <mergeCell ref="F5:F7"/>
    <mergeCell ref="G5:G7"/>
    <mergeCell ref="F8:F10"/>
    <mergeCell ref="G8:G10"/>
    <mergeCell ref="F11:F13"/>
    <mergeCell ref="G11:G13"/>
    <mergeCell ref="F14:F16"/>
    <mergeCell ref="G14:G16"/>
    <mergeCell ref="F17:F19"/>
    <mergeCell ref="G17:G19"/>
    <mergeCell ref="F32:F34"/>
    <mergeCell ref="G32:G34"/>
    <mergeCell ref="F35:F37"/>
    <mergeCell ref="G35:G37"/>
    <mergeCell ref="F38:F40"/>
    <mergeCell ref="G38:G40"/>
    <mergeCell ref="G65:G67"/>
    <mergeCell ref="B68:B70"/>
    <mergeCell ref="C68:C70"/>
    <mergeCell ref="D68:D70"/>
    <mergeCell ref="F68:F70"/>
    <mergeCell ref="G68:G70"/>
    <mergeCell ref="F50:F52"/>
    <mergeCell ref="G50:G52"/>
    <mergeCell ref="F53:F55"/>
    <mergeCell ref="G53:G55"/>
    <mergeCell ref="B59:B61"/>
    <mergeCell ref="C59:C61"/>
    <mergeCell ref="D59:D61"/>
    <mergeCell ref="F59:F61"/>
    <mergeCell ref="G59:G61"/>
    <mergeCell ref="B50:B52"/>
    <mergeCell ref="C50:C52"/>
    <mergeCell ref="D50:D52"/>
    <mergeCell ref="B53:B55"/>
    <mergeCell ref="C53:C55"/>
    <mergeCell ref="D53:D55"/>
    <mergeCell ref="G77:G79"/>
    <mergeCell ref="B86:B88"/>
    <mergeCell ref="C86:C88"/>
    <mergeCell ref="D86:D88"/>
    <mergeCell ref="F86:F88"/>
    <mergeCell ref="G86:G88"/>
    <mergeCell ref="B83:B85"/>
    <mergeCell ref="C83:C85"/>
    <mergeCell ref="D83:D85"/>
    <mergeCell ref="F83:F85"/>
    <mergeCell ref="G83:G85"/>
    <mergeCell ref="B74:B76"/>
    <mergeCell ref="C74:C76"/>
    <mergeCell ref="D74:D76"/>
    <mergeCell ref="F74:F76"/>
    <mergeCell ref="G74:G76"/>
    <mergeCell ref="B71:B73"/>
    <mergeCell ref="C71:C73"/>
    <mergeCell ref="D71:D73"/>
    <mergeCell ref="F71:F73"/>
    <mergeCell ref="G71:G73"/>
    <mergeCell ref="B92:B94"/>
    <mergeCell ref="C92:C94"/>
    <mergeCell ref="D92:D94"/>
    <mergeCell ref="F92:F94"/>
    <mergeCell ref="G92:G94"/>
    <mergeCell ref="B89:B91"/>
    <mergeCell ref="C89:C91"/>
    <mergeCell ref="D89:D91"/>
    <mergeCell ref="F89:F91"/>
    <mergeCell ref="G89:G91"/>
    <mergeCell ref="B98:B100"/>
    <mergeCell ref="C98:C100"/>
    <mergeCell ref="D98:D100"/>
    <mergeCell ref="F98:F100"/>
    <mergeCell ref="G98:G100"/>
    <mergeCell ref="B95:B97"/>
    <mergeCell ref="C95:C97"/>
    <mergeCell ref="D95:D97"/>
    <mergeCell ref="F95:F97"/>
    <mergeCell ref="G95:G97"/>
    <mergeCell ref="B104:B106"/>
    <mergeCell ref="C104:C106"/>
    <mergeCell ref="D104:D106"/>
    <mergeCell ref="F104:F106"/>
    <mergeCell ref="G104:G106"/>
    <mergeCell ref="B101:B103"/>
    <mergeCell ref="C101:C103"/>
    <mergeCell ref="D101:D103"/>
    <mergeCell ref="F101:F103"/>
    <mergeCell ref="G101:G103"/>
    <mergeCell ref="B113:B115"/>
    <mergeCell ref="C113:C115"/>
    <mergeCell ref="D113:D115"/>
    <mergeCell ref="F113:F115"/>
    <mergeCell ref="G113:G115"/>
    <mergeCell ref="B107:B109"/>
    <mergeCell ref="C107:C109"/>
    <mergeCell ref="D107:D109"/>
    <mergeCell ref="F107:F109"/>
    <mergeCell ref="G107:G109"/>
    <mergeCell ref="B119:B121"/>
    <mergeCell ref="C119:C121"/>
    <mergeCell ref="D119:D121"/>
    <mergeCell ref="F119:F121"/>
    <mergeCell ref="G119:G121"/>
    <mergeCell ref="B116:B118"/>
    <mergeCell ref="C116:C118"/>
    <mergeCell ref="D116:D118"/>
    <mergeCell ref="F116:F118"/>
    <mergeCell ref="G116:G118"/>
    <mergeCell ref="B125:B127"/>
    <mergeCell ref="C125:C127"/>
    <mergeCell ref="D125:D127"/>
    <mergeCell ref="F125:F127"/>
    <mergeCell ref="G125:G127"/>
    <mergeCell ref="B122:B124"/>
    <mergeCell ref="C122:C124"/>
    <mergeCell ref="D122:D124"/>
    <mergeCell ref="F122:F124"/>
    <mergeCell ref="G122:G124"/>
    <mergeCell ref="B131:B133"/>
    <mergeCell ref="C131:C133"/>
    <mergeCell ref="D131:D133"/>
    <mergeCell ref="F131:F133"/>
    <mergeCell ref="G131:G133"/>
    <mergeCell ref="B128:B130"/>
    <mergeCell ref="C128:C130"/>
    <mergeCell ref="D128:D130"/>
    <mergeCell ref="F128:F130"/>
    <mergeCell ref="G128:G130"/>
    <mergeCell ref="B137:B139"/>
    <mergeCell ref="C137:C139"/>
    <mergeCell ref="D137:D139"/>
    <mergeCell ref="F137:F139"/>
    <mergeCell ref="G137:G139"/>
    <mergeCell ref="B134:B136"/>
    <mergeCell ref="C134:C136"/>
    <mergeCell ref="D134:D136"/>
    <mergeCell ref="F134:F136"/>
    <mergeCell ref="G134:G136"/>
    <mergeCell ref="B143:B145"/>
    <mergeCell ref="C143:C145"/>
    <mergeCell ref="D143:D145"/>
    <mergeCell ref="F143:F145"/>
    <mergeCell ref="G143:G145"/>
    <mergeCell ref="B140:B142"/>
    <mergeCell ref="C140:C142"/>
    <mergeCell ref="D140:D142"/>
    <mergeCell ref="F140:F142"/>
    <mergeCell ref="G140:G142"/>
    <mergeCell ref="B149:B151"/>
    <mergeCell ref="C149:C151"/>
    <mergeCell ref="D149:D151"/>
    <mergeCell ref="F149:F151"/>
    <mergeCell ref="G149:G151"/>
    <mergeCell ref="B146:B148"/>
    <mergeCell ref="C146:C148"/>
    <mergeCell ref="D146:D148"/>
    <mergeCell ref="F146:F148"/>
    <mergeCell ref="G146:G148"/>
    <mergeCell ref="B155:B157"/>
    <mergeCell ref="C155:C157"/>
    <mergeCell ref="D155:D157"/>
    <mergeCell ref="F155:F157"/>
    <mergeCell ref="G155:G157"/>
    <mergeCell ref="B152:B154"/>
    <mergeCell ref="C152:C154"/>
    <mergeCell ref="D152:D154"/>
    <mergeCell ref="F152:F154"/>
    <mergeCell ref="G152:G154"/>
    <mergeCell ref="B161:B163"/>
    <mergeCell ref="C161:C163"/>
    <mergeCell ref="D161:D163"/>
    <mergeCell ref="F161:F163"/>
    <mergeCell ref="G161:G163"/>
    <mergeCell ref="B158:B160"/>
    <mergeCell ref="C158:C160"/>
    <mergeCell ref="D158:D160"/>
    <mergeCell ref="F158:F160"/>
    <mergeCell ref="G158:G160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75B18-2904-B346-B8A2-54D0721C7E9B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8" customWidth="1"/>
    <col min="2" max="2" width="10.33203125" style="8" bestFit="1" customWidth="1"/>
    <col min="3" max="10" width="9.1640625" style="8"/>
    <col min="11" max="14" width="9.6640625" style="8" bestFit="1" customWidth="1"/>
    <col min="15" max="15" width="12.1640625" style="8" customWidth="1"/>
    <col min="16" max="16" width="12.5" style="8" bestFit="1" customWidth="1"/>
    <col min="17" max="18" width="13.6640625" style="8" customWidth="1"/>
    <col min="19" max="19" width="14.5" style="8" customWidth="1"/>
    <col min="20" max="21" width="10.5" style="8" bestFit="1" customWidth="1"/>
    <col min="22" max="23" width="9.1640625" style="8"/>
    <col min="24" max="24" width="12.6640625" style="8" customWidth="1"/>
    <col min="25" max="16384" width="9.1640625" style="8"/>
  </cols>
  <sheetData>
    <row r="1" spans="1:29" ht="14" thickBot="1" x14ac:dyDescent="0.2">
      <c r="A1" s="267" t="s">
        <v>95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9"/>
    </row>
    <row r="2" spans="1:29" ht="16" customHeight="1" thickBot="1" x14ac:dyDescent="0.2">
      <c r="A2" s="158"/>
      <c r="B2" s="270" t="s">
        <v>60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2"/>
      <c r="Z2" s="273"/>
      <c r="AA2" s="273"/>
    </row>
    <row r="3" spans="1:29" ht="37" customHeight="1" x14ac:dyDescent="0.15">
      <c r="A3" s="51"/>
      <c r="B3" s="120" t="s">
        <v>0</v>
      </c>
      <c r="C3" s="64" t="s">
        <v>1</v>
      </c>
      <c r="D3" s="64" t="s">
        <v>2</v>
      </c>
      <c r="E3" s="123" t="s">
        <v>17</v>
      </c>
      <c r="F3" s="122"/>
      <c r="G3" s="122" t="s">
        <v>18</v>
      </c>
      <c r="H3" s="274" t="s">
        <v>107</v>
      </c>
      <c r="I3" s="275"/>
      <c r="J3" s="275"/>
      <c r="K3" s="276" t="s">
        <v>96</v>
      </c>
      <c r="L3" s="276"/>
      <c r="M3" s="276"/>
      <c r="N3" s="64" t="s">
        <v>19</v>
      </c>
      <c r="O3" s="64" t="s">
        <v>20</v>
      </c>
      <c r="P3" s="64" t="s">
        <v>20</v>
      </c>
      <c r="Q3" s="64" t="s">
        <v>97</v>
      </c>
      <c r="R3" s="123" t="s">
        <v>97</v>
      </c>
      <c r="S3" s="64" t="s">
        <v>98</v>
      </c>
      <c r="T3" s="64" t="s">
        <v>86</v>
      </c>
      <c r="U3" s="121" t="s">
        <v>62</v>
      </c>
      <c r="W3" s="56" t="str">
        <f>D3</f>
        <v>Hours</v>
      </c>
      <c r="X3" s="72" t="str">
        <f>S3</f>
        <v>Average NO3 concentration</v>
      </c>
      <c r="Y3" s="72" t="str">
        <f>U3</f>
        <v>Standard error</v>
      </c>
      <c r="Z3" s="56"/>
      <c r="AA3" s="124"/>
      <c r="AB3" s="124"/>
      <c r="AC3" s="124"/>
    </row>
    <row r="4" spans="1:29" ht="15" customHeight="1" x14ac:dyDescent="0.15">
      <c r="A4" s="51"/>
      <c r="B4" s="125"/>
      <c r="C4" s="156"/>
      <c r="D4" s="155"/>
      <c r="E4" s="155"/>
      <c r="F4" s="126"/>
      <c r="G4" s="126"/>
      <c r="H4" s="159" t="s">
        <v>102</v>
      </c>
      <c r="I4" s="159" t="s">
        <v>103</v>
      </c>
      <c r="J4" s="160" t="s">
        <v>108</v>
      </c>
      <c r="K4" s="242" t="s">
        <v>21</v>
      </c>
      <c r="L4" s="234"/>
      <c r="M4" s="235"/>
      <c r="N4" s="70" t="s">
        <v>21</v>
      </c>
      <c r="O4" s="70" t="s">
        <v>15</v>
      </c>
      <c r="P4" s="70" t="s">
        <v>22</v>
      </c>
      <c r="Q4" s="70" t="s">
        <v>22</v>
      </c>
      <c r="R4" s="69" t="s">
        <v>15</v>
      </c>
      <c r="S4" s="70" t="s">
        <v>15</v>
      </c>
      <c r="T4" s="70"/>
      <c r="U4" s="68"/>
      <c r="W4" s="81">
        <v>0</v>
      </c>
      <c r="X4" s="76">
        <f>S7</f>
        <v>1.5637439888762767</v>
      </c>
      <c r="Y4" s="76">
        <f>U7</f>
        <v>1.7216845818776444E-2</v>
      </c>
      <c r="Z4" s="76"/>
      <c r="AA4" s="124"/>
      <c r="AB4" s="124"/>
      <c r="AC4" s="124"/>
    </row>
    <row r="5" spans="1:29" ht="14" x14ac:dyDescent="0.15">
      <c r="A5" s="51"/>
      <c r="B5" s="251" t="s">
        <v>23</v>
      </c>
      <c r="C5" s="249">
        <v>0.41666666666666669</v>
      </c>
      <c r="D5" s="226">
        <v>0</v>
      </c>
      <c r="E5" s="253">
        <v>1</v>
      </c>
      <c r="F5" s="104" t="s">
        <v>104</v>
      </c>
      <c r="G5" s="257">
        <v>5.5666667000000003E-2</v>
      </c>
      <c r="H5" s="153">
        <f>0.977-G5</f>
        <v>0.92133333299999998</v>
      </c>
      <c r="I5" s="154">
        <f>1.012-G5</f>
        <v>0.95633333300000001</v>
      </c>
      <c r="J5" s="154">
        <f>1.011-G5</f>
        <v>0.9553333329999999</v>
      </c>
      <c r="K5" s="76">
        <f>5.5045*H5</f>
        <v>5.0714793314984998</v>
      </c>
      <c r="L5" s="76">
        <f t="shared" ref="L5:M7" si="0">5.5045*I5</f>
        <v>5.2641368314985</v>
      </c>
      <c r="M5" s="76">
        <f t="shared" si="0"/>
        <v>5.2586323314984993</v>
      </c>
      <c r="N5" s="76">
        <f>AVERAGE(K5:M5)</f>
        <v>5.1980828314984997</v>
      </c>
      <c r="O5" s="76">
        <f>N5/15</f>
        <v>0.34653885543323332</v>
      </c>
      <c r="P5" s="76">
        <f>O5/14</f>
        <v>2.4752775388088094E-2</v>
      </c>
      <c r="Q5" s="76">
        <f>P5</f>
        <v>2.4752775388088094E-2</v>
      </c>
      <c r="R5" s="76">
        <f>Q5*62</f>
        <v>1.5346720740614619</v>
      </c>
      <c r="S5" s="127"/>
      <c r="T5" s="56"/>
      <c r="U5" s="73"/>
      <c r="W5" s="81">
        <f>D8</f>
        <v>49.5</v>
      </c>
      <c r="X5" s="76">
        <f>S10</f>
        <v>1.5920354423280425</v>
      </c>
      <c r="Y5" s="76">
        <f>U10</f>
        <v>6.9855561712554694E-3</v>
      </c>
      <c r="Z5" s="76"/>
      <c r="AA5" s="124"/>
      <c r="AB5" s="124"/>
      <c r="AC5" s="124"/>
    </row>
    <row r="6" spans="1:29" ht="14" x14ac:dyDescent="0.15">
      <c r="A6" s="51"/>
      <c r="B6" s="251"/>
      <c r="C6" s="249"/>
      <c r="D6" s="226"/>
      <c r="E6" s="253"/>
      <c r="F6" s="104" t="s">
        <v>105</v>
      </c>
      <c r="G6" s="255"/>
      <c r="H6" s="74">
        <f>1.012-G5</f>
        <v>0.95633333300000001</v>
      </c>
      <c r="I6" s="76">
        <f>1.048-G5</f>
        <v>0.99233333300000004</v>
      </c>
      <c r="J6" s="76">
        <f>1.05-G5</f>
        <v>0.99433333300000004</v>
      </c>
      <c r="K6" s="76">
        <f t="shared" ref="K6:K7" si="1">5.5045*H6</f>
        <v>5.2641368314985</v>
      </c>
      <c r="L6" s="76">
        <f t="shared" si="0"/>
        <v>5.4622988314985008</v>
      </c>
      <c r="M6" s="76">
        <f t="shared" si="0"/>
        <v>5.4733078314985004</v>
      </c>
      <c r="N6" s="76">
        <f>AVERAGE(K6:M6)</f>
        <v>5.3999144981651668</v>
      </c>
      <c r="O6" s="76">
        <f t="shared" ref="O6:O7" si="2">N6/15</f>
        <v>0.35999429987767778</v>
      </c>
      <c r="P6" s="76">
        <f t="shared" ref="P6:P31" si="3">O6/14</f>
        <v>2.5713878562691271E-2</v>
      </c>
      <c r="Q6" s="76">
        <f t="shared" ref="Q6:Q31" si="4">P6</f>
        <v>2.5713878562691271E-2</v>
      </c>
      <c r="R6" s="76">
        <f t="shared" ref="R6:R31" si="5">Q6*62</f>
        <v>1.5942604708868588</v>
      </c>
      <c r="S6" s="127"/>
      <c r="T6" s="56"/>
      <c r="U6" s="73"/>
      <c r="W6" s="81">
        <f>D11</f>
        <v>96</v>
      </c>
      <c r="X6" s="76">
        <f>S13</f>
        <v>1.4482287058201058</v>
      </c>
      <c r="Y6" s="76">
        <f>U13</f>
        <v>2.0567302397556272E-2</v>
      </c>
      <c r="Z6" s="76"/>
      <c r="AA6" s="124"/>
      <c r="AB6" s="124"/>
      <c r="AC6" s="124"/>
    </row>
    <row r="7" spans="1:29" ht="14" x14ac:dyDescent="0.15">
      <c r="A7" s="51"/>
      <c r="B7" s="252"/>
      <c r="C7" s="250"/>
      <c r="D7" s="227"/>
      <c r="E7" s="254"/>
      <c r="F7" s="151" t="s">
        <v>106</v>
      </c>
      <c r="G7" s="256"/>
      <c r="H7" s="83">
        <f>1.009-G5</f>
        <v>0.95333333299999989</v>
      </c>
      <c r="I7" s="85">
        <f>1.02-G5</f>
        <v>0.96433333300000001</v>
      </c>
      <c r="J7" s="85">
        <f>1.022-G5</f>
        <v>0.96633333300000002</v>
      </c>
      <c r="K7" s="85">
        <f t="shared" si="1"/>
        <v>5.2476233314984997</v>
      </c>
      <c r="L7" s="85">
        <f t="shared" si="0"/>
        <v>5.3081728314985002</v>
      </c>
      <c r="M7" s="85">
        <f t="shared" si="0"/>
        <v>5.3191818314985007</v>
      </c>
      <c r="N7" s="85">
        <f>AVERAGE(K7:M7)</f>
        <v>5.2916593314984999</v>
      </c>
      <c r="O7" s="85">
        <f t="shared" si="2"/>
        <v>0.35277728876656667</v>
      </c>
      <c r="P7" s="85">
        <f t="shared" si="3"/>
        <v>2.5198377769040475E-2</v>
      </c>
      <c r="Q7" s="85">
        <f t="shared" si="4"/>
        <v>2.5198377769040475E-2</v>
      </c>
      <c r="R7" s="85">
        <f t="shared" si="5"/>
        <v>1.5622994216805095</v>
      </c>
      <c r="S7" s="130">
        <f>AVERAGE(R5:R7)</f>
        <v>1.5637439888762767</v>
      </c>
      <c r="T7" s="85">
        <f>STDEV(R5:R7)</f>
        <v>2.9820451704200588E-2</v>
      </c>
      <c r="U7" s="84">
        <f>T7/SQRT(3)</f>
        <v>1.7216845818776444E-2</v>
      </c>
      <c r="W7" s="81">
        <f>D14</f>
        <v>144</v>
      </c>
      <c r="X7" s="76">
        <f>S16</f>
        <v>1.3980235464550261</v>
      </c>
      <c r="Y7" s="76">
        <f>U16</f>
        <v>1.2155886008038103E-2</v>
      </c>
      <c r="Z7" s="76"/>
      <c r="AA7" s="124"/>
      <c r="AB7" s="124"/>
      <c r="AC7" s="124"/>
    </row>
    <row r="8" spans="1:29" ht="14" x14ac:dyDescent="0.15">
      <c r="A8" s="51"/>
      <c r="B8" s="258" t="s">
        <v>25</v>
      </c>
      <c r="C8" s="249">
        <v>0.47916666666666669</v>
      </c>
      <c r="D8" s="216">
        <v>49.5</v>
      </c>
      <c r="E8" s="253">
        <v>3</v>
      </c>
      <c r="F8" s="104" t="s">
        <v>104</v>
      </c>
      <c r="G8" s="255">
        <v>7.2666666666666657E-2</v>
      </c>
      <c r="H8" s="74">
        <f>1.021-G8</f>
        <v>0.94833333333333325</v>
      </c>
      <c r="I8" s="76">
        <f>1.021-G8</f>
        <v>0.94833333333333325</v>
      </c>
      <c r="J8" s="76">
        <f>1.044-G8</f>
        <v>0.97133333333333338</v>
      </c>
      <c r="K8" s="76">
        <f>5.657*H8</f>
        <v>5.3647216666666662</v>
      </c>
      <c r="L8" s="76">
        <f t="shared" ref="L8:M10" si="6">5.657*I8</f>
        <v>5.3647216666666662</v>
      </c>
      <c r="M8" s="76">
        <f t="shared" si="6"/>
        <v>5.4948326666666674</v>
      </c>
      <c r="N8" s="76">
        <f t="shared" ref="N8:N31" si="7">AVERAGE(K8:M8)</f>
        <v>5.4080919999999999</v>
      </c>
      <c r="O8" s="76">
        <f>N8/15</f>
        <v>0.36053946666666664</v>
      </c>
      <c r="P8" s="76">
        <f t="shared" si="3"/>
        <v>2.5752819047619047E-2</v>
      </c>
      <c r="Q8" s="76">
        <f t="shared" si="4"/>
        <v>2.5752819047619047E-2</v>
      </c>
      <c r="R8" s="76">
        <f t="shared" si="5"/>
        <v>1.5966747809523809</v>
      </c>
      <c r="S8" s="128"/>
      <c r="T8" s="76"/>
      <c r="U8" s="75"/>
      <c r="W8" s="81">
        <f>D17</f>
        <v>192</v>
      </c>
      <c r="X8" s="76">
        <f>S19</f>
        <v>1.321325655873016</v>
      </c>
      <c r="Y8" s="76">
        <f>U19</f>
        <v>1.4555030843437879E-2</v>
      </c>
      <c r="Z8" s="76"/>
      <c r="AA8" s="124"/>
      <c r="AB8" s="124"/>
      <c r="AC8" s="124"/>
    </row>
    <row r="9" spans="1:29" ht="14" x14ac:dyDescent="0.15">
      <c r="A9" s="51"/>
      <c r="B9" s="258"/>
      <c r="C9" s="249"/>
      <c r="D9" s="216"/>
      <c r="E9" s="253"/>
      <c r="F9" s="104" t="s">
        <v>105</v>
      </c>
      <c r="G9" s="255"/>
      <c r="H9" s="74">
        <f>1.004-G8</f>
        <v>0.93133333333333335</v>
      </c>
      <c r="I9" s="76">
        <f>1.012-G8</f>
        <v>0.93933333333333335</v>
      </c>
      <c r="J9" s="76">
        <f>1.037-G8</f>
        <v>0.96433333333333326</v>
      </c>
      <c r="K9" s="76">
        <f t="shared" ref="K9:K10" si="8">5.657*H9</f>
        <v>5.2685526666666664</v>
      </c>
      <c r="L9" s="76">
        <f t="shared" si="6"/>
        <v>5.3138086666666666</v>
      </c>
      <c r="M9" s="76">
        <f t="shared" si="6"/>
        <v>5.4552336666666665</v>
      </c>
      <c r="N9" s="76">
        <f t="shared" si="7"/>
        <v>5.3458649999999999</v>
      </c>
      <c r="O9" s="76">
        <f>N9/15</f>
        <v>0.35639100000000001</v>
      </c>
      <c r="P9" s="76">
        <f t="shared" si="3"/>
        <v>2.54565E-2</v>
      </c>
      <c r="Q9" s="76">
        <f t="shared" si="4"/>
        <v>2.54565E-2</v>
      </c>
      <c r="R9" s="76">
        <f t="shared" si="5"/>
        <v>1.578303</v>
      </c>
      <c r="S9" s="128"/>
      <c r="T9" s="76"/>
      <c r="U9" s="75"/>
      <c r="W9" s="81">
        <f>D20</f>
        <v>264</v>
      </c>
      <c r="X9" s="76">
        <f>S22</f>
        <v>1.1889948044444445</v>
      </c>
      <c r="Y9" s="76">
        <f>U22</f>
        <v>7.714774420175697E-3</v>
      </c>
      <c r="Z9" s="76"/>
      <c r="AA9" s="124"/>
      <c r="AB9" s="124"/>
      <c r="AC9" s="124"/>
    </row>
    <row r="10" spans="1:29" ht="14" x14ac:dyDescent="0.15">
      <c r="A10" s="51"/>
      <c r="B10" s="259"/>
      <c r="C10" s="250"/>
      <c r="D10" s="217"/>
      <c r="E10" s="254"/>
      <c r="F10" s="151" t="s">
        <v>106</v>
      </c>
      <c r="G10" s="256"/>
      <c r="H10" s="83">
        <f>1.011-G8</f>
        <v>0.93833333333333324</v>
      </c>
      <c r="I10" s="85">
        <f>1.031-G8</f>
        <v>0.95833333333333326</v>
      </c>
      <c r="J10" s="85">
        <f>1.052-G8</f>
        <v>0.97933333333333339</v>
      </c>
      <c r="K10" s="85">
        <f t="shared" si="8"/>
        <v>5.3081516666666664</v>
      </c>
      <c r="L10" s="85">
        <f t="shared" si="6"/>
        <v>5.421291666666666</v>
      </c>
      <c r="M10" s="85">
        <f t="shared" si="6"/>
        <v>5.5400886666666667</v>
      </c>
      <c r="N10" s="85">
        <f t="shared" si="7"/>
        <v>5.4231773333333324</v>
      </c>
      <c r="O10" s="85">
        <f>N10/15</f>
        <v>0.3615451555555555</v>
      </c>
      <c r="P10" s="85">
        <f t="shared" si="3"/>
        <v>2.5824653968253963E-2</v>
      </c>
      <c r="Q10" s="85">
        <f t="shared" si="4"/>
        <v>2.5824653968253963E-2</v>
      </c>
      <c r="R10" s="85">
        <f t="shared" si="5"/>
        <v>1.6011285460317457</v>
      </c>
      <c r="S10" s="130">
        <f>AVERAGE(R8:R10)</f>
        <v>1.5920354423280425</v>
      </c>
      <c r="T10" s="85">
        <f>STDEV(R8:R10)</f>
        <v>1.2099338207740789E-2</v>
      </c>
      <c r="U10" s="84">
        <f>T10/SQRT(3)</f>
        <v>6.9855561712554694E-3</v>
      </c>
      <c r="W10" s="81">
        <f>D23</f>
        <v>312</v>
      </c>
      <c r="X10" s="76">
        <f>S25</f>
        <v>1.0385484912169312</v>
      </c>
      <c r="Y10" s="76">
        <f>U25</f>
        <v>6.2509555898738259E-2</v>
      </c>
      <c r="Z10" s="76"/>
      <c r="AA10" s="124"/>
      <c r="AB10" s="124"/>
      <c r="AC10" s="124"/>
    </row>
    <row r="11" spans="1:29" ht="14" x14ac:dyDescent="0.15">
      <c r="A11" s="51"/>
      <c r="B11" s="207" t="s">
        <v>27</v>
      </c>
      <c r="C11" s="249">
        <v>0.41666666666666669</v>
      </c>
      <c r="D11" s="226">
        <v>96</v>
      </c>
      <c r="E11" s="253">
        <v>5</v>
      </c>
      <c r="F11" s="104" t="s">
        <v>104</v>
      </c>
      <c r="G11" s="255">
        <v>7.2666666666666671E-2</v>
      </c>
      <c r="H11" s="74">
        <f>0.937-G11</f>
        <v>0.8643333333333334</v>
      </c>
      <c r="I11" s="76">
        <f>0.958-G11</f>
        <v>0.88533333333333331</v>
      </c>
      <c r="J11" s="76">
        <f>0.975-G11</f>
        <v>0.90233333333333332</v>
      </c>
      <c r="K11" s="76">
        <f>5.6585*H11</f>
        <v>4.8908301666666674</v>
      </c>
      <c r="L11" s="76">
        <f t="shared" ref="L11:M13" si="9">5.6585*I11</f>
        <v>5.0096586666666667</v>
      </c>
      <c r="M11" s="76">
        <f t="shared" si="9"/>
        <v>5.1058531666666669</v>
      </c>
      <c r="N11" s="76">
        <f t="shared" si="7"/>
        <v>5.0021139999999997</v>
      </c>
      <c r="O11" s="76">
        <f t="shared" ref="O11:O25" si="10">N11/15</f>
        <v>0.33347426666666663</v>
      </c>
      <c r="P11" s="76">
        <f t="shared" si="3"/>
        <v>2.3819590476190474E-2</v>
      </c>
      <c r="Q11" s="76">
        <f t="shared" si="4"/>
        <v>2.3819590476190474E-2</v>
      </c>
      <c r="R11" s="76">
        <f t="shared" si="5"/>
        <v>1.4768146095238095</v>
      </c>
      <c r="S11" s="128"/>
      <c r="T11" s="76"/>
      <c r="U11" s="75"/>
      <c r="W11" s="81">
        <f>D26</f>
        <v>361.5</v>
      </c>
      <c r="X11" s="76">
        <f>S28</f>
        <v>0.96411540404761897</v>
      </c>
      <c r="Y11" s="76">
        <f>U28</f>
        <v>1.295702772191383E-2</v>
      </c>
      <c r="Z11" s="76"/>
      <c r="AA11" s="124"/>
      <c r="AB11" s="124"/>
      <c r="AC11" s="124"/>
    </row>
    <row r="12" spans="1:29" ht="15" customHeight="1" x14ac:dyDescent="0.15">
      <c r="A12" s="51"/>
      <c r="B12" s="207"/>
      <c r="C12" s="249"/>
      <c r="D12" s="226"/>
      <c r="E12" s="253"/>
      <c r="F12" s="104" t="s">
        <v>105</v>
      </c>
      <c r="G12" s="255"/>
      <c r="H12" s="74">
        <f>0.928-G11</f>
        <v>0.85533333333333339</v>
      </c>
      <c r="I12" s="76">
        <f>0.948-G11</f>
        <v>0.8753333333333333</v>
      </c>
      <c r="J12" s="76">
        <f>0.963-G11</f>
        <v>0.89033333333333331</v>
      </c>
      <c r="K12" s="76">
        <f t="shared" ref="K12:K13" si="11">5.6585*H12</f>
        <v>4.8399036666666673</v>
      </c>
      <c r="L12" s="76">
        <f t="shared" si="9"/>
        <v>4.9530736666666666</v>
      </c>
      <c r="M12" s="76">
        <f t="shared" si="9"/>
        <v>5.0379511666666668</v>
      </c>
      <c r="N12" s="76">
        <f t="shared" si="7"/>
        <v>4.9436428333333327</v>
      </c>
      <c r="O12" s="76">
        <f t="shared" si="10"/>
        <v>0.32957618888888884</v>
      </c>
      <c r="P12" s="76">
        <f t="shared" si="3"/>
        <v>2.3541156349206345E-2</v>
      </c>
      <c r="Q12" s="76">
        <f t="shared" si="4"/>
        <v>2.3541156349206345E-2</v>
      </c>
      <c r="R12" s="76">
        <f t="shared" si="5"/>
        <v>1.4595516936507933</v>
      </c>
      <c r="S12" s="128"/>
      <c r="T12" s="76"/>
      <c r="U12" s="75"/>
      <c r="W12" s="81">
        <f>D29</f>
        <v>409.5</v>
      </c>
      <c r="X12" s="76">
        <f>S31</f>
        <v>0.84547936111111133</v>
      </c>
      <c r="Y12" s="76">
        <f>U31</f>
        <v>4.8767161674160092E-2</v>
      </c>
      <c r="Z12" s="76"/>
      <c r="AA12" s="124"/>
      <c r="AB12" s="124"/>
      <c r="AC12" s="124"/>
    </row>
    <row r="13" spans="1:29" ht="15" customHeight="1" x14ac:dyDescent="0.15">
      <c r="A13" s="51"/>
      <c r="B13" s="208"/>
      <c r="C13" s="250"/>
      <c r="D13" s="227"/>
      <c r="E13" s="254"/>
      <c r="F13" s="151" t="s">
        <v>106</v>
      </c>
      <c r="G13" s="256"/>
      <c r="H13" s="83">
        <f>0.899-G11</f>
        <v>0.82633333333333336</v>
      </c>
      <c r="I13" s="85">
        <f>0.923-G11</f>
        <v>0.85033333333333339</v>
      </c>
      <c r="J13" s="85">
        <f>0.925-G11</f>
        <v>0.85233333333333339</v>
      </c>
      <c r="K13" s="85">
        <f t="shared" si="11"/>
        <v>4.675807166666667</v>
      </c>
      <c r="L13" s="85">
        <f t="shared" si="9"/>
        <v>4.8116111666666672</v>
      </c>
      <c r="M13" s="85">
        <f t="shared" si="9"/>
        <v>4.8229281666666672</v>
      </c>
      <c r="N13" s="85">
        <f t="shared" si="7"/>
        <v>4.7701155000000002</v>
      </c>
      <c r="O13" s="85">
        <f t="shared" si="10"/>
        <v>0.3180077</v>
      </c>
      <c r="P13" s="85">
        <f t="shared" si="3"/>
        <v>2.2714835714285713E-2</v>
      </c>
      <c r="Q13" s="85">
        <f t="shared" si="4"/>
        <v>2.2714835714285713E-2</v>
      </c>
      <c r="R13" s="85">
        <f t="shared" si="5"/>
        <v>1.4083198142857143</v>
      </c>
      <c r="S13" s="130">
        <f>AVERAGE(R11:R13)</f>
        <v>1.4482287058201058</v>
      </c>
      <c r="T13" s="85">
        <f>STDEV(R11:R13)</f>
        <v>3.5623612727200646E-2</v>
      </c>
      <c r="U13" s="84">
        <f>T13/SQRT(3)</f>
        <v>2.0567302397556272E-2</v>
      </c>
      <c r="W13" s="81"/>
      <c r="X13" s="76"/>
      <c r="Y13" s="76"/>
      <c r="Z13" s="76"/>
      <c r="AA13" s="124"/>
      <c r="AB13" s="124"/>
      <c r="AC13" s="124"/>
    </row>
    <row r="14" spans="1:29" x14ac:dyDescent="0.15">
      <c r="A14" s="51"/>
      <c r="B14" s="258" t="s">
        <v>29</v>
      </c>
      <c r="C14" s="249">
        <v>0.41666666666666669</v>
      </c>
      <c r="D14" s="226">
        <v>144</v>
      </c>
      <c r="E14" s="253">
        <v>7</v>
      </c>
      <c r="F14" s="104" t="s">
        <v>104</v>
      </c>
      <c r="G14" s="255">
        <v>7.6499999999999999E-2</v>
      </c>
      <c r="H14" s="74">
        <f>0.975-G14</f>
        <v>0.89849999999999997</v>
      </c>
      <c r="I14" s="76">
        <f>0.878-G14</f>
        <v>0.80149999999999999</v>
      </c>
      <c r="J14" s="76">
        <f>0.892-G14</f>
        <v>0.8155</v>
      </c>
      <c r="K14" s="76">
        <f>5.6668*H14</f>
        <v>5.0916198000000001</v>
      </c>
      <c r="L14" s="76">
        <f t="shared" ref="L14:M16" si="12">5.6668*I14</f>
        <v>4.5419402</v>
      </c>
      <c r="M14" s="76">
        <f t="shared" si="12"/>
        <v>4.6212754</v>
      </c>
      <c r="N14" s="76">
        <f t="shared" si="7"/>
        <v>4.7516118000000001</v>
      </c>
      <c r="O14" s="76">
        <f t="shared" si="10"/>
        <v>0.31677411999999999</v>
      </c>
      <c r="P14" s="76">
        <f t="shared" si="3"/>
        <v>2.2626722857142855E-2</v>
      </c>
      <c r="Q14" s="76">
        <f t="shared" si="4"/>
        <v>2.2626722857142855E-2</v>
      </c>
      <c r="R14" s="76">
        <f t="shared" si="5"/>
        <v>1.402856817142857</v>
      </c>
      <c r="S14" s="127"/>
      <c r="T14" s="56"/>
      <c r="U14" s="73"/>
      <c r="W14" s="56"/>
      <c r="X14" s="76"/>
      <c r="Y14" s="76"/>
      <c r="Z14" s="76"/>
      <c r="AA14" s="76"/>
    </row>
    <row r="15" spans="1:29" ht="14" x14ac:dyDescent="0.15">
      <c r="B15" s="258"/>
      <c r="C15" s="249"/>
      <c r="D15" s="226"/>
      <c r="E15" s="253"/>
      <c r="F15" s="104" t="s">
        <v>105</v>
      </c>
      <c r="G15" s="255"/>
      <c r="H15" s="74">
        <f>0.894-G14</f>
        <v>0.8175</v>
      </c>
      <c r="I15" s="76">
        <f>0.892-G14</f>
        <v>0.8155</v>
      </c>
      <c r="J15" s="76">
        <f>0.909-G14</f>
        <v>0.83250000000000002</v>
      </c>
      <c r="K15" s="76">
        <f t="shared" ref="K15:K16" si="13">5.6668*H15</f>
        <v>4.6326090000000004</v>
      </c>
      <c r="L15" s="76">
        <f t="shared" si="12"/>
        <v>4.6212754</v>
      </c>
      <c r="M15" s="76">
        <f t="shared" si="12"/>
        <v>4.7176110000000007</v>
      </c>
      <c r="N15" s="76">
        <f t="shared" si="7"/>
        <v>4.6571651333333337</v>
      </c>
      <c r="O15" s="76">
        <f t="shared" si="10"/>
        <v>0.31047767555555555</v>
      </c>
      <c r="P15" s="76">
        <f t="shared" si="3"/>
        <v>2.2176976825396825E-2</v>
      </c>
      <c r="Q15" s="76">
        <f t="shared" si="4"/>
        <v>2.2176976825396825E-2</v>
      </c>
      <c r="R15" s="76">
        <f t="shared" si="5"/>
        <v>1.374972563174603</v>
      </c>
      <c r="S15" s="127"/>
      <c r="T15" s="56"/>
      <c r="U15" s="73"/>
      <c r="W15" s="124"/>
      <c r="X15" s="124"/>
      <c r="Y15" s="124"/>
      <c r="Z15" s="76"/>
      <c r="AA15" s="76"/>
    </row>
    <row r="16" spans="1:29" ht="14" x14ac:dyDescent="0.15">
      <c r="B16" s="259"/>
      <c r="C16" s="250"/>
      <c r="D16" s="227"/>
      <c r="E16" s="254"/>
      <c r="F16" s="151" t="s">
        <v>106</v>
      </c>
      <c r="G16" s="256"/>
      <c r="H16" s="83">
        <f>0.919-G14</f>
        <v>0.84250000000000003</v>
      </c>
      <c r="I16" s="85">
        <f>0.92-G14</f>
        <v>0.84350000000000003</v>
      </c>
      <c r="J16" s="85">
        <f>0.93-G14</f>
        <v>0.85350000000000004</v>
      </c>
      <c r="K16" s="85">
        <f t="shared" si="13"/>
        <v>4.7742790000000008</v>
      </c>
      <c r="L16" s="85">
        <f t="shared" si="12"/>
        <v>4.7799458000000001</v>
      </c>
      <c r="M16" s="85">
        <f t="shared" si="12"/>
        <v>4.8366138000000003</v>
      </c>
      <c r="N16" s="85">
        <f t="shared" si="7"/>
        <v>4.7969461999999998</v>
      </c>
      <c r="O16" s="85">
        <f t="shared" si="10"/>
        <v>0.31979641333333331</v>
      </c>
      <c r="P16" s="85">
        <f t="shared" si="3"/>
        <v>2.284260095238095E-2</v>
      </c>
      <c r="Q16" s="85">
        <f t="shared" si="4"/>
        <v>2.284260095238095E-2</v>
      </c>
      <c r="R16" s="85">
        <f t="shared" si="5"/>
        <v>1.4162412590476188</v>
      </c>
      <c r="S16" s="130">
        <f>AVERAGE(R14:R16)</f>
        <v>1.3980235464550261</v>
      </c>
      <c r="T16" s="85">
        <f>STDEV(R14:R16)</f>
        <v>2.1054612176937611E-2</v>
      </c>
      <c r="U16" s="84">
        <f>T16/SQRT(3)</f>
        <v>1.2155886008038103E-2</v>
      </c>
      <c r="W16" s="6"/>
      <c r="X16" s="6"/>
      <c r="Y16" s="6"/>
      <c r="Z16" s="76"/>
      <c r="AA16" s="76"/>
    </row>
    <row r="17" spans="2:27" ht="14" x14ac:dyDescent="0.15">
      <c r="B17" s="207" t="s">
        <v>31</v>
      </c>
      <c r="C17" s="249">
        <v>0.41666666666666669</v>
      </c>
      <c r="D17" s="226">
        <v>192</v>
      </c>
      <c r="E17" s="253">
        <v>9</v>
      </c>
      <c r="F17" s="104" t="s">
        <v>104</v>
      </c>
      <c r="G17" s="255">
        <v>8.2000000000000003E-2</v>
      </c>
      <c r="H17" s="74">
        <f>0.803-G17</f>
        <v>0.72100000000000009</v>
      </c>
      <c r="I17" s="76">
        <f>0.808-G17</f>
        <v>0.72600000000000009</v>
      </c>
      <c r="J17" s="76">
        <f>0.82-G17</f>
        <v>0.73799999999999999</v>
      </c>
      <c r="K17" s="76">
        <f>6.0262*H17</f>
        <v>4.3448902000000009</v>
      </c>
      <c r="L17" s="76">
        <f t="shared" ref="L17:M19" si="14">6.0262*I17</f>
        <v>4.3750212000000008</v>
      </c>
      <c r="M17" s="76">
        <f t="shared" si="14"/>
        <v>4.4473355999999997</v>
      </c>
      <c r="N17" s="76">
        <f t="shared" si="7"/>
        <v>4.3890823333333335</v>
      </c>
      <c r="O17" s="76">
        <f t="shared" si="10"/>
        <v>0.29260548888888888</v>
      </c>
      <c r="P17" s="76">
        <f t="shared" si="3"/>
        <v>2.0900392063492063E-2</v>
      </c>
      <c r="Q17" s="76">
        <f t="shared" si="4"/>
        <v>2.0900392063492063E-2</v>
      </c>
      <c r="R17" s="76">
        <f t="shared" si="5"/>
        <v>1.2958243079365079</v>
      </c>
      <c r="S17" s="127"/>
      <c r="T17" s="56"/>
      <c r="U17" s="73"/>
      <c r="W17" s="6"/>
      <c r="X17" s="6"/>
      <c r="Y17" s="6"/>
      <c r="Z17" s="76"/>
      <c r="AA17" s="76"/>
    </row>
    <row r="18" spans="2:27" ht="14" x14ac:dyDescent="0.15">
      <c r="B18" s="207"/>
      <c r="C18" s="249"/>
      <c r="D18" s="226"/>
      <c r="E18" s="253"/>
      <c r="F18" s="104" t="s">
        <v>105</v>
      </c>
      <c r="G18" s="255"/>
      <c r="H18" s="74">
        <f>0.8-G17</f>
        <v>0.71800000000000008</v>
      </c>
      <c r="I18" s="76">
        <f>0.839-G17</f>
        <v>0.75700000000000001</v>
      </c>
      <c r="J18" s="76">
        <f>0.836-G17</f>
        <v>0.754</v>
      </c>
      <c r="K18" s="76">
        <f t="shared" ref="K18:K19" si="15">6.0262*H18</f>
        <v>4.326811600000001</v>
      </c>
      <c r="L18" s="76">
        <f t="shared" si="14"/>
        <v>4.5618334000000003</v>
      </c>
      <c r="M18" s="76">
        <f t="shared" si="14"/>
        <v>4.5437548000000003</v>
      </c>
      <c r="N18" s="76">
        <f t="shared" si="7"/>
        <v>4.4774666000000005</v>
      </c>
      <c r="O18" s="76">
        <f t="shared" si="10"/>
        <v>0.29849777333333338</v>
      </c>
      <c r="P18" s="76">
        <f t="shared" si="3"/>
        <v>2.1321269523809527E-2</v>
      </c>
      <c r="Q18" s="76">
        <f t="shared" si="4"/>
        <v>2.1321269523809527E-2</v>
      </c>
      <c r="R18" s="76">
        <f t="shared" si="5"/>
        <v>1.3219187104761907</v>
      </c>
      <c r="S18" s="127"/>
      <c r="T18" s="56"/>
      <c r="U18" s="73"/>
      <c r="W18" s="6"/>
      <c r="X18" s="6"/>
      <c r="Y18" s="6"/>
      <c r="Z18" s="76"/>
      <c r="AA18" s="76"/>
    </row>
    <row r="19" spans="2:27" ht="14" x14ac:dyDescent="0.15">
      <c r="B19" s="208"/>
      <c r="C19" s="250"/>
      <c r="D19" s="227"/>
      <c r="E19" s="254"/>
      <c r="F19" s="151" t="s">
        <v>106</v>
      </c>
      <c r="G19" s="256"/>
      <c r="H19" s="83">
        <f>0.817-G17</f>
        <v>0.73499999999999999</v>
      </c>
      <c r="I19" s="85">
        <f>0.844-G17</f>
        <v>0.76200000000000001</v>
      </c>
      <c r="J19" s="85">
        <f>0.855-G17</f>
        <v>0.77300000000000002</v>
      </c>
      <c r="K19" s="85">
        <f t="shared" si="15"/>
        <v>4.4292569999999998</v>
      </c>
      <c r="L19" s="85">
        <f t="shared" si="14"/>
        <v>4.5919644000000002</v>
      </c>
      <c r="M19" s="85">
        <f t="shared" si="14"/>
        <v>4.6582526</v>
      </c>
      <c r="N19" s="85">
        <f t="shared" si="7"/>
        <v>4.5598246666666666</v>
      </c>
      <c r="O19" s="85">
        <f t="shared" si="10"/>
        <v>0.30398831111111113</v>
      </c>
      <c r="P19" s="85">
        <f t="shared" si="3"/>
        <v>2.1713450793650797E-2</v>
      </c>
      <c r="Q19" s="85">
        <f t="shared" si="4"/>
        <v>2.1713450793650797E-2</v>
      </c>
      <c r="R19" s="85">
        <f t="shared" si="5"/>
        <v>1.3462339492063493</v>
      </c>
      <c r="S19" s="130">
        <f>AVERAGE(R17:R19)</f>
        <v>1.321325655873016</v>
      </c>
      <c r="T19" s="85">
        <f>STDEV(R17:R19)</f>
        <v>2.5210052926566494E-2</v>
      </c>
      <c r="U19" s="84">
        <f>T19/SQRT(3)</f>
        <v>1.4555030843437879E-2</v>
      </c>
      <c r="W19" s="6"/>
      <c r="X19" s="6"/>
      <c r="Y19" s="6"/>
      <c r="Z19" s="76"/>
      <c r="AA19" s="76"/>
    </row>
    <row r="20" spans="2:27" ht="14" x14ac:dyDescent="0.15">
      <c r="B20" s="207" t="s">
        <v>33</v>
      </c>
      <c r="C20" s="249">
        <v>0.41666666666666669</v>
      </c>
      <c r="D20" s="226">
        <v>264</v>
      </c>
      <c r="E20" s="253">
        <v>12</v>
      </c>
      <c r="F20" s="104" t="s">
        <v>104</v>
      </c>
      <c r="G20" s="255">
        <v>7.9000000000000001E-2</v>
      </c>
      <c r="H20" s="74">
        <f>0.767-G20</f>
        <v>0.68800000000000006</v>
      </c>
      <c r="I20" s="76">
        <f>0.711-G20</f>
        <v>0.63200000000000001</v>
      </c>
      <c r="J20" s="76">
        <f>0.725-G20</f>
        <v>0.64600000000000002</v>
      </c>
      <c r="K20" s="76">
        <f>6.0702*H20</f>
        <v>4.1762975999999998</v>
      </c>
      <c r="L20" s="76">
        <f t="shared" ref="L20:M24" si="16">6.0702*I20</f>
        <v>3.8363663999999997</v>
      </c>
      <c r="M20" s="76">
        <f t="shared" si="16"/>
        <v>3.9213491999999999</v>
      </c>
      <c r="N20" s="76">
        <f t="shared" si="7"/>
        <v>3.9780043999999997</v>
      </c>
      <c r="O20" s="76">
        <f t="shared" si="10"/>
        <v>0.26520029333333334</v>
      </c>
      <c r="P20" s="76">
        <f t="shared" si="3"/>
        <v>1.8942878095238095E-2</v>
      </c>
      <c r="Q20" s="76">
        <f t="shared" si="4"/>
        <v>1.8942878095238095E-2</v>
      </c>
      <c r="R20" s="76">
        <f t="shared" si="5"/>
        <v>1.1744584419047619</v>
      </c>
      <c r="S20" s="128"/>
      <c r="T20" s="76"/>
      <c r="U20" s="75"/>
      <c r="W20" s="6"/>
      <c r="X20" s="6"/>
      <c r="Y20" s="6"/>
      <c r="Z20" s="76"/>
      <c r="AA20" s="76"/>
    </row>
    <row r="21" spans="2:27" ht="14" x14ac:dyDescent="0.15">
      <c r="B21" s="207"/>
      <c r="C21" s="249"/>
      <c r="D21" s="226"/>
      <c r="E21" s="253"/>
      <c r="F21" s="104" t="s">
        <v>105</v>
      </c>
      <c r="G21" s="255"/>
      <c r="H21" s="74">
        <f>0.749-G20</f>
        <v>0.67</v>
      </c>
      <c r="I21" s="76">
        <f>0.738-G20</f>
        <v>0.65900000000000003</v>
      </c>
      <c r="J21" s="76">
        <f>0.76-G20</f>
        <v>0.68100000000000005</v>
      </c>
      <c r="K21" s="76">
        <f t="shared" ref="K21:K24" si="17">6.0702*H21</f>
        <v>4.0670340000000005</v>
      </c>
      <c r="L21" s="76">
        <f t="shared" si="16"/>
        <v>4.0002617999999996</v>
      </c>
      <c r="M21" s="76">
        <f t="shared" si="16"/>
        <v>4.1338062000000004</v>
      </c>
      <c r="N21" s="76">
        <f t="shared" si="7"/>
        <v>4.0670340000000005</v>
      </c>
      <c r="O21" s="76">
        <f t="shared" si="10"/>
        <v>0.27113560000000003</v>
      </c>
      <c r="P21" s="76">
        <f t="shared" si="3"/>
        <v>1.9366828571428574E-2</v>
      </c>
      <c r="Q21" s="76">
        <f t="shared" si="4"/>
        <v>1.9366828571428574E-2</v>
      </c>
      <c r="R21" s="76">
        <f t="shared" si="5"/>
        <v>1.2007433714285716</v>
      </c>
      <c r="S21" s="128"/>
      <c r="T21" s="76"/>
      <c r="U21" s="75"/>
      <c r="W21" s="6"/>
      <c r="X21" s="6"/>
      <c r="Y21" s="6"/>
      <c r="Z21" s="76"/>
      <c r="AA21" s="76"/>
    </row>
    <row r="22" spans="2:27" ht="14" x14ac:dyDescent="0.15">
      <c r="B22" s="208"/>
      <c r="C22" s="250"/>
      <c r="D22" s="227"/>
      <c r="E22" s="254"/>
      <c r="F22" s="151" t="s">
        <v>106</v>
      </c>
      <c r="G22" s="256"/>
      <c r="H22" s="83">
        <f>0.763-G20</f>
        <v>0.68400000000000005</v>
      </c>
      <c r="I22" s="85">
        <f>0.729-G20</f>
        <v>0.65</v>
      </c>
      <c r="J22" s="85">
        <f>0.74-G20</f>
        <v>0.66100000000000003</v>
      </c>
      <c r="K22" s="85">
        <f t="shared" si="17"/>
        <v>4.1520168000000002</v>
      </c>
      <c r="L22" s="85">
        <f t="shared" si="16"/>
        <v>3.94563</v>
      </c>
      <c r="M22" s="85">
        <f t="shared" si="16"/>
        <v>4.0124022000000004</v>
      </c>
      <c r="N22" s="85">
        <f t="shared" si="7"/>
        <v>4.036683</v>
      </c>
      <c r="O22" s="85">
        <f t="shared" si="10"/>
        <v>0.26911220000000002</v>
      </c>
      <c r="P22" s="85">
        <f t="shared" si="3"/>
        <v>1.9222300000000001E-2</v>
      </c>
      <c r="Q22" s="85">
        <f t="shared" si="4"/>
        <v>1.9222300000000001E-2</v>
      </c>
      <c r="R22" s="85">
        <f t="shared" si="5"/>
        <v>1.1917826</v>
      </c>
      <c r="S22" s="130">
        <f>AVERAGE(R20:R22)</f>
        <v>1.1889948044444445</v>
      </c>
      <c r="T22" s="85">
        <f>STDEV(R20:R22)</f>
        <v>1.3362381264677032E-2</v>
      </c>
      <c r="U22" s="84">
        <f>T22/SQRT(3)</f>
        <v>7.714774420175697E-3</v>
      </c>
      <c r="W22" s="6"/>
      <c r="X22" s="6"/>
      <c r="Y22" s="6"/>
      <c r="Z22" s="76"/>
      <c r="AA22" s="76"/>
    </row>
    <row r="23" spans="2:27" ht="14" x14ac:dyDescent="0.15">
      <c r="B23" s="207" t="s">
        <v>35</v>
      </c>
      <c r="C23" s="249">
        <v>0.41666666666666669</v>
      </c>
      <c r="D23" s="226">
        <v>312</v>
      </c>
      <c r="E23" s="253">
        <v>14</v>
      </c>
      <c r="F23" s="104" t="s">
        <v>104</v>
      </c>
      <c r="G23" s="255">
        <f>(0.085+0.069+0.079)/3</f>
        <v>7.7666666666666676E-2</v>
      </c>
      <c r="H23" s="74">
        <f>0.685-G23</f>
        <v>0.60733333333333339</v>
      </c>
      <c r="I23" s="76">
        <f>0.735-G23</f>
        <v>0.65733333333333333</v>
      </c>
      <c r="J23" s="76">
        <f>0.697-G23</f>
        <v>0.61933333333333329</v>
      </c>
      <c r="K23" s="76">
        <f t="shared" si="17"/>
        <v>3.6866348000000002</v>
      </c>
      <c r="L23" s="76">
        <f t="shared" si="16"/>
        <v>3.9901447999999999</v>
      </c>
      <c r="M23" s="76">
        <f t="shared" si="16"/>
        <v>3.7594771999999996</v>
      </c>
      <c r="N23" s="76">
        <f t="shared" si="7"/>
        <v>3.8120855999999996</v>
      </c>
      <c r="O23" s="76">
        <f t="shared" si="10"/>
        <v>0.25413903999999998</v>
      </c>
      <c r="P23" s="76">
        <f t="shared" si="3"/>
        <v>1.8152788571428571E-2</v>
      </c>
      <c r="Q23" s="76">
        <f t="shared" si="4"/>
        <v>1.8152788571428571E-2</v>
      </c>
      <c r="R23" s="76">
        <f t="shared" si="5"/>
        <v>1.1254728914285714</v>
      </c>
      <c r="S23" s="128"/>
      <c r="T23" s="76"/>
      <c r="U23" s="75"/>
      <c r="W23" s="6"/>
      <c r="X23" s="6"/>
      <c r="Y23" s="6"/>
      <c r="Z23" s="76"/>
      <c r="AA23" s="76"/>
    </row>
    <row r="24" spans="2:27" ht="14" x14ac:dyDescent="0.15">
      <c r="B24" s="207"/>
      <c r="C24" s="249"/>
      <c r="D24" s="226"/>
      <c r="E24" s="253"/>
      <c r="F24" s="104" t="s">
        <v>105</v>
      </c>
      <c r="G24" s="255"/>
      <c r="H24" s="74">
        <f>0.645-G23</f>
        <v>0.56733333333333336</v>
      </c>
      <c r="I24" s="76">
        <f>0.689-G23</f>
        <v>0.61133333333333328</v>
      </c>
      <c r="J24" s="76">
        <f>0.695-G23</f>
        <v>0.61733333333333329</v>
      </c>
      <c r="K24" s="76">
        <f t="shared" si="17"/>
        <v>3.4438268000000001</v>
      </c>
      <c r="L24" s="76">
        <f t="shared" si="16"/>
        <v>3.7109155999999994</v>
      </c>
      <c r="M24" s="76">
        <f t="shared" si="16"/>
        <v>3.7473367999999998</v>
      </c>
      <c r="N24" s="76">
        <f t="shared" si="7"/>
        <v>3.6340263999999998</v>
      </c>
      <c r="O24" s="76">
        <f t="shared" si="10"/>
        <v>0.24226842666666665</v>
      </c>
      <c r="P24" s="76">
        <f t="shared" si="3"/>
        <v>1.7304887619047617E-2</v>
      </c>
      <c r="Q24" s="76">
        <f t="shared" si="4"/>
        <v>1.7304887619047617E-2</v>
      </c>
      <c r="R24" s="76">
        <f t="shared" si="5"/>
        <v>1.0729030323809523</v>
      </c>
      <c r="S24" s="128"/>
      <c r="T24" s="76"/>
      <c r="U24" s="75"/>
      <c r="W24" s="6"/>
      <c r="X24" s="6"/>
      <c r="Y24" s="6"/>
      <c r="Z24" s="76"/>
      <c r="AA24" s="76"/>
    </row>
    <row r="25" spans="2:27" x14ac:dyDescent="0.15">
      <c r="B25" s="208"/>
      <c r="C25" s="250"/>
      <c r="D25" s="227"/>
      <c r="E25" s="254"/>
      <c r="F25" s="151" t="s">
        <v>106</v>
      </c>
      <c r="G25" s="256"/>
      <c r="H25" s="83">
        <f>0.63-G23</f>
        <v>0.55233333333333334</v>
      </c>
      <c r="I25" s="85">
        <f>0.652-G23</f>
        <v>0.57433333333333336</v>
      </c>
      <c r="J25" s="85">
        <f>0.644-G23</f>
        <v>0.56633333333333336</v>
      </c>
      <c r="K25" s="85">
        <f>5.5054*H25</f>
        <v>3.0408159333333331</v>
      </c>
      <c r="L25" s="85">
        <f t="shared" ref="L25:M25" si="18">5.5054*I25</f>
        <v>3.1619347333333332</v>
      </c>
      <c r="M25" s="85">
        <f t="shared" si="18"/>
        <v>3.1178915333333332</v>
      </c>
      <c r="N25" s="85">
        <f t="shared" si="7"/>
        <v>3.1068807333333335</v>
      </c>
      <c r="O25" s="85">
        <f t="shared" si="10"/>
        <v>0.20712538222222224</v>
      </c>
      <c r="P25" s="85">
        <f t="shared" si="3"/>
        <v>1.479467015873016E-2</v>
      </c>
      <c r="Q25" s="85">
        <f t="shared" si="4"/>
        <v>1.479467015873016E-2</v>
      </c>
      <c r="R25" s="85">
        <f t="shared" si="5"/>
        <v>0.91726954984126996</v>
      </c>
      <c r="S25" s="130">
        <f>AVERAGE(R23:R25)</f>
        <v>1.0385484912169312</v>
      </c>
      <c r="T25" s="85">
        <f>STDEV(R23:R25)</f>
        <v>0.10826972677518147</v>
      </c>
      <c r="U25" s="84">
        <f>T25/SQRT(3)</f>
        <v>6.2509555898738259E-2</v>
      </c>
    </row>
    <row r="26" spans="2:27" x14ac:dyDescent="0.15">
      <c r="B26" s="207" t="s">
        <v>37</v>
      </c>
      <c r="C26" s="249">
        <v>0.47916666666666669</v>
      </c>
      <c r="D26" s="216">
        <v>361.5</v>
      </c>
      <c r="E26" s="253">
        <v>16</v>
      </c>
      <c r="F26" s="104" t="s">
        <v>104</v>
      </c>
      <c r="G26" s="255">
        <v>7.3666666666666672E-2</v>
      </c>
      <c r="H26" s="74">
        <f>0.688-G26</f>
        <v>0.61433333333333329</v>
      </c>
      <c r="I26" s="76">
        <f>0.658-G26</f>
        <v>0.58433333333333337</v>
      </c>
      <c r="J26" s="76">
        <f>0.659-G26</f>
        <v>0.58533333333333337</v>
      </c>
      <c r="K26" s="76">
        <f>7.2021*H26</f>
        <v>4.4244900999999999</v>
      </c>
      <c r="L26" s="76">
        <f t="shared" ref="L26:M28" si="19">7.2021*I26</f>
        <v>4.2084270999999998</v>
      </c>
      <c r="M26" s="76">
        <f t="shared" si="19"/>
        <v>4.2156292000000004</v>
      </c>
      <c r="N26" s="76">
        <f t="shared" si="7"/>
        <v>4.2828488</v>
      </c>
      <c r="O26" s="76">
        <f t="shared" ref="O26:O31" si="20">N26/20</f>
        <v>0.21414243999999999</v>
      </c>
      <c r="P26" s="76">
        <f t="shared" si="3"/>
        <v>1.529588857142857E-2</v>
      </c>
      <c r="Q26" s="76">
        <f t="shared" si="4"/>
        <v>1.529588857142857E-2</v>
      </c>
      <c r="R26" s="76">
        <f t="shared" si="5"/>
        <v>0.94834509142857137</v>
      </c>
      <c r="S26" s="127"/>
      <c r="T26" s="56"/>
      <c r="U26" s="73"/>
    </row>
    <row r="27" spans="2:27" x14ac:dyDescent="0.15">
      <c r="B27" s="207"/>
      <c r="C27" s="249"/>
      <c r="D27" s="216"/>
      <c r="E27" s="253"/>
      <c r="F27" s="104" t="s">
        <v>105</v>
      </c>
      <c r="G27" s="255"/>
      <c r="H27" s="74">
        <f>0.671-G26</f>
        <v>0.59733333333333338</v>
      </c>
      <c r="I27" s="76">
        <f>0.668-G26</f>
        <v>0.59433333333333338</v>
      </c>
      <c r="J27" s="76">
        <f>0.677-G26</f>
        <v>0.60333333333333339</v>
      </c>
      <c r="K27" s="76">
        <f t="shared" ref="K27:K28" si="21">7.2021*H27</f>
        <v>4.3020544000000003</v>
      </c>
      <c r="L27" s="76">
        <f t="shared" si="19"/>
        <v>4.2804481000000001</v>
      </c>
      <c r="M27" s="76">
        <f t="shared" si="19"/>
        <v>4.3452670000000007</v>
      </c>
      <c r="N27" s="76">
        <f t="shared" si="7"/>
        <v>4.3092565</v>
      </c>
      <c r="O27" s="76">
        <f t="shared" si="20"/>
        <v>0.215462825</v>
      </c>
      <c r="P27" s="76">
        <f t="shared" si="3"/>
        <v>1.5390201785714286E-2</v>
      </c>
      <c r="Q27" s="76">
        <f t="shared" si="4"/>
        <v>1.5390201785714286E-2</v>
      </c>
      <c r="R27" s="76">
        <f t="shared" si="5"/>
        <v>0.95419251071428579</v>
      </c>
      <c r="S27" s="127"/>
      <c r="T27" s="56"/>
      <c r="U27" s="73"/>
    </row>
    <row r="28" spans="2:27" x14ac:dyDescent="0.15">
      <c r="B28" s="208"/>
      <c r="C28" s="250"/>
      <c r="D28" s="217"/>
      <c r="E28" s="254"/>
      <c r="F28" s="151" t="s">
        <v>106</v>
      </c>
      <c r="G28" s="256"/>
      <c r="H28" s="83">
        <f>0.694-G26</f>
        <v>0.62033333333333329</v>
      </c>
      <c r="I28" s="85">
        <f>0.69-G26</f>
        <v>0.61633333333333329</v>
      </c>
      <c r="J28" s="85">
        <f>0.699-G26</f>
        <v>0.6253333333333333</v>
      </c>
      <c r="K28" s="85">
        <f t="shared" si="21"/>
        <v>4.4677026999999994</v>
      </c>
      <c r="L28" s="85">
        <f t="shared" si="19"/>
        <v>4.4388942999999994</v>
      </c>
      <c r="M28" s="85">
        <f t="shared" si="19"/>
        <v>4.5037132</v>
      </c>
      <c r="N28" s="85">
        <f t="shared" si="7"/>
        <v>4.4701033999999993</v>
      </c>
      <c r="O28" s="85">
        <f t="shared" si="20"/>
        <v>0.22350516999999998</v>
      </c>
      <c r="P28" s="85">
        <f t="shared" si="3"/>
        <v>1.5964654999999998E-2</v>
      </c>
      <c r="Q28" s="85">
        <f t="shared" si="4"/>
        <v>1.5964654999999998E-2</v>
      </c>
      <c r="R28" s="85">
        <f t="shared" si="5"/>
        <v>0.98980860999999987</v>
      </c>
      <c r="S28" s="130">
        <f>AVERAGE(R26:R28)</f>
        <v>0.96411540404761897</v>
      </c>
      <c r="T28" s="85">
        <f>STDEV(R26:R28)</f>
        <v>2.2442230329433179E-2</v>
      </c>
      <c r="U28" s="84">
        <f>T28/SQRT(3)</f>
        <v>1.295702772191383E-2</v>
      </c>
    </row>
    <row r="29" spans="2:27" x14ac:dyDescent="0.15">
      <c r="B29" s="258" t="s">
        <v>39</v>
      </c>
      <c r="C29" s="249">
        <v>0.47916666666666669</v>
      </c>
      <c r="D29" s="216">
        <v>409.5</v>
      </c>
      <c r="E29" s="253">
        <v>18</v>
      </c>
      <c r="F29" s="104" t="s">
        <v>104</v>
      </c>
      <c r="G29" s="255">
        <v>6.9666666666666668E-2</v>
      </c>
      <c r="H29" s="74">
        <f>0.542-G29</f>
        <v>0.47233333333333338</v>
      </c>
      <c r="I29" s="76">
        <f>0.531-G29</f>
        <v>0.46133333333333337</v>
      </c>
      <c r="J29" s="76">
        <f>0.55-G29</f>
        <v>0.48033333333333339</v>
      </c>
      <c r="K29" s="76">
        <f>8.5378*H29</f>
        <v>4.0326875333333341</v>
      </c>
      <c r="L29" s="76">
        <f t="shared" ref="L29:M31" si="22">8.5378*I29</f>
        <v>3.9387717333333341</v>
      </c>
      <c r="M29" s="76">
        <f t="shared" si="22"/>
        <v>4.1009899333333344</v>
      </c>
      <c r="N29" s="76">
        <f t="shared" si="7"/>
        <v>4.024149733333334</v>
      </c>
      <c r="O29" s="76">
        <f t="shared" si="20"/>
        <v>0.20120748666666671</v>
      </c>
      <c r="P29" s="76">
        <f t="shared" si="3"/>
        <v>1.4371963333333336E-2</v>
      </c>
      <c r="Q29" s="76">
        <f t="shared" si="4"/>
        <v>1.4371963333333336E-2</v>
      </c>
      <c r="R29" s="76">
        <f t="shared" si="5"/>
        <v>0.89106172666666683</v>
      </c>
      <c r="S29" s="127"/>
      <c r="T29" s="56"/>
      <c r="U29" s="73"/>
    </row>
    <row r="30" spans="2:27" ht="15" customHeight="1" x14ac:dyDescent="0.15">
      <c r="B30" s="258"/>
      <c r="C30" s="249"/>
      <c r="D30" s="216"/>
      <c r="E30" s="253"/>
      <c r="F30" s="104" t="s">
        <v>105</v>
      </c>
      <c r="G30" s="255"/>
      <c r="H30" s="74">
        <f>0.531-G29</f>
        <v>0.46133333333333337</v>
      </c>
      <c r="I30" s="76">
        <f>0.55-G29</f>
        <v>0.48033333333333339</v>
      </c>
      <c r="J30" s="76">
        <f>0.552-G29</f>
        <v>0.48233333333333339</v>
      </c>
      <c r="K30" s="76">
        <f t="shared" ref="K30:K31" si="23">8.5378*H30</f>
        <v>3.9387717333333341</v>
      </c>
      <c r="L30" s="76">
        <f t="shared" si="22"/>
        <v>4.1009899333333344</v>
      </c>
      <c r="M30" s="76">
        <f t="shared" si="22"/>
        <v>4.1180655333333345</v>
      </c>
      <c r="N30" s="76">
        <f t="shared" si="7"/>
        <v>4.0526090666666681</v>
      </c>
      <c r="O30" s="76">
        <f t="shared" si="20"/>
        <v>0.2026304533333334</v>
      </c>
      <c r="P30" s="76">
        <f t="shared" si="3"/>
        <v>1.4473603809523814E-2</v>
      </c>
      <c r="Q30" s="76">
        <f t="shared" si="4"/>
        <v>1.4473603809523814E-2</v>
      </c>
      <c r="R30" s="76">
        <f t="shared" si="5"/>
        <v>0.89736343619047643</v>
      </c>
      <c r="S30" s="127"/>
      <c r="T30" s="56"/>
      <c r="U30" s="73"/>
    </row>
    <row r="31" spans="2:27" ht="16" customHeight="1" thickBot="1" x14ac:dyDescent="0.2">
      <c r="B31" s="262"/>
      <c r="C31" s="263"/>
      <c r="D31" s="225"/>
      <c r="E31" s="260"/>
      <c r="F31" s="104" t="s">
        <v>106</v>
      </c>
      <c r="G31" s="261"/>
      <c r="H31" s="105">
        <f>0.458-G29</f>
        <v>0.38833333333333336</v>
      </c>
      <c r="I31" s="107">
        <f>0.466-G29</f>
        <v>0.39633333333333337</v>
      </c>
      <c r="J31" s="107">
        <f>0.472-G29</f>
        <v>0.40233333333333332</v>
      </c>
      <c r="K31" s="107">
        <f t="shared" si="23"/>
        <v>3.3155123333333338</v>
      </c>
      <c r="L31" s="107">
        <f t="shared" si="22"/>
        <v>3.3838147333333342</v>
      </c>
      <c r="M31" s="107">
        <f t="shared" si="22"/>
        <v>3.4350415333333335</v>
      </c>
      <c r="N31" s="107">
        <f t="shared" si="7"/>
        <v>3.3781228666666672</v>
      </c>
      <c r="O31" s="107">
        <f t="shared" si="20"/>
        <v>0.16890614333333337</v>
      </c>
      <c r="P31" s="107">
        <f t="shared" si="3"/>
        <v>1.2064724523809526E-2</v>
      </c>
      <c r="Q31" s="107">
        <f t="shared" si="4"/>
        <v>1.2064724523809526E-2</v>
      </c>
      <c r="R31" s="107">
        <f t="shared" si="5"/>
        <v>0.74801292047619061</v>
      </c>
      <c r="S31" s="157">
        <f>AVERAGE(R29:R31)</f>
        <v>0.84547936111111133</v>
      </c>
      <c r="T31" s="107">
        <f>STDEV(R29:R31)</f>
        <v>8.4467201760570987E-2</v>
      </c>
      <c r="U31" s="106">
        <f>T31/SQRT(3)</f>
        <v>4.8767161674160092E-2</v>
      </c>
    </row>
    <row r="32" spans="2:27" ht="17" thickBot="1" x14ac:dyDescent="0.2">
      <c r="B32" s="270" t="s">
        <v>69</v>
      </c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2"/>
    </row>
    <row r="33" spans="2:29" ht="30" x14ac:dyDescent="0.15">
      <c r="B33" s="120" t="s">
        <v>0</v>
      </c>
      <c r="C33" s="64" t="s">
        <v>1</v>
      </c>
      <c r="D33" s="64" t="s">
        <v>2</v>
      </c>
      <c r="E33" s="123" t="s">
        <v>17</v>
      </c>
      <c r="F33" s="122"/>
      <c r="G33" s="122" t="s">
        <v>18</v>
      </c>
      <c r="H33" s="274" t="s">
        <v>107</v>
      </c>
      <c r="I33" s="275"/>
      <c r="J33" s="275"/>
      <c r="K33" s="276" t="s">
        <v>99</v>
      </c>
      <c r="L33" s="276"/>
      <c r="M33" s="276"/>
      <c r="N33" s="64" t="s">
        <v>19</v>
      </c>
      <c r="O33" s="64" t="s">
        <v>20</v>
      </c>
      <c r="P33" s="64" t="s">
        <v>20</v>
      </c>
      <c r="Q33" s="64" t="s">
        <v>97</v>
      </c>
      <c r="R33" s="123" t="s">
        <v>97</v>
      </c>
      <c r="S33" s="64" t="s">
        <v>98</v>
      </c>
      <c r="T33" s="64" t="s">
        <v>86</v>
      </c>
      <c r="U33" s="121" t="s">
        <v>62</v>
      </c>
      <c r="W33" s="56" t="s">
        <v>2</v>
      </c>
      <c r="X33" s="72" t="str">
        <f>S33</f>
        <v>Average NO3 concentration</v>
      </c>
      <c r="Y33" s="72" t="str">
        <f>U33</f>
        <v>Standard error</v>
      </c>
      <c r="Z33" s="56"/>
      <c r="AA33" s="56"/>
    </row>
    <row r="34" spans="2:29" ht="14" x14ac:dyDescent="0.15">
      <c r="B34" s="125"/>
      <c r="C34" s="156"/>
      <c r="D34" s="155"/>
      <c r="E34" s="155"/>
      <c r="F34" s="126"/>
      <c r="G34" s="126"/>
      <c r="H34" s="162" t="s">
        <v>102</v>
      </c>
      <c r="I34" s="162" t="s">
        <v>103</v>
      </c>
      <c r="J34" s="162" t="s">
        <v>108</v>
      </c>
      <c r="K34" s="70"/>
      <c r="L34" s="70"/>
      <c r="M34" s="70"/>
      <c r="N34" s="70" t="s">
        <v>21</v>
      </c>
      <c r="O34" s="70" t="s">
        <v>15</v>
      </c>
      <c r="P34" s="70" t="s">
        <v>22</v>
      </c>
      <c r="Q34" s="70" t="s">
        <v>22</v>
      </c>
      <c r="R34" s="69" t="s">
        <v>15</v>
      </c>
      <c r="S34" s="70" t="s">
        <v>15</v>
      </c>
      <c r="T34" s="70"/>
      <c r="U34" s="68"/>
      <c r="W34" s="81">
        <v>0</v>
      </c>
      <c r="X34" s="76">
        <f>S37</f>
        <v>1.5324149383597885</v>
      </c>
      <c r="Y34" s="76">
        <f>U37</f>
        <v>5.8706373734601124E-3</v>
      </c>
      <c r="Z34" s="76"/>
      <c r="AA34" s="124"/>
      <c r="AB34" s="124"/>
      <c r="AC34" s="124"/>
    </row>
    <row r="35" spans="2:29" ht="14" x14ac:dyDescent="0.15">
      <c r="B35" s="251" t="s">
        <v>23</v>
      </c>
      <c r="C35" s="249">
        <v>0.45833333333333331</v>
      </c>
      <c r="D35" s="216">
        <v>0</v>
      </c>
      <c r="E35" s="253">
        <v>1</v>
      </c>
      <c r="F35" s="104" t="s">
        <v>104</v>
      </c>
      <c r="G35" s="257">
        <f>(0.076+0.073)/2</f>
        <v>7.4499999999999997E-2</v>
      </c>
      <c r="H35" s="132">
        <f>1.007-G35</f>
        <v>0.93249999999999988</v>
      </c>
      <c r="I35" s="133">
        <f>1.019-G35</f>
        <v>0.9444999999999999</v>
      </c>
      <c r="J35" s="133">
        <f>1.015-G35</f>
        <v>0.94049999999999989</v>
      </c>
      <c r="K35" s="76">
        <f>5.5045*H35</f>
        <v>5.1329462499999998</v>
      </c>
      <c r="L35" s="76">
        <f t="shared" ref="L35:M37" si="24">5.5045*I35</f>
        <v>5.1990002499999992</v>
      </c>
      <c r="M35" s="76">
        <f t="shared" si="24"/>
        <v>5.17698225</v>
      </c>
      <c r="N35" s="76">
        <f>AVERAGE(K35:M35)</f>
        <v>5.1696429166666666</v>
      </c>
      <c r="O35" s="76">
        <f>N35/15</f>
        <v>0.34464286111111109</v>
      </c>
      <c r="P35" s="76">
        <f>O35/14</f>
        <v>2.4617347222222221E-2</v>
      </c>
      <c r="Q35" s="76">
        <f>P35</f>
        <v>2.4617347222222221E-2</v>
      </c>
      <c r="R35" s="76">
        <f>Q35*62</f>
        <v>1.5262755277777778</v>
      </c>
      <c r="S35" s="127"/>
      <c r="T35" s="56"/>
      <c r="U35" s="73"/>
      <c r="W35" s="81">
        <f>D38</f>
        <v>49</v>
      </c>
      <c r="X35" s="76">
        <f>S40</f>
        <v>1.4497005333333337</v>
      </c>
      <c r="Y35" s="76">
        <f>U40</f>
        <v>1.771328406457634E-2</v>
      </c>
      <c r="Z35" s="76"/>
      <c r="AA35" s="124"/>
      <c r="AB35" s="124"/>
      <c r="AC35" s="124"/>
    </row>
    <row r="36" spans="2:29" ht="14" x14ac:dyDescent="0.15">
      <c r="B36" s="251"/>
      <c r="C36" s="249"/>
      <c r="D36" s="216"/>
      <c r="E36" s="253"/>
      <c r="F36" s="104" t="s">
        <v>105</v>
      </c>
      <c r="G36" s="255"/>
      <c r="H36" s="74">
        <f>1-G35</f>
        <v>0.92549999999999999</v>
      </c>
      <c r="I36" s="76">
        <f>1.021-G35</f>
        <v>0.9464999999999999</v>
      </c>
      <c r="J36" s="76">
        <f>1.021-G35</f>
        <v>0.9464999999999999</v>
      </c>
      <c r="K36" s="76">
        <f t="shared" ref="K36:K37" si="25">5.5045*H36</f>
        <v>5.0944147500000003</v>
      </c>
      <c r="L36" s="76">
        <f t="shared" si="24"/>
        <v>5.2100092499999997</v>
      </c>
      <c r="M36" s="76">
        <f t="shared" si="24"/>
        <v>5.2100092499999997</v>
      </c>
      <c r="N36" s="76">
        <f>AVERAGE(K36:M36)</f>
        <v>5.1714777500000002</v>
      </c>
      <c r="O36" s="76">
        <f t="shared" ref="O36:O55" si="26">N36/15</f>
        <v>0.34476518333333334</v>
      </c>
      <c r="P36" s="76">
        <f t="shared" ref="P36:P61" si="27">O36/14</f>
        <v>2.4626084523809523E-2</v>
      </c>
      <c r="Q36" s="76">
        <f t="shared" ref="Q36:Q61" si="28">P36</f>
        <v>2.4626084523809523E-2</v>
      </c>
      <c r="R36" s="76">
        <f t="shared" ref="R36:R61" si="29">Q36*62</f>
        <v>1.5268172404761904</v>
      </c>
      <c r="S36" s="127"/>
      <c r="T36" s="56"/>
      <c r="U36" s="73"/>
      <c r="W36" s="81">
        <f>D41</f>
        <v>95.5</v>
      </c>
      <c r="X36" s="76">
        <f>S43</f>
        <v>1.3979249402116405</v>
      </c>
      <c r="Y36" s="76">
        <f>U43</f>
        <v>1.033503739745272E-2</v>
      </c>
      <c r="Z36" s="76"/>
      <c r="AA36" s="124"/>
      <c r="AB36" s="124"/>
      <c r="AC36" s="124"/>
    </row>
    <row r="37" spans="2:29" ht="14" x14ac:dyDescent="0.15">
      <c r="B37" s="252"/>
      <c r="C37" s="250"/>
      <c r="D37" s="217"/>
      <c r="E37" s="254"/>
      <c r="F37" s="151" t="s">
        <v>106</v>
      </c>
      <c r="G37" s="256"/>
      <c r="H37" s="83">
        <f>1.028-G35</f>
        <v>0.95350000000000001</v>
      </c>
      <c r="I37" s="85">
        <f>1.008-G35</f>
        <v>0.9335</v>
      </c>
      <c r="J37" s="85">
        <f>1.038-G35</f>
        <v>0.96350000000000002</v>
      </c>
      <c r="K37" s="85">
        <f t="shared" si="25"/>
        <v>5.2485407500000001</v>
      </c>
      <c r="L37" s="85">
        <f t="shared" si="24"/>
        <v>5.1384507500000005</v>
      </c>
      <c r="M37" s="85">
        <f t="shared" si="24"/>
        <v>5.3035857499999999</v>
      </c>
      <c r="N37" s="85">
        <f>AVERAGE(K37:M37)</f>
        <v>5.2301924166666671</v>
      </c>
      <c r="O37" s="85">
        <f t="shared" si="26"/>
        <v>0.34867949444444446</v>
      </c>
      <c r="P37" s="85">
        <f t="shared" si="27"/>
        <v>2.4905678174603176E-2</v>
      </c>
      <c r="Q37" s="85">
        <f t="shared" si="28"/>
        <v>2.4905678174603176E-2</v>
      </c>
      <c r="R37" s="85">
        <f t="shared" si="29"/>
        <v>1.5441520468253969</v>
      </c>
      <c r="S37" s="130">
        <f>AVERAGE(R35:R37)</f>
        <v>1.5324149383597885</v>
      </c>
      <c r="T37" s="85">
        <f>STDEV(R35:R37)</f>
        <v>1.016824220364562E-2</v>
      </c>
      <c r="U37" s="84">
        <f>T37/SQRT(3)</f>
        <v>5.8706373734601124E-3</v>
      </c>
      <c r="W37" s="81">
        <f>D44</f>
        <v>143.5</v>
      </c>
      <c r="X37" s="76">
        <f>S46</f>
        <v>1.2985697073015869</v>
      </c>
      <c r="Y37" s="76">
        <f>U46</f>
        <v>1.2684526391138576E-2</v>
      </c>
      <c r="Z37" s="76"/>
      <c r="AA37" s="124"/>
      <c r="AB37" s="124"/>
      <c r="AC37" s="124"/>
    </row>
    <row r="38" spans="2:29" ht="14" x14ac:dyDescent="0.15">
      <c r="B38" s="264" t="s">
        <v>25</v>
      </c>
      <c r="C38" s="265">
        <v>0.5</v>
      </c>
      <c r="D38" s="215">
        <v>49</v>
      </c>
      <c r="E38" s="266">
        <v>3</v>
      </c>
      <c r="F38" s="104" t="s">
        <v>104</v>
      </c>
      <c r="G38" s="257">
        <v>7.2666666666666657E-2</v>
      </c>
      <c r="H38" s="74">
        <f>0.949-G38</f>
        <v>0.8763333333333333</v>
      </c>
      <c r="I38" s="76">
        <f>0.935-G38</f>
        <v>0.8623333333333334</v>
      </c>
      <c r="J38" s="76">
        <f>0.934-G38</f>
        <v>0.8613333333333334</v>
      </c>
      <c r="K38" s="76">
        <f>5.657*H38</f>
        <v>4.9574176666666663</v>
      </c>
      <c r="L38" s="76">
        <f t="shared" ref="L38:M40" si="30">5.657*I38</f>
        <v>4.8782196666666673</v>
      </c>
      <c r="M38" s="76">
        <f t="shared" si="30"/>
        <v>4.872562666666667</v>
      </c>
      <c r="N38" s="76">
        <f t="shared" ref="N38:N61" si="31">AVERAGE(K38:M38)</f>
        <v>4.9027333333333338</v>
      </c>
      <c r="O38" s="76">
        <f t="shared" si="26"/>
        <v>0.32684888888888891</v>
      </c>
      <c r="P38" s="76">
        <f t="shared" si="27"/>
        <v>2.3346349206349207E-2</v>
      </c>
      <c r="Q38" s="76">
        <f t="shared" si="28"/>
        <v>2.3346349206349207E-2</v>
      </c>
      <c r="R38" s="76">
        <f t="shared" si="29"/>
        <v>1.4474736507936508</v>
      </c>
      <c r="S38" s="128"/>
      <c r="T38" s="76"/>
      <c r="U38" s="75"/>
      <c r="W38" s="81">
        <f>D47</f>
        <v>191.5</v>
      </c>
      <c r="X38" s="76">
        <f>S49</f>
        <v>1.2521359521693125</v>
      </c>
      <c r="Y38" s="76">
        <f>U49</f>
        <v>2.6545036884659309E-2</v>
      </c>
      <c r="Z38" s="76"/>
      <c r="AA38" s="124"/>
      <c r="AB38" s="124"/>
      <c r="AC38" s="124"/>
    </row>
    <row r="39" spans="2:29" ht="14" x14ac:dyDescent="0.15">
      <c r="B39" s="258"/>
      <c r="C39" s="249"/>
      <c r="D39" s="216"/>
      <c r="E39" s="253"/>
      <c r="F39" s="104" t="s">
        <v>105</v>
      </c>
      <c r="G39" s="255"/>
      <c r="H39" s="74">
        <f>0.923-G38</f>
        <v>0.85033333333333339</v>
      </c>
      <c r="I39" s="76">
        <f>0.925-G38</f>
        <v>0.85233333333333339</v>
      </c>
      <c r="J39" s="76">
        <f>0.921-G38</f>
        <v>0.84833333333333338</v>
      </c>
      <c r="K39" s="76">
        <f t="shared" ref="K39:K40" si="32">5.657*H39</f>
        <v>4.810335666666667</v>
      </c>
      <c r="L39" s="76">
        <f t="shared" si="30"/>
        <v>4.8216496666666666</v>
      </c>
      <c r="M39" s="76">
        <f t="shared" si="30"/>
        <v>4.7990216666666674</v>
      </c>
      <c r="N39" s="76">
        <f t="shared" si="31"/>
        <v>4.810335666666667</v>
      </c>
      <c r="O39" s="76">
        <f t="shared" si="26"/>
        <v>0.32068904444444446</v>
      </c>
      <c r="P39" s="76">
        <f t="shared" si="27"/>
        <v>2.2906360317460319E-2</v>
      </c>
      <c r="Q39" s="76">
        <f t="shared" si="28"/>
        <v>2.2906360317460319E-2</v>
      </c>
      <c r="R39" s="76">
        <f t="shared" si="29"/>
        <v>1.4201943396825398</v>
      </c>
      <c r="S39" s="128"/>
      <c r="T39" s="76"/>
      <c r="U39" s="75"/>
      <c r="W39" s="81">
        <f>D50</f>
        <v>263.5</v>
      </c>
      <c r="X39" s="76">
        <f>S52</f>
        <v>1.1061574507936507</v>
      </c>
      <c r="Y39" s="76">
        <f>U52</f>
        <v>5.4297787531579114E-2</v>
      </c>
      <c r="Z39" s="76"/>
      <c r="AA39" s="124"/>
      <c r="AB39" s="124"/>
      <c r="AC39" s="124"/>
    </row>
    <row r="40" spans="2:29" ht="14" x14ac:dyDescent="0.15">
      <c r="B40" s="259"/>
      <c r="C40" s="250"/>
      <c r="D40" s="217"/>
      <c r="E40" s="254"/>
      <c r="F40" s="151" t="s">
        <v>106</v>
      </c>
      <c r="G40" s="256"/>
      <c r="H40" s="83">
        <f>0.964-G38</f>
        <v>0.89133333333333331</v>
      </c>
      <c r="I40" s="85">
        <f>0.982-G38</f>
        <v>0.90933333333333333</v>
      </c>
      <c r="J40" s="85">
        <f>0.933-G38</f>
        <v>0.86033333333333339</v>
      </c>
      <c r="K40" s="85">
        <f t="shared" si="32"/>
        <v>5.0422726666666664</v>
      </c>
      <c r="L40" s="85">
        <f t="shared" si="30"/>
        <v>5.1440986666666664</v>
      </c>
      <c r="M40" s="85">
        <f t="shared" si="30"/>
        <v>4.8669056666666668</v>
      </c>
      <c r="N40" s="85">
        <f t="shared" si="31"/>
        <v>5.0177590000000007</v>
      </c>
      <c r="O40" s="85">
        <f t="shared" si="26"/>
        <v>0.3345172666666667</v>
      </c>
      <c r="P40" s="85">
        <f t="shared" si="27"/>
        <v>2.3894090476190479E-2</v>
      </c>
      <c r="Q40" s="85">
        <f t="shared" si="28"/>
        <v>2.3894090476190479E-2</v>
      </c>
      <c r="R40" s="85">
        <f t="shared" si="29"/>
        <v>1.4814336095238096</v>
      </c>
      <c r="S40" s="130">
        <f>AVERAGE(R38:R40)</f>
        <v>1.4497005333333337</v>
      </c>
      <c r="T40" s="85">
        <f>STDEV(R38:R40)</f>
        <v>3.0680307968746375E-2</v>
      </c>
      <c r="U40" s="84">
        <f>T40/SQRT(3)</f>
        <v>1.771328406457634E-2</v>
      </c>
      <c r="W40" s="81">
        <f>D53</f>
        <v>311.5</v>
      </c>
      <c r="X40" s="76">
        <f>S55</f>
        <v>1.0215279428571429</v>
      </c>
      <c r="Y40" s="76">
        <f>U55</f>
        <v>2.1736926304630935E-2</v>
      </c>
      <c r="Z40" s="76"/>
      <c r="AA40" s="124"/>
      <c r="AB40" s="124"/>
      <c r="AC40" s="124"/>
    </row>
    <row r="41" spans="2:29" ht="14" x14ac:dyDescent="0.15">
      <c r="B41" s="206" t="s">
        <v>27</v>
      </c>
      <c r="C41" s="265">
        <v>0.4375</v>
      </c>
      <c r="D41" s="215">
        <v>95.5</v>
      </c>
      <c r="E41" s="266">
        <v>5</v>
      </c>
      <c r="F41" s="104" t="s">
        <v>104</v>
      </c>
      <c r="G41" s="257">
        <v>7.2666666666666671E-2</v>
      </c>
      <c r="H41" s="74">
        <f>0.89-G41</f>
        <v>0.81733333333333336</v>
      </c>
      <c r="I41" s="76">
        <f>0.914-G41</f>
        <v>0.84133333333333338</v>
      </c>
      <c r="J41" s="76">
        <f>0.911-G41</f>
        <v>0.83833333333333337</v>
      </c>
      <c r="K41" s="76">
        <f>5.6585*H41</f>
        <v>4.6248806666666669</v>
      </c>
      <c r="L41" s="76">
        <f t="shared" ref="L41:M43" si="33">5.6585*I41</f>
        <v>4.7606846666666671</v>
      </c>
      <c r="M41" s="76">
        <f t="shared" si="33"/>
        <v>4.7437091666666671</v>
      </c>
      <c r="N41" s="76">
        <f t="shared" si="31"/>
        <v>4.709758166666667</v>
      </c>
      <c r="O41" s="76">
        <f t="shared" si="26"/>
        <v>0.31398387777777781</v>
      </c>
      <c r="P41" s="76">
        <f t="shared" si="27"/>
        <v>2.2427419841269843E-2</v>
      </c>
      <c r="Q41" s="76">
        <f t="shared" si="28"/>
        <v>2.2427419841269843E-2</v>
      </c>
      <c r="R41" s="76">
        <f t="shared" si="29"/>
        <v>1.3905000301587302</v>
      </c>
      <c r="S41" s="128"/>
      <c r="T41" s="76"/>
      <c r="U41" s="75"/>
      <c r="W41" s="81">
        <f>D56</f>
        <v>361</v>
      </c>
      <c r="X41" s="76">
        <f>S58</f>
        <v>0.94497839547619045</v>
      </c>
      <c r="Y41" s="76">
        <f>U58</f>
        <v>3.0583898003614361E-2</v>
      </c>
      <c r="Z41" s="76"/>
      <c r="AA41" s="124"/>
      <c r="AB41" s="124"/>
      <c r="AC41" s="124"/>
    </row>
    <row r="42" spans="2:29" ht="15" customHeight="1" x14ac:dyDescent="0.15">
      <c r="B42" s="207"/>
      <c r="C42" s="249"/>
      <c r="D42" s="216"/>
      <c r="E42" s="253"/>
      <c r="F42" s="104" t="s">
        <v>105</v>
      </c>
      <c r="G42" s="255"/>
      <c r="H42" s="74">
        <f>0.88-G41</f>
        <v>0.80733333333333335</v>
      </c>
      <c r="I42" s="76">
        <f>0.915-G41</f>
        <v>0.84233333333333338</v>
      </c>
      <c r="J42" s="76">
        <f>0.91-G41</f>
        <v>0.83733333333333337</v>
      </c>
      <c r="K42" s="76">
        <f t="shared" ref="K42:K43" si="34">5.6585*H42</f>
        <v>4.5682956666666668</v>
      </c>
      <c r="L42" s="76">
        <f t="shared" si="33"/>
        <v>4.7663431666666671</v>
      </c>
      <c r="M42" s="76">
        <f t="shared" si="33"/>
        <v>4.7380506666666671</v>
      </c>
      <c r="N42" s="76">
        <f t="shared" si="31"/>
        <v>4.6908965</v>
      </c>
      <c r="O42" s="76">
        <f t="shared" si="26"/>
        <v>0.31272643333333333</v>
      </c>
      <c r="P42" s="76">
        <f t="shared" si="27"/>
        <v>2.2337602380952382E-2</v>
      </c>
      <c r="Q42" s="76">
        <f t="shared" si="28"/>
        <v>2.2337602380952382E-2</v>
      </c>
      <c r="R42" s="76">
        <f t="shared" si="29"/>
        <v>1.3849313476190477</v>
      </c>
      <c r="S42" s="128"/>
      <c r="T42" s="76"/>
      <c r="U42" s="75"/>
      <c r="W42" s="81">
        <f>D59</f>
        <v>409</v>
      </c>
      <c r="X42" s="76">
        <f>S61</f>
        <v>0.7902343742857143</v>
      </c>
      <c r="Y42" s="76">
        <f>U61</f>
        <v>9.9705179963691364E-3</v>
      </c>
      <c r="Z42" s="76"/>
      <c r="AA42" s="124"/>
      <c r="AB42" s="124"/>
      <c r="AC42" s="124"/>
    </row>
    <row r="43" spans="2:29" ht="15" customHeight="1" x14ac:dyDescent="0.15">
      <c r="B43" s="208"/>
      <c r="C43" s="250"/>
      <c r="D43" s="217"/>
      <c r="E43" s="254"/>
      <c r="F43" s="151" t="s">
        <v>106</v>
      </c>
      <c r="G43" s="256"/>
      <c r="H43" s="83">
        <f>0.91-G41</f>
        <v>0.83733333333333337</v>
      </c>
      <c r="I43" s="85">
        <f>0.918-G41</f>
        <v>0.84533333333333338</v>
      </c>
      <c r="J43" s="85">
        <f>0.937-G41</f>
        <v>0.8643333333333334</v>
      </c>
      <c r="K43" s="85">
        <f t="shared" si="34"/>
        <v>4.7380506666666671</v>
      </c>
      <c r="L43" s="85">
        <f t="shared" si="33"/>
        <v>4.7833186666666672</v>
      </c>
      <c r="M43" s="85">
        <f t="shared" si="33"/>
        <v>4.8908301666666674</v>
      </c>
      <c r="N43" s="85">
        <f t="shared" si="31"/>
        <v>4.8040665000000002</v>
      </c>
      <c r="O43" s="85">
        <f t="shared" si="26"/>
        <v>0.32027110000000003</v>
      </c>
      <c r="P43" s="85">
        <f t="shared" si="27"/>
        <v>2.2876507142857144E-2</v>
      </c>
      <c r="Q43" s="85">
        <f t="shared" si="28"/>
        <v>2.2876507142857144E-2</v>
      </c>
      <c r="R43" s="85">
        <f t="shared" si="29"/>
        <v>1.4183434428571429</v>
      </c>
      <c r="S43" s="130">
        <f>AVERAGE(R41:R43)</f>
        <v>1.3979249402116405</v>
      </c>
      <c r="T43" s="85">
        <f>STDEV(R41:R43)</f>
        <v>1.790080987051253E-2</v>
      </c>
      <c r="U43" s="84">
        <f>T43/SQRT(3)</f>
        <v>1.033503739745272E-2</v>
      </c>
      <c r="W43" s="81"/>
      <c r="X43" s="76"/>
      <c r="Y43" s="76"/>
      <c r="Z43" s="76"/>
      <c r="AA43" s="124"/>
      <c r="AB43" s="124"/>
      <c r="AC43" s="124"/>
    </row>
    <row r="44" spans="2:29" x14ac:dyDescent="0.15">
      <c r="B44" s="264" t="s">
        <v>29</v>
      </c>
      <c r="C44" s="265">
        <v>0.4375</v>
      </c>
      <c r="D44" s="215">
        <v>143.5</v>
      </c>
      <c r="E44" s="266">
        <v>7</v>
      </c>
      <c r="F44" s="104" t="s">
        <v>104</v>
      </c>
      <c r="G44" s="257">
        <v>7.6499999999999999E-2</v>
      </c>
      <c r="H44" s="74">
        <f>0.826-G44</f>
        <v>0.74949999999999994</v>
      </c>
      <c r="I44" s="76">
        <f>0.841-G44</f>
        <v>0.76449999999999996</v>
      </c>
      <c r="J44" s="76">
        <f>0.847-G44</f>
        <v>0.77049999999999996</v>
      </c>
      <c r="K44" s="76">
        <f>5.6668*H44</f>
        <v>4.2472665999999997</v>
      </c>
      <c r="L44" s="76">
        <f t="shared" ref="L44:M46" si="35">5.6668*I44</f>
        <v>4.3322685999999999</v>
      </c>
      <c r="M44" s="76">
        <f t="shared" si="35"/>
        <v>4.3662694000000002</v>
      </c>
      <c r="N44" s="76">
        <f t="shared" si="31"/>
        <v>4.3152681999999993</v>
      </c>
      <c r="O44" s="76">
        <f t="shared" si="26"/>
        <v>0.2876845466666666</v>
      </c>
      <c r="P44" s="76">
        <f t="shared" si="27"/>
        <v>2.0548896190476184E-2</v>
      </c>
      <c r="Q44" s="76">
        <f t="shared" si="28"/>
        <v>2.0548896190476184E-2</v>
      </c>
      <c r="R44" s="76">
        <f t="shared" si="29"/>
        <v>1.2740315638095234</v>
      </c>
      <c r="S44" s="127"/>
      <c r="T44" s="56"/>
      <c r="U44" s="73"/>
    </row>
    <row r="45" spans="2:29" ht="14" x14ac:dyDescent="0.15">
      <c r="B45" s="258"/>
      <c r="C45" s="249"/>
      <c r="D45" s="216"/>
      <c r="E45" s="253"/>
      <c r="F45" s="104" t="s">
        <v>105</v>
      </c>
      <c r="G45" s="255"/>
      <c r="H45" s="74">
        <f>0.842-G44</f>
        <v>0.76549999999999996</v>
      </c>
      <c r="I45" s="76">
        <f>0.862-G44</f>
        <v>0.78549999999999998</v>
      </c>
      <c r="J45" s="76">
        <f>0.866-G44</f>
        <v>0.78949999999999998</v>
      </c>
      <c r="K45" s="76">
        <f t="shared" ref="K45:K46" si="36">5.6668*H45</f>
        <v>4.3379354000000001</v>
      </c>
      <c r="L45" s="76">
        <f t="shared" si="35"/>
        <v>4.4512714000000004</v>
      </c>
      <c r="M45" s="76">
        <f t="shared" si="35"/>
        <v>4.4739386000000003</v>
      </c>
      <c r="N45" s="76">
        <f t="shared" si="31"/>
        <v>4.421048466666667</v>
      </c>
      <c r="O45" s="76">
        <f t="shared" si="26"/>
        <v>0.29473656444444446</v>
      </c>
      <c r="P45" s="76">
        <f t="shared" si="27"/>
        <v>2.1052611746031746E-2</v>
      </c>
      <c r="Q45" s="76">
        <f t="shared" si="28"/>
        <v>2.1052611746031746E-2</v>
      </c>
      <c r="R45" s="76">
        <f t="shared" si="29"/>
        <v>1.3052619282539681</v>
      </c>
      <c r="S45" s="127"/>
      <c r="T45" s="56"/>
      <c r="U45" s="73"/>
      <c r="W45" s="124"/>
      <c r="X45" s="124"/>
      <c r="Y45" s="124"/>
    </row>
    <row r="46" spans="2:29" ht="14" x14ac:dyDescent="0.15">
      <c r="B46" s="259"/>
      <c r="C46" s="250"/>
      <c r="D46" s="217"/>
      <c r="E46" s="254"/>
      <c r="F46" s="151" t="s">
        <v>106</v>
      </c>
      <c r="G46" s="256"/>
      <c r="H46" s="83">
        <f>0.857-G44</f>
        <v>0.78049999999999997</v>
      </c>
      <c r="I46" s="85">
        <f>0.854-G44</f>
        <v>0.77749999999999997</v>
      </c>
      <c r="J46" s="85">
        <f>0.879-G44</f>
        <v>0.80249999999999999</v>
      </c>
      <c r="K46" s="85">
        <f t="shared" si="36"/>
        <v>4.4229374000000004</v>
      </c>
      <c r="L46" s="85">
        <f t="shared" si="35"/>
        <v>4.4059369999999998</v>
      </c>
      <c r="M46" s="85">
        <f t="shared" si="35"/>
        <v>4.5476070000000002</v>
      </c>
      <c r="N46" s="85">
        <f t="shared" si="31"/>
        <v>4.4588271333333331</v>
      </c>
      <c r="O46" s="85">
        <f t="shared" si="26"/>
        <v>0.29725514222222221</v>
      </c>
      <c r="P46" s="85">
        <f t="shared" si="27"/>
        <v>2.1232510158730157E-2</v>
      </c>
      <c r="Q46" s="85">
        <f t="shared" si="28"/>
        <v>2.1232510158730157E-2</v>
      </c>
      <c r="R46" s="85">
        <f t="shared" si="29"/>
        <v>1.3164156298412697</v>
      </c>
      <c r="S46" s="130">
        <f>AVERAGE(R44:R46)</f>
        <v>1.2985697073015869</v>
      </c>
      <c r="T46" s="85">
        <f>STDEV(R44:R46)</f>
        <v>2.1970244179400307E-2</v>
      </c>
      <c r="U46" s="84">
        <f>T46/SQRT(3)</f>
        <v>1.2684526391138576E-2</v>
      </c>
      <c r="W46" s="6"/>
      <c r="X46" s="6"/>
      <c r="Y46" s="6"/>
    </row>
    <row r="47" spans="2:29" ht="14" x14ac:dyDescent="0.15">
      <c r="B47" s="206" t="s">
        <v>31</v>
      </c>
      <c r="C47" s="265">
        <v>0.4375</v>
      </c>
      <c r="D47" s="215">
        <v>191.5</v>
      </c>
      <c r="E47" s="266">
        <v>9</v>
      </c>
      <c r="F47" s="104" t="s">
        <v>104</v>
      </c>
      <c r="G47" s="257">
        <v>8.2000000000000003E-2</v>
      </c>
      <c r="H47" s="74">
        <f>0.784-G47</f>
        <v>0.70200000000000007</v>
      </c>
      <c r="I47" s="76">
        <f>0.819-G47</f>
        <v>0.73699999999999999</v>
      </c>
      <c r="J47" s="76">
        <f>0.804-G47</f>
        <v>0.72200000000000009</v>
      </c>
      <c r="K47" s="76">
        <f>6.0262*H47</f>
        <v>4.2303924000000004</v>
      </c>
      <c r="L47" s="76">
        <f t="shared" ref="L47:M49" si="37">6.0262*I47</f>
        <v>4.4413093999999997</v>
      </c>
      <c r="M47" s="76">
        <f t="shared" si="37"/>
        <v>4.3509164000000009</v>
      </c>
      <c r="N47" s="76">
        <f t="shared" si="31"/>
        <v>4.3408727333333337</v>
      </c>
      <c r="O47" s="76">
        <f t="shared" si="26"/>
        <v>0.28939151555555559</v>
      </c>
      <c r="P47" s="76">
        <f t="shared" si="27"/>
        <v>2.0670822539682544E-2</v>
      </c>
      <c r="Q47" s="76">
        <f t="shared" si="28"/>
        <v>2.0670822539682544E-2</v>
      </c>
      <c r="R47" s="76">
        <f t="shared" si="29"/>
        <v>1.2815909974603177</v>
      </c>
      <c r="S47" s="127"/>
      <c r="T47" s="56"/>
      <c r="U47" s="73"/>
      <c r="W47" s="6"/>
      <c r="X47" s="6"/>
      <c r="Y47" s="6"/>
    </row>
    <row r="48" spans="2:29" ht="14" x14ac:dyDescent="0.15">
      <c r="B48" s="207"/>
      <c r="C48" s="249"/>
      <c r="D48" s="216"/>
      <c r="E48" s="253"/>
      <c r="F48" s="104" t="s">
        <v>105</v>
      </c>
      <c r="G48" s="255"/>
      <c r="H48" s="74">
        <f>0.774-G47</f>
        <v>0.69200000000000006</v>
      </c>
      <c r="I48" s="76">
        <f>0.805-G47</f>
        <v>0.72300000000000009</v>
      </c>
      <c r="J48" s="76">
        <f>0.818-G47</f>
        <v>0.73599999999999999</v>
      </c>
      <c r="K48" s="76">
        <f t="shared" ref="K48:K49" si="38">6.0262*H48</f>
        <v>4.1701304000000006</v>
      </c>
      <c r="L48" s="76">
        <f t="shared" si="37"/>
        <v>4.3569426000000009</v>
      </c>
      <c r="M48" s="76">
        <f t="shared" si="37"/>
        <v>4.4352831999999998</v>
      </c>
      <c r="N48" s="76">
        <f t="shared" si="31"/>
        <v>4.320785400000001</v>
      </c>
      <c r="O48" s="76">
        <f t="shared" si="26"/>
        <v>0.28805236000000006</v>
      </c>
      <c r="P48" s="76">
        <f t="shared" si="27"/>
        <v>2.0575168571428576E-2</v>
      </c>
      <c r="Q48" s="76">
        <f t="shared" si="28"/>
        <v>2.0575168571428576E-2</v>
      </c>
      <c r="R48" s="76">
        <f t="shared" si="29"/>
        <v>1.2756604514285717</v>
      </c>
      <c r="S48" s="127"/>
      <c r="T48" s="56"/>
      <c r="U48" s="73"/>
      <c r="W48" s="6"/>
      <c r="X48" s="6"/>
      <c r="Y48" s="6"/>
    </row>
    <row r="49" spans="2:29" ht="14" x14ac:dyDescent="0.15">
      <c r="B49" s="208"/>
      <c r="C49" s="250"/>
      <c r="D49" s="217"/>
      <c r="E49" s="254"/>
      <c r="F49" s="151" t="s">
        <v>106</v>
      </c>
      <c r="G49" s="256"/>
      <c r="H49" s="83">
        <f>0.744-G47</f>
        <v>0.66200000000000003</v>
      </c>
      <c r="I49" s="85">
        <f>0.74-G47</f>
        <v>0.65800000000000003</v>
      </c>
      <c r="J49" s="85">
        <f>0.784-G47</f>
        <v>0.70200000000000007</v>
      </c>
      <c r="K49" s="85">
        <f t="shared" si="38"/>
        <v>3.9893444000000002</v>
      </c>
      <c r="L49" s="85">
        <f t="shared" si="37"/>
        <v>3.9652396000000003</v>
      </c>
      <c r="M49" s="85">
        <f t="shared" si="37"/>
        <v>4.2303924000000004</v>
      </c>
      <c r="N49" s="85">
        <f t="shared" si="31"/>
        <v>4.0616588</v>
      </c>
      <c r="O49" s="85">
        <f t="shared" si="26"/>
        <v>0.27077725333333336</v>
      </c>
      <c r="P49" s="85">
        <f t="shared" si="27"/>
        <v>1.9341232380952384E-2</v>
      </c>
      <c r="Q49" s="85">
        <f t="shared" si="28"/>
        <v>1.9341232380952384E-2</v>
      </c>
      <c r="R49" s="85">
        <f t="shared" si="29"/>
        <v>1.1991564076190477</v>
      </c>
      <c r="S49" s="130">
        <f>AVERAGE(R47:R49)</f>
        <v>1.2521359521693125</v>
      </c>
      <c r="T49" s="85">
        <f>STDEV(R47:R49)</f>
        <v>4.597735257301979E-2</v>
      </c>
      <c r="U49" s="84">
        <f>T49/SQRT(3)</f>
        <v>2.6545036884659309E-2</v>
      </c>
      <c r="W49" s="6"/>
      <c r="X49" s="6"/>
      <c r="Y49" s="6"/>
    </row>
    <row r="50" spans="2:29" ht="14" x14ac:dyDescent="0.15">
      <c r="B50" s="206" t="s">
        <v>33</v>
      </c>
      <c r="C50" s="265">
        <v>0.4375</v>
      </c>
      <c r="D50" s="215">
        <v>263.5</v>
      </c>
      <c r="E50" s="266">
        <v>12</v>
      </c>
      <c r="F50" s="104" t="s">
        <v>104</v>
      </c>
      <c r="G50" s="257">
        <v>7.9000000000000001E-2</v>
      </c>
      <c r="H50" s="74">
        <f>0.714-G50</f>
        <v>0.63500000000000001</v>
      </c>
      <c r="I50" s="76">
        <f>0.719-G50</f>
        <v>0.64</v>
      </c>
      <c r="J50" s="76">
        <f>0.703-G50</f>
        <v>0.624</v>
      </c>
      <c r="K50" s="76">
        <f>6.0702*H50</f>
        <v>3.8545769999999999</v>
      </c>
      <c r="L50" s="76">
        <f t="shared" ref="L50:M55" si="39">6.0702*I50</f>
        <v>3.8849279999999999</v>
      </c>
      <c r="M50" s="76">
        <f t="shared" si="39"/>
        <v>3.7878048</v>
      </c>
      <c r="N50" s="76">
        <f t="shared" si="31"/>
        <v>3.8424365999999996</v>
      </c>
      <c r="O50" s="76">
        <f t="shared" si="26"/>
        <v>0.25616243999999999</v>
      </c>
      <c r="P50" s="76">
        <f t="shared" si="27"/>
        <v>1.8297317142857143E-2</v>
      </c>
      <c r="Q50" s="76">
        <f t="shared" si="28"/>
        <v>1.8297317142857143E-2</v>
      </c>
      <c r="R50" s="76">
        <f t="shared" si="29"/>
        <v>1.134433662857143</v>
      </c>
      <c r="S50" s="128"/>
      <c r="T50" s="76"/>
      <c r="U50" s="75"/>
      <c r="W50" s="6"/>
      <c r="X50" s="6"/>
      <c r="Y50" s="6"/>
    </row>
    <row r="51" spans="2:29" ht="14" x14ac:dyDescent="0.15">
      <c r="B51" s="207"/>
      <c r="C51" s="249"/>
      <c r="D51" s="216"/>
      <c r="E51" s="253"/>
      <c r="F51" s="104" t="s">
        <v>105</v>
      </c>
      <c r="G51" s="255"/>
      <c r="H51" s="74">
        <f>0.622-G50</f>
        <v>0.54300000000000004</v>
      </c>
      <c r="I51" s="76">
        <f>0.627-G50</f>
        <v>0.54800000000000004</v>
      </c>
      <c r="J51" s="76">
        <f>0.664-G50</f>
        <v>0.58500000000000008</v>
      </c>
      <c r="K51" s="76">
        <f t="shared" ref="K51:K55" si="40">6.0702*H51</f>
        <v>3.2961186000000002</v>
      </c>
      <c r="L51" s="76">
        <f t="shared" si="39"/>
        <v>3.3264696000000002</v>
      </c>
      <c r="M51" s="76">
        <f t="shared" si="39"/>
        <v>3.5510670000000002</v>
      </c>
      <c r="N51" s="76">
        <f t="shared" si="31"/>
        <v>3.3912184000000001</v>
      </c>
      <c r="O51" s="76">
        <f t="shared" si="26"/>
        <v>0.22608122666666666</v>
      </c>
      <c r="P51" s="76">
        <f t="shared" si="27"/>
        <v>1.6148659047619047E-2</v>
      </c>
      <c r="Q51" s="76">
        <f t="shared" si="28"/>
        <v>1.6148659047619047E-2</v>
      </c>
      <c r="R51" s="76">
        <f t="shared" si="29"/>
        <v>1.0012168609523808</v>
      </c>
      <c r="S51" s="128"/>
      <c r="T51" s="76"/>
      <c r="U51" s="75"/>
      <c r="W51" s="6"/>
      <c r="X51" s="6"/>
      <c r="Y51" s="6"/>
    </row>
    <row r="52" spans="2:29" ht="14" x14ac:dyDescent="0.15">
      <c r="B52" s="208"/>
      <c r="C52" s="250"/>
      <c r="D52" s="217"/>
      <c r="E52" s="254"/>
      <c r="F52" s="151" t="s">
        <v>106</v>
      </c>
      <c r="G52" s="256"/>
      <c r="H52" s="83">
        <f>0.737-G50</f>
        <v>0.65800000000000003</v>
      </c>
      <c r="I52" s="85">
        <f>0.731-G50</f>
        <v>0.65200000000000002</v>
      </c>
      <c r="J52" s="85">
        <f>0.749-G50</f>
        <v>0.67</v>
      </c>
      <c r="K52" s="85">
        <f t="shared" si="40"/>
        <v>3.9941916000000002</v>
      </c>
      <c r="L52" s="85">
        <f t="shared" si="39"/>
        <v>3.9577704000000002</v>
      </c>
      <c r="M52" s="85">
        <f t="shared" si="39"/>
        <v>4.0670340000000005</v>
      </c>
      <c r="N52" s="85">
        <f t="shared" si="31"/>
        <v>4.0063320000000004</v>
      </c>
      <c r="O52" s="85">
        <f t="shared" si="26"/>
        <v>0.26708880000000002</v>
      </c>
      <c r="P52" s="85">
        <f t="shared" si="27"/>
        <v>1.9077771428571429E-2</v>
      </c>
      <c r="Q52" s="85">
        <f t="shared" si="28"/>
        <v>1.9077771428571429E-2</v>
      </c>
      <c r="R52" s="85">
        <f t="shared" si="29"/>
        <v>1.1828218285714285</v>
      </c>
      <c r="S52" s="130">
        <f>AVERAGE(R50:R52)</f>
        <v>1.1061574507936507</v>
      </c>
      <c r="T52" s="85">
        <f>STDEV(R50:R52)</f>
        <v>9.4046526743274919E-2</v>
      </c>
      <c r="U52" s="84">
        <f>T52/SQRT(3)</f>
        <v>5.4297787531579114E-2</v>
      </c>
      <c r="W52" s="6"/>
      <c r="X52" s="6"/>
      <c r="Y52" s="6"/>
    </row>
    <row r="53" spans="2:29" ht="14" x14ac:dyDescent="0.15">
      <c r="B53" s="206" t="s">
        <v>35</v>
      </c>
      <c r="C53" s="265">
        <v>0.4375</v>
      </c>
      <c r="D53" s="215">
        <v>311.5</v>
      </c>
      <c r="E53" s="266">
        <v>14</v>
      </c>
      <c r="F53" s="104" t="s">
        <v>104</v>
      </c>
      <c r="G53" s="257">
        <f>(0.085+0.069+0.079)/3</f>
        <v>7.7666666666666676E-2</v>
      </c>
      <c r="H53" s="74">
        <f>0.616-G53</f>
        <v>0.53833333333333333</v>
      </c>
      <c r="I53" s="76">
        <f>0.633-G53</f>
        <v>0.55533333333333335</v>
      </c>
      <c r="J53" s="76">
        <f>0.632-G53</f>
        <v>0.55433333333333334</v>
      </c>
      <c r="K53" s="76">
        <f t="shared" si="40"/>
        <v>3.2677909999999999</v>
      </c>
      <c r="L53" s="76">
        <f t="shared" si="39"/>
        <v>3.3709843999999998</v>
      </c>
      <c r="M53" s="76">
        <f t="shared" si="39"/>
        <v>3.3649141999999999</v>
      </c>
      <c r="N53" s="76">
        <f t="shared" si="31"/>
        <v>3.3345631999999998</v>
      </c>
      <c r="O53" s="76">
        <f t="shared" si="26"/>
        <v>0.22230421333333333</v>
      </c>
      <c r="P53" s="76">
        <f t="shared" si="27"/>
        <v>1.5878872380952379E-2</v>
      </c>
      <c r="Q53" s="76">
        <f t="shared" si="28"/>
        <v>1.5878872380952379E-2</v>
      </c>
      <c r="R53" s="76">
        <f t="shared" si="29"/>
        <v>0.98449008761904755</v>
      </c>
      <c r="S53" s="128"/>
      <c r="T53" s="76"/>
      <c r="U53" s="75"/>
      <c r="W53" s="6"/>
      <c r="X53" s="6"/>
      <c r="Y53" s="6"/>
    </row>
    <row r="54" spans="2:29" ht="14" x14ac:dyDescent="0.15">
      <c r="B54" s="207"/>
      <c r="C54" s="249"/>
      <c r="D54" s="216"/>
      <c r="E54" s="253"/>
      <c r="F54" s="104" t="s">
        <v>105</v>
      </c>
      <c r="G54" s="255"/>
      <c r="H54" s="74">
        <f>0.633-G53</f>
        <v>0.55533333333333335</v>
      </c>
      <c r="I54" s="76">
        <f>0.658-G53</f>
        <v>0.58033333333333337</v>
      </c>
      <c r="J54" s="76">
        <f>0.65-G53</f>
        <v>0.57233333333333336</v>
      </c>
      <c r="K54" s="76">
        <f t="shared" si="40"/>
        <v>3.3709843999999998</v>
      </c>
      <c r="L54" s="76">
        <f t="shared" si="39"/>
        <v>3.5227394000000003</v>
      </c>
      <c r="M54" s="76">
        <f t="shared" si="39"/>
        <v>3.4741778000000001</v>
      </c>
      <c r="N54" s="76">
        <f t="shared" si="31"/>
        <v>3.4559671999999999</v>
      </c>
      <c r="O54" s="76">
        <f t="shared" si="26"/>
        <v>0.23039781333333334</v>
      </c>
      <c r="P54" s="76">
        <f t="shared" si="27"/>
        <v>1.6456986666666666E-2</v>
      </c>
      <c r="Q54" s="76">
        <f t="shared" si="28"/>
        <v>1.6456986666666666E-2</v>
      </c>
      <c r="R54" s="76">
        <f t="shared" si="29"/>
        <v>1.0203331733333334</v>
      </c>
      <c r="S54" s="128"/>
      <c r="T54" s="76"/>
      <c r="U54" s="75"/>
      <c r="W54" s="6"/>
      <c r="X54" s="6"/>
      <c r="Y54" s="6"/>
    </row>
    <row r="55" spans="2:29" x14ac:dyDescent="0.15">
      <c r="B55" s="208"/>
      <c r="C55" s="250"/>
      <c r="D55" s="217"/>
      <c r="E55" s="254"/>
      <c r="F55" s="151" t="s">
        <v>106</v>
      </c>
      <c r="G55" s="256"/>
      <c r="H55" s="83">
        <f>0.655-G53</f>
        <v>0.57733333333333337</v>
      </c>
      <c r="I55" s="85">
        <f>0.68-G53</f>
        <v>0.60233333333333339</v>
      </c>
      <c r="J55" s="85">
        <f>0.672-G53</f>
        <v>0.59433333333333338</v>
      </c>
      <c r="K55" s="85">
        <f t="shared" si="40"/>
        <v>3.5045288000000001</v>
      </c>
      <c r="L55" s="85">
        <f t="shared" si="39"/>
        <v>3.6562838000000002</v>
      </c>
      <c r="M55" s="85">
        <f t="shared" si="39"/>
        <v>3.6077222</v>
      </c>
      <c r="N55" s="85">
        <f t="shared" si="31"/>
        <v>3.5895115999999998</v>
      </c>
      <c r="O55" s="85">
        <f t="shared" si="26"/>
        <v>0.23930077333333333</v>
      </c>
      <c r="P55" s="85">
        <f t="shared" si="27"/>
        <v>1.7092912380952379E-2</v>
      </c>
      <c r="Q55" s="85">
        <f t="shared" si="28"/>
        <v>1.7092912380952379E-2</v>
      </c>
      <c r="R55" s="85">
        <f t="shared" si="29"/>
        <v>1.0597605676190476</v>
      </c>
      <c r="S55" s="130">
        <f>AVERAGE(R53:R55)</f>
        <v>1.0215279428571429</v>
      </c>
      <c r="T55" s="85">
        <f>STDEV(R53:R55)</f>
        <v>3.7649460760001183E-2</v>
      </c>
      <c r="U55" s="84">
        <f>T55/SQRT(3)</f>
        <v>2.1736926304630935E-2</v>
      </c>
    </row>
    <row r="56" spans="2:29" x14ac:dyDescent="0.15">
      <c r="B56" s="206" t="s">
        <v>37</v>
      </c>
      <c r="C56" s="265">
        <v>0.5</v>
      </c>
      <c r="D56" s="215">
        <v>361</v>
      </c>
      <c r="E56" s="266">
        <v>16</v>
      </c>
      <c r="F56" s="104" t="s">
        <v>104</v>
      </c>
      <c r="G56" s="257">
        <v>7.3666666666666672E-2</v>
      </c>
      <c r="H56" s="74">
        <f>0.712-G56</f>
        <v>0.63833333333333331</v>
      </c>
      <c r="I56" s="76">
        <f>0.681-G56</f>
        <v>0.60733333333333339</v>
      </c>
      <c r="J56" s="76">
        <f>0.678-G56</f>
        <v>0.60433333333333339</v>
      </c>
      <c r="K56" s="76">
        <f>7.2021*H56</f>
        <v>4.5973404999999996</v>
      </c>
      <c r="L56" s="76">
        <f t="shared" ref="L56:M58" si="41">7.2021*I56</f>
        <v>4.3740754000000006</v>
      </c>
      <c r="M56" s="76">
        <f t="shared" si="41"/>
        <v>4.3524691000000004</v>
      </c>
      <c r="N56" s="76">
        <f t="shared" si="31"/>
        <v>4.4412950000000002</v>
      </c>
      <c r="O56" s="76">
        <f>N56/20</f>
        <v>0.22206475000000001</v>
      </c>
      <c r="P56" s="76">
        <f t="shared" si="27"/>
        <v>1.5861767857142859E-2</v>
      </c>
      <c r="Q56" s="76">
        <f t="shared" si="28"/>
        <v>1.5861767857142859E-2</v>
      </c>
      <c r="R56" s="76">
        <f t="shared" si="29"/>
        <v>0.98342960714285721</v>
      </c>
      <c r="S56" s="127"/>
      <c r="T56" s="56"/>
      <c r="U56" s="73"/>
    </row>
    <row r="57" spans="2:29" x14ac:dyDescent="0.15">
      <c r="B57" s="207"/>
      <c r="C57" s="249"/>
      <c r="D57" s="216"/>
      <c r="E57" s="253"/>
      <c r="F57" s="104" t="s">
        <v>105</v>
      </c>
      <c r="G57" s="255"/>
      <c r="H57" s="74">
        <f>0.608-G56</f>
        <v>0.53433333333333333</v>
      </c>
      <c r="I57" s="76">
        <f>0.625-G56</f>
        <v>0.55133333333333334</v>
      </c>
      <c r="J57" s="76">
        <f>0.652-G56</f>
        <v>0.57833333333333337</v>
      </c>
      <c r="K57" s="76">
        <f t="shared" ref="K57:K58" si="42">7.2021*H57</f>
        <v>3.8483220999999999</v>
      </c>
      <c r="L57" s="76">
        <f t="shared" si="41"/>
        <v>3.9707577999999999</v>
      </c>
      <c r="M57" s="76">
        <f t="shared" si="41"/>
        <v>4.1652145000000003</v>
      </c>
      <c r="N57" s="76">
        <f t="shared" si="31"/>
        <v>3.9947648</v>
      </c>
      <c r="O57" s="76">
        <f>N57/20</f>
        <v>0.19973824000000001</v>
      </c>
      <c r="P57" s="76">
        <f t="shared" si="27"/>
        <v>1.4267017142857144E-2</v>
      </c>
      <c r="Q57" s="76">
        <f t="shared" si="28"/>
        <v>1.4267017142857144E-2</v>
      </c>
      <c r="R57" s="76">
        <f t="shared" si="29"/>
        <v>0.88455506285714292</v>
      </c>
      <c r="S57" s="127"/>
      <c r="T57" s="56"/>
      <c r="U57" s="73"/>
    </row>
    <row r="58" spans="2:29" x14ac:dyDescent="0.15">
      <c r="B58" s="208"/>
      <c r="C58" s="250"/>
      <c r="D58" s="217"/>
      <c r="E58" s="254"/>
      <c r="F58" s="151" t="s">
        <v>106</v>
      </c>
      <c r="G58" s="256"/>
      <c r="H58" s="83">
        <f>0.674-G56</f>
        <v>0.60033333333333339</v>
      </c>
      <c r="I58" s="85">
        <f>0.697-G56</f>
        <v>0.62333333333333329</v>
      </c>
      <c r="J58" s="85">
        <f>0.669-G56</f>
        <v>0.59533333333333338</v>
      </c>
      <c r="K58" s="85">
        <f t="shared" si="42"/>
        <v>4.3236607000000005</v>
      </c>
      <c r="L58" s="85">
        <f t="shared" si="41"/>
        <v>4.4893089999999995</v>
      </c>
      <c r="M58" s="85">
        <f t="shared" si="41"/>
        <v>4.2876501999999999</v>
      </c>
      <c r="N58" s="85">
        <f t="shared" si="31"/>
        <v>4.3668733</v>
      </c>
      <c r="O58" s="85">
        <f>N58/20</f>
        <v>0.21834366499999999</v>
      </c>
      <c r="P58" s="85">
        <f t="shared" si="27"/>
        <v>1.5595976071428571E-2</v>
      </c>
      <c r="Q58" s="85">
        <f t="shared" si="28"/>
        <v>1.5595976071428571E-2</v>
      </c>
      <c r="R58" s="85">
        <f t="shared" si="29"/>
        <v>0.96695051642857133</v>
      </c>
      <c r="S58" s="130">
        <f>AVERAGE(R56:R58)</f>
        <v>0.94497839547619045</v>
      </c>
      <c r="T58" s="85">
        <f>STDEV(R56:R58)</f>
        <v>5.2972865235764423E-2</v>
      </c>
      <c r="U58" s="84">
        <f>T58/SQRT(3)</f>
        <v>3.0583898003614361E-2</v>
      </c>
    </row>
    <row r="59" spans="2:29" x14ac:dyDescent="0.15">
      <c r="B59" s="264" t="s">
        <v>39</v>
      </c>
      <c r="C59" s="265">
        <v>0.5</v>
      </c>
      <c r="D59" s="215">
        <v>409</v>
      </c>
      <c r="E59" s="266">
        <v>18</v>
      </c>
      <c r="F59" s="104" t="s">
        <v>104</v>
      </c>
      <c r="G59" s="257">
        <v>6.9666666666666668E-2</v>
      </c>
      <c r="H59" s="74">
        <f>0.502-G59</f>
        <v>0.43233333333333335</v>
      </c>
      <c r="I59" s="76">
        <f>0.497-G59</f>
        <v>0.42733333333333334</v>
      </c>
      <c r="J59" s="76">
        <f>0.485-G59</f>
        <v>0.41533333333333333</v>
      </c>
      <c r="K59" s="76">
        <f>8.5378*H59</f>
        <v>3.6911755333333338</v>
      </c>
      <c r="L59" s="76">
        <f t="shared" ref="L59:M61" si="43">8.5378*I59</f>
        <v>3.6484865333333336</v>
      </c>
      <c r="M59" s="76">
        <f t="shared" si="43"/>
        <v>3.5460329333333336</v>
      </c>
      <c r="N59" s="76">
        <f t="shared" si="31"/>
        <v>3.6285650000000005</v>
      </c>
      <c r="O59" s="76">
        <f t="shared" ref="O59:O61" si="44">N59/20</f>
        <v>0.18142825000000001</v>
      </c>
      <c r="P59" s="76">
        <f t="shared" si="27"/>
        <v>1.2959160714285715E-2</v>
      </c>
      <c r="Q59" s="76">
        <f t="shared" si="28"/>
        <v>1.2959160714285715E-2</v>
      </c>
      <c r="R59" s="76">
        <f t="shared" si="29"/>
        <v>0.80346796428571432</v>
      </c>
      <c r="S59" s="127"/>
      <c r="T59" s="56"/>
      <c r="U59" s="73"/>
    </row>
    <row r="60" spans="2:29" ht="15" customHeight="1" x14ac:dyDescent="0.15">
      <c r="B60" s="258"/>
      <c r="C60" s="249"/>
      <c r="D60" s="216"/>
      <c r="E60" s="253"/>
      <c r="F60" s="104" t="s">
        <v>105</v>
      </c>
      <c r="G60" s="255"/>
      <c r="H60" s="74">
        <f>0.463-G59</f>
        <v>0.39333333333333337</v>
      </c>
      <c r="I60" s="76">
        <f>0.481-G59</f>
        <v>0.41133333333333333</v>
      </c>
      <c r="J60" s="76">
        <f>0.488-G59</f>
        <v>0.41833333333333333</v>
      </c>
      <c r="K60" s="76">
        <f t="shared" ref="K60:K61" si="45">8.5378*H60</f>
        <v>3.358201333333334</v>
      </c>
      <c r="L60" s="76">
        <f t="shared" si="43"/>
        <v>3.5118817333333334</v>
      </c>
      <c r="M60" s="76">
        <f t="shared" si="43"/>
        <v>3.5716463333333337</v>
      </c>
      <c r="N60" s="76">
        <f t="shared" si="31"/>
        <v>3.4805764666666672</v>
      </c>
      <c r="O60" s="76">
        <f t="shared" si="44"/>
        <v>0.17402882333333336</v>
      </c>
      <c r="P60" s="76">
        <f t="shared" si="27"/>
        <v>1.243063023809524E-2</v>
      </c>
      <c r="Q60" s="76">
        <f t="shared" si="28"/>
        <v>1.243063023809524E-2</v>
      </c>
      <c r="R60" s="76">
        <f t="shared" si="29"/>
        <v>0.7706990747619048</v>
      </c>
      <c r="S60" s="127"/>
      <c r="T60" s="56"/>
      <c r="U60" s="73"/>
    </row>
    <row r="61" spans="2:29" ht="16" customHeight="1" thickBot="1" x14ac:dyDescent="0.2">
      <c r="B61" s="262"/>
      <c r="C61" s="263"/>
      <c r="D61" s="225"/>
      <c r="E61" s="260"/>
      <c r="F61" s="104" t="s">
        <v>106</v>
      </c>
      <c r="G61" s="261"/>
      <c r="H61" s="105">
        <f>0.485-G59</f>
        <v>0.41533333333333333</v>
      </c>
      <c r="I61" s="107">
        <f>0.49-G59</f>
        <v>0.42033333333333334</v>
      </c>
      <c r="J61" s="107">
        <f>0.498-G59</f>
        <v>0.42833333333333334</v>
      </c>
      <c r="K61" s="107">
        <f t="shared" si="45"/>
        <v>3.5460329333333336</v>
      </c>
      <c r="L61" s="107">
        <f t="shared" si="43"/>
        <v>3.5887219333333338</v>
      </c>
      <c r="M61" s="107">
        <f t="shared" si="43"/>
        <v>3.6570243333333337</v>
      </c>
      <c r="N61" s="107">
        <f t="shared" si="31"/>
        <v>3.5972597333333334</v>
      </c>
      <c r="O61" s="107">
        <f t="shared" si="44"/>
        <v>0.17986298666666667</v>
      </c>
      <c r="P61" s="107">
        <f t="shared" si="27"/>
        <v>1.2847356190476191E-2</v>
      </c>
      <c r="Q61" s="107">
        <f t="shared" si="28"/>
        <v>1.2847356190476191E-2</v>
      </c>
      <c r="R61" s="107">
        <f t="shared" si="29"/>
        <v>0.7965360838095239</v>
      </c>
      <c r="S61" s="157">
        <f>AVERAGE(R59:R61)</f>
        <v>0.7902343742857143</v>
      </c>
      <c r="T61" s="107">
        <f>STDEV(R59:R61)</f>
        <v>1.7269443747491186E-2</v>
      </c>
      <c r="U61" s="106">
        <f>T61/SQRT(3)</f>
        <v>9.9705179963691364E-3</v>
      </c>
    </row>
    <row r="62" spans="2:29" ht="17" thickBot="1" x14ac:dyDescent="0.2">
      <c r="B62" s="270" t="s">
        <v>71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2"/>
    </row>
    <row r="63" spans="2:29" ht="30" x14ac:dyDescent="0.15">
      <c r="B63" s="120" t="s">
        <v>0</v>
      </c>
      <c r="C63" s="64" t="s">
        <v>1</v>
      </c>
      <c r="D63" s="64" t="s">
        <v>2</v>
      </c>
      <c r="E63" s="123" t="s">
        <v>17</v>
      </c>
      <c r="F63" s="122"/>
      <c r="G63" s="122" t="s">
        <v>18</v>
      </c>
      <c r="H63" s="274" t="s">
        <v>107</v>
      </c>
      <c r="I63" s="275"/>
      <c r="J63" s="275"/>
      <c r="K63" s="276" t="s">
        <v>99</v>
      </c>
      <c r="L63" s="276"/>
      <c r="M63" s="276"/>
      <c r="N63" s="64" t="s">
        <v>19</v>
      </c>
      <c r="O63" s="64" t="s">
        <v>20</v>
      </c>
      <c r="P63" s="64" t="s">
        <v>20</v>
      </c>
      <c r="Q63" s="64" t="s">
        <v>97</v>
      </c>
      <c r="R63" s="123" t="s">
        <v>97</v>
      </c>
      <c r="S63" s="64" t="s">
        <v>98</v>
      </c>
      <c r="T63" s="64" t="s">
        <v>86</v>
      </c>
      <c r="U63" s="121" t="s">
        <v>62</v>
      </c>
      <c r="W63" s="56" t="s">
        <v>2</v>
      </c>
      <c r="X63" s="72" t="str">
        <f>S63</f>
        <v>Average NO3 concentration</v>
      </c>
      <c r="Y63" s="72" t="str">
        <f>U63</f>
        <v>Standard error</v>
      </c>
      <c r="Z63" s="56"/>
      <c r="AA63" s="124"/>
      <c r="AB63" s="124"/>
      <c r="AC63" s="124"/>
    </row>
    <row r="64" spans="2:29" ht="14" x14ac:dyDescent="0.15">
      <c r="B64" s="125"/>
      <c r="C64" s="156"/>
      <c r="D64" s="155"/>
      <c r="E64" s="155"/>
      <c r="F64" s="126"/>
      <c r="G64" s="126"/>
      <c r="H64" s="162" t="s">
        <v>102</v>
      </c>
      <c r="I64" s="161" t="s">
        <v>103</v>
      </c>
      <c r="J64" s="161" t="s">
        <v>108</v>
      </c>
      <c r="K64" s="70"/>
      <c r="L64" s="70"/>
      <c r="M64" s="70"/>
      <c r="N64" s="70" t="s">
        <v>21</v>
      </c>
      <c r="O64" s="70" t="s">
        <v>15</v>
      </c>
      <c r="P64" s="70" t="s">
        <v>22</v>
      </c>
      <c r="Q64" s="70" t="s">
        <v>22</v>
      </c>
      <c r="R64" s="69" t="s">
        <v>15</v>
      </c>
      <c r="S64" s="70" t="s">
        <v>15</v>
      </c>
      <c r="T64" s="70"/>
      <c r="U64" s="68"/>
      <c r="W64" s="81">
        <v>0</v>
      </c>
      <c r="X64" s="76">
        <f>S67</f>
        <v>1.566723409259259</v>
      </c>
      <c r="Y64" s="76">
        <f>U67</f>
        <v>7.9204579975873466E-3</v>
      </c>
      <c r="Z64" s="76"/>
      <c r="AA64" s="124"/>
      <c r="AB64" s="124"/>
      <c r="AC64" s="124"/>
    </row>
    <row r="65" spans="2:29" ht="14" x14ac:dyDescent="0.15">
      <c r="B65" s="251" t="s">
        <v>23</v>
      </c>
      <c r="C65" s="249">
        <v>0.52083333333333337</v>
      </c>
      <c r="D65" s="216">
        <v>0</v>
      </c>
      <c r="E65" s="253">
        <v>1</v>
      </c>
      <c r="F65" s="104" t="s">
        <v>104</v>
      </c>
      <c r="G65" s="257">
        <f>(0.076+0.073)/2</f>
        <v>7.4499999999999997E-2</v>
      </c>
      <c r="H65" s="132">
        <f>1.024-G65</f>
        <v>0.94950000000000001</v>
      </c>
      <c r="I65" s="133">
        <f>1.076-G65</f>
        <v>1.0015000000000001</v>
      </c>
      <c r="J65" s="133">
        <f>1.043-G65</f>
        <v>0.96849999999999992</v>
      </c>
      <c r="K65" s="76">
        <f>5.5045*H65</f>
        <v>5.22652275</v>
      </c>
      <c r="L65" s="76">
        <f t="shared" ref="L65:M67" si="46">5.5045*I65</f>
        <v>5.5127567500000003</v>
      </c>
      <c r="M65" s="76">
        <f t="shared" si="46"/>
        <v>5.3311082499999998</v>
      </c>
      <c r="N65" s="76">
        <f>AVERAGE(K65:M65)</f>
        <v>5.356795916666667</v>
      </c>
      <c r="O65" s="76">
        <f>N65/15</f>
        <v>0.35711972777777778</v>
      </c>
      <c r="P65" s="76">
        <f>O65/14</f>
        <v>2.5508551984126986E-2</v>
      </c>
      <c r="Q65" s="76">
        <f>P65</f>
        <v>2.5508551984126986E-2</v>
      </c>
      <c r="R65" s="76">
        <f>Q65*62</f>
        <v>1.5815302230158732</v>
      </c>
      <c r="S65" s="127"/>
      <c r="T65" s="56"/>
      <c r="U65" s="73"/>
      <c r="W65" s="81">
        <f>D68</f>
        <v>48</v>
      </c>
      <c r="X65" s="76">
        <f>S70</f>
        <v>1.5213319216931218</v>
      </c>
      <c r="Y65" s="76">
        <f>U70</f>
        <v>8.727877164238387E-3</v>
      </c>
      <c r="Z65" s="76"/>
      <c r="AA65" s="124"/>
      <c r="AB65" s="124"/>
      <c r="AC65" s="124"/>
    </row>
    <row r="66" spans="2:29" ht="14" x14ac:dyDescent="0.15">
      <c r="B66" s="251"/>
      <c r="C66" s="249"/>
      <c r="D66" s="216"/>
      <c r="E66" s="253"/>
      <c r="F66" s="104" t="s">
        <v>105</v>
      </c>
      <c r="G66" s="255"/>
      <c r="H66" s="74">
        <f>1.037-G65</f>
        <v>0.96249999999999991</v>
      </c>
      <c r="I66" s="76">
        <f>1.047-G65</f>
        <v>0.97249999999999992</v>
      </c>
      <c r="J66" s="76">
        <f>1.027-G65</f>
        <v>0.9524999999999999</v>
      </c>
      <c r="K66" s="76">
        <f t="shared" ref="K66:K67" si="47">5.5045*H66</f>
        <v>5.2980812500000001</v>
      </c>
      <c r="L66" s="76">
        <f t="shared" si="46"/>
        <v>5.3531262499999999</v>
      </c>
      <c r="M66" s="76">
        <f t="shared" si="46"/>
        <v>5.2430362499999994</v>
      </c>
      <c r="N66" s="76">
        <f>AVERAGE(K66:M66)</f>
        <v>5.2980812500000001</v>
      </c>
      <c r="O66" s="76">
        <f t="shared" ref="O66:O85" si="48">N66/15</f>
        <v>0.35320541666666666</v>
      </c>
      <c r="P66" s="76">
        <f t="shared" ref="P66:P91" si="49">O66/14</f>
        <v>2.5228958333333332E-2</v>
      </c>
      <c r="Q66" s="76">
        <f t="shared" ref="Q66:Q91" si="50">P66</f>
        <v>2.5228958333333332E-2</v>
      </c>
      <c r="R66" s="76">
        <f t="shared" ref="R66:R91" si="51">Q66*62</f>
        <v>1.5641954166666665</v>
      </c>
      <c r="S66" s="127"/>
      <c r="T66" s="56"/>
      <c r="U66" s="73"/>
      <c r="W66" s="81">
        <f>D71</f>
        <v>94.5</v>
      </c>
      <c r="X66" s="76">
        <f>S73</f>
        <v>1.3927275031746031</v>
      </c>
      <c r="Y66" s="76">
        <f>U73</f>
        <v>1.6434690801284818E-2</v>
      </c>
      <c r="Z66" s="76"/>
      <c r="AA66" s="124"/>
      <c r="AB66" s="124"/>
      <c r="AC66" s="124"/>
    </row>
    <row r="67" spans="2:29" ht="14" x14ac:dyDescent="0.15">
      <c r="B67" s="252"/>
      <c r="C67" s="250"/>
      <c r="D67" s="217"/>
      <c r="E67" s="254"/>
      <c r="F67" s="151" t="s">
        <v>106</v>
      </c>
      <c r="G67" s="256"/>
      <c r="H67" s="83">
        <f>1.022-G65</f>
        <v>0.94750000000000001</v>
      </c>
      <c r="I67" s="85">
        <f>1.033-G65</f>
        <v>0.95849999999999991</v>
      </c>
      <c r="J67" s="85">
        <f>1.038-G65</f>
        <v>0.96350000000000002</v>
      </c>
      <c r="K67" s="85">
        <f t="shared" si="47"/>
        <v>5.2155137500000004</v>
      </c>
      <c r="L67" s="85">
        <f t="shared" si="46"/>
        <v>5.27606325</v>
      </c>
      <c r="M67" s="85">
        <f t="shared" si="46"/>
        <v>5.3035857499999999</v>
      </c>
      <c r="N67" s="85">
        <f>AVERAGE(K67:M67)</f>
        <v>5.2650542499999995</v>
      </c>
      <c r="O67" s="85">
        <f t="shared" si="48"/>
        <v>0.35100361666666663</v>
      </c>
      <c r="P67" s="85">
        <f t="shared" si="49"/>
        <v>2.5071686904761904E-2</v>
      </c>
      <c r="Q67" s="85">
        <f t="shared" si="50"/>
        <v>2.5071686904761904E-2</v>
      </c>
      <c r="R67" s="85">
        <f t="shared" si="51"/>
        <v>1.554444588095238</v>
      </c>
      <c r="S67" s="130">
        <f>AVERAGE(R65:R67)</f>
        <v>1.566723409259259</v>
      </c>
      <c r="T67" s="85">
        <f>STDEV(R65:R67)</f>
        <v>1.3718635671036537E-2</v>
      </c>
      <c r="U67" s="84">
        <f>T67/SQRT(3)</f>
        <v>7.9204579975873466E-3</v>
      </c>
      <c r="W67" s="81">
        <f>D74</f>
        <v>142.5</v>
      </c>
      <c r="X67" s="76">
        <f>S76</f>
        <v>1.1773661500529102</v>
      </c>
      <c r="Y67" s="76">
        <f>U76</f>
        <v>2.6320398826286069E-2</v>
      </c>
      <c r="Z67" s="76"/>
      <c r="AA67" s="124"/>
      <c r="AB67" s="124"/>
      <c r="AC67" s="124"/>
    </row>
    <row r="68" spans="2:29" ht="14" x14ac:dyDescent="0.15">
      <c r="B68" s="258" t="s">
        <v>25</v>
      </c>
      <c r="C68" s="249">
        <v>0.52083333333333337</v>
      </c>
      <c r="D68" s="216">
        <v>48</v>
      </c>
      <c r="E68" s="253">
        <v>3</v>
      </c>
      <c r="F68" s="104" t="s">
        <v>104</v>
      </c>
      <c r="G68" s="255">
        <v>7.2666666666666657E-2</v>
      </c>
      <c r="H68" s="74">
        <f>0.949-G68</f>
        <v>0.8763333333333333</v>
      </c>
      <c r="I68" s="76">
        <f>0.988-G68</f>
        <v>0.91533333333333333</v>
      </c>
      <c r="J68" s="76">
        <f>0.999-G68</f>
        <v>0.92633333333333334</v>
      </c>
      <c r="K68" s="76">
        <f>5.657*H68</f>
        <v>4.9574176666666663</v>
      </c>
      <c r="L68" s="76">
        <f t="shared" ref="L68:M70" si="52">5.657*I68</f>
        <v>5.178040666666667</v>
      </c>
      <c r="M68" s="76">
        <f t="shared" si="52"/>
        <v>5.240267666666667</v>
      </c>
      <c r="N68" s="76">
        <f t="shared" ref="N68:N91" si="53">AVERAGE(K68:M68)</f>
        <v>5.1252420000000001</v>
      </c>
      <c r="O68" s="76">
        <f t="shared" si="48"/>
        <v>0.34168280000000001</v>
      </c>
      <c r="P68" s="76">
        <f t="shared" si="49"/>
        <v>2.4405914285714286E-2</v>
      </c>
      <c r="Q68" s="76">
        <f t="shared" si="50"/>
        <v>2.4405914285714286E-2</v>
      </c>
      <c r="R68" s="76">
        <f t="shared" si="51"/>
        <v>1.5131666857142858</v>
      </c>
      <c r="S68" s="128"/>
      <c r="T68" s="76"/>
      <c r="U68" s="75"/>
      <c r="W68" s="81">
        <f>D77</f>
        <v>190</v>
      </c>
      <c r="X68" s="76">
        <f>S79</f>
        <v>1.0528696055026454</v>
      </c>
      <c r="Y68" s="76">
        <f>U79</f>
        <v>5.877128229063093E-2</v>
      </c>
      <c r="Z68" s="76"/>
      <c r="AA68" s="124"/>
      <c r="AB68" s="124"/>
      <c r="AC68" s="124"/>
    </row>
    <row r="69" spans="2:29" ht="14" x14ac:dyDescent="0.15">
      <c r="B69" s="258"/>
      <c r="C69" s="249"/>
      <c r="D69" s="216"/>
      <c r="E69" s="253"/>
      <c r="F69" s="104" t="s">
        <v>105</v>
      </c>
      <c r="G69" s="255"/>
      <c r="H69" s="74">
        <f>0.965-G68</f>
        <v>0.89233333333333331</v>
      </c>
      <c r="I69" s="76">
        <f>0.979-G68</f>
        <v>0.90633333333333332</v>
      </c>
      <c r="J69" s="76">
        <f>1.038-G68</f>
        <v>0.96533333333333338</v>
      </c>
      <c r="K69" s="76">
        <f t="shared" ref="K69:K70" si="54">5.657*H69</f>
        <v>5.0479296666666666</v>
      </c>
      <c r="L69" s="76">
        <f t="shared" si="52"/>
        <v>5.1271276666666665</v>
      </c>
      <c r="M69" s="76">
        <f t="shared" si="52"/>
        <v>5.4608906666666668</v>
      </c>
      <c r="N69" s="76">
        <f t="shared" si="53"/>
        <v>5.2119826666666667</v>
      </c>
      <c r="O69" s="76">
        <f t="shared" si="48"/>
        <v>0.34746551111111112</v>
      </c>
      <c r="P69" s="76">
        <f t="shared" si="49"/>
        <v>2.4818965079365079E-2</v>
      </c>
      <c r="Q69" s="76">
        <f t="shared" si="50"/>
        <v>2.4818965079365079E-2</v>
      </c>
      <c r="R69" s="76">
        <f t="shared" si="51"/>
        <v>1.5387758349206349</v>
      </c>
      <c r="S69" s="128"/>
      <c r="T69" s="76"/>
      <c r="U69" s="75"/>
      <c r="W69" s="81">
        <f>D80</f>
        <v>262.5</v>
      </c>
      <c r="X69" s="76">
        <f>S82</f>
        <v>0.93291586984126995</v>
      </c>
      <c r="Y69" s="76">
        <f>U82</f>
        <v>5.2590785977216233E-2</v>
      </c>
      <c r="Z69" s="76"/>
      <c r="AA69" s="124"/>
      <c r="AB69" s="124"/>
      <c r="AC69" s="124"/>
    </row>
    <row r="70" spans="2:29" ht="14" x14ac:dyDescent="0.15">
      <c r="B70" s="259"/>
      <c r="C70" s="250"/>
      <c r="D70" s="217"/>
      <c r="E70" s="254"/>
      <c r="F70" s="151" t="s">
        <v>106</v>
      </c>
      <c r="G70" s="256"/>
      <c r="H70" s="83">
        <f>0.969-G68</f>
        <v>0.89633333333333332</v>
      </c>
      <c r="I70" s="85">
        <f>0.983-G68</f>
        <v>0.91033333333333333</v>
      </c>
      <c r="J70" s="85">
        <f>0.982-G68</f>
        <v>0.90933333333333333</v>
      </c>
      <c r="K70" s="85">
        <f t="shared" si="54"/>
        <v>5.0705576666666667</v>
      </c>
      <c r="L70" s="85">
        <f t="shared" si="52"/>
        <v>5.1497556666666666</v>
      </c>
      <c r="M70" s="85">
        <f t="shared" si="52"/>
        <v>5.1440986666666664</v>
      </c>
      <c r="N70" s="85">
        <f t="shared" si="53"/>
        <v>5.1214706666666663</v>
      </c>
      <c r="O70" s="85">
        <f t="shared" si="48"/>
        <v>0.34143137777777777</v>
      </c>
      <c r="P70" s="85">
        <f t="shared" si="49"/>
        <v>2.4387955555555556E-2</v>
      </c>
      <c r="Q70" s="85">
        <f t="shared" si="50"/>
        <v>2.4387955555555556E-2</v>
      </c>
      <c r="R70" s="85">
        <f t="shared" si="51"/>
        <v>1.5120532444444446</v>
      </c>
      <c r="S70" s="130">
        <f>AVERAGE(R68:R70)</f>
        <v>1.5213319216931218</v>
      </c>
      <c r="T70" s="85">
        <f>STDEV(R68:R70)</f>
        <v>1.5117126690681061E-2</v>
      </c>
      <c r="U70" s="84">
        <f>T70/SQRT(3)</f>
        <v>8.727877164238387E-3</v>
      </c>
      <c r="W70" s="81">
        <f>D83</f>
        <v>310.5</v>
      </c>
      <c r="X70" s="76">
        <f>S85</f>
        <v>0.8857224736507936</v>
      </c>
      <c r="Y70" s="76">
        <f>U85</f>
        <v>8.9696172070615459E-3</v>
      </c>
      <c r="Z70" s="76"/>
      <c r="AA70" s="124"/>
      <c r="AB70" s="124"/>
      <c r="AC70" s="124"/>
    </row>
    <row r="71" spans="2:29" ht="14" x14ac:dyDescent="0.15">
      <c r="B71" s="207" t="s">
        <v>27</v>
      </c>
      <c r="C71" s="249">
        <v>0.45833333333333331</v>
      </c>
      <c r="D71" s="216">
        <v>94.5</v>
      </c>
      <c r="E71" s="253">
        <v>5</v>
      </c>
      <c r="F71" s="104" t="s">
        <v>104</v>
      </c>
      <c r="G71" s="255">
        <v>7.2666666666666671E-2</v>
      </c>
      <c r="H71" s="74">
        <f>0.863-G71</f>
        <v>0.79033333333333333</v>
      </c>
      <c r="I71" s="76">
        <f>0.897-G71</f>
        <v>0.82433333333333336</v>
      </c>
      <c r="J71" s="76">
        <f>0.91-G71</f>
        <v>0.83733333333333337</v>
      </c>
      <c r="K71" s="76">
        <f>5.6585*H71</f>
        <v>4.4721011666666666</v>
      </c>
      <c r="L71" s="76">
        <f t="shared" ref="L71:M73" si="55">5.6585*I71</f>
        <v>4.6644901666666669</v>
      </c>
      <c r="M71" s="76">
        <f t="shared" si="55"/>
        <v>4.7380506666666671</v>
      </c>
      <c r="N71" s="76">
        <f t="shared" si="53"/>
        <v>4.6248806666666669</v>
      </c>
      <c r="O71" s="76">
        <f t="shared" si="48"/>
        <v>0.3083253777777778</v>
      </c>
      <c r="P71" s="76">
        <f t="shared" si="49"/>
        <v>2.202324126984127E-2</v>
      </c>
      <c r="Q71" s="76">
        <f t="shared" si="50"/>
        <v>2.202324126984127E-2</v>
      </c>
      <c r="R71" s="76">
        <f t="shared" si="51"/>
        <v>1.3654409587301588</v>
      </c>
      <c r="S71" s="128"/>
      <c r="T71" s="76"/>
      <c r="U71" s="75"/>
      <c r="W71" s="81">
        <f>D86</f>
        <v>360</v>
      </c>
      <c r="X71" s="76">
        <f>S88</f>
        <v>0.82147381238095241</v>
      </c>
      <c r="Y71" s="76">
        <f>U88</f>
        <v>2.8899009025081877E-2</v>
      </c>
      <c r="Z71" s="76"/>
      <c r="AA71" s="124"/>
      <c r="AB71" s="124"/>
      <c r="AC71" s="124"/>
    </row>
    <row r="72" spans="2:29" ht="15" customHeight="1" x14ac:dyDescent="0.15">
      <c r="B72" s="207"/>
      <c r="C72" s="249"/>
      <c r="D72" s="216"/>
      <c r="E72" s="253"/>
      <c r="F72" s="104" t="s">
        <v>105</v>
      </c>
      <c r="G72" s="255"/>
      <c r="H72" s="74">
        <f>0.908-G71</f>
        <v>0.83533333333333337</v>
      </c>
      <c r="I72" s="76">
        <f>0.925-G71</f>
        <v>0.85233333333333339</v>
      </c>
      <c r="J72" s="76">
        <f>0.939-G71</f>
        <v>0.86633333333333329</v>
      </c>
      <c r="K72" s="76">
        <f t="shared" ref="K72:K73" si="56">5.6585*H72</f>
        <v>4.7267336666666671</v>
      </c>
      <c r="L72" s="76">
        <f t="shared" si="55"/>
        <v>4.8229281666666672</v>
      </c>
      <c r="M72" s="76">
        <f t="shared" si="55"/>
        <v>4.9021471666666665</v>
      </c>
      <c r="N72" s="76">
        <f t="shared" si="53"/>
        <v>4.8172696666666672</v>
      </c>
      <c r="O72" s="76">
        <f t="shared" si="48"/>
        <v>0.32115131111111117</v>
      </c>
      <c r="P72" s="76">
        <f t="shared" si="49"/>
        <v>2.2939379365079369E-2</v>
      </c>
      <c r="Q72" s="76">
        <f t="shared" si="50"/>
        <v>2.2939379365079369E-2</v>
      </c>
      <c r="R72" s="76">
        <f t="shared" si="51"/>
        <v>1.4222415206349208</v>
      </c>
      <c r="S72" s="128"/>
      <c r="T72" s="76"/>
      <c r="U72" s="75"/>
      <c r="W72" s="81">
        <f>D89</f>
        <v>408</v>
      </c>
      <c r="X72" s="76">
        <f>S91</f>
        <v>0.70432106777777792</v>
      </c>
      <c r="Y72" s="76">
        <f>U91</f>
        <v>3.6932414645047845E-2</v>
      </c>
      <c r="Z72" s="76"/>
      <c r="AA72" s="124"/>
      <c r="AB72" s="124"/>
      <c r="AC72" s="124"/>
    </row>
    <row r="73" spans="2:29" ht="15" customHeight="1" x14ac:dyDescent="0.15">
      <c r="B73" s="208"/>
      <c r="C73" s="250"/>
      <c r="D73" s="217"/>
      <c r="E73" s="254"/>
      <c r="F73" s="151" t="s">
        <v>106</v>
      </c>
      <c r="G73" s="256"/>
      <c r="H73" s="83">
        <f>0.876-G71</f>
        <v>0.80333333333333334</v>
      </c>
      <c r="I73" s="85">
        <f>0.904-G71</f>
        <v>0.83133333333333337</v>
      </c>
      <c r="J73" s="85">
        <f>0.935-G71</f>
        <v>0.8623333333333334</v>
      </c>
      <c r="K73" s="85">
        <f t="shared" si="56"/>
        <v>4.5456616666666667</v>
      </c>
      <c r="L73" s="85">
        <f t="shared" si="55"/>
        <v>4.704099666666667</v>
      </c>
      <c r="M73" s="85">
        <f t="shared" si="55"/>
        <v>4.8795131666666673</v>
      </c>
      <c r="N73" s="85">
        <f t="shared" si="53"/>
        <v>4.709758166666667</v>
      </c>
      <c r="O73" s="85">
        <f t="shared" si="48"/>
        <v>0.31398387777777781</v>
      </c>
      <c r="P73" s="85">
        <f t="shared" si="49"/>
        <v>2.2427419841269843E-2</v>
      </c>
      <c r="Q73" s="85">
        <f t="shared" si="50"/>
        <v>2.2427419841269843E-2</v>
      </c>
      <c r="R73" s="85">
        <f t="shared" si="51"/>
        <v>1.3905000301587302</v>
      </c>
      <c r="S73" s="130">
        <f>AVERAGE(R71:R73)</f>
        <v>1.3927275031746031</v>
      </c>
      <c r="T73" s="85">
        <f>STDEV(R71:R73)</f>
        <v>2.8465719474510168E-2</v>
      </c>
      <c r="U73" s="84">
        <f>T73/SQRT(3)</f>
        <v>1.6434690801284818E-2</v>
      </c>
      <c r="W73" s="81"/>
      <c r="X73" s="76"/>
      <c r="Y73" s="76"/>
      <c r="Z73" s="76"/>
      <c r="AA73" s="124"/>
      <c r="AB73" s="124"/>
      <c r="AC73" s="124"/>
    </row>
    <row r="74" spans="2:29" x14ac:dyDescent="0.15">
      <c r="B74" s="258" t="s">
        <v>29</v>
      </c>
      <c r="C74" s="249">
        <v>0.45833333333333331</v>
      </c>
      <c r="D74" s="216">
        <v>142.5</v>
      </c>
      <c r="E74" s="253">
        <v>7</v>
      </c>
      <c r="F74" s="104" t="s">
        <v>104</v>
      </c>
      <c r="G74" s="255">
        <v>7.6499999999999999E-2</v>
      </c>
      <c r="H74" s="74">
        <f>0.722-G74</f>
        <v>0.64549999999999996</v>
      </c>
      <c r="I74" s="76">
        <f>0.767-G74</f>
        <v>0.6905</v>
      </c>
      <c r="J74" s="76">
        <f>0.76-G74</f>
        <v>0.6835</v>
      </c>
      <c r="K74" s="76">
        <f>5.6668*H74</f>
        <v>3.6579193999999999</v>
      </c>
      <c r="L74" s="76">
        <f t="shared" ref="L74:M76" si="57">5.6668*I74</f>
        <v>3.9129254000000002</v>
      </c>
      <c r="M74" s="76">
        <f t="shared" si="57"/>
        <v>3.8732578000000002</v>
      </c>
      <c r="N74" s="76">
        <f t="shared" si="53"/>
        <v>3.8147008666666671</v>
      </c>
      <c r="O74" s="76">
        <f t="shared" si="48"/>
        <v>0.25431339111111112</v>
      </c>
      <c r="P74" s="76">
        <f t="shared" si="49"/>
        <v>1.8165242222222221E-2</v>
      </c>
      <c r="Q74" s="76">
        <f t="shared" si="50"/>
        <v>1.8165242222222221E-2</v>
      </c>
      <c r="R74" s="76">
        <f t="shared" si="51"/>
        <v>1.1262450177777776</v>
      </c>
      <c r="S74" s="127"/>
      <c r="T74" s="56"/>
      <c r="U74" s="73"/>
      <c r="W74" s="56"/>
      <c r="X74" s="76"/>
      <c r="Y74" s="76"/>
      <c r="Z74" s="76"/>
      <c r="AA74" s="76"/>
    </row>
    <row r="75" spans="2:29" ht="14" x14ac:dyDescent="0.15">
      <c r="B75" s="258"/>
      <c r="C75" s="249"/>
      <c r="D75" s="216"/>
      <c r="E75" s="253"/>
      <c r="F75" s="104" t="s">
        <v>105</v>
      </c>
      <c r="G75" s="255"/>
      <c r="H75" s="74">
        <f>0.781-G74</f>
        <v>0.70450000000000002</v>
      </c>
      <c r="I75" s="76">
        <f>0.79-G74</f>
        <v>0.71350000000000002</v>
      </c>
      <c r="J75" s="76">
        <f>0.796-G74</f>
        <v>0.71950000000000003</v>
      </c>
      <c r="K75" s="76">
        <f t="shared" ref="K75:K76" si="58">5.6668*H75</f>
        <v>3.9922606000000003</v>
      </c>
      <c r="L75" s="76">
        <f t="shared" si="57"/>
        <v>4.0432618000000007</v>
      </c>
      <c r="M75" s="76">
        <f t="shared" si="57"/>
        <v>4.0772626000000001</v>
      </c>
      <c r="N75" s="76">
        <f t="shared" si="53"/>
        <v>4.0375950000000005</v>
      </c>
      <c r="O75" s="76">
        <f t="shared" si="48"/>
        <v>0.26917300000000005</v>
      </c>
      <c r="P75" s="76">
        <f t="shared" si="49"/>
        <v>1.9226642857142862E-2</v>
      </c>
      <c r="Q75" s="76">
        <f t="shared" si="50"/>
        <v>1.9226642857142862E-2</v>
      </c>
      <c r="R75" s="76">
        <f t="shared" si="51"/>
        <v>1.1920518571428576</v>
      </c>
      <c r="S75" s="127"/>
      <c r="T75" s="56"/>
      <c r="U75" s="73"/>
      <c r="W75" s="124"/>
      <c r="X75" s="124"/>
      <c r="Y75" s="124"/>
      <c r="Z75" s="76"/>
      <c r="AA75" s="76"/>
    </row>
    <row r="76" spans="2:29" ht="14" x14ac:dyDescent="0.15">
      <c r="B76" s="259"/>
      <c r="C76" s="250"/>
      <c r="D76" s="217"/>
      <c r="E76" s="254"/>
      <c r="F76" s="151" t="s">
        <v>106</v>
      </c>
      <c r="G76" s="256"/>
      <c r="H76" s="83">
        <f>0.775-G74</f>
        <v>0.69850000000000001</v>
      </c>
      <c r="I76" s="85">
        <f>0.798-G74</f>
        <v>0.72150000000000003</v>
      </c>
      <c r="J76" s="85">
        <f>0.833-G74</f>
        <v>0.75649999999999995</v>
      </c>
      <c r="K76" s="85">
        <f t="shared" si="58"/>
        <v>3.9582598000000004</v>
      </c>
      <c r="L76" s="85">
        <f t="shared" si="57"/>
        <v>4.0885962000000005</v>
      </c>
      <c r="M76" s="85">
        <f t="shared" si="57"/>
        <v>4.2869342000000001</v>
      </c>
      <c r="N76" s="85">
        <f t="shared" si="53"/>
        <v>4.1112634000000012</v>
      </c>
      <c r="O76" s="85">
        <f t="shared" si="48"/>
        <v>0.27408422666666676</v>
      </c>
      <c r="P76" s="85">
        <f t="shared" si="49"/>
        <v>1.9577444761904768E-2</v>
      </c>
      <c r="Q76" s="85">
        <f t="shared" si="50"/>
        <v>1.9577444761904768E-2</v>
      </c>
      <c r="R76" s="85">
        <f t="shared" si="51"/>
        <v>1.2138015752380955</v>
      </c>
      <c r="S76" s="130">
        <f>AVERAGE(R74:R76)</f>
        <v>1.1773661500529102</v>
      </c>
      <c r="T76" s="85">
        <f>STDEV(R74:R76)</f>
        <v>4.5588268042603713E-2</v>
      </c>
      <c r="U76" s="84">
        <f>T76/SQRT(3)</f>
        <v>2.6320398826286069E-2</v>
      </c>
      <c r="W76" s="6"/>
      <c r="X76" s="6"/>
      <c r="Y76" s="6"/>
      <c r="Z76" s="76"/>
      <c r="AA76" s="76"/>
    </row>
    <row r="77" spans="2:29" ht="14" x14ac:dyDescent="0.15">
      <c r="B77" s="207" t="s">
        <v>31</v>
      </c>
      <c r="C77" s="249">
        <v>0.4375</v>
      </c>
      <c r="D77" s="216">
        <v>190</v>
      </c>
      <c r="E77" s="253">
        <v>9</v>
      </c>
      <c r="F77" s="104" t="s">
        <v>104</v>
      </c>
      <c r="G77" s="255">
        <v>8.2000000000000003E-2</v>
      </c>
      <c r="H77" s="74">
        <f>0.613-G77</f>
        <v>0.53100000000000003</v>
      </c>
      <c r="I77" s="76">
        <f>0.618-G77</f>
        <v>0.53600000000000003</v>
      </c>
      <c r="J77" s="76">
        <f>0.641-G77</f>
        <v>0.55900000000000005</v>
      </c>
      <c r="K77" s="76">
        <f>6.0262*H77</f>
        <v>3.1999122000000004</v>
      </c>
      <c r="L77" s="76">
        <f t="shared" ref="L77:M79" si="59">6.0262*I77</f>
        <v>3.2300432000000003</v>
      </c>
      <c r="M77" s="76">
        <f t="shared" si="59"/>
        <v>3.3686458000000004</v>
      </c>
      <c r="N77" s="76">
        <f t="shared" si="53"/>
        <v>3.2662004000000002</v>
      </c>
      <c r="O77" s="76">
        <f t="shared" si="48"/>
        <v>0.21774669333333335</v>
      </c>
      <c r="P77" s="76">
        <f t="shared" si="49"/>
        <v>1.5553335238095239E-2</v>
      </c>
      <c r="Q77" s="76">
        <f t="shared" si="50"/>
        <v>1.5553335238095239E-2</v>
      </c>
      <c r="R77" s="76">
        <f t="shared" si="51"/>
        <v>0.9643067847619049</v>
      </c>
      <c r="S77" s="127"/>
      <c r="T77" s="56"/>
      <c r="U77" s="73"/>
      <c r="W77" s="6"/>
      <c r="X77" s="6"/>
      <c r="Y77" s="6"/>
      <c r="Z77" s="76"/>
      <c r="AA77" s="76"/>
    </row>
    <row r="78" spans="2:29" ht="14" x14ac:dyDescent="0.15">
      <c r="B78" s="207"/>
      <c r="C78" s="249"/>
      <c r="D78" s="216"/>
      <c r="E78" s="253"/>
      <c r="F78" s="104" t="s">
        <v>105</v>
      </c>
      <c r="G78" s="255"/>
      <c r="H78" s="74">
        <f>0.701-G77</f>
        <v>0.61899999999999999</v>
      </c>
      <c r="I78" s="76">
        <f>0.72-G77</f>
        <v>0.63800000000000001</v>
      </c>
      <c r="J78" s="76">
        <f>0.729-G77</f>
        <v>0.64700000000000002</v>
      </c>
      <c r="K78" s="76">
        <f t="shared" ref="K78:K79" si="60">6.0262*H78</f>
        <v>3.7302178000000001</v>
      </c>
      <c r="L78" s="76">
        <f t="shared" si="59"/>
        <v>3.8447156000000002</v>
      </c>
      <c r="M78" s="76">
        <f t="shared" si="59"/>
        <v>3.8989514000000001</v>
      </c>
      <c r="N78" s="76">
        <f t="shared" si="53"/>
        <v>3.8246282666666667</v>
      </c>
      <c r="O78" s="76">
        <f t="shared" si="48"/>
        <v>0.25497521777777776</v>
      </c>
      <c r="P78" s="76">
        <f t="shared" si="49"/>
        <v>1.8212515555555555E-2</v>
      </c>
      <c r="Q78" s="76">
        <f t="shared" si="50"/>
        <v>1.8212515555555555E-2</v>
      </c>
      <c r="R78" s="76">
        <f t="shared" si="51"/>
        <v>1.1291759644444443</v>
      </c>
      <c r="S78" s="127"/>
      <c r="T78" s="56"/>
      <c r="U78" s="73"/>
      <c r="W78" s="6"/>
      <c r="X78" s="6"/>
      <c r="Y78" s="6"/>
      <c r="Z78" s="76"/>
      <c r="AA78" s="76"/>
    </row>
    <row r="79" spans="2:29" ht="14" x14ac:dyDescent="0.15">
      <c r="B79" s="208"/>
      <c r="C79" s="250"/>
      <c r="D79" s="217"/>
      <c r="E79" s="254"/>
      <c r="F79" s="151" t="s">
        <v>106</v>
      </c>
      <c r="G79" s="256"/>
      <c r="H79" s="83">
        <f>0.676-G77</f>
        <v>0.59400000000000008</v>
      </c>
      <c r="I79" s="85">
        <f>0.675-G77</f>
        <v>0.59300000000000008</v>
      </c>
      <c r="J79" s="85">
        <f>0.691-G77</f>
        <v>0.60899999999999999</v>
      </c>
      <c r="K79" s="85">
        <f t="shared" si="60"/>
        <v>3.5795628000000006</v>
      </c>
      <c r="L79" s="85">
        <f t="shared" si="59"/>
        <v>3.5735366000000006</v>
      </c>
      <c r="M79" s="85">
        <f t="shared" si="59"/>
        <v>3.6699557999999999</v>
      </c>
      <c r="N79" s="85">
        <f t="shared" si="53"/>
        <v>3.6076850666666669</v>
      </c>
      <c r="O79" s="85">
        <f t="shared" si="48"/>
        <v>0.24051233777777778</v>
      </c>
      <c r="P79" s="85">
        <f t="shared" si="49"/>
        <v>1.7179452698412697E-2</v>
      </c>
      <c r="Q79" s="85">
        <f t="shared" si="50"/>
        <v>1.7179452698412697E-2</v>
      </c>
      <c r="R79" s="85">
        <f t="shared" si="51"/>
        <v>1.0651260673015872</v>
      </c>
      <c r="S79" s="130">
        <f>AVERAGE(R77:R79)</f>
        <v>1.0528696055026454</v>
      </c>
      <c r="T79" s="85">
        <f>STDEV(R77:R79)</f>
        <v>8.3115144493467963E-2</v>
      </c>
      <c r="U79" s="84">
        <f>T79/SQRT(2)</f>
        <v>5.877128229063093E-2</v>
      </c>
      <c r="W79" s="6"/>
      <c r="X79" s="6"/>
      <c r="Y79" s="6"/>
      <c r="Z79" s="76"/>
      <c r="AA79" s="76"/>
    </row>
    <row r="80" spans="2:29" ht="14" x14ac:dyDescent="0.15">
      <c r="B80" s="207" t="s">
        <v>33</v>
      </c>
      <c r="C80" s="249">
        <v>0.45833333333333331</v>
      </c>
      <c r="D80" s="216">
        <v>262.5</v>
      </c>
      <c r="E80" s="253">
        <v>12</v>
      </c>
      <c r="F80" s="104" t="s">
        <v>104</v>
      </c>
      <c r="G80" s="255">
        <v>7.9000000000000001E-2</v>
      </c>
      <c r="H80" s="74">
        <f>0.542-G80</f>
        <v>0.46300000000000002</v>
      </c>
      <c r="I80" s="76">
        <f>0.564-G80</f>
        <v>0.48499999999999993</v>
      </c>
      <c r="J80" s="76">
        <f>0.549-G80</f>
        <v>0.47000000000000003</v>
      </c>
      <c r="K80" s="76">
        <f>6.0702*H80</f>
        <v>2.8105026</v>
      </c>
      <c r="L80" s="76">
        <f t="shared" ref="L80:M85" si="61">6.0702*I80</f>
        <v>2.9440469999999994</v>
      </c>
      <c r="M80" s="76">
        <f t="shared" si="61"/>
        <v>2.8529940000000003</v>
      </c>
      <c r="N80" s="76">
        <f t="shared" si="53"/>
        <v>2.8691811999999999</v>
      </c>
      <c r="O80" s="76">
        <f t="shared" si="48"/>
        <v>0.19127874666666667</v>
      </c>
      <c r="P80" s="76">
        <f t="shared" si="49"/>
        <v>1.366276761904762E-2</v>
      </c>
      <c r="Q80" s="76">
        <f t="shared" si="50"/>
        <v>1.366276761904762E-2</v>
      </c>
      <c r="R80" s="76">
        <f t="shared" si="51"/>
        <v>0.84709159238095244</v>
      </c>
      <c r="S80" s="128"/>
      <c r="T80" s="76"/>
      <c r="U80" s="75"/>
      <c r="W80" s="6"/>
      <c r="X80" s="6"/>
      <c r="Y80" s="6"/>
      <c r="Z80" s="76"/>
      <c r="AA80" s="76"/>
    </row>
    <row r="81" spans="2:27" ht="14" x14ac:dyDescent="0.15">
      <c r="B81" s="207"/>
      <c r="C81" s="249"/>
      <c r="D81" s="216"/>
      <c r="E81" s="253"/>
      <c r="F81" s="104" t="s">
        <v>105</v>
      </c>
      <c r="G81" s="255"/>
      <c r="H81" s="74">
        <f>0.652-G80</f>
        <v>0.57300000000000006</v>
      </c>
      <c r="I81" s="76">
        <f>0.603-G80</f>
        <v>0.52400000000000002</v>
      </c>
      <c r="J81" s="76">
        <f>0.611-G80</f>
        <v>0.53200000000000003</v>
      </c>
      <c r="K81" s="76">
        <f t="shared" ref="K81:K82" si="62">6.0702*H81</f>
        <v>3.4782246000000003</v>
      </c>
      <c r="L81" s="76">
        <f t="shared" si="61"/>
        <v>3.1807848000000001</v>
      </c>
      <c r="M81" s="76">
        <f t="shared" si="61"/>
        <v>3.2293464000000003</v>
      </c>
      <c r="N81" s="76">
        <f t="shared" si="53"/>
        <v>3.2961186000000002</v>
      </c>
      <c r="O81" s="76">
        <f t="shared" si="48"/>
        <v>0.21974124</v>
      </c>
      <c r="P81" s="76">
        <f t="shared" si="49"/>
        <v>1.5695802857142858E-2</v>
      </c>
      <c r="Q81" s="76">
        <f t="shared" si="50"/>
        <v>1.5695802857142858E-2</v>
      </c>
      <c r="R81" s="76">
        <f t="shared" si="51"/>
        <v>0.97313977714285727</v>
      </c>
      <c r="S81" s="128"/>
      <c r="T81" s="76"/>
      <c r="U81" s="75"/>
      <c r="W81" s="6"/>
      <c r="X81" s="6"/>
      <c r="Y81" s="6"/>
      <c r="Z81" s="76"/>
      <c r="AA81" s="76"/>
    </row>
    <row r="82" spans="2:27" ht="14" x14ac:dyDescent="0.15">
      <c r="B82" s="208"/>
      <c r="C82" s="250"/>
      <c r="D82" s="217"/>
      <c r="E82" s="254"/>
      <c r="F82" s="151" t="s">
        <v>106</v>
      </c>
      <c r="G82" s="256"/>
      <c r="H82" s="83">
        <f>0.607-G80</f>
        <v>0.52800000000000002</v>
      </c>
      <c r="I82" s="85">
        <f>0.599-G80</f>
        <v>0.52</v>
      </c>
      <c r="J82" s="85">
        <f>0.669-G80</f>
        <v>0.59000000000000008</v>
      </c>
      <c r="K82" s="85">
        <f t="shared" si="62"/>
        <v>3.2050656000000002</v>
      </c>
      <c r="L82" s="85">
        <f t="shared" si="61"/>
        <v>3.156504</v>
      </c>
      <c r="M82" s="85">
        <f t="shared" si="61"/>
        <v>3.5814180000000002</v>
      </c>
      <c r="N82" s="85">
        <f t="shared" si="53"/>
        <v>3.3143292</v>
      </c>
      <c r="O82" s="85">
        <f t="shared" si="48"/>
        <v>0.22095528</v>
      </c>
      <c r="P82" s="85">
        <f t="shared" si="49"/>
        <v>1.5782520000000001E-2</v>
      </c>
      <c r="Q82" s="85">
        <f t="shared" si="50"/>
        <v>1.5782520000000001E-2</v>
      </c>
      <c r="R82" s="85">
        <f t="shared" si="51"/>
        <v>0.97851624000000004</v>
      </c>
      <c r="S82" s="130">
        <f>AVERAGE(R80:R82)</f>
        <v>0.93291586984126995</v>
      </c>
      <c r="T82" s="85">
        <f>STDEV(R80:R82)</f>
        <v>7.4374602784839983E-2</v>
      </c>
      <c r="U82" s="84">
        <f>T82/SQRT(2)</f>
        <v>5.2590785977216233E-2</v>
      </c>
      <c r="W82" s="6"/>
      <c r="X82" s="6"/>
      <c r="Y82" s="6"/>
      <c r="Z82" s="76"/>
      <c r="AA82" s="76"/>
    </row>
    <row r="83" spans="2:27" ht="14" x14ac:dyDescent="0.15">
      <c r="B83" s="207" t="s">
        <v>35</v>
      </c>
      <c r="C83" s="249">
        <v>0.45833333333333331</v>
      </c>
      <c r="D83" s="216">
        <v>310.5</v>
      </c>
      <c r="E83" s="253">
        <v>14</v>
      </c>
      <c r="F83" s="104" t="s">
        <v>104</v>
      </c>
      <c r="G83" s="255">
        <f>(0.085+0.069+0.079)/3</f>
        <v>7.7666666666666676E-2</v>
      </c>
      <c r="H83" s="74">
        <f>0.619-G83</f>
        <v>0.54133333333333333</v>
      </c>
      <c r="I83" s="76">
        <f>0.638-G83</f>
        <v>0.56033333333333335</v>
      </c>
      <c r="J83" s="76">
        <f>0.433-G83</f>
        <v>0.35533333333333333</v>
      </c>
      <c r="K83" s="76">
        <f>6.0702*H83</f>
        <v>3.2860016000000001</v>
      </c>
      <c r="L83" s="76">
        <f t="shared" si="61"/>
        <v>3.4013353999999998</v>
      </c>
      <c r="M83" s="76">
        <f t="shared" si="61"/>
        <v>2.1569444</v>
      </c>
      <c r="N83" s="76">
        <f t="shared" si="53"/>
        <v>2.9480938000000001</v>
      </c>
      <c r="O83" s="76">
        <f t="shared" si="48"/>
        <v>0.19653958666666668</v>
      </c>
      <c r="P83" s="76">
        <f t="shared" si="49"/>
        <v>1.4038541904761906E-2</v>
      </c>
      <c r="Q83" s="76">
        <f t="shared" si="50"/>
        <v>1.4038541904761906E-2</v>
      </c>
      <c r="R83" s="76">
        <f t="shared" si="51"/>
        <v>0.87038959809523819</v>
      </c>
      <c r="S83" s="128"/>
      <c r="T83" s="76"/>
      <c r="U83" s="75"/>
      <c r="W83" s="6"/>
      <c r="X83" s="6"/>
      <c r="Y83" s="6"/>
      <c r="Z83" s="76"/>
      <c r="AA83" s="76"/>
    </row>
    <row r="84" spans="2:27" ht="14" x14ac:dyDescent="0.15">
      <c r="B84" s="207"/>
      <c r="C84" s="249"/>
      <c r="D84" s="216"/>
      <c r="E84" s="253"/>
      <c r="F84" s="104" t="s">
        <v>105</v>
      </c>
      <c r="G84" s="255"/>
      <c r="H84" s="74">
        <f>0.562-G83</f>
        <v>0.48433333333333339</v>
      </c>
      <c r="I84" s="76">
        <f>0.579-G83</f>
        <v>0.5013333333333333</v>
      </c>
      <c r="J84" s="76">
        <f>0.574-G83</f>
        <v>0.49633333333333329</v>
      </c>
      <c r="K84" s="76">
        <f t="shared" ref="K84:K85" si="63">6.0702*H84</f>
        <v>2.9400002000000001</v>
      </c>
      <c r="L84" s="76">
        <f t="shared" si="61"/>
        <v>3.0431935999999995</v>
      </c>
      <c r="M84" s="76">
        <f t="shared" si="61"/>
        <v>3.0128425999999995</v>
      </c>
      <c r="N84" s="76">
        <f t="shared" si="53"/>
        <v>2.9986788</v>
      </c>
      <c r="O84" s="76">
        <f t="shared" si="48"/>
        <v>0.19991191999999999</v>
      </c>
      <c r="P84" s="76">
        <f t="shared" si="49"/>
        <v>1.4279422857142857E-2</v>
      </c>
      <c r="Q84" s="76">
        <f t="shared" si="50"/>
        <v>1.4279422857142857E-2</v>
      </c>
      <c r="R84" s="76">
        <f t="shared" si="51"/>
        <v>0.88532421714285714</v>
      </c>
      <c r="S84" s="128"/>
      <c r="T84" s="76"/>
      <c r="U84" s="75"/>
      <c r="W84" s="6"/>
      <c r="X84" s="6"/>
      <c r="Y84" s="6"/>
      <c r="Z84" s="76"/>
      <c r="AA84" s="76"/>
    </row>
    <row r="85" spans="2:27" x14ac:dyDescent="0.15">
      <c r="B85" s="208"/>
      <c r="C85" s="250"/>
      <c r="D85" s="217"/>
      <c r="E85" s="254"/>
      <c r="F85" s="151" t="s">
        <v>106</v>
      </c>
      <c r="G85" s="256"/>
      <c r="H85" s="83">
        <f>0.578-G83</f>
        <v>0.5003333333333333</v>
      </c>
      <c r="I85" s="85">
        <f>0.583-G83</f>
        <v>0.5053333333333333</v>
      </c>
      <c r="J85" s="85">
        <f>0.581-G83</f>
        <v>0.5033333333333333</v>
      </c>
      <c r="K85" s="85">
        <f t="shared" si="63"/>
        <v>3.0371233999999996</v>
      </c>
      <c r="L85" s="85">
        <f t="shared" si="61"/>
        <v>3.0674743999999996</v>
      </c>
      <c r="M85" s="85">
        <f t="shared" si="61"/>
        <v>3.0553339999999998</v>
      </c>
      <c r="N85" s="85">
        <f t="shared" si="53"/>
        <v>3.0533105999999997</v>
      </c>
      <c r="O85" s="85">
        <f t="shared" si="48"/>
        <v>0.20355403999999996</v>
      </c>
      <c r="P85" s="85">
        <f t="shared" si="49"/>
        <v>1.4539574285714283E-2</v>
      </c>
      <c r="Q85" s="85">
        <f t="shared" si="50"/>
        <v>1.4539574285714283E-2</v>
      </c>
      <c r="R85" s="85">
        <f t="shared" si="51"/>
        <v>0.90145360571428557</v>
      </c>
      <c r="S85" s="130">
        <f>AVERAGE(R83:R85)</f>
        <v>0.8857224736507936</v>
      </c>
      <c r="T85" s="85">
        <f>STDEV(R83:R85)</f>
        <v>1.5535832727074646E-2</v>
      </c>
      <c r="U85" s="84">
        <f>T85/SQRT(3)</f>
        <v>8.9696172070615459E-3</v>
      </c>
    </row>
    <row r="86" spans="2:27" x14ac:dyDescent="0.15">
      <c r="B86" s="207" t="s">
        <v>37</v>
      </c>
      <c r="C86" s="249">
        <v>0.52083333333333337</v>
      </c>
      <c r="D86" s="216">
        <v>360</v>
      </c>
      <c r="E86" s="253">
        <v>16</v>
      </c>
      <c r="F86" s="104" t="s">
        <v>104</v>
      </c>
      <c r="G86" s="255">
        <v>7.3666666666666672E-2</v>
      </c>
      <c r="H86" s="74">
        <f>0.596-G86</f>
        <v>0.52233333333333332</v>
      </c>
      <c r="I86" s="76">
        <f>0.62-G86</f>
        <v>0.54633333333333334</v>
      </c>
      <c r="J86" s="76">
        <f>0.629-G86</f>
        <v>0.55533333333333335</v>
      </c>
      <c r="K86" s="76">
        <f>7.2021*H86</f>
        <v>3.7618968999999995</v>
      </c>
      <c r="L86" s="76">
        <f t="shared" ref="L86:M88" si="64">7.2021*I86</f>
        <v>3.9347472999999997</v>
      </c>
      <c r="M86" s="76">
        <f t="shared" si="64"/>
        <v>3.9995661999999998</v>
      </c>
      <c r="N86" s="76">
        <f t="shared" si="53"/>
        <v>3.8987368</v>
      </c>
      <c r="O86" s="76">
        <f>N86/20</f>
        <v>0.19493684</v>
      </c>
      <c r="P86" s="76">
        <f t="shared" si="49"/>
        <v>1.392406E-2</v>
      </c>
      <c r="Q86" s="76">
        <f t="shared" si="50"/>
        <v>1.392406E-2</v>
      </c>
      <c r="R86" s="76">
        <f t="shared" si="51"/>
        <v>0.86329171999999998</v>
      </c>
      <c r="S86" s="127"/>
      <c r="T86" s="56"/>
      <c r="U86" s="73"/>
    </row>
    <row r="87" spans="2:27" x14ac:dyDescent="0.15">
      <c r="B87" s="207"/>
      <c r="C87" s="249"/>
      <c r="D87" s="216"/>
      <c r="E87" s="253"/>
      <c r="F87" s="104" t="s">
        <v>105</v>
      </c>
      <c r="G87" s="255"/>
      <c r="H87" s="74">
        <f>0.62-G86</f>
        <v>0.54633333333333334</v>
      </c>
      <c r="I87" s="76">
        <f>0.613-G86</f>
        <v>0.53933333333333333</v>
      </c>
      <c r="J87" s="76">
        <f>0.559-G86</f>
        <v>0.48533333333333339</v>
      </c>
      <c r="K87" s="76">
        <f t="shared" ref="K87:K88" si="65">7.2021*H87</f>
        <v>3.9347472999999997</v>
      </c>
      <c r="L87" s="76">
        <f t="shared" si="64"/>
        <v>3.8843326</v>
      </c>
      <c r="M87" s="76">
        <f t="shared" si="64"/>
        <v>3.4954192000000002</v>
      </c>
      <c r="N87" s="76">
        <f t="shared" si="53"/>
        <v>3.7714997000000001</v>
      </c>
      <c r="O87" s="76">
        <f>N87/20</f>
        <v>0.188574985</v>
      </c>
      <c r="P87" s="76">
        <f t="shared" si="49"/>
        <v>1.3469641785714286E-2</v>
      </c>
      <c r="Q87" s="76">
        <f t="shared" si="50"/>
        <v>1.3469641785714286E-2</v>
      </c>
      <c r="R87" s="76">
        <f t="shared" si="51"/>
        <v>0.83511779071428571</v>
      </c>
      <c r="S87" s="127"/>
      <c r="T87" s="56"/>
      <c r="U87" s="73"/>
    </row>
    <row r="88" spans="2:27" x14ac:dyDescent="0.15">
      <c r="B88" s="208"/>
      <c r="C88" s="250"/>
      <c r="D88" s="217"/>
      <c r="E88" s="254"/>
      <c r="F88" s="151" t="s">
        <v>106</v>
      </c>
      <c r="G88" s="256"/>
      <c r="H88" s="83">
        <f>0.548-G86</f>
        <v>0.47433333333333338</v>
      </c>
      <c r="I88" s="85">
        <f>0.539-G86</f>
        <v>0.46533333333333338</v>
      </c>
      <c r="J88" s="85">
        <f>0.575-G86</f>
        <v>0.5013333333333333</v>
      </c>
      <c r="K88" s="85">
        <f t="shared" si="65"/>
        <v>3.4161961000000001</v>
      </c>
      <c r="L88" s="85">
        <f t="shared" si="64"/>
        <v>3.3513772000000004</v>
      </c>
      <c r="M88" s="85">
        <f t="shared" si="64"/>
        <v>3.6106527999999996</v>
      </c>
      <c r="N88" s="85">
        <f t="shared" si="53"/>
        <v>3.4594086999999996</v>
      </c>
      <c r="O88" s="85">
        <f>N88/20</f>
        <v>0.17297043499999998</v>
      </c>
      <c r="P88" s="85">
        <f t="shared" si="49"/>
        <v>1.235503107142857E-2</v>
      </c>
      <c r="Q88" s="85">
        <f t="shared" si="50"/>
        <v>1.235503107142857E-2</v>
      </c>
      <c r="R88" s="85">
        <f t="shared" si="51"/>
        <v>0.76601192642857141</v>
      </c>
      <c r="S88" s="130">
        <f>AVERAGE(R86:R88)</f>
        <v>0.82147381238095241</v>
      </c>
      <c r="T88" s="85">
        <f>STDEV(R86:R88)</f>
        <v>5.0054551919833337E-2</v>
      </c>
      <c r="U88" s="84">
        <f>T88/SQRT(3)</f>
        <v>2.8899009025081877E-2</v>
      </c>
    </row>
    <row r="89" spans="2:27" x14ac:dyDescent="0.15">
      <c r="B89" s="258" t="s">
        <v>39</v>
      </c>
      <c r="C89" s="249">
        <v>0.52083333333333337</v>
      </c>
      <c r="D89" s="216">
        <v>408</v>
      </c>
      <c r="E89" s="253">
        <v>18</v>
      </c>
      <c r="F89" s="104" t="s">
        <v>104</v>
      </c>
      <c r="G89" s="255">
        <v>6.9666666666666668E-2</v>
      </c>
      <c r="H89" s="74">
        <f>0.467-G89</f>
        <v>0.39733333333333337</v>
      </c>
      <c r="I89" s="76">
        <f>0.454-G89</f>
        <v>0.38433333333333336</v>
      </c>
      <c r="J89" s="76">
        <f>0.404-G89</f>
        <v>0.33433333333333337</v>
      </c>
      <c r="K89" s="76">
        <f>8.5378*H89</f>
        <v>3.3923525333333338</v>
      </c>
      <c r="L89" s="76">
        <f t="shared" ref="L89:M91" si="66">8.5378*I89</f>
        <v>3.2813611333333337</v>
      </c>
      <c r="M89" s="76">
        <f t="shared" si="66"/>
        <v>2.8544711333333339</v>
      </c>
      <c r="N89" s="76">
        <f t="shared" si="53"/>
        <v>3.1760616000000006</v>
      </c>
      <c r="O89" s="76">
        <f t="shared" ref="O89:O91" si="67">N89/20</f>
        <v>0.15880308000000004</v>
      </c>
      <c r="P89" s="76">
        <f t="shared" si="49"/>
        <v>1.1343077142857146E-2</v>
      </c>
      <c r="Q89" s="76">
        <f t="shared" si="50"/>
        <v>1.1343077142857146E-2</v>
      </c>
      <c r="R89" s="76">
        <f t="shared" si="51"/>
        <v>0.70327078285714306</v>
      </c>
      <c r="S89" s="127"/>
      <c r="T89" s="56"/>
      <c r="U89" s="73"/>
    </row>
    <row r="90" spans="2:27" ht="15" customHeight="1" x14ac:dyDescent="0.15">
      <c r="B90" s="258"/>
      <c r="C90" s="249"/>
      <c r="D90" s="216"/>
      <c r="E90" s="253"/>
      <c r="F90" s="104" t="s">
        <v>105</v>
      </c>
      <c r="G90" s="255"/>
      <c r="H90" s="74">
        <f>0.488-G89</f>
        <v>0.41833333333333333</v>
      </c>
      <c r="I90" s="76">
        <f>0.473-G89</f>
        <v>0.40333333333333332</v>
      </c>
      <c r="J90" s="76">
        <f>0.468-G89</f>
        <v>0.39833333333333337</v>
      </c>
      <c r="K90" s="76">
        <f>8.5378*H90</f>
        <v>3.5716463333333337</v>
      </c>
      <c r="L90" s="76">
        <f t="shared" si="66"/>
        <v>3.4435793333333335</v>
      </c>
      <c r="M90" s="76">
        <f t="shared" si="66"/>
        <v>3.4008903333333338</v>
      </c>
      <c r="N90" s="76">
        <f t="shared" si="53"/>
        <v>3.4720386666666676</v>
      </c>
      <c r="O90" s="76">
        <f t="shared" si="67"/>
        <v>0.17360193333333337</v>
      </c>
      <c r="P90" s="76">
        <f t="shared" si="49"/>
        <v>1.2400138095238098E-2</v>
      </c>
      <c r="Q90" s="76">
        <f t="shared" si="50"/>
        <v>1.2400138095238098E-2</v>
      </c>
      <c r="R90" s="76">
        <f t="shared" si="51"/>
        <v>0.7688085619047621</v>
      </c>
      <c r="S90" s="127"/>
      <c r="T90" s="56"/>
      <c r="U90" s="73"/>
    </row>
    <row r="91" spans="2:27" ht="16" customHeight="1" thickBot="1" x14ac:dyDescent="0.2">
      <c r="B91" s="262"/>
      <c r="C91" s="263"/>
      <c r="D91" s="225"/>
      <c r="E91" s="260"/>
      <c r="F91" s="152" t="s">
        <v>106</v>
      </c>
      <c r="G91" s="261"/>
      <c r="H91" s="105">
        <f>0.406-G89</f>
        <v>0.33633333333333337</v>
      </c>
      <c r="I91" s="107">
        <f>0.418-G89</f>
        <v>0.34833333333333333</v>
      </c>
      <c r="J91" s="107">
        <f>0.402-G89</f>
        <v>0.33233333333333337</v>
      </c>
      <c r="K91" s="107">
        <f>8.5378*H91</f>
        <v>2.871546733333334</v>
      </c>
      <c r="L91" s="107">
        <f t="shared" si="66"/>
        <v>2.9740003333333336</v>
      </c>
      <c r="M91" s="107">
        <f t="shared" si="66"/>
        <v>2.8373955333333338</v>
      </c>
      <c r="N91" s="107">
        <f t="shared" si="53"/>
        <v>2.8943142000000002</v>
      </c>
      <c r="O91" s="107">
        <f t="shared" si="67"/>
        <v>0.14471571</v>
      </c>
      <c r="P91" s="107">
        <f t="shared" si="49"/>
        <v>1.0336836428571429E-2</v>
      </c>
      <c r="Q91" s="107">
        <f t="shared" si="50"/>
        <v>1.0336836428571429E-2</v>
      </c>
      <c r="R91" s="107">
        <f t="shared" si="51"/>
        <v>0.6408838585714286</v>
      </c>
      <c r="S91" s="157">
        <f>AVERAGE(R89:R91)</f>
        <v>0.70432106777777792</v>
      </c>
      <c r="T91" s="107">
        <f>STDEV(R89:R91)</f>
        <v>6.3968818611423742E-2</v>
      </c>
      <c r="U91" s="106">
        <f>T91/SQRT(3)</f>
        <v>3.6932414645047845E-2</v>
      </c>
    </row>
    <row r="92" spans="2:27" x14ac:dyDescent="0.15"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</row>
    <row r="93" spans="2:27" x14ac:dyDescent="0.15"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</row>
    <row r="94" spans="2:27" x14ac:dyDescent="0.15"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</row>
    <row r="95" spans="2:27" x14ac:dyDescent="0.15"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</row>
    <row r="96" spans="2:27" x14ac:dyDescent="0.15"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</row>
    <row r="97" spans="2:21" x14ac:dyDescent="0.15"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</row>
    <row r="98" spans="2:21" x14ac:dyDescent="0.15"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</row>
    <row r="99" spans="2:21" x14ac:dyDescent="0.15"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</row>
    <row r="100" spans="2:21" x14ac:dyDescent="0.15"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</row>
    <row r="101" spans="2:21" x14ac:dyDescent="0.15"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</row>
    <row r="102" spans="2:21" x14ac:dyDescent="0.15"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</row>
    <row r="103" spans="2:21" x14ac:dyDescent="0.15"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</row>
    <row r="104" spans="2:21" x14ac:dyDescent="0.15"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</row>
    <row r="105" spans="2:21" x14ac:dyDescent="0.15"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</row>
    <row r="106" spans="2:21" x14ac:dyDescent="0.15"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</row>
    <row r="107" spans="2:21" x14ac:dyDescent="0.15"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</row>
    <row r="108" spans="2:21" x14ac:dyDescent="0.15"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</row>
    <row r="109" spans="2:21" x14ac:dyDescent="0.15"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</row>
    <row r="110" spans="2:21" x14ac:dyDescent="0.15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</row>
    <row r="111" spans="2:21" x14ac:dyDescent="0.15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</row>
    <row r="112" spans="2:21" x14ac:dyDescent="0.15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</row>
    <row r="113" spans="2:21" x14ac:dyDescent="0.15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</row>
    <row r="114" spans="2:21" x14ac:dyDescent="0.15"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</row>
    <row r="115" spans="2:21" x14ac:dyDescent="0.15"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</row>
    <row r="116" spans="2:21" x14ac:dyDescent="0.15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</row>
    <row r="117" spans="2:21" x14ac:dyDescent="0.15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</row>
    <row r="118" spans="2:21" x14ac:dyDescent="0.15"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</row>
    <row r="119" spans="2:21" x14ac:dyDescent="0.15"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</row>
    <row r="120" spans="2:21" x14ac:dyDescent="0.15"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</row>
    <row r="121" spans="2:21" x14ac:dyDescent="0.15"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</row>
    <row r="122" spans="2:21" x14ac:dyDescent="0.15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</row>
    <row r="123" spans="2:21" x14ac:dyDescent="0.15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</row>
    <row r="124" spans="2:21" x14ac:dyDescent="0.15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</row>
    <row r="125" spans="2:21" x14ac:dyDescent="0.15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</row>
    <row r="126" spans="2:21" x14ac:dyDescent="0.15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</row>
    <row r="127" spans="2:21" x14ac:dyDescent="0.15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</row>
    <row r="128" spans="2:21" x14ac:dyDescent="0.15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</row>
    <row r="129" spans="2:21" x14ac:dyDescent="0.15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</row>
    <row r="130" spans="2:21" x14ac:dyDescent="0.15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</row>
    <row r="131" spans="2:21" x14ac:dyDescent="0.15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</row>
    <row r="132" spans="2:21" x14ac:dyDescent="0.15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</row>
    <row r="133" spans="2:21" x14ac:dyDescent="0.15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</row>
    <row r="134" spans="2:21" x14ac:dyDescent="0.15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</row>
    <row r="135" spans="2:21" x14ac:dyDescent="0.15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</row>
    <row r="136" spans="2:21" x14ac:dyDescent="0.15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</row>
    <row r="137" spans="2:21" x14ac:dyDescent="0.15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</row>
    <row r="138" spans="2:21" x14ac:dyDescent="0.15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</row>
    <row r="139" spans="2:21" x14ac:dyDescent="0.15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</row>
    <row r="140" spans="2:21" x14ac:dyDescent="0.15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</row>
    <row r="141" spans="2:21" x14ac:dyDescent="0.15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</row>
    <row r="142" spans="2:21" x14ac:dyDescent="0.15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</row>
    <row r="143" spans="2:21" x14ac:dyDescent="0.15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</row>
    <row r="144" spans="2:21" x14ac:dyDescent="0.15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</row>
    <row r="145" spans="2:21" x14ac:dyDescent="0.15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</row>
    <row r="146" spans="2:21" x14ac:dyDescent="0.15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</row>
    <row r="147" spans="2:21" x14ac:dyDescent="0.15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</row>
    <row r="148" spans="2:21" x14ac:dyDescent="0.15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</row>
    <row r="149" spans="2:21" x14ac:dyDescent="0.15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</row>
    <row r="150" spans="2:21" x14ac:dyDescent="0.15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</row>
    <row r="151" spans="2:21" x14ac:dyDescent="0.15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</row>
    <row r="152" spans="2:21" x14ac:dyDescent="0.15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</row>
    <row r="153" spans="2:21" x14ac:dyDescent="0.15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</row>
    <row r="154" spans="2:21" x14ac:dyDescent="0.15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</row>
    <row r="155" spans="2:21" x14ac:dyDescent="0.15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</row>
    <row r="156" spans="2:21" x14ac:dyDescent="0.15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</row>
    <row r="157" spans="2:21" x14ac:dyDescent="0.15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</row>
    <row r="158" spans="2:21" x14ac:dyDescent="0.15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</row>
    <row r="159" spans="2:21" x14ac:dyDescent="0.15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</row>
    <row r="160" spans="2:21" x14ac:dyDescent="0.15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</row>
    <row r="161" spans="2:21" x14ac:dyDescent="0.15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</row>
    <row r="162" spans="2:21" x14ac:dyDescent="0.15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</row>
    <row r="163" spans="2:21" x14ac:dyDescent="0.15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</row>
    <row r="164" spans="2:21" x14ac:dyDescent="0.15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</row>
    <row r="165" spans="2:21" x14ac:dyDescent="0.15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</row>
    <row r="166" spans="2:21" x14ac:dyDescent="0.15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</row>
    <row r="167" spans="2:21" x14ac:dyDescent="0.15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</row>
    <row r="168" spans="2:21" x14ac:dyDescent="0.15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</row>
    <row r="169" spans="2:21" x14ac:dyDescent="0.15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</row>
    <row r="170" spans="2:21" x14ac:dyDescent="0.15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</row>
    <row r="171" spans="2:21" x14ac:dyDescent="0.15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</row>
    <row r="172" spans="2:21" x14ac:dyDescent="0.15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2:21" x14ac:dyDescent="0.15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</row>
    <row r="174" spans="2:21" x14ac:dyDescent="0.15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</row>
    <row r="175" spans="2:21" x14ac:dyDescent="0.15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</row>
    <row r="176" spans="2:21" x14ac:dyDescent="0.15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</row>
    <row r="177" spans="2:21" x14ac:dyDescent="0.15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</row>
    <row r="178" spans="2:21" x14ac:dyDescent="0.15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</row>
    <row r="179" spans="2:21" x14ac:dyDescent="0.15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</row>
    <row r="180" spans="2:21" x14ac:dyDescent="0.15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</row>
    <row r="181" spans="2:21" x14ac:dyDescent="0.15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</row>
    <row r="182" spans="2:21" x14ac:dyDescent="0.15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</row>
    <row r="183" spans="2:21" x14ac:dyDescent="0.15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</row>
    <row r="184" spans="2:21" x14ac:dyDescent="0.15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</row>
    <row r="185" spans="2:21" x14ac:dyDescent="0.15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</row>
    <row r="186" spans="2:21" x14ac:dyDescent="0.15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</row>
    <row r="187" spans="2:21" x14ac:dyDescent="0.15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</row>
    <row r="188" spans="2:21" x14ac:dyDescent="0.15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</row>
    <row r="189" spans="2:21" x14ac:dyDescent="0.15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</row>
    <row r="190" spans="2:21" x14ac:dyDescent="0.15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</row>
    <row r="191" spans="2:21" x14ac:dyDescent="0.15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</row>
    <row r="192" spans="2:21" x14ac:dyDescent="0.15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</row>
    <row r="193" spans="2:21" x14ac:dyDescent="0.15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</row>
    <row r="194" spans="2:21" x14ac:dyDescent="0.15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</row>
    <row r="195" spans="2:21" x14ac:dyDescent="0.15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</row>
    <row r="196" spans="2:21" x14ac:dyDescent="0.15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</row>
    <row r="197" spans="2:21" x14ac:dyDescent="0.15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</row>
    <row r="198" spans="2:21" x14ac:dyDescent="0.15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</row>
    <row r="199" spans="2:21" x14ac:dyDescent="0.15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</row>
    <row r="200" spans="2:21" x14ac:dyDescent="0.15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</row>
    <row r="201" spans="2:21" x14ac:dyDescent="0.15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</row>
    <row r="202" spans="2:21" x14ac:dyDescent="0.15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</row>
    <row r="203" spans="2:21" x14ac:dyDescent="0.15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</row>
    <row r="204" spans="2:21" x14ac:dyDescent="0.15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</row>
    <row r="205" spans="2:21" x14ac:dyDescent="0.15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</row>
    <row r="206" spans="2:21" x14ac:dyDescent="0.15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</row>
    <row r="207" spans="2:21" x14ac:dyDescent="0.15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</row>
    <row r="208" spans="2:21" x14ac:dyDescent="0.15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</row>
    <row r="209" spans="2:21" x14ac:dyDescent="0.15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</row>
    <row r="210" spans="2:21" x14ac:dyDescent="0.15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</row>
    <row r="211" spans="2:21" x14ac:dyDescent="0.15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</row>
    <row r="212" spans="2:21" x14ac:dyDescent="0.15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</row>
    <row r="213" spans="2:21" x14ac:dyDescent="0.15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</row>
    <row r="214" spans="2:21" x14ac:dyDescent="0.15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</row>
    <row r="215" spans="2:21" x14ac:dyDescent="0.15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</row>
    <row r="216" spans="2:21" x14ac:dyDescent="0.15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</row>
    <row r="217" spans="2:21" x14ac:dyDescent="0.15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</row>
    <row r="218" spans="2:21" x14ac:dyDescent="0.15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</row>
    <row r="219" spans="2:21" x14ac:dyDescent="0.15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</row>
    <row r="220" spans="2:21" x14ac:dyDescent="0.15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</row>
    <row r="221" spans="2:21" x14ac:dyDescent="0.15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</row>
    <row r="222" spans="2:21" x14ac:dyDescent="0.15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</row>
    <row r="223" spans="2:21" x14ac:dyDescent="0.15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</row>
    <row r="224" spans="2:21" x14ac:dyDescent="0.15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</row>
    <row r="225" spans="2:21" x14ac:dyDescent="0.15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</row>
    <row r="226" spans="2:21" x14ac:dyDescent="0.15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</row>
    <row r="227" spans="2:21" x14ac:dyDescent="0.15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</row>
    <row r="228" spans="2:21" x14ac:dyDescent="0.15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</row>
    <row r="229" spans="2:21" x14ac:dyDescent="0.15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</row>
    <row r="230" spans="2:21" x14ac:dyDescent="0.15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</row>
    <row r="231" spans="2:21" x14ac:dyDescent="0.15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</row>
    <row r="232" spans="2:21" x14ac:dyDescent="0.15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</row>
    <row r="233" spans="2:21" x14ac:dyDescent="0.15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</row>
    <row r="234" spans="2:21" x14ac:dyDescent="0.15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</row>
    <row r="235" spans="2:21" x14ac:dyDescent="0.15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</row>
    <row r="236" spans="2:21" x14ac:dyDescent="0.15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</row>
    <row r="237" spans="2:21" x14ac:dyDescent="0.15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</row>
    <row r="238" spans="2:21" x14ac:dyDescent="0.15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</row>
    <row r="239" spans="2:21" x14ac:dyDescent="0.15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</row>
    <row r="240" spans="2:21" x14ac:dyDescent="0.15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</row>
    <row r="241" spans="2:21" x14ac:dyDescent="0.15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</row>
    <row r="242" spans="2:21" x14ac:dyDescent="0.15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</row>
    <row r="243" spans="2:21" x14ac:dyDescent="0.15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</row>
    <row r="244" spans="2:21" x14ac:dyDescent="0.15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</row>
    <row r="245" spans="2:21" x14ac:dyDescent="0.15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</row>
    <row r="246" spans="2:21" x14ac:dyDescent="0.15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</row>
    <row r="247" spans="2:21" x14ac:dyDescent="0.15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</row>
    <row r="248" spans="2:21" x14ac:dyDescent="0.15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</row>
    <row r="249" spans="2:21" x14ac:dyDescent="0.15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</row>
    <row r="250" spans="2:21" x14ac:dyDescent="0.15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</row>
    <row r="251" spans="2:21" x14ac:dyDescent="0.15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</row>
    <row r="252" spans="2:21" x14ac:dyDescent="0.15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</row>
    <row r="253" spans="2:21" x14ac:dyDescent="0.15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</row>
    <row r="254" spans="2:21" x14ac:dyDescent="0.15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</row>
    <row r="255" spans="2:21" x14ac:dyDescent="0.15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</row>
    <row r="256" spans="2:21" x14ac:dyDescent="0.15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</row>
    <row r="257" spans="2:21" x14ac:dyDescent="0.15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</row>
    <row r="258" spans="2:21" x14ac:dyDescent="0.15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</row>
    <row r="259" spans="2:21" x14ac:dyDescent="0.15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</row>
    <row r="260" spans="2:21" x14ac:dyDescent="0.15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</row>
    <row r="261" spans="2:21" x14ac:dyDescent="0.15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</row>
    <row r="262" spans="2:21" x14ac:dyDescent="0.15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</row>
    <row r="263" spans="2:21" x14ac:dyDescent="0.15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</row>
    <row r="264" spans="2:21" x14ac:dyDescent="0.15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</row>
    <row r="265" spans="2:21" x14ac:dyDescent="0.15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</row>
    <row r="266" spans="2:21" x14ac:dyDescent="0.15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</row>
    <row r="267" spans="2:21" x14ac:dyDescent="0.15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</row>
    <row r="268" spans="2:21" x14ac:dyDescent="0.15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</row>
    <row r="269" spans="2:21" x14ac:dyDescent="0.15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</row>
    <row r="270" spans="2:21" x14ac:dyDescent="0.15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</row>
    <row r="271" spans="2:21" x14ac:dyDescent="0.15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</row>
    <row r="272" spans="2:21" x14ac:dyDescent="0.15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</row>
    <row r="273" spans="2:21" x14ac:dyDescent="0.15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</row>
    <row r="274" spans="2:21" x14ac:dyDescent="0.15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</row>
    <row r="275" spans="2:21" x14ac:dyDescent="0.15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</row>
    <row r="276" spans="2:21" x14ac:dyDescent="0.15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</row>
    <row r="277" spans="2:21" x14ac:dyDescent="0.15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</row>
    <row r="278" spans="2:21" x14ac:dyDescent="0.15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</row>
    <row r="279" spans="2:21" x14ac:dyDescent="0.15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</row>
    <row r="280" spans="2:21" x14ac:dyDescent="0.15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</row>
    <row r="281" spans="2:21" x14ac:dyDescent="0.15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</row>
    <row r="282" spans="2:21" x14ac:dyDescent="0.15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</row>
    <row r="283" spans="2:21" x14ac:dyDescent="0.15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</row>
    <row r="284" spans="2:21" x14ac:dyDescent="0.15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</row>
    <row r="285" spans="2:21" x14ac:dyDescent="0.15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</row>
    <row r="286" spans="2:21" x14ac:dyDescent="0.15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</row>
    <row r="287" spans="2:21" x14ac:dyDescent="0.15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</row>
    <row r="288" spans="2:21" x14ac:dyDescent="0.15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</row>
    <row r="289" spans="2:21" x14ac:dyDescent="0.15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</row>
    <row r="290" spans="2:21" x14ac:dyDescent="0.15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</row>
    <row r="291" spans="2:21" x14ac:dyDescent="0.15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</row>
    <row r="292" spans="2:21" x14ac:dyDescent="0.15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</row>
    <row r="293" spans="2:21" x14ac:dyDescent="0.15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</row>
    <row r="294" spans="2:21" x14ac:dyDescent="0.15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</row>
    <row r="295" spans="2:21" x14ac:dyDescent="0.15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</row>
    <row r="296" spans="2:21" x14ac:dyDescent="0.15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</row>
    <row r="297" spans="2:21" x14ac:dyDescent="0.15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</row>
    <row r="298" spans="2:21" x14ac:dyDescent="0.15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</row>
    <row r="299" spans="2:21" x14ac:dyDescent="0.15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</row>
    <row r="300" spans="2:21" x14ac:dyDescent="0.15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</row>
    <row r="301" spans="2:21" x14ac:dyDescent="0.15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</row>
    <row r="302" spans="2:21" x14ac:dyDescent="0.15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</row>
    <row r="303" spans="2:21" x14ac:dyDescent="0.15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</row>
    <row r="304" spans="2:21" x14ac:dyDescent="0.15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</row>
    <row r="305" spans="2:21" x14ac:dyDescent="0.15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</row>
    <row r="306" spans="2:21" x14ac:dyDescent="0.15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</row>
    <row r="307" spans="2:21" x14ac:dyDescent="0.15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</row>
    <row r="308" spans="2:21" x14ac:dyDescent="0.15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</row>
    <row r="309" spans="2:21" x14ac:dyDescent="0.15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</row>
    <row r="310" spans="2:21" x14ac:dyDescent="0.15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</row>
    <row r="311" spans="2:21" x14ac:dyDescent="0.15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</row>
    <row r="312" spans="2:21" x14ac:dyDescent="0.15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</row>
    <row r="313" spans="2:21" x14ac:dyDescent="0.15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</row>
    <row r="314" spans="2:21" x14ac:dyDescent="0.15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</row>
    <row r="315" spans="2:21" x14ac:dyDescent="0.15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</row>
    <row r="316" spans="2:21" x14ac:dyDescent="0.15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</row>
    <row r="317" spans="2:21" x14ac:dyDescent="0.15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</row>
    <row r="318" spans="2:21" x14ac:dyDescent="0.15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</row>
    <row r="319" spans="2:21" x14ac:dyDescent="0.15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</row>
    <row r="320" spans="2:21" x14ac:dyDescent="0.15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</row>
    <row r="321" spans="2:21" x14ac:dyDescent="0.15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</row>
    <row r="322" spans="2:21" x14ac:dyDescent="0.15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</row>
    <row r="323" spans="2:21" x14ac:dyDescent="0.15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</row>
    <row r="324" spans="2:21" x14ac:dyDescent="0.15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</row>
    <row r="325" spans="2:21" x14ac:dyDescent="0.15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</row>
    <row r="326" spans="2:21" x14ac:dyDescent="0.15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</row>
    <row r="327" spans="2:21" x14ac:dyDescent="0.15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</row>
    <row r="328" spans="2:21" x14ac:dyDescent="0.15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</row>
    <row r="329" spans="2:21" x14ac:dyDescent="0.15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</row>
    <row r="330" spans="2:21" x14ac:dyDescent="0.15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</row>
    <row r="331" spans="2:21" x14ac:dyDescent="0.15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</row>
    <row r="332" spans="2:21" x14ac:dyDescent="0.15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</row>
    <row r="333" spans="2:21" x14ac:dyDescent="0.15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</row>
    <row r="334" spans="2:21" x14ac:dyDescent="0.15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</row>
    <row r="335" spans="2:21" x14ac:dyDescent="0.15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</row>
    <row r="336" spans="2:21" x14ac:dyDescent="0.15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</row>
    <row r="337" spans="2:21" x14ac:dyDescent="0.15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</row>
    <row r="338" spans="2:21" x14ac:dyDescent="0.15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</row>
    <row r="339" spans="2:21" x14ac:dyDescent="0.15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</row>
    <row r="340" spans="2:21" x14ac:dyDescent="0.15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</row>
    <row r="341" spans="2:21" x14ac:dyDescent="0.15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</row>
    <row r="342" spans="2:21" x14ac:dyDescent="0.15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</row>
    <row r="343" spans="2:21" x14ac:dyDescent="0.15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</row>
    <row r="344" spans="2:21" x14ac:dyDescent="0.15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</row>
    <row r="345" spans="2:21" x14ac:dyDescent="0.15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</row>
    <row r="346" spans="2:21" x14ac:dyDescent="0.15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</row>
    <row r="347" spans="2:21" x14ac:dyDescent="0.15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</row>
    <row r="348" spans="2:21" x14ac:dyDescent="0.15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</row>
    <row r="349" spans="2:21" x14ac:dyDescent="0.15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</row>
    <row r="350" spans="2:21" x14ac:dyDescent="0.15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</row>
    <row r="351" spans="2:21" x14ac:dyDescent="0.15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</row>
    <row r="352" spans="2:21" x14ac:dyDescent="0.15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</row>
    <row r="353" spans="2:21" x14ac:dyDescent="0.15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</row>
    <row r="354" spans="2:21" x14ac:dyDescent="0.15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</row>
    <row r="355" spans="2:21" x14ac:dyDescent="0.15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</row>
    <row r="356" spans="2:21" x14ac:dyDescent="0.15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</row>
    <row r="357" spans="2:21" x14ac:dyDescent="0.15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</row>
    <row r="358" spans="2:21" x14ac:dyDescent="0.15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</row>
    <row r="359" spans="2:21" x14ac:dyDescent="0.15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</row>
    <row r="360" spans="2:21" x14ac:dyDescent="0.15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</row>
    <row r="361" spans="2:21" x14ac:dyDescent="0.15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</row>
    <row r="362" spans="2:21" x14ac:dyDescent="0.15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</row>
    <row r="363" spans="2:21" x14ac:dyDescent="0.15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</row>
    <row r="364" spans="2:21" x14ac:dyDescent="0.15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</row>
    <row r="365" spans="2:21" x14ac:dyDescent="0.15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</row>
    <row r="366" spans="2:21" x14ac:dyDescent="0.15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</row>
    <row r="367" spans="2:21" x14ac:dyDescent="0.15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</row>
    <row r="368" spans="2:21" x14ac:dyDescent="0.15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</row>
    <row r="369" spans="2:21" x14ac:dyDescent="0.15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</row>
    <row r="370" spans="2:21" x14ac:dyDescent="0.15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</row>
    <row r="371" spans="2:21" x14ac:dyDescent="0.15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</row>
    <row r="372" spans="2:21" x14ac:dyDescent="0.15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</row>
    <row r="373" spans="2:21" x14ac:dyDescent="0.15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</row>
    <row r="374" spans="2:21" x14ac:dyDescent="0.15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</row>
    <row r="375" spans="2:21" x14ac:dyDescent="0.15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</row>
    <row r="376" spans="2:21" x14ac:dyDescent="0.15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</row>
    <row r="377" spans="2:21" x14ac:dyDescent="0.15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</row>
    <row r="378" spans="2:21" x14ac:dyDescent="0.15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</row>
    <row r="379" spans="2:21" x14ac:dyDescent="0.15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</row>
    <row r="380" spans="2:21" x14ac:dyDescent="0.15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</row>
    <row r="381" spans="2:21" x14ac:dyDescent="0.15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</row>
    <row r="382" spans="2:21" x14ac:dyDescent="0.15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</row>
    <row r="383" spans="2:21" x14ac:dyDescent="0.15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</row>
    <row r="384" spans="2:21" x14ac:dyDescent="0.15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</row>
    <row r="385" spans="2:21" x14ac:dyDescent="0.15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</row>
    <row r="386" spans="2:21" x14ac:dyDescent="0.15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</row>
    <row r="387" spans="2:21" x14ac:dyDescent="0.15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</row>
    <row r="388" spans="2:21" x14ac:dyDescent="0.15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</row>
    <row r="389" spans="2:21" x14ac:dyDescent="0.15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</row>
    <row r="390" spans="2:21" x14ac:dyDescent="0.15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</row>
    <row r="391" spans="2:21" x14ac:dyDescent="0.15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</row>
    <row r="392" spans="2:21" x14ac:dyDescent="0.15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</row>
    <row r="393" spans="2:21" x14ac:dyDescent="0.15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</row>
    <row r="394" spans="2:21" x14ac:dyDescent="0.15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</row>
    <row r="395" spans="2:21" x14ac:dyDescent="0.15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</row>
    <row r="396" spans="2:21" x14ac:dyDescent="0.15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</row>
    <row r="397" spans="2:21" x14ac:dyDescent="0.15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</row>
    <row r="398" spans="2:21" x14ac:dyDescent="0.15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</row>
    <row r="399" spans="2:21" x14ac:dyDescent="0.15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</row>
    <row r="400" spans="2:21" x14ac:dyDescent="0.15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</row>
    <row r="401" spans="2:21" x14ac:dyDescent="0.15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</row>
    <row r="402" spans="2:21" x14ac:dyDescent="0.15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</row>
    <row r="403" spans="2:21" x14ac:dyDescent="0.15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</row>
    <row r="404" spans="2:21" x14ac:dyDescent="0.15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</row>
    <row r="405" spans="2:21" x14ac:dyDescent="0.15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</row>
    <row r="406" spans="2:21" x14ac:dyDescent="0.15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</row>
    <row r="407" spans="2:21" x14ac:dyDescent="0.15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</row>
    <row r="408" spans="2:21" x14ac:dyDescent="0.15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</row>
    <row r="409" spans="2:21" x14ac:dyDescent="0.15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</row>
    <row r="410" spans="2:21" x14ac:dyDescent="0.15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</row>
    <row r="411" spans="2:21" x14ac:dyDescent="0.15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</row>
    <row r="412" spans="2:21" x14ac:dyDescent="0.15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</row>
    <row r="413" spans="2:21" x14ac:dyDescent="0.15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</row>
    <row r="414" spans="2:21" x14ac:dyDescent="0.15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</row>
    <row r="415" spans="2:21" x14ac:dyDescent="0.15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</row>
    <row r="416" spans="2:21" x14ac:dyDescent="0.15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</row>
    <row r="417" spans="2:21" x14ac:dyDescent="0.15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</row>
    <row r="418" spans="2:21" x14ac:dyDescent="0.15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</row>
    <row r="419" spans="2:21" x14ac:dyDescent="0.15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</row>
    <row r="420" spans="2:21" x14ac:dyDescent="0.15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</row>
    <row r="421" spans="2:21" x14ac:dyDescent="0.15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</row>
    <row r="422" spans="2:21" x14ac:dyDescent="0.15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</row>
    <row r="423" spans="2:21" x14ac:dyDescent="0.15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</row>
    <row r="424" spans="2:21" x14ac:dyDescent="0.15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</row>
    <row r="425" spans="2:21" x14ac:dyDescent="0.15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</row>
    <row r="426" spans="2:21" x14ac:dyDescent="0.15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</row>
    <row r="427" spans="2:21" x14ac:dyDescent="0.15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</row>
    <row r="428" spans="2:21" x14ac:dyDescent="0.15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</row>
    <row r="429" spans="2:21" x14ac:dyDescent="0.15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</row>
    <row r="430" spans="2:21" x14ac:dyDescent="0.15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</row>
    <row r="431" spans="2:21" x14ac:dyDescent="0.15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</row>
    <row r="432" spans="2:21" x14ac:dyDescent="0.15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</row>
    <row r="433" spans="2:21" x14ac:dyDescent="0.15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</row>
    <row r="434" spans="2:21" x14ac:dyDescent="0.15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</row>
    <row r="435" spans="2:21" x14ac:dyDescent="0.15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</row>
    <row r="436" spans="2:21" x14ac:dyDescent="0.15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</row>
    <row r="437" spans="2:21" x14ac:dyDescent="0.15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</row>
    <row r="438" spans="2:21" x14ac:dyDescent="0.15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</row>
    <row r="439" spans="2:21" x14ac:dyDescent="0.15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</row>
    <row r="440" spans="2:21" x14ac:dyDescent="0.15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</row>
    <row r="441" spans="2:21" x14ac:dyDescent="0.15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</row>
    <row r="442" spans="2:21" x14ac:dyDescent="0.15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</row>
    <row r="443" spans="2:21" x14ac:dyDescent="0.15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</row>
    <row r="444" spans="2:21" x14ac:dyDescent="0.15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</row>
    <row r="445" spans="2:21" x14ac:dyDescent="0.15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</row>
    <row r="446" spans="2:21" x14ac:dyDescent="0.15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</row>
    <row r="447" spans="2:21" x14ac:dyDescent="0.15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</row>
    <row r="448" spans="2:21" x14ac:dyDescent="0.15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</row>
    <row r="449" spans="2:21" x14ac:dyDescent="0.15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</row>
    <row r="450" spans="2:21" x14ac:dyDescent="0.15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</row>
    <row r="451" spans="2:21" x14ac:dyDescent="0.15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</row>
    <row r="452" spans="2:21" x14ac:dyDescent="0.15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</row>
    <row r="453" spans="2:21" x14ac:dyDescent="0.15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</row>
    <row r="454" spans="2:21" x14ac:dyDescent="0.15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</row>
    <row r="455" spans="2:21" x14ac:dyDescent="0.15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</row>
    <row r="456" spans="2:21" x14ac:dyDescent="0.15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</row>
    <row r="457" spans="2:21" x14ac:dyDescent="0.15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</row>
    <row r="458" spans="2:21" x14ac:dyDescent="0.15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</row>
    <row r="459" spans="2:21" x14ac:dyDescent="0.15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</row>
    <row r="460" spans="2:21" x14ac:dyDescent="0.15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</row>
    <row r="461" spans="2:21" x14ac:dyDescent="0.15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</row>
    <row r="462" spans="2:21" x14ac:dyDescent="0.15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</row>
    <row r="463" spans="2:21" x14ac:dyDescent="0.15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</row>
    <row r="464" spans="2:21" x14ac:dyDescent="0.15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</row>
    <row r="465" spans="2:21" x14ac:dyDescent="0.15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</row>
    <row r="466" spans="2:21" x14ac:dyDescent="0.15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</row>
    <row r="467" spans="2:21" x14ac:dyDescent="0.15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</row>
    <row r="468" spans="2:21" x14ac:dyDescent="0.15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</row>
    <row r="469" spans="2:21" x14ac:dyDescent="0.15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</row>
    <row r="470" spans="2:21" x14ac:dyDescent="0.15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</row>
    <row r="471" spans="2:21" x14ac:dyDescent="0.15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</row>
    <row r="472" spans="2:21" x14ac:dyDescent="0.15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</row>
    <row r="473" spans="2:21" x14ac:dyDescent="0.15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</row>
    <row r="474" spans="2:21" x14ac:dyDescent="0.15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</row>
    <row r="475" spans="2:21" x14ac:dyDescent="0.15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</row>
    <row r="476" spans="2:21" x14ac:dyDescent="0.15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</row>
    <row r="477" spans="2:21" x14ac:dyDescent="0.15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</row>
    <row r="478" spans="2:21" x14ac:dyDescent="0.15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</row>
    <row r="479" spans="2:21" x14ac:dyDescent="0.15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</row>
    <row r="480" spans="2:21" x14ac:dyDescent="0.15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</row>
    <row r="481" spans="2:21" x14ac:dyDescent="0.15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</row>
    <row r="482" spans="2:21" x14ac:dyDescent="0.15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</row>
    <row r="483" spans="2:21" x14ac:dyDescent="0.15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</row>
    <row r="484" spans="2:21" x14ac:dyDescent="0.15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</row>
    <row r="485" spans="2:21" x14ac:dyDescent="0.15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</row>
    <row r="486" spans="2:21" x14ac:dyDescent="0.15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</row>
    <row r="487" spans="2:21" x14ac:dyDescent="0.15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</row>
    <row r="488" spans="2:21" x14ac:dyDescent="0.15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</row>
    <row r="489" spans="2:21" x14ac:dyDescent="0.15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</row>
    <row r="490" spans="2:21" x14ac:dyDescent="0.15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</row>
    <row r="491" spans="2:21" x14ac:dyDescent="0.15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</row>
    <row r="492" spans="2:21" x14ac:dyDescent="0.15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</row>
    <row r="493" spans="2:21" x14ac:dyDescent="0.15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</row>
    <row r="494" spans="2:21" x14ac:dyDescent="0.15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</row>
    <row r="495" spans="2:21" x14ac:dyDescent="0.15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</row>
    <row r="496" spans="2:21" x14ac:dyDescent="0.15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</row>
    <row r="497" spans="2:21" x14ac:dyDescent="0.15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</row>
    <row r="498" spans="2:21" x14ac:dyDescent="0.15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</row>
    <row r="499" spans="2:21" x14ac:dyDescent="0.15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</row>
    <row r="500" spans="2:21" x14ac:dyDescent="0.15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</row>
    <row r="501" spans="2:21" x14ac:dyDescent="0.15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</row>
    <row r="502" spans="2:21" x14ac:dyDescent="0.15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</row>
    <row r="503" spans="2:21" x14ac:dyDescent="0.15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</row>
    <row r="504" spans="2:21" x14ac:dyDescent="0.15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</row>
    <row r="505" spans="2:21" x14ac:dyDescent="0.15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</row>
    <row r="506" spans="2:21" x14ac:dyDescent="0.15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</row>
    <row r="507" spans="2:21" x14ac:dyDescent="0.15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</row>
    <row r="508" spans="2:21" x14ac:dyDescent="0.15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</row>
    <row r="509" spans="2:21" x14ac:dyDescent="0.15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</row>
    <row r="510" spans="2:21" x14ac:dyDescent="0.15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</row>
    <row r="511" spans="2:21" x14ac:dyDescent="0.15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</row>
    <row r="512" spans="2:21" x14ac:dyDescent="0.15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</row>
    <row r="513" spans="2:21" x14ac:dyDescent="0.15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</row>
    <row r="514" spans="2:21" x14ac:dyDescent="0.15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</row>
    <row r="515" spans="2:21" x14ac:dyDescent="0.15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</row>
    <row r="516" spans="2:21" x14ac:dyDescent="0.15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</row>
    <row r="517" spans="2:21" x14ac:dyDescent="0.15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</row>
    <row r="518" spans="2:21" x14ac:dyDescent="0.15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</row>
    <row r="519" spans="2:21" x14ac:dyDescent="0.15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</row>
    <row r="520" spans="2:21" x14ac:dyDescent="0.15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</row>
    <row r="521" spans="2:21" x14ac:dyDescent="0.15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</row>
    <row r="522" spans="2:21" x14ac:dyDescent="0.15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</row>
    <row r="523" spans="2:21" x14ac:dyDescent="0.15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</row>
    <row r="524" spans="2:21" x14ac:dyDescent="0.15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</row>
    <row r="525" spans="2:21" x14ac:dyDescent="0.15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</row>
    <row r="526" spans="2:21" x14ac:dyDescent="0.15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</row>
    <row r="527" spans="2:21" x14ac:dyDescent="0.15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</row>
    <row r="528" spans="2:21" x14ac:dyDescent="0.15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</row>
    <row r="529" spans="2:21" x14ac:dyDescent="0.15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</row>
    <row r="530" spans="2:21" x14ac:dyDescent="0.15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</row>
    <row r="531" spans="2:21" x14ac:dyDescent="0.15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</row>
    <row r="532" spans="2:21" x14ac:dyDescent="0.15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</row>
    <row r="533" spans="2:21" x14ac:dyDescent="0.15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</row>
    <row r="534" spans="2:21" x14ac:dyDescent="0.15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</row>
    <row r="535" spans="2:21" x14ac:dyDescent="0.15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</row>
    <row r="536" spans="2:21" x14ac:dyDescent="0.15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</row>
    <row r="537" spans="2:21" x14ac:dyDescent="0.15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</row>
    <row r="538" spans="2:21" x14ac:dyDescent="0.15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</row>
    <row r="539" spans="2:21" x14ac:dyDescent="0.15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</row>
    <row r="540" spans="2:21" x14ac:dyDescent="0.15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</row>
    <row r="541" spans="2:21" x14ac:dyDescent="0.15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</row>
    <row r="542" spans="2:21" x14ac:dyDescent="0.15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</row>
    <row r="543" spans="2:21" x14ac:dyDescent="0.15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</row>
    <row r="544" spans="2:21" x14ac:dyDescent="0.15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</row>
    <row r="545" spans="2:21" x14ac:dyDescent="0.15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</row>
    <row r="546" spans="2:21" x14ac:dyDescent="0.15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</row>
    <row r="547" spans="2:21" x14ac:dyDescent="0.15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</row>
    <row r="548" spans="2:21" x14ac:dyDescent="0.15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</row>
    <row r="549" spans="2:21" x14ac:dyDescent="0.15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</row>
    <row r="550" spans="2:21" x14ac:dyDescent="0.15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</row>
    <row r="551" spans="2:21" x14ac:dyDescent="0.15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</row>
    <row r="552" spans="2:21" x14ac:dyDescent="0.15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</row>
    <row r="553" spans="2:21" x14ac:dyDescent="0.15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</row>
    <row r="554" spans="2:21" x14ac:dyDescent="0.15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</row>
    <row r="555" spans="2:21" x14ac:dyDescent="0.15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</row>
    <row r="556" spans="2:21" x14ac:dyDescent="0.15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</row>
    <row r="557" spans="2:21" x14ac:dyDescent="0.15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</row>
    <row r="558" spans="2:21" x14ac:dyDescent="0.15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</row>
    <row r="559" spans="2:21" x14ac:dyDescent="0.15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</row>
    <row r="560" spans="2:21" x14ac:dyDescent="0.15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</row>
    <row r="561" spans="2:21" x14ac:dyDescent="0.15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</row>
    <row r="562" spans="2:21" x14ac:dyDescent="0.15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</row>
    <row r="563" spans="2:21" x14ac:dyDescent="0.15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</row>
    <row r="564" spans="2:21" x14ac:dyDescent="0.15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</row>
    <row r="565" spans="2:21" x14ac:dyDescent="0.15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</row>
    <row r="566" spans="2:21" x14ac:dyDescent="0.15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</row>
    <row r="567" spans="2:21" x14ac:dyDescent="0.15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</row>
    <row r="568" spans="2:21" x14ac:dyDescent="0.15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</row>
    <row r="569" spans="2:21" x14ac:dyDescent="0.15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</row>
    <row r="570" spans="2:21" x14ac:dyDescent="0.15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</row>
    <row r="571" spans="2:21" x14ac:dyDescent="0.15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</row>
    <row r="572" spans="2:21" x14ac:dyDescent="0.15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</row>
    <row r="573" spans="2:21" x14ac:dyDescent="0.15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</row>
    <row r="574" spans="2:21" x14ac:dyDescent="0.15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</row>
    <row r="575" spans="2:21" x14ac:dyDescent="0.15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</row>
    <row r="576" spans="2:21" x14ac:dyDescent="0.15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</row>
    <row r="577" spans="2:21" x14ac:dyDescent="0.15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</row>
    <row r="578" spans="2:21" x14ac:dyDescent="0.15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</row>
    <row r="579" spans="2:21" x14ac:dyDescent="0.15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</row>
    <row r="580" spans="2:21" x14ac:dyDescent="0.15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</row>
    <row r="581" spans="2:21" x14ac:dyDescent="0.15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</row>
    <row r="582" spans="2:21" x14ac:dyDescent="0.15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</row>
    <row r="583" spans="2:21" x14ac:dyDescent="0.15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</row>
    <row r="584" spans="2:21" x14ac:dyDescent="0.15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</row>
    <row r="585" spans="2:21" x14ac:dyDescent="0.15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</row>
    <row r="586" spans="2:21" x14ac:dyDescent="0.15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</row>
    <row r="587" spans="2:21" x14ac:dyDescent="0.15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</row>
    <row r="588" spans="2:21" x14ac:dyDescent="0.15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</row>
    <row r="589" spans="2:21" x14ac:dyDescent="0.15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</row>
    <row r="590" spans="2:21" x14ac:dyDescent="0.15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</row>
    <row r="591" spans="2:21" x14ac:dyDescent="0.15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</row>
    <row r="592" spans="2:21" x14ac:dyDescent="0.15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</row>
    <row r="593" spans="2:21" x14ac:dyDescent="0.15"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</row>
    <row r="594" spans="2:21" x14ac:dyDescent="0.15"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</row>
    <row r="595" spans="2:21" x14ac:dyDescent="0.15"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</row>
    <row r="596" spans="2:21" x14ac:dyDescent="0.15"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</row>
    <row r="597" spans="2:21" x14ac:dyDescent="0.15"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</row>
    <row r="598" spans="2:21" x14ac:dyDescent="0.15"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</row>
    <row r="599" spans="2:21" x14ac:dyDescent="0.15"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</row>
    <row r="600" spans="2:21" x14ac:dyDescent="0.15"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</row>
    <row r="601" spans="2:21" x14ac:dyDescent="0.15"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</row>
    <row r="602" spans="2:21" x14ac:dyDescent="0.15"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</row>
    <row r="603" spans="2:21" x14ac:dyDescent="0.15"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</row>
    <row r="604" spans="2:21" x14ac:dyDescent="0.15"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</row>
  </sheetData>
  <mergeCells count="147">
    <mergeCell ref="A1:U1"/>
    <mergeCell ref="B2:U2"/>
    <mergeCell ref="Z2:AA2"/>
    <mergeCell ref="H3:J3"/>
    <mergeCell ref="K3:M3"/>
    <mergeCell ref="H63:J63"/>
    <mergeCell ref="K63:M63"/>
    <mergeCell ref="B62:U62"/>
    <mergeCell ref="B32:U32"/>
    <mergeCell ref="H33:J33"/>
    <mergeCell ref="K33:M33"/>
    <mergeCell ref="C47:C49"/>
    <mergeCell ref="C50:C52"/>
    <mergeCell ref="D50:D52"/>
    <mergeCell ref="D47:D49"/>
    <mergeCell ref="D44:D46"/>
    <mergeCell ref="C44:C46"/>
    <mergeCell ref="B44:B46"/>
    <mergeCell ref="B47:B49"/>
    <mergeCell ref="B50:B52"/>
    <mergeCell ref="B53:B55"/>
    <mergeCell ref="B29:B31"/>
    <mergeCell ref="C29:C31"/>
    <mergeCell ref="D29:D31"/>
    <mergeCell ref="E29:E31"/>
    <mergeCell ref="G29:G31"/>
    <mergeCell ref="K4:M4"/>
    <mergeCell ref="B5:B7"/>
    <mergeCell ref="E26:E28"/>
    <mergeCell ref="D26:D28"/>
    <mergeCell ref="D23:D25"/>
    <mergeCell ref="E23:E25"/>
    <mergeCell ref="E20:E22"/>
    <mergeCell ref="D20:D22"/>
    <mergeCell ref="C20:C22"/>
    <mergeCell ref="B20:B22"/>
    <mergeCell ref="C23:C25"/>
    <mergeCell ref="B23:B25"/>
    <mergeCell ref="C26:C28"/>
    <mergeCell ref="B26:B28"/>
    <mergeCell ref="G26:G28"/>
    <mergeCell ref="B11:B13"/>
    <mergeCell ref="B8:B10"/>
    <mergeCell ref="C8:C10"/>
    <mergeCell ref="D8:D10"/>
    <mergeCell ref="E8:E10"/>
    <mergeCell ref="E17:E19"/>
    <mergeCell ref="D17:D19"/>
    <mergeCell ref="C17:C19"/>
    <mergeCell ref="B17:B19"/>
    <mergeCell ref="B14:B16"/>
    <mergeCell ref="C14:C16"/>
    <mergeCell ref="D14:D16"/>
    <mergeCell ref="E14:E16"/>
    <mergeCell ref="C53:C55"/>
    <mergeCell ref="G8:G10"/>
    <mergeCell ref="G5:G7"/>
    <mergeCell ref="E5:E7"/>
    <mergeCell ref="D5:D7"/>
    <mergeCell ref="C5:C7"/>
    <mergeCell ref="E11:E13"/>
    <mergeCell ref="D11:D13"/>
    <mergeCell ref="C11:C13"/>
    <mergeCell ref="G23:G25"/>
    <mergeCell ref="G20:G22"/>
    <mergeCell ref="G17:G19"/>
    <mergeCell ref="G14:G16"/>
    <mergeCell ref="G11:G13"/>
    <mergeCell ref="G41:G43"/>
    <mergeCell ref="E41:E43"/>
    <mergeCell ref="D41:D43"/>
    <mergeCell ref="C41:C43"/>
    <mergeCell ref="B41:B43"/>
    <mergeCell ref="E50:E52"/>
    <mergeCell ref="E47:E49"/>
    <mergeCell ref="E44:E46"/>
    <mergeCell ref="G59:G61"/>
    <mergeCell ref="G56:G58"/>
    <mergeCell ref="G53:G55"/>
    <mergeCell ref="G50:G52"/>
    <mergeCell ref="G47:G49"/>
    <mergeCell ref="G44:G46"/>
    <mergeCell ref="D53:D55"/>
    <mergeCell ref="D56:D58"/>
    <mergeCell ref="D59:D61"/>
    <mergeCell ref="E59:E61"/>
    <mergeCell ref="E56:E58"/>
    <mergeCell ref="E53:E55"/>
    <mergeCell ref="B56:B58"/>
    <mergeCell ref="B59:B61"/>
    <mergeCell ref="C59:C61"/>
    <mergeCell ref="C56:C58"/>
    <mergeCell ref="G35:G37"/>
    <mergeCell ref="E35:E37"/>
    <mergeCell ref="D35:D37"/>
    <mergeCell ref="C35:C37"/>
    <mergeCell ref="B35:B37"/>
    <mergeCell ref="B38:B40"/>
    <mergeCell ref="C38:C40"/>
    <mergeCell ref="D38:D40"/>
    <mergeCell ref="E38:E40"/>
    <mergeCell ref="G38:G40"/>
    <mergeCell ref="B80:B82"/>
    <mergeCell ref="B83:B85"/>
    <mergeCell ref="B86:B88"/>
    <mergeCell ref="B89:B91"/>
    <mergeCell ref="C89:C91"/>
    <mergeCell ref="E77:E79"/>
    <mergeCell ref="E74:E76"/>
    <mergeCell ref="D74:D76"/>
    <mergeCell ref="C74:C76"/>
    <mergeCell ref="B74:B76"/>
    <mergeCell ref="B77:B79"/>
    <mergeCell ref="C86:C88"/>
    <mergeCell ref="C83:C85"/>
    <mergeCell ref="C80:C82"/>
    <mergeCell ref="C77:C79"/>
    <mergeCell ref="D77:D79"/>
    <mergeCell ref="E86:E88"/>
    <mergeCell ref="E83:E85"/>
    <mergeCell ref="E80:E82"/>
    <mergeCell ref="D80:D82"/>
    <mergeCell ref="D83:D85"/>
    <mergeCell ref="D86:D88"/>
    <mergeCell ref="G80:G82"/>
    <mergeCell ref="G77:G79"/>
    <mergeCell ref="G74:G76"/>
    <mergeCell ref="G71:G73"/>
    <mergeCell ref="E71:E73"/>
    <mergeCell ref="D89:D91"/>
    <mergeCell ref="E89:E91"/>
    <mergeCell ref="G89:G91"/>
    <mergeCell ref="G86:G88"/>
    <mergeCell ref="G83:G85"/>
    <mergeCell ref="C65:C67"/>
    <mergeCell ref="B65:B67"/>
    <mergeCell ref="E68:E70"/>
    <mergeCell ref="G68:G70"/>
    <mergeCell ref="G65:G67"/>
    <mergeCell ref="E65:E67"/>
    <mergeCell ref="D65:D67"/>
    <mergeCell ref="D71:D73"/>
    <mergeCell ref="C71:C73"/>
    <mergeCell ref="B71:B73"/>
    <mergeCell ref="B68:B70"/>
    <mergeCell ref="C68:C70"/>
    <mergeCell ref="D68:D70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2043E-5194-AA40-AD84-001C3E45F2FA}">
  <dimension ref="A1:AC604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8" customWidth="1"/>
    <col min="2" max="2" width="10.33203125" style="8" bestFit="1" customWidth="1"/>
    <col min="3" max="10" width="9.1640625" style="8"/>
    <col min="11" max="14" width="9.6640625" style="8" bestFit="1" customWidth="1"/>
    <col min="15" max="15" width="12.1640625" style="8" customWidth="1"/>
    <col min="16" max="16" width="12.5" style="8" bestFit="1" customWidth="1"/>
    <col min="17" max="18" width="13.6640625" style="8" customWidth="1"/>
    <col min="19" max="19" width="14.5" style="8" customWidth="1"/>
    <col min="20" max="21" width="10.5" style="8" bestFit="1" customWidth="1"/>
    <col min="22" max="23" width="9.1640625" style="8"/>
    <col min="24" max="24" width="12.33203125" style="8" customWidth="1"/>
    <col min="25" max="16384" width="9.1640625" style="8"/>
  </cols>
  <sheetData>
    <row r="1" spans="1:29" ht="14" thickBot="1" x14ac:dyDescent="0.2">
      <c r="A1" s="267" t="s">
        <v>95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268"/>
      <c r="Q1" s="268"/>
      <c r="R1" s="268"/>
      <c r="S1" s="268"/>
      <c r="T1" s="268"/>
      <c r="U1" s="269"/>
    </row>
    <row r="2" spans="1:29" ht="16" customHeight="1" thickBot="1" x14ac:dyDescent="0.2">
      <c r="A2" s="119"/>
      <c r="B2" s="270" t="s">
        <v>60</v>
      </c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2"/>
      <c r="Z2" s="273"/>
      <c r="AA2" s="273"/>
    </row>
    <row r="3" spans="1:29" ht="33.75" customHeight="1" x14ac:dyDescent="0.15">
      <c r="A3" s="51"/>
      <c r="B3" s="120" t="s">
        <v>0</v>
      </c>
      <c r="C3" s="64" t="s">
        <v>1</v>
      </c>
      <c r="D3" s="64" t="s">
        <v>2</v>
      </c>
      <c r="E3" s="123" t="s">
        <v>17</v>
      </c>
      <c r="F3" s="122"/>
      <c r="G3" s="122" t="s">
        <v>18</v>
      </c>
      <c r="H3" s="274" t="s">
        <v>107</v>
      </c>
      <c r="I3" s="275"/>
      <c r="J3" s="275"/>
      <c r="K3" s="276" t="s">
        <v>96</v>
      </c>
      <c r="L3" s="276"/>
      <c r="M3" s="276"/>
      <c r="N3" s="64" t="s">
        <v>19</v>
      </c>
      <c r="O3" s="64" t="s">
        <v>20</v>
      </c>
      <c r="P3" s="64" t="s">
        <v>20</v>
      </c>
      <c r="Q3" s="64" t="s">
        <v>97</v>
      </c>
      <c r="R3" s="123" t="s">
        <v>97</v>
      </c>
      <c r="S3" s="64" t="s">
        <v>98</v>
      </c>
      <c r="T3" s="64" t="s">
        <v>86</v>
      </c>
      <c r="U3" s="121" t="s">
        <v>62</v>
      </c>
      <c r="W3" s="56" t="s">
        <v>2</v>
      </c>
      <c r="X3" s="72" t="str">
        <f>S3</f>
        <v>Average NO3 concentration</v>
      </c>
      <c r="Y3" s="72" t="str">
        <f>U3</f>
        <v>Standard error</v>
      </c>
      <c r="Z3" s="56"/>
      <c r="AA3" s="124"/>
      <c r="AB3" s="124"/>
      <c r="AC3" s="124"/>
    </row>
    <row r="4" spans="1:29" ht="15" customHeight="1" x14ac:dyDescent="0.15">
      <c r="A4" s="51"/>
      <c r="B4" s="125"/>
      <c r="C4" s="156"/>
      <c r="D4" s="155"/>
      <c r="E4" s="155"/>
      <c r="F4" s="126"/>
      <c r="G4" s="126"/>
      <c r="H4" s="159" t="s">
        <v>102</v>
      </c>
      <c r="I4" s="159" t="s">
        <v>103</v>
      </c>
      <c r="J4" s="160" t="s">
        <v>108</v>
      </c>
      <c r="K4" s="242" t="s">
        <v>21</v>
      </c>
      <c r="L4" s="234"/>
      <c r="M4" s="235"/>
      <c r="N4" s="70" t="s">
        <v>21</v>
      </c>
      <c r="O4" s="70" t="s">
        <v>15</v>
      </c>
      <c r="P4" s="70" t="s">
        <v>22</v>
      </c>
      <c r="Q4" s="70" t="s">
        <v>22</v>
      </c>
      <c r="R4" s="69" t="s">
        <v>15</v>
      </c>
      <c r="S4" s="70" t="s">
        <v>15</v>
      </c>
      <c r="T4" s="70"/>
      <c r="U4" s="68"/>
      <c r="W4" s="81">
        <v>0</v>
      </c>
      <c r="X4" s="76">
        <f>S7</f>
        <v>1.5464814240084632</v>
      </c>
      <c r="Y4" s="76">
        <f>U7</f>
        <v>1.147772170593739E-2</v>
      </c>
      <c r="Z4" s="76"/>
      <c r="AA4" s="124"/>
      <c r="AB4" s="124"/>
      <c r="AC4" s="124"/>
    </row>
    <row r="5" spans="1:29" ht="14" x14ac:dyDescent="0.15">
      <c r="A5" s="51"/>
      <c r="B5" s="251" t="s">
        <v>23</v>
      </c>
      <c r="C5" s="249">
        <v>0.41666666666666669</v>
      </c>
      <c r="D5" s="226">
        <v>0</v>
      </c>
      <c r="E5" s="253">
        <v>1</v>
      </c>
      <c r="F5" s="104" t="s">
        <v>104</v>
      </c>
      <c r="G5" s="257">
        <v>5.5666667000000003E-2</v>
      </c>
      <c r="H5" s="132">
        <f>1.002-G5</f>
        <v>0.946333333</v>
      </c>
      <c r="I5" s="133">
        <f>1.009-G5</f>
        <v>0.95333333299999989</v>
      </c>
      <c r="J5" s="133">
        <f>1.03-G5</f>
        <v>0.97433333300000002</v>
      </c>
      <c r="K5" s="76">
        <f>5.5054*H5</f>
        <v>5.2099435314982001</v>
      </c>
      <c r="L5" s="76">
        <f t="shared" ref="L5:M7" si="0">5.5054*I5</f>
        <v>5.2484813314981995</v>
      </c>
      <c r="M5" s="76">
        <f t="shared" si="0"/>
        <v>5.3640947314982004</v>
      </c>
      <c r="N5" s="76">
        <f>AVERAGE(K5:M5)</f>
        <v>5.2741731981648661</v>
      </c>
      <c r="O5" s="76">
        <f>N5/15</f>
        <v>0.35161154654432442</v>
      </c>
      <c r="P5" s="76">
        <f>O5/14</f>
        <v>2.5115110467451743E-2</v>
      </c>
      <c r="Q5" s="76">
        <f>P5</f>
        <v>2.5115110467451743E-2</v>
      </c>
      <c r="R5" s="76">
        <f>Q5*62</f>
        <v>1.5571368489820081</v>
      </c>
      <c r="S5" s="127"/>
      <c r="T5" s="56"/>
      <c r="U5" s="73"/>
      <c r="W5" s="81">
        <f>D8</f>
        <v>49.5</v>
      </c>
      <c r="X5" s="76">
        <f>S10</f>
        <v>1.5391469820105819</v>
      </c>
      <c r="Y5" s="76">
        <f>U10</f>
        <v>1.2036558199051757E-2</v>
      </c>
      <c r="Z5" s="76"/>
      <c r="AA5" s="124"/>
      <c r="AB5" s="124"/>
      <c r="AC5" s="124"/>
    </row>
    <row r="6" spans="1:29" ht="14" x14ac:dyDescent="0.15">
      <c r="A6" s="51"/>
      <c r="B6" s="251"/>
      <c r="C6" s="249"/>
      <c r="D6" s="226"/>
      <c r="E6" s="253"/>
      <c r="F6" s="104" t="s">
        <v>105</v>
      </c>
      <c r="G6" s="255"/>
      <c r="H6" s="74">
        <f>1.014-G5</f>
        <v>0.95833333300000001</v>
      </c>
      <c r="I6" s="76">
        <f>1.02-G5</f>
        <v>0.96433333300000001</v>
      </c>
      <c r="J6" s="76">
        <f>1.01-G5</f>
        <v>0.95433333300000001</v>
      </c>
      <c r="K6" s="76">
        <f t="shared" ref="K6:K7" si="1">5.5054*H6</f>
        <v>5.2760083314981996</v>
      </c>
      <c r="L6" s="76">
        <f t="shared" si="0"/>
        <v>5.3090407314982002</v>
      </c>
      <c r="M6" s="76">
        <f t="shared" si="0"/>
        <v>5.2539867314982001</v>
      </c>
      <c r="N6" s="76">
        <f>AVERAGE(K6:M6)</f>
        <v>5.2796785981648666</v>
      </c>
      <c r="O6" s="76">
        <f t="shared" ref="O6:O25" si="2">N6/15</f>
        <v>0.35197857321099113</v>
      </c>
      <c r="P6" s="76">
        <f t="shared" ref="P6:P31" si="3">O6/14</f>
        <v>2.5141326657927936E-2</v>
      </c>
      <c r="Q6" s="76">
        <f t="shared" ref="Q6:Q31" si="4">P6</f>
        <v>2.5141326657927936E-2</v>
      </c>
      <c r="R6" s="76">
        <f t="shared" ref="R6:R31" si="5">Q6*62</f>
        <v>1.5587622527915321</v>
      </c>
      <c r="S6" s="127"/>
      <c r="T6" s="56"/>
      <c r="U6" s="73"/>
      <c r="W6" s="81">
        <f>D11</f>
        <v>96</v>
      </c>
      <c r="X6" s="76">
        <f>S13</f>
        <v>1.4549111248677249</v>
      </c>
      <c r="Y6" s="76">
        <f>U13</f>
        <v>1.367952781884885E-2</v>
      </c>
      <c r="Z6" s="76"/>
      <c r="AA6" s="124"/>
      <c r="AB6" s="124"/>
      <c r="AC6" s="124"/>
    </row>
    <row r="7" spans="1:29" ht="14" x14ac:dyDescent="0.15">
      <c r="A7" s="51"/>
      <c r="B7" s="252"/>
      <c r="C7" s="250"/>
      <c r="D7" s="227"/>
      <c r="E7" s="254"/>
      <c r="F7" s="151" t="s">
        <v>106</v>
      </c>
      <c r="G7" s="256"/>
      <c r="H7" s="74">
        <f>0.989-G5</f>
        <v>0.93333333299999999</v>
      </c>
      <c r="I7" s="76">
        <f>0.989-G5</f>
        <v>0.93333333299999999</v>
      </c>
      <c r="J7" s="76">
        <f>1.001-G5</f>
        <v>0.94533333299999989</v>
      </c>
      <c r="K7" s="76">
        <f t="shared" si="1"/>
        <v>5.1383733314982001</v>
      </c>
      <c r="L7" s="76">
        <f t="shared" si="0"/>
        <v>5.1383733314982001</v>
      </c>
      <c r="M7" s="76">
        <f t="shared" si="0"/>
        <v>5.2044381314981996</v>
      </c>
      <c r="N7" s="76">
        <f>AVERAGE(K7:M7)</f>
        <v>5.1603949314981996</v>
      </c>
      <c r="O7" s="76">
        <f t="shared" si="2"/>
        <v>0.34402632876654665</v>
      </c>
      <c r="P7" s="76">
        <f t="shared" si="3"/>
        <v>2.4573309197610475E-2</v>
      </c>
      <c r="Q7" s="76">
        <f t="shared" si="4"/>
        <v>2.4573309197610475E-2</v>
      </c>
      <c r="R7" s="76">
        <f t="shared" si="5"/>
        <v>1.5235451702518494</v>
      </c>
      <c r="S7" s="128">
        <f>AVERAGE(R5:R7)</f>
        <v>1.5464814240084632</v>
      </c>
      <c r="T7" s="76">
        <f>STDEV(R5:R7)</f>
        <v>1.9879997149819688E-2</v>
      </c>
      <c r="U7" s="75">
        <f>T7/SQRT(3)</f>
        <v>1.147772170593739E-2</v>
      </c>
      <c r="W7" s="81">
        <f>D14</f>
        <v>144</v>
      </c>
      <c r="X7" s="76">
        <f>S16</f>
        <v>1.3222713231746031</v>
      </c>
      <c r="Y7" s="76">
        <f>U16</f>
        <v>7.5132413488439445E-3</v>
      </c>
      <c r="Z7" s="76"/>
      <c r="AA7" s="124"/>
      <c r="AB7" s="124"/>
      <c r="AC7" s="124"/>
    </row>
    <row r="8" spans="1:29" ht="14" x14ac:dyDescent="0.15">
      <c r="A8" s="51"/>
      <c r="B8" s="264" t="s">
        <v>25</v>
      </c>
      <c r="C8" s="265">
        <v>0.47916666666666669</v>
      </c>
      <c r="D8" s="215">
        <v>49.5</v>
      </c>
      <c r="E8" s="266">
        <v>3</v>
      </c>
      <c r="F8" s="104" t="s">
        <v>104</v>
      </c>
      <c r="G8" s="257">
        <v>7.2666666666666657E-2</v>
      </c>
      <c r="H8" s="92">
        <f>0.978-G8</f>
        <v>0.90533333333333332</v>
      </c>
      <c r="I8" s="96">
        <f>0.997-G8</f>
        <v>0.92433333333333334</v>
      </c>
      <c r="J8" s="96">
        <f>1.001-G8</f>
        <v>0.92833333333333323</v>
      </c>
      <c r="K8" s="76">
        <f>5.657*H8</f>
        <v>5.1214706666666663</v>
      </c>
      <c r="L8" s="76">
        <f t="shared" ref="L8:M10" si="6">5.657*I8</f>
        <v>5.2289536666666665</v>
      </c>
      <c r="M8" s="76">
        <f t="shared" si="6"/>
        <v>5.2515816666666657</v>
      </c>
      <c r="N8" s="76">
        <f t="shared" ref="N8:N31" si="7">AVERAGE(K8:M8)</f>
        <v>5.2006686666666662</v>
      </c>
      <c r="O8" s="76">
        <f t="shared" si="2"/>
        <v>0.3467112444444444</v>
      </c>
      <c r="P8" s="76">
        <f t="shared" si="3"/>
        <v>2.4765088888888887E-2</v>
      </c>
      <c r="Q8" s="76">
        <f t="shared" si="4"/>
        <v>2.4765088888888887E-2</v>
      </c>
      <c r="R8" s="76">
        <f t="shared" si="5"/>
        <v>1.5354355111111111</v>
      </c>
      <c r="S8" s="129"/>
      <c r="T8" s="96"/>
      <c r="U8" s="93"/>
      <c r="W8" s="81">
        <f>D17</f>
        <v>192</v>
      </c>
      <c r="X8" s="76">
        <f>S19</f>
        <v>1.2398794903703705</v>
      </c>
      <c r="Y8" s="76">
        <f>U19</f>
        <v>8.6711352502608103E-3</v>
      </c>
      <c r="Z8" s="76"/>
      <c r="AA8" s="124"/>
      <c r="AB8" s="124"/>
      <c r="AC8" s="124"/>
    </row>
    <row r="9" spans="1:29" ht="14" x14ac:dyDescent="0.15">
      <c r="A9" s="51"/>
      <c r="B9" s="258"/>
      <c r="C9" s="249"/>
      <c r="D9" s="216"/>
      <c r="E9" s="253"/>
      <c r="F9" s="104" t="s">
        <v>105</v>
      </c>
      <c r="G9" s="255"/>
      <c r="H9" s="74">
        <f>0.977-G8</f>
        <v>0.90433333333333332</v>
      </c>
      <c r="I9" s="76">
        <f>0.981-G8</f>
        <v>0.90833333333333333</v>
      </c>
      <c r="J9" s="76">
        <f>0.991-G8</f>
        <v>0.91833333333333333</v>
      </c>
      <c r="K9" s="76">
        <f t="shared" ref="K9:K10" si="8">5.657*H9</f>
        <v>5.1158136666666669</v>
      </c>
      <c r="L9" s="76">
        <f t="shared" si="6"/>
        <v>5.138441666666667</v>
      </c>
      <c r="M9" s="76">
        <f t="shared" si="6"/>
        <v>5.1950116666666668</v>
      </c>
      <c r="N9" s="76">
        <f t="shared" si="7"/>
        <v>5.1497556666666666</v>
      </c>
      <c r="O9" s="76">
        <f t="shared" si="2"/>
        <v>0.34331704444444444</v>
      </c>
      <c r="P9" s="76">
        <f t="shared" si="3"/>
        <v>2.4522646031746032E-2</v>
      </c>
      <c r="Q9" s="76">
        <f t="shared" si="4"/>
        <v>2.4522646031746032E-2</v>
      </c>
      <c r="R9" s="76">
        <f t="shared" si="5"/>
        <v>1.520404053968254</v>
      </c>
      <c r="S9" s="128"/>
      <c r="T9" s="76"/>
      <c r="U9" s="75"/>
      <c r="W9" s="81">
        <f>D20</f>
        <v>264</v>
      </c>
      <c r="X9" s="76">
        <f>S22</f>
        <v>1.1037679117460319</v>
      </c>
      <c r="Y9" s="76">
        <f>U22</f>
        <v>2.0067544366037755E-2</v>
      </c>
      <c r="Z9" s="76"/>
      <c r="AA9" s="124"/>
      <c r="AB9" s="124"/>
      <c r="AC9" s="124"/>
    </row>
    <row r="10" spans="1:29" ht="14" x14ac:dyDescent="0.15">
      <c r="A10" s="51"/>
      <c r="B10" s="259"/>
      <c r="C10" s="250"/>
      <c r="D10" s="217"/>
      <c r="E10" s="254"/>
      <c r="F10" s="151" t="s">
        <v>106</v>
      </c>
      <c r="G10" s="256"/>
      <c r="H10" s="74">
        <f>1.01-G8</f>
        <v>0.93733333333333335</v>
      </c>
      <c r="I10" s="76">
        <f>1.005-G8</f>
        <v>0.93233333333333324</v>
      </c>
      <c r="J10" s="76">
        <f>1.008-G8</f>
        <v>0.93533333333333335</v>
      </c>
      <c r="K10" s="76">
        <f t="shared" si="8"/>
        <v>5.302494666666667</v>
      </c>
      <c r="L10" s="76">
        <f t="shared" si="6"/>
        <v>5.2742096666666658</v>
      </c>
      <c r="M10" s="76">
        <f t="shared" si="6"/>
        <v>5.2911806666666665</v>
      </c>
      <c r="N10" s="76">
        <f t="shared" si="7"/>
        <v>5.2892949999999992</v>
      </c>
      <c r="O10" s="76">
        <f t="shared" si="2"/>
        <v>0.35261966666666661</v>
      </c>
      <c r="P10" s="76">
        <f t="shared" si="3"/>
        <v>2.5187119047619045E-2</v>
      </c>
      <c r="Q10" s="76">
        <f t="shared" si="4"/>
        <v>2.5187119047619045E-2</v>
      </c>
      <c r="R10" s="76">
        <f t="shared" si="5"/>
        <v>1.5616013809523808</v>
      </c>
      <c r="S10" s="130">
        <f>AVERAGE(R8:R10)</f>
        <v>1.5391469820105819</v>
      </c>
      <c r="T10" s="76">
        <f>STDEV(R8:R10)</f>
        <v>2.0847930349017385E-2</v>
      </c>
      <c r="U10" s="75">
        <f>T10/SQRT(3)</f>
        <v>1.2036558199051757E-2</v>
      </c>
      <c r="W10" s="81">
        <f>D23</f>
        <v>312</v>
      </c>
      <c r="X10" s="76">
        <f>S25</f>
        <v>1.0040046565079366</v>
      </c>
      <c r="Y10" s="76">
        <f>U25</f>
        <v>2.1977301050811405E-2</v>
      </c>
      <c r="Z10" s="76"/>
      <c r="AA10" s="124"/>
      <c r="AB10" s="124"/>
      <c r="AC10" s="124"/>
    </row>
    <row r="11" spans="1:29" ht="14" x14ac:dyDescent="0.15">
      <c r="A11" s="51"/>
      <c r="B11" s="206" t="s">
        <v>27</v>
      </c>
      <c r="C11" s="265">
        <v>0.41666666666666669</v>
      </c>
      <c r="D11" s="228">
        <v>96</v>
      </c>
      <c r="E11" s="266">
        <v>5</v>
      </c>
      <c r="F11" s="104" t="s">
        <v>104</v>
      </c>
      <c r="G11" s="257">
        <v>7.2666666666666671E-2</v>
      </c>
      <c r="H11" s="74">
        <f>0.906-G11</f>
        <v>0.83333333333333337</v>
      </c>
      <c r="I11" s="76">
        <f>0.925-G11</f>
        <v>0.85233333333333339</v>
      </c>
      <c r="J11" s="76">
        <f>0.956-G11</f>
        <v>0.8833333333333333</v>
      </c>
      <c r="K11" s="76">
        <f>5.6585*H11</f>
        <v>4.715416666666667</v>
      </c>
      <c r="L11" s="76">
        <f t="shared" ref="L11:M13" si="9">5.6585*I11</f>
        <v>4.8229281666666672</v>
      </c>
      <c r="M11" s="76">
        <f t="shared" si="9"/>
        <v>4.9983416666666667</v>
      </c>
      <c r="N11" s="76">
        <f t="shared" si="7"/>
        <v>4.8455621666666664</v>
      </c>
      <c r="O11" s="76">
        <f t="shared" si="2"/>
        <v>0.32303747777777775</v>
      </c>
      <c r="P11" s="76">
        <f t="shared" si="3"/>
        <v>2.3074105555555554E-2</v>
      </c>
      <c r="Q11" s="76">
        <f t="shared" si="4"/>
        <v>2.3074105555555554E-2</v>
      </c>
      <c r="R11" s="76">
        <f t="shared" si="5"/>
        <v>1.4305945444444443</v>
      </c>
      <c r="S11" s="128"/>
      <c r="T11" s="76"/>
      <c r="U11" s="75"/>
      <c r="W11" s="81">
        <f>D26</f>
        <v>361.5</v>
      </c>
      <c r="X11" s="76">
        <f>S28</f>
        <v>0.91131143595238084</v>
      </c>
      <c r="Y11" s="76">
        <f>U28</f>
        <v>4.7960996624640026E-2</v>
      </c>
      <c r="Z11" s="76"/>
      <c r="AA11" s="124"/>
      <c r="AB11" s="124"/>
      <c r="AC11" s="124"/>
    </row>
    <row r="12" spans="1:29" ht="15" customHeight="1" x14ac:dyDescent="0.15">
      <c r="A12" s="51"/>
      <c r="B12" s="207"/>
      <c r="C12" s="249"/>
      <c r="D12" s="226"/>
      <c r="E12" s="253"/>
      <c r="F12" s="104" t="s">
        <v>105</v>
      </c>
      <c r="G12" s="255"/>
      <c r="H12" s="74">
        <f>0.916-G11</f>
        <v>0.84333333333333338</v>
      </c>
      <c r="I12" s="76">
        <f>0.962-G11</f>
        <v>0.88933333333333331</v>
      </c>
      <c r="J12" s="76">
        <f>0.955-G11</f>
        <v>0.8823333333333333</v>
      </c>
      <c r="K12" s="76">
        <f t="shared" ref="K12:K13" si="10">5.6585*H12</f>
        <v>4.7720016666666671</v>
      </c>
      <c r="L12" s="76">
        <f t="shared" si="9"/>
        <v>5.0322926666666667</v>
      </c>
      <c r="M12" s="76">
        <f t="shared" si="9"/>
        <v>4.9926831666666667</v>
      </c>
      <c r="N12" s="76">
        <f t="shared" si="7"/>
        <v>4.9323258333333335</v>
      </c>
      <c r="O12" s="76">
        <f t="shared" si="2"/>
        <v>0.32882172222222222</v>
      </c>
      <c r="P12" s="76">
        <f t="shared" si="3"/>
        <v>2.3487265873015872E-2</v>
      </c>
      <c r="Q12" s="76">
        <f t="shared" si="4"/>
        <v>2.3487265873015872E-2</v>
      </c>
      <c r="R12" s="76">
        <f t="shared" si="5"/>
        <v>1.4562104841269841</v>
      </c>
      <c r="S12" s="128"/>
      <c r="T12" s="76"/>
      <c r="U12" s="75"/>
      <c r="W12" s="81">
        <f>D29</f>
        <v>409.5</v>
      </c>
      <c r="X12" s="76">
        <f>S31</f>
        <v>0.80997973079365082</v>
      </c>
      <c r="Y12" s="76">
        <f>U31</f>
        <v>2.1879227316386321E-2</v>
      </c>
      <c r="Z12" s="76"/>
      <c r="AA12" s="124"/>
      <c r="AB12" s="124"/>
      <c r="AC12" s="124"/>
    </row>
    <row r="13" spans="1:29" ht="15" customHeight="1" x14ac:dyDescent="0.15">
      <c r="A13" s="51"/>
      <c r="B13" s="208"/>
      <c r="C13" s="250"/>
      <c r="D13" s="227"/>
      <c r="E13" s="254"/>
      <c r="F13" s="151" t="s">
        <v>106</v>
      </c>
      <c r="G13" s="256"/>
      <c r="H13" s="83">
        <f>0.939-G11</f>
        <v>0.86633333333333329</v>
      </c>
      <c r="I13" s="85">
        <f>0.96-G11</f>
        <v>0.88733333333333331</v>
      </c>
      <c r="J13" s="85">
        <f>0.973-G11</f>
        <v>0.90033333333333332</v>
      </c>
      <c r="K13" s="76">
        <f t="shared" si="10"/>
        <v>4.9021471666666665</v>
      </c>
      <c r="L13" s="76">
        <f t="shared" si="9"/>
        <v>5.0209756666666667</v>
      </c>
      <c r="M13" s="76">
        <f t="shared" si="9"/>
        <v>5.0945361666666669</v>
      </c>
      <c r="N13" s="76">
        <f t="shared" si="7"/>
        <v>5.0058863333333337</v>
      </c>
      <c r="O13" s="76">
        <f t="shared" si="2"/>
        <v>0.33372575555555556</v>
      </c>
      <c r="P13" s="76">
        <f t="shared" si="3"/>
        <v>2.3837553968253967E-2</v>
      </c>
      <c r="Q13" s="76">
        <f t="shared" si="4"/>
        <v>2.3837553968253967E-2</v>
      </c>
      <c r="R13" s="76">
        <f t="shared" si="5"/>
        <v>1.4779283460317461</v>
      </c>
      <c r="S13" s="130">
        <f>AVERAGE(R11:R13)</f>
        <v>1.4549111248677249</v>
      </c>
      <c r="T13" s="85">
        <f>STDEV(R11:R13)</f>
        <v>2.3693637205798073E-2</v>
      </c>
      <c r="U13" s="84">
        <f>T13/SQRT(3)</f>
        <v>1.367952781884885E-2</v>
      </c>
      <c r="W13" s="81"/>
      <c r="X13" s="76"/>
      <c r="Y13" s="76"/>
      <c r="Z13" s="76"/>
      <c r="AA13" s="124"/>
      <c r="AB13" s="124"/>
      <c r="AC13" s="124"/>
    </row>
    <row r="14" spans="1:29" ht="14" x14ac:dyDescent="0.15">
      <c r="A14" s="51"/>
      <c r="B14" s="264" t="s">
        <v>29</v>
      </c>
      <c r="C14" s="265">
        <v>0.41666666666666669</v>
      </c>
      <c r="D14" s="228">
        <v>144</v>
      </c>
      <c r="E14" s="266">
        <v>7</v>
      </c>
      <c r="F14" s="104" t="s">
        <v>104</v>
      </c>
      <c r="G14" s="257">
        <v>7.6499999999999999E-2</v>
      </c>
      <c r="H14" s="74">
        <f>0.839-G14</f>
        <v>0.76249999999999996</v>
      </c>
      <c r="I14" s="76">
        <f>0.863-G14</f>
        <v>0.78649999999999998</v>
      </c>
      <c r="J14" s="76">
        <f>0.882-G14</f>
        <v>0.80549999999999999</v>
      </c>
      <c r="K14" s="76">
        <f>5.6668*H14</f>
        <v>4.3209349999999995</v>
      </c>
      <c r="L14" s="76">
        <f t="shared" ref="L14:M16" si="11">5.6668*I14</f>
        <v>4.4569381999999997</v>
      </c>
      <c r="M14" s="76">
        <f t="shared" si="11"/>
        <v>4.5646073999999999</v>
      </c>
      <c r="N14" s="76">
        <f t="shared" si="7"/>
        <v>4.4474935333333327</v>
      </c>
      <c r="O14" s="76">
        <f t="shared" si="2"/>
        <v>0.29649956888888884</v>
      </c>
      <c r="P14" s="76">
        <f t="shared" si="3"/>
        <v>2.1178540634920633E-2</v>
      </c>
      <c r="Q14" s="76">
        <f t="shared" si="4"/>
        <v>2.1178540634920633E-2</v>
      </c>
      <c r="R14" s="76">
        <f t="shared" si="5"/>
        <v>1.3130695193650792</v>
      </c>
      <c r="S14" s="127"/>
      <c r="T14" s="56"/>
      <c r="U14" s="73"/>
      <c r="W14" s="124"/>
      <c r="X14" s="6"/>
      <c r="Y14" s="6"/>
      <c r="Z14" s="76"/>
      <c r="AA14" s="76"/>
    </row>
    <row r="15" spans="1:29" ht="14" x14ac:dyDescent="0.15">
      <c r="B15" s="258"/>
      <c r="C15" s="249"/>
      <c r="D15" s="226"/>
      <c r="E15" s="253"/>
      <c r="F15" s="104" t="s">
        <v>105</v>
      </c>
      <c r="G15" s="255"/>
      <c r="H15" s="74">
        <f>0.853-G14</f>
        <v>0.77649999999999997</v>
      </c>
      <c r="I15" s="76">
        <f>0.873-G14</f>
        <v>0.79649999999999999</v>
      </c>
      <c r="J15" s="76">
        <f>0.878-G14</f>
        <v>0.80149999999999999</v>
      </c>
      <c r="K15" s="76">
        <f t="shared" ref="K15:K16" si="12">5.6668*H15</f>
        <v>4.4002702000000005</v>
      </c>
      <c r="L15" s="76">
        <f t="shared" si="11"/>
        <v>4.5136061999999999</v>
      </c>
      <c r="M15" s="76">
        <f t="shared" si="11"/>
        <v>4.5419402</v>
      </c>
      <c r="N15" s="76">
        <f t="shared" si="7"/>
        <v>4.4852721999999998</v>
      </c>
      <c r="O15" s="76">
        <f t="shared" si="2"/>
        <v>0.29901814666666665</v>
      </c>
      <c r="P15" s="76">
        <f t="shared" si="3"/>
        <v>2.1358439047619047E-2</v>
      </c>
      <c r="Q15" s="76">
        <f t="shared" si="4"/>
        <v>2.1358439047619047E-2</v>
      </c>
      <c r="R15" s="76">
        <f t="shared" si="5"/>
        <v>1.324223220952381</v>
      </c>
      <c r="S15" s="127"/>
      <c r="T15" s="56"/>
      <c r="U15" s="73"/>
      <c r="W15" s="6"/>
      <c r="X15" s="6"/>
      <c r="Y15" s="6"/>
      <c r="Z15" s="76"/>
      <c r="AA15" s="76"/>
    </row>
    <row r="16" spans="1:29" ht="14" x14ac:dyDescent="0.15">
      <c r="B16" s="259"/>
      <c r="C16" s="250"/>
      <c r="D16" s="227"/>
      <c r="E16" s="254"/>
      <c r="F16" s="151" t="s">
        <v>106</v>
      </c>
      <c r="G16" s="256"/>
      <c r="H16" s="74">
        <f>0.86-G14</f>
        <v>0.78349999999999997</v>
      </c>
      <c r="I16" s="76">
        <f>0.864-G14</f>
        <v>0.78749999999999998</v>
      </c>
      <c r="J16" s="76">
        <f>0.893-G14</f>
        <v>0.8165</v>
      </c>
      <c r="K16" s="76">
        <f t="shared" si="12"/>
        <v>4.4399378</v>
      </c>
      <c r="L16" s="76">
        <f t="shared" si="11"/>
        <v>4.4626049999999999</v>
      </c>
      <c r="M16" s="76">
        <f t="shared" si="11"/>
        <v>4.6269422000000002</v>
      </c>
      <c r="N16" s="76">
        <f t="shared" si="7"/>
        <v>4.5098283333333331</v>
      </c>
      <c r="O16" s="76">
        <f t="shared" si="2"/>
        <v>0.30065522222222218</v>
      </c>
      <c r="P16" s="76">
        <f t="shared" si="3"/>
        <v>2.1475373015873014E-2</v>
      </c>
      <c r="Q16" s="76">
        <f t="shared" si="4"/>
        <v>2.1475373015873014E-2</v>
      </c>
      <c r="R16" s="76">
        <f t="shared" si="5"/>
        <v>1.3314731269841269</v>
      </c>
      <c r="S16" s="130">
        <f>AVERAGE(R14,R16)</f>
        <v>1.3222713231746031</v>
      </c>
      <c r="T16" s="76">
        <f>STDEV(R14,R16)</f>
        <v>1.3013315745725035E-2</v>
      </c>
      <c r="U16" s="75">
        <f>T16/SQRT(3)</f>
        <v>7.5132413488439445E-3</v>
      </c>
      <c r="W16" s="6"/>
      <c r="X16" s="6"/>
      <c r="Y16" s="6"/>
      <c r="Z16" s="76"/>
      <c r="AA16" s="76"/>
    </row>
    <row r="17" spans="2:27" ht="14" x14ac:dyDescent="0.15">
      <c r="B17" s="206" t="s">
        <v>31</v>
      </c>
      <c r="C17" s="265">
        <v>0.41666666666666669</v>
      </c>
      <c r="D17" s="228">
        <v>192</v>
      </c>
      <c r="E17" s="266">
        <v>9</v>
      </c>
      <c r="F17" s="104" t="s">
        <v>104</v>
      </c>
      <c r="G17" s="257">
        <v>8.2000000000000003E-2</v>
      </c>
      <c r="H17" s="74">
        <f>0.754-G17</f>
        <v>0.67200000000000004</v>
      </c>
      <c r="I17" s="76">
        <f>0.788-G17</f>
        <v>0.70600000000000007</v>
      </c>
      <c r="J17" s="76">
        <f>0.79-G17</f>
        <v>0.70800000000000007</v>
      </c>
      <c r="K17" s="76">
        <f>6.0262*H17</f>
        <v>4.0496064000000001</v>
      </c>
      <c r="L17" s="76">
        <f t="shared" ref="L17:M19" si="13">6.0262*I17</f>
        <v>4.2544972000000003</v>
      </c>
      <c r="M17" s="76">
        <f t="shared" si="13"/>
        <v>4.2665496000000003</v>
      </c>
      <c r="N17" s="76">
        <f t="shared" si="7"/>
        <v>4.1902177333333341</v>
      </c>
      <c r="O17" s="76">
        <f t="shared" si="2"/>
        <v>0.27934784888888892</v>
      </c>
      <c r="P17" s="76">
        <f t="shared" si="3"/>
        <v>1.9953417777777781E-2</v>
      </c>
      <c r="Q17" s="76">
        <f t="shared" si="4"/>
        <v>1.9953417777777781E-2</v>
      </c>
      <c r="R17" s="76">
        <f t="shared" si="5"/>
        <v>1.2371119022222223</v>
      </c>
      <c r="S17" s="127"/>
      <c r="T17" s="56"/>
      <c r="U17" s="73"/>
      <c r="W17" s="6"/>
      <c r="X17" s="6"/>
      <c r="Y17" s="6"/>
      <c r="Z17" s="76"/>
      <c r="AA17" s="76"/>
    </row>
    <row r="18" spans="2:27" ht="14" x14ac:dyDescent="0.15">
      <c r="B18" s="207"/>
      <c r="C18" s="249"/>
      <c r="D18" s="226"/>
      <c r="E18" s="253"/>
      <c r="F18" s="104" t="s">
        <v>105</v>
      </c>
      <c r="G18" s="255"/>
      <c r="H18" s="74">
        <f>0.773-G17</f>
        <v>0.69100000000000006</v>
      </c>
      <c r="I18" s="76">
        <f>0.792-G17</f>
        <v>0.71000000000000008</v>
      </c>
      <c r="J18" s="76">
        <f>0.799-G17</f>
        <v>0.71700000000000008</v>
      </c>
      <c r="K18" s="76">
        <f t="shared" ref="K18:K19" si="14">6.0262*H18</f>
        <v>4.1641042000000006</v>
      </c>
      <c r="L18" s="76">
        <f t="shared" si="13"/>
        <v>4.2786020000000002</v>
      </c>
      <c r="M18" s="76">
        <f t="shared" si="13"/>
        <v>4.320785400000001</v>
      </c>
      <c r="N18" s="76">
        <f t="shared" si="7"/>
        <v>4.2544972000000003</v>
      </c>
      <c r="O18" s="76">
        <f t="shared" si="2"/>
        <v>0.28363314666666667</v>
      </c>
      <c r="P18" s="76">
        <f t="shared" si="3"/>
        <v>2.0259510476190477E-2</v>
      </c>
      <c r="Q18" s="76">
        <f t="shared" si="4"/>
        <v>2.0259510476190477E-2</v>
      </c>
      <c r="R18" s="76">
        <f t="shared" si="5"/>
        <v>1.2560896495238096</v>
      </c>
      <c r="S18" s="127"/>
      <c r="T18" s="56"/>
      <c r="U18" s="73"/>
      <c r="W18" s="6"/>
      <c r="X18" s="6"/>
      <c r="Y18" s="6"/>
      <c r="Z18" s="76"/>
      <c r="AA18" s="76"/>
    </row>
    <row r="19" spans="2:27" ht="14" x14ac:dyDescent="0.15">
      <c r="B19" s="208"/>
      <c r="C19" s="250"/>
      <c r="D19" s="227"/>
      <c r="E19" s="254"/>
      <c r="F19" s="151" t="s">
        <v>106</v>
      </c>
      <c r="G19" s="256"/>
      <c r="H19" s="74">
        <f>0.758-G17</f>
        <v>0.67600000000000005</v>
      </c>
      <c r="I19" s="76">
        <f>0.778-G17</f>
        <v>0.69600000000000006</v>
      </c>
      <c r="J19" s="76">
        <f>0.778-G17</f>
        <v>0.69600000000000006</v>
      </c>
      <c r="K19" s="76">
        <f t="shared" si="14"/>
        <v>4.0737112000000009</v>
      </c>
      <c r="L19" s="76">
        <f t="shared" si="13"/>
        <v>4.1942352000000005</v>
      </c>
      <c r="M19" s="76">
        <f t="shared" si="13"/>
        <v>4.1942352000000005</v>
      </c>
      <c r="N19" s="76">
        <f t="shared" si="7"/>
        <v>4.1540605333333334</v>
      </c>
      <c r="O19" s="76">
        <f t="shared" si="2"/>
        <v>0.27693736888888887</v>
      </c>
      <c r="P19" s="76">
        <f t="shared" si="3"/>
        <v>1.9781240634920632E-2</v>
      </c>
      <c r="Q19" s="76">
        <f t="shared" si="4"/>
        <v>1.9781240634920632E-2</v>
      </c>
      <c r="R19" s="76">
        <f t="shared" si="5"/>
        <v>1.2264369193650793</v>
      </c>
      <c r="S19" s="128">
        <f>AVERAGE(R17:R19)</f>
        <v>1.2398794903703705</v>
      </c>
      <c r="T19" s="76">
        <f>STDEV(R17:R19)</f>
        <v>1.5018846812753195E-2</v>
      </c>
      <c r="U19" s="75">
        <f>T19/SQRT(3)</f>
        <v>8.6711352502608103E-3</v>
      </c>
      <c r="W19" s="6"/>
      <c r="X19" s="6"/>
      <c r="Y19" s="6"/>
      <c r="Z19" s="76"/>
      <c r="AA19" s="76"/>
    </row>
    <row r="20" spans="2:27" ht="14" x14ac:dyDescent="0.15">
      <c r="B20" s="206" t="s">
        <v>33</v>
      </c>
      <c r="C20" s="265">
        <v>0.41666666666666669</v>
      </c>
      <c r="D20" s="228">
        <v>264</v>
      </c>
      <c r="E20" s="266">
        <v>12</v>
      </c>
      <c r="F20" s="104" t="s">
        <v>104</v>
      </c>
      <c r="G20" s="257">
        <v>7.9000000000000001E-2</v>
      </c>
      <c r="H20" s="92">
        <f>0.683-G20</f>
        <v>0.60400000000000009</v>
      </c>
      <c r="I20" s="96">
        <f>0.695-G20</f>
        <v>0.61599999999999999</v>
      </c>
      <c r="J20" s="96">
        <f>0.712-G20</f>
        <v>0.63300000000000001</v>
      </c>
      <c r="K20" s="76">
        <f>6.0702*H20</f>
        <v>3.6664008000000003</v>
      </c>
      <c r="L20" s="76">
        <f t="shared" ref="L20:M25" si="15">6.0702*I20</f>
        <v>3.7392431999999998</v>
      </c>
      <c r="M20" s="76">
        <f t="shared" si="15"/>
        <v>3.8424366000000001</v>
      </c>
      <c r="N20" s="76">
        <f t="shared" si="7"/>
        <v>3.7493602000000004</v>
      </c>
      <c r="O20" s="76">
        <f t="shared" si="2"/>
        <v>0.24995734666666669</v>
      </c>
      <c r="P20" s="76">
        <f t="shared" si="3"/>
        <v>1.7854096190476194E-2</v>
      </c>
      <c r="Q20" s="76">
        <f t="shared" si="4"/>
        <v>1.7854096190476194E-2</v>
      </c>
      <c r="R20" s="76">
        <f t="shared" si="5"/>
        <v>1.106953963809524</v>
      </c>
      <c r="S20" s="129"/>
      <c r="T20" s="96"/>
      <c r="U20" s="93"/>
      <c r="W20" s="6"/>
      <c r="X20" s="6"/>
      <c r="Y20" s="6"/>
      <c r="Z20" s="76"/>
      <c r="AA20" s="76"/>
    </row>
    <row r="21" spans="2:27" ht="14" x14ac:dyDescent="0.15">
      <c r="B21" s="207"/>
      <c r="C21" s="249"/>
      <c r="D21" s="226"/>
      <c r="E21" s="253"/>
      <c r="F21" s="104" t="s">
        <v>105</v>
      </c>
      <c r="G21" s="255"/>
      <c r="H21" s="74">
        <f>0.704-G20</f>
        <v>0.625</v>
      </c>
      <c r="I21" s="76">
        <f>0.7-G20</f>
        <v>0.621</v>
      </c>
      <c r="J21" s="76">
        <f>0.736-G20</f>
        <v>0.65700000000000003</v>
      </c>
      <c r="K21" s="76">
        <f t="shared" ref="K21:K25" si="16">6.0702*H21</f>
        <v>3.7938749999999999</v>
      </c>
      <c r="L21" s="76">
        <f t="shared" si="15"/>
        <v>3.7695941999999998</v>
      </c>
      <c r="M21" s="76">
        <f t="shared" si="15"/>
        <v>3.9881214000000003</v>
      </c>
      <c r="N21" s="76">
        <f t="shared" si="7"/>
        <v>3.8505302000000001</v>
      </c>
      <c r="O21" s="76">
        <f t="shared" si="2"/>
        <v>0.25670201333333337</v>
      </c>
      <c r="P21" s="76">
        <f t="shared" si="3"/>
        <v>1.8335858095238099E-2</v>
      </c>
      <c r="Q21" s="76">
        <f t="shared" si="4"/>
        <v>1.8335858095238099E-2</v>
      </c>
      <c r="R21" s="76">
        <f t="shared" si="5"/>
        <v>1.1368232019047622</v>
      </c>
      <c r="S21" s="128"/>
      <c r="T21" s="76"/>
      <c r="U21" s="75"/>
      <c r="W21" s="6"/>
      <c r="X21" s="6"/>
      <c r="Y21" s="6"/>
      <c r="Z21" s="76"/>
      <c r="AA21" s="76"/>
    </row>
    <row r="22" spans="2:27" ht="14" x14ac:dyDescent="0.15">
      <c r="B22" s="208"/>
      <c r="C22" s="250"/>
      <c r="D22" s="227"/>
      <c r="E22" s="254"/>
      <c r="F22" s="151" t="s">
        <v>106</v>
      </c>
      <c r="G22" s="256"/>
      <c r="H22" s="74">
        <f>0.664-G20</f>
        <v>0.58500000000000008</v>
      </c>
      <c r="I22" s="76">
        <f>0.677-G20</f>
        <v>0.59800000000000009</v>
      </c>
      <c r="J22" s="76">
        <f>0.683-G20</f>
        <v>0.60400000000000009</v>
      </c>
      <c r="K22" s="76">
        <f t="shared" si="16"/>
        <v>3.5510670000000002</v>
      </c>
      <c r="L22" s="76">
        <f t="shared" si="15"/>
        <v>3.6299796000000004</v>
      </c>
      <c r="M22" s="76">
        <f t="shared" si="15"/>
        <v>3.6664008000000003</v>
      </c>
      <c r="N22" s="76">
        <f t="shared" si="7"/>
        <v>3.6158158</v>
      </c>
      <c r="O22" s="76">
        <f t="shared" si="2"/>
        <v>0.24105438666666668</v>
      </c>
      <c r="P22" s="76">
        <f t="shared" si="3"/>
        <v>1.7218170476190477E-2</v>
      </c>
      <c r="Q22" s="76">
        <f t="shared" si="4"/>
        <v>1.7218170476190477E-2</v>
      </c>
      <c r="R22" s="76">
        <f t="shared" si="5"/>
        <v>1.0675265695238096</v>
      </c>
      <c r="S22" s="130">
        <f>AVERAGE(R20:R22)</f>
        <v>1.1037679117460319</v>
      </c>
      <c r="T22" s="76">
        <f>STDEV(R20:R22)</f>
        <v>3.4758006425119968E-2</v>
      </c>
      <c r="U22" s="75">
        <f>T22/SQRT(3)</f>
        <v>2.0067544366037755E-2</v>
      </c>
      <c r="W22" s="6"/>
      <c r="X22" s="6"/>
      <c r="Y22" s="6"/>
      <c r="Z22" s="76"/>
      <c r="AA22" s="76"/>
    </row>
    <row r="23" spans="2:27" ht="14" x14ac:dyDescent="0.15">
      <c r="B23" s="206" t="s">
        <v>35</v>
      </c>
      <c r="C23" s="265">
        <v>0.41666666666666669</v>
      </c>
      <c r="D23" s="228">
        <v>312</v>
      </c>
      <c r="E23" s="266">
        <v>14</v>
      </c>
      <c r="F23" s="104" t="s">
        <v>104</v>
      </c>
      <c r="G23" s="257">
        <f>(0.085+0.069+0.079)/3</f>
        <v>7.7666666666666676E-2</v>
      </c>
      <c r="H23" s="74">
        <f>0.599-G23</f>
        <v>0.52133333333333332</v>
      </c>
      <c r="I23" s="76">
        <f>0.644-G23</f>
        <v>0.56633333333333336</v>
      </c>
      <c r="J23" s="76">
        <f>0.598-G23</f>
        <v>0.52033333333333331</v>
      </c>
      <c r="K23" s="76">
        <f t="shared" si="16"/>
        <v>3.1645976</v>
      </c>
      <c r="L23" s="76">
        <f t="shared" si="15"/>
        <v>3.4377566000000002</v>
      </c>
      <c r="M23" s="76">
        <f t="shared" si="15"/>
        <v>3.1585273999999997</v>
      </c>
      <c r="N23" s="76">
        <f t="shared" si="7"/>
        <v>3.2536272000000004</v>
      </c>
      <c r="O23" s="76">
        <f t="shared" si="2"/>
        <v>0.21690848000000001</v>
      </c>
      <c r="P23" s="76">
        <f t="shared" si="3"/>
        <v>1.5493462857142858E-2</v>
      </c>
      <c r="Q23" s="76">
        <f t="shared" si="4"/>
        <v>1.5493462857142858E-2</v>
      </c>
      <c r="R23" s="76">
        <f t="shared" si="5"/>
        <v>0.96059469714285717</v>
      </c>
      <c r="S23" s="128"/>
      <c r="T23" s="76"/>
      <c r="U23" s="75"/>
      <c r="W23" s="6"/>
      <c r="X23" s="6"/>
      <c r="Y23" s="6"/>
      <c r="Z23" s="76"/>
      <c r="AA23" s="76"/>
    </row>
    <row r="24" spans="2:27" x14ac:dyDescent="0.15">
      <c r="B24" s="207"/>
      <c r="C24" s="249"/>
      <c r="D24" s="226"/>
      <c r="E24" s="253"/>
      <c r="F24" s="104" t="s">
        <v>105</v>
      </c>
      <c r="G24" s="255"/>
      <c r="H24" s="74">
        <f>0.641-G23</f>
        <v>0.56333333333333335</v>
      </c>
      <c r="I24" s="76">
        <f>0.663-G23</f>
        <v>0.58533333333333337</v>
      </c>
      <c r="J24" s="76">
        <f>0.656-G23</f>
        <v>0.57833333333333337</v>
      </c>
      <c r="K24" s="76">
        <f t="shared" si="16"/>
        <v>3.419546</v>
      </c>
      <c r="L24" s="76">
        <f t="shared" si="15"/>
        <v>3.5530904000000003</v>
      </c>
      <c r="M24" s="76">
        <f t="shared" si="15"/>
        <v>3.510599</v>
      </c>
      <c r="N24" s="76">
        <f t="shared" si="7"/>
        <v>3.4944118000000004</v>
      </c>
      <c r="O24" s="76">
        <f t="shared" si="2"/>
        <v>0.2329607866666667</v>
      </c>
      <c r="P24" s="76">
        <f t="shared" si="3"/>
        <v>1.6640056190476194E-2</v>
      </c>
      <c r="Q24" s="76">
        <f t="shared" si="4"/>
        <v>1.6640056190476194E-2</v>
      </c>
      <c r="R24" s="76">
        <f t="shared" si="5"/>
        <v>1.0316834838095241</v>
      </c>
      <c r="S24" s="128"/>
      <c r="T24" s="76"/>
      <c r="U24" s="75"/>
      <c r="W24" s="56"/>
      <c r="X24" s="76"/>
      <c r="Y24" s="76"/>
      <c r="Z24" s="76"/>
      <c r="AA24" s="76"/>
    </row>
    <row r="25" spans="2:27" x14ac:dyDescent="0.15">
      <c r="B25" s="208"/>
      <c r="C25" s="250"/>
      <c r="D25" s="227"/>
      <c r="E25" s="254"/>
      <c r="F25" s="151" t="s">
        <v>106</v>
      </c>
      <c r="G25" s="256"/>
      <c r="H25" s="74">
        <f>0.636-G23</f>
        <v>0.55833333333333335</v>
      </c>
      <c r="I25" s="76">
        <f>0.644-G23</f>
        <v>0.56633333333333336</v>
      </c>
      <c r="J25" s="76">
        <f>0.66-G23</f>
        <v>0.58233333333333337</v>
      </c>
      <c r="K25" s="76">
        <f t="shared" si="16"/>
        <v>3.389195</v>
      </c>
      <c r="L25" s="76">
        <f t="shared" si="15"/>
        <v>3.4377566000000002</v>
      </c>
      <c r="M25" s="76">
        <f t="shared" si="15"/>
        <v>3.5348798000000001</v>
      </c>
      <c r="N25" s="76">
        <f t="shared" si="7"/>
        <v>3.4539437999999998</v>
      </c>
      <c r="O25" s="76">
        <f t="shared" si="2"/>
        <v>0.23026291999999998</v>
      </c>
      <c r="P25" s="76">
        <f t="shared" si="3"/>
        <v>1.6447351428571427E-2</v>
      </c>
      <c r="Q25" s="76">
        <f t="shared" si="4"/>
        <v>1.6447351428571427E-2</v>
      </c>
      <c r="R25" s="76">
        <f t="shared" si="5"/>
        <v>1.0197357885714284</v>
      </c>
      <c r="S25" s="128">
        <f>AVERAGE(R23:R25)</f>
        <v>1.0040046565079366</v>
      </c>
      <c r="T25" s="76">
        <f>STDEV(R23:R25)</f>
        <v>3.8065802033242224E-2</v>
      </c>
      <c r="U25" s="75">
        <f>T25/SQRT(3)</f>
        <v>2.1977301050811405E-2</v>
      </c>
    </row>
    <row r="26" spans="2:27" x14ac:dyDescent="0.15">
      <c r="B26" s="206" t="s">
        <v>37</v>
      </c>
      <c r="C26" s="265">
        <v>0.47916666666666669</v>
      </c>
      <c r="D26" s="215">
        <v>361.5</v>
      </c>
      <c r="E26" s="266">
        <v>16</v>
      </c>
      <c r="F26" s="104" t="s">
        <v>104</v>
      </c>
      <c r="G26" s="257">
        <v>7.3666666666666672E-2</v>
      </c>
      <c r="H26" s="92">
        <f>0.611-G26</f>
        <v>0.53733333333333333</v>
      </c>
      <c r="I26" s="96">
        <f>0.618-G26</f>
        <v>0.54433333333333334</v>
      </c>
      <c r="J26" s="96">
        <f>0.636-G26</f>
        <v>0.56233333333333335</v>
      </c>
      <c r="K26" s="76">
        <f>7.2021*H26</f>
        <v>3.8699284</v>
      </c>
      <c r="L26" s="76">
        <f t="shared" ref="L26:M28" si="17">7.2021*I26</f>
        <v>3.9203430999999997</v>
      </c>
      <c r="M26" s="76">
        <f t="shared" si="17"/>
        <v>4.0499808999999996</v>
      </c>
      <c r="N26" s="76">
        <f t="shared" si="7"/>
        <v>3.9467507999999998</v>
      </c>
      <c r="O26" s="76">
        <f>N26/20</f>
        <v>0.19733753999999998</v>
      </c>
      <c r="P26" s="76">
        <f t="shared" si="3"/>
        <v>1.4095538571428571E-2</v>
      </c>
      <c r="Q26" s="76">
        <f t="shared" si="4"/>
        <v>1.4095538571428571E-2</v>
      </c>
      <c r="R26" s="76">
        <f t="shared" si="5"/>
        <v>0.87392339142857134</v>
      </c>
      <c r="S26" s="131"/>
      <c r="T26" s="103"/>
      <c r="U26" s="113"/>
    </row>
    <row r="27" spans="2:27" x14ac:dyDescent="0.15">
      <c r="B27" s="207"/>
      <c r="C27" s="249"/>
      <c r="D27" s="216"/>
      <c r="E27" s="253"/>
      <c r="F27" s="104" t="s">
        <v>105</v>
      </c>
      <c r="G27" s="255"/>
      <c r="H27" s="74">
        <f>0.683-G26</f>
        <v>0.60933333333333339</v>
      </c>
      <c r="I27" s="76">
        <f>0.681-G26</f>
        <v>0.60733333333333339</v>
      </c>
      <c r="J27" s="76">
        <f>0.722-G26</f>
        <v>0.64833333333333332</v>
      </c>
      <c r="K27" s="76">
        <f t="shared" ref="K27:K28" si="18">7.2021*H27</f>
        <v>4.3884796000000001</v>
      </c>
      <c r="L27" s="76">
        <f t="shared" si="17"/>
        <v>4.3740754000000006</v>
      </c>
      <c r="M27" s="76">
        <f t="shared" si="17"/>
        <v>4.6693614999999999</v>
      </c>
      <c r="N27" s="76">
        <f t="shared" si="7"/>
        <v>4.4773054999999999</v>
      </c>
      <c r="O27" s="76">
        <f>N27/20</f>
        <v>0.223865275</v>
      </c>
      <c r="P27" s="76">
        <f t="shared" si="3"/>
        <v>1.5990376785714286E-2</v>
      </c>
      <c r="Q27" s="76">
        <f t="shared" si="4"/>
        <v>1.5990376785714286E-2</v>
      </c>
      <c r="R27" s="76">
        <f t="shared" si="5"/>
        <v>0.9914033607142857</v>
      </c>
      <c r="S27" s="127"/>
      <c r="T27" s="56"/>
      <c r="U27" s="73"/>
    </row>
    <row r="28" spans="2:27" x14ac:dyDescent="0.15">
      <c r="B28" s="208"/>
      <c r="C28" s="250"/>
      <c r="D28" s="217"/>
      <c r="E28" s="254"/>
      <c r="F28" s="151" t="s">
        <v>106</v>
      </c>
      <c r="G28" s="256"/>
      <c r="H28" s="74">
        <f>0.619-G26</f>
        <v>0.54533333333333334</v>
      </c>
      <c r="I28" s="76">
        <f>0.616-G26</f>
        <v>0.54233333333333333</v>
      </c>
      <c r="J28" s="76">
        <f>0.62-G26</f>
        <v>0.54633333333333334</v>
      </c>
      <c r="K28" s="76">
        <f t="shared" si="18"/>
        <v>3.9275452</v>
      </c>
      <c r="L28" s="76">
        <f t="shared" si="17"/>
        <v>3.9059388999999998</v>
      </c>
      <c r="M28" s="76">
        <f t="shared" si="17"/>
        <v>3.9347472999999997</v>
      </c>
      <c r="N28" s="76">
        <f t="shared" si="7"/>
        <v>3.9227437999999997</v>
      </c>
      <c r="O28" s="76">
        <f>N28/20</f>
        <v>0.19613718999999999</v>
      </c>
      <c r="P28" s="76">
        <f t="shared" si="3"/>
        <v>1.4009799285714285E-2</v>
      </c>
      <c r="Q28" s="76">
        <f t="shared" si="4"/>
        <v>1.4009799285714285E-2</v>
      </c>
      <c r="R28" s="76">
        <f t="shared" si="5"/>
        <v>0.86860755571428572</v>
      </c>
      <c r="S28" s="130">
        <f>AVERAGE(R26:R28)</f>
        <v>0.91131143595238084</v>
      </c>
      <c r="T28" s="76">
        <f>STDEV(R26:R27)</f>
        <v>8.3070882935515955E-2</v>
      </c>
      <c r="U28" s="75">
        <f>T28/SQRT(3)</f>
        <v>4.7960996624640026E-2</v>
      </c>
    </row>
    <row r="29" spans="2:27" x14ac:dyDescent="0.15">
      <c r="B29" s="264" t="s">
        <v>39</v>
      </c>
      <c r="C29" s="265">
        <v>0.47916666666666669</v>
      </c>
      <c r="D29" s="215">
        <v>409.5</v>
      </c>
      <c r="E29" s="266">
        <v>18</v>
      </c>
      <c r="F29" s="104" t="s">
        <v>104</v>
      </c>
      <c r="G29" s="257">
        <v>6.9666666666666668E-2</v>
      </c>
      <c r="H29" s="74">
        <f>0.462-G29</f>
        <v>0.39233333333333337</v>
      </c>
      <c r="I29" s="76">
        <f>0.477-G29</f>
        <v>0.40733333333333333</v>
      </c>
      <c r="J29" s="76">
        <f>0.493-G29</f>
        <v>0.42333333333333334</v>
      </c>
      <c r="K29" s="76">
        <f>8.5378*H29</f>
        <v>3.349663533333334</v>
      </c>
      <c r="L29" s="76">
        <f t="shared" ref="L29:M31" si="19">8.5378*I29</f>
        <v>3.4777305333333337</v>
      </c>
      <c r="M29" s="76">
        <f t="shared" si="19"/>
        <v>3.6143353333333339</v>
      </c>
      <c r="N29" s="76">
        <f t="shared" si="7"/>
        <v>3.4805764666666672</v>
      </c>
      <c r="O29" s="76">
        <f t="shared" ref="O29:O31" si="20">N29/20</f>
        <v>0.17402882333333336</v>
      </c>
      <c r="P29" s="76">
        <f t="shared" si="3"/>
        <v>1.243063023809524E-2</v>
      </c>
      <c r="Q29" s="76">
        <f t="shared" si="4"/>
        <v>1.243063023809524E-2</v>
      </c>
      <c r="R29" s="76">
        <f t="shared" si="5"/>
        <v>0.7706990747619048</v>
      </c>
      <c r="S29" s="127"/>
      <c r="T29" s="56"/>
      <c r="U29" s="73"/>
    </row>
    <row r="30" spans="2:27" x14ac:dyDescent="0.15">
      <c r="B30" s="258"/>
      <c r="C30" s="249"/>
      <c r="D30" s="216"/>
      <c r="E30" s="253"/>
      <c r="F30" s="104" t="s">
        <v>105</v>
      </c>
      <c r="G30" s="255"/>
      <c r="H30" s="74">
        <f>0.486-G29</f>
        <v>0.41633333333333333</v>
      </c>
      <c r="I30" s="76">
        <f>0.519-G29</f>
        <v>0.44933333333333336</v>
      </c>
      <c r="J30" s="76">
        <f>0.547-G29</f>
        <v>0.47733333333333339</v>
      </c>
      <c r="K30" s="76">
        <f t="shared" ref="K30:K31" si="21">8.5378*H30</f>
        <v>3.5545707333333336</v>
      </c>
      <c r="L30" s="76">
        <f t="shared" si="19"/>
        <v>3.836318133333334</v>
      </c>
      <c r="M30" s="76">
        <f t="shared" si="19"/>
        <v>4.0753765333333343</v>
      </c>
      <c r="N30" s="76">
        <f t="shared" si="7"/>
        <v>3.822088466666667</v>
      </c>
      <c r="O30" s="76">
        <f t="shared" si="20"/>
        <v>0.19110442333333336</v>
      </c>
      <c r="P30" s="76">
        <f t="shared" si="3"/>
        <v>1.3650315952380953E-2</v>
      </c>
      <c r="Q30" s="76">
        <f t="shared" si="4"/>
        <v>1.3650315952380953E-2</v>
      </c>
      <c r="R30" s="76">
        <f t="shared" si="5"/>
        <v>0.84631958904761906</v>
      </c>
      <c r="S30" s="127"/>
      <c r="T30" s="56"/>
      <c r="U30" s="73"/>
    </row>
    <row r="31" spans="2:27" ht="14" thickBot="1" x14ac:dyDescent="0.2">
      <c r="B31" s="262"/>
      <c r="C31" s="263"/>
      <c r="D31" s="225"/>
      <c r="E31" s="260"/>
      <c r="F31" s="104" t="s">
        <v>106</v>
      </c>
      <c r="G31" s="261"/>
      <c r="H31" s="74">
        <f>0.513-G29</f>
        <v>0.44333333333333336</v>
      </c>
      <c r="I31" s="76">
        <f>0.485-G29</f>
        <v>0.41533333333333333</v>
      </c>
      <c r="J31" s="76">
        <f>0.501-G29</f>
        <v>0.43133333333333335</v>
      </c>
      <c r="K31" s="76">
        <f t="shared" si="21"/>
        <v>3.7850913333333338</v>
      </c>
      <c r="L31" s="76">
        <f t="shared" si="19"/>
        <v>3.5460329333333336</v>
      </c>
      <c r="M31" s="76">
        <f t="shared" si="19"/>
        <v>3.6826377333333338</v>
      </c>
      <c r="N31" s="76">
        <f t="shared" si="7"/>
        <v>3.6712540000000007</v>
      </c>
      <c r="O31" s="76">
        <f t="shared" si="20"/>
        <v>0.18356270000000002</v>
      </c>
      <c r="P31" s="76">
        <f t="shared" si="3"/>
        <v>1.311162142857143E-2</v>
      </c>
      <c r="Q31" s="76">
        <f t="shared" si="4"/>
        <v>1.311162142857143E-2</v>
      </c>
      <c r="R31" s="76">
        <f t="shared" si="5"/>
        <v>0.81292052857142871</v>
      </c>
      <c r="S31" s="128">
        <f>AVERAGE(R29:R31)</f>
        <v>0.80997973079365082</v>
      </c>
      <c r="T31" s="76">
        <f>STDEV(R29:R31)</f>
        <v>3.7895933342329963E-2</v>
      </c>
      <c r="U31" s="75">
        <f>T31/SQRT(3)</f>
        <v>2.1879227316386321E-2</v>
      </c>
    </row>
    <row r="32" spans="2:27" ht="17" thickBot="1" x14ac:dyDescent="0.2">
      <c r="B32" s="270" t="s">
        <v>69</v>
      </c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2"/>
    </row>
    <row r="33" spans="2:29" ht="30" x14ac:dyDescent="0.15">
      <c r="B33" s="120" t="s">
        <v>0</v>
      </c>
      <c r="C33" s="64" t="s">
        <v>1</v>
      </c>
      <c r="D33" s="64" t="s">
        <v>2</v>
      </c>
      <c r="E33" s="123" t="s">
        <v>17</v>
      </c>
      <c r="F33" s="122"/>
      <c r="G33" s="122" t="s">
        <v>18</v>
      </c>
      <c r="H33" s="274" t="s">
        <v>107</v>
      </c>
      <c r="I33" s="275"/>
      <c r="J33" s="275"/>
      <c r="K33" s="276" t="s">
        <v>99</v>
      </c>
      <c r="L33" s="276"/>
      <c r="M33" s="276"/>
      <c r="N33" s="64" t="s">
        <v>19</v>
      </c>
      <c r="O33" s="64" t="s">
        <v>20</v>
      </c>
      <c r="P33" s="64" t="s">
        <v>20</v>
      </c>
      <c r="Q33" s="64" t="s">
        <v>97</v>
      </c>
      <c r="R33" s="123" t="s">
        <v>97</v>
      </c>
      <c r="S33" s="64" t="s">
        <v>98</v>
      </c>
      <c r="T33" s="64" t="s">
        <v>86</v>
      </c>
      <c r="U33" s="121" t="s">
        <v>62</v>
      </c>
      <c r="W33" s="56" t="s">
        <v>2</v>
      </c>
      <c r="X33" s="72" t="str">
        <f>S33</f>
        <v>Average NO3 concentration</v>
      </c>
      <c r="Y33" s="72" t="str">
        <f>U33</f>
        <v>Standard error</v>
      </c>
      <c r="Z33" s="56"/>
      <c r="AA33" s="124"/>
      <c r="AB33" s="124"/>
      <c r="AC33" s="124"/>
    </row>
    <row r="34" spans="2:29" ht="14" x14ac:dyDescent="0.15">
      <c r="B34" s="125"/>
      <c r="C34" s="156"/>
      <c r="D34" s="155"/>
      <c r="E34" s="155"/>
      <c r="F34" s="126"/>
      <c r="G34" s="126"/>
      <c r="H34" s="162" t="s">
        <v>102</v>
      </c>
      <c r="I34" s="162" t="s">
        <v>103</v>
      </c>
      <c r="J34" s="162" t="s">
        <v>108</v>
      </c>
      <c r="K34" s="70"/>
      <c r="L34" s="70"/>
      <c r="M34" s="70"/>
      <c r="N34" s="70" t="s">
        <v>21</v>
      </c>
      <c r="O34" s="70" t="s">
        <v>15</v>
      </c>
      <c r="P34" s="70" t="s">
        <v>22</v>
      </c>
      <c r="Q34" s="70" t="s">
        <v>22</v>
      </c>
      <c r="R34" s="69" t="s">
        <v>15</v>
      </c>
      <c r="S34" s="70" t="s">
        <v>15</v>
      </c>
      <c r="T34" s="70"/>
      <c r="U34" s="68"/>
      <c r="W34" s="56">
        <v>0</v>
      </c>
      <c r="X34" s="76">
        <f>S37</f>
        <v>1.5414434833333333</v>
      </c>
      <c r="Y34" s="76">
        <f>U37</f>
        <v>9.4657738761173629E-3</v>
      </c>
      <c r="Z34" s="76"/>
      <c r="AA34" s="124"/>
      <c r="AB34" s="124"/>
      <c r="AC34" s="124"/>
    </row>
    <row r="35" spans="2:29" ht="14" x14ac:dyDescent="0.15">
      <c r="B35" s="251" t="s">
        <v>23</v>
      </c>
      <c r="C35" s="249">
        <v>0.45833333333333331</v>
      </c>
      <c r="D35" s="216">
        <v>0</v>
      </c>
      <c r="E35" s="253">
        <v>1</v>
      </c>
      <c r="F35" s="104" t="s">
        <v>104</v>
      </c>
      <c r="G35" s="257">
        <f>(0.076+0.073)/2</f>
        <v>7.4499999999999997E-2</v>
      </c>
      <c r="H35" s="132">
        <f>1.013-G35</f>
        <v>0.93849999999999989</v>
      </c>
      <c r="I35" s="133">
        <f>1.025-G35</f>
        <v>0.9504999999999999</v>
      </c>
      <c r="J35" s="133">
        <f>1.021-G35</f>
        <v>0.9464999999999999</v>
      </c>
      <c r="K35" s="76">
        <f>5.5045*H35</f>
        <v>5.1659732499999995</v>
      </c>
      <c r="L35" s="76">
        <f t="shared" ref="L35:M37" si="22">5.5045*I35</f>
        <v>5.2320272499999998</v>
      </c>
      <c r="M35" s="76">
        <f t="shared" si="22"/>
        <v>5.2100092499999997</v>
      </c>
      <c r="N35" s="76">
        <f>AVERAGE(K35:M35)</f>
        <v>5.2026699166666655</v>
      </c>
      <c r="O35" s="76">
        <f>N35/15</f>
        <v>0.34684466111111101</v>
      </c>
      <c r="P35" s="76">
        <f>O35/14</f>
        <v>2.4774618650793643E-2</v>
      </c>
      <c r="Q35" s="76">
        <f>P35</f>
        <v>2.4774618650793643E-2</v>
      </c>
      <c r="R35" s="76">
        <f>Q35*62</f>
        <v>1.5360263563492058</v>
      </c>
      <c r="S35" s="127"/>
      <c r="T35" s="56"/>
      <c r="U35" s="73"/>
      <c r="W35" s="56">
        <f>D38</f>
        <v>49</v>
      </c>
      <c r="X35" s="76">
        <f>S40</f>
        <v>1.5311673195767195</v>
      </c>
      <c r="Y35" s="76">
        <f>U40</f>
        <v>8.9210513008752424E-3</v>
      </c>
      <c r="Z35" s="76"/>
      <c r="AA35" s="124"/>
      <c r="AB35" s="124"/>
      <c r="AC35" s="124"/>
    </row>
    <row r="36" spans="2:29" ht="14" x14ac:dyDescent="0.15">
      <c r="B36" s="251"/>
      <c r="C36" s="249"/>
      <c r="D36" s="216"/>
      <c r="E36" s="253"/>
      <c r="F36" s="104" t="s">
        <v>105</v>
      </c>
      <c r="G36" s="255"/>
      <c r="H36" s="74">
        <f>0.998-G35</f>
        <v>0.92349999999999999</v>
      </c>
      <c r="I36" s="76">
        <f>1.022-G35</f>
        <v>0.94750000000000001</v>
      </c>
      <c r="J36" s="76">
        <f>1.025-G35</f>
        <v>0.9504999999999999</v>
      </c>
      <c r="K36" s="76">
        <f t="shared" ref="K36:K37" si="23">5.5045*H36</f>
        <v>5.0834057499999998</v>
      </c>
      <c r="L36" s="76">
        <f t="shared" si="22"/>
        <v>5.2155137500000004</v>
      </c>
      <c r="M36" s="76">
        <f t="shared" si="22"/>
        <v>5.2320272499999998</v>
      </c>
      <c r="N36" s="76">
        <f>AVERAGE(K36:M36)</f>
        <v>5.17698225</v>
      </c>
      <c r="O36" s="76">
        <f t="shared" ref="O36:O55" si="24">N36/15</f>
        <v>0.34513215000000003</v>
      </c>
      <c r="P36" s="76">
        <f t="shared" ref="P36:P61" si="25">O36/14</f>
        <v>2.4652296428571429E-2</v>
      </c>
      <c r="Q36" s="76">
        <f t="shared" ref="Q36:Q61" si="26">P36</f>
        <v>2.4652296428571429E-2</v>
      </c>
      <c r="R36" s="76">
        <f t="shared" ref="R36:R61" si="27">Q36*62</f>
        <v>1.5284423785714285</v>
      </c>
      <c r="S36" s="127"/>
      <c r="T36" s="56"/>
      <c r="U36" s="73"/>
      <c r="W36" s="56">
        <f>D41</f>
        <v>95.5</v>
      </c>
      <c r="X36" s="76">
        <f>S43</f>
        <v>1.4253971074074077</v>
      </c>
      <c r="Y36" s="76">
        <f>U43</f>
        <v>1.5197278254188493E-2</v>
      </c>
      <c r="Z36" s="76"/>
      <c r="AA36" s="124"/>
      <c r="AB36" s="124"/>
      <c r="AC36" s="124"/>
    </row>
    <row r="37" spans="2:29" ht="14" x14ac:dyDescent="0.15">
      <c r="B37" s="252"/>
      <c r="C37" s="250"/>
      <c r="D37" s="217"/>
      <c r="E37" s="254"/>
      <c r="F37" s="151" t="s">
        <v>106</v>
      </c>
      <c r="G37" s="256"/>
      <c r="H37" s="74">
        <f>1.015-G35</f>
        <v>0.94049999999999989</v>
      </c>
      <c r="I37" s="76">
        <f>1.056-G35</f>
        <v>0.98150000000000004</v>
      </c>
      <c r="J37" s="76">
        <f>1.032-G35</f>
        <v>0.95750000000000002</v>
      </c>
      <c r="K37" s="76">
        <f t="shared" si="23"/>
        <v>5.17698225</v>
      </c>
      <c r="L37" s="76">
        <f t="shared" si="22"/>
        <v>5.4026667500000007</v>
      </c>
      <c r="M37" s="76">
        <f t="shared" si="22"/>
        <v>5.2705587500000002</v>
      </c>
      <c r="N37" s="76">
        <f>AVERAGE(K37:M37)</f>
        <v>5.2834025833333333</v>
      </c>
      <c r="O37" s="76">
        <f t="shared" si="24"/>
        <v>0.35222683888888889</v>
      </c>
      <c r="P37" s="76">
        <f t="shared" si="25"/>
        <v>2.515905992063492E-2</v>
      </c>
      <c r="Q37" s="76">
        <f t="shared" si="26"/>
        <v>2.515905992063492E-2</v>
      </c>
      <c r="R37" s="76">
        <f t="shared" si="27"/>
        <v>1.559861715079365</v>
      </c>
      <c r="S37" s="128">
        <f>AVERAGE(R35:R37)</f>
        <v>1.5414434833333333</v>
      </c>
      <c r="T37" s="76">
        <f>STDEV(R35:R37)</f>
        <v>1.6395201286393459E-2</v>
      </c>
      <c r="U37" s="75">
        <f>T37/SQRT(3)</f>
        <v>9.4657738761173629E-3</v>
      </c>
      <c r="W37" s="56">
        <f>D44</f>
        <v>143.5</v>
      </c>
      <c r="X37" s="76">
        <f>S46</f>
        <v>1.2801660996825397</v>
      </c>
      <c r="Y37" s="76">
        <f>U46</f>
        <v>1.4974649212091061E-2</v>
      </c>
      <c r="Z37" s="76"/>
      <c r="AA37" s="124"/>
      <c r="AB37" s="124"/>
      <c r="AC37" s="124"/>
    </row>
    <row r="38" spans="2:29" ht="14" x14ac:dyDescent="0.15">
      <c r="B38" s="264" t="s">
        <v>25</v>
      </c>
      <c r="C38" s="265">
        <v>0.5</v>
      </c>
      <c r="D38" s="215">
        <v>49</v>
      </c>
      <c r="E38" s="266">
        <v>3</v>
      </c>
      <c r="F38" s="104" t="s">
        <v>104</v>
      </c>
      <c r="G38" s="257">
        <v>7.2666666666666657E-2</v>
      </c>
      <c r="H38" s="92">
        <f>1-G38</f>
        <v>0.92733333333333334</v>
      </c>
      <c r="I38" s="96">
        <f>1.002-G38</f>
        <v>0.92933333333333334</v>
      </c>
      <c r="J38" s="96">
        <f>0.996-G38</f>
        <v>0.92333333333333334</v>
      </c>
      <c r="K38" s="76">
        <f>5.657*H38</f>
        <v>5.2459246666666663</v>
      </c>
      <c r="L38" s="76">
        <f t="shared" ref="L38:M40" si="28">5.657*I38</f>
        <v>5.2572386666666668</v>
      </c>
      <c r="M38" s="76">
        <f t="shared" si="28"/>
        <v>5.2232966666666671</v>
      </c>
      <c r="N38" s="76">
        <f t="shared" ref="N38:N61" si="29">AVERAGE(K38:M38)</f>
        <v>5.2421533333333334</v>
      </c>
      <c r="O38" s="76">
        <f t="shared" si="24"/>
        <v>0.34947688888888889</v>
      </c>
      <c r="P38" s="76">
        <f t="shared" si="25"/>
        <v>2.496263492063492E-2</v>
      </c>
      <c r="Q38" s="76">
        <f t="shared" si="26"/>
        <v>2.496263492063492E-2</v>
      </c>
      <c r="R38" s="76">
        <f t="shared" si="27"/>
        <v>1.5476833650793651</v>
      </c>
      <c r="S38" s="129"/>
      <c r="T38" s="96"/>
      <c r="U38" s="93"/>
      <c r="W38" s="56">
        <f>D47</f>
        <v>191.5</v>
      </c>
      <c r="X38" s="76">
        <f>S49</f>
        <v>1.2054823233862435</v>
      </c>
      <c r="Y38" s="76">
        <f>U49</f>
        <v>3.3215175957194538E-2</v>
      </c>
      <c r="Z38" s="76"/>
      <c r="AA38" s="124"/>
      <c r="AB38" s="124"/>
      <c r="AC38" s="124"/>
    </row>
    <row r="39" spans="2:29" ht="14" x14ac:dyDescent="0.15">
      <c r="B39" s="258"/>
      <c r="C39" s="249"/>
      <c r="D39" s="216"/>
      <c r="E39" s="253"/>
      <c r="F39" s="104" t="s">
        <v>105</v>
      </c>
      <c r="G39" s="255"/>
      <c r="H39" s="74">
        <f>0.956-G38</f>
        <v>0.8833333333333333</v>
      </c>
      <c r="I39" s="76">
        <f>0.994-G38</f>
        <v>0.92133333333333334</v>
      </c>
      <c r="J39" s="76">
        <f>0.993-G38</f>
        <v>0.92033333333333334</v>
      </c>
      <c r="K39" s="76">
        <f t="shared" ref="K39:K40" si="30">5.657*H39</f>
        <v>4.9970166666666662</v>
      </c>
      <c r="L39" s="76">
        <f t="shared" si="28"/>
        <v>5.2119826666666667</v>
      </c>
      <c r="M39" s="76">
        <f t="shared" si="28"/>
        <v>5.2063256666666664</v>
      </c>
      <c r="N39" s="76">
        <f t="shared" si="29"/>
        <v>5.1384416666666661</v>
      </c>
      <c r="O39" s="76">
        <f t="shared" si="24"/>
        <v>0.34256277777777772</v>
      </c>
      <c r="P39" s="76">
        <f t="shared" si="25"/>
        <v>2.4468769841269836E-2</v>
      </c>
      <c r="Q39" s="76">
        <f t="shared" si="26"/>
        <v>2.4468769841269836E-2</v>
      </c>
      <c r="R39" s="76">
        <f t="shared" si="27"/>
        <v>1.5170637301587298</v>
      </c>
      <c r="S39" s="128"/>
      <c r="T39" s="76"/>
      <c r="U39" s="75"/>
      <c r="W39" s="56">
        <f>D50</f>
        <v>263.5</v>
      </c>
      <c r="X39" s="76">
        <f>S52</f>
        <v>1.0519945657142857</v>
      </c>
      <c r="Y39" s="76">
        <f>U52</f>
        <v>1.7951387245605181E-2</v>
      </c>
      <c r="Z39" s="76"/>
      <c r="AA39" s="124"/>
      <c r="AB39" s="124"/>
      <c r="AC39" s="124"/>
    </row>
    <row r="40" spans="2:29" ht="14" x14ac:dyDescent="0.15">
      <c r="B40" s="259"/>
      <c r="C40" s="250"/>
      <c r="D40" s="217"/>
      <c r="E40" s="254"/>
      <c r="F40" s="151" t="s">
        <v>106</v>
      </c>
      <c r="G40" s="256"/>
      <c r="H40" s="74">
        <f>0.967-G38</f>
        <v>0.89433333333333331</v>
      </c>
      <c r="I40" s="76">
        <f>0.995-G38</f>
        <v>0.92233333333333334</v>
      </c>
      <c r="J40" s="76">
        <f>1.002-G38</f>
        <v>0.92933333333333334</v>
      </c>
      <c r="K40" s="76">
        <f t="shared" si="30"/>
        <v>5.0592436666666663</v>
      </c>
      <c r="L40" s="76">
        <f t="shared" si="28"/>
        <v>5.2176396666666669</v>
      </c>
      <c r="M40" s="76">
        <f t="shared" si="28"/>
        <v>5.2572386666666668</v>
      </c>
      <c r="N40" s="76">
        <f t="shared" si="29"/>
        <v>5.178040666666667</v>
      </c>
      <c r="O40" s="76">
        <f t="shared" si="24"/>
        <v>0.34520271111111112</v>
      </c>
      <c r="P40" s="76">
        <f t="shared" si="25"/>
        <v>2.4657336507936507E-2</v>
      </c>
      <c r="Q40" s="76">
        <f t="shared" si="26"/>
        <v>2.4657336507936507E-2</v>
      </c>
      <c r="R40" s="76">
        <f t="shared" si="27"/>
        <v>1.5287548634920634</v>
      </c>
      <c r="S40" s="130">
        <f>AVERAGE(R38:R40)</f>
        <v>1.5311673195767195</v>
      </c>
      <c r="T40" s="76">
        <f>STDEV(R38:R40)</f>
        <v>1.5451714110044345E-2</v>
      </c>
      <c r="U40" s="75">
        <f>T40/SQRT(3)</f>
        <v>8.9210513008752424E-3</v>
      </c>
      <c r="W40" s="56">
        <f>D53</f>
        <v>311.5</v>
      </c>
      <c r="X40" s="76">
        <f>S55</f>
        <v>1.005995939047619</v>
      </c>
      <c r="Y40" s="76">
        <f>U55</f>
        <v>1.0002107339769466E-2</v>
      </c>
      <c r="Z40" s="76"/>
      <c r="AA40" s="124"/>
      <c r="AB40" s="124"/>
      <c r="AC40" s="124"/>
    </row>
    <row r="41" spans="2:29" ht="14" x14ac:dyDescent="0.15">
      <c r="B41" s="206" t="s">
        <v>27</v>
      </c>
      <c r="C41" s="265">
        <v>0.4375</v>
      </c>
      <c r="D41" s="215">
        <v>95.5</v>
      </c>
      <c r="E41" s="266">
        <v>5</v>
      </c>
      <c r="F41" s="104" t="s">
        <v>104</v>
      </c>
      <c r="G41" s="257">
        <v>7.2666666666666671E-2</v>
      </c>
      <c r="H41" s="74">
        <f>0.926-G41</f>
        <v>0.85333333333333339</v>
      </c>
      <c r="I41" s="76">
        <f>0.958-G41</f>
        <v>0.88533333333333331</v>
      </c>
      <c r="J41" s="76">
        <f>0.948-G41</f>
        <v>0.8753333333333333</v>
      </c>
      <c r="K41" s="76">
        <f>5.6585*H41</f>
        <v>4.8285866666666672</v>
      </c>
      <c r="L41" s="76">
        <f t="shared" ref="L41:M43" si="31">5.6585*I41</f>
        <v>5.0096586666666667</v>
      </c>
      <c r="M41" s="76">
        <f t="shared" si="31"/>
        <v>4.9530736666666666</v>
      </c>
      <c r="N41" s="76">
        <f t="shared" si="29"/>
        <v>4.9304396666666666</v>
      </c>
      <c r="O41" s="76">
        <f t="shared" si="24"/>
        <v>0.32869597777777776</v>
      </c>
      <c r="P41" s="76">
        <f t="shared" si="25"/>
        <v>2.3478284126984127E-2</v>
      </c>
      <c r="Q41" s="76">
        <f t="shared" si="26"/>
        <v>2.3478284126984127E-2</v>
      </c>
      <c r="R41" s="76">
        <f t="shared" si="27"/>
        <v>1.4556536158730158</v>
      </c>
      <c r="S41" s="128"/>
      <c r="T41" s="76"/>
      <c r="U41" s="75"/>
      <c r="W41" s="56">
        <f>D56</f>
        <v>361</v>
      </c>
      <c r="X41" s="76">
        <f>S58</f>
        <v>0.90121134809523806</v>
      </c>
      <c r="Y41" s="76">
        <f>U58</f>
        <v>1.7623507583903044E-2</v>
      </c>
      <c r="Z41" s="76"/>
      <c r="AA41" s="124"/>
      <c r="AB41" s="124"/>
      <c r="AC41" s="124"/>
    </row>
    <row r="42" spans="2:29" ht="15" customHeight="1" x14ac:dyDescent="0.15">
      <c r="B42" s="207"/>
      <c r="C42" s="249"/>
      <c r="D42" s="216"/>
      <c r="E42" s="253"/>
      <c r="F42" s="104" t="s">
        <v>105</v>
      </c>
      <c r="G42" s="255"/>
      <c r="H42" s="74">
        <f>0.894-G41</f>
        <v>0.82133333333333336</v>
      </c>
      <c r="I42" s="76">
        <f>0.937-G41</f>
        <v>0.8643333333333334</v>
      </c>
      <c r="J42" s="76">
        <f>0.924-G41</f>
        <v>0.85133333333333339</v>
      </c>
      <c r="K42" s="76">
        <f t="shared" ref="K42:K43" si="32">5.6585*H42</f>
        <v>4.6475146666666669</v>
      </c>
      <c r="L42" s="76">
        <f t="shared" si="31"/>
        <v>4.8908301666666674</v>
      </c>
      <c r="M42" s="76">
        <f t="shared" si="31"/>
        <v>4.8172696666666672</v>
      </c>
      <c r="N42" s="76">
        <f t="shared" si="29"/>
        <v>4.7852048333333341</v>
      </c>
      <c r="O42" s="76">
        <f t="shared" si="24"/>
        <v>0.31901365555555561</v>
      </c>
      <c r="P42" s="76">
        <f t="shared" si="25"/>
        <v>2.2786689682539687E-2</v>
      </c>
      <c r="Q42" s="76">
        <f t="shared" si="26"/>
        <v>2.2786689682539687E-2</v>
      </c>
      <c r="R42" s="76">
        <f t="shared" si="27"/>
        <v>1.4127747603174605</v>
      </c>
      <c r="S42" s="128"/>
      <c r="T42" s="76"/>
      <c r="U42" s="75"/>
      <c r="W42" s="81">
        <f>D59</f>
        <v>409</v>
      </c>
      <c r="X42" s="76">
        <f>S61</f>
        <v>0.75746548476190478</v>
      </c>
      <c r="Y42" s="76">
        <f>U61</f>
        <v>3.7350589056485153E-2</v>
      </c>
      <c r="Z42" s="76"/>
      <c r="AA42" s="124"/>
      <c r="AB42" s="124"/>
      <c r="AC42" s="124"/>
    </row>
    <row r="43" spans="2:29" ht="15" customHeight="1" x14ac:dyDescent="0.15">
      <c r="B43" s="208"/>
      <c r="C43" s="250"/>
      <c r="D43" s="217"/>
      <c r="E43" s="254"/>
      <c r="F43" s="151" t="s">
        <v>106</v>
      </c>
      <c r="G43" s="256"/>
      <c r="H43" s="83">
        <f>0.904-G41</f>
        <v>0.83133333333333337</v>
      </c>
      <c r="I43" s="85">
        <f>0.926-G41</f>
        <v>0.85333333333333339</v>
      </c>
      <c r="J43" s="85">
        <f>0.916-G41</f>
        <v>0.84333333333333338</v>
      </c>
      <c r="K43" s="76">
        <f t="shared" si="32"/>
        <v>4.704099666666667</v>
      </c>
      <c r="L43" s="76">
        <f t="shared" si="31"/>
        <v>4.8285866666666672</v>
      </c>
      <c r="M43" s="76">
        <f t="shared" si="31"/>
        <v>4.7720016666666671</v>
      </c>
      <c r="N43" s="76">
        <f t="shared" si="29"/>
        <v>4.7682293333333341</v>
      </c>
      <c r="O43" s="76">
        <f t="shared" si="24"/>
        <v>0.3178819555555556</v>
      </c>
      <c r="P43" s="76">
        <f t="shared" si="25"/>
        <v>2.2705853968253972E-2</v>
      </c>
      <c r="Q43" s="76">
        <f t="shared" si="26"/>
        <v>2.2705853968253972E-2</v>
      </c>
      <c r="R43" s="76">
        <f t="shared" si="27"/>
        <v>1.4077629460317462</v>
      </c>
      <c r="S43" s="130">
        <f>AVERAGE(R41:R43)</f>
        <v>1.4253971074074077</v>
      </c>
      <c r="T43" s="85">
        <f>STDEV(R41:R43)</f>
        <v>2.6322458073016114E-2</v>
      </c>
      <c r="U43" s="84">
        <f>T43/SQRT(3)</f>
        <v>1.5197278254188493E-2</v>
      </c>
      <c r="W43" s="81"/>
      <c r="X43" s="76"/>
      <c r="Y43" s="76"/>
      <c r="Z43" s="76"/>
      <c r="AA43" s="124"/>
      <c r="AB43" s="124"/>
      <c r="AC43" s="124"/>
    </row>
    <row r="44" spans="2:29" ht="14" x14ac:dyDescent="0.15">
      <c r="B44" s="264" t="s">
        <v>29</v>
      </c>
      <c r="C44" s="265">
        <v>0.4375</v>
      </c>
      <c r="D44" s="215">
        <v>143.5</v>
      </c>
      <c r="E44" s="266">
        <v>7</v>
      </c>
      <c r="F44" s="104" t="s">
        <v>104</v>
      </c>
      <c r="G44" s="257">
        <v>7.6499999999999999E-2</v>
      </c>
      <c r="H44" s="74">
        <f>0.857-G44</f>
        <v>0.78049999999999997</v>
      </c>
      <c r="I44" s="76">
        <f>0.853-G44</f>
        <v>0.77649999999999997</v>
      </c>
      <c r="J44" s="76">
        <f>0.861-G44</f>
        <v>0.78449999999999998</v>
      </c>
      <c r="K44" s="76">
        <f>5.6668*H44</f>
        <v>4.4229374000000004</v>
      </c>
      <c r="L44" s="76">
        <f t="shared" ref="L44:M46" si="33">5.6668*I44</f>
        <v>4.4002702000000005</v>
      </c>
      <c r="M44" s="76">
        <f t="shared" si="33"/>
        <v>4.4456046000000002</v>
      </c>
      <c r="N44" s="76">
        <f t="shared" si="29"/>
        <v>4.4229373999999995</v>
      </c>
      <c r="O44" s="76">
        <f t="shared" si="24"/>
        <v>0.29486249333333331</v>
      </c>
      <c r="P44" s="76">
        <f t="shared" si="25"/>
        <v>2.1061606666666666E-2</v>
      </c>
      <c r="Q44" s="76">
        <f t="shared" si="26"/>
        <v>2.1061606666666666E-2</v>
      </c>
      <c r="R44" s="76">
        <f t="shared" si="27"/>
        <v>1.3058196133333333</v>
      </c>
      <c r="S44" s="127"/>
      <c r="T44" s="56"/>
      <c r="U44" s="73"/>
      <c r="W44" s="124"/>
      <c r="X44" s="6"/>
      <c r="Y44" s="6"/>
    </row>
    <row r="45" spans="2:29" ht="14" x14ac:dyDescent="0.15">
      <c r="B45" s="258"/>
      <c r="C45" s="249"/>
      <c r="D45" s="216"/>
      <c r="E45" s="253"/>
      <c r="F45" s="104" t="s">
        <v>105</v>
      </c>
      <c r="G45" s="255"/>
      <c r="H45" s="74">
        <f>0.821-G44</f>
        <v>0.74449999999999994</v>
      </c>
      <c r="I45" s="76">
        <f>0.83-G44</f>
        <v>0.75349999999999995</v>
      </c>
      <c r="J45" s="76">
        <f>0.827-G44</f>
        <v>0.75049999999999994</v>
      </c>
      <c r="K45" s="76">
        <f t="shared" ref="K45:K46" si="34">5.6668*H45</f>
        <v>4.2189325999999996</v>
      </c>
      <c r="L45" s="76">
        <f t="shared" si="33"/>
        <v>4.2699337999999996</v>
      </c>
      <c r="M45" s="76">
        <f t="shared" si="33"/>
        <v>4.2529333999999999</v>
      </c>
      <c r="N45" s="76">
        <f t="shared" si="29"/>
        <v>4.2472665999999997</v>
      </c>
      <c r="O45" s="76">
        <f t="shared" si="24"/>
        <v>0.28315110666666665</v>
      </c>
      <c r="P45" s="76">
        <f t="shared" si="25"/>
        <v>2.0225079047619048E-2</v>
      </c>
      <c r="Q45" s="76">
        <f t="shared" si="26"/>
        <v>2.0225079047619048E-2</v>
      </c>
      <c r="R45" s="76">
        <f t="shared" si="27"/>
        <v>1.2539549009523809</v>
      </c>
      <c r="S45" s="127"/>
      <c r="T45" s="56"/>
      <c r="U45" s="73"/>
      <c r="W45" s="6"/>
      <c r="X45" s="6"/>
      <c r="Y45" s="6"/>
    </row>
    <row r="46" spans="2:29" ht="14" x14ac:dyDescent="0.15">
      <c r="B46" s="259"/>
      <c r="C46" s="250"/>
      <c r="D46" s="217"/>
      <c r="E46" s="254"/>
      <c r="F46" s="151" t="s">
        <v>106</v>
      </c>
      <c r="G46" s="256"/>
      <c r="H46" s="74">
        <f>0.826-G44</f>
        <v>0.74949999999999994</v>
      </c>
      <c r="I46" s="76">
        <f>0.846-G44</f>
        <v>0.76949999999999996</v>
      </c>
      <c r="J46" s="76">
        <f>0.854-G44</f>
        <v>0.77749999999999997</v>
      </c>
      <c r="K46" s="76">
        <f t="shared" si="34"/>
        <v>4.2472665999999997</v>
      </c>
      <c r="L46" s="76">
        <f t="shared" si="33"/>
        <v>4.3606026</v>
      </c>
      <c r="M46" s="76">
        <f t="shared" si="33"/>
        <v>4.4059369999999998</v>
      </c>
      <c r="N46" s="76">
        <f t="shared" si="29"/>
        <v>4.3379354000000001</v>
      </c>
      <c r="O46" s="76">
        <f t="shared" si="24"/>
        <v>0.28919569333333334</v>
      </c>
      <c r="P46" s="76">
        <f t="shared" si="25"/>
        <v>2.065683523809524E-2</v>
      </c>
      <c r="Q46" s="76">
        <f t="shared" si="26"/>
        <v>2.065683523809524E-2</v>
      </c>
      <c r="R46" s="76">
        <f t="shared" si="27"/>
        <v>1.2807237847619048</v>
      </c>
      <c r="S46" s="130">
        <f>AVERAGE(R44:R46)</f>
        <v>1.2801660996825397</v>
      </c>
      <c r="T46" s="76">
        <f>STDEV(R44:R46)</f>
        <v>2.5936853260862973E-2</v>
      </c>
      <c r="U46" s="75">
        <f>T46/SQRT(3)</f>
        <v>1.4974649212091061E-2</v>
      </c>
      <c r="W46" s="6"/>
      <c r="X46" s="6"/>
      <c r="Y46" s="6"/>
    </row>
    <row r="47" spans="2:29" ht="14" x14ac:dyDescent="0.15">
      <c r="B47" s="206" t="s">
        <v>31</v>
      </c>
      <c r="C47" s="265">
        <v>0.4375</v>
      </c>
      <c r="D47" s="215">
        <v>191.5</v>
      </c>
      <c r="E47" s="266">
        <v>9</v>
      </c>
      <c r="F47" s="104" t="s">
        <v>104</v>
      </c>
      <c r="G47" s="257">
        <v>8.2000000000000003E-2</v>
      </c>
      <c r="H47" s="74">
        <f>0.735-G47</f>
        <v>0.65300000000000002</v>
      </c>
      <c r="I47" s="76">
        <f>0.729-G47</f>
        <v>0.64700000000000002</v>
      </c>
      <c r="J47" s="76">
        <f>0.717-G47</f>
        <v>0.63500000000000001</v>
      </c>
      <c r="K47" s="76">
        <f>6.0262*H47</f>
        <v>3.9351086000000004</v>
      </c>
      <c r="L47" s="76">
        <f t="shared" ref="L47:M49" si="35">6.0262*I47</f>
        <v>3.8989514000000001</v>
      </c>
      <c r="M47" s="76">
        <f t="shared" si="35"/>
        <v>3.8266370000000003</v>
      </c>
      <c r="N47" s="76">
        <f t="shared" si="29"/>
        <v>3.8868990000000001</v>
      </c>
      <c r="O47" s="76">
        <f t="shared" si="24"/>
        <v>0.25912659999999998</v>
      </c>
      <c r="P47" s="76">
        <f t="shared" si="25"/>
        <v>1.8509042857142857E-2</v>
      </c>
      <c r="Q47" s="76">
        <f t="shared" si="26"/>
        <v>1.8509042857142857E-2</v>
      </c>
      <c r="R47" s="76">
        <f t="shared" si="27"/>
        <v>1.1475606571428572</v>
      </c>
      <c r="S47" s="127"/>
      <c r="T47" s="56"/>
      <c r="U47" s="73"/>
      <c r="W47" s="6"/>
      <c r="X47" s="6"/>
      <c r="Y47" s="6"/>
    </row>
    <row r="48" spans="2:29" ht="14" x14ac:dyDescent="0.15">
      <c r="B48" s="207"/>
      <c r="C48" s="249"/>
      <c r="D48" s="216"/>
      <c r="E48" s="253"/>
      <c r="F48" s="104" t="s">
        <v>105</v>
      </c>
      <c r="G48" s="255"/>
      <c r="H48" s="74">
        <f>0.708-G47</f>
        <v>0.626</v>
      </c>
      <c r="I48" s="76">
        <f>0.785-G47</f>
        <v>0.70300000000000007</v>
      </c>
      <c r="J48" s="76">
        <f>0.787-G47</f>
        <v>0.70500000000000007</v>
      </c>
      <c r="K48" s="76">
        <f t="shared" ref="K48:K49" si="36">6.0262*H48</f>
        <v>3.7724012</v>
      </c>
      <c r="L48" s="76">
        <f t="shared" si="35"/>
        <v>4.2364186000000004</v>
      </c>
      <c r="M48" s="76">
        <f t="shared" si="35"/>
        <v>4.2484710000000003</v>
      </c>
      <c r="N48" s="76">
        <f t="shared" si="29"/>
        <v>4.0857636000000008</v>
      </c>
      <c r="O48" s="76">
        <f t="shared" si="24"/>
        <v>0.27238424000000006</v>
      </c>
      <c r="P48" s="76">
        <f t="shared" si="25"/>
        <v>1.9456017142857145E-2</v>
      </c>
      <c r="Q48" s="76">
        <f t="shared" si="26"/>
        <v>1.9456017142857145E-2</v>
      </c>
      <c r="R48" s="76">
        <f t="shared" si="27"/>
        <v>1.206273062857143</v>
      </c>
      <c r="S48" s="127"/>
      <c r="T48" s="56"/>
      <c r="U48" s="73"/>
      <c r="W48" s="6"/>
      <c r="X48" s="6"/>
      <c r="Y48" s="6"/>
    </row>
    <row r="49" spans="2:29" ht="14" x14ac:dyDescent="0.15">
      <c r="B49" s="208"/>
      <c r="C49" s="250"/>
      <c r="D49" s="217"/>
      <c r="E49" s="254"/>
      <c r="F49" s="151" t="s">
        <v>106</v>
      </c>
      <c r="G49" s="256"/>
      <c r="H49" s="74">
        <f>0.778-G47</f>
        <v>0.69600000000000006</v>
      </c>
      <c r="I49" s="76">
        <f>0.793-G47</f>
        <v>0.71100000000000008</v>
      </c>
      <c r="J49" s="76">
        <f>0.804-G47</f>
        <v>0.72200000000000009</v>
      </c>
      <c r="K49" s="76">
        <f t="shared" si="36"/>
        <v>4.1942352000000005</v>
      </c>
      <c r="L49" s="76">
        <f t="shared" si="35"/>
        <v>4.2846282000000002</v>
      </c>
      <c r="M49" s="76">
        <f t="shared" si="35"/>
        <v>4.3509164000000009</v>
      </c>
      <c r="N49" s="76">
        <f t="shared" si="29"/>
        <v>4.2765932666666675</v>
      </c>
      <c r="O49" s="76">
        <f t="shared" si="24"/>
        <v>0.28510621777777784</v>
      </c>
      <c r="P49" s="76">
        <f t="shared" si="25"/>
        <v>2.0364729841269847E-2</v>
      </c>
      <c r="Q49" s="76">
        <f t="shared" si="26"/>
        <v>2.0364729841269847E-2</v>
      </c>
      <c r="R49" s="76">
        <f t="shared" si="27"/>
        <v>1.2626132501587306</v>
      </c>
      <c r="S49" s="128">
        <f>AVERAGE(R47:R49)</f>
        <v>1.2054823233862435</v>
      </c>
      <c r="T49" s="76">
        <f>STDEV(R47:R49)</f>
        <v>5.7530372340201155E-2</v>
      </c>
      <c r="U49" s="75">
        <f>T49/SQRT(3)</f>
        <v>3.3215175957194538E-2</v>
      </c>
      <c r="W49" s="6"/>
      <c r="X49" s="6"/>
      <c r="Y49" s="6"/>
    </row>
    <row r="50" spans="2:29" ht="14" x14ac:dyDescent="0.15">
      <c r="B50" s="206" t="s">
        <v>33</v>
      </c>
      <c r="C50" s="265">
        <v>0.4375</v>
      </c>
      <c r="D50" s="215">
        <v>263.5</v>
      </c>
      <c r="E50" s="266">
        <v>12</v>
      </c>
      <c r="F50" s="104" t="s">
        <v>104</v>
      </c>
      <c r="G50" s="257">
        <v>7.9000000000000001E-2</v>
      </c>
      <c r="H50" s="92">
        <f>0.689-G50</f>
        <v>0.61</v>
      </c>
      <c r="I50" s="96">
        <f>0.668-G50</f>
        <v>0.58900000000000008</v>
      </c>
      <c r="J50" s="96">
        <f>0.629-G50</f>
        <v>0.55000000000000004</v>
      </c>
      <c r="K50" s="76">
        <f>6.0702*H50</f>
        <v>3.7028219999999998</v>
      </c>
      <c r="L50" s="76">
        <f t="shared" ref="L50:M55" si="37">6.0702*I50</f>
        <v>3.5753478000000003</v>
      </c>
      <c r="M50" s="76">
        <f t="shared" si="37"/>
        <v>3.3386100000000001</v>
      </c>
      <c r="N50" s="76">
        <f t="shared" si="29"/>
        <v>3.5389265999999999</v>
      </c>
      <c r="O50" s="76">
        <f t="shared" si="24"/>
        <v>0.23592843999999999</v>
      </c>
      <c r="P50" s="76">
        <f t="shared" si="25"/>
        <v>1.6852031428571428E-2</v>
      </c>
      <c r="Q50" s="76">
        <f t="shared" si="26"/>
        <v>1.6852031428571428E-2</v>
      </c>
      <c r="R50" s="76">
        <f t="shared" si="27"/>
        <v>1.0448259485714286</v>
      </c>
      <c r="S50" s="129"/>
      <c r="T50" s="96"/>
      <c r="U50" s="93"/>
      <c r="W50" s="6"/>
      <c r="X50" s="6"/>
      <c r="Y50" s="6"/>
    </row>
    <row r="51" spans="2:29" ht="14" x14ac:dyDescent="0.15">
      <c r="B51" s="207"/>
      <c r="C51" s="249"/>
      <c r="D51" s="216"/>
      <c r="E51" s="253"/>
      <c r="F51" s="104" t="s">
        <v>105</v>
      </c>
      <c r="G51" s="255"/>
      <c r="H51" s="74">
        <f>0.673-G50</f>
        <v>0.59400000000000008</v>
      </c>
      <c r="I51" s="76">
        <f>0.689-G50</f>
        <v>0.61</v>
      </c>
      <c r="J51" s="76">
        <f>0.693-G50</f>
        <v>0.61399999999999999</v>
      </c>
      <c r="K51" s="76">
        <f t="shared" ref="K51:K55" si="38">6.0702*H51</f>
        <v>3.6056988000000003</v>
      </c>
      <c r="L51" s="76">
        <f t="shared" si="37"/>
        <v>3.7028219999999998</v>
      </c>
      <c r="M51" s="76">
        <f t="shared" si="37"/>
        <v>3.7271027999999999</v>
      </c>
      <c r="N51" s="76">
        <f t="shared" si="29"/>
        <v>3.6785412000000002</v>
      </c>
      <c r="O51" s="76">
        <f t="shared" si="24"/>
        <v>0.24523608000000002</v>
      </c>
      <c r="P51" s="76">
        <f t="shared" si="25"/>
        <v>1.7516862857142858E-2</v>
      </c>
      <c r="Q51" s="76">
        <f t="shared" si="26"/>
        <v>1.7516862857142858E-2</v>
      </c>
      <c r="R51" s="76">
        <f t="shared" si="27"/>
        <v>1.0860454971428573</v>
      </c>
      <c r="S51" s="128"/>
      <c r="T51" s="76"/>
      <c r="U51" s="75"/>
      <c r="W51" s="6"/>
      <c r="X51" s="6"/>
      <c r="Y51" s="6"/>
    </row>
    <row r="52" spans="2:29" ht="14" x14ac:dyDescent="0.15">
      <c r="B52" s="208"/>
      <c r="C52" s="250"/>
      <c r="D52" s="217"/>
      <c r="E52" s="254"/>
      <c r="F52" s="151" t="s">
        <v>106</v>
      </c>
      <c r="G52" s="256"/>
      <c r="H52" s="74">
        <f>0.679-G50</f>
        <v>0.60000000000000009</v>
      </c>
      <c r="I52" s="76">
        <f>0.642-G50</f>
        <v>0.56300000000000006</v>
      </c>
      <c r="J52" s="76">
        <f>0.632-G50</f>
        <v>0.55300000000000005</v>
      </c>
      <c r="K52" s="76">
        <f t="shared" si="38"/>
        <v>3.6421200000000002</v>
      </c>
      <c r="L52" s="76">
        <f t="shared" si="37"/>
        <v>3.4175226000000003</v>
      </c>
      <c r="M52" s="76">
        <f t="shared" si="37"/>
        <v>3.3568206000000003</v>
      </c>
      <c r="N52" s="76">
        <f t="shared" si="29"/>
        <v>3.4721544000000004</v>
      </c>
      <c r="O52" s="76">
        <f t="shared" si="24"/>
        <v>0.23147696000000004</v>
      </c>
      <c r="P52" s="76">
        <f t="shared" si="25"/>
        <v>1.6534068571428574E-2</v>
      </c>
      <c r="Q52" s="76">
        <f t="shared" si="26"/>
        <v>1.6534068571428574E-2</v>
      </c>
      <c r="R52" s="76">
        <f t="shared" si="27"/>
        <v>1.0251122514285715</v>
      </c>
      <c r="S52" s="130">
        <f>AVERAGE(R50:R52)</f>
        <v>1.0519945657142857</v>
      </c>
      <c r="T52" s="76">
        <f>STDEV(R50:R52)</f>
        <v>3.1092714775732094E-2</v>
      </c>
      <c r="U52" s="75">
        <f>T52/SQRT(3)</f>
        <v>1.7951387245605181E-2</v>
      </c>
      <c r="W52" s="6"/>
      <c r="X52" s="6"/>
      <c r="Y52" s="6"/>
    </row>
    <row r="53" spans="2:29" ht="14" x14ac:dyDescent="0.15">
      <c r="B53" s="206" t="s">
        <v>35</v>
      </c>
      <c r="C53" s="265">
        <v>0.4375</v>
      </c>
      <c r="D53" s="215">
        <v>311.5</v>
      </c>
      <c r="E53" s="266">
        <v>14</v>
      </c>
      <c r="F53" s="104" t="s">
        <v>104</v>
      </c>
      <c r="G53" s="257">
        <f>(0.085+0.069+0.079)/3</f>
        <v>7.7666666666666676E-2</v>
      </c>
      <c r="H53" s="74">
        <f>0.628-G53</f>
        <v>0.55033333333333334</v>
      </c>
      <c r="I53" s="76">
        <f>0.649-G53</f>
        <v>0.57133333333333336</v>
      </c>
      <c r="J53" s="76">
        <f>0.64-G53</f>
        <v>0.56233333333333335</v>
      </c>
      <c r="K53" s="76">
        <f t="shared" si="38"/>
        <v>3.3406333999999998</v>
      </c>
      <c r="L53" s="76">
        <f t="shared" si="37"/>
        <v>3.4681076000000002</v>
      </c>
      <c r="M53" s="76">
        <f t="shared" si="37"/>
        <v>3.4134758000000001</v>
      </c>
      <c r="N53" s="76">
        <f t="shared" si="29"/>
        <v>3.4074056000000001</v>
      </c>
      <c r="O53" s="76">
        <f t="shared" si="24"/>
        <v>0.22716037333333333</v>
      </c>
      <c r="P53" s="76">
        <f t="shared" si="25"/>
        <v>1.6225740952380951E-2</v>
      </c>
      <c r="Q53" s="76">
        <f t="shared" si="26"/>
        <v>1.6225740952380951E-2</v>
      </c>
      <c r="R53" s="76">
        <f t="shared" si="27"/>
        <v>1.005995939047619</v>
      </c>
      <c r="S53" s="128"/>
      <c r="T53" s="76"/>
      <c r="U53" s="75"/>
      <c r="W53" s="6"/>
      <c r="X53" s="6"/>
      <c r="Y53" s="6"/>
    </row>
    <row r="54" spans="2:29" x14ac:dyDescent="0.15">
      <c r="B54" s="207"/>
      <c r="C54" s="249"/>
      <c r="D54" s="216"/>
      <c r="E54" s="253"/>
      <c r="F54" s="104" t="s">
        <v>105</v>
      </c>
      <c r="G54" s="255"/>
      <c r="H54" s="74">
        <f>0.622-G53</f>
        <v>0.54433333333333334</v>
      </c>
      <c r="I54" s="76">
        <f>0.633-G53</f>
        <v>0.55533333333333335</v>
      </c>
      <c r="J54" s="76">
        <f>0.633-G53</f>
        <v>0.55533333333333335</v>
      </c>
      <c r="K54" s="76">
        <f t="shared" si="38"/>
        <v>3.3042121999999998</v>
      </c>
      <c r="L54" s="76">
        <f t="shared" si="37"/>
        <v>3.3709843999999998</v>
      </c>
      <c r="M54" s="76">
        <f t="shared" si="37"/>
        <v>3.3709843999999998</v>
      </c>
      <c r="N54" s="76">
        <f t="shared" si="29"/>
        <v>3.3487269999999998</v>
      </c>
      <c r="O54" s="76">
        <f t="shared" si="24"/>
        <v>0.22324846666666665</v>
      </c>
      <c r="P54" s="76">
        <f t="shared" si="25"/>
        <v>1.5946319047619045E-2</v>
      </c>
      <c r="Q54" s="76">
        <f t="shared" si="26"/>
        <v>1.5946319047619045E-2</v>
      </c>
      <c r="R54" s="76">
        <f t="shared" si="27"/>
        <v>0.98867178095238073</v>
      </c>
      <c r="S54" s="128"/>
      <c r="T54" s="76"/>
      <c r="U54" s="75"/>
    </row>
    <row r="55" spans="2:29" x14ac:dyDescent="0.15">
      <c r="B55" s="208"/>
      <c r="C55" s="250"/>
      <c r="D55" s="217"/>
      <c r="E55" s="254"/>
      <c r="F55" s="151" t="s">
        <v>106</v>
      </c>
      <c r="G55" s="256"/>
      <c r="H55" s="74">
        <f>0.635-G53</f>
        <v>0.55733333333333335</v>
      </c>
      <c r="I55" s="76">
        <f>0.652-G53</f>
        <v>0.57433333333333336</v>
      </c>
      <c r="J55" s="76">
        <f>0.659-G53</f>
        <v>0.58133333333333337</v>
      </c>
      <c r="K55" s="76">
        <f t="shared" si="38"/>
        <v>3.3831248</v>
      </c>
      <c r="L55" s="76">
        <f t="shared" si="37"/>
        <v>3.4863181999999999</v>
      </c>
      <c r="M55" s="76">
        <f t="shared" si="37"/>
        <v>3.5288096000000002</v>
      </c>
      <c r="N55" s="76">
        <f t="shared" si="29"/>
        <v>3.4660842000000005</v>
      </c>
      <c r="O55" s="76">
        <f t="shared" si="24"/>
        <v>0.23107228000000005</v>
      </c>
      <c r="P55" s="76">
        <f t="shared" si="25"/>
        <v>1.650516285714286E-2</v>
      </c>
      <c r="Q55" s="76">
        <f t="shared" si="26"/>
        <v>1.650516285714286E-2</v>
      </c>
      <c r="R55" s="76">
        <f t="shared" si="27"/>
        <v>1.0233200971428573</v>
      </c>
      <c r="S55" s="128">
        <f>AVERAGE(R53:R55)</f>
        <v>1.005995939047619</v>
      </c>
      <c r="T55" s="76">
        <f>STDEV(R53:R55)</f>
        <v>1.7324158095238296E-2</v>
      </c>
      <c r="U55" s="75">
        <f>T55/SQRT(3)</f>
        <v>1.0002107339769466E-2</v>
      </c>
    </row>
    <row r="56" spans="2:29" x14ac:dyDescent="0.15">
      <c r="B56" s="206" t="s">
        <v>37</v>
      </c>
      <c r="C56" s="265">
        <v>0.5</v>
      </c>
      <c r="D56" s="215">
        <v>361</v>
      </c>
      <c r="E56" s="266">
        <v>16</v>
      </c>
      <c r="F56" s="104" t="s">
        <v>104</v>
      </c>
      <c r="G56" s="257">
        <v>7.3666666666666672E-2</v>
      </c>
      <c r="H56" s="92">
        <f>0.649-G56</f>
        <v>0.57533333333333336</v>
      </c>
      <c r="I56" s="96">
        <f>0.666-G56</f>
        <v>0.59233333333333338</v>
      </c>
      <c r="J56" s="96">
        <f>0.65-G56</f>
        <v>0.57633333333333336</v>
      </c>
      <c r="K56" s="76">
        <f>7.2021*H56</f>
        <v>4.1436082000000001</v>
      </c>
      <c r="L56" s="76">
        <f t="shared" ref="L56:M58" si="39">7.2021*I56</f>
        <v>4.2660439000000006</v>
      </c>
      <c r="M56" s="76">
        <f t="shared" si="39"/>
        <v>4.1508102999999998</v>
      </c>
      <c r="N56" s="76">
        <f t="shared" si="29"/>
        <v>4.1868208000000005</v>
      </c>
      <c r="O56" s="76">
        <f>N56/20</f>
        <v>0.20934104000000003</v>
      </c>
      <c r="P56" s="76">
        <f t="shared" si="25"/>
        <v>1.4952931428571431E-2</v>
      </c>
      <c r="Q56" s="76">
        <f t="shared" si="26"/>
        <v>1.4952931428571431E-2</v>
      </c>
      <c r="R56" s="76">
        <f t="shared" si="27"/>
        <v>0.92708174857142867</v>
      </c>
      <c r="S56" s="131"/>
      <c r="T56" s="103"/>
      <c r="U56" s="113"/>
    </row>
    <row r="57" spans="2:29" x14ac:dyDescent="0.15">
      <c r="B57" s="207"/>
      <c r="C57" s="249"/>
      <c r="D57" s="216"/>
      <c r="E57" s="253"/>
      <c r="F57" s="104" t="s">
        <v>105</v>
      </c>
      <c r="G57" s="255"/>
      <c r="H57" s="74">
        <f>0.595-G56</f>
        <v>0.52133333333333332</v>
      </c>
      <c r="I57" s="76">
        <f>0.649-G56</f>
        <v>0.57533333333333336</v>
      </c>
      <c r="J57" s="76">
        <f>0.609-G56</f>
        <v>0.53533333333333333</v>
      </c>
      <c r="K57" s="76">
        <f t="shared" ref="K57:K58" si="40">7.2021*H57</f>
        <v>3.7546947999999998</v>
      </c>
      <c r="L57" s="76">
        <f t="shared" si="39"/>
        <v>4.1436082000000001</v>
      </c>
      <c r="M57" s="76">
        <f t="shared" si="39"/>
        <v>3.8555241999999996</v>
      </c>
      <c r="N57" s="76">
        <f t="shared" si="29"/>
        <v>3.9179423999999998</v>
      </c>
      <c r="O57" s="76">
        <f>N57/20</f>
        <v>0.19589711999999998</v>
      </c>
      <c r="P57" s="76">
        <f t="shared" si="25"/>
        <v>1.3992651428571427E-2</v>
      </c>
      <c r="Q57" s="76">
        <f t="shared" si="26"/>
        <v>1.3992651428571427E-2</v>
      </c>
      <c r="R57" s="76">
        <f t="shared" si="27"/>
        <v>0.86754438857142846</v>
      </c>
      <c r="S57" s="127"/>
      <c r="T57" s="56"/>
      <c r="U57" s="73"/>
    </row>
    <row r="58" spans="2:29" x14ac:dyDescent="0.15">
      <c r="B58" s="208"/>
      <c r="C58" s="250"/>
      <c r="D58" s="217"/>
      <c r="E58" s="254"/>
      <c r="F58" s="151" t="s">
        <v>106</v>
      </c>
      <c r="G58" s="256"/>
      <c r="H58" s="74">
        <f>0.641-G56</f>
        <v>0.56733333333333336</v>
      </c>
      <c r="I58" s="76">
        <f>0.645-G56</f>
        <v>0.57133333333333336</v>
      </c>
      <c r="J58" s="76">
        <f>0.645-G56</f>
        <v>0.57133333333333336</v>
      </c>
      <c r="K58" s="76">
        <f t="shared" si="40"/>
        <v>4.0859914000000002</v>
      </c>
      <c r="L58" s="76">
        <f t="shared" si="39"/>
        <v>4.1147998000000001</v>
      </c>
      <c r="M58" s="76">
        <f t="shared" si="39"/>
        <v>4.1147998000000001</v>
      </c>
      <c r="N58" s="76">
        <f t="shared" si="29"/>
        <v>4.1051970000000004</v>
      </c>
      <c r="O58" s="76">
        <f t="shared" ref="O58:O61" si="41">N58/20</f>
        <v>0.20525985000000002</v>
      </c>
      <c r="P58" s="76">
        <f t="shared" si="25"/>
        <v>1.4661417857142858E-2</v>
      </c>
      <c r="Q58" s="76">
        <f t="shared" si="26"/>
        <v>1.4661417857142858E-2</v>
      </c>
      <c r="R58" s="76">
        <f t="shared" si="27"/>
        <v>0.90900790714285717</v>
      </c>
      <c r="S58" s="130">
        <f>AVERAGE(R56:R58)</f>
        <v>0.90121134809523806</v>
      </c>
      <c r="T58" s="76">
        <f>STDEV(R56:R58)</f>
        <v>3.0524810542895499E-2</v>
      </c>
      <c r="U58" s="75">
        <f>T58/SQRT(3)</f>
        <v>1.7623507583903044E-2</v>
      </c>
    </row>
    <row r="59" spans="2:29" x14ac:dyDescent="0.15">
      <c r="B59" s="264" t="s">
        <v>39</v>
      </c>
      <c r="C59" s="265">
        <v>0.5</v>
      </c>
      <c r="D59" s="215">
        <v>409</v>
      </c>
      <c r="E59" s="266">
        <v>18</v>
      </c>
      <c r="F59" s="104" t="s">
        <v>104</v>
      </c>
      <c r="G59" s="257">
        <v>6.9666666666666668E-2</v>
      </c>
      <c r="H59" s="74">
        <f>0.478-G59</f>
        <v>0.40833333333333333</v>
      </c>
      <c r="I59" s="76">
        <f>0.492-G59</f>
        <v>0.42233333333333334</v>
      </c>
      <c r="J59" s="76">
        <f>0.483-G59</f>
        <v>0.41333333333333333</v>
      </c>
      <c r="K59" s="76">
        <f>8.5378*H59</f>
        <v>3.4862683333333337</v>
      </c>
      <c r="L59" s="76">
        <f t="shared" ref="L59:M61" si="42">8.5378*I59</f>
        <v>3.6057975333333339</v>
      </c>
      <c r="M59" s="76">
        <f t="shared" si="42"/>
        <v>3.5289573333333335</v>
      </c>
      <c r="N59" s="76">
        <f t="shared" si="29"/>
        <v>3.5403410666666666</v>
      </c>
      <c r="O59" s="76">
        <f t="shared" si="41"/>
        <v>0.17701705333333334</v>
      </c>
      <c r="P59" s="76">
        <f t="shared" si="25"/>
        <v>1.2644075238095239E-2</v>
      </c>
      <c r="Q59" s="76">
        <f t="shared" si="26"/>
        <v>1.2644075238095239E-2</v>
      </c>
      <c r="R59" s="76">
        <f t="shared" si="27"/>
        <v>0.78393266476190482</v>
      </c>
      <c r="S59" s="127"/>
      <c r="T59" s="56"/>
      <c r="U59" s="73"/>
    </row>
    <row r="60" spans="2:29" x14ac:dyDescent="0.15">
      <c r="B60" s="258"/>
      <c r="C60" s="249"/>
      <c r="D60" s="216"/>
      <c r="E60" s="253"/>
      <c r="F60" s="104" t="s">
        <v>105</v>
      </c>
      <c r="G60" s="255"/>
      <c r="H60" s="74">
        <f>0.474-G59</f>
        <v>0.40433333333333332</v>
      </c>
      <c r="I60" s="76">
        <f>0.499-G59</f>
        <v>0.42933333333333334</v>
      </c>
      <c r="J60" s="76">
        <f>0.513-G59</f>
        <v>0.44333333333333336</v>
      </c>
      <c r="K60" s="76">
        <f t="shared" ref="K60:K61" si="43">8.5378*H60</f>
        <v>3.4521171333333336</v>
      </c>
      <c r="L60" s="76">
        <f t="shared" si="42"/>
        <v>3.6655621333333337</v>
      </c>
      <c r="M60" s="76">
        <f t="shared" si="42"/>
        <v>3.7850913333333338</v>
      </c>
      <c r="N60" s="76">
        <f t="shared" si="29"/>
        <v>3.6342568666666666</v>
      </c>
      <c r="O60" s="76">
        <f t="shared" si="41"/>
        <v>0.18171284333333332</v>
      </c>
      <c r="P60" s="76">
        <f t="shared" si="25"/>
        <v>1.2979488809523808E-2</v>
      </c>
      <c r="Q60" s="76">
        <f t="shared" si="26"/>
        <v>1.2979488809523808E-2</v>
      </c>
      <c r="R60" s="76">
        <f t="shared" si="27"/>
        <v>0.80472830619047608</v>
      </c>
      <c r="S60" s="127"/>
      <c r="T60" s="56"/>
      <c r="U60" s="73"/>
    </row>
    <row r="61" spans="2:29" ht="14" thickBot="1" x14ac:dyDescent="0.2">
      <c r="B61" s="262"/>
      <c r="C61" s="263"/>
      <c r="D61" s="225"/>
      <c r="E61" s="260"/>
      <c r="F61" s="104" t="s">
        <v>106</v>
      </c>
      <c r="G61" s="261"/>
      <c r="H61" s="74">
        <f>0.427-G59</f>
        <v>0.35733333333333334</v>
      </c>
      <c r="I61" s="76">
        <f>0.429-G59</f>
        <v>0.35933333333333334</v>
      </c>
      <c r="J61" s="76">
        <f>0.438-G59</f>
        <v>0.36833333333333335</v>
      </c>
      <c r="K61" s="76">
        <f t="shared" si="43"/>
        <v>3.0508405333333335</v>
      </c>
      <c r="L61" s="76">
        <f t="shared" si="42"/>
        <v>3.0679161333333336</v>
      </c>
      <c r="M61" s="76">
        <f t="shared" si="42"/>
        <v>3.1447563333333335</v>
      </c>
      <c r="N61" s="76">
        <f t="shared" si="29"/>
        <v>3.0878376666666667</v>
      </c>
      <c r="O61" s="76">
        <f t="shared" si="41"/>
        <v>0.15439188333333334</v>
      </c>
      <c r="P61" s="76">
        <f t="shared" si="25"/>
        <v>1.1027991666666667E-2</v>
      </c>
      <c r="Q61" s="76">
        <f t="shared" si="26"/>
        <v>1.1027991666666667E-2</v>
      </c>
      <c r="R61" s="76">
        <f t="shared" si="27"/>
        <v>0.68373548333333334</v>
      </c>
      <c r="S61" s="128">
        <f>AVERAGE(R59:R61)</f>
        <v>0.75746548476190478</v>
      </c>
      <c r="T61" s="76">
        <f>STDEV(R59:R61)</f>
        <v>6.4693117938458375E-2</v>
      </c>
      <c r="U61" s="75">
        <f>T61/SQRT(3)</f>
        <v>3.7350589056485153E-2</v>
      </c>
    </row>
    <row r="62" spans="2:29" ht="17" thickBot="1" x14ac:dyDescent="0.2">
      <c r="B62" s="270" t="s">
        <v>71</v>
      </c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2"/>
    </row>
    <row r="63" spans="2:29" ht="30" x14ac:dyDescent="0.15">
      <c r="B63" s="120" t="s">
        <v>0</v>
      </c>
      <c r="C63" s="64" t="s">
        <v>1</v>
      </c>
      <c r="D63" s="64" t="s">
        <v>2</v>
      </c>
      <c r="E63" s="123" t="s">
        <v>17</v>
      </c>
      <c r="F63" s="122"/>
      <c r="G63" s="122" t="s">
        <v>18</v>
      </c>
      <c r="H63" s="274" t="s">
        <v>107</v>
      </c>
      <c r="I63" s="275"/>
      <c r="J63" s="275"/>
      <c r="K63" s="276" t="s">
        <v>99</v>
      </c>
      <c r="L63" s="276"/>
      <c r="M63" s="276"/>
      <c r="N63" s="64" t="s">
        <v>19</v>
      </c>
      <c r="O63" s="64" t="s">
        <v>20</v>
      </c>
      <c r="P63" s="64" t="s">
        <v>20</v>
      </c>
      <c r="Q63" s="64" t="s">
        <v>97</v>
      </c>
      <c r="R63" s="123" t="s">
        <v>97</v>
      </c>
      <c r="S63" s="64" t="s">
        <v>98</v>
      </c>
      <c r="T63" s="64" t="s">
        <v>86</v>
      </c>
      <c r="U63" s="121" t="s">
        <v>62</v>
      </c>
      <c r="W63" s="56" t="s">
        <v>2</v>
      </c>
      <c r="X63" s="72" t="str">
        <f>S63</f>
        <v>Average NO3 concentration</v>
      </c>
      <c r="Y63" s="72" t="str">
        <f>U63</f>
        <v>Standard error</v>
      </c>
      <c r="Z63" s="56"/>
      <c r="AA63" s="124"/>
      <c r="AB63" s="124"/>
      <c r="AC63" s="124"/>
    </row>
    <row r="64" spans="2:29" ht="14" x14ac:dyDescent="0.15">
      <c r="B64" s="125"/>
      <c r="C64" s="156"/>
      <c r="D64" s="155"/>
      <c r="E64" s="155"/>
      <c r="F64" s="126"/>
      <c r="G64" s="126"/>
      <c r="H64" s="162" t="s">
        <v>102</v>
      </c>
      <c r="I64" s="162" t="s">
        <v>103</v>
      </c>
      <c r="J64" s="162" t="s">
        <v>108</v>
      </c>
      <c r="K64" s="70"/>
      <c r="L64" s="70"/>
      <c r="M64" s="70"/>
      <c r="N64" s="70" t="s">
        <v>21</v>
      </c>
      <c r="O64" s="70" t="s">
        <v>15</v>
      </c>
      <c r="P64" s="70" t="s">
        <v>22</v>
      </c>
      <c r="Q64" s="70" t="s">
        <v>22</v>
      </c>
      <c r="R64" s="69" t="s">
        <v>15</v>
      </c>
      <c r="S64" s="70" t="s">
        <v>15</v>
      </c>
      <c r="T64" s="70"/>
      <c r="U64" s="68"/>
      <c r="W64" s="56">
        <v>0</v>
      </c>
      <c r="X64" s="76">
        <f>S67</f>
        <v>1.5553474425925924</v>
      </c>
      <c r="Y64" s="76">
        <f>U67</f>
        <v>1.1295427836780104E-2</v>
      </c>
      <c r="Z64" s="76"/>
      <c r="AA64" s="124"/>
      <c r="AB64" s="124"/>
      <c r="AC64" s="124"/>
    </row>
    <row r="65" spans="2:29" ht="14" x14ac:dyDescent="0.15">
      <c r="B65" s="251" t="s">
        <v>23</v>
      </c>
      <c r="C65" s="249">
        <v>0.52083333333333337</v>
      </c>
      <c r="D65" s="216">
        <v>0</v>
      </c>
      <c r="E65" s="253">
        <v>1</v>
      </c>
      <c r="F65" s="104" t="s">
        <v>104</v>
      </c>
      <c r="G65" s="257">
        <f>(0.076+0.073)/2</f>
        <v>7.4499999999999997E-2</v>
      </c>
      <c r="H65" s="132">
        <f>1.031-G65</f>
        <v>0.95649999999999991</v>
      </c>
      <c r="I65" s="133">
        <f>1.035-G65</f>
        <v>0.96049999999999991</v>
      </c>
      <c r="J65" s="133">
        <f>1.041-G65</f>
        <v>0.96649999999999991</v>
      </c>
      <c r="K65" s="76">
        <f>5.5045*H65</f>
        <v>5.2650542499999995</v>
      </c>
      <c r="L65" s="76">
        <f t="shared" ref="L65:M67" si="44">5.5045*I65</f>
        <v>5.2870722499999996</v>
      </c>
      <c r="M65" s="76">
        <f t="shared" si="44"/>
        <v>5.3200992499999993</v>
      </c>
      <c r="N65" s="76">
        <f>AVERAGE(K65:M65)</f>
        <v>5.2907419166666658</v>
      </c>
      <c r="O65" s="76">
        <f>N65/15</f>
        <v>0.35271612777777772</v>
      </c>
      <c r="P65" s="76">
        <f>O65/14</f>
        <v>2.5194009126984124E-2</v>
      </c>
      <c r="Q65" s="76">
        <f>P65</f>
        <v>2.5194009126984124E-2</v>
      </c>
      <c r="R65" s="76">
        <f>Q65*62</f>
        <v>1.5620285658730158</v>
      </c>
      <c r="S65" s="127"/>
      <c r="T65" s="56"/>
      <c r="U65" s="73"/>
      <c r="W65" s="56">
        <f>D68</f>
        <v>48</v>
      </c>
      <c r="X65" s="76">
        <f>S70</f>
        <v>1.5183627449735448</v>
      </c>
      <c r="Y65" s="76">
        <f>U70</f>
        <v>1.5681788079874685E-2</v>
      </c>
      <c r="Z65" s="76"/>
      <c r="AA65" s="124"/>
      <c r="AB65" s="124"/>
      <c r="AC65" s="124"/>
    </row>
    <row r="66" spans="2:29" ht="14" x14ac:dyDescent="0.15">
      <c r="B66" s="251"/>
      <c r="C66" s="249"/>
      <c r="D66" s="216"/>
      <c r="E66" s="253"/>
      <c r="F66" s="104" t="s">
        <v>105</v>
      </c>
      <c r="G66" s="255"/>
      <c r="H66" s="74">
        <f>1.031-G65</f>
        <v>0.95649999999999991</v>
      </c>
      <c r="I66" s="76">
        <f>1.035-G65</f>
        <v>0.96049999999999991</v>
      </c>
      <c r="J66" s="76">
        <f>1.057-G65</f>
        <v>0.98249999999999993</v>
      </c>
      <c r="K66" s="76">
        <f t="shared" ref="K66:K67" si="45">5.5045*H66</f>
        <v>5.2650542499999995</v>
      </c>
      <c r="L66" s="76">
        <f t="shared" si="44"/>
        <v>5.2870722499999996</v>
      </c>
      <c r="M66" s="76">
        <f t="shared" si="44"/>
        <v>5.4081712499999997</v>
      </c>
      <c r="N66" s="76">
        <f>AVERAGE(K66:M66)</f>
        <v>5.3200992499999993</v>
      </c>
      <c r="O66" s="76">
        <f t="shared" ref="O66:O85" si="46">N66/15</f>
        <v>0.35467328333333331</v>
      </c>
      <c r="P66" s="76">
        <f t="shared" ref="P66:P91" si="47">O66/14</f>
        <v>2.5333805952380949E-2</v>
      </c>
      <c r="Q66" s="76">
        <f t="shared" ref="Q66:Q91" si="48">P66</f>
        <v>2.5333805952380949E-2</v>
      </c>
      <c r="R66" s="76">
        <f t="shared" ref="R66:R91" si="49">Q66*62</f>
        <v>1.5706959690476188</v>
      </c>
      <c r="S66" s="127"/>
      <c r="T66" s="56"/>
      <c r="U66" s="73"/>
      <c r="W66" s="56">
        <f>D71</f>
        <v>94.5</v>
      </c>
      <c r="X66" s="76">
        <f>S73</f>
        <v>1.385488215873016</v>
      </c>
      <c r="Y66" s="76">
        <f>U73</f>
        <v>1.7840075063023136E-2</v>
      </c>
      <c r="Z66" s="76"/>
      <c r="AA66" s="124"/>
      <c r="AB66" s="124"/>
      <c r="AC66" s="124"/>
    </row>
    <row r="67" spans="2:29" ht="14" x14ac:dyDescent="0.15">
      <c r="B67" s="252"/>
      <c r="C67" s="250"/>
      <c r="D67" s="217"/>
      <c r="E67" s="254"/>
      <c r="F67" s="151" t="s">
        <v>106</v>
      </c>
      <c r="G67" s="256"/>
      <c r="H67" s="74">
        <f>1.01-G65</f>
        <v>0.9355</v>
      </c>
      <c r="I67" s="76">
        <f>1.01-G65</f>
        <v>0.9355</v>
      </c>
      <c r="J67" s="76">
        <f>1.034-G65</f>
        <v>0.95950000000000002</v>
      </c>
      <c r="K67" s="76">
        <f t="shared" si="45"/>
        <v>5.1494597500000001</v>
      </c>
      <c r="L67" s="76">
        <f t="shared" si="44"/>
        <v>5.1494597500000001</v>
      </c>
      <c r="M67" s="76">
        <f t="shared" si="44"/>
        <v>5.2815677500000007</v>
      </c>
      <c r="N67" s="76">
        <f>AVERAGE(K67:M67)</f>
        <v>5.1934957500000003</v>
      </c>
      <c r="O67" s="76">
        <f t="shared" si="46"/>
        <v>0.34623305000000004</v>
      </c>
      <c r="P67" s="76">
        <f t="shared" si="47"/>
        <v>2.4730932142857147E-2</v>
      </c>
      <c r="Q67" s="76">
        <f t="shared" si="48"/>
        <v>2.4730932142857147E-2</v>
      </c>
      <c r="R67" s="76">
        <f t="shared" si="49"/>
        <v>1.5333177928571431</v>
      </c>
      <c r="S67" s="128">
        <f>AVERAGE(R65:R67)</f>
        <v>1.5553474425925924</v>
      </c>
      <c r="T67" s="76">
        <f>STDEV(R65:R67)</f>
        <v>1.9564254906530954E-2</v>
      </c>
      <c r="U67" s="75">
        <f>T67/SQRT(3)</f>
        <v>1.1295427836780104E-2</v>
      </c>
      <c r="W67" s="118">
        <f>D74</f>
        <v>142.5</v>
      </c>
      <c r="X67" s="76">
        <f>S76</f>
        <v>1.1862891113227514</v>
      </c>
      <c r="Y67" s="76">
        <f>U76</f>
        <v>1.3315846431088291E-2</v>
      </c>
      <c r="Z67" s="76"/>
      <c r="AA67" s="124"/>
      <c r="AB67" s="124"/>
      <c r="AC67" s="124"/>
    </row>
    <row r="68" spans="2:29" ht="14" x14ac:dyDescent="0.15">
      <c r="B68" s="258" t="s">
        <v>25</v>
      </c>
      <c r="C68" s="249">
        <v>0.52083333333333337</v>
      </c>
      <c r="D68" s="216">
        <v>48</v>
      </c>
      <c r="E68" s="253">
        <v>3</v>
      </c>
      <c r="F68" s="104" t="s">
        <v>104</v>
      </c>
      <c r="G68" s="255">
        <v>7.2666666666666657E-2</v>
      </c>
      <c r="H68" s="92">
        <f>0.994-G68</f>
        <v>0.92133333333333334</v>
      </c>
      <c r="I68" s="96">
        <f>0.988-G68</f>
        <v>0.91533333333333333</v>
      </c>
      <c r="J68" s="96">
        <f>0.991-G68</f>
        <v>0.91833333333333333</v>
      </c>
      <c r="K68" s="76">
        <f>5.657*H68</f>
        <v>5.2119826666666667</v>
      </c>
      <c r="L68" s="76">
        <f t="shared" ref="L68:M70" si="50">5.657*I68</f>
        <v>5.178040666666667</v>
      </c>
      <c r="M68" s="76">
        <f t="shared" si="50"/>
        <v>5.1950116666666668</v>
      </c>
      <c r="N68" s="76">
        <f t="shared" ref="N68:N91" si="51">AVERAGE(K68:M68)</f>
        <v>5.1950116666666668</v>
      </c>
      <c r="O68" s="76">
        <f t="shared" si="46"/>
        <v>0.34633411111111112</v>
      </c>
      <c r="P68" s="76">
        <f t="shared" si="47"/>
        <v>2.4738150793650795E-2</v>
      </c>
      <c r="Q68" s="76">
        <f t="shared" si="48"/>
        <v>2.4738150793650795E-2</v>
      </c>
      <c r="R68" s="76">
        <f t="shared" si="49"/>
        <v>1.5337653492063492</v>
      </c>
      <c r="S68" s="129"/>
      <c r="T68" s="96"/>
      <c r="U68" s="93"/>
      <c r="W68" s="56">
        <f>D77</f>
        <v>190</v>
      </c>
      <c r="X68" s="76">
        <f>S79</f>
        <v>1.0240076148148152</v>
      </c>
      <c r="Y68" s="76">
        <f>U79</f>
        <v>4.2144911663891248E-2</v>
      </c>
      <c r="Z68" s="76"/>
      <c r="AA68" s="124"/>
      <c r="AB68" s="124"/>
      <c r="AC68" s="124"/>
    </row>
    <row r="69" spans="2:29" ht="14" x14ac:dyDescent="0.15">
      <c r="B69" s="258"/>
      <c r="C69" s="249"/>
      <c r="D69" s="216"/>
      <c r="E69" s="253"/>
      <c r="F69" s="104" t="s">
        <v>105</v>
      </c>
      <c r="G69" s="255"/>
      <c r="H69" s="74">
        <f>0.941-G68</f>
        <v>0.86833333333333329</v>
      </c>
      <c r="I69" s="76">
        <f>0.963-G68</f>
        <v>0.89033333333333331</v>
      </c>
      <c r="J69" s="76">
        <f>0.985-G68</f>
        <v>0.91233333333333333</v>
      </c>
      <c r="K69" s="76">
        <f t="shared" ref="K69:K70" si="52">5.657*H69</f>
        <v>4.9121616666666661</v>
      </c>
      <c r="L69" s="76">
        <f t="shared" si="50"/>
        <v>5.0366156666666662</v>
      </c>
      <c r="M69" s="76">
        <f t="shared" si="50"/>
        <v>5.1610696666666671</v>
      </c>
      <c r="N69" s="76">
        <f t="shared" si="51"/>
        <v>5.0366156666666662</v>
      </c>
      <c r="O69" s="76">
        <f t="shared" si="46"/>
        <v>0.33577437777777774</v>
      </c>
      <c r="P69" s="76">
        <f t="shared" si="47"/>
        <v>2.3983884126984125E-2</v>
      </c>
      <c r="Q69" s="76">
        <f t="shared" si="48"/>
        <v>2.3983884126984125E-2</v>
      </c>
      <c r="R69" s="76">
        <f t="shared" si="49"/>
        <v>1.4870008158730157</v>
      </c>
      <c r="S69" s="128"/>
      <c r="T69" s="76"/>
      <c r="U69" s="75"/>
      <c r="W69" s="56">
        <f>D80</f>
        <v>262.5</v>
      </c>
      <c r="X69" s="76">
        <f>S82</f>
        <v>0.95641300380952377</v>
      </c>
      <c r="Y69" s="76">
        <f>U82</f>
        <v>2.9271853333333341E-2</v>
      </c>
      <c r="Z69" s="76"/>
      <c r="AA69" s="124"/>
      <c r="AB69" s="124"/>
      <c r="AC69" s="124"/>
    </row>
    <row r="70" spans="2:29" ht="14" x14ac:dyDescent="0.15">
      <c r="B70" s="259"/>
      <c r="C70" s="250"/>
      <c r="D70" s="217"/>
      <c r="E70" s="254"/>
      <c r="F70" s="151" t="s">
        <v>106</v>
      </c>
      <c r="G70" s="256"/>
      <c r="H70" s="74">
        <f>0.986-G68</f>
        <v>0.91333333333333333</v>
      </c>
      <c r="I70" s="76">
        <f>0.986-G68</f>
        <v>0.91333333333333333</v>
      </c>
      <c r="J70" s="76">
        <f>1.002-G68</f>
        <v>0.92933333333333334</v>
      </c>
      <c r="K70" s="76">
        <f t="shared" si="52"/>
        <v>5.1667266666666665</v>
      </c>
      <c r="L70" s="76">
        <f t="shared" si="50"/>
        <v>5.1667266666666665</v>
      </c>
      <c r="M70" s="76">
        <f t="shared" si="50"/>
        <v>5.2572386666666668</v>
      </c>
      <c r="N70" s="76">
        <f t="shared" si="51"/>
        <v>5.1968973333333333</v>
      </c>
      <c r="O70" s="76">
        <f t="shared" si="46"/>
        <v>0.34645982222222221</v>
      </c>
      <c r="P70" s="76">
        <f t="shared" si="47"/>
        <v>2.4747130158730157E-2</v>
      </c>
      <c r="Q70" s="76">
        <f t="shared" si="48"/>
        <v>2.4747130158730157E-2</v>
      </c>
      <c r="R70" s="76">
        <f t="shared" si="49"/>
        <v>1.5343220698412696</v>
      </c>
      <c r="S70" s="130">
        <f>AVERAGE(R68:R70)</f>
        <v>1.5183627449735448</v>
      </c>
      <c r="T70" s="76">
        <f>STDEV(R68:R70)</f>
        <v>2.7161653707870943E-2</v>
      </c>
      <c r="U70" s="75">
        <f>T70/SQRT(3)</f>
        <v>1.5681788079874685E-2</v>
      </c>
      <c r="W70" s="56">
        <f>D83</f>
        <v>310.5</v>
      </c>
      <c r="X70" s="76">
        <f>S85</f>
        <v>0.88273554984126967</v>
      </c>
      <c r="Y70" s="76">
        <f>U85</f>
        <v>7.2702268202180292E-3</v>
      </c>
      <c r="Z70" s="76"/>
      <c r="AA70" s="124"/>
      <c r="AB70" s="124"/>
      <c r="AC70" s="124"/>
    </row>
    <row r="71" spans="2:29" ht="14" x14ac:dyDescent="0.15">
      <c r="B71" s="207" t="s">
        <v>27</v>
      </c>
      <c r="C71" s="249">
        <v>0.45833333333333331</v>
      </c>
      <c r="D71" s="216">
        <v>94.5</v>
      </c>
      <c r="E71" s="253">
        <v>5</v>
      </c>
      <c r="F71" s="104" t="s">
        <v>104</v>
      </c>
      <c r="G71" s="255">
        <v>7.2666666666666671E-2</v>
      </c>
      <c r="H71" s="74">
        <f>0.874-G71</f>
        <v>0.80133333333333334</v>
      </c>
      <c r="I71" s="76">
        <f>0.906-G71</f>
        <v>0.83333333333333337</v>
      </c>
      <c r="J71" s="76">
        <f>0.971-G71</f>
        <v>0.89833333333333332</v>
      </c>
      <c r="K71" s="76">
        <f>5.6585*H71</f>
        <v>4.5343446666666667</v>
      </c>
      <c r="L71" s="76">
        <f t="shared" ref="L71:M73" si="53">5.6585*I71</f>
        <v>4.715416666666667</v>
      </c>
      <c r="M71" s="76">
        <f t="shared" si="53"/>
        <v>5.0832191666666668</v>
      </c>
      <c r="N71" s="76">
        <f t="shared" si="51"/>
        <v>4.7776601666666672</v>
      </c>
      <c r="O71" s="76">
        <f t="shared" si="46"/>
        <v>0.31851067777777781</v>
      </c>
      <c r="P71" s="76">
        <f t="shared" si="47"/>
        <v>2.27507626984127E-2</v>
      </c>
      <c r="Q71" s="76">
        <f t="shared" si="48"/>
        <v>2.27507626984127E-2</v>
      </c>
      <c r="R71" s="76">
        <f t="shared" si="49"/>
        <v>1.4105472873015874</v>
      </c>
      <c r="S71" s="128"/>
      <c r="T71" s="76"/>
      <c r="U71" s="75"/>
      <c r="W71" s="56">
        <f>D86</f>
        <v>360</v>
      </c>
      <c r="X71" s="76">
        <f>S88</f>
        <v>0.7640627866666666</v>
      </c>
      <c r="Y71" s="76">
        <f>U88</f>
        <v>1.9824416892776572E-2</v>
      </c>
      <c r="Z71" s="76"/>
      <c r="AA71" s="124"/>
      <c r="AB71" s="124"/>
      <c r="AC71" s="124"/>
    </row>
    <row r="72" spans="2:29" ht="15" customHeight="1" x14ac:dyDescent="0.15">
      <c r="B72" s="207"/>
      <c r="C72" s="249"/>
      <c r="D72" s="216"/>
      <c r="E72" s="253"/>
      <c r="F72" s="104" t="s">
        <v>105</v>
      </c>
      <c r="G72" s="255"/>
      <c r="H72" s="74">
        <f>0.856-G71</f>
        <v>0.78333333333333333</v>
      </c>
      <c r="I72" s="76">
        <f>0.886-G71</f>
        <v>0.81333333333333335</v>
      </c>
      <c r="J72" s="76">
        <f>0.902-G71</f>
        <v>0.82933333333333337</v>
      </c>
      <c r="K72" s="76">
        <f t="shared" ref="K72:K73" si="54">5.6585*H72</f>
        <v>4.4324916666666665</v>
      </c>
      <c r="L72" s="76">
        <f t="shared" si="53"/>
        <v>4.6022466666666668</v>
      </c>
      <c r="M72" s="76">
        <f t="shared" si="53"/>
        <v>4.692782666666667</v>
      </c>
      <c r="N72" s="76">
        <f t="shared" si="51"/>
        <v>4.5758403333333328</v>
      </c>
      <c r="O72" s="76">
        <f t="shared" si="46"/>
        <v>0.30505602222222217</v>
      </c>
      <c r="P72" s="76">
        <f t="shared" si="47"/>
        <v>2.1789715873015869E-2</v>
      </c>
      <c r="Q72" s="76">
        <f t="shared" si="48"/>
        <v>2.1789715873015869E-2</v>
      </c>
      <c r="R72" s="76">
        <f t="shared" si="49"/>
        <v>1.350962384126984</v>
      </c>
      <c r="S72" s="128"/>
      <c r="T72" s="76"/>
      <c r="U72" s="75"/>
      <c r="W72" s="118">
        <f>D89</f>
        <v>408</v>
      </c>
      <c r="X72" s="76">
        <f>S91</f>
        <v>0.61546696349206353</v>
      </c>
      <c r="Y72" s="76">
        <f>U91</f>
        <v>5.4297597281103761E-2</v>
      </c>
      <c r="Z72" s="76"/>
      <c r="AA72" s="124"/>
      <c r="AB72" s="124"/>
      <c r="AC72" s="124"/>
    </row>
    <row r="73" spans="2:29" ht="15" customHeight="1" x14ac:dyDescent="0.15">
      <c r="B73" s="208"/>
      <c r="C73" s="250"/>
      <c r="D73" s="217"/>
      <c r="E73" s="254"/>
      <c r="F73" s="151" t="s">
        <v>106</v>
      </c>
      <c r="G73" s="256"/>
      <c r="H73" s="83">
        <f>0.886-G71</f>
        <v>0.81333333333333335</v>
      </c>
      <c r="I73" s="85">
        <f>0.903-G71</f>
        <v>0.83033333333333337</v>
      </c>
      <c r="J73" s="85">
        <f>0.934-G71</f>
        <v>0.8613333333333334</v>
      </c>
      <c r="K73" s="76">
        <f t="shared" si="54"/>
        <v>4.6022466666666668</v>
      </c>
      <c r="L73" s="76">
        <f t="shared" si="53"/>
        <v>4.698441166666667</v>
      </c>
      <c r="M73" s="76">
        <f t="shared" si="53"/>
        <v>4.8738546666666673</v>
      </c>
      <c r="N73" s="76">
        <f t="shared" si="51"/>
        <v>4.7248475000000001</v>
      </c>
      <c r="O73" s="76">
        <f t="shared" si="46"/>
        <v>0.31498983333333336</v>
      </c>
      <c r="P73" s="76">
        <f t="shared" si="47"/>
        <v>2.2499273809523813E-2</v>
      </c>
      <c r="Q73" s="76">
        <f t="shared" si="48"/>
        <v>2.2499273809523813E-2</v>
      </c>
      <c r="R73" s="76">
        <f t="shared" si="49"/>
        <v>1.3949549761904765</v>
      </c>
      <c r="S73" s="130">
        <f>AVERAGE(R71:R73)</f>
        <v>1.385488215873016</v>
      </c>
      <c r="T73" s="85">
        <f>STDEV(R71:R73)</f>
        <v>3.0899916419998608E-2</v>
      </c>
      <c r="U73" s="84">
        <f>T73/SQRT(3)</f>
        <v>1.7840075063023136E-2</v>
      </c>
      <c r="W73" s="81"/>
      <c r="X73" s="76"/>
      <c r="Y73" s="76"/>
      <c r="Z73" s="76"/>
      <c r="AA73" s="124"/>
      <c r="AB73" s="124"/>
      <c r="AC73" s="124"/>
    </row>
    <row r="74" spans="2:29" x14ac:dyDescent="0.15">
      <c r="B74" s="258" t="s">
        <v>29</v>
      </c>
      <c r="C74" s="249">
        <v>0.45833333333333331</v>
      </c>
      <c r="D74" s="216">
        <v>142.5</v>
      </c>
      <c r="E74" s="253">
        <v>7</v>
      </c>
      <c r="F74" s="104" t="s">
        <v>104</v>
      </c>
      <c r="G74" s="255">
        <v>7.6499999999999999E-2</v>
      </c>
      <c r="H74" s="74">
        <f>0.798-G74</f>
        <v>0.72150000000000003</v>
      </c>
      <c r="I74" s="76">
        <f>0.79-G74</f>
        <v>0.71350000000000002</v>
      </c>
      <c r="J74" s="76">
        <f>0.79-G74</f>
        <v>0.71350000000000002</v>
      </c>
      <c r="K74" s="76">
        <f>5.6668*H74</f>
        <v>4.0885962000000005</v>
      </c>
      <c r="L74" s="76">
        <f t="shared" ref="L74:M76" si="55">5.6668*I74</f>
        <v>4.0432618000000007</v>
      </c>
      <c r="M74" s="76">
        <f t="shared" si="55"/>
        <v>4.0432618000000007</v>
      </c>
      <c r="N74" s="76">
        <f t="shared" si="51"/>
        <v>4.058373266666667</v>
      </c>
      <c r="O74" s="76">
        <f t="shared" si="46"/>
        <v>0.27055821777777778</v>
      </c>
      <c r="P74" s="76">
        <f t="shared" si="47"/>
        <v>1.9325586984126984E-2</v>
      </c>
      <c r="Q74" s="76">
        <f t="shared" si="48"/>
        <v>1.9325586984126984E-2</v>
      </c>
      <c r="R74" s="76">
        <f t="shared" si="49"/>
        <v>1.1981863930158729</v>
      </c>
      <c r="S74" s="127"/>
      <c r="T74" s="56"/>
      <c r="U74" s="73"/>
      <c r="W74" s="56"/>
      <c r="X74" s="76"/>
      <c r="Y74" s="76"/>
      <c r="Z74" s="76"/>
      <c r="AA74" s="76"/>
    </row>
    <row r="75" spans="2:29" x14ac:dyDescent="0.15">
      <c r="B75" s="258"/>
      <c r="C75" s="249"/>
      <c r="D75" s="216"/>
      <c r="E75" s="253"/>
      <c r="F75" s="104" t="s">
        <v>105</v>
      </c>
      <c r="G75" s="255"/>
      <c r="H75" s="74">
        <f>0.77-G74</f>
        <v>0.69350000000000001</v>
      </c>
      <c r="I75" s="76">
        <f>0.751-G74</f>
        <v>0.67449999999999999</v>
      </c>
      <c r="J75" s="76">
        <f>0.788-G74</f>
        <v>0.71150000000000002</v>
      </c>
      <c r="K75" s="76">
        <f t="shared" ref="K75:K76" si="56">5.6668*H75</f>
        <v>3.9299258000000004</v>
      </c>
      <c r="L75" s="76">
        <f t="shared" si="55"/>
        <v>3.8222566000000002</v>
      </c>
      <c r="M75" s="76">
        <f t="shared" si="55"/>
        <v>4.0319282000000003</v>
      </c>
      <c r="N75" s="76">
        <f t="shared" si="51"/>
        <v>3.9280368666666674</v>
      </c>
      <c r="O75" s="76">
        <f t="shared" si="46"/>
        <v>0.26186912444444449</v>
      </c>
      <c r="P75" s="76">
        <f t="shared" si="47"/>
        <v>1.8704937460317463E-2</v>
      </c>
      <c r="Q75" s="76">
        <f t="shared" si="48"/>
        <v>1.8704937460317463E-2</v>
      </c>
      <c r="R75" s="76">
        <f t="shared" si="49"/>
        <v>1.1597061225396827</v>
      </c>
      <c r="S75" s="127"/>
      <c r="T75" s="56"/>
      <c r="U75" s="73"/>
      <c r="W75" s="56"/>
      <c r="X75" s="76"/>
      <c r="Y75" s="76"/>
      <c r="Z75" s="76"/>
      <c r="AA75" s="76"/>
    </row>
    <row r="76" spans="2:29" ht="14" x14ac:dyDescent="0.15">
      <c r="B76" s="259"/>
      <c r="C76" s="250"/>
      <c r="D76" s="217"/>
      <c r="E76" s="254"/>
      <c r="F76" s="151" t="s">
        <v>106</v>
      </c>
      <c r="G76" s="256"/>
      <c r="H76" s="74">
        <f>0.792-G74</f>
        <v>0.71550000000000002</v>
      </c>
      <c r="I76" s="76">
        <f>0.793-G74</f>
        <v>0.71650000000000003</v>
      </c>
      <c r="J76" s="76">
        <f>0.798-G74</f>
        <v>0.72150000000000003</v>
      </c>
      <c r="K76" s="76">
        <f t="shared" si="56"/>
        <v>4.0545954000000002</v>
      </c>
      <c r="L76" s="76">
        <f t="shared" si="55"/>
        <v>4.0602622000000004</v>
      </c>
      <c r="M76" s="76">
        <f t="shared" si="55"/>
        <v>4.0885962000000005</v>
      </c>
      <c r="N76" s="76">
        <f t="shared" si="51"/>
        <v>4.067817933333334</v>
      </c>
      <c r="O76" s="76">
        <f t="shared" si="46"/>
        <v>0.27118786222222224</v>
      </c>
      <c r="P76" s="76">
        <f t="shared" si="47"/>
        <v>1.9370561587301587E-2</v>
      </c>
      <c r="Q76" s="76">
        <f t="shared" si="48"/>
        <v>1.9370561587301587E-2</v>
      </c>
      <c r="R76" s="76">
        <f t="shared" si="49"/>
        <v>1.2009748184126985</v>
      </c>
      <c r="S76" s="130">
        <f>AVERAGE(R74:R76)</f>
        <v>1.1862891113227514</v>
      </c>
      <c r="T76" s="76">
        <f>STDEV(R74:R76)</f>
        <v>2.3063722564429626E-2</v>
      </c>
      <c r="U76" s="75">
        <f>T76/SQRT(3)</f>
        <v>1.3315846431088291E-2</v>
      </c>
      <c r="W76" s="124"/>
      <c r="X76" s="6"/>
      <c r="Y76" s="6"/>
      <c r="Z76" s="76"/>
      <c r="AA76" s="76"/>
    </row>
    <row r="77" spans="2:29" ht="14" x14ac:dyDescent="0.15">
      <c r="B77" s="207" t="s">
        <v>31</v>
      </c>
      <c r="C77" s="249">
        <v>0.4375</v>
      </c>
      <c r="D77" s="216">
        <v>190</v>
      </c>
      <c r="E77" s="253">
        <v>9</v>
      </c>
      <c r="F77" s="104" t="s">
        <v>104</v>
      </c>
      <c r="G77" s="255">
        <v>8.2000000000000003E-2</v>
      </c>
      <c r="H77" s="74">
        <f>0.628-G77</f>
        <v>0.54600000000000004</v>
      </c>
      <c r="I77" s="76">
        <f>0.644-G77</f>
        <v>0.56200000000000006</v>
      </c>
      <c r="J77" s="76">
        <f>0.65-G77</f>
        <v>0.56800000000000006</v>
      </c>
      <c r="K77" s="76">
        <f>6.0262*H77</f>
        <v>3.2903052000000002</v>
      </c>
      <c r="L77" s="76">
        <f t="shared" ref="L77:M79" si="57">6.0262*I77</f>
        <v>3.3867244000000003</v>
      </c>
      <c r="M77" s="76">
        <f t="shared" si="57"/>
        <v>3.4228816000000006</v>
      </c>
      <c r="N77" s="76">
        <f t="shared" si="51"/>
        <v>3.3666370666666672</v>
      </c>
      <c r="O77" s="76">
        <f t="shared" si="46"/>
        <v>0.22444247111111115</v>
      </c>
      <c r="P77" s="76">
        <f t="shared" si="47"/>
        <v>1.6031605079365081E-2</v>
      </c>
      <c r="Q77" s="76">
        <f t="shared" si="48"/>
        <v>1.6031605079365081E-2</v>
      </c>
      <c r="R77" s="76">
        <f t="shared" si="49"/>
        <v>0.99395951492063506</v>
      </c>
      <c r="S77" s="127"/>
      <c r="T77" s="56"/>
      <c r="U77" s="73"/>
      <c r="W77" s="6"/>
      <c r="X77" s="6"/>
      <c r="Y77" s="6"/>
      <c r="Z77" s="76"/>
      <c r="AA77" s="76"/>
    </row>
    <row r="78" spans="2:29" ht="14" x14ac:dyDescent="0.15">
      <c r="B78" s="207"/>
      <c r="C78" s="249"/>
      <c r="D78" s="216"/>
      <c r="E78" s="253"/>
      <c r="F78" s="104" t="s">
        <v>105</v>
      </c>
      <c r="G78" s="255"/>
      <c r="H78" s="74">
        <f>0.614-G77</f>
        <v>0.53200000000000003</v>
      </c>
      <c r="I78" s="76">
        <f>0.626-G77</f>
        <v>0.54400000000000004</v>
      </c>
      <c r="J78" s="76">
        <f>0.643-G77</f>
        <v>0.56100000000000005</v>
      </c>
      <c r="K78" s="76">
        <f t="shared" ref="K78:K79" si="58">6.0262*H78</f>
        <v>3.2059384000000004</v>
      </c>
      <c r="L78" s="76">
        <f t="shared" si="57"/>
        <v>3.2782528000000002</v>
      </c>
      <c r="M78" s="76">
        <f t="shared" si="57"/>
        <v>3.3806982000000003</v>
      </c>
      <c r="N78" s="76">
        <f t="shared" si="51"/>
        <v>3.288296466666667</v>
      </c>
      <c r="O78" s="76">
        <f t="shared" si="46"/>
        <v>0.21921976444444446</v>
      </c>
      <c r="P78" s="76">
        <f t="shared" si="47"/>
        <v>1.5658554603174606E-2</v>
      </c>
      <c r="Q78" s="76">
        <f t="shared" si="48"/>
        <v>1.5658554603174606E-2</v>
      </c>
      <c r="R78" s="76">
        <f t="shared" si="49"/>
        <v>0.97083038539682553</v>
      </c>
      <c r="S78" s="127"/>
      <c r="T78" s="56"/>
      <c r="U78" s="73"/>
      <c r="W78" s="6"/>
      <c r="X78" s="6"/>
      <c r="Y78" s="6"/>
      <c r="Z78" s="76"/>
      <c r="AA78" s="76"/>
    </row>
    <row r="79" spans="2:29" ht="14" x14ac:dyDescent="0.15">
      <c r="B79" s="208"/>
      <c r="C79" s="250"/>
      <c r="D79" s="217"/>
      <c r="E79" s="254"/>
      <c r="F79" s="151" t="s">
        <v>106</v>
      </c>
      <c r="G79" s="256"/>
      <c r="H79" s="74">
        <f>0.671-G77</f>
        <v>0.58900000000000008</v>
      </c>
      <c r="I79" s="76">
        <f>0.683-G77</f>
        <v>0.60100000000000009</v>
      </c>
      <c r="J79" s="76">
        <f>0.759-G77</f>
        <v>0.67700000000000005</v>
      </c>
      <c r="K79" s="76">
        <f t="shared" si="58"/>
        <v>3.5494318000000007</v>
      </c>
      <c r="L79" s="76">
        <f t="shared" si="57"/>
        <v>3.6217462000000005</v>
      </c>
      <c r="M79" s="76">
        <f t="shared" si="57"/>
        <v>4.0797374000000008</v>
      </c>
      <c r="N79" s="76">
        <f t="shared" si="51"/>
        <v>3.7503051333333342</v>
      </c>
      <c r="O79" s="76">
        <f t="shared" si="46"/>
        <v>0.2500203422222223</v>
      </c>
      <c r="P79" s="76">
        <f t="shared" si="47"/>
        <v>1.785859587301588E-2</v>
      </c>
      <c r="Q79" s="76">
        <f t="shared" si="48"/>
        <v>1.785859587301588E-2</v>
      </c>
      <c r="R79" s="76">
        <f t="shared" si="49"/>
        <v>1.1072329441269846</v>
      </c>
      <c r="S79" s="128">
        <f>AVERAGE(R77:R79)</f>
        <v>1.0240076148148152</v>
      </c>
      <c r="T79" s="76">
        <f>STDEV(R77:R79)</f>
        <v>7.2997128282361823E-2</v>
      </c>
      <c r="U79" s="75">
        <f>T79/SQRT(3)</f>
        <v>4.2144911663891248E-2</v>
      </c>
      <c r="W79" s="6"/>
      <c r="X79" s="6"/>
      <c r="Y79" s="6"/>
      <c r="Z79" s="76"/>
      <c r="AA79" s="76"/>
    </row>
    <row r="80" spans="2:29" ht="14" x14ac:dyDescent="0.15">
      <c r="B80" s="207" t="s">
        <v>33</v>
      </c>
      <c r="C80" s="249">
        <v>0.45833333333333331</v>
      </c>
      <c r="D80" s="216">
        <v>262.5</v>
      </c>
      <c r="E80" s="253">
        <v>12</v>
      </c>
      <c r="F80" s="104" t="s">
        <v>104</v>
      </c>
      <c r="G80" s="255">
        <v>7.9000000000000001E-2</v>
      </c>
      <c r="H80" s="92">
        <f>0.564-G80</f>
        <v>0.48499999999999993</v>
      </c>
      <c r="I80" s="96">
        <f>0.604-G80</f>
        <v>0.52500000000000002</v>
      </c>
      <c r="J80" s="96">
        <f>0.593-G80</f>
        <v>0.51400000000000001</v>
      </c>
      <c r="K80" s="76">
        <f>6.0702*H80</f>
        <v>2.9440469999999994</v>
      </c>
      <c r="L80" s="76">
        <f t="shared" ref="L80:M85" si="59">6.0702*I80</f>
        <v>3.186855</v>
      </c>
      <c r="M80" s="76">
        <f t="shared" si="59"/>
        <v>3.1200828</v>
      </c>
      <c r="N80" s="76">
        <f t="shared" si="51"/>
        <v>3.0836615999999997</v>
      </c>
      <c r="O80" s="76">
        <f t="shared" si="46"/>
        <v>0.20557743999999997</v>
      </c>
      <c r="P80" s="76">
        <f t="shared" si="47"/>
        <v>1.4684102857142856E-2</v>
      </c>
      <c r="Q80" s="76">
        <f t="shared" si="48"/>
        <v>1.4684102857142856E-2</v>
      </c>
      <c r="R80" s="76">
        <f t="shared" si="49"/>
        <v>0.91041437714285711</v>
      </c>
      <c r="S80" s="129"/>
      <c r="T80" s="96"/>
      <c r="U80" s="93"/>
      <c r="W80" s="6"/>
      <c r="X80" s="6"/>
      <c r="Y80" s="6"/>
      <c r="Z80" s="76"/>
      <c r="AA80" s="76"/>
    </row>
    <row r="81" spans="1:27" ht="14" x14ac:dyDescent="0.15">
      <c r="B81" s="207"/>
      <c r="C81" s="249"/>
      <c r="D81" s="216"/>
      <c r="E81" s="253"/>
      <c r="F81" s="104" t="s">
        <v>105</v>
      </c>
      <c r="G81" s="255"/>
      <c r="H81" s="74">
        <f>0.601-G80</f>
        <v>0.52200000000000002</v>
      </c>
      <c r="I81" s="76">
        <f>0.614-G80</f>
        <v>0.53500000000000003</v>
      </c>
      <c r="J81" s="76">
        <f>0.609-G80</f>
        <v>0.53</v>
      </c>
      <c r="K81" s="76">
        <f t="shared" ref="K81:K85" si="60">6.0702*H81</f>
        <v>3.1686443999999998</v>
      </c>
      <c r="L81" s="76">
        <f t="shared" si="59"/>
        <v>3.247557</v>
      </c>
      <c r="M81" s="76">
        <f t="shared" si="59"/>
        <v>3.217206</v>
      </c>
      <c r="N81" s="76">
        <f t="shared" si="51"/>
        <v>3.2111357999999997</v>
      </c>
      <c r="O81" s="76">
        <f t="shared" si="46"/>
        <v>0.21407571999999997</v>
      </c>
      <c r="P81" s="76">
        <f t="shared" si="47"/>
        <v>1.5291122857142856E-2</v>
      </c>
      <c r="Q81" s="76">
        <f t="shared" si="48"/>
        <v>1.5291122857142856E-2</v>
      </c>
      <c r="R81" s="76">
        <f t="shared" si="49"/>
        <v>0.94804961714285707</v>
      </c>
      <c r="S81" s="128"/>
      <c r="T81" s="76"/>
      <c r="U81" s="75"/>
      <c r="W81" s="6"/>
      <c r="X81" s="6"/>
      <c r="Y81" s="6"/>
      <c r="Z81" s="76"/>
      <c r="AA81" s="76"/>
    </row>
    <row r="82" spans="1:27" ht="14" x14ac:dyDescent="0.15">
      <c r="B82" s="208"/>
      <c r="C82" s="250"/>
      <c r="D82" s="217"/>
      <c r="E82" s="254"/>
      <c r="F82" s="151" t="s">
        <v>106</v>
      </c>
      <c r="G82" s="256"/>
      <c r="H82" s="74">
        <f>0.648-G80</f>
        <v>0.56900000000000006</v>
      </c>
      <c r="I82" s="76">
        <f>0.638-G80</f>
        <v>0.55900000000000005</v>
      </c>
      <c r="J82" s="76">
        <f>0.643-G80</f>
        <v>0.56400000000000006</v>
      </c>
      <c r="K82" s="76">
        <f t="shared" si="60"/>
        <v>3.4539438000000002</v>
      </c>
      <c r="L82" s="76">
        <f t="shared" si="59"/>
        <v>3.3932418000000002</v>
      </c>
      <c r="M82" s="76">
        <f t="shared" si="59"/>
        <v>3.4235928000000002</v>
      </c>
      <c r="N82" s="76">
        <f t="shared" si="51"/>
        <v>3.4235928000000002</v>
      </c>
      <c r="O82" s="76">
        <f t="shared" si="46"/>
        <v>0.22823952</v>
      </c>
      <c r="P82" s="76">
        <f t="shared" si="47"/>
        <v>1.6302822857142858E-2</v>
      </c>
      <c r="Q82" s="76">
        <f t="shared" si="48"/>
        <v>1.6302822857142858E-2</v>
      </c>
      <c r="R82" s="76">
        <f t="shared" si="49"/>
        <v>1.0107750171428571</v>
      </c>
      <c r="S82" s="130">
        <f>AVERAGE(R80:R82)</f>
        <v>0.95641300380952377</v>
      </c>
      <c r="T82" s="76">
        <f>STDEV(R80:R82)</f>
        <v>5.0700337205037742E-2</v>
      </c>
      <c r="U82" s="75">
        <f>T82/SQRT(3)</f>
        <v>2.9271853333333341E-2</v>
      </c>
      <c r="W82" s="6"/>
      <c r="X82" s="6"/>
      <c r="Y82" s="6"/>
      <c r="Z82" s="76"/>
      <c r="AA82" s="76"/>
    </row>
    <row r="83" spans="1:27" ht="14" x14ac:dyDescent="0.15">
      <c r="B83" s="207" t="s">
        <v>35</v>
      </c>
      <c r="C83" s="249">
        <v>0.45833333333333331</v>
      </c>
      <c r="D83" s="216">
        <v>310.5</v>
      </c>
      <c r="E83" s="253">
        <v>14</v>
      </c>
      <c r="F83" s="104" t="s">
        <v>104</v>
      </c>
      <c r="G83" s="255">
        <f>(0.085+0.069+0.079)/3</f>
        <v>7.7666666666666676E-2</v>
      </c>
      <c r="H83" s="74">
        <f>0.568-G83</f>
        <v>0.49033333333333329</v>
      </c>
      <c r="I83" s="76">
        <f>0.569-G83</f>
        <v>0.49133333333333329</v>
      </c>
      <c r="J83" s="76">
        <f>0.568-G83</f>
        <v>0.49033333333333329</v>
      </c>
      <c r="K83" s="76">
        <f t="shared" si="60"/>
        <v>2.9764213999999996</v>
      </c>
      <c r="L83" s="76">
        <f t="shared" si="59"/>
        <v>2.9824915999999995</v>
      </c>
      <c r="M83" s="76">
        <f t="shared" si="59"/>
        <v>2.9764213999999996</v>
      </c>
      <c r="N83" s="76">
        <f t="shared" si="51"/>
        <v>2.9784447999999997</v>
      </c>
      <c r="O83" s="76">
        <f t="shared" si="46"/>
        <v>0.19856298666666664</v>
      </c>
      <c r="P83" s="76">
        <f t="shared" si="47"/>
        <v>1.4183070476190473E-2</v>
      </c>
      <c r="Q83" s="76">
        <f t="shared" si="48"/>
        <v>1.4183070476190473E-2</v>
      </c>
      <c r="R83" s="76">
        <f t="shared" si="49"/>
        <v>0.87935036952380929</v>
      </c>
      <c r="S83" s="128"/>
      <c r="T83" s="76"/>
      <c r="U83" s="75"/>
      <c r="W83" s="6"/>
      <c r="X83" s="6"/>
      <c r="Y83" s="6"/>
      <c r="Z83" s="76"/>
      <c r="AA83" s="76"/>
    </row>
    <row r="84" spans="1:27" ht="14" x14ac:dyDescent="0.15">
      <c r="B84" s="207"/>
      <c r="C84" s="249"/>
      <c r="D84" s="216"/>
      <c r="E84" s="253"/>
      <c r="F84" s="104" t="s">
        <v>105</v>
      </c>
      <c r="G84" s="255"/>
      <c r="H84" s="74">
        <f>0.573-G83</f>
        <v>0.49533333333333329</v>
      </c>
      <c r="I84" s="76">
        <f>0.575-G83</f>
        <v>0.49733333333333329</v>
      </c>
      <c r="J84" s="76">
        <f>0.545-G83</f>
        <v>0.46733333333333338</v>
      </c>
      <c r="K84" s="76">
        <f t="shared" si="60"/>
        <v>3.0067723999999996</v>
      </c>
      <c r="L84" s="76">
        <f t="shared" si="59"/>
        <v>3.0189127999999998</v>
      </c>
      <c r="M84" s="76">
        <f t="shared" si="59"/>
        <v>2.8368068000000002</v>
      </c>
      <c r="N84" s="76">
        <f t="shared" si="51"/>
        <v>2.954164</v>
      </c>
      <c r="O84" s="76">
        <f t="shared" si="46"/>
        <v>0.19694426666666667</v>
      </c>
      <c r="P84" s="76">
        <f t="shared" si="47"/>
        <v>1.4067447619047619E-2</v>
      </c>
      <c r="Q84" s="76">
        <f t="shared" si="48"/>
        <v>1.4067447619047619E-2</v>
      </c>
      <c r="R84" s="76">
        <f t="shared" si="49"/>
        <v>0.87218175238095241</v>
      </c>
      <c r="S84" s="128"/>
      <c r="T84" s="76"/>
      <c r="U84" s="75"/>
      <c r="W84" s="6"/>
      <c r="X84" s="6"/>
      <c r="Y84" s="6"/>
      <c r="Z84" s="76"/>
      <c r="AA84" s="76"/>
    </row>
    <row r="85" spans="1:27" ht="14" x14ac:dyDescent="0.15">
      <c r="B85" s="208"/>
      <c r="C85" s="250"/>
      <c r="D85" s="217"/>
      <c r="E85" s="254"/>
      <c r="F85" s="151" t="s">
        <v>106</v>
      </c>
      <c r="G85" s="256"/>
      <c r="H85" s="74">
        <f>0.554-G83</f>
        <v>0.47633333333333339</v>
      </c>
      <c r="I85" s="76">
        <f>0.594-G83</f>
        <v>0.51633333333333331</v>
      </c>
      <c r="J85" s="76">
        <f>0.586-G83</f>
        <v>0.5083333333333333</v>
      </c>
      <c r="K85" s="76">
        <f t="shared" si="60"/>
        <v>2.8914386000000003</v>
      </c>
      <c r="L85" s="76">
        <f t="shared" si="59"/>
        <v>3.1342465999999995</v>
      </c>
      <c r="M85" s="76">
        <f t="shared" si="59"/>
        <v>3.0856849999999998</v>
      </c>
      <c r="N85" s="76">
        <f t="shared" si="51"/>
        <v>3.0371234</v>
      </c>
      <c r="O85" s="76">
        <f t="shared" si="46"/>
        <v>0.20247489333333332</v>
      </c>
      <c r="P85" s="76">
        <f t="shared" si="47"/>
        <v>1.4462492380952379E-2</v>
      </c>
      <c r="Q85" s="76">
        <f t="shared" si="48"/>
        <v>1.4462492380952379E-2</v>
      </c>
      <c r="R85" s="76">
        <f t="shared" si="49"/>
        <v>0.89667452761904753</v>
      </c>
      <c r="S85" s="128">
        <f>AVERAGE(R83:R85)</f>
        <v>0.88273554984126967</v>
      </c>
      <c r="T85" s="76">
        <f>STDEV(R83:R85)</f>
        <v>1.2592402235167548E-2</v>
      </c>
      <c r="U85" s="75">
        <f>T85/SQRT(3)</f>
        <v>7.2702268202180292E-3</v>
      </c>
      <c r="W85" s="6"/>
      <c r="X85" s="6"/>
      <c r="Y85" s="6"/>
    </row>
    <row r="86" spans="1:27" x14ac:dyDescent="0.15">
      <c r="B86" s="207" t="s">
        <v>37</v>
      </c>
      <c r="C86" s="249">
        <v>0.52083333333333337</v>
      </c>
      <c r="D86" s="216">
        <v>360</v>
      </c>
      <c r="E86" s="253">
        <v>16</v>
      </c>
      <c r="F86" s="104" t="s">
        <v>104</v>
      </c>
      <c r="G86" s="255">
        <v>7.3666666666666672E-2</v>
      </c>
      <c r="H86" s="92">
        <f>0.577-G86</f>
        <v>0.5033333333333333</v>
      </c>
      <c r="I86" s="96">
        <f>0.577-G86</f>
        <v>0.5033333333333333</v>
      </c>
      <c r="J86" s="96">
        <f>0.561-G86</f>
        <v>0.4873333333333334</v>
      </c>
      <c r="K86" s="76">
        <f>7.2021*H86</f>
        <v>3.6250569999999995</v>
      </c>
      <c r="L86" s="76">
        <f t="shared" ref="L86:M88" si="61">7.2021*I86</f>
        <v>3.6250569999999995</v>
      </c>
      <c r="M86" s="76">
        <f t="shared" si="61"/>
        <v>3.5098234000000001</v>
      </c>
      <c r="N86" s="76">
        <f t="shared" si="51"/>
        <v>3.5866457999999994</v>
      </c>
      <c r="O86" s="76">
        <f>N86/20</f>
        <v>0.17933228999999998</v>
      </c>
      <c r="P86" s="76">
        <f t="shared" si="47"/>
        <v>1.2809449285714284E-2</v>
      </c>
      <c r="Q86" s="76">
        <f t="shared" si="48"/>
        <v>1.2809449285714284E-2</v>
      </c>
      <c r="R86" s="76">
        <f t="shared" si="49"/>
        <v>0.79418585571428568</v>
      </c>
      <c r="S86" s="131"/>
      <c r="T86" s="103"/>
      <c r="U86" s="113"/>
    </row>
    <row r="87" spans="1:27" x14ac:dyDescent="0.15">
      <c r="B87" s="207"/>
      <c r="C87" s="249"/>
      <c r="D87" s="216"/>
      <c r="E87" s="253"/>
      <c r="F87" s="104" t="s">
        <v>105</v>
      </c>
      <c r="G87" s="255"/>
      <c r="H87" s="74">
        <f>0.557-G86</f>
        <v>0.48333333333333339</v>
      </c>
      <c r="I87" s="76">
        <f>0.564-G86</f>
        <v>0.49033333333333329</v>
      </c>
      <c r="J87" s="76">
        <f>0.551-G86</f>
        <v>0.47733333333333339</v>
      </c>
      <c r="K87" s="76">
        <f t="shared" ref="K87:K88" si="62">7.2021*H87</f>
        <v>3.4810150000000002</v>
      </c>
      <c r="L87" s="76">
        <f t="shared" si="61"/>
        <v>3.5314296999999994</v>
      </c>
      <c r="M87" s="76">
        <f t="shared" si="61"/>
        <v>3.4378024000000003</v>
      </c>
      <c r="N87" s="76">
        <f t="shared" si="51"/>
        <v>3.4834157000000001</v>
      </c>
      <c r="O87" s="76">
        <f>N87/20</f>
        <v>0.17417078499999999</v>
      </c>
      <c r="P87" s="76">
        <f t="shared" si="47"/>
        <v>1.2440770357142857E-2</v>
      </c>
      <c r="Q87" s="76">
        <f t="shared" si="48"/>
        <v>1.2440770357142857E-2</v>
      </c>
      <c r="R87" s="76">
        <f t="shared" si="49"/>
        <v>0.77132776214285714</v>
      </c>
      <c r="S87" s="127"/>
      <c r="T87" s="56"/>
      <c r="U87" s="73"/>
    </row>
    <row r="88" spans="1:27" x14ac:dyDescent="0.15">
      <c r="B88" s="208"/>
      <c r="C88" s="250"/>
      <c r="D88" s="217"/>
      <c r="E88" s="254"/>
      <c r="F88" s="151" t="s">
        <v>106</v>
      </c>
      <c r="G88" s="256"/>
      <c r="H88" s="74">
        <f>0.513-G86</f>
        <v>0.43933333333333335</v>
      </c>
      <c r="I88" s="76">
        <f>0.507-G86</f>
        <v>0.43333333333333335</v>
      </c>
      <c r="J88" s="76">
        <f>0.568-G86</f>
        <v>0.49433333333333329</v>
      </c>
      <c r="K88" s="76">
        <f t="shared" si="62"/>
        <v>3.1641226000000002</v>
      </c>
      <c r="L88" s="76">
        <f t="shared" si="61"/>
        <v>3.1209099999999999</v>
      </c>
      <c r="M88" s="76">
        <f t="shared" si="61"/>
        <v>3.5602380999999994</v>
      </c>
      <c r="N88" s="76">
        <f t="shared" si="51"/>
        <v>3.2817569</v>
      </c>
      <c r="O88" s="76">
        <f>N88/20</f>
        <v>0.16408784500000001</v>
      </c>
      <c r="P88" s="76">
        <f t="shared" si="47"/>
        <v>1.1720560357142858E-2</v>
      </c>
      <c r="Q88" s="76">
        <f t="shared" si="48"/>
        <v>1.1720560357142858E-2</v>
      </c>
      <c r="R88" s="76">
        <f t="shared" si="49"/>
        <v>0.72667474214285721</v>
      </c>
      <c r="S88" s="130">
        <f>AVERAGE(R86:R88)</f>
        <v>0.7640627866666666</v>
      </c>
      <c r="T88" s="76">
        <f>STDEV(R86:R88)</f>
        <v>3.4336897288715751E-2</v>
      </c>
      <c r="U88" s="75">
        <f>T88/SQRT(3)</f>
        <v>1.9824416892776572E-2</v>
      </c>
    </row>
    <row r="89" spans="1:27" x14ac:dyDescent="0.15">
      <c r="B89" s="258" t="s">
        <v>39</v>
      </c>
      <c r="C89" s="249">
        <v>0.52083333333333337</v>
      </c>
      <c r="D89" s="216">
        <v>408</v>
      </c>
      <c r="E89" s="253">
        <v>18</v>
      </c>
      <c r="F89" s="104" t="s">
        <v>104</v>
      </c>
      <c r="G89" s="255">
        <v>6.9666666666666668E-2</v>
      </c>
      <c r="H89" s="74">
        <f>0.499-G89</f>
        <v>0.42933333333333334</v>
      </c>
      <c r="I89" s="76">
        <f>0.428-G89</f>
        <v>0.35833333333333334</v>
      </c>
      <c r="J89" s="76">
        <f>0.43-G89</f>
        <v>0.36033333333333334</v>
      </c>
      <c r="K89" s="76">
        <f>8.5378*H89</f>
        <v>3.6655621333333337</v>
      </c>
      <c r="L89" s="76">
        <f t="shared" ref="L89:M91" si="63">8.5378*I89</f>
        <v>3.0593783333333335</v>
      </c>
      <c r="M89" s="76">
        <f t="shared" si="63"/>
        <v>3.0764539333333336</v>
      </c>
      <c r="N89" s="76">
        <f t="shared" si="51"/>
        <v>3.2671314666666671</v>
      </c>
      <c r="O89" s="76">
        <f t="shared" ref="O89:O91" si="64">N89/20</f>
        <v>0.16335657333333337</v>
      </c>
      <c r="P89" s="76">
        <f t="shared" si="47"/>
        <v>1.1668326666666669E-2</v>
      </c>
      <c r="Q89" s="76">
        <f t="shared" si="48"/>
        <v>1.1668326666666669E-2</v>
      </c>
      <c r="R89" s="76">
        <f t="shared" si="49"/>
        <v>0.7234362533333335</v>
      </c>
      <c r="S89" s="127"/>
      <c r="T89" s="56"/>
      <c r="U89" s="73"/>
    </row>
    <row r="90" spans="1:27" x14ac:dyDescent="0.15">
      <c r="B90" s="258"/>
      <c r="C90" s="249"/>
      <c r="D90" s="216"/>
      <c r="E90" s="253"/>
      <c r="F90" s="104" t="s">
        <v>105</v>
      </c>
      <c r="G90" s="255"/>
      <c r="H90" s="74">
        <f>0.345-G89</f>
        <v>0.27533333333333332</v>
      </c>
      <c r="I90" s="76">
        <f>0.372-G89</f>
        <v>0.30233333333333334</v>
      </c>
      <c r="J90" s="76">
        <f>0.367-G89</f>
        <v>0.29733333333333334</v>
      </c>
      <c r="K90" s="76">
        <f t="shared" ref="K90:K91" si="65">8.5378*H90</f>
        <v>2.3507409333333333</v>
      </c>
      <c r="L90" s="76">
        <f t="shared" si="63"/>
        <v>2.5812615333333335</v>
      </c>
      <c r="M90" s="76">
        <f t="shared" si="63"/>
        <v>2.5385725333333338</v>
      </c>
      <c r="N90" s="76">
        <f t="shared" si="51"/>
        <v>2.4901916666666666</v>
      </c>
      <c r="O90" s="76">
        <f t="shared" si="64"/>
        <v>0.12450958333333333</v>
      </c>
      <c r="P90" s="76">
        <f t="shared" si="47"/>
        <v>8.8935416666666659E-3</v>
      </c>
      <c r="Q90" s="76">
        <f t="shared" si="48"/>
        <v>8.8935416666666659E-3</v>
      </c>
      <c r="R90" s="76">
        <f t="shared" si="49"/>
        <v>0.55139958333333328</v>
      </c>
      <c r="S90" s="127"/>
      <c r="T90" s="56"/>
      <c r="U90" s="73"/>
    </row>
    <row r="91" spans="1:27" ht="14" thickBot="1" x14ac:dyDescent="0.2">
      <c r="A91" s="139"/>
      <c r="B91" s="262"/>
      <c r="C91" s="263"/>
      <c r="D91" s="225"/>
      <c r="E91" s="260"/>
      <c r="F91" s="152" t="s">
        <v>106</v>
      </c>
      <c r="G91" s="261"/>
      <c r="H91" s="105">
        <f>0.368-G89</f>
        <v>0.29833333333333334</v>
      </c>
      <c r="I91" s="107">
        <f>0.365-G89</f>
        <v>0.29533333333333334</v>
      </c>
      <c r="J91" s="107">
        <f>0.383-G89</f>
        <v>0.31333333333333335</v>
      </c>
      <c r="K91" s="107">
        <f t="shared" si="65"/>
        <v>2.5471103333333338</v>
      </c>
      <c r="L91" s="107">
        <f t="shared" si="63"/>
        <v>2.5214969333333337</v>
      </c>
      <c r="M91" s="107">
        <f t="shared" si="63"/>
        <v>2.6751773333333335</v>
      </c>
      <c r="N91" s="107">
        <f t="shared" si="51"/>
        <v>2.581261533333334</v>
      </c>
      <c r="O91" s="107">
        <f t="shared" si="64"/>
        <v>0.12906307666666669</v>
      </c>
      <c r="P91" s="107">
        <f t="shared" si="47"/>
        <v>9.2187911904761926E-3</v>
      </c>
      <c r="Q91" s="107">
        <f t="shared" si="48"/>
        <v>9.2187911904761926E-3</v>
      </c>
      <c r="R91" s="107">
        <f t="shared" si="49"/>
        <v>0.57156505380952394</v>
      </c>
      <c r="S91" s="157">
        <f>AVERAGE(R89:R91)</f>
        <v>0.61546696349206353</v>
      </c>
      <c r="T91" s="107">
        <f>STDEV(R89:R91)</f>
        <v>9.4046197219785438E-2</v>
      </c>
      <c r="U91" s="106">
        <f>T91/SQRT(3)</f>
        <v>5.4297597281103761E-2</v>
      </c>
    </row>
    <row r="92" spans="1:27" x14ac:dyDescent="0.15">
      <c r="B92" s="56"/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</row>
    <row r="93" spans="1:27" x14ac:dyDescent="0.15">
      <c r="B93" s="56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</row>
    <row r="94" spans="1:27" x14ac:dyDescent="0.15">
      <c r="B94" s="56"/>
      <c r="C94" s="56"/>
      <c r="D94" s="56"/>
      <c r="E94" s="56"/>
      <c r="F94" s="56"/>
      <c r="G94" s="56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</row>
    <row r="95" spans="1:27" x14ac:dyDescent="0.15">
      <c r="B95" s="56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6"/>
      <c r="S95" s="56"/>
      <c r="T95" s="56"/>
      <c r="U95" s="56"/>
    </row>
    <row r="96" spans="1:27" x14ac:dyDescent="0.15">
      <c r="B96" s="56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56"/>
      <c r="S96" s="56"/>
      <c r="T96" s="56"/>
      <c r="U96" s="56"/>
    </row>
    <row r="97" spans="2:21" x14ac:dyDescent="0.15">
      <c r="B97" s="56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</row>
    <row r="98" spans="2:21" x14ac:dyDescent="0.15">
      <c r="B98" s="56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</row>
    <row r="99" spans="2:21" x14ac:dyDescent="0.15">
      <c r="B99" s="56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</row>
    <row r="100" spans="2:21" x14ac:dyDescent="0.15"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</row>
    <row r="101" spans="2:21" x14ac:dyDescent="0.15">
      <c r="B101" s="56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</row>
    <row r="102" spans="2:21" x14ac:dyDescent="0.15">
      <c r="B102" s="56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</row>
    <row r="103" spans="2:21" x14ac:dyDescent="0.15">
      <c r="B103" s="56"/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</row>
    <row r="104" spans="2:21" x14ac:dyDescent="0.15">
      <c r="B104" s="56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</row>
    <row r="105" spans="2:21" x14ac:dyDescent="0.15">
      <c r="B105" s="56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</row>
    <row r="106" spans="2:21" x14ac:dyDescent="0.15">
      <c r="B106" s="56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</row>
    <row r="107" spans="2:21" x14ac:dyDescent="0.15">
      <c r="B107" s="56"/>
      <c r="C107" s="56"/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</row>
    <row r="108" spans="2:21" x14ac:dyDescent="0.15">
      <c r="B108" s="56"/>
      <c r="C108" s="56"/>
      <c r="D108" s="56"/>
      <c r="E108" s="56"/>
      <c r="F108" s="56"/>
      <c r="G108" s="56"/>
      <c r="H108" s="56"/>
      <c r="I108" s="56"/>
      <c r="J108" s="56"/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</row>
    <row r="109" spans="2:21" x14ac:dyDescent="0.15">
      <c r="B109" s="56"/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</row>
    <row r="110" spans="2:21" x14ac:dyDescent="0.15"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  <c r="P110" s="56"/>
      <c r="Q110" s="56"/>
      <c r="R110" s="56"/>
      <c r="S110" s="56"/>
      <c r="T110" s="56"/>
      <c r="U110" s="56"/>
    </row>
    <row r="111" spans="2:21" x14ac:dyDescent="0.15">
      <c r="B111" s="56"/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</row>
    <row r="112" spans="2:21" x14ac:dyDescent="0.15">
      <c r="B112" s="56"/>
      <c r="C112" s="56"/>
      <c r="D112" s="56"/>
      <c r="E112" s="56"/>
      <c r="F112" s="56"/>
      <c r="G112" s="56"/>
      <c r="H112" s="56"/>
      <c r="I112" s="56"/>
      <c r="J112" s="56"/>
      <c r="K112" s="56"/>
      <c r="L112" s="56"/>
      <c r="M112" s="56"/>
      <c r="N112" s="56"/>
      <c r="O112" s="56"/>
      <c r="P112" s="56"/>
      <c r="Q112" s="56"/>
      <c r="R112" s="56"/>
      <c r="S112" s="56"/>
      <c r="T112" s="56"/>
      <c r="U112" s="56"/>
    </row>
    <row r="113" spans="2:21" x14ac:dyDescent="0.15">
      <c r="B113" s="56"/>
      <c r="C113" s="56"/>
      <c r="D113" s="56"/>
      <c r="E113" s="56"/>
      <c r="F113" s="56"/>
      <c r="G113" s="56"/>
      <c r="H113" s="56"/>
      <c r="I113" s="56"/>
      <c r="J113" s="56"/>
      <c r="K113" s="56"/>
      <c r="L113" s="56"/>
      <c r="M113" s="56"/>
      <c r="N113" s="56"/>
      <c r="O113" s="56"/>
      <c r="P113" s="56"/>
      <c r="Q113" s="56"/>
      <c r="R113" s="56"/>
      <c r="S113" s="56"/>
      <c r="T113" s="56"/>
      <c r="U113" s="56"/>
    </row>
    <row r="114" spans="2:21" x14ac:dyDescent="0.15">
      <c r="B114" s="56"/>
      <c r="C114" s="56"/>
      <c r="D114" s="56"/>
      <c r="E114" s="56"/>
      <c r="F114" s="56"/>
      <c r="G114" s="56"/>
      <c r="H114" s="56"/>
      <c r="I114" s="56"/>
      <c r="J114" s="56"/>
      <c r="K114" s="56"/>
      <c r="L114" s="56"/>
      <c r="M114" s="56"/>
      <c r="N114" s="56"/>
      <c r="O114" s="56"/>
      <c r="P114" s="56"/>
      <c r="Q114" s="56"/>
      <c r="R114" s="56"/>
      <c r="S114" s="56"/>
      <c r="T114" s="56"/>
      <c r="U114" s="56"/>
    </row>
    <row r="115" spans="2:21" x14ac:dyDescent="0.15">
      <c r="B115" s="56"/>
      <c r="C115" s="56"/>
      <c r="D115" s="56"/>
      <c r="E115" s="56"/>
      <c r="F115" s="56"/>
      <c r="G115" s="56"/>
      <c r="H115" s="56"/>
      <c r="I115" s="56"/>
      <c r="J115" s="56"/>
      <c r="K115" s="56"/>
      <c r="L115" s="56"/>
      <c r="M115" s="56"/>
      <c r="N115" s="56"/>
      <c r="O115" s="56"/>
      <c r="P115" s="56"/>
      <c r="Q115" s="56"/>
      <c r="R115" s="56"/>
      <c r="S115" s="56"/>
      <c r="T115" s="56"/>
      <c r="U115" s="56"/>
    </row>
    <row r="116" spans="2:21" x14ac:dyDescent="0.15">
      <c r="B116" s="56"/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</row>
    <row r="117" spans="2:21" x14ac:dyDescent="0.15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  <c r="P117" s="56"/>
      <c r="Q117" s="56"/>
      <c r="R117" s="56"/>
      <c r="S117" s="56"/>
      <c r="T117" s="56"/>
      <c r="U117" s="56"/>
    </row>
    <row r="118" spans="2:21" x14ac:dyDescent="0.15">
      <c r="B118" s="56"/>
      <c r="C118" s="56"/>
      <c r="D118" s="56"/>
      <c r="E118" s="56"/>
      <c r="F118" s="56"/>
      <c r="G118" s="56"/>
      <c r="H118" s="56"/>
      <c r="I118" s="56"/>
      <c r="J118" s="56"/>
      <c r="K118" s="56"/>
      <c r="L118" s="56"/>
      <c r="M118" s="56"/>
      <c r="N118" s="56"/>
      <c r="O118" s="56"/>
      <c r="P118" s="56"/>
      <c r="Q118" s="56"/>
      <c r="R118" s="56"/>
      <c r="S118" s="56"/>
      <c r="T118" s="56"/>
      <c r="U118" s="56"/>
    </row>
    <row r="119" spans="2:21" x14ac:dyDescent="0.15">
      <c r="B119" s="56"/>
      <c r="C119" s="56"/>
      <c r="D119" s="56"/>
      <c r="E119" s="56"/>
      <c r="F119" s="56"/>
      <c r="G119" s="56"/>
      <c r="H119" s="56"/>
      <c r="I119" s="56"/>
      <c r="J119" s="56"/>
      <c r="K119" s="56"/>
      <c r="L119" s="56"/>
      <c r="M119" s="56"/>
      <c r="N119" s="56"/>
      <c r="O119" s="56"/>
      <c r="P119" s="56"/>
      <c r="Q119" s="56"/>
      <c r="R119" s="56"/>
      <c r="S119" s="56"/>
      <c r="T119" s="56"/>
      <c r="U119" s="56"/>
    </row>
    <row r="120" spans="2:21" x14ac:dyDescent="0.15">
      <c r="B120" s="56"/>
      <c r="C120" s="56"/>
      <c r="D120" s="56"/>
      <c r="E120" s="56"/>
      <c r="F120" s="56"/>
      <c r="G120" s="56"/>
      <c r="H120" s="56"/>
      <c r="I120" s="56"/>
      <c r="J120" s="56"/>
      <c r="K120" s="56"/>
      <c r="L120" s="56"/>
      <c r="M120" s="56"/>
      <c r="N120" s="56"/>
      <c r="O120" s="56"/>
      <c r="P120" s="56"/>
      <c r="Q120" s="56"/>
      <c r="R120" s="56"/>
      <c r="S120" s="56"/>
      <c r="T120" s="56"/>
      <c r="U120" s="56"/>
    </row>
    <row r="121" spans="2:21" x14ac:dyDescent="0.15">
      <c r="B121" s="56"/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</row>
    <row r="122" spans="2:21" x14ac:dyDescent="0.15">
      <c r="B122" s="56"/>
      <c r="C122" s="56"/>
      <c r="D122" s="56"/>
      <c r="E122" s="56"/>
      <c r="F122" s="56"/>
      <c r="G122" s="56"/>
      <c r="H122" s="56"/>
      <c r="I122" s="56"/>
      <c r="J122" s="56"/>
      <c r="K122" s="56"/>
      <c r="L122" s="56"/>
      <c r="M122" s="56"/>
      <c r="N122" s="56"/>
      <c r="O122" s="56"/>
      <c r="P122" s="56"/>
      <c r="Q122" s="56"/>
      <c r="R122" s="56"/>
      <c r="S122" s="56"/>
      <c r="T122" s="56"/>
      <c r="U122" s="56"/>
    </row>
    <row r="123" spans="2:21" x14ac:dyDescent="0.15">
      <c r="B123" s="56"/>
      <c r="C123" s="56"/>
      <c r="D123" s="56"/>
      <c r="E123" s="56"/>
      <c r="F123" s="56"/>
      <c r="G123" s="56"/>
      <c r="H123" s="56"/>
      <c r="I123" s="56"/>
      <c r="J123" s="56"/>
      <c r="K123" s="56"/>
      <c r="L123" s="56"/>
      <c r="M123" s="56"/>
      <c r="N123" s="56"/>
      <c r="O123" s="56"/>
      <c r="P123" s="56"/>
      <c r="Q123" s="56"/>
      <c r="R123" s="56"/>
      <c r="S123" s="56"/>
      <c r="T123" s="56"/>
      <c r="U123" s="56"/>
    </row>
    <row r="124" spans="2:21" x14ac:dyDescent="0.15">
      <c r="B124" s="56"/>
      <c r="C124" s="56"/>
      <c r="D124" s="56"/>
      <c r="E124" s="56"/>
      <c r="F124" s="56"/>
      <c r="G124" s="56"/>
      <c r="H124" s="56"/>
      <c r="I124" s="56"/>
      <c r="J124" s="56"/>
      <c r="K124" s="56"/>
      <c r="L124" s="56"/>
      <c r="M124" s="56"/>
      <c r="N124" s="56"/>
      <c r="O124" s="56"/>
      <c r="P124" s="56"/>
      <c r="Q124" s="56"/>
      <c r="R124" s="56"/>
      <c r="S124" s="56"/>
      <c r="T124" s="56"/>
      <c r="U124" s="56"/>
    </row>
    <row r="125" spans="2:21" x14ac:dyDescent="0.15">
      <c r="B125" s="56"/>
      <c r="C125" s="56"/>
      <c r="D125" s="56"/>
      <c r="E125" s="56"/>
      <c r="F125" s="56"/>
      <c r="G125" s="56"/>
      <c r="H125" s="56"/>
      <c r="I125" s="56"/>
      <c r="J125" s="56"/>
      <c r="K125" s="56"/>
      <c r="L125" s="56"/>
      <c r="M125" s="56"/>
      <c r="N125" s="56"/>
      <c r="O125" s="56"/>
      <c r="P125" s="56"/>
      <c r="Q125" s="56"/>
      <c r="R125" s="56"/>
      <c r="S125" s="56"/>
      <c r="T125" s="56"/>
      <c r="U125" s="56"/>
    </row>
    <row r="126" spans="2:21" x14ac:dyDescent="0.15">
      <c r="B126" s="56"/>
      <c r="C126" s="56"/>
      <c r="D126" s="56"/>
      <c r="E126" s="56"/>
      <c r="F126" s="56"/>
      <c r="G126" s="56"/>
      <c r="H126" s="56"/>
      <c r="I126" s="56"/>
      <c r="J126" s="56"/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</row>
    <row r="127" spans="2:21" x14ac:dyDescent="0.15">
      <c r="B127" s="56"/>
      <c r="C127" s="56"/>
      <c r="D127" s="56"/>
      <c r="E127" s="56"/>
      <c r="F127" s="56"/>
      <c r="G127" s="56"/>
      <c r="H127" s="56"/>
      <c r="I127" s="56"/>
      <c r="J127" s="56"/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</row>
    <row r="128" spans="2:21" x14ac:dyDescent="0.15">
      <c r="B128" s="56"/>
      <c r="C128" s="56"/>
      <c r="D128" s="56"/>
      <c r="E128" s="56"/>
      <c r="F128" s="56"/>
      <c r="G128" s="56"/>
      <c r="H128" s="56"/>
      <c r="I128" s="56"/>
      <c r="J128" s="56"/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</row>
    <row r="129" spans="2:21" x14ac:dyDescent="0.15">
      <c r="B129" s="56"/>
      <c r="C129" s="56"/>
      <c r="D129" s="56"/>
      <c r="E129" s="56"/>
      <c r="F129" s="56"/>
      <c r="G129" s="56"/>
      <c r="H129" s="56"/>
      <c r="I129" s="56"/>
      <c r="J129" s="56"/>
      <c r="K129" s="56"/>
      <c r="L129" s="56"/>
      <c r="M129" s="56"/>
      <c r="N129" s="56"/>
      <c r="O129" s="56"/>
      <c r="P129" s="56"/>
      <c r="Q129" s="56"/>
      <c r="R129" s="56"/>
      <c r="S129" s="56"/>
      <c r="T129" s="56"/>
      <c r="U129" s="56"/>
    </row>
    <row r="130" spans="2:21" x14ac:dyDescent="0.15">
      <c r="B130" s="56"/>
      <c r="C130" s="56"/>
      <c r="D130" s="56"/>
      <c r="E130" s="56"/>
      <c r="F130" s="56"/>
      <c r="G130" s="56"/>
      <c r="H130" s="56"/>
      <c r="I130" s="56"/>
      <c r="J130" s="56"/>
      <c r="K130" s="56"/>
      <c r="L130" s="56"/>
      <c r="M130" s="56"/>
      <c r="N130" s="56"/>
      <c r="O130" s="56"/>
      <c r="P130" s="56"/>
      <c r="Q130" s="56"/>
      <c r="R130" s="56"/>
      <c r="S130" s="56"/>
      <c r="T130" s="56"/>
      <c r="U130" s="56"/>
    </row>
    <row r="131" spans="2:21" x14ac:dyDescent="0.15">
      <c r="B131" s="56"/>
      <c r="C131" s="56"/>
      <c r="D131" s="56"/>
      <c r="E131" s="56"/>
      <c r="F131" s="56"/>
      <c r="G131" s="56"/>
      <c r="H131" s="56"/>
      <c r="I131" s="56"/>
      <c r="J131" s="56"/>
      <c r="K131" s="56"/>
      <c r="L131" s="56"/>
      <c r="M131" s="56"/>
      <c r="N131" s="56"/>
      <c r="O131" s="56"/>
      <c r="P131" s="56"/>
      <c r="Q131" s="56"/>
      <c r="R131" s="56"/>
      <c r="S131" s="56"/>
      <c r="T131" s="56"/>
      <c r="U131" s="56"/>
    </row>
    <row r="132" spans="2:21" x14ac:dyDescent="0.15">
      <c r="B132" s="56"/>
      <c r="C132" s="56"/>
      <c r="D132" s="56"/>
      <c r="E132" s="56"/>
      <c r="F132" s="56"/>
      <c r="G132" s="56"/>
      <c r="H132" s="56"/>
      <c r="I132" s="56"/>
      <c r="J132" s="56"/>
      <c r="K132" s="56"/>
      <c r="L132" s="56"/>
      <c r="M132" s="56"/>
      <c r="N132" s="56"/>
      <c r="O132" s="56"/>
      <c r="P132" s="56"/>
      <c r="Q132" s="56"/>
      <c r="R132" s="56"/>
      <c r="S132" s="56"/>
      <c r="T132" s="56"/>
      <c r="U132" s="56"/>
    </row>
    <row r="133" spans="2:21" x14ac:dyDescent="0.15">
      <c r="B133" s="56"/>
      <c r="C133" s="56"/>
      <c r="D133" s="56"/>
      <c r="E133" s="56"/>
      <c r="F133" s="56"/>
      <c r="G133" s="56"/>
      <c r="H133" s="56"/>
      <c r="I133" s="56"/>
      <c r="J133" s="56"/>
      <c r="K133" s="56"/>
      <c r="L133" s="56"/>
      <c r="M133" s="56"/>
      <c r="N133" s="56"/>
      <c r="O133" s="56"/>
      <c r="P133" s="56"/>
      <c r="Q133" s="56"/>
      <c r="R133" s="56"/>
      <c r="S133" s="56"/>
      <c r="T133" s="56"/>
      <c r="U133" s="56"/>
    </row>
    <row r="134" spans="2:21" x14ac:dyDescent="0.15">
      <c r="B134" s="56"/>
      <c r="C134" s="56"/>
      <c r="D134" s="56"/>
      <c r="E134" s="56"/>
      <c r="F134" s="56"/>
      <c r="G134" s="56"/>
      <c r="H134" s="56"/>
      <c r="I134" s="56"/>
      <c r="J134" s="56"/>
      <c r="K134" s="56"/>
      <c r="L134" s="56"/>
      <c r="M134" s="56"/>
      <c r="N134" s="56"/>
      <c r="O134" s="56"/>
      <c r="P134" s="56"/>
      <c r="Q134" s="56"/>
      <c r="R134" s="56"/>
      <c r="S134" s="56"/>
      <c r="T134" s="56"/>
      <c r="U134" s="56"/>
    </row>
    <row r="135" spans="2:21" x14ac:dyDescent="0.15"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  <c r="N135" s="56"/>
      <c r="O135" s="56"/>
      <c r="P135" s="56"/>
      <c r="Q135" s="56"/>
      <c r="R135" s="56"/>
      <c r="S135" s="56"/>
      <c r="T135" s="56"/>
      <c r="U135" s="56"/>
    </row>
    <row r="136" spans="2:21" x14ac:dyDescent="0.15">
      <c r="B136" s="56"/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  <c r="N136" s="56"/>
      <c r="O136" s="56"/>
      <c r="P136" s="56"/>
      <c r="Q136" s="56"/>
      <c r="R136" s="56"/>
      <c r="S136" s="56"/>
      <c r="T136" s="56"/>
      <c r="U136" s="56"/>
    </row>
    <row r="137" spans="2:21" x14ac:dyDescent="0.15">
      <c r="B137" s="56"/>
      <c r="C137" s="56"/>
      <c r="D137" s="56"/>
      <c r="E137" s="56"/>
      <c r="F137" s="56"/>
      <c r="G137" s="56"/>
      <c r="H137" s="56"/>
      <c r="I137" s="56"/>
      <c r="J137" s="56"/>
      <c r="K137" s="56"/>
      <c r="L137" s="56"/>
      <c r="M137" s="56"/>
      <c r="N137" s="56"/>
      <c r="O137" s="56"/>
      <c r="P137" s="56"/>
      <c r="Q137" s="56"/>
      <c r="R137" s="56"/>
      <c r="S137" s="56"/>
      <c r="T137" s="56"/>
      <c r="U137" s="56"/>
    </row>
    <row r="138" spans="2:21" x14ac:dyDescent="0.15">
      <c r="B138" s="56"/>
      <c r="C138" s="56"/>
      <c r="D138" s="56"/>
      <c r="E138" s="56"/>
      <c r="F138" s="56"/>
      <c r="G138" s="56"/>
      <c r="H138" s="56"/>
      <c r="I138" s="56"/>
      <c r="J138" s="56"/>
      <c r="K138" s="56"/>
      <c r="L138" s="56"/>
      <c r="M138" s="56"/>
      <c r="N138" s="56"/>
      <c r="O138" s="56"/>
      <c r="P138" s="56"/>
      <c r="Q138" s="56"/>
      <c r="R138" s="56"/>
      <c r="S138" s="56"/>
      <c r="T138" s="56"/>
      <c r="U138" s="56"/>
    </row>
    <row r="139" spans="2:21" x14ac:dyDescent="0.15">
      <c r="B139" s="56"/>
      <c r="C139" s="56"/>
      <c r="D139" s="56"/>
      <c r="E139" s="56"/>
      <c r="F139" s="56"/>
      <c r="G139" s="56"/>
      <c r="H139" s="56"/>
      <c r="I139" s="56"/>
      <c r="J139" s="56"/>
      <c r="K139" s="56"/>
      <c r="L139" s="56"/>
      <c r="M139" s="56"/>
      <c r="N139" s="56"/>
      <c r="O139" s="56"/>
      <c r="P139" s="56"/>
      <c r="Q139" s="56"/>
      <c r="R139" s="56"/>
      <c r="S139" s="56"/>
      <c r="T139" s="56"/>
      <c r="U139" s="56"/>
    </row>
    <row r="140" spans="2:21" x14ac:dyDescent="0.15">
      <c r="B140" s="56"/>
      <c r="C140" s="56"/>
      <c r="D140" s="56"/>
      <c r="E140" s="56"/>
      <c r="F140" s="56"/>
      <c r="G140" s="56"/>
      <c r="H140" s="56"/>
      <c r="I140" s="56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</row>
    <row r="141" spans="2:21" x14ac:dyDescent="0.15">
      <c r="B141" s="56"/>
      <c r="C141" s="56"/>
      <c r="D141" s="56"/>
      <c r="E141" s="56"/>
      <c r="F141" s="56"/>
      <c r="G141" s="56"/>
      <c r="H141" s="56"/>
      <c r="I141" s="56"/>
      <c r="J141" s="56"/>
      <c r="K141" s="56"/>
      <c r="L141" s="56"/>
      <c r="M141" s="56"/>
      <c r="N141" s="56"/>
      <c r="O141" s="56"/>
      <c r="P141" s="56"/>
      <c r="Q141" s="56"/>
      <c r="R141" s="56"/>
      <c r="S141" s="56"/>
      <c r="T141" s="56"/>
      <c r="U141" s="56"/>
    </row>
    <row r="142" spans="2:21" x14ac:dyDescent="0.15">
      <c r="B142" s="56"/>
      <c r="C142" s="56"/>
      <c r="D142" s="56"/>
      <c r="E142" s="56"/>
      <c r="F142" s="56"/>
      <c r="G142" s="56"/>
      <c r="H142" s="56"/>
      <c r="I142" s="56"/>
      <c r="J142" s="56"/>
      <c r="K142" s="56"/>
      <c r="L142" s="56"/>
      <c r="M142" s="56"/>
      <c r="N142" s="56"/>
      <c r="O142" s="56"/>
      <c r="P142" s="56"/>
      <c r="Q142" s="56"/>
      <c r="R142" s="56"/>
      <c r="S142" s="56"/>
      <c r="T142" s="56"/>
      <c r="U142" s="56"/>
    </row>
    <row r="143" spans="2:21" x14ac:dyDescent="0.15">
      <c r="B143" s="56"/>
      <c r="C143" s="56"/>
      <c r="D143" s="56"/>
      <c r="E143" s="56"/>
      <c r="F143" s="56"/>
      <c r="G143" s="56"/>
      <c r="H143" s="56"/>
      <c r="I143" s="56"/>
      <c r="J143" s="56"/>
      <c r="K143" s="56"/>
      <c r="L143" s="56"/>
      <c r="M143" s="56"/>
      <c r="N143" s="56"/>
      <c r="O143" s="56"/>
      <c r="P143" s="56"/>
      <c r="Q143" s="56"/>
      <c r="R143" s="56"/>
      <c r="S143" s="56"/>
      <c r="T143" s="56"/>
      <c r="U143" s="56"/>
    </row>
    <row r="144" spans="2:21" x14ac:dyDescent="0.15">
      <c r="B144" s="56"/>
      <c r="C144" s="56"/>
      <c r="D144" s="56"/>
      <c r="E144" s="56"/>
      <c r="F144" s="56"/>
      <c r="G144" s="56"/>
      <c r="H144" s="56"/>
      <c r="I144" s="56"/>
      <c r="J144" s="56"/>
      <c r="K144" s="56"/>
      <c r="L144" s="56"/>
      <c r="M144" s="56"/>
      <c r="N144" s="56"/>
      <c r="O144" s="56"/>
      <c r="P144" s="56"/>
      <c r="Q144" s="56"/>
      <c r="R144" s="56"/>
      <c r="S144" s="56"/>
      <c r="T144" s="56"/>
      <c r="U144" s="56"/>
    </row>
    <row r="145" spans="2:21" x14ac:dyDescent="0.15"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  <c r="T145" s="56"/>
      <c r="U145" s="56"/>
    </row>
    <row r="146" spans="2:21" x14ac:dyDescent="0.15"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  <c r="T146" s="56"/>
      <c r="U146" s="56"/>
    </row>
    <row r="147" spans="2:21" x14ac:dyDescent="0.15">
      <c r="B147" s="56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6"/>
      <c r="S147" s="56"/>
      <c r="T147" s="56"/>
      <c r="U147" s="56"/>
    </row>
    <row r="148" spans="2:21" x14ac:dyDescent="0.15">
      <c r="B148" s="56"/>
      <c r="C148" s="56"/>
      <c r="D148" s="56"/>
      <c r="E148" s="56"/>
      <c r="F148" s="56"/>
      <c r="G148" s="56"/>
      <c r="H148" s="56"/>
      <c r="I148" s="56"/>
      <c r="J148" s="56"/>
      <c r="K148" s="56"/>
      <c r="L148" s="56"/>
      <c r="M148" s="56"/>
      <c r="N148" s="56"/>
      <c r="O148" s="56"/>
      <c r="P148" s="56"/>
      <c r="Q148" s="56"/>
      <c r="R148" s="56"/>
      <c r="S148" s="56"/>
      <c r="T148" s="56"/>
      <c r="U148" s="56"/>
    </row>
    <row r="149" spans="2:21" x14ac:dyDescent="0.15">
      <c r="B149" s="56"/>
      <c r="C149" s="56"/>
      <c r="D149" s="56"/>
      <c r="E149" s="56"/>
      <c r="F149" s="56"/>
      <c r="G149" s="56"/>
      <c r="H149" s="56"/>
      <c r="I149" s="56"/>
      <c r="J149" s="56"/>
      <c r="K149" s="56"/>
      <c r="L149" s="56"/>
      <c r="M149" s="56"/>
      <c r="N149" s="56"/>
      <c r="O149" s="56"/>
      <c r="P149" s="56"/>
      <c r="Q149" s="56"/>
      <c r="R149" s="56"/>
      <c r="S149" s="56"/>
      <c r="T149" s="56"/>
      <c r="U149" s="56"/>
    </row>
    <row r="150" spans="2:21" x14ac:dyDescent="0.15">
      <c r="B150" s="56"/>
      <c r="C150" s="56"/>
      <c r="D150" s="56"/>
      <c r="E150" s="56"/>
      <c r="F150" s="56"/>
      <c r="G150" s="56"/>
      <c r="H150" s="56"/>
      <c r="I150" s="56"/>
      <c r="J150" s="56"/>
      <c r="K150" s="56"/>
      <c r="L150" s="56"/>
      <c r="M150" s="56"/>
      <c r="N150" s="56"/>
      <c r="O150" s="56"/>
      <c r="P150" s="56"/>
      <c r="Q150" s="56"/>
      <c r="R150" s="56"/>
      <c r="S150" s="56"/>
      <c r="T150" s="56"/>
      <c r="U150" s="56"/>
    </row>
    <row r="151" spans="2:21" x14ac:dyDescent="0.15">
      <c r="B151" s="56"/>
      <c r="C151" s="56"/>
      <c r="D151" s="56"/>
      <c r="E151" s="56"/>
      <c r="F151" s="56"/>
      <c r="G151" s="56"/>
      <c r="H151" s="56"/>
      <c r="I151" s="56"/>
      <c r="J151" s="56"/>
      <c r="K151" s="56"/>
      <c r="L151" s="56"/>
      <c r="M151" s="56"/>
      <c r="N151" s="56"/>
      <c r="O151" s="56"/>
      <c r="P151" s="56"/>
      <c r="Q151" s="56"/>
      <c r="R151" s="56"/>
      <c r="S151" s="56"/>
      <c r="T151" s="56"/>
      <c r="U151" s="56"/>
    </row>
    <row r="152" spans="2:21" x14ac:dyDescent="0.15">
      <c r="B152" s="56"/>
      <c r="C152" s="56"/>
      <c r="D152" s="56"/>
      <c r="E152" s="56"/>
      <c r="F152" s="56"/>
      <c r="G152" s="56"/>
      <c r="H152" s="56"/>
      <c r="I152" s="56"/>
      <c r="J152" s="56"/>
      <c r="K152" s="56"/>
      <c r="L152" s="56"/>
      <c r="M152" s="56"/>
      <c r="N152" s="56"/>
      <c r="O152" s="56"/>
      <c r="P152" s="56"/>
      <c r="Q152" s="56"/>
      <c r="R152" s="56"/>
      <c r="S152" s="56"/>
      <c r="T152" s="56"/>
      <c r="U152" s="56"/>
    </row>
    <row r="153" spans="2:21" x14ac:dyDescent="0.15">
      <c r="B153" s="56"/>
      <c r="C153" s="56"/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</row>
    <row r="154" spans="2:21" x14ac:dyDescent="0.15">
      <c r="B154" s="56"/>
      <c r="C154" s="56"/>
      <c r="D154" s="56"/>
      <c r="E154" s="56"/>
      <c r="F154" s="56"/>
      <c r="G154" s="56"/>
      <c r="H154" s="56"/>
      <c r="I154" s="56"/>
      <c r="J154" s="56"/>
      <c r="K154" s="56"/>
      <c r="L154" s="56"/>
      <c r="M154" s="56"/>
      <c r="N154" s="56"/>
      <c r="O154" s="56"/>
      <c r="P154" s="56"/>
      <c r="Q154" s="56"/>
      <c r="R154" s="56"/>
      <c r="S154" s="56"/>
      <c r="T154" s="56"/>
      <c r="U154" s="56"/>
    </row>
    <row r="155" spans="2:21" x14ac:dyDescent="0.15">
      <c r="B155" s="56"/>
      <c r="C155" s="56"/>
      <c r="D155" s="56"/>
      <c r="E155" s="56"/>
      <c r="F155" s="56"/>
      <c r="G155" s="56"/>
      <c r="H155" s="56"/>
      <c r="I155" s="56"/>
      <c r="J155" s="56"/>
      <c r="K155" s="56"/>
      <c r="L155" s="56"/>
      <c r="M155" s="56"/>
      <c r="N155" s="56"/>
      <c r="O155" s="56"/>
      <c r="P155" s="56"/>
      <c r="Q155" s="56"/>
      <c r="R155" s="56"/>
      <c r="S155" s="56"/>
      <c r="T155" s="56"/>
      <c r="U155" s="56"/>
    </row>
    <row r="156" spans="2:21" x14ac:dyDescent="0.15">
      <c r="B156" s="56"/>
      <c r="C156" s="56"/>
      <c r="D156" s="56"/>
      <c r="E156" s="56"/>
      <c r="F156" s="56"/>
      <c r="G156" s="56"/>
      <c r="H156" s="56"/>
      <c r="I156" s="56"/>
      <c r="J156" s="56"/>
      <c r="K156" s="56"/>
      <c r="L156" s="56"/>
      <c r="M156" s="56"/>
      <c r="N156" s="56"/>
      <c r="O156" s="56"/>
      <c r="P156" s="56"/>
      <c r="Q156" s="56"/>
      <c r="R156" s="56"/>
      <c r="S156" s="56"/>
      <c r="T156" s="56"/>
      <c r="U156" s="56"/>
    </row>
    <row r="157" spans="2:21" x14ac:dyDescent="0.15">
      <c r="B157" s="56"/>
      <c r="C157" s="56"/>
      <c r="D157" s="56"/>
      <c r="E157" s="56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</row>
    <row r="158" spans="2:21" x14ac:dyDescent="0.15">
      <c r="B158" s="56"/>
      <c r="C158" s="56"/>
      <c r="D158" s="56"/>
      <c r="E158" s="56"/>
      <c r="F158" s="56"/>
      <c r="G158" s="56"/>
      <c r="H158" s="56"/>
      <c r="I158" s="56"/>
      <c r="J158" s="56"/>
      <c r="K158" s="56"/>
      <c r="L158" s="56"/>
      <c r="M158" s="56"/>
      <c r="N158" s="56"/>
      <c r="O158" s="56"/>
      <c r="P158" s="56"/>
      <c r="Q158" s="56"/>
      <c r="R158" s="56"/>
      <c r="S158" s="56"/>
      <c r="T158" s="56"/>
      <c r="U158" s="56"/>
    </row>
    <row r="159" spans="2:21" x14ac:dyDescent="0.15">
      <c r="B159" s="56"/>
      <c r="C159" s="56"/>
      <c r="D159" s="56"/>
      <c r="E159" s="56"/>
      <c r="F159" s="56"/>
      <c r="G159" s="56"/>
      <c r="H159" s="56"/>
      <c r="I159" s="56"/>
      <c r="J159" s="56"/>
      <c r="K159" s="56"/>
      <c r="L159" s="56"/>
      <c r="M159" s="56"/>
      <c r="N159" s="56"/>
      <c r="O159" s="56"/>
      <c r="P159" s="56"/>
      <c r="Q159" s="56"/>
      <c r="R159" s="56"/>
      <c r="S159" s="56"/>
      <c r="T159" s="56"/>
      <c r="U159" s="56"/>
    </row>
    <row r="160" spans="2:21" x14ac:dyDescent="0.15">
      <c r="B160" s="56"/>
      <c r="C160" s="56"/>
      <c r="D160" s="56"/>
      <c r="E160" s="56"/>
      <c r="F160" s="56"/>
      <c r="G160" s="56"/>
      <c r="H160" s="56"/>
      <c r="I160" s="56"/>
      <c r="J160" s="56"/>
      <c r="K160" s="56"/>
      <c r="L160" s="56"/>
      <c r="M160" s="56"/>
      <c r="N160" s="56"/>
      <c r="O160" s="56"/>
      <c r="P160" s="56"/>
      <c r="Q160" s="56"/>
      <c r="R160" s="56"/>
      <c r="S160" s="56"/>
      <c r="T160" s="56"/>
      <c r="U160" s="56"/>
    </row>
    <row r="161" spans="2:21" x14ac:dyDescent="0.15">
      <c r="B161" s="56"/>
      <c r="C161" s="56"/>
      <c r="D161" s="56"/>
      <c r="E161" s="56"/>
      <c r="F161" s="56"/>
      <c r="G161" s="56"/>
      <c r="H161" s="56"/>
      <c r="I161" s="56"/>
      <c r="J161" s="56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56"/>
    </row>
    <row r="162" spans="2:21" x14ac:dyDescent="0.15">
      <c r="B162" s="56"/>
      <c r="C162" s="56"/>
      <c r="D162" s="56"/>
      <c r="E162" s="56"/>
      <c r="F162" s="56"/>
      <c r="G162" s="56"/>
      <c r="H162" s="56"/>
      <c r="I162" s="56"/>
      <c r="J162" s="56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56"/>
    </row>
    <row r="163" spans="2:21" x14ac:dyDescent="0.15">
      <c r="B163" s="56"/>
      <c r="C163" s="56"/>
      <c r="D163" s="56"/>
      <c r="E163" s="56"/>
      <c r="F163" s="56"/>
      <c r="G163" s="56"/>
      <c r="H163" s="56"/>
      <c r="I163" s="56"/>
      <c r="J163" s="56"/>
      <c r="K163" s="56"/>
      <c r="L163" s="56"/>
      <c r="M163" s="56"/>
      <c r="N163" s="56"/>
      <c r="O163" s="56"/>
      <c r="P163" s="56"/>
      <c r="Q163" s="56"/>
      <c r="R163" s="56"/>
      <c r="S163" s="56"/>
      <c r="T163" s="56"/>
      <c r="U163" s="56"/>
    </row>
    <row r="164" spans="2:21" x14ac:dyDescent="0.15">
      <c r="B164" s="56"/>
      <c r="C164" s="56"/>
      <c r="D164" s="56"/>
      <c r="E164" s="56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</row>
    <row r="165" spans="2:21" x14ac:dyDescent="0.15">
      <c r="B165" s="56"/>
      <c r="C165" s="56"/>
      <c r="D165" s="56"/>
      <c r="E165" s="56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</row>
    <row r="166" spans="2:21" x14ac:dyDescent="0.15">
      <c r="B166" s="56"/>
      <c r="C166" s="56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</row>
    <row r="167" spans="2:21" x14ac:dyDescent="0.15">
      <c r="B167" s="56"/>
      <c r="C167" s="56"/>
      <c r="D167" s="56"/>
      <c r="E167" s="56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</row>
    <row r="168" spans="2:21" x14ac:dyDescent="0.15">
      <c r="B168" s="56"/>
      <c r="C168" s="56"/>
      <c r="D168" s="56"/>
      <c r="E168" s="56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</row>
    <row r="169" spans="2:21" x14ac:dyDescent="0.15">
      <c r="B169" s="56"/>
      <c r="C169" s="56"/>
      <c r="D169" s="56"/>
      <c r="E169" s="56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</row>
    <row r="170" spans="2:21" x14ac:dyDescent="0.15">
      <c r="B170" s="56"/>
      <c r="C170" s="56"/>
      <c r="D170" s="56"/>
      <c r="E170" s="56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</row>
    <row r="171" spans="2:21" x14ac:dyDescent="0.15">
      <c r="B171" s="56"/>
      <c r="C171" s="56"/>
      <c r="D171" s="56"/>
      <c r="E171" s="56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</row>
    <row r="172" spans="2:21" x14ac:dyDescent="0.15"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</row>
    <row r="173" spans="2:21" x14ac:dyDescent="0.15">
      <c r="B173" s="56"/>
      <c r="C173" s="56"/>
      <c r="D173" s="56"/>
      <c r="E173" s="56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</row>
    <row r="174" spans="2:21" x14ac:dyDescent="0.15">
      <c r="B174" s="56"/>
      <c r="C174" s="56"/>
      <c r="D174" s="56"/>
      <c r="E174" s="56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</row>
    <row r="175" spans="2:21" x14ac:dyDescent="0.15">
      <c r="B175" s="56"/>
      <c r="C175" s="56"/>
      <c r="D175" s="56"/>
      <c r="E175" s="56"/>
      <c r="F175" s="56"/>
      <c r="G175" s="56"/>
      <c r="H175" s="56"/>
      <c r="I175" s="56"/>
      <c r="J175" s="56"/>
      <c r="K175" s="56"/>
      <c r="L175" s="56"/>
      <c r="M175" s="56"/>
      <c r="N175" s="56"/>
      <c r="O175" s="56"/>
      <c r="P175" s="56"/>
      <c r="Q175" s="56"/>
      <c r="R175" s="56"/>
      <c r="S175" s="56"/>
      <c r="T175" s="56"/>
      <c r="U175" s="56"/>
    </row>
    <row r="176" spans="2:21" x14ac:dyDescent="0.15">
      <c r="B176" s="56"/>
      <c r="C176" s="56"/>
      <c r="D176" s="56"/>
      <c r="E176" s="56"/>
      <c r="F176" s="56"/>
      <c r="G176" s="56"/>
      <c r="H176" s="56"/>
      <c r="I176" s="56"/>
      <c r="J176" s="56"/>
      <c r="K176" s="56"/>
      <c r="L176" s="56"/>
      <c r="M176" s="56"/>
      <c r="N176" s="56"/>
      <c r="O176" s="56"/>
      <c r="P176" s="56"/>
      <c r="Q176" s="56"/>
      <c r="R176" s="56"/>
      <c r="S176" s="56"/>
      <c r="T176" s="56"/>
      <c r="U176" s="56"/>
    </row>
    <row r="177" spans="2:21" x14ac:dyDescent="0.15">
      <c r="B177" s="56"/>
      <c r="C177" s="56"/>
      <c r="D177" s="56"/>
      <c r="E177" s="56"/>
      <c r="F177" s="56"/>
      <c r="G177" s="56"/>
      <c r="H177" s="56"/>
      <c r="I177" s="56"/>
      <c r="J177" s="56"/>
      <c r="K177" s="56"/>
      <c r="L177" s="56"/>
      <c r="M177" s="56"/>
      <c r="N177" s="56"/>
      <c r="O177" s="56"/>
      <c r="P177" s="56"/>
      <c r="Q177" s="56"/>
      <c r="R177" s="56"/>
      <c r="S177" s="56"/>
      <c r="T177" s="56"/>
      <c r="U177" s="56"/>
    </row>
    <row r="178" spans="2:21" x14ac:dyDescent="0.15">
      <c r="B178" s="56"/>
      <c r="C178" s="56"/>
      <c r="D178" s="56"/>
      <c r="E178" s="56"/>
      <c r="F178" s="56"/>
      <c r="G178" s="56"/>
      <c r="H178" s="56"/>
      <c r="I178" s="56"/>
      <c r="J178" s="56"/>
      <c r="K178" s="56"/>
      <c r="L178" s="56"/>
      <c r="M178" s="56"/>
      <c r="N178" s="56"/>
      <c r="O178" s="56"/>
      <c r="P178" s="56"/>
      <c r="Q178" s="56"/>
      <c r="R178" s="56"/>
      <c r="S178" s="56"/>
      <c r="T178" s="56"/>
      <c r="U178" s="56"/>
    </row>
    <row r="179" spans="2:21" x14ac:dyDescent="0.15">
      <c r="B179" s="56"/>
      <c r="C179" s="56"/>
      <c r="D179" s="56"/>
      <c r="E179" s="56"/>
      <c r="F179" s="56"/>
      <c r="G179" s="56"/>
      <c r="H179" s="56"/>
      <c r="I179" s="56"/>
      <c r="J179" s="56"/>
      <c r="K179" s="56"/>
      <c r="L179" s="56"/>
      <c r="M179" s="56"/>
      <c r="N179" s="56"/>
      <c r="O179" s="56"/>
      <c r="P179" s="56"/>
      <c r="Q179" s="56"/>
      <c r="R179" s="56"/>
      <c r="S179" s="56"/>
      <c r="T179" s="56"/>
      <c r="U179" s="56"/>
    </row>
    <row r="180" spans="2:21" x14ac:dyDescent="0.15">
      <c r="B180" s="56"/>
      <c r="C180" s="56"/>
      <c r="D180" s="56"/>
      <c r="E180" s="56"/>
      <c r="F180" s="56"/>
      <c r="G180" s="56"/>
      <c r="H180" s="56"/>
      <c r="I180" s="56"/>
      <c r="J180" s="56"/>
      <c r="K180" s="56"/>
      <c r="L180" s="56"/>
      <c r="M180" s="56"/>
      <c r="N180" s="56"/>
      <c r="O180" s="56"/>
      <c r="P180" s="56"/>
      <c r="Q180" s="56"/>
      <c r="R180" s="56"/>
      <c r="S180" s="56"/>
      <c r="T180" s="56"/>
      <c r="U180" s="56"/>
    </row>
    <row r="181" spans="2:21" x14ac:dyDescent="0.15">
      <c r="B181" s="56"/>
      <c r="C181" s="56"/>
      <c r="D181" s="56"/>
      <c r="E181" s="56"/>
      <c r="F181" s="56"/>
      <c r="G181" s="56"/>
      <c r="H181" s="56"/>
      <c r="I181" s="56"/>
      <c r="J181" s="56"/>
      <c r="K181" s="56"/>
      <c r="L181" s="56"/>
      <c r="M181" s="56"/>
      <c r="N181" s="56"/>
      <c r="O181" s="56"/>
      <c r="P181" s="56"/>
      <c r="Q181" s="56"/>
      <c r="R181" s="56"/>
      <c r="S181" s="56"/>
      <c r="T181" s="56"/>
      <c r="U181" s="56"/>
    </row>
    <row r="182" spans="2:21" x14ac:dyDescent="0.15">
      <c r="B182" s="56"/>
      <c r="C182" s="56"/>
      <c r="D182" s="56"/>
      <c r="E182" s="56"/>
      <c r="F182" s="56"/>
      <c r="G182" s="56"/>
      <c r="H182" s="56"/>
      <c r="I182" s="56"/>
      <c r="J182" s="56"/>
      <c r="K182" s="56"/>
      <c r="L182" s="56"/>
      <c r="M182" s="56"/>
      <c r="N182" s="56"/>
      <c r="O182" s="56"/>
      <c r="P182" s="56"/>
      <c r="Q182" s="56"/>
      <c r="R182" s="56"/>
      <c r="S182" s="56"/>
      <c r="T182" s="56"/>
      <c r="U182" s="56"/>
    </row>
    <row r="183" spans="2:21" x14ac:dyDescent="0.15">
      <c r="B183" s="56"/>
      <c r="C183" s="56"/>
      <c r="D183" s="56"/>
      <c r="E183" s="56"/>
      <c r="F183" s="56"/>
      <c r="G183" s="56"/>
      <c r="H183" s="56"/>
      <c r="I183" s="56"/>
      <c r="J183" s="56"/>
      <c r="K183" s="56"/>
      <c r="L183" s="56"/>
      <c r="M183" s="56"/>
      <c r="N183" s="56"/>
      <c r="O183" s="56"/>
      <c r="P183" s="56"/>
      <c r="Q183" s="56"/>
      <c r="R183" s="56"/>
      <c r="S183" s="56"/>
      <c r="T183" s="56"/>
      <c r="U183" s="56"/>
    </row>
    <row r="184" spans="2:21" x14ac:dyDescent="0.15">
      <c r="B184" s="56"/>
      <c r="C184" s="56"/>
      <c r="D184" s="56"/>
      <c r="E184" s="56"/>
      <c r="F184" s="56"/>
      <c r="G184" s="56"/>
      <c r="H184" s="56"/>
      <c r="I184" s="56"/>
      <c r="J184" s="56"/>
      <c r="K184" s="56"/>
      <c r="L184" s="56"/>
      <c r="M184" s="56"/>
      <c r="N184" s="56"/>
      <c r="O184" s="56"/>
      <c r="P184" s="56"/>
      <c r="Q184" s="56"/>
      <c r="R184" s="56"/>
      <c r="S184" s="56"/>
      <c r="T184" s="56"/>
      <c r="U184" s="56"/>
    </row>
    <row r="185" spans="2:21" x14ac:dyDescent="0.15">
      <c r="B185" s="56"/>
      <c r="C185" s="56"/>
      <c r="D185" s="56"/>
      <c r="E185" s="56"/>
      <c r="F185" s="56"/>
      <c r="G185" s="56"/>
      <c r="H185" s="56"/>
      <c r="I185" s="56"/>
      <c r="J185" s="56"/>
      <c r="K185" s="56"/>
      <c r="L185" s="56"/>
      <c r="M185" s="56"/>
      <c r="N185" s="56"/>
      <c r="O185" s="56"/>
      <c r="P185" s="56"/>
      <c r="Q185" s="56"/>
      <c r="R185" s="56"/>
      <c r="S185" s="56"/>
      <c r="T185" s="56"/>
      <c r="U185" s="56"/>
    </row>
    <row r="186" spans="2:21" x14ac:dyDescent="0.15">
      <c r="B186" s="56"/>
      <c r="C186" s="5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  <c r="O186" s="56"/>
      <c r="P186" s="56"/>
      <c r="Q186" s="56"/>
      <c r="R186" s="56"/>
      <c r="S186" s="56"/>
      <c r="T186" s="56"/>
      <c r="U186" s="56"/>
    </row>
    <row r="187" spans="2:21" x14ac:dyDescent="0.15">
      <c r="B187" s="56"/>
      <c r="C187" s="56"/>
      <c r="D187" s="56"/>
      <c r="E187" s="56"/>
      <c r="F187" s="56"/>
      <c r="G187" s="56"/>
      <c r="H187" s="56"/>
      <c r="I187" s="56"/>
      <c r="J187" s="56"/>
      <c r="K187" s="56"/>
      <c r="L187" s="56"/>
      <c r="M187" s="56"/>
      <c r="N187" s="56"/>
      <c r="O187" s="56"/>
      <c r="P187" s="56"/>
      <c r="Q187" s="56"/>
      <c r="R187" s="56"/>
      <c r="S187" s="56"/>
      <c r="T187" s="56"/>
      <c r="U187" s="56"/>
    </row>
    <row r="188" spans="2:21" x14ac:dyDescent="0.15">
      <c r="B188" s="56"/>
      <c r="C188" s="56"/>
      <c r="D188" s="56"/>
      <c r="E188" s="56"/>
      <c r="F188" s="56"/>
      <c r="G188" s="56"/>
      <c r="H188" s="56"/>
      <c r="I188" s="56"/>
      <c r="J188" s="56"/>
      <c r="K188" s="56"/>
      <c r="L188" s="56"/>
      <c r="M188" s="56"/>
      <c r="N188" s="56"/>
      <c r="O188" s="56"/>
      <c r="P188" s="56"/>
      <c r="Q188" s="56"/>
      <c r="R188" s="56"/>
      <c r="S188" s="56"/>
      <c r="T188" s="56"/>
      <c r="U188" s="56"/>
    </row>
    <row r="189" spans="2:21" x14ac:dyDescent="0.15">
      <c r="B189" s="56"/>
      <c r="C189" s="56"/>
      <c r="D189" s="56"/>
      <c r="E189" s="56"/>
      <c r="F189" s="56"/>
      <c r="G189" s="56"/>
      <c r="H189" s="56"/>
      <c r="I189" s="56"/>
      <c r="J189" s="56"/>
      <c r="K189" s="56"/>
      <c r="L189" s="56"/>
      <c r="M189" s="56"/>
      <c r="N189" s="56"/>
      <c r="O189" s="56"/>
      <c r="P189" s="56"/>
      <c r="Q189" s="56"/>
      <c r="R189" s="56"/>
      <c r="S189" s="56"/>
      <c r="T189" s="56"/>
      <c r="U189" s="56"/>
    </row>
    <row r="190" spans="2:21" x14ac:dyDescent="0.15">
      <c r="B190" s="56"/>
      <c r="C190" s="56"/>
      <c r="D190" s="56"/>
      <c r="E190" s="56"/>
      <c r="F190" s="56"/>
      <c r="G190" s="56"/>
      <c r="H190" s="56"/>
      <c r="I190" s="56"/>
      <c r="J190" s="56"/>
      <c r="K190" s="56"/>
      <c r="L190" s="56"/>
      <c r="M190" s="56"/>
      <c r="N190" s="56"/>
      <c r="O190" s="56"/>
      <c r="P190" s="56"/>
      <c r="Q190" s="56"/>
      <c r="R190" s="56"/>
      <c r="S190" s="56"/>
      <c r="T190" s="56"/>
      <c r="U190" s="56"/>
    </row>
    <row r="191" spans="2:21" x14ac:dyDescent="0.15">
      <c r="B191" s="56"/>
      <c r="C191" s="56"/>
      <c r="D191" s="56"/>
      <c r="E191" s="56"/>
      <c r="F191" s="56"/>
      <c r="G191" s="56"/>
      <c r="H191" s="56"/>
      <c r="I191" s="56"/>
      <c r="J191" s="56"/>
      <c r="K191" s="56"/>
      <c r="L191" s="56"/>
      <c r="M191" s="56"/>
      <c r="N191" s="56"/>
      <c r="O191" s="56"/>
      <c r="P191" s="56"/>
      <c r="Q191" s="56"/>
      <c r="R191" s="56"/>
      <c r="S191" s="56"/>
      <c r="T191" s="56"/>
      <c r="U191" s="56"/>
    </row>
    <row r="192" spans="2:21" x14ac:dyDescent="0.15">
      <c r="B192" s="56"/>
      <c r="C192" s="56"/>
      <c r="D192" s="56"/>
      <c r="E192" s="56"/>
      <c r="F192" s="56"/>
      <c r="G192" s="56"/>
      <c r="H192" s="56"/>
      <c r="I192" s="56"/>
      <c r="J192" s="56"/>
      <c r="K192" s="56"/>
      <c r="L192" s="56"/>
      <c r="M192" s="56"/>
      <c r="N192" s="56"/>
      <c r="O192" s="56"/>
      <c r="P192" s="56"/>
      <c r="Q192" s="56"/>
      <c r="R192" s="56"/>
      <c r="S192" s="56"/>
      <c r="T192" s="56"/>
      <c r="U192" s="56"/>
    </row>
    <row r="193" spans="2:21" x14ac:dyDescent="0.15">
      <c r="B193" s="56"/>
      <c r="C193" s="56"/>
      <c r="D193" s="56"/>
      <c r="E193" s="56"/>
      <c r="F193" s="56"/>
      <c r="G193" s="56"/>
      <c r="H193" s="56"/>
      <c r="I193" s="56"/>
      <c r="J193" s="56"/>
      <c r="K193" s="56"/>
      <c r="L193" s="56"/>
      <c r="M193" s="56"/>
      <c r="N193" s="56"/>
      <c r="O193" s="56"/>
      <c r="P193" s="56"/>
      <c r="Q193" s="56"/>
      <c r="R193" s="56"/>
      <c r="S193" s="56"/>
      <c r="T193" s="56"/>
      <c r="U193" s="56"/>
    </row>
    <row r="194" spans="2:21" x14ac:dyDescent="0.15">
      <c r="B194" s="56"/>
      <c r="C194" s="56"/>
      <c r="D194" s="56"/>
      <c r="E194" s="56"/>
      <c r="F194" s="56"/>
      <c r="G194" s="56"/>
      <c r="H194" s="56"/>
      <c r="I194" s="56"/>
      <c r="J194" s="56"/>
      <c r="K194" s="56"/>
      <c r="L194" s="56"/>
      <c r="M194" s="56"/>
      <c r="N194" s="56"/>
      <c r="O194" s="56"/>
      <c r="P194" s="56"/>
      <c r="Q194" s="56"/>
      <c r="R194" s="56"/>
      <c r="S194" s="56"/>
      <c r="T194" s="56"/>
      <c r="U194" s="56"/>
    </row>
    <row r="195" spans="2:21" x14ac:dyDescent="0.15">
      <c r="B195" s="56"/>
      <c r="C195" s="56"/>
      <c r="D195" s="56"/>
      <c r="E195" s="56"/>
      <c r="F195" s="56"/>
      <c r="G195" s="56"/>
      <c r="H195" s="56"/>
      <c r="I195" s="56"/>
      <c r="J195" s="56"/>
      <c r="K195" s="56"/>
      <c r="L195" s="56"/>
      <c r="M195" s="56"/>
      <c r="N195" s="56"/>
      <c r="O195" s="56"/>
      <c r="P195" s="56"/>
      <c r="Q195" s="56"/>
      <c r="R195" s="56"/>
      <c r="S195" s="56"/>
      <c r="T195" s="56"/>
      <c r="U195" s="56"/>
    </row>
    <row r="196" spans="2:21" x14ac:dyDescent="0.15">
      <c r="B196" s="56"/>
      <c r="C196" s="56"/>
      <c r="D196" s="56"/>
      <c r="E196" s="56"/>
      <c r="F196" s="56"/>
      <c r="G196" s="56"/>
      <c r="H196" s="56"/>
      <c r="I196" s="56"/>
      <c r="J196" s="56"/>
      <c r="K196" s="56"/>
      <c r="L196" s="56"/>
      <c r="M196" s="56"/>
      <c r="N196" s="56"/>
      <c r="O196" s="56"/>
      <c r="P196" s="56"/>
      <c r="Q196" s="56"/>
      <c r="R196" s="56"/>
      <c r="S196" s="56"/>
      <c r="T196" s="56"/>
      <c r="U196" s="56"/>
    </row>
    <row r="197" spans="2:21" x14ac:dyDescent="0.15">
      <c r="B197" s="56"/>
      <c r="C197" s="56"/>
      <c r="D197" s="56"/>
      <c r="E197" s="56"/>
      <c r="F197" s="56"/>
      <c r="G197" s="56"/>
      <c r="H197" s="56"/>
      <c r="I197" s="56"/>
      <c r="J197" s="56"/>
      <c r="K197" s="56"/>
      <c r="L197" s="56"/>
      <c r="M197" s="56"/>
      <c r="N197" s="56"/>
      <c r="O197" s="56"/>
      <c r="P197" s="56"/>
      <c r="Q197" s="56"/>
      <c r="R197" s="56"/>
      <c r="S197" s="56"/>
      <c r="T197" s="56"/>
      <c r="U197" s="56"/>
    </row>
    <row r="198" spans="2:21" x14ac:dyDescent="0.15">
      <c r="B198" s="56"/>
      <c r="C198" s="56"/>
      <c r="D198" s="56"/>
      <c r="E198" s="56"/>
      <c r="F198" s="56"/>
      <c r="G198" s="56"/>
      <c r="H198" s="56"/>
      <c r="I198" s="56"/>
      <c r="J198" s="56"/>
      <c r="K198" s="56"/>
      <c r="L198" s="56"/>
      <c r="M198" s="56"/>
      <c r="N198" s="56"/>
      <c r="O198" s="56"/>
      <c r="P198" s="56"/>
      <c r="Q198" s="56"/>
      <c r="R198" s="56"/>
      <c r="S198" s="56"/>
      <c r="T198" s="56"/>
      <c r="U198" s="56"/>
    </row>
    <row r="199" spans="2:21" x14ac:dyDescent="0.15">
      <c r="B199" s="56"/>
      <c r="C199" s="56"/>
      <c r="D199" s="56"/>
      <c r="E199" s="56"/>
      <c r="F199" s="56"/>
      <c r="G199" s="56"/>
      <c r="H199" s="56"/>
      <c r="I199" s="56"/>
      <c r="J199" s="56"/>
      <c r="K199" s="56"/>
      <c r="L199" s="56"/>
      <c r="M199" s="56"/>
      <c r="N199" s="56"/>
      <c r="O199" s="56"/>
      <c r="P199" s="56"/>
      <c r="Q199" s="56"/>
      <c r="R199" s="56"/>
      <c r="S199" s="56"/>
      <c r="T199" s="56"/>
      <c r="U199" s="56"/>
    </row>
    <row r="200" spans="2:21" x14ac:dyDescent="0.15">
      <c r="B200" s="56"/>
      <c r="C200" s="56"/>
      <c r="D200" s="56"/>
      <c r="E200" s="56"/>
      <c r="F200" s="56"/>
      <c r="G200" s="56"/>
      <c r="H200" s="56"/>
      <c r="I200" s="56"/>
      <c r="J200" s="56"/>
      <c r="K200" s="56"/>
      <c r="L200" s="56"/>
      <c r="M200" s="56"/>
      <c r="N200" s="56"/>
      <c r="O200" s="56"/>
      <c r="P200" s="56"/>
      <c r="Q200" s="56"/>
      <c r="R200" s="56"/>
      <c r="S200" s="56"/>
      <c r="T200" s="56"/>
      <c r="U200" s="56"/>
    </row>
    <row r="201" spans="2:21" x14ac:dyDescent="0.15">
      <c r="B201" s="56"/>
      <c r="C201" s="56"/>
      <c r="D201" s="56"/>
      <c r="E201" s="56"/>
      <c r="F201" s="56"/>
      <c r="G201" s="56"/>
      <c r="H201" s="56"/>
      <c r="I201" s="56"/>
      <c r="J201" s="56"/>
      <c r="K201" s="56"/>
      <c r="L201" s="56"/>
      <c r="M201" s="56"/>
      <c r="N201" s="56"/>
      <c r="O201" s="56"/>
      <c r="P201" s="56"/>
      <c r="Q201" s="56"/>
      <c r="R201" s="56"/>
      <c r="S201" s="56"/>
      <c r="T201" s="56"/>
      <c r="U201" s="56"/>
    </row>
    <row r="202" spans="2:21" x14ac:dyDescent="0.15">
      <c r="B202" s="56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6"/>
      <c r="N202" s="56"/>
      <c r="O202" s="56"/>
      <c r="P202" s="56"/>
      <c r="Q202" s="56"/>
      <c r="R202" s="56"/>
      <c r="S202" s="56"/>
      <c r="T202" s="56"/>
      <c r="U202" s="56"/>
    </row>
    <row r="203" spans="2:21" x14ac:dyDescent="0.15">
      <c r="B203" s="56"/>
      <c r="C203" s="56"/>
      <c r="D203" s="56"/>
      <c r="E203" s="56"/>
      <c r="F203" s="56"/>
      <c r="G203" s="56"/>
      <c r="H203" s="56"/>
      <c r="I203" s="56"/>
      <c r="J203" s="56"/>
      <c r="K203" s="56"/>
      <c r="L203" s="56"/>
      <c r="M203" s="56"/>
      <c r="N203" s="56"/>
      <c r="O203" s="56"/>
      <c r="P203" s="56"/>
      <c r="Q203" s="56"/>
      <c r="R203" s="56"/>
      <c r="S203" s="56"/>
      <c r="T203" s="56"/>
      <c r="U203" s="56"/>
    </row>
    <row r="204" spans="2:21" x14ac:dyDescent="0.15">
      <c r="B204" s="56"/>
      <c r="C204" s="56"/>
      <c r="D204" s="56"/>
      <c r="E204" s="56"/>
      <c r="F204" s="56"/>
      <c r="G204" s="56"/>
      <c r="H204" s="56"/>
      <c r="I204" s="56"/>
      <c r="J204" s="56"/>
      <c r="K204" s="56"/>
      <c r="L204" s="56"/>
      <c r="M204" s="56"/>
      <c r="N204" s="56"/>
      <c r="O204" s="56"/>
      <c r="P204" s="56"/>
      <c r="Q204" s="56"/>
      <c r="R204" s="56"/>
      <c r="S204" s="56"/>
      <c r="T204" s="56"/>
      <c r="U204" s="56"/>
    </row>
    <row r="205" spans="2:21" x14ac:dyDescent="0.15">
      <c r="B205" s="56"/>
      <c r="C205" s="56"/>
      <c r="D205" s="56"/>
      <c r="E205" s="56"/>
      <c r="F205" s="56"/>
      <c r="G205" s="56"/>
      <c r="H205" s="56"/>
      <c r="I205" s="56"/>
      <c r="J205" s="56"/>
      <c r="K205" s="56"/>
      <c r="L205" s="56"/>
      <c r="M205" s="56"/>
      <c r="N205" s="56"/>
      <c r="O205" s="56"/>
      <c r="P205" s="56"/>
      <c r="Q205" s="56"/>
      <c r="R205" s="56"/>
      <c r="S205" s="56"/>
      <c r="T205" s="56"/>
      <c r="U205" s="56"/>
    </row>
    <row r="206" spans="2:21" x14ac:dyDescent="0.15">
      <c r="B206" s="56"/>
      <c r="C206" s="56"/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</row>
    <row r="207" spans="2:21" x14ac:dyDescent="0.15">
      <c r="B207" s="56"/>
      <c r="C207" s="56"/>
      <c r="D207" s="56"/>
      <c r="E207" s="56"/>
      <c r="F207" s="56"/>
      <c r="G207" s="56"/>
      <c r="H207" s="56"/>
      <c r="I207" s="56"/>
      <c r="J207" s="56"/>
      <c r="K207" s="56"/>
      <c r="L207" s="56"/>
      <c r="M207" s="56"/>
      <c r="N207" s="56"/>
      <c r="O207" s="56"/>
      <c r="P207" s="56"/>
      <c r="Q207" s="56"/>
      <c r="R207" s="56"/>
      <c r="S207" s="56"/>
      <c r="T207" s="56"/>
      <c r="U207" s="56"/>
    </row>
    <row r="208" spans="2:21" x14ac:dyDescent="0.15">
      <c r="B208" s="56"/>
      <c r="C208" s="56"/>
      <c r="D208" s="56"/>
      <c r="E208" s="56"/>
      <c r="F208" s="56"/>
      <c r="G208" s="56"/>
      <c r="H208" s="56"/>
      <c r="I208" s="56"/>
      <c r="J208" s="56"/>
      <c r="K208" s="56"/>
      <c r="L208" s="56"/>
      <c r="M208" s="56"/>
      <c r="N208" s="56"/>
      <c r="O208" s="56"/>
      <c r="P208" s="56"/>
      <c r="Q208" s="56"/>
      <c r="R208" s="56"/>
      <c r="S208" s="56"/>
      <c r="T208" s="56"/>
      <c r="U208" s="56"/>
    </row>
    <row r="209" spans="2:21" x14ac:dyDescent="0.15">
      <c r="B209" s="56"/>
      <c r="C209" s="56"/>
      <c r="D209" s="56"/>
      <c r="E209" s="56"/>
      <c r="F209" s="56"/>
      <c r="G209" s="56"/>
      <c r="H209" s="56"/>
      <c r="I209" s="56"/>
      <c r="J209" s="56"/>
      <c r="K209" s="56"/>
      <c r="L209" s="56"/>
      <c r="M209" s="56"/>
      <c r="N209" s="56"/>
      <c r="O209" s="56"/>
      <c r="P209" s="56"/>
      <c r="Q209" s="56"/>
      <c r="R209" s="56"/>
      <c r="S209" s="56"/>
      <c r="T209" s="56"/>
      <c r="U209" s="56"/>
    </row>
    <row r="210" spans="2:21" x14ac:dyDescent="0.15">
      <c r="B210" s="56"/>
      <c r="C210" s="56"/>
      <c r="D210" s="56"/>
      <c r="E210" s="56"/>
      <c r="F210" s="56"/>
      <c r="G210" s="56"/>
      <c r="H210" s="56"/>
      <c r="I210" s="56"/>
      <c r="J210" s="56"/>
      <c r="K210" s="56"/>
      <c r="L210" s="56"/>
      <c r="M210" s="56"/>
      <c r="N210" s="56"/>
      <c r="O210" s="56"/>
      <c r="P210" s="56"/>
      <c r="Q210" s="56"/>
      <c r="R210" s="56"/>
      <c r="S210" s="56"/>
      <c r="T210" s="56"/>
      <c r="U210" s="56"/>
    </row>
    <row r="211" spans="2:21" x14ac:dyDescent="0.15">
      <c r="B211" s="56"/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6"/>
      <c r="R211" s="56"/>
      <c r="S211" s="56"/>
      <c r="T211" s="56"/>
      <c r="U211" s="56"/>
    </row>
    <row r="212" spans="2:21" x14ac:dyDescent="0.15">
      <c r="B212" s="56"/>
      <c r="C212" s="56"/>
      <c r="D212" s="56"/>
      <c r="E212" s="56"/>
      <c r="F212" s="56"/>
      <c r="G212" s="56"/>
      <c r="H212" s="56"/>
      <c r="I212" s="56"/>
      <c r="J212" s="56"/>
      <c r="K212" s="56"/>
      <c r="L212" s="56"/>
      <c r="M212" s="56"/>
      <c r="N212" s="56"/>
      <c r="O212" s="56"/>
      <c r="P212" s="56"/>
      <c r="Q212" s="56"/>
      <c r="R212" s="56"/>
      <c r="S212" s="56"/>
      <c r="T212" s="56"/>
      <c r="U212" s="56"/>
    </row>
    <row r="213" spans="2:21" x14ac:dyDescent="0.15">
      <c r="B213" s="56"/>
      <c r="C213" s="56"/>
      <c r="D213" s="56"/>
      <c r="E213" s="56"/>
      <c r="F213" s="56"/>
      <c r="G213" s="56"/>
      <c r="H213" s="56"/>
      <c r="I213" s="56"/>
      <c r="J213" s="56"/>
      <c r="K213" s="56"/>
      <c r="L213" s="56"/>
      <c r="M213" s="56"/>
      <c r="N213" s="56"/>
      <c r="O213" s="56"/>
      <c r="P213" s="56"/>
      <c r="Q213" s="56"/>
      <c r="R213" s="56"/>
      <c r="S213" s="56"/>
      <c r="T213" s="56"/>
      <c r="U213" s="56"/>
    </row>
    <row r="214" spans="2:21" x14ac:dyDescent="0.15">
      <c r="B214" s="56"/>
      <c r="C214" s="56"/>
      <c r="D214" s="56"/>
      <c r="E214" s="56"/>
      <c r="F214" s="56"/>
      <c r="G214" s="56"/>
      <c r="H214" s="56"/>
      <c r="I214" s="56"/>
      <c r="J214" s="56"/>
      <c r="K214" s="56"/>
      <c r="L214" s="56"/>
      <c r="M214" s="56"/>
      <c r="N214" s="56"/>
      <c r="O214" s="56"/>
      <c r="P214" s="56"/>
      <c r="Q214" s="56"/>
      <c r="R214" s="56"/>
      <c r="S214" s="56"/>
      <c r="T214" s="56"/>
      <c r="U214" s="56"/>
    </row>
    <row r="215" spans="2:21" x14ac:dyDescent="0.15">
      <c r="B215" s="56"/>
      <c r="C215" s="56"/>
      <c r="D215" s="56"/>
      <c r="E215" s="56"/>
      <c r="F215" s="56"/>
      <c r="G215" s="56"/>
      <c r="H215" s="56"/>
      <c r="I215" s="56"/>
      <c r="J215" s="56"/>
      <c r="K215" s="56"/>
      <c r="L215" s="56"/>
      <c r="M215" s="56"/>
      <c r="N215" s="56"/>
      <c r="O215" s="56"/>
      <c r="P215" s="56"/>
      <c r="Q215" s="56"/>
      <c r="R215" s="56"/>
      <c r="S215" s="56"/>
      <c r="T215" s="56"/>
      <c r="U215" s="56"/>
    </row>
    <row r="216" spans="2:21" x14ac:dyDescent="0.15">
      <c r="B216" s="56"/>
      <c r="C216" s="56"/>
      <c r="D216" s="56"/>
      <c r="E216" s="56"/>
      <c r="F216" s="56"/>
      <c r="G216" s="56"/>
      <c r="H216" s="56"/>
      <c r="I216" s="56"/>
      <c r="J216" s="56"/>
      <c r="K216" s="56"/>
      <c r="L216" s="56"/>
      <c r="M216" s="56"/>
      <c r="N216" s="56"/>
      <c r="O216" s="56"/>
      <c r="P216" s="56"/>
      <c r="Q216" s="56"/>
      <c r="R216" s="56"/>
      <c r="S216" s="56"/>
      <c r="T216" s="56"/>
      <c r="U216" s="56"/>
    </row>
    <row r="217" spans="2:21" x14ac:dyDescent="0.15">
      <c r="B217" s="56"/>
      <c r="C217" s="56"/>
      <c r="D217" s="56"/>
      <c r="E217" s="56"/>
      <c r="F217" s="56"/>
      <c r="G217" s="56"/>
      <c r="H217" s="56"/>
      <c r="I217" s="56"/>
      <c r="J217" s="56"/>
      <c r="K217" s="56"/>
      <c r="L217" s="56"/>
      <c r="M217" s="56"/>
      <c r="N217" s="56"/>
      <c r="O217" s="56"/>
      <c r="P217" s="56"/>
      <c r="Q217" s="56"/>
      <c r="R217" s="56"/>
      <c r="S217" s="56"/>
      <c r="T217" s="56"/>
      <c r="U217" s="56"/>
    </row>
    <row r="218" spans="2:21" x14ac:dyDescent="0.15">
      <c r="B218" s="56"/>
      <c r="C218" s="56"/>
      <c r="D218" s="56"/>
      <c r="E218" s="56"/>
      <c r="F218" s="56"/>
      <c r="G218" s="56"/>
      <c r="H218" s="56"/>
      <c r="I218" s="56"/>
      <c r="J218" s="56"/>
      <c r="K218" s="56"/>
      <c r="L218" s="56"/>
      <c r="M218" s="56"/>
      <c r="N218" s="56"/>
      <c r="O218" s="56"/>
      <c r="P218" s="56"/>
      <c r="Q218" s="56"/>
      <c r="R218" s="56"/>
      <c r="S218" s="56"/>
      <c r="T218" s="56"/>
      <c r="U218" s="56"/>
    </row>
    <row r="219" spans="2:21" x14ac:dyDescent="0.15"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</row>
    <row r="220" spans="2:21" x14ac:dyDescent="0.15">
      <c r="B220" s="56"/>
      <c r="C220" s="56"/>
      <c r="D220" s="56"/>
      <c r="E220" s="56"/>
      <c r="F220" s="56"/>
      <c r="G220" s="56"/>
      <c r="H220" s="56"/>
      <c r="I220" s="56"/>
      <c r="J220" s="56"/>
      <c r="K220" s="56"/>
      <c r="L220" s="56"/>
      <c r="M220" s="56"/>
      <c r="N220" s="56"/>
      <c r="O220" s="56"/>
      <c r="P220" s="56"/>
      <c r="Q220" s="56"/>
      <c r="R220" s="56"/>
      <c r="S220" s="56"/>
      <c r="T220" s="56"/>
      <c r="U220" s="56"/>
    </row>
    <row r="221" spans="2:21" x14ac:dyDescent="0.15">
      <c r="B221" s="56"/>
      <c r="C221" s="56"/>
      <c r="D221" s="56"/>
      <c r="E221" s="56"/>
      <c r="F221" s="56"/>
      <c r="G221" s="56"/>
      <c r="H221" s="56"/>
      <c r="I221" s="56"/>
      <c r="J221" s="56"/>
      <c r="K221" s="56"/>
      <c r="L221" s="56"/>
      <c r="M221" s="56"/>
      <c r="N221" s="56"/>
      <c r="O221" s="56"/>
      <c r="P221" s="56"/>
      <c r="Q221" s="56"/>
      <c r="R221" s="56"/>
      <c r="S221" s="56"/>
      <c r="T221" s="56"/>
      <c r="U221" s="56"/>
    </row>
    <row r="222" spans="2:21" x14ac:dyDescent="0.15"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</row>
    <row r="223" spans="2:21" x14ac:dyDescent="0.15">
      <c r="B223" s="56"/>
      <c r="C223" s="56"/>
      <c r="D223" s="56"/>
      <c r="E223" s="56"/>
      <c r="F223" s="56"/>
      <c r="G223" s="56"/>
      <c r="H223" s="56"/>
      <c r="I223" s="56"/>
      <c r="J223" s="56"/>
      <c r="K223" s="56"/>
      <c r="L223" s="56"/>
      <c r="M223" s="56"/>
      <c r="N223" s="56"/>
      <c r="O223" s="56"/>
      <c r="P223" s="56"/>
      <c r="Q223" s="56"/>
      <c r="R223" s="56"/>
      <c r="S223" s="56"/>
      <c r="T223" s="56"/>
      <c r="U223" s="56"/>
    </row>
    <row r="224" spans="2:21" x14ac:dyDescent="0.15">
      <c r="B224" s="56"/>
      <c r="C224" s="56"/>
      <c r="D224" s="56"/>
      <c r="E224" s="56"/>
      <c r="F224" s="56"/>
      <c r="G224" s="56"/>
      <c r="H224" s="56"/>
      <c r="I224" s="56"/>
      <c r="J224" s="56"/>
      <c r="K224" s="56"/>
      <c r="L224" s="56"/>
      <c r="M224" s="56"/>
      <c r="N224" s="56"/>
      <c r="O224" s="56"/>
      <c r="P224" s="56"/>
      <c r="Q224" s="56"/>
      <c r="R224" s="56"/>
      <c r="S224" s="56"/>
      <c r="T224" s="56"/>
      <c r="U224" s="56"/>
    </row>
    <row r="225" spans="2:21" x14ac:dyDescent="0.15">
      <c r="B225" s="56"/>
      <c r="C225" s="56"/>
      <c r="D225" s="56"/>
      <c r="E225" s="56"/>
      <c r="F225" s="56"/>
      <c r="G225" s="56"/>
      <c r="H225" s="56"/>
      <c r="I225" s="56"/>
      <c r="J225" s="56"/>
      <c r="K225" s="56"/>
      <c r="L225" s="56"/>
      <c r="M225" s="56"/>
      <c r="N225" s="56"/>
      <c r="O225" s="56"/>
      <c r="P225" s="56"/>
      <c r="Q225" s="56"/>
      <c r="R225" s="56"/>
      <c r="S225" s="56"/>
      <c r="T225" s="56"/>
      <c r="U225" s="56"/>
    </row>
    <row r="226" spans="2:21" x14ac:dyDescent="0.15">
      <c r="B226" s="56"/>
      <c r="C226" s="56"/>
      <c r="D226" s="56"/>
      <c r="E226" s="56"/>
      <c r="F226" s="56"/>
      <c r="G226" s="56"/>
      <c r="H226" s="56"/>
      <c r="I226" s="56"/>
      <c r="J226" s="56"/>
      <c r="K226" s="56"/>
      <c r="L226" s="56"/>
      <c r="M226" s="56"/>
      <c r="N226" s="56"/>
      <c r="O226" s="56"/>
      <c r="P226" s="56"/>
      <c r="Q226" s="56"/>
      <c r="R226" s="56"/>
      <c r="S226" s="56"/>
      <c r="T226" s="56"/>
      <c r="U226" s="56"/>
    </row>
    <row r="227" spans="2:21" x14ac:dyDescent="0.15">
      <c r="B227" s="56"/>
      <c r="C227" s="56"/>
      <c r="D227" s="56"/>
      <c r="E227" s="56"/>
      <c r="F227" s="56"/>
      <c r="G227" s="56"/>
      <c r="H227" s="56"/>
      <c r="I227" s="56"/>
      <c r="J227" s="56"/>
      <c r="K227" s="56"/>
      <c r="L227" s="56"/>
      <c r="M227" s="56"/>
      <c r="N227" s="56"/>
      <c r="O227" s="56"/>
      <c r="P227" s="56"/>
      <c r="Q227" s="56"/>
      <c r="R227" s="56"/>
      <c r="S227" s="56"/>
      <c r="T227" s="56"/>
      <c r="U227" s="56"/>
    </row>
    <row r="228" spans="2:21" x14ac:dyDescent="0.15">
      <c r="B228" s="56"/>
      <c r="C228" s="56"/>
      <c r="D228" s="56"/>
      <c r="E228" s="56"/>
      <c r="F228" s="56"/>
      <c r="G228" s="56"/>
      <c r="H228" s="56"/>
      <c r="I228" s="56"/>
      <c r="J228" s="56"/>
      <c r="K228" s="56"/>
      <c r="L228" s="56"/>
      <c r="M228" s="56"/>
      <c r="N228" s="56"/>
      <c r="O228" s="56"/>
      <c r="P228" s="56"/>
      <c r="Q228" s="56"/>
      <c r="R228" s="56"/>
      <c r="S228" s="56"/>
      <c r="T228" s="56"/>
      <c r="U228" s="56"/>
    </row>
    <row r="229" spans="2:21" x14ac:dyDescent="0.15">
      <c r="B229" s="56"/>
      <c r="C229" s="56"/>
      <c r="D229" s="56"/>
      <c r="E229" s="56"/>
      <c r="F229" s="56"/>
      <c r="G229" s="56"/>
      <c r="H229" s="56"/>
      <c r="I229" s="56"/>
      <c r="J229" s="56"/>
      <c r="K229" s="56"/>
      <c r="L229" s="56"/>
      <c r="M229" s="56"/>
      <c r="N229" s="56"/>
      <c r="O229" s="56"/>
      <c r="P229" s="56"/>
      <c r="Q229" s="56"/>
      <c r="R229" s="56"/>
      <c r="S229" s="56"/>
      <c r="T229" s="56"/>
      <c r="U229" s="56"/>
    </row>
    <row r="230" spans="2:21" x14ac:dyDescent="0.15">
      <c r="B230" s="56"/>
      <c r="C230" s="56"/>
      <c r="D230" s="56"/>
      <c r="E230" s="56"/>
      <c r="F230" s="56"/>
      <c r="G230" s="56"/>
      <c r="H230" s="56"/>
      <c r="I230" s="56"/>
      <c r="J230" s="56"/>
      <c r="K230" s="56"/>
      <c r="L230" s="56"/>
      <c r="M230" s="56"/>
      <c r="N230" s="56"/>
      <c r="O230" s="56"/>
      <c r="P230" s="56"/>
      <c r="Q230" s="56"/>
      <c r="R230" s="56"/>
      <c r="S230" s="56"/>
      <c r="T230" s="56"/>
      <c r="U230" s="56"/>
    </row>
    <row r="231" spans="2:21" x14ac:dyDescent="0.15">
      <c r="B231" s="56"/>
      <c r="C231" s="56"/>
      <c r="D231" s="56"/>
      <c r="E231" s="56"/>
      <c r="F231" s="56"/>
      <c r="G231" s="56"/>
      <c r="H231" s="56"/>
      <c r="I231" s="56"/>
      <c r="J231" s="56"/>
      <c r="K231" s="56"/>
      <c r="L231" s="56"/>
      <c r="M231" s="56"/>
      <c r="N231" s="56"/>
      <c r="O231" s="56"/>
      <c r="P231" s="56"/>
      <c r="Q231" s="56"/>
      <c r="R231" s="56"/>
      <c r="S231" s="56"/>
      <c r="T231" s="56"/>
      <c r="U231" s="56"/>
    </row>
    <row r="232" spans="2:21" x14ac:dyDescent="0.15">
      <c r="B232" s="56"/>
      <c r="C232" s="56"/>
      <c r="D232" s="56"/>
      <c r="E232" s="56"/>
      <c r="F232" s="56"/>
      <c r="G232" s="56"/>
      <c r="H232" s="56"/>
      <c r="I232" s="56"/>
      <c r="J232" s="56"/>
      <c r="K232" s="56"/>
      <c r="L232" s="56"/>
      <c r="M232" s="56"/>
      <c r="N232" s="56"/>
      <c r="O232" s="56"/>
      <c r="P232" s="56"/>
      <c r="Q232" s="56"/>
      <c r="R232" s="56"/>
      <c r="S232" s="56"/>
      <c r="T232" s="56"/>
      <c r="U232" s="56"/>
    </row>
    <row r="233" spans="2:21" x14ac:dyDescent="0.15">
      <c r="B233" s="56"/>
      <c r="C233" s="56"/>
      <c r="D233" s="56"/>
      <c r="E233" s="56"/>
      <c r="F233" s="56"/>
      <c r="G233" s="56"/>
      <c r="H233" s="56"/>
      <c r="I233" s="56"/>
      <c r="J233" s="56"/>
      <c r="K233" s="56"/>
      <c r="L233" s="56"/>
      <c r="M233" s="56"/>
      <c r="N233" s="56"/>
      <c r="O233" s="56"/>
      <c r="P233" s="56"/>
      <c r="Q233" s="56"/>
      <c r="R233" s="56"/>
      <c r="S233" s="56"/>
      <c r="T233" s="56"/>
      <c r="U233" s="56"/>
    </row>
    <row r="234" spans="2:21" x14ac:dyDescent="0.15">
      <c r="B234" s="56"/>
      <c r="C234" s="56"/>
      <c r="D234" s="56"/>
      <c r="E234" s="56"/>
      <c r="F234" s="56"/>
      <c r="G234" s="56"/>
      <c r="H234" s="56"/>
      <c r="I234" s="56"/>
      <c r="J234" s="56"/>
      <c r="K234" s="56"/>
      <c r="L234" s="56"/>
      <c r="M234" s="56"/>
      <c r="N234" s="56"/>
      <c r="O234" s="56"/>
      <c r="P234" s="56"/>
      <c r="Q234" s="56"/>
      <c r="R234" s="56"/>
      <c r="S234" s="56"/>
      <c r="T234" s="56"/>
      <c r="U234" s="56"/>
    </row>
    <row r="235" spans="2:21" x14ac:dyDescent="0.15">
      <c r="B235" s="56"/>
      <c r="C235" s="56"/>
      <c r="D235" s="56"/>
      <c r="E235" s="56"/>
      <c r="F235" s="56"/>
      <c r="G235" s="56"/>
      <c r="H235" s="56"/>
      <c r="I235" s="56"/>
      <c r="J235" s="56"/>
      <c r="K235" s="56"/>
      <c r="L235" s="56"/>
      <c r="M235" s="56"/>
      <c r="N235" s="56"/>
      <c r="O235" s="56"/>
      <c r="P235" s="56"/>
      <c r="Q235" s="56"/>
      <c r="R235" s="56"/>
      <c r="S235" s="56"/>
      <c r="T235" s="56"/>
      <c r="U235" s="56"/>
    </row>
    <row r="236" spans="2:21" x14ac:dyDescent="0.15"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</row>
    <row r="237" spans="2:21" x14ac:dyDescent="0.15">
      <c r="B237" s="56"/>
      <c r="C237" s="56"/>
      <c r="D237" s="56"/>
      <c r="E237" s="56"/>
      <c r="F237" s="56"/>
      <c r="G237" s="56"/>
      <c r="H237" s="56"/>
      <c r="I237" s="56"/>
      <c r="J237" s="56"/>
      <c r="K237" s="56"/>
      <c r="L237" s="56"/>
      <c r="M237" s="56"/>
      <c r="N237" s="56"/>
      <c r="O237" s="56"/>
      <c r="P237" s="56"/>
      <c r="Q237" s="56"/>
      <c r="R237" s="56"/>
      <c r="S237" s="56"/>
      <c r="T237" s="56"/>
      <c r="U237" s="56"/>
    </row>
    <row r="238" spans="2:21" x14ac:dyDescent="0.15">
      <c r="B238" s="56"/>
      <c r="C238" s="56"/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</row>
    <row r="239" spans="2:21" x14ac:dyDescent="0.15"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</row>
    <row r="240" spans="2:21" x14ac:dyDescent="0.15">
      <c r="B240" s="56"/>
      <c r="C240" s="56"/>
      <c r="D240" s="56"/>
      <c r="E240" s="56"/>
      <c r="F240" s="56"/>
      <c r="G240" s="56"/>
      <c r="H240" s="56"/>
      <c r="I240" s="56"/>
      <c r="J240" s="56"/>
      <c r="K240" s="56"/>
      <c r="L240" s="56"/>
      <c r="M240" s="56"/>
      <c r="N240" s="56"/>
      <c r="O240" s="56"/>
      <c r="P240" s="56"/>
      <c r="Q240" s="56"/>
      <c r="R240" s="56"/>
      <c r="S240" s="56"/>
      <c r="T240" s="56"/>
      <c r="U240" s="56"/>
    </row>
    <row r="241" spans="2:21" x14ac:dyDescent="0.15">
      <c r="B241" s="56"/>
      <c r="C241" s="56"/>
      <c r="D241" s="56"/>
      <c r="E241" s="56"/>
      <c r="F241" s="56"/>
      <c r="G241" s="56"/>
      <c r="H241" s="56"/>
      <c r="I241" s="56"/>
      <c r="J241" s="56"/>
      <c r="K241" s="56"/>
      <c r="L241" s="56"/>
      <c r="M241" s="56"/>
      <c r="N241" s="56"/>
      <c r="O241" s="56"/>
      <c r="P241" s="56"/>
      <c r="Q241" s="56"/>
      <c r="R241" s="56"/>
      <c r="S241" s="56"/>
      <c r="T241" s="56"/>
      <c r="U241" s="56"/>
    </row>
    <row r="242" spans="2:21" x14ac:dyDescent="0.15">
      <c r="B242" s="56"/>
      <c r="C242" s="56"/>
      <c r="D242" s="56"/>
      <c r="E242" s="56"/>
      <c r="F242" s="56"/>
      <c r="G242" s="56"/>
      <c r="H242" s="56"/>
      <c r="I242" s="56"/>
      <c r="J242" s="56"/>
      <c r="K242" s="56"/>
      <c r="L242" s="56"/>
      <c r="M242" s="56"/>
      <c r="N242" s="56"/>
      <c r="O242" s="56"/>
      <c r="P242" s="56"/>
      <c r="Q242" s="56"/>
      <c r="R242" s="56"/>
      <c r="S242" s="56"/>
      <c r="T242" s="56"/>
      <c r="U242" s="56"/>
    </row>
    <row r="243" spans="2:21" x14ac:dyDescent="0.15">
      <c r="B243" s="56"/>
      <c r="C243" s="56"/>
      <c r="D243" s="56"/>
      <c r="E243" s="56"/>
      <c r="F243" s="56"/>
      <c r="G243" s="56"/>
      <c r="H243" s="56"/>
      <c r="I243" s="56"/>
      <c r="J243" s="56"/>
      <c r="K243" s="56"/>
      <c r="L243" s="56"/>
      <c r="M243" s="56"/>
      <c r="N243" s="56"/>
      <c r="O243" s="56"/>
      <c r="P243" s="56"/>
      <c r="Q243" s="56"/>
      <c r="R243" s="56"/>
      <c r="S243" s="56"/>
      <c r="T243" s="56"/>
      <c r="U243" s="56"/>
    </row>
    <row r="244" spans="2:21" x14ac:dyDescent="0.15">
      <c r="B244" s="56"/>
      <c r="C244" s="56"/>
      <c r="D244" s="56"/>
      <c r="E244" s="56"/>
      <c r="F244" s="56"/>
      <c r="G244" s="56"/>
      <c r="H244" s="56"/>
      <c r="I244" s="56"/>
      <c r="J244" s="56"/>
      <c r="K244" s="56"/>
      <c r="L244" s="56"/>
      <c r="M244" s="56"/>
      <c r="N244" s="56"/>
      <c r="O244" s="56"/>
      <c r="P244" s="56"/>
      <c r="Q244" s="56"/>
      <c r="R244" s="56"/>
      <c r="S244" s="56"/>
      <c r="T244" s="56"/>
      <c r="U244" s="56"/>
    </row>
    <row r="245" spans="2:21" x14ac:dyDescent="0.15">
      <c r="B245" s="56"/>
      <c r="C245" s="56"/>
      <c r="D245" s="56"/>
      <c r="E245" s="56"/>
      <c r="F245" s="56"/>
      <c r="G245" s="56"/>
      <c r="H245" s="56"/>
      <c r="I245" s="56"/>
      <c r="J245" s="56"/>
      <c r="K245" s="56"/>
      <c r="L245" s="56"/>
      <c r="M245" s="56"/>
      <c r="N245" s="56"/>
      <c r="O245" s="56"/>
      <c r="P245" s="56"/>
      <c r="Q245" s="56"/>
      <c r="R245" s="56"/>
      <c r="S245" s="56"/>
      <c r="T245" s="56"/>
      <c r="U245" s="56"/>
    </row>
    <row r="246" spans="2:21" x14ac:dyDescent="0.15">
      <c r="B246" s="56"/>
      <c r="C246" s="56"/>
      <c r="D246" s="56"/>
      <c r="E246" s="56"/>
      <c r="F246" s="56"/>
      <c r="G246" s="56"/>
      <c r="H246" s="56"/>
      <c r="I246" s="56"/>
      <c r="J246" s="56"/>
      <c r="K246" s="56"/>
      <c r="L246" s="56"/>
      <c r="M246" s="56"/>
      <c r="N246" s="56"/>
      <c r="O246" s="56"/>
      <c r="P246" s="56"/>
      <c r="Q246" s="56"/>
      <c r="R246" s="56"/>
      <c r="S246" s="56"/>
      <c r="T246" s="56"/>
      <c r="U246" s="56"/>
    </row>
    <row r="247" spans="2:21" x14ac:dyDescent="0.15">
      <c r="B247" s="56"/>
      <c r="C247" s="56"/>
      <c r="D247" s="56"/>
      <c r="E247" s="56"/>
      <c r="F247" s="56"/>
      <c r="G247" s="56"/>
      <c r="H247" s="56"/>
      <c r="I247" s="56"/>
      <c r="J247" s="56"/>
      <c r="K247" s="56"/>
      <c r="L247" s="56"/>
      <c r="M247" s="56"/>
      <c r="N247" s="56"/>
      <c r="O247" s="56"/>
      <c r="P247" s="56"/>
      <c r="Q247" s="56"/>
      <c r="R247" s="56"/>
      <c r="S247" s="56"/>
      <c r="T247" s="56"/>
      <c r="U247" s="56"/>
    </row>
    <row r="248" spans="2:21" x14ac:dyDescent="0.15">
      <c r="B248" s="56"/>
      <c r="C248" s="56"/>
      <c r="D248" s="56"/>
      <c r="E248" s="56"/>
      <c r="F248" s="56"/>
      <c r="G248" s="56"/>
      <c r="H248" s="56"/>
      <c r="I248" s="56"/>
      <c r="J248" s="56"/>
      <c r="K248" s="56"/>
      <c r="L248" s="56"/>
      <c r="M248" s="56"/>
      <c r="N248" s="56"/>
      <c r="O248" s="56"/>
      <c r="P248" s="56"/>
      <c r="Q248" s="56"/>
      <c r="R248" s="56"/>
      <c r="S248" s="56"/>
      <c r="T248" s="56"/>
      <c r="U248" s="56"/>
    </row>
    <row r="249" spans="2:21" x14ac:dyDescent="0.15">
      <c r="B249" s="56"/>
      <c r="C249" s="56"/>
      <c r="D249" s="56"/>
      <c r="E249" s="56"/>
      <c r="F249" s="56"/>
      <c r="G249" s="56"/>
      <c r="H249" s="56"/>
      <c r="I249" s="56"/>
      <c r="J249" s="56"/>
      <c r="K249" s="56"/>
      <c r="L249" s="56"/>
      <c r="M249" s="56"/>
      <c r="N249" s="56"/>
      <c r="O249" s="56"/>
      <c r="P249" s="56"/>
      <c r="Q249" s="56"/>
      <c r="R249" s="56"/>
      <c r="S249" s="56"/>
      <c r="T249" s="56"/>
      <c r="U249" s="56"/>
    </row>
    <row r="250" spans="2:21" x14ac:dyDescent="0.15">
      <c r="B250" s="56"/>
      <c r="C250" s="56"/>
      <c r="D250" s="56"/>
      <c r="E250" s="56"/>
      <c r="F250" s="56"/>
      <c r="G250" s="56"/>
      <c r="H250" s="56"/>
      <c r="I250" s="56"/>
      <c r="J250" s="56"/>
      <c r="K250" s="56"/>
      <c r="L250" s="56"/>
      <c r="M250" s="56"/>
      <c r="N250" s="56"/>
      <c r="O250" s="56"/>
      <c r="P250" s="56"/>
      <c r="Q250" s="56"/>
      <c r="R250" s="56"/>
      <c r="S250" s="56"/>
      <c r="T250" s="56"/>
      <c r="U250" s="56"/>
    </row>
    <row r="251" spans="2:21" x14ac:dyDescent="0.15">
      <c r="B251" s="56"/>
      <c r="C251" s="56"/>
      <c r="D251" s="56"/>
      <c r="E251" s="56"/>
      <c r="F251" s="56"/>
      <c r="G251" s="56"/>
      <c r="H251" s="56"/>
      <c r="I251" s="56"/>
      <c r="J251" s="56"/>
      <c r="K251" s="56"/>
      <c r="L251" s="56"/>
      <c r="M251" s="56"/>
      <c r="N251" s="56"/>
      <c r="O251" s="56"/>
      <c r="P251" s="56"/>
      <c r="Q251" s="56"/>
      <c r="R251" s="56"/>
      <c r="S251" s="56"/>
      <c r="T251" s="56"/>
      <c r="U251" s="56"/>
    </row>
    <row r="252" spans="2:21" x14ac:dyDescent="0.15">
      <c r="B252" s="56"/>
      <c r="C252" s="56"/>
      <c r="D252" s="56"/>
      <c r="E252" s="56"/>
      <c r="F252" s="56"/>
      <c r="G252" s="56"/>
      <c r="H252" s="56"/>
      <c r="I252" s="56"/>
      <c r="J252" s="56"/>
      <c r="K252" s="56"/>
      <c r="L252" s="56"/>
      <c r="M252" s="56"/>
      <c r="N252" s="56"/>
      <c r="O252" s="56"/>
      <c r="P252" s="56"/>
      <c r="Q252" s="56"/>
      <c r="R252" s="56"/>
      <c r="S252" s="56"/>
      <c r="T252" s="56"/>
      <c r="U252" s="56"/>
    </row>
    <row r="253" spans="2:21" x14ac:dyDescent="0.15">
      <c r="B253" s="56"/>
      <c r="C253" s="56"/>
      <c r="D253" s="56"/>
      <c r="E253" s="56"/>
      <c r="F253" s="56"/>
      <c r="G253" s="56"/>
      <c r="H253" s="56"/>
      <c r="I253" s="56"/>
      <c r="J253" s="56"/>
      <c r="K253" s="56"/>
      <c r="L253" s="56"/>
      <c r="M253" s="56"/>
      <c r="N253" s="56"/>
      <c r="O253" s="56"/>
      <c r="P253" s="56"/>
      <c r="Q253" s="56"/>
      <c r="R253" s="56"/>
      <c r="S253" s="56"/>
      <c r="T253" s="56"/>
      <c r="U253" s="56"/>
    </row>
    <row r="254" spans="2:21" x14ac:dyDescent="0.15">
      <c r="B254" s="56"/>
      <c r="C254" s="56"/>
      <c r="D254" s="56"/>
      <c r="E254" s="56"/>
      <c r="F254" s="56"/>
      <c r="G254" s="56"/>
      <c r="H254" s="56"/>
      <c r="I254" s="56"/>
      <c r="J254" s="56"/>
      <c r="K254" s="56"/>
      <c r="L254" s="56"/>
      <c r="M254" s="56"/>
      <c r="N254" s="56"/>
      <c r="O254" s="56"/>
      <c r="P254" s="56"/>
      <c r="Q254" s="56"/>
      <c r="R254" s="56"/>
      <c r="S254" s="56"/>
      <c r="T254" s="56"/>
      <c r="U254" s="56"/>
    </row>
    <row r="255" spans="2:21" x14ac:dyDescent="0.15">
      <c r="B255" s="56"/>
      <c r="C255" s="56"/>
      <c r="D255" s="56"/>
      <c r="E255" s="56"/>
      <c r="F255" s="56"/>
      <c r="G255" s="56"/>
      <c r="H255" s="56"/>
      <c r="I255" s="56"/>
      <c r="J255" s="56"/>
      <c r="K255" s="56"/>
      <c r="L255" s="56"/>
      <c r="M255" s="56"/>
      <c r="N255" s="56"/>
      <c r="O255" s="56"/>
      <c r="P255" s="56"/>
      <c r="Q255" s="56"/>
      <c r="R255" s="56"/>
      <c r="S255" s="56"/>
      <c r="T255" s="56"/>
      <c r="U255" s="56"/>
    </row>
    <row r="256" spans="2:21" x14ac:dyDescent="0.15">
      <c r="B256" s="56"/>
      <c r="C256" s="56"/>
      <c r="D256" s="56"/>
      <c r="E256" s="56"/>
      <c r="F256" s="56"/>
      <c r="G256" s="56"/>
      <c r="H256" s="56"/>
      <c r="I256" s="56"/>
      <c r="J256" s="56"/>
      <c r="K256" s="56"/>
      <c r="L256" s="56"/>
      <c r="M256" s="56"/>
      <c r="N256" s="56"/>
      <c r="O256" s="56"/>
      <c r="P256" s="56"/>
      <c r="Q256" s="56"/>
      <c r="R256" s="56"/>
      <c r="S256" s="56"/>
      <c r="T256" s="56"/>
      <c r="U256" s="56"/>
    </row>
    <row r="257" spans="2:21" x14ac:dyDescent="0.15">
      <c r="B257" s="56"/>
      <c r="C257" s="56"/>
      <c r="D257" s="56"/>
      <c r="E257" s="56"/>
      <c r="F257" s="56"/>
      <c r="G257" s="56"/>
      <c r="H257" s="56"/>
      <c r="I257" s="56"/>
      <c r="J257" s="56"/>
      <c r="K257" s="56"/>
      <c r="L257" s="56"/>
      <c r="M257" s="56"/>
      <c r="N257" s="56"/>
      <c r="O257" s="56"/>
      <c r="P257" s="56"/>
      <c r="Q257" s="56"/>
      <c r="R257" s="56"/>
      <c r="S257" s="56"/>
      <c r="T257" s="56"/>
      <c r="U257" s="56"/>
    </row>
    <row r="258" spans="2:21" x14ac:dyDescent="0.15">
      <c r="B258" s="56"/>
      <c r="C258" s="56"/>
      <c r="D258" s="56"/>
      <c r="E258" s="56"/>
      <c r="F258" s="56"/>
      <c r="G258" s="56"/>
      <c r="H258" s="56"/>
      <c r="I258" s="56"/>
      <c r="J258" s="56"/>
      <c r="K258" s="56"/>
      <c r="L258" s="56"/>
      <c r="M258" s="56"/>
      <c r="N258" s="56"/>
      <c r="O258" s="56"/>
      <c r="P258" s="56"/>
      <c r="Q258" s="56"/>
      <c r="R258" s="56"/>
      <c r="S258" s="56"/>
      <c r="T258" s="56"/>
      <c r="U258" s="56"/>
    </row>
    <row r="259" spans="2:21" x14ac:dyDescent="0.15">
      <c r="B259" s="56"/>
      <c r="C259" s="56"/>
      <c r="D259" s="56"/>
      <c r="E259" s="56"/>
      <c r="F259" s="56"/>
      <c r="G259" s="56"/>
      <c r="H259" s="56"/>
      <c r="I259" s="56"/>
      <c r="J259" s="56"/>
      <c r="K259" s="56"/>
      <c r="L259" s="56"/>
      <c r="M259" s="56"/>
      <c r="N259" s="56"/>
      <c r="O259" s="56"/>
      <c r="P259" s="56"/>
      <c r="Q259" s="56"/>
      <c r="R259" s="56"/>
      <c r="S259" s="56"/>
      <c r="T259" s="56"/>
      <c r="U259" s="56"/>
    </row>
    <row r="260" spans="2:21" x14ac:dyDescent="0.15">
      <c r="B260" s="56"/>
      <c r="C260" s="56"/>
      <c r="D260" s="56"/>
      <c r="E260" s="56"/>
      <c r="F260" s="56"/>
      <c r="G260" s="56"/>
      <c r="H260" s="56"/>
      <c r="I260" s="56"/>
      <c r="J260" s="56"/>
      <c r="K260" s="56"/>
      <c r="L260" s="56"/>
      <c r="M260" s="56"/>
      <c r="N260" s="56"/>
      <c r="O260" s="56"/>
      <c r="P260" s="56"/>
      <c r="Q260" s="56"/>
      <c r="R260" s="56"/>
      <c r="S260" s="56"/>
      <c r="T260" s="56"/>
      <c r="U260" s="56"/>
    </row>
    <row r="261" spans="2:21" x14ac:dyDescent="0.15">
      <c r="B261" s="56"/>
      <c r="C261" s="56"/>
      <c r="D261" s="56"/>
      <c r="E261" s="56"/>
      <c r="F261" s="56"/>
      <c r="G261" s="56"/>
      <c r="H261" s="56"/>
      <c r="I261" s="56"/>
      <c r="J261" s="56"/>
      <c r="K261" s="56"/>
      <c r="L261" s="56"/>
      <c r="M261" s="56"/>
      <c r="N261" s="56"/>
      <c r="O261" s="56"/>
      <c r="P261" s="56"/>
      <c r="Q261" s="56"/>
      <c r="R261" s="56"/>
      <c r="S261" s="56"/>
      <c r="T261" s="56"/>
      <c r="U261" s="56"/>
    </row>
    <row r="262" spans="2:21" x14ac:dyDescent="0.15">
      <c r="B262" s="56"/>
      <c r="C262" s="56"/>
      <c r="D262" s="56"/>
      <c r="E262" s="56"/>
      <c r="F262" s="56"/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</row>
    <row r="263" spans="2:21" x14ac:dyDescent="0.15">
      <c r="B263" s="56"/>
      <c r="C263" s="56"/>
      <c r="D263" s="56"/>
      <c r="E263" s="56"/>
      <c r="F263" s="56"/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</row>
    <row r="264" spans="2:21" x14ac:dyDescent="0.15">
      <c r="B264" s="56"/>
      <c r="C264" s="56"/>
      <c r="D264" s="56"/>
      <c r="E264" s="56"/>
      <c r="F264" s="56"/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</row>
    <row r="265" spans="2:21" x14ac:dyDescent="0.15">
      <c r="B265" s="56"/>
      <c r="C265" s="56"/>
      <c r="D265" s="56"/>
      <c r="E265" s="56"/>
      <c r="F265" s="56"/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</row>
    <row r="266" spans="2:21" x14ac:dyDescent="0.15">
      <c r="B266" s="56"/>
      <c r="C266" s="56"/>
      <c r="D266" s="56"/>
      <c r="E266" s="56"/>
      <c r="F266" s="56"/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</row>
    <row r="267" spans="2:21" x14ac:dyDescent="0.15">
      <c r="B267" s="56"/>
      <c r="C267" s="56"/>
      <c r="D267" s="56"/>
      <c r="E267" s="56"/>
      <c r="F267" s="56"/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</row>
    <row r="268" spans="2:21" x14ac:dyDescent="0.15">
      <c r="B268" s="56"/>
      <c r="C268" s="56"/>
      <c r="D268" s="56"/>
      <c r="E268" s="56"/>
      <c r="F268" s="56"/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</row>
    <row r="269" spans="2:21" x14ac:dyDescent="0.15">
      <c r="B269" s="56"/>
      <c r="C269" s="56"/>
      <c r="D269" s="56"/>
      <c r="E269" s="56"/>
      <c r="F269" s="56"/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</row>
    <row r="270" spans="2:21" x14ac:dyDescent="0.15">
      <c r="B270" s="56"/>
      <c r="C270" s="56"/>
      <c r="D270" s="56"/>
      <c r="E270" s="56"/>
      <c r="F270" s="56"/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</row>
    <row r="271" spans="2:21" x14ac:dyDescent="0.15">
      <c r="B271" s="56"/>
      <c r="C271" s="56"/>
      <c r="D271" s="56"/>
      <c r="E271" s="56"/>
      <c r="F271" s="56"/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</row>
    <row r="272" spans="2:21" x14ac:dyDescent="0.15">
      <c r="B272" s="56"/>
      <c r="C272" s="56"/>
      <c r="D272" s="56"/>
      <c r="E272" s="56"/>
      <c r="F272" s="56"/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</row>
    <row r="273" spans="2:21" x14ac:dyDescent="0.15">
      <c r="B273" s="56"/>
      <c r="C273" s="56"/>
      <c r="D273" s="56"/>
      <c r="E273" s="56"/>
      <c r="F273" s="56"/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</row>
    <row r="274" spans="2:21" x14ac:dyDescent="0.15">
      <c r="B274" s="56"/>
      <c r="C274" s="56"/>
      <c r="D274" s="56"/>
      <c r="E274" s="56"/>
      <c r="F274" s="56"/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</row>
    <row r="275" spans="2:21" x14ac:dyDescent="0.15">
      <c r="B275" s="56"/>
      <c r="C275" s="56"/>
      <c r="D275" s="56"/>
      <c r="E275" s="56"/>
      <c r="F275" s="56"/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</row>
    <row r="276" spans="2:21" x14ac:dyDescent="0.15">
      <c r="B276" s="56"/>
      <c r="C276" s="56"/>
      <c r="D276" s="56"/>
      <c r="E276" s="56"/>
      <c r="F276" s="56"/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</row>
    <row r="277" spans="2:21" x14ac:dyDescent="0.15">
      <c r="B277" s="56"/>
      <c r="C277" s="56"/>
      <c r="D277" s="56"/>
      <c r="E277" s="56"/>
      <c r="F277" s="56"/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</row>
    <row r="278" spans="2:21" x14ac:dyDescent="0.15">
      <c r="B278" s="56"/>
      <c r="C278" s="56"/>
      <c r="D278" s="56"/>
      <c r="E278" s="56"/>
      <c r="F278" s="56"/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</row>
    <row r="279" spans="2:21" x14ac:dyDescent="0.15">
      <c r="B279" s="56"/>
      <c r="C279" s="56"/>
      <c r="D279" s="56"/>
      <c r="E279" s="56"/>
      <c r="F279" s="56"/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</row>
    <row r="280" spans="2:21" x14ac:dyDescent="0.15">
      <c r="B280" s="56"/>
      <c r="C280" s="56"/>
      <c r="D280" s="56"/>
      <c r="E280" s="56"/>
      <c r="F280" s="56"/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</row>
    <row r="281" spans="2:21" x14ac:dyDescent="0.15">
      <c r="B281" s="56"/>
      <c r="C281" s="56"/>
      <c r="D281" s="56"/>
      <c r="E281" s="56"/>
      <c r="F281" s="56"/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</row>
    <row r="282" spans="2:21" x14ac:dyDescent="0.15">
      <c r="B282" s="56"/>
      <c r="C282" s="56"/>
      <c r="D282" s="56"/>
      <c r="E282" s="56"/>
      <c r="F282" s="56"/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</row>
    <row r="283" spans="2:21" x14ac:dyDescent="0.15">
      <c r="B283" s="56"/>
      <c r="C283" s="56"/>
      <c r="D283" s="56"/>
      <c r="E283" s="56"/>
      <c r="F283" s="56"/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</row>
    <row r="284" spans="2:21" x14ac:dyDescent="0.15">
      <c r="B284" s="56"/>
      <c r="C284" s="56"/>
      <c r="D284" s="56"/>
      <c r="E284" s="56"/>
      <c r="F284" s="56"/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</row>
    <row r="285" spans="2:21" x14ac:dyDescent="0.15">
      <c r="B285" s="56"/>
      <c r="C285" s="56"/>
      <c r="D285" s="56"/>
      <c r="E285" s="56"/>
      <c r="F285" s="56"/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</row>
    <row r="286" spans="2:21" x14ac:dyDescent="0.15">
      <c r="B286" s="56"/>
      <c r="C286" s="56"/>
      <c r="D286" s="56"/>
      <c r="E286" s="56"/>
      <c r="F286" s="56"/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</row>
    <row r="287" spans="2:21" x14ac:dyDescent="0.15">
      <c r="B287" s="56"/>
      <c r="C287" s="56"/>
      <c r="D287" s="56"/>
      <c r="E287" s="56"/>
      <c r="F287" s="56"/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</row>
    <row r="288" spans="2:21" x14ac:dyDescent="0.15">
      <c r="B288" s="56"/>
      <c r="C288" s="56"/>
      <c r="D288" s="56"/>
      <c r="E288" s="56"/>
      <c r="F288" s="56"/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</row>
    <row r="289" spans="2:21" x14ac:dyDescent="0.15">
      <c r="B289" s="56"/>
      <c r="C289" s="56"/>
      <c r="D289" s="56"/>
      <c r="E289" s="56"/>
      <c r="F289" s="56"/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</row>
    <row r="290" spans="2:21" x14ac:dyDescent="0.15">
      <c r="B290" s="56"/>
      <c r="C290" s="56"/>
      <c r="D290" s="56"/>
      <c r="E290" s="56"/>
      <c r="F290" s="56"/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</row>
    <row r="291" spans="2:21" x14ac:dyDescent="0.15">
      <c r="B291" s="56"/>
      <c r="C291" s="56"/>
      <c r="D291" s="56"/>
      <c r="E291" s="56"/>
      <c r="F291" s="56"/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</row>
    <row r="292" spans="2:21" x14ac:dyDescent="0.15">
      <c r="B292" s="56"/>
      <c r="C292" s="56"/>
      <c r="D292" s="56"/>
      <c r="E292" s="56"/>
      <c r="F292" s="56"/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</row>
    <row r="293" spans="2:21" x14ac:dyDescent="0.15">
      <c r="B293" s="56"/>
      <c r="C293" s="56"/>
      <c r="D293" s="56"/>
      <c r="E293" s="56"/>
      <c r="F293" s="56"/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</row>
    <row r="294" spans="2:21" x14ac:dyDescent="0.15">
      <c r="B294" s="56"/>
      <c r="C294" s="56"/>
      <c r="D294" s="56"/>
      <c r="E294" s="56"/>
      <c r="F294" s="56"/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</row>
    <row r="295" spans="2:21" x14ac:dyDescent="0.15">
      <c r="B295" s="56"/>
      <c r="C295" s="56"/>
      <c r="D295" s="56"/>
      <c r="E295" s="56"/>
      <c r="F295" s="56"/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</row>
    <row r="296" spans="2:21" x14ac:dyDescent="0.15">
      <c r="B296" s="56"/>
      <c r="C296" s="56"/>
      <c r="D296" s="56"/>
      <c r="E296" s="56"/>
      <c r="F296" s="56"/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</row>
    <row r="297" spans="2:21" x14ac:dyDescent="0.15">
      <c r="B297" s="56"/>
      <c r="C297" s="56"/>
      <c r="D297" s="56"/>
      <c r="E297" s="56"/>
      <c r="F297" s="56"/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</row>
    <row r="298" spans="2:21" x14ac:dyDescent="0.15">
      <c r="B298" s="56"/>
      <c r="C298" s="56"/>
      <c r="D298" s="56"/>
      <c r="E298" s="56"/>
      <c r="F298" s="56"/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</row>
    <row r="299" spans="2:21" x14ac:dyDescent="0.15">
      <c r="B299" s="56"/>
      <c r="C299" s="56"/>
      <c r="D299" s="56"/>
      <c r="E299" s="56"/>
      <c r="F299" s="56"/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</row>
    <row r="300" spans="2:21" x14ac:dyDescent="0.15">
      <c r="B300" s="56"/>
      <c r="C300" s="56"/>
      <c r="D300" s="56"/>
      <c r="E300" s="56"/>
      <c r="F300" s="56"/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</row>
    <row r="301" spans="2:21" x14ac:dyDescent="0.15">
      <c r="B301" s="56"/>
      <c r="C301" s="56"/>
      <c r="D301" s="56"/>
      <c r="E301" s="56"/>
      <c r="F301" s="56"/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</row>
    <row r="302" spans="2:21" x14ac:dyDescent="0.15">
      <c r="B302" s="56"/>
      <c r="C302" s="56"/>
      <c r="D302" s="56"/>
      <c r="E302" s="56"/>
      <c r="F302" s="56"/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</row>
    <row r="303" spans="2:21" x14ac:dyDescent="0.15">
      <c r="B303" s="56"/>
      <c r="C303" s="56"/>
      <c r="D303" s="56"/>
      <c r="E303" s="56"/>
      <c r="F303" s="56"/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</row>
    <row r="304" spans="2:21" x14ac:dyDescent="0.15">
      <c r="B304" s="56"/>
      <c r="C304" s="56"/>
      <c r="D304" s="56"/>
      <c r="E304" s="56"/>
      <c r="F304" s="56"/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</row>
    <row r="305" spans="2:21" x14ac:dyDescent="0.15">
      <c r="B305" s="56"/>
      <c r="C305" s="56"/>
      <c r="D305" s="56"/>
      <c r="E305" s="56"/>
      <c r="F305" s="56"/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</row>
    <row r="306" spans="2:21" x14ac:dyDescent="0.15">
      <c r="B306" s="56"/>
      <c r="C306" s="56"/>
      <c r="D306" s="56"/>
      <c r="E306" s="56"/>
      <c r="F306" s="56"/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</row>
    <row r="307" spans="2:21" x14ac:dyDescent="0.15">
      <c r="B307" s="56"/>
      <c r="C307" s="56"/>
      <c r="D307" s="56"/>
      <c r="E307" s="56"/>
      <c r="F307" s="56"/>
      <c r="G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T307" s="56"/>
      <c r="U307" s="56"/>
    </row>
    <row r="308" spans="2:21" x14ac:dyDescent="0.15">
      <c r="B308" s="56"/>
      <c r="C308" s="56"/>
      <c r="D308" s="56"/>
      <c r="E308" s="56"/>
      <c r="F308" s="56"/>
      <c r="G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T308" s="56"/>
      <c r="U308" s="56"/>
    </row>
    <row r="309" spans="2:21" x14ac:dyDescent="0.15">
      <c r="B309" s="56"/>
      <c r="C309" s="56"/>
      <c r="D309" s="56"/>
      <c r="E309" s="56"/>
      <c r="F309" s="56"/>
      <c r="G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T309" s="56"/>
      <c r="U309" s="56"/>
    </row>
    <row r="310" spans="2:21" x14ac:dyDescent="0.15">
      <c r="B310" s="56"/>
      <c r="C310" s="56"/>
      <c r="D310" s="56"/>
      <c r="E310" s="56"/>
      <c r="F310" s="56"/>
      <c r="G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T310" s="56"/>
      <c r="U310" s="56"/>
    </row>
    <row r="311" spans="2:21" x14ac:dyDescent="0.15">
      <c r="B311" s="56"/>
      <c r="C311" s="56"/>
      <c r="D311" s="56"/>
      <c r="E311" s="56"/>
      <c r="F311" s="56"/>
      <c r="G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T311" s="56"/>
      <c r="U311" s="56"/>
    </row>
    <row r="312" spans="2:21" x14ac:dyDescent="0.15">
      <c r="B312" s="56"/>
      <c r="C312" s="56"/>
      <c r="D312" s="56"/>
      <c r="E312" s="56"/>
      <c r="F312" s="56"/>
      <c r="G312" s="56"/>
      <c r="H312" s="56"/>
      <c r="I312" s="56"/>
      <c r="J312" s="56"/>
      <c r="K312" s="56"/>
      <c r="L312" s="56"/>
      <c r="M312" s="56"/>
      <c r="N312" s="56"/>
      <c r="O312" s="56"/>
      <c r="P312" s="56"/>
      <c r="Q312" s="56"/>
      <c r="R312" s="56"/>
      <c r="S312" s="56"/>
      <c r="T312" s="56"/>
      <c r="U312" s="56"/>
    </row>
    <row r="313" spans="2:21" x14ac:dyDescent="0.15">
      <c r="B313" s="56"/>
      <c r="C313" s="56"/>
      <c r="D313" s="56"/>
      <c r="E313" s="56"/>
      <c r="F313" s="56"/>
      <c r="G313" s="56"/>
      <c r="H313" s="56"/>
      <c r="I313" s="56"/>
      <c r="J313" s="56"/>
      <c r="K313" s="56"/>
      <c r="L313" s="56"/>
      <c r="M313" s="56"/>
      <c r="N313" s="56"/>
      <c r="O313" s="56"/>
      <c r="P313" s="56"/>
      <c r="Q313" s="56"/>
      <c r="R313" s="56"/>
      <c r="S313" s="56"/>
      <c r="T313" s="56"/>
      <c r="U313" s="56"/>
    </row>
    <row r="314" spans="2:21" x14ac:dyDescent="0.15">
      <c r="B314" s="56"/>
      <c r="C314" s="56"/>
      <c r="D314" s="56"/>
      <c r="E314" s="56"/>
      <c r="F314" s="56"/>
      <c r="G314" s="56"/>
      <c r="H314" s="56"/>
      <c r="I314" s="56"/>
      <c r="J314" s="56"/>
      <c r="K314" s="56"/>
      <c r="L314" s="56"/>
      <c r="M314" s="56"/>
      <c r="N314" s="56"/>
      <c r="O314" s="56"/>
      <c r="P314" s="56"/>
      <c r="Q314" s="56"/>
      <c r="R314" s="56"/>
      <c r="S314" s="56"/>
      <c r="T314" s="56"/>
      <c r="U314" s="56"/>
    </row>
    <row r="315" spans="2:21" x14ac:dyDescent="0.15">
      <c r="B315" s="56"/>
      <c r="C315" s="56"/>
      <c r="D315" s="56"/>
      <c r="E315" s="56"/>
      <c r="F315" s="56"/>
      <c r="G315" s="56"/>
      <c r="H315" s="56"/>
      <c r="I315" s="56"/>
      <c r="J315" s="56"/>
      <c r="K315" s="56"/>
      <c r="L315" s="56"/>
      <c r="M315" s="56"/>
      <c r="N315" s="56"/>
      <c r="O315" s="56"/>
      <c r="P315" s="56"/>
      <c r="Q315" s="56"/>
      <c r="R315" s="56"/>
      <c r="S315" s="56"/>
      <c r="T315" s="56"/>
      <c r="U315" s="56"/>
    </row>
    <row r="316" spans="2:21" x14ac:dyDescent="0.15">
      <c r="B316" s="56"/>
      <c r="C316" s="56"/>
      <c r="D316" s="56"/>
      <c r="E316" s="56"/>
      <c r="F316" s="56"/>
      <c r="G316" s="56"/>
      <c r="H316" s="56"/>
      <c r="I316" s="56"/>
      <c r="J316" s="56"/>
      <c r="K316" s="56"/>
      <c r="L316" s="56"/>
      <c r="M316" s="56"/>
      <c r="N316" s="56"/>
      <c r="O316" s="56"/>
      <c r="P316" s="56"/>
      <c r="Q316" s="56"/>
      <c r="R316" s="56"/>
      <c r="S316" s="56"/>
      <c r="T316" s="56"/>
      <c r="U316" s="56"/>
    </row>
    <row r="317" spans="2:21" x14ac:dyDescent="0.15">
      <c r="B317" s="56"/>
      <c r="C317" s="56"/>
      <c r="D317" s="56"/>
      <c r="E317" s="56"/>
      <c r="F317" s="56"/>
      <c r="G317" s="56"/>
      <c r="H317" s="56"/>
      <c r="I317" s="56"/>
      <c r="J317" s="56"/>
      <c r="K317" s="56"/>
      <c r="L317" s="56"/>
      <c r="M317" s="56"/>
      <c r="N317" s="56"/>
      <c r="O317" s="56"/>
      <c r="P317" s="56"/>
      <c r="Q317" s="56"/>
      <c r="R317" s="56"/>
      <c r="S317" s="56"/>
      <c r="T317" s="56"/>
      <c r="U317" s="56"/>
    </row>
    <row r="318" spans="2:21" x14ac:dyDescent="0.15">
      <c r="B318" s="56"/>
      <c r="C318" s="56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</row>
    <row r="319" spans="2:21" x14ac:dyDescent="0.15">
      <c r="B319" s="56"/>
      <c r="C319" s="56"/>
      <c r="D319" s="56"/>
      <c r="E319" s="56"/>
      <c r="F319" s="56"/>
      <c r="G319" s="56"/>
      <c r="H319" s="56"/>
      <c r="I319" s="56"/>
      <c r="J319" s="56"/>
      <c r="K319" s="56"/>
      <c r="L319" s="56"/>
      <c r="M319" s="56"/>
      <c r="N319" s="56"/>
      <c r="O319" s="56"/>
      <c r="P319" s="56"/>
      <c r="Q319" s="56"/>
      <c r="R319" s="56"/>
      <c r="S319" s="56"/>
      <c r="T319" s="56"/>
      <c r="U319" s="56"/>
    </row>
    <row r="320" spans="2:21" x14ac:dyDescent="0.15">
      <c r="B320" s="56"/>
      <c r="C320" s="56"/>
      <c r="D320" s="56"/>
      <c r="E320" s="56"/>
      <c r="F320" s="56"/>
      <c r="G320" s="56"/>
      <c r="H320" s="56"/>
      <c r="I320" s="56"/>
      <c r="J320" s="56"/>
      <c r="K320" s="56"/>
      <c r="L320" s="56"/>
      <c r="M320" s="56"/>
      <c r="N320" s="56"/>
      <c r="O320" s="56"/>
      <c r="P320" s="56"/>
      <c r="Q320" s="56"/>
      <c r="R320" s="56"/>
      <c r="S320" s="56"/>
      <c r="T320" s="56"/>
      <c r="U320" s="56"/>
    </row>
    <row r="321" spans="2:21" x14ac:dyDescent="0.15">
      <c r="B321" s="56"/>
      <c r="C321" s="56"/>
      <c r="D321" s="56"/>
      <c r="E321" s="56"/>
      <c r="F321" s="56"/>
      <c r="G321" s="56"/>
      <c r="H321" s="56"/>
      <c r="I321" s="56"/>
      <c r="J321" s="56"/>
      <c r="K321" s="56"/>
      <c r="L321" s="56"/>
      <c r="M321" s="56"/>
      <c r="N321" s="56"/>
      <c r="O321" s="56"/>
      <c r="P321" s="56"/>
      <c r="Q321" s="56"/>
      <c r="R321" s="56"/>
      <c r="S321" s="56"/>
      <c r="T321" s="56"/>
      <c r="U321" s="56"/>
    </row>
    <row r="322" spans="2:21" x14ac:dyDescent="0.15">
      <c r="B322" s="56"/>
      <c r="C322" s="56"/>
      <c r="D322" s="56"/>
      <c r="E322" s="56"/>
      <c r="F322" s="56"/>
      <c r="G322" s="56"/>
      <c r="H322" s="56"/>
      <c r="I322" s="56"/>
      <c r="J322" s="56"/>
      <c r="K322" s="56"/>
      <c r="L322" s="56"/>
      <c r="M322" s="56"/>
      <c r="N322" s="56"/>
      <c r="O322" s="56"/>
      <c r="P322" s="56"/>
      <c r="Q322" s="56"/>
      <c r="R322" s="56"/>
      <c r="S322" s="56"/>
      <c r="T322" s="56"/>
      <c r="U322" s="56"/>
    </row>
    <row r="323" spans="2:21" x14ac:dyDescent="0.15">
      <c r="B323" s="56"/>
      <c r="C323" s="56"/>
      <c r="D323" s="56"/>
      <c r="E323" s="56"/>
      <c r="F323" s="56"/>
      <c r="G323" s="56"/>
      <c r="H323" s="56"/>
      <c r="I323" s="56"/>
      <c r="J323" s="56"/>
      <c r="K323" s="56"/>
      <c r="L323" s="56"/>
      <c r="M323" s="56"/>
      <c r="N323" s="56"/>
      <c r="O323" s="56"/>
      <c r="P323" s="56"/>
      <c r="Q323" s="56"/>
      <c r="R323" s="56"/>
      <c r="S323" s="56"/>
      <c r="T323" s="56"/>
      <c r="U323" s="56"/>
    </row>
    <row r="324" spans="2:21" x14ac:dyDescent="0.15">
      <c r="B324" s="56"/>
      <c r="C324" s="56"/>
      <c r="D324" s="56"/>
      <c r="E324" s="56"/>
      <c r="F324" s="56"/>
      <c r="G324" s="56"/>
      <c r="H324" s="56"/>
      <c r="I324" s="56"/>
      <c r="J324" s="56"/>
      <c r="K324" s="56"/>
      <c r="L324" s="56"/>
      <c r="M324" s="56"/>
      <c r="N324" s="56"/>
      <c r="O324" s="56"/>
      <c r="P324" s="56"/>
      <c r="Q324" s="56"/>
      <c r="R324" s="56"/>
      <c r="S324" s="56"/>
      <c r="T324" s="56"/>
      <c r="U324" s="56"/>
    </row>
    <row r="325" spans="2:21" x14ac:dyDescent="0.15"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  <c r="T325" s="56"/>
      <c r="U325" s="56"/>
    </row>
    <row r="326" spans="2:21" x14ac:dyDescent="0.15">
      <c r="B326" s="56"/>
      <c r="C326" s="56"/>
      <c r="D326" s="56"/>
      <c r="E326" s="56"/>
      <c r="F326" s="56"/>
      <c r="G326" s="56"/>
      <c r="H326" s="56"/>
      <c r="I326" s="56"/>
      <c r="J326" s="56"/>
      <c r="K326" s="56"/>
      <c r="L326" s="56"/>
      <c r="M326" s="56"/>
      <c r="N326" s="56"/>
      <c r="O326" s="56"/>
      <c r="P326" s="56"/>
      <c r="Q326" s="56"/>
      <c r="R326" s="56"/>
      <c r="S326" s="56"/>
      <c r="T326" s="56"/>
      <c r="U326" s="56"/>
    </row>
    <row r="327" spans="2:21" x14ac:dyDescent="0.15">
      <c r="B327" s="56"/>
      <c r="C327" s="56"/>
      <c r="D327" s="56"/>
      <c r="E327" s="56"/>
      <c r="F327" s="56"/>
      <c r="G327" s="56"/>
      <c r="H327" s="56"/>
      <c r="I327" s="56"/>
      <c r="J327" s="56"/>
      <c r="K327" s="56"/>
      <c r="L327" s="56"/>
      <c r="M327" s="56"/>
      <c r="N327" s="56"/>
      <c r="O327" s="56"/>
      <c r="P327" s="56"/>
      <c r="Q327" s="56"/>
      <c r="R327" s="56"/>
      <c r="S327" s="56"/>
      <c r="T327" s="56"/>
      <c r="U327" s="56"/>
    </row>
    <row r="328" spans="2:21" x14ac:dyDescent="0.15">
      <c r="B328" s="56"/>
      <c r="C328" s="56"/>
      <c r="D328" s="56"/>
      <c r="E328" s="56"/>
      <c r="F328" s="56"/>
      <c r="G328" s="56"/>
      <c r="H328" s="56"/>
      <c r="I328" s="56"/>
      <c r="J328" s="56"/>
      <c r="K328" s="56"/>
      <c r="L328" s="56"/>
      <c r="M328" s="56"/>
      <c r="N328" s="56"/>
      <c r="O328" s="56"/>
      <c r="P328" s="56"/>
      <c r="Q328" s="56"/>
      <c r="R328" s="56"/>
      <c r="S328" s="56"/>
      <c r="T328" s="56"/>
      <c r="U328" s="56"/>
    </row>
    <row r="329" spans="2:21" x14ac:dyDescent="0.15">
      <c r="B329" s="56"/>
      <c r="C329" s="56"/>
      <c r="D329" s="56"/>
      <c r="E329" s="56"/>
      <c r="F329" s="56"/>
      <c r="G329" s="56"/>
      <c r="H329" s="56"/>
      <c r="I329" s="56"/>
      <c r="J329" s="56"/>
      <c r="K329" s="56"/>
      <c r="L329" s="56"/>
      <c r="M329" s="56"/>
      <c r="N329" s="56"/>
      <c r="O329" s="56"/>
      <c r="P329" s="56"/>
      <c r="Q329" s="56"/>
      <c r="R329" s="56"/>
      <c r="S329" s="56"/>
      <c r="T329" s="56"/>
      <c r="U329" s="56"/>
    </row>
    <row r="330" spans="2:21" x14ac:dyDescent="0.15">
      <c r="B330" s="56"/>
      <c r="C330" s="56"/>
      <c r="D330" s="56"/>
      <c r="E330" s="56"/>
      <c r="F330" s="56"/>
      <c r="G330" s="56"/>
      <c r="H330" s="56"/>
      <c r="I330" s="56"/>
      <c r="J330" s="56"/>
      <c r="K330" s="56"/>
      <c r="L330" s="56"/>
      <c r="M330" s="56"/>
      <c r="N330" s="56"/>
      <c r="O330" s="56"/>
      <c r="P330" s="56"/>
      <c r="Q330" s="56"/>
      <c r="R330" s="56"/>
      <c r="S330" s="56"/>
      <c r="T330" s="56"/>
      <c r="U330" s="56"/>
    </row>
    <row r="331" spans="2:21" x14ac:dyDescent="0.15">
      <c r="B331" s="56"/>
      <c r="C331" s="56"/>
      <c r="D331" s="56"/>
      <c r="E331" s="56"/>
      <c r="F331" s="56"/>
      <c r="G331" s="56"/>
      <c r="H331" s="56"/>
      <c r="I331" s="56"/>
      <c r="J331" s="56"/>
      <c r="K331" s="56"/>
      <c r="L331" s="56"/>
      <c r="M331" s="56"/>
      <c r="N331" s="56"/>
      <c r="O331" s="56"/>
      <c r="P331" s="56"/>
      <c r="Q331" s="56"/>
      <c r="R331" s="56"/>
      <c r="S331" s="56"/>
      <c r="T331" s="56"/>
      <c r="U331" s="56"/>
    </row>
    <row r="332" spans="2:21" x14ac:dyDescent="0.15">
      <c r="B332" s="56"/>
      <c r="C332" s="56"/>
      <c r="D332" s="56"/>
      <c r="E332" s="56"/>
      <c r="F332" s="56"/>
      <c r="G332" s="56"/>
      <c r="H332" s="56"/>
      <c r="I332" s="56"/>
      <c r="J332" s="56"/>
      <c r="K332" s="56"/>
      <c r="L332" s="56"/>
      <c r="M332" s="56"/>
      <c r="N332" s="56"/>
      <c r="O332" s="56"/>
      <c r="P332" s="56"/>
      <c r="Q332" s="56"/>
      <c r="R332" s="56"/>
      <c r="S332" s="56"/>
      <c r="T332" s="56"/>
      <c r="U332" s="56"/>
    </row>
    <row r="333" spans="2:21" x14ac:dyDescent="0.15">
      <c r="B333" s="56"/>
      <c r="C333" s="56"/>
      <c r="D333" s="56"/>
      <c r="E333" s="56"/>
      <c r="F333" s="56"/>
      <c r="G333" s="56"/>
      <c r="H333" s="56"/>
      <c r="I333" s="56"/>
      <c r="J333" s="56"/>
      <c r="K333" s="56"/>
      <c r="L333" s="56"/>
      <c r="M333" s="56"/>
      <c r="N333" s="56"/>
      <c r="O333" s="56"/>
      <c r="P333" s="56"/>
      <c r="Q333" s="56"/>
      <c r="R333" s="56"/>
      <c r="S333" s="56"/>
      <c r="T333" s="56"/>
      <c r="U333" s="56"/>
    </row>
    <row r="334" spans="2:21" x14ac:dyDescent="0.15">
      <c r="B334" s="56"/>
      <c r="C334" s="56"/>
      <c r="D334" s="56"/>
      <c r="E334" s="56"/>
      <c r="F334" s="56"/>
      <c r="G334" s="56"/>
      <c r="H334" s="56"/>
      <c r="I334" s="56"/>
      <c r="J334" s="56"/>
      <c r="K334" s="56"/>
      <c r="L334" s="56"/>
      <c r="M334" s="56"/>
      <c r="N334" s="56"/>
      <c r="O334" s="56"/>
      <c r="P334" s="56"/>
      <c r="Q334" s="56"/>
      <c r="R334" s="56"/>
      <c r="S334" s="56"/>
      <c r="T334" s="56"/>
      <c r="U334" s="56"/>
    </row>
    <row r="335" spans="2:21" x14ac:dyDescent="0.15">
      <c r="B335" s="56"/>
      <c r="C335" s="56"/>
      <c r="D335" s="56"/>
      <c r="E335" s="56"/>
      <c r="F335" s="56"/>
      <c r="G335" s="56"/>
      <c r="H335" s="56"/>
      <c r="I335" s="56"/>
      <c r="J335" s="56"/>
      <c r="K335" s="56"/>
      <c r="L335" s="56"/>
      <c r="M335" s="56"/>
      <c r="N335" s="56"/>
      <c r="O335" s="56"/>
      <c r="P335" s="56"/>
      <c r="Q335" s="56"/>
      <c r="R335" s="56"/>
      <c r="S335" s="56"/>
      <c r="T335" s="56"/>
      <c r="U335" s="56"/>
    </row>
    <row r="336" spans="2:21" x14ac:dyDescent="0.15">
      <c r="B336" s="56"/>
      <c r="C336" s="56"/>
      <c r="D336" s="56"/>
      <c r="E336" s="56"/>
      <c r="F336" s="56"/>
      <c r="G336" s="56"/>
      <c r="H336" s="56"/>
      <c r="I336" s="56"/>
      <c r="J336" s="56"/>
      <c r="K336" s="56"/>
      <c r="L336" s="56"/>
      <c r="M336" s="56"/>
      <c r="N336" s="56"/>
      <c r="O336" s="56"/>
      <c r="P336" s="56"/>
      <c r="Q336" s="56"/>
      <c r="R336" s="56"/>
      <c r="S336" s="56"/>
      <c r="T336" s="56"/>
      <c r="U336" s="56"/>
    </row>
    <row r="337" spans="2:21" x14ac:dyDescent="0.15">
      <c r="B337" s="56"/>
      <c r="C337" s="56"/>
      <c r="D337" s="56"/>
      <c r="E337" s="56"/>
      <c r="F337" s="56"/>
      <c r="G337" s="56"/>
      <c r="H337" s="56"/>
      <c r="I337" s="56"/>
      <c r="J337" s="56"/>
      <c r="K337" s="56"/>
      <c r="L337" s="56"/>
      <c r="M337" s="56"/>
      <c r="N337" s="56"/>
      <c r="O337" s="56"/>
      <c r="P337" s="56"/>
      <c r="Q337" s="56"/>
      <c r="R337" s="56"/>
      <c r="S337" s="56"/>
      <c r="T337" s="56"/>
      <c r="U337" s="56"/>
    </row>
    <row r="338" spans="2:21" x14ac:dyDescent="0.15">
      <c r="B338" s="56"/>
      <c r="C338" s="56"/>
      <c r="D338" s="56"/>
      <c r="E338" s="56"/>
      <c r="F338" s="56"/>
      <c r="G338" s="56"/>
      <c r="H338" s="56"/>
      <c r="I338" s="56"/>
      <c r="J338" s="56"/>
      <c r="K338" s="56"/>
      <c r="L338" s="56"/>
      <c r="M338" s="56"/>
      <c r="N338" s="56"/>
      <c r="O338" s="56"/>
      <c r="P338" s="56"/>
      <c r="Q338" s="56"/>
      <c r="R338" s="56"/>
      <c r="S338" s="56"/>
      <c r="T338" s="56"/>
      <c r="U338" s="56"/>
    </row>
    <row r="339" spans="2:21" x14ac:dyDescent="0.15">
      <c r="B339" s="56"/>
      <c r="C339" s="56"/>
      <c r="D339" s="56"/>
      <c r="E339" s="56"/>
      <c r="F339" s="56"/>
      <c r="G339" s="56"/>
      <c r="H339" s="56"/>
      <c r="I339" s="56"/>
      <c r="J339" s="56"/>
      <c r="K339" s="56"/>
      <c r="L339" s="56"/>
      <c r="M339" s="56"/>
      <c r="N339" s="56"/>
      <c r="O339" s="56"/>
      <c r="P339" s="56"/>
      <c r="Q339" s="56"/>
      <c r="R339" s="56"/>
      <c r="S339" s="56"/>
      <c r="T339" s="56"/>
      <c r="U339" s="56"/>
    </row>
    <row r="340" spans="2:21" x14ac:dyDescent="0.15">
      <c r="B340" s="56"/>
      <c r="C340" s="56"/>
      <c r="D340" s="56"/>
      <c r="E340" s="56"/>
      <c r="F340" s="56"/>
      <c r="G340" s="56"/>
      <c r="H340" s="56"/>
      <c r="I340" s="56"/>
      <c r="J340" s="56"/>
      <c r="K340" s="56"/>
      <c r="L340" s="56"/>
      <c r="M340" s="56"/>
      <c r="N340" s="56"/>
      <c r="O340" s="56"/>
      <c r="P340" s="56"/>
      <c r="Q340" s="56"/>
      <c r="R340" s="56"/>
      <c r="S340" s="56"/>
      <c r="T340" s="56"/>
      <c r="U340" s="56"/>
    </row>
    <row r="341" spans="2:21" x14ac:dyDescent="0.15">
      <c r="B341" s="56"/>
      <c r="C341" s="56"/>
      <c r="D341" s="56"/>
      <c r="E341" s="56"/>
      <c r="F341" s="56"/>
      <c r="G341" s="56"/>
      <c r="H341" s="56"/>
      <c r="I341" s="56"/>
      <c r="J341" s="56"/>
      <c r="K341" s="56"/>
      <c r="L341" s="56"/>
      <c r="M341" s="56"/>
      <c r="N341" s="56"/>
      <c r="O341" s="56"/>
      <c r="P341" s="56"/>
      <c r="Q341" s="56"/>
      <c r="R341" s="56"/>
      <c r="S341" s="56"/>
      <c r="T341" s="56"/>
      <c r="U341" s="56"/>
    </row>
    <row r="342" spans="2:21" x14ac:dyDescent="0.15">
      <c r="B342" s="56"/>
      <c r="C342" s="56"/>
      <c r="D342" s="56"/>
      <c r="E342" s="56"/>
      <c r="F342" s="56"/>
      <c r="G342" s="56"/>
      <c r="H342" s="56"/>
      <c r="I342" s="56"/>
      <c r="J342" s="56"/>
      <c r="K342" s="56"/>
      <c r="L342" s="56"/>
      <c r="M342" s="56"/>
      <c r="N342" s="56"/>
      <c r="O342" s="56"/>
      <c r="P342" s="56"/>
      <c r="Q342" s="56"/>
      <c r="R342" s="56"/>
      <c r="S342" s="56"/>
      <c r="T342" s="56"/>
      <c r="U342" s="56"/>
    </row>
    <row r="343" spans="2:21" x14ac:dyDescent="0.15">
      <c r="B343" s="56"/>
      <c r="C343" s="56"/>
      <c r="D343" s="56"/>
      <c r="E343" s="56"/>
      <c r="F343" s="56"/>
      <c r="G343" s="56"/>
      <c r="H343" s="56"/>
      <c r="I343" s="56"/>
      <c r="J343" s="56"/>
      <c r="K343" s="56"/>
      <c r="L343" s="56"/>
      <c r="M343" s="56"/>
      <c r="N343" s="56"/>
      <c r="O343" s="56"/>
      <c r="P343" s="56"/>
      <c r="Q343" s="56"/>
      <c r="R343" s="56"/>
      <c r="S343" s="56"/>
      <c r="T343" s="56"/>
      <c r="U343" s="56"/>
    </row>
    <row r="344" spans="2:21" x14ac:dyDescent="0.15">
      <c r="B344" s="56"/>
      <c r="C344" s="56"/>
      <c r="D344" s="56"/>
      <c r="E344" s="56"/>
      <c r="F344" s="56"/>
      <c r="G344" s="56"/>
      <c r="H344" s="56"/>
      <c r="I344" s="56"/>
      <c r="J344" s="56"/>
      <c r="K344" s="56"/>
      <c r="L344" s="56"/>
      <c r="M344" s="56"/>
      <c r="N344" s="56"/>
      <c r="O344" s="56"/>
      <c r="P344" s="56"/>
      <c r="Q344" s="56"/>
      <c r="R344" s="56"/>
      <c r="S344" s="56"/>
      <c r="T344" s="56"/>
      <c r="U344" s="56"/>
    </row>
    <row r="345" spans="2:21" x14ac:dyDescent="0.15">
      <c r="B345" s="56"/>
      <c r="C345" s="56"/>
      <c r="D345" s="56"/>
      <c r="E345" s="56"/>
      <c r="F345" s="56"/>
      <c r="G345" s="56"/>
      <c r="H345" s="56"/>
      <c r="I345" s="56"/>
      <c r="J345" s="56"/>
      <c r="K345" s="56"/>
      <c r="L345" s="56"/>
      <c r="M345" s="56"/>
      <c r="N345" s="56"/>
      <c r="O345" s="56"/>
      <c r="P345" s="56"/>
      <c r="Q345" s="56"/>
      <c r="R345" s="56"/>
      <c r="S345" s="56"/>
      <c r="T345" s="56"/>
      <c r="U345" s="56"/>
    </row>
    <row r="346" spans="2:21" x14ac:dyDescent="0.15">
      <c r="B346" s="56"/>
      <c r="C346" s="56"/>
      <c r="D346" s="56"/>
      <c r="E346" s="56"/>
      <c r="F346" s="56"/>
      <c r="G346" s="56"/>
      <c r="H346" s="56"/>
      <c r="I346" s="56"/>
      <c r="J346" s="56"/>
      <c r="K346" s="56"/>
      <c r="L346" s="56"/>
      <c r="M346" s="56"/>
      <c r="N346" s="56"/>
      <c r="O346" s="56"/>
      <c r="P346" s="56"/>
      <c r="Q346" s="56"/>
      <c r="R346" s="56"/>
      <c r="S346" s="56"/>
      <c r="T346" s="56"/>
      <c r="U346" s="56"/>
    </row>
    <row r="347" spans="2:21" x14ac:dyDescent="0.15">
      <c r="B347" s="56"/>
      <c r="C347" s="56"/>
      <c r="D347" s="56"/>
      <c r="E347" s="56"/>
      <c r="F347" s="56"/>
      <c r="G347" s="56"/>
      <c r="H347" s="56"/>
      <c r="I347" s="56"/>
      <c r="J347" s="56"/>
      <c r="K347" s="56"/>
      <c r="L347" s="56"/>
      <c r="M347" s="56"/>
      <c r="N347" s="56"/>
      <c r="O347" s="56"/>
      <c r="P347" s="56"/>
      <c r="Q347" s="56"/>
      <c r="R347" s="56"/>
      <c r="S347" s="56"/>
      <c r="T347" s="56"/>
      <c r="U347" s="56"/>
    </row>
    <row r="348" spans="2:21" x14ac:dyDescent="0.15">
      <c r="B348" s="56"/>
      <c r="C348" s="56"/>
      <c r="D348" s="56"/>
      <c r="E348" s="56"/>
      <c r="F348" s="56"/>
      <c r="G348" s="56"/>
      <c r="H348" s="56"/>
      <c r="I348" s="56"/>
      <c r="J348" s="56"/>
      <c r="K348" s="56"/>
      <c r="L348" s="56"/>
      <c r="M348" s="56"/>
      <c r="N348" s="56"/>
      <c r="O348" s="56"/>
      <c r="P348" s="56"/>
      <c r="Q348" s="56"/>
      <c r="R348" s="56"/>
      <c r="S348" s="56"/>
      <c r="T348" s="56"/>
      <c r="U348" s="56"/>
    </row>
    <row r="349" spans="2:21" x14ac:dyDescent="0.15">
      <c r="B349" s="56"/>
      <c r="C349" s="56"/>
      <c r="D349" s="56"/>
      <c r="E349" s="56"/>
      <c r="F349" s="56"/>
      <c r="G349" s="56"/>
      <c r="H349" s="56"/>
      <c r="I349" s="56"/>
      <c r="J349" s="56"/>
      <c r="K349" s="56"/>
      <c r="L349" s="56"/>
      <c r="M349" s="56"/>
      <c r="N349" s="56"/>
      <c r="O349" s="56"/>
      <c r="P349" s="56"/>
      <c r="Q349" s="56"/>
      <c r="R349" s="56"/>
      <c r="S349" s="56"/>
      <c r="T349" s="56"/>
      <c r="U349" s="56"/>
    </row>
    <row r="350" spans="2:21" x14ac:dyDescent="0.15">
      <c r="B350" s="56"/>
      <c r="C350" s="56"/>
      <c r="D350" s="56"/>
      <c r="E350" s="56"/>
      <c r="F350" s="56"/>
      <c r="G350" s="56"/>
      <c r="H350" s="56"/>
      <c r="I350" s="56"/>
      <c r="J350" s="56"/>
      <c r="K350" s="56"/>
      <c r="L350" s="56"/>
      <c r="M350" s="56"/>
      <c r="N350" s="56"/>
      <c r="O350" s="56"/>
      <c r="P350" s="56"/>
      <c r="Q350" s="56"/>
      <c r="R350" s="56"/>
      <c r="S350" s="56"/>
      <c r="T350" s="56"/>
      <c r="U350" s="56"/>
    </row>
    <row r="351" spans="2:21" x14ac:dyDescent="0.15">
      <c r="B351" s="56"/>
      <c r="C351" s="56"/>
      <c r="D351" s="56"/>
      <c r="E351" s="56"/>
      <c r="F351" s="56"/>
      <c r="G351" s="56"/>
      <c r="H351" s="56"/>
      <c r="I351" s="56"/>
      <c r="J351" s="56"/>
      <c r="K351" s="56"/>
      <c r="L351" s="56"/>
      <c r="M351" s="56"/>
      <c r="N351" s="56"/>
      <c r="O351" s="56"/>
      <c r="P351" s="56"/>
      <c r="Q351" s="56"/>
      <c r="R351" s="56"/>
      <c r="S351" s="56"/>
      <c r="T351" s="56"/>
      <c r="U351" s="56"/>
    </row>
    <row r="352" spans="2:21" x14ac:dyDescent="0.15">
      <c r="B352" s="56"/>
      <c r="C352" s="56"/>
      <c r="D352" s="56"/>
      <c r="E352" s="56"/>
      <c r="F352" s="56"/>
      <c r="G352" s="56"/>
      <c r="H352" s="56"/>
      <c r="I352" s="56"/>
      <c r="J352" s="56"/>
      <c r="K352" s="56"/>
      <c r="L352" s="56"/>
      <c r="M352" s="56"/>
      <c r="N352" s="56"/>
      <c r="O352" s="56"/>
      <c r="P352" s="56"/>
      <c r="Q352" s="56"/>
      <c r="R352" s="56"/>
      <c r="S352" s="56"/>
      <c r="T352" s="56"/>
      <c r="U352" s="56"/>
    </row>
    <row r="353" spans="2:21" x14ac:dyDescent="0.15">
      <c r="B353" s="56"/>
      <c r="C353" s="56"/>
      <c r="D353" s="56"/>
      <c r="E353" s="56"/>
      <c r="F353" s="56"/>
      <c r="G353" s="56"/>
      <c r="H353" s="56"/>
      <c r="I353" s="56"/>
      <c r="J353" s="56"/>
      <c r="K353" s="56"/>
      <c r="L353" s="56"/>
      <c r="M353" s="56"/>
      <c r="N353" s="56"/>
      <c r="O353" s="56"/>
      <c r="P353" s="56"/>
      <c r="Q353" s="56"/>
      <c r="R353" s="56"/>
      <c r="S353" s="56"/>
      <c r="T353" s="56"/>
      <c r="U353" s="56"/>
    </row>
    <row r="354" spans="2:21" x14ac:dyDescent="0.15">
      <c r="B354" s="56"/>
      <c r="C354" s="56"/>
      <c r="D354" s="56"/>
      <c r="E354" s="56"/>
      <c r="F354" s="56"/>
      <c r="G354" s="56"/>
      <c r="H354" s="56"/>
      <c r="I354" s="56"/>
      <c r="J354" s="56"/>
      <c r="K354" s="56"/>
      <c r="L354" s="56"/>
      <c r="M354" s="56"/>
      <c r="N354" s="56"/>
      <c r="O354" s="56"/>
      <c r="P354" s="56"/>
      <c r="Q354" s="56"/>
      <c r="R354" s="56"/>
      <c r="S354" s="56"/>
      <c r="T354" s="56"/>
      <c r="U354" s="56"/>
    </row>
    <row r="355" spans="2:21" x14ac:dyDescent="0.15">
      <c r="B355" s="56"/>
      <c r="C355" s="56"/>
      <c r="D355" s="56"/>
      <c r="E355" s="56"/>
      <c r="F355" s="56"/>
      <c r="G355" s="56"/>
      <c r="H355" s="56"/>
      <c r="I355" s="56"/>
      <c r="J355" s="56"/>
      <c r="K355" s="56"/>
      <c r="L355" s="56"/>
      <c r="M355" s="56"/>
      <c r="N355" s="56"/>
      <c r="O355" s="56"/>
      <c r="P355" s="56"/>
      <c r="Q355" s="56"/>
      <c r="R355" s="56"/>
      <c r="S355" s="56"/>
      <c r="T355" s="56"/>
      <c r="U355" s="56"/>
    </row>
    <row r="356" spans="2:21" x14ac:dyDescent="0.15">
      <c r="B356" s="56"/>
      <c r="C356" s="56"/>
      <c r="D356" s="56"/>
      <c r="E356" s="56"/>
      <c r="F356" s="56"/>
      <c r="G356" s="56"/>
      <c r="H356" s="56"/>
      <c r="I356" s="56"/>
      <c r="J356" s="56"/>
      <c r="K356" s="56"/>
      <c r="L356" s="56"/>
      <c r="M356" s="56"/>
      <c r="N356" s="56"/>
      <c r="O356" s="56"/>
      <c r="P356" s="56"/>
      <c r="Q356" s="56"/>
      <c r="R356" s="56"/>
      <c r="S356" s="56"/>
      <c r="T356" s="56"/>
      <c r="U356" s="56"/>
    </row>
    <row r="357" spans="2:21" x14ac:dyDescent="0.15">
      <c r="B357" s="56"/>
      <c r="C357" s="56"/>
      <c r="D357" s="56"/>
      <c r="E357" s="56"/>
      <c r="F357" s="56"/>
      <c r="G357" s="56"/>
      <c r="H357" s="56"/>
      <c r="I357" s="56"/>
      <c r="J357" s="56"/>
      <c r="K357" s="56"/>
      <c r="L357" s="56"/>
      <c r="M357" s="56"/>
      <c r="N357" s="56"/>
      <c r="O357" s="56"/>
      <c r="P357" s="56"/>
      <c r="Q357" s="56"/>
      <c r="R357" s="56"/>
      <c r="S357" s="56"/>
      <c r="T357" s="56"/>
      <c r="U357" s="56"/>
    </row>
    <row r="358" spans="2:21" x14ac:dyDescent="0.15">
      <c r="B358" s="56"/>
      <c r="C358" s="56"/>
      <c r="D358" s="56"/>
      <c r="E358" s="56"/>
      <c r="F358" s="56"/>
      <c r="G358" s="56"/>
      <c r="H358" s="56"/>
      <c r="I358" s="56"/>
      <c r="J358" s="56"/>
      <c r="K358" s="56"/>
      <c r="L358" s="56"/>
      <c r="M358" s="56"/>
      <c r="N358" s="56"/>
      <c r="O358" s="56"/>
      <c r="P358" s="56"/>
      <c r="Q358" s="56"/>
      <c r="R358" s="56"/>
      <c r="S358" s="56"/>
      <c r="T358" s="56"/>
      <c r="U358" s="56"/>
    </row>
    <row r="359" spans="2:21" x14ac:dyDescent="0.15">
      <c r="B359" s="56"/>
      <c r="C359" s="56"/>
      <c r="D359" s="56"/>
      <c r="E359" s="56"/>
      <c r="F359" s="56"/>
      <c r="G359" s="56"/>
      <c r="H359" s="56"/>
      <c r="I359" s="56"/>
      <c r="J359" s="56"/>
      <c r="K359" s="56"/>
      <c r="L359" s="56"/>
      <c r="M359" s="56"/>
      <c r="N359" s="56"/>
      <c r="O359" s="56"/>
      <c r="P359" s="56"/>
      <c r="Q359" s="56"/>
      <c r="R359" s="56"/>
      <c r="S359" s="56"/>
      <c r="T359" s="56"/>
      <c r="U359" s="56"/>
    </row>
    <row r="360" spans="2:21" x14ac:dyDescent="0.15">
      <c r="B360" s="56"/>
      <c r="C360" s="56"/>
      <c r="D360" s="56"/>
      <c r="E360" s="56"/>
      <c r="F360" s="56"/>
      <c r="G360" s="56"/>
      <c r="H360" s="56"/>
      <c r="I360" s="56"/>
      <c r="J360" s="56"/>
      <c r="K360" s="56"/>
      <c r="L360" s="56"/>
      <c r="M360" s="56"/>
      <c r="N360" s="56"/>
      <c r="O360" s="56"/>
      <c r="P360" s="56"/>
      <c r="Q360" s="56"/>
      <c r="R360" s="56"/>
      <c r="S360" s="56"/>
      <c r="T360" s="56"/>
      <c r="U360" s="56"/>
    </row>
    <row r="361" spans="2:21" x14ac:dyDescent="0.15">
      <c r="B361" s="56"/>
      <c r="C361" s="56"/>
      <c r="D361" s="56"/>
      <c r="E361" s="56"/>
      <c r="F361" s="56"/>
      <c r="G361" s="56"/>
      <c r="H361" s="56"/>
      <c r="I361" s="56"/>
      <c r="J361" s="56"/>
      <c r="K361" s="56"/>
      <c r="L361" s="56"/>
      <c r="M361" s="56"/>
      <c r="N361" s="56"/>
      <c r="O361" s="56"/>
      <c r="P361" s="56"/>
      <c r="Q361" s="56"/>
      <c r="R361" s="56"/>
      <c r="S361" s="56"/>
      <c r="T361" s="56"/>
      <c r="U361" s="56"/>
    </row>
    <row r="362" spans="2:21" x14ac:dyDescent="0.15">
      <c r="B362" s="56"/>
      <c r="C362" s="56"/>
      <c r="D362" s="56"/>
      <c r="E362" s="56"/>
      <c r="F362" s="56"/>
      <c r="G362" s="56"/>
      <c r="H362" s="56"/>
      <c r="I362" s="56"/>
      <c r="J362" s="56"/>
      <c r="K362" s="56"/>
      <c r="L362" s="56"/>
      <c r="M362" s="56"/>
      <c r="N362" s="56"/>
      <c r="O362" s="56"/>
      <c r="P362" s="56"/>
      <c r="Q362" s="56"/>
      <c r="R362" s="56"/>
      <c r="S362" s="56"/>
      <c r="T362" s="56"/>
      <c r="U362" s="56"/>
    </row>
    <row r="363" spans="2:21" x14ac:dyDescent="0.15">
      <c r="B363" s="56"/>
      <c r="C363" s="56"/>
      <c r="D363" s="56"/>
      <c r="E363" s="56"/>
      <c r="F363" s="56"/>
      <c r="G363" s="56"/>
      <c r="H363" s="56"/>
      <c r="I363" s="56"/>
      <c r="J363" s="56"/>
      <c r="K363" s="56"/>
      <c r="L363" s="56"/>
      <c r="M363" s="56"/>
      <c r="N363" s="56"/>
      <c r="O363" s="56"/>
      <c r="P363" s="56"/>
      <c r="Q363" s="56"/>
      <c r="R363" s="56"/>
      <c r="S363" s="56"/>
      <c r="T363" s="56"/>
      <c r="U363" s="56"/>
    </row>
    <row r="364" spans="2:21" x14ac:dyDescent="0.15">
      <c r="B364" s="56"/>
      <c r="C364" s="56"/>
      <c r="D364" s="56"/>
      <c r="E364" s="56"/>
      <c r="F364" s="56"/>
      <c r="G364" s="56"/>
      <c r="H364" s="56"/>
      <c r="I364" s="56"/>
      <c r="J364" s="56"/>
      <c r="K364" s="56"/>
      <c r="L364" s="56"/>
      <c r="M364" s="56"/>
      <c r="N364" s="56"/>
      <c r="O364" s="56"/>
      <c r="P364" s="56"/>
      <c r="Q364" s="56"/>
      <c r="R364" s="56"/>
      <c r="S364" s="56"/>
      <c r="T364" s="56"/>
      <c r="U364" s="56"/>
    </row>
    <row r="365" spans="2:21" x14ac:dyDescent="0.15">
      <c r="B365" s="56"/>
      <c r="C365" s="56"/>
      <c r="D365" s="56"/>
      <c r="E365" s="56"/>
      <c r="F365" s="56"/>
      <c r="G365" s="56"/>
      <c r="H365" s="56"/>
      <c r="I365" s="56"/>
      <c r="J365" s="56"/>
      <c r="K365" s="56"/>
      <c r="L365" s="56"/>
      <c r="M365" s="56"/>
      <c r="N365" s="56"/>
      <c r="O365" s="56"/>
      <c r="P365" s="56"/>
      <c r="Q365" s="56"/>
      <c r="R365" s="56"/>
      <c r="S365" s="56"/>
      <c r="T365" s="56"/>
      <c r="U365" s="56"/>
    </row>
    <row r="366" spans="2:21" x14ac:dyDescent="0.15">
      <c r="B366" s="56"/>
      <c r="C366" s="56"/>
      <c r="D366" s="56"/>
      <c r="E366" s="56"/>
      <c r="F366" s="56"/>
      <c r="G366" s="56"/>
      <c r="H366" s="56"/>
      <c r="I366" s="56"/>
      <c r="J366" s="56"/>
      <c r="K366" s="56"/>
      <c r="L366" s="56"/>
      <c r="M366" s="56"/>
      <c r="N366" s="56"/>
      <c r="O366" s="56"/>
      <c r="P366" s="56"/>
      <c r="Q366" s="56"/>
      <c r="R366" s="56"/>
      <c r="S366" s="56"/>
      <c r="T366" s="56"/>
      <c r="U366" s="56"/>
    </row>
    <row r="367" spans="2:21" x14ac:dyDescent="0.15">
      <c r="B367" s="56"/>
      <c r="C367" s="56"/>
      <c r="D367" s="56"/>
      <c r="E367" s="56"/>
      <c r="F367" s="56"/>
      <c r="G367" s="56"/>
      <c r="H367" s="56"/>
      <c r="I367" s="56"/>
      <c r="J367" s="56"/>
      <c r="K367" s="56"/>
      <c r="L367" s="56"/>
      <c r="M367" s="56"/>
      <c r="N367" s="56"/>
      <c r="O367" s="56"/>
      <c r="P367" s="56"/>
      <c r="Q367" s="56"/>
      <c r="R367" s="56"/>
      <c r="S367" s="56"/>
      <c r="T367" s="56"/>
      <c r="U367" s="56"/>
    </row>
    <row r="368" spans="2:21" x14ac:dyDescent="0.15">
      <c r="B368" s="56"/>
      <c r="C368" s="56"/>
      <c r="D368" s="56"/>
      <c r="E368" s="56"/>
      <c r="F368" s="56"/>
      <c r="G368" s="56"/>
      <c r="H368" s="56"/>
      <c r="I368" s="56"/>
      <c r="J368" s="56"/>
      <c r="K368" s="56"/>
      <c r="L368" s="56"/>
      <c r="M368" s="56"/>
      <c r="N368" s="56"/>
      <c r="O368" s="56"/>
      <c r="P368" s="56"/>
      <c r="Q368" s="56"/>
      <c r="R368" s="56"/>
      <c r="S368" s="56"/>
      <c r="T368" s="56"/>
      <c r="U368" s="56"/>
    </row>
    <row r="369" spans="2:21" x14ac:dyDescent="0.15">
      <c r="B369" s="56"/>
      <c r="C369" s="56"/>
      <c r="D369" s="56"/>
      <c r="E369" s="56"/>
      <c r="F369" s="56"/>
      <c r="G369" s="56"/>
      <c r="H369" s="56"/>
      <c r="I369" s="56"/>
      <c r="J369" s="56"/>
      <c r="K369" s="56"/>
      <c r="L369" s="56"/>
      <c r="M369" s="56"/>
      <c r="N369" s="56"/>
      <c r="O369" s="56"/>
      <c r="P369" s="56"/>
      <c r="Q369" s="56"/>
      <c r="R369" s="56"/>
      <c r="S369" s="56"/>
      <c r="T369" s="56"/>
      <c r="U369" s="56"/>
    </row>
    <row r="370" spans="2:21" x14ac:dyDescent="0.15">
      <c r="B370" s="56"/>
      <c r="C370" s="56"/>
      <c r="D370" s="56"/>
      <c r="E370" s="56"/>
      <c r="F370" s="56"/>
      <c r="G370" s="56"/>
      <c r="H370" s="56"/>
      <c r="I370" s="56"/>
      <c r="J370" s="56"/>
      <c r="K370" s="56"/>
      <c r="L370" s="56"/>
      <c r="M370" s="56"/>
      <c r="N370" s="56"/>
      <c r="O370" s="56"/>
      <c r="P370" s="56"/>
      <c r="Q370" s="56"/>
      <c r="R370" s="56"/>
      <c r="S370" s="56"/>
      <c r="T370" s="56"/>
      <c r="U370" s="56"/>
    </row>
    <row r="371" spans="2:21" x14ac:dyDescent="0.15">
      <c r="B371" s="56"/>
      <c r="C371" s="56"/>
      <c r="D371" s="56"/>
      <c r="E371" s="56"/>
      <c r="F371" s="56"/>
      <c r="G371" s="56"/>
      <c r="H371" s="56"/>
      <c r="I371" s="56"/>
      <c r="J371" s="56"/>
      <c r="K371" s="56"/>
      <c r="L371" s="56"/>
      <c r="M371" s="56"/>
      <c r="N371" s="56"/>
      <c r="O371" s="56"/>
      <c r="P371" s="56"/>
      <c r="Q371" s="56"/>
      <c r="R371" s="56"/>
      <c r="S371" s="56"/>
      <c r="T371" s="56"/>
      <c r="U371" s="56"/>
    </row>
    <row r="372" spans="2:21" x14ac:dyDescent="0.15">
      <c r="B372" s="56"/>
      <c r="C372" s="56"/>
      <c r="D372" s="56"/>
      <c r="E372" s="56"/>
      <c r="F372" s="56"/>
      <c r="G372" s="56"/>
      <c r="H372" s="56"/>
      <c r="I372" s="56"/>
      <c r="J372" s="56"/>
      <c r="K372" s="56"/>
      <c r="L372" s="56"/>
      <c r="M372" s="56"/>
      <c r="N372" s="56"/>
      <c r="O372" s="56"/>
      <c r="P372" s="56"/>
      <c r="Q372" s="56"/>
      <c r="R372" s="56"/>
      <c r="S372" s="56"/>
      <c r="T372" s="56"/>
      <c r="U372" s="56"/>
    </row>
    <row r="373" spans="2:21" x14ac:dyDescent="0.15">
      <c r="B373" s="56"/>
      <c r="C373" s="56"/>
      <c r="D373" s="56"/>
      <c r="E373" s="56"/>
      <c r="F373" s="56"/>
      <c r="G373" s="56"/>
      <c r="H373" s="56"/>
      <c r="I373" s="56"/>
      <c r="J373" s="56"/>
      <c r="K373" s="56"/>
      <c r="L373" s="56"/>
      <c r="M373" s="56"/>
      <c r="N373" s="56"/>
      <c r="O373" s="56"/>
      <c r="P373" s="56"/>
      <c r="Q373" s="56"/>
      <c r="R373" s="56"/>
      <c r="S373" s="56"/>
      <c r="T373" s="56"/>
      <c r="U373" s="56"/>
    </row>
    <row r="374" spans="2:21" x14ac:dyDescent="0.15">
      <c r="B374" s="56"/>
      <c r="C374" s="56"/>
      <c r="D374" s="56"/>
      <c r="E374" s="56"/>
      <c r="F374" s="56"/>
      <c r="G374" s="56"/>
      <c r="H374" s="56"/>
      <c r="I374" s="56"/>
      <c r="J374" s="56"/>
      <c r="K374" s="56"/>
      <c r="L374" s="56"/>
      <c r="M374" s="56"/>
      <c r="N374" s="56"/>
      <c r="O374" s="56"/>
      <c r="P374" s="56"/>
      <c r="Q374" s="56"/>
      <c r="R374" s="56"/>
      <c r="S374" s="56"/>
      <c r="T374" s="56"/>
      <c r="U374" s="56"/>
    </row>
    <row r="375" spans="2:21" x14ac:dyDescent="0.15">
      <c r="B375" s="56"/>
      <c r="C375" s="56"/>
      <c r="D375" s="56"/>
      <c r="E375" s="56"/>
      <c r="F375" s="56"/>
      <c r="G375" s="56"/>
      <c r="H375" s="56"/>
      <c r="I375" s="56"/>
      <c r="J375" s="56"/>
      <c r="K375" s="56"/>
      <c r="L375" s="56"/>
      <c r="M375" s="56"/>
      <c r="N375" s="56"/>
      <c r="O375" s="56"/>
      <c r="P375" s="56"/>
      <c r="Q375" s="56"/>
      <c r="R375" s="56"/>
      <c r="S375" s="56"/>
      <c r="T375" s="56"/>
      <c r="U375" s="56"/>
    </row>
    <row r="376" spans="2:21" x14ac:dyDescent="0.15">
      <c r="B376" s="56"/>
      <c r="C376" s="56"/>
      <c r="D376" s="56"/>
      <c r="E376" s="56"/>
      <c r="F376" s="56"/>
      <c r="G376" s="56"/>
      <c r="H376" s="56"/>
      <c r="I376" s="56"/>
      <c r="J376" s="56"/>
      <c r="K376" s="56"/>
      <c r="L376" s="56"/>
      <c r="M376" s="56"/>
      <c r="N376" s="56"/>
      <c r="O376" s="56"/>
      <c r="P376" s="56"/>
      <c r="Q376" s="56"/>
      <c r="R376" s="56"/>
      <c r="S376" s="56"/>
      <c r="T376" s="56"/>
      <c r="U376" s="56"/>
    </row>
    <row r="377" spans="2:21" x14ac:dyDescent="0.15">
      <c r="B377" s="56"/>
      <c r="C377" s="56"/>
      <c r="D377" s="56"/>
      <c r="E377" s="56"/>
      <c r="F377" s="56"/>
      <c r="G377" s="56"/>
      <c r="H377" s="56"/>
      <c r="I377" s="56"/>
      <c r="J377" s="56"/>
      <c r="K377" s="56"/>
      <c r="L377" s="56"/>
      <c r="M377" s="56"/>
      <c r="N377" s="56"/>
      <c r="O377" s="56"/>
      <c r="P377" s="56"/>
      <c r="Q377" s="56"/>
      <c r="R377" s="56"/>
      <c r="S377" s="56"/>
      <c r="T377" s="56"/>
      <c r="U377" s="56"/>
    </row>
    <row r="378" spans="2:21" x14ac:dyDescent="0.15">
      <c r="B378" s="56"/>
      <c r="C378" s="56"/>
      <c r="D378" s="56"/>
      <c r="E378" s="56"/>
      <c r="F378" s="56"/>
      <c r="G378" s="56"/>
      <c r="H378" s="56"/>
      <c r="I378" s="56"/>
      <c r="J378" s="56"/>
      <c r="K378" s="56"/>
      <c r="L378" s="56"/>
      <c r="M378" s="56"/>
      <c r="N378" s="56"/>
      <c r="O378" s="56"/>
      <c r="P378" s="56"/>
      <c r="Q378" s="56"/>
      <c r="R378" s="56"/>
      <c r="S378" s="56"/>
      <c r="T378" s="56"/>
      <c r="U378" s="56"/>
    </row>
    <row r="379" spans="2:21" x14ac:dyDescent="0.15">
      <c r="B379" s="56"/>
      <c r="C379" s="56"/>
      <c r="D379" s="56"/>
      <c r="E379" s="56"/>
      <c r="F379" s="56"/>
      <c r="G379" s="56"/>
      <c r="H379" s="56"/>
      <c r="I379" s="56"/>
      <c r="J379" s="56"/>
      <c r="K379" s="56"/>
      <c r="L379" s="56"/>
      <c r="M379" s="56"/>
      <c r="N379" s="56"/>
      <c r="O379" s="56"/>
      <c r="P379" s="56"/>
      <c r="Q379" s="56"/>
      <c r="R379" s="56"/>
      <c r="S379" s="56"/>
      <c r="T379" s="56"/>
      <c r="U379" s="56"/>
    </row>
    <row r="380" spans="2:21" x14ac:dyDescent="0.15">
      <c r="B380" s="56"/>
      <c r="C380" s="56"/>
      <c r="D380" s="56"/>
      <c r="E380" s="56"/>
      <c r="F380" s="56"/>
      <c r="G380" s="56"/>
      <c r="H380" s="56"/>
      <c r="I380" s="56"/>
      <c r="J380" s="56"/>
      <c r="K380" s="56"/>
      <c r="L380" s="56"/>
      <c r="M380" s="56"/>
      <c r="N380" s="56"/>
      <c r="O380" s="56"/>
      <c r="P380" s="56"/>
      <c r="Q380" s="56"/>
      <c r="R380" s="56"/>
      <c r="S380" s="56"/>
      <c r="T380" s="56"/>
      <c r="U380" s="56"/>
    </row>
    <row r="381" spans="2:21" x14ac:dyDescent="0.15">
      <c r="B381" s="56"/>
      <c r="C381" s="56"/>
      <c r="D381" s="56"/>
      <c r="E381" s="56"/>
      <c r="F381" s="56"/>
      <c r="G381" s="56"/>
      <c r="H381" s="56"/>
      <c r="I381" s="56"/>
      <c r="J381" s="56"/>
      <c r="K381" s="56"/>
      <c r="L381" s="56"/>
      <c r="M381" s="56"/>
      <c r="N381" s="56"/>
      <c r="O381" s="56"/>
      <c r="P381" s="56"/>
      <c r="Q381" s="56"/>
      <c r="R381" s="56"/>
      <c r="S381" s="56"/>
      <c r="T381" s="56"/>
      <c r="U381" s="56"/>
    </row>
    <row r="382" spans="2:21" x14ac:dyDescent="0.15">
      <c r="B382" s="56"/>
      <c r="C382" s="56"/>
      <c r="D382" s="56"/>
      <c r="E382" s="56"/>
      <c r="F382" s="56"/>
      <c r="G382" s="56"/>
      <c r="H382" s="56"/>
      <c r="I382" s="56"/>
      <c r="J382" s="56"/>
      <c r="K382" s="56"/>
      <c r="L382" s="56"/>
      <c r="M382" s="56"/>
      <c r="N382" s="56"/>
      <c r="O382" s="56"/>
      <c r="P382" s="56"/>
      <c r="Q382" s="56"/>
      <c r="R382" s="56"/>
      <c r="S382" s="56"/>
      <c r="T382" s="56"/>
      <c r="U382" s="56"/>
    </row>
    <row r="383" spans="2:21" x14ac:dyDescent="0.15">
      <c r="B383" s="56"/>
      <c r="C383" s="56"/>
      <c r="D383" s="56"/>
      <c r="E383" s="56"/>
      <c r="F383" s="56"/>
      <c r="G383" s="56"/>
      <c r="H383" s="56"/>
      <c r="I383" s="56"/>
      <c r="J383" s="56"/>
      <c r="K383" s="56"/>
      <c r="L383" s="56"/>
      <c r="M383" s="56"/>
      <c r="N383" s="56"/>
      <c r="O383" s="56"/>
      <c r="P383" s="56"/>
      <c r="Q383" s="56"/>
      <c r="R383" s="56"/>
      <c r="S383" s="56"/>
      <c r="T383" s="56"/>
      <c r="U383" s="56"/>
    </row>
    <row r="384" spans="2:21" x14ac:dyDescent="0.15">
      <c r="B384" s="56"/>
      <c r="C384" s="56"/>
      <c r="D384" s="56"/>
      <c r="E384" s="56"/>
      <c r="F384" s="56"/>
      <c r="G384" s="56"/>
      <c r="H384" s="56"/>
      <c r="I384" s="56"/>
      <c r="J384" s="56"/>
      <c r="K384" s="56"/>
      <c r="L384" s="56"/>
      <c r="M384" s="56"/>
      <c r="N384" s="56"/>
      <c r="O384" s="56"/>
      <c r="P384" s="56"/>
      <c r="Q384" s="56"/>
      <c r="R384" s="56"/>
      <c r="S384" s="56"/>
      <c r="T384" s="56"/>
      <c r="U384" s="56"/>
    </row>
    <row r="385" spans="2:21" x14ac:dyDescent="0.15">
      <c r="B385" s="56"/>
      <c r="C385" s="56"/>
      <c r="D385" s="56"/>
      <c r="E385" s="56"/>
      <c r="F385" s="56"/>
      <c r="G385" s="56"/>
      <c r="H385" s="56"/>
      <c r="I385" s="56"/>
      <c r="J385" s="56"/>
      <c r="K385" s="56"/>
      <c r="L385" s="56"/>
      <c r="M385" s="56"/>
      <c r="N385" s="56"/>
      <c r="O385" s="56"/>
      <c r="P385" s="56"/>
      <c r="Q385" s="56"/>
      <c r="R385" s="56"/>
      <c r="S385" s="56"/>
      <c r="T385" s="56"/>
      <c r="U385" s="56"/>
    </row>
    <row r="386" spans="2:21" x14ac:dyDescent="0.15">
      <c r="B386" s="56"/>
      <c r="C386" s="56"/>
      <c r="D386" s="56"/>
      <c r="E386" s="56"/>
      <c r="F386" s="56"/>
      <c r="G386" s="56"/>
      <c r="H386" s="56"/>
      <c r="I386" s="56"/>
      <c r="J386" s="56"/>
      <c r="K386" s="56"/>
      <c r="L386" s="56"/>
      <c r="M386" s="56"/>
      <c r="N386" s="56"/>
      <c r="O386" s="56"/>
      <c r="P386" s="56"/>
      <c r="Q386" s="56"/>
      <c r="R386" s="56"/>
      <c r="S386" s="56"/>
      <c r="T386" s="56"/>
      <c r="U386" s="56"/>
    </row>
    <row r="387" spans="2:21" x14ac:dyDescent="0.15">
      <c r="B387" s="56"/>
      <c r="C387" s="56"/>
      <c r="D387" s="56"/>
      <c r="E387" s="56"/>
      <c r="F387" s="56"/>
      <c r="G387" s="56"/>
      <c r="H387" s="56"/>
      <c r="I387" s="56"/>
      <c r="J387" s="56"/>
      <c r="K387" s="56"/>
      <c r="L387" s="56"/>
      <c r="M387" s="56"/>
      <c r="N387" s="56"/>
      <c r="O387" s="56"/>
      <c r="P387" s="56"/>
      <c r="Q387" s="56"/>
      <c r="R387" s="56"/>
      <c r="S387" s="56"/>
      <c r="T387" s="56"/>
      <c r="U387" s="56"/>
    </row>
    <row r="388" spans="2:21" x14ac:dyDescent="0.15">
      <c r="B388" s="56"/>
      <c r="C388" s="56"/>
      <c r="D388" s="56"/>
      <c r="E388" s="56"/>
      <c r="F388" s="56"/>
      <c r="G388" s="56"/>
      <c r="H388" s="56"/>
      <c r="I388" s="56"/>
      <c r="J388" s="56"/>
      <c r="K388" s="56"/>
      <c r="L388" s="56"/>
      <c r="M388" s="56"/>
      <c r="N388" s="56"/>
      <c r="O388" s="56"/>
      <c r="P388" s="56"/>
      <c r="Q388" s="56"/>
      <c r="R388" s="56"/>
      <c r="S388" s="56"/>
      <c r="T388" s="56"/>
      <c r="U388" s="56"/>
    </row>
    <row r="389" spans="2:21" x14ac:dyDescent="0.15">
      <c r="B389" s="56"/>
      <c r="C389" s="56"/>
      <c r="D389" s="56"/>
      <c r="E389" s="56"/>
      <c r="F389" s="56"/>
      <c r="G389" s="56"/>
      <c r="H389" s="56"/>
      <c r="I389" s="56"/>
      <c r="J389" s="56"/>
      <c r="K389" s="56"/>
      <c r="L389" s="56"/>
      <c r="M389" s="56"/>
      <c r="N389" s="56"/>
      <c r="O389" s="56"/>
      <c r="P389" s="56"/>
      <c r="Q389" s="56"/>
      <c r="R389" s="56"/>
      <c r="S389" s="56"/>
      <c r="T389" s="56"/>
      <c r="U389" s="56"/>
    </row>
    <row r="390" spans="2:21" x14ac:dyDescent="0.15">
      <c r="B390" s="56"/>
      <c r="C390" s="56"/>
      <c r="D390" s="56"/>
      <c r="E390" s="56"/>
      <c r="F390" s="56"/>
      <c r="G390" s="56"/>
      <c r="H390" s="56"/>
      <c r="I390" s="56"/>
      <c r="J390" s="56"/>
      <c r="K390" s="56"/>
      <c r="L390" s="56"/>
      <c r="M390" s="56"/>
      <c r="N390" s="56"/>
      <c r="O390" s="56"/>
      <c r="P390" s="56"/>
      <c r="Q390" s="56"/>
      <c r="R390" s="56"/>
      <c r="S390" s="56"/>
      <c r="T390" s="56"/>
      <c r="U390" s="56"/>
    </row>
    <row r="391" spans="2:21" x14ac:dyDescent="0.15">
      <c r="B391" s="56"/>
      <c r="C391" s="56"/>
      <c r="D391" s="56"/>
      <c r="E391" s="56"/>
      <c r="F391" s="56"/>
      <c r="G391" s="56"/>
      <c r="H391" s="56"/>
      <c r="I391" s="56"/>
      <c r="J391" s="56"/>
      <c r="K391" s="56"/>
      <c r="L391" s="56"/>
      <c r="M391" s="56"/>
      <c r="N391" s="56"/>
      <c r="O391" s="56"/>
      <c r="P391" s="56"/>
      <c r="Q391" s="56"/>
      <c r="R391" s="56"/>
      <c r="S391" s="56"/>
      <c r="T391" s="56"/>
      <c r="U391" s="56"/>
    </row>
    <row r="392" spans="2:21" x14ac:dyDescent="0.15">
      <c r="B392" s="56"/>
      <c r="C392" s="56"/>
      <c r="D392" s="56"/>
      <c r="E392" s="56"/>
      <c r="F392" s="56"/>
      <c r="G392" s="56"/>
      <c r="H392" s="56"/>
      <c r="I392" s="56"/>
      <c r="J392" s="56"/>
      <c r="K392" s="56"/>
      <c r="L392" s="56"/>
      <c r="M392" s="56"/>
      <c r="N392" s="56"/>
      <c r="O392" s="56"/>
      <c r="P392" s="56"/>
      <c r="Q392" s="56"/>
      <c r="R392" s="56"/>
      <c r="S392" s="56"/>
      <c r="T392" s="56"/>
      <c r="U392" s="56"/>
    </row>
    <row r="393" spans="2:21" x14ac:dyDescent="0.15">
      <c r="B393" s="56"/>
      <c r="C393" s="56"/>
      <c r="D393" s="56"/>
      <c r="E393" s="56"/>
      <c r="F393" s="56"/>
      <c r="G393" s="56"/>
      <c r="H393" s="56"/>
      <c r="I393" s="56"/>
      <c r="J393" s="56"/>
      <c r="K393" s="56"/>
      <c r="L393" s="56"/>
      <c r="M393" s="56"/>
      <c r="N393" s="56"/>
      <c r="O393" s="56"/>
      <c r="P393" s="56"/>
      <c r="Q393" s="56"/>
      <c r="R393" s="56"/>
      <c r="S393" s="56"/>
      <c r="T393" s="56"/>
      <c r="U393" s="56"/>
    </row>
    <row r="394" spans="2:21" x14ac:dyDescent="0.15">
      <c r="B394" s="56"/>
      <c r="C394" s="56"/>
      <c r="D394" s="56"/>
      <c r="E394" s="56"/>
      <c r="F394" s="56"/>
      <c r="G394" s="56"/>
      <c r="H394" s="56"/>
      <c r="I394" s="56"/>
      <c r="J394" s="56"/>
      <c r="K394" s="56"/>
      <c r="L394" s="56"/>
      <c r="M394" s="56"/>
      <c r="N394" s="56"/>
      <c r="O394" s="56"/>
      <c r="P394" s="56"/>
      <c r="Q394" s="56"/>
      <c r="R394" s="56"/>
      <c r="S394" s="56"/>
      <c r="T394" s="56"/>
      <c r="U394" s="56"/>
    </row>
    <row r="395" spans="2:21" x14ac:dyDescent="0.15">
      <c r="B395" s="56"/>
      <c r="C395" s="56"/>
      <c r="D395" s="56"/>
      <c r="E395" s="56"/>
      <c r="F395" s="56"/>
      <c r="G395" s="56"/>
      <c r="H395" s="56"/>
      <c r="I395" s="56"/>
      <c r="J395" s="56"/>
      <c r="K395" s="56"/>
      <c r="L395" s="56"/>
      <c r="M395" s="56"/>
      <c r="N395" s="56"/>
      <c r="O395" s="56"/>
      <c r="P395" s="56"/>
      <c r="Q395" s="56"/>
      <c r="R395" s="56"/>
      <c r="S395" s="56"/>
      <c r="T395" s="56"/>
      <c r="U395" s="56"/>
    </row>
    <row r="396" spans="2:21" x14ac:dyDescent="0.15">
      <c r="B396" s="56"/>
      <c r="C396" s="56"/>
      <c r="D396" s="56"/>
      <c r="E396" s="56"/>
      <c r="F396" s="56"/>
      <c r="G396" s="56"/>
      <c r="H396" s="56"/>
      <c r="I396" s="56"/>
      <c r="J396" s="56"/>
      <c r="K396" s="56"/>
      <c r="L396" s="56"/>
      <c r="M396" s="56"/>
      <c r="N396" s="56"/>
      <c r="O396" s="56"/>
      <c r="P396" s="56"/>
      <c r="Q396" s="56"/>
      <c r="R396" s="56"/>
      <c r="S396" s="56"/>
      <c r="T396" s="56"/>
      <c r="U396" s="56"/>
    </row>
    <row r="397" spans="2:21" x14ac:dyDescent="0.15">
      <c r="B397" s="56"/>
      <c r="C397" s="56"/>
      <c r="D397" s="56"/>
      <c r="E397" s="56"/>
      <c r="F397" s="56"/>
      <c r="G397" s="56"/>
      <c r="H397" s="56"/>
      <c r="I397" s="56"/>
      <c r="J397" s="56"/>
      <c r="K397" s="56"/>
      <c r="L397" s="56"/>
      <c r="M397" s="56"/>
      <c r="N397" s="56"/>
      <c r="O397" s="56"/>
      <c r="P397" s="56"/>
      <c r="Q397" s="56"/>
      <c r="R397" s="56"/>
      <c r="S397" s="56"/>
      <c r="T397" s="56"/>
      <c r="U397" s="56"/>
    </row>
    <row r="398" spans="2:21" x14ac:dyDescent="0.15">
      <c r="B398" s="56"/>
      <c r="C398" s="56"/>
      <c r="D398" s="56"/>
      <c r="E398" s="56"/>
      <c r="F398" s="56"/>
      <c r="G398" s="56"/>
      <c r="H398" s="56"/>
      <c r="I398" s="56"/>
      <c r="J398" s="56"/>
      <c r="K398" s="56"/>
      <c r="L398" s="56"/>
      <c r="M398" s="56"/>
      <c r="N398" s="56"/>
      <c r="O398" s="56"/>
      <c r="P398" s="56"/>
      <c r="Q398" s="56"/>
      <c r="R398" s="56"/>
      <c r="S398" s="56"/>
      <c r="T398" s="56"/>
      <c r="U398" s="56"/>
    </row>
    <row r="399" spans="2:21" x14ac:dyDescent="0.15">
      <c r="B399" s="56"/>
      <c r="C399" s="56"/>
      <c r="D399" s="56"/>
      <c r="E399" s="56"/>
      <c r="F399" s="56"/>
      <c r="G399" s="56"/>
      <c r="H399" s="56"/>
      <c r="I399" s="56"/>
      <c r="J399" s="56"/>
      <c r="K399" s="56"/>
      <c r="L399" s="56"/>
      <c r="M399" s="56"/>
      <c r="N399" s="56"/>
      <c r="O399" s="56"/>
      <c r="P399" s="56"/>
      <c r="Q399" s="56"/>
      <c r="R399" s="56"/>
      <c r="S399" s="56"/>
      <c r="T399" s="56"/>
      <c r="U399" s="56"/>
    </row>
    <row r="400" spans="2:21" x14ac:dyDescent="0.15">
      <c r="B400" s="56"/>
      <c r="C400" s="56"/>
      <c r="D400" s="56"/>
      <c r="E400" s="56"/>
      <c r="F400" s="56"/>
      <c r="G400" s="56"/>
      <c r="H400" s="56"/>
      <c r="I400" s="56"/>
      <c r="J400" s="56"/>
      <c r="K400" s="56"/>
      <c r="L400" s="56"/>
      <c r="M400" s="56"/>
      <c r="N400" s="56"/>
      <c r="O400" s="56"/>
      <c r="P400" s="56"/>
      <c r="Q400" s="56"/>
      <c r="R400" s="56"/>
      <c r="S400" s="56"/>
      <c r="T400" s="56"/>
      <c r="U400" s="56"/>
    </row>
    <row r="401" spans="2:21" x14ac:dyDescent="0.15">
      <c r="B401" s="56"/>
      <c r="C401" s="56"/>
      <c r="D401" s="56"/>
      <c r="E401" s="56"/>
      <c r="F401" s="56"/>
      <c r="G401" s="56"/>
      <c r="H401" s="56"/>
      <c r="I401" s="56"/>
      <c r="J401" s="56"/>
      <c r="K401" s="56"/>
      <c r="L401" s="56"/>
      <c r="M401" s="56"/>
      <c r="N401" s="56"/>
      <c r="O401" s="56"/>
      <c r="P401" s="56"/>
      <c r="Q401" s="56"/>
      <c r="R401" s="56"/>
      <c r="S401" s="56"/>
      <c r="T401" s="56"/>
      <c r="U401" s="56"/>
    </row>
    <row r="402" spans="2:21" x14ac:dyDescent="0.15">
      <c r="B402" s="56"/>
      <c r="C402" s="56"/>
      <c r="D402" s="56"/>
      <c r="E402" s="56"/>
      <c r="F402" s="56"/>
      <c r="G402" s="56"/>
      <c r="H402" s="56"/>
      <c r="I402" s="56"/>
      <c r="J402" s="56"/>
      <c r="K402" s="56"/>
      <c r="L402" s="56"/>
      <c r="M402" s="56"/>
      <c r="N402" s="56"/>
      <c r="O402" s="56"/>
      <c r="P402" s="56"/>
      <c r="Q402" s="56"/>
      <c r="R402" s="56"/>
      <c r="S402" s="56"/>
      <c r="T402" s="56"/>
      <c r="U402" s="56"/>
    </row>
    <row r="403" spans="2:21" x14ac:dyDescent="0.15">
      <c r="B403" s="56"/>
      <c r="C403" s="56"/>
      <c r="D403" s="56"/>
      <c r="E403" s="56"/>
      <c r="F403" s="56"/>
      <c r="G403" s="56"/>
      <c r="H403" s="56"/>
      <c r="I403" s="56"/>
      <c r="J403" s="56"/>
      <c r="K403" s="56"/>
      <c r="L403" s="56"/>
      <c r="M403" s="56"/>
      <c r="N403" s="56"/>
      <c r="O403" s="56"/>
      <c r="P403" s="56"/>
      <c r="Q403" s="56"/>
      <c r="R403" s="56"/>
      <c r="S403" s="56"/>
      <c r="T403" s="56"/>
      <c r="U403" s="56"/>
    </row>
    <row r="404" spans="2:21" x14ac:dyDescent="0.15">
      <c r="B404" s="56"/>
      <c r="C404" s="56"/>
      <c r="D404" s="56"/>
      <c r="E404" s="56"/>
      <c r="F404" s="56"/>
      <c r="G404" s="56"/>
      <c r="H404" s="56"/>
      <c r="I404" s="56"/>
      <c r="J404" s="56"/>
      <c r="K404" s="56"/>
      <c r="L404" s="56"/>
      <c r="M404" s="56"/>
      <c r="N404" s="56"/>
      <c r="O404" s="56"/>
      <c r="P404" s="56"/>
      <c r="Q404" s="56"/>
      <c r="R404" s="56"/>
      <c r="S404" s="56"/>
      <c r="T404" s="56"/>
      <c r="U404" s="56"/>
    </row>
    <row r="405" spans="2:21" x14ac:dyDescent="0.15">
      <c r="B405" s="56"/>
      <c r="C405" s="56"/>
      <c r="D405" s="56"/>
      <c r="E405" s="56"/>
      <c r="F405" s="56"/>
      <c r="G405" s="56"/>
      <c r="H405" s="56"/>
      <c r="I405" s="56"/>
      <c r="J405" s="56"/>
      <c r="K405" s="56"/>
      <c r="L405" s="56"/>
      <c r="M405" s="56"/>
      <c r="N405" s="56"/>
      <c r="O405" s="56"/>
      <c r="P405" s="56"/>
      <c r="Q405" s="56"/>
      <c r="R405" s="56"/>
      <c r="S405" s="56"/>
      <c r="T405" s="56"/>
      <c r="U405" s="56"/>
    </row>
    <row r="406" spans="2:21" x14ac:dyDescent="0.15">
      <c r="B406" s="56"/>
      <c r="C406" s="56"/>
      <c r="D406" s="56"/>
      <c r="E406" s="56"/>
      <c r="F406" s="56"/>
      <c r="G406" s="56"/>
      <c r="H406" s="56"/>
      <c r="I406" s="56"/>
      <c r="J406" s="56"/>
      <c r="K406" s="56"/>
      <c r="L406" s="56"/>
      <c r="M406" s="56"/>
      <c r="N406" s="56"/>
      <c r="O406" s="56"/>
      <c r="P406" s="56"/>
      <c r="Q406" s="56"/>
      <c r="R406" s="56"/>
      <c r="S406" s="56"/>
      <c r="T406" s="56"/>
      <c r="U406" s="56"/>
    </row>
    <row r="407" spans="2:21" x14ac:dyDescent="0.15">
      <c r="B407" s="56"/>
      <c r="C407" s="56"/>
      <c r="D407" s="56"/>
      <c r="E407" s="56"/>
      <c r="F407" s="56"/>
      <c r="G407" s="56"/>
      <c r="H407" s="56"/>
      <c r="I407" s="56"/>
      <c r="J407" s="56"/>
      <c r="K407" s="56"/>
      <c r="L407" s="56"/>
      <c r="M407" s="56"/>
      <c r="N407" s="56"/>
      <c r="O407" s="56"/>
      <c r="P407" s="56"/>
      <c r="Q407" s="56"/>
      <c r="R407" s="56"/>
      <c r="S407" s="56"/>
      <c r="T407" s="56"/>
      <c r="U407" s="56"/>
    </row>
    <row r="408" spans="2:21" x14ac:dyDescent="0.15">
      <c r="B408" s="56"/>
      <c r="C408" s="56"/>
      <c r="D408" s="56"/>
      <c r="E408" s="56"/>
      <c r="F408" s="56"/>
      <c r="G408" s="56"/>
      <c r="H408" s="56"/>
      <c r="I408" s="56"/>
      <c r="J408" s="56"/>
      <c r="K408" s="56"/>
      <c r="L408" s="56"/>
      <c r="M408" s="56"/>
      <c r="N408" s="56"/>
      <c r="O408" s="56"/>
      <c r="P408" s="56"/>
      <c r="Q408" s="56"/>
      <c r="R408" s="56"/>
      <c r="S408" s="56"/>
      <c r="T408" s="56"/>
      <c r="U408" s="56"/>
    </row>
    <row r="409" spans="2:21" x14ac:dyDescent="0.15">
      <c r="B409" s="56"/>
      <c r="C409" s="56"/>
      <c r="D409" s="56"/>
      <c r="E409" s="56"/>
      <c r="F409" s="56"/>
      <c r="G409" s="56"/>
      <c r="H409" s="56"/>
      <c r="I409" s="56"/>
      <c r="J409" s="56"/>
      <c r="K409" s="56"/>
      <c r="L409" s="56"/>
      <c r="M409" s="56"/>
      <c r="N409" s="56"/>
      <c r="O409" s="56"/>
      <c r="P409" s="56"/>
      <c r="Q409" s="56"/>
      <c r="R409" s="56"/>
      <c r="S409" s="56"/>
      <c r="T409" s="56"/>
      <c r="U409" s="56"/>
    </row>
    <row r="410" spans="2:21" x14ac:dyDescent="0.15">
      <c r="B410" s="56"/>
      <c r="C410" s="56"/>
      <c r="D410" s="56"/>
      <c r="E410" s="56"/>
      <c r="F410" s="56"/>
      <c r="G410" s="56"/>
      <c r="H410" s="56"/>
      <c r="I410" s="56"/>
      <c r="J410" s="56"/>
      <c r="K410" s="56"/>
      <c r="L410" s="56"/>
      <c r="M410" s="56"/>
      <c r="N410" s="56"/>
      <c r="O410" s="56"/>
      <c r="P410" s="56"/>
      <c r="Q410" s="56"/>
      <c r="R410" s="56"/>
      <c r="S410" s="56"/>
      <c r="T410" s="56"/>
      <c r="U410" s="56"/>
    </row>
    <row r="411" spans="2:21" x14ac:dyDescent="0.15">
      <c r="B411" s="56"/>
      <c r="C411" s="56"/>
      <c r="D411" s="56"/>
      <c r="E411" s="56"/>
      <c r="F411" s="56"/>
      <c r="G411" s="56"/>
      <c r="H411" s="56"/>
      <c r="I411" s="56"/>
      <c r="J411" s="56"/>
      <c r="K411" s="56"/>
      <c r="L411" s="56"/>
      <c r="M411" s="56"/>
      <c r="N411" s="56"/>
      <c r="O411" s="56"/>
      <c r="P411" s="56"/>
      <c r="Q411" s="56"/>
      <c r="R411" s="56"/>
      <c r="S411" s="56"/>
      <c r="T411" s="56"/>
      <c r="U411" s="56"/>
    </row>
    <row r="412" spans="2:21" x14ac:dyDescent="0.15">
      <c r="B412" s="56"/>
      <c r="C412" s="56"/>
      <c r="D412" s="56"/>
      <c r="E412" s="56"/>
      <c r="F412" s="56"/>
      <c r="G412" s="56"/>
      <c r="H412" s="56"/>
      <c r="I412" s="56"/>
      <c r="J412" s="56"/>
      <c r="K412" s="56"/>
      <c r="L412" s="56"/>
      <c r="M412" s="56"/>
      <c r="N412" s="56"/>
      <c r="O412" s="56"/>
      <c r="P412" s="56"/>
      <c r="Q412" s="56"/>
      <c r="R412" s="56"/>
      <c r="S412" s="56"/>
      <c r="T412" s="56"/>
      <c r="U412" s="56"/>
    </row>
    <row r="413" spans="2:21" x14ac:dyDescent="0.15">
      <c r="B413" s="56"/>
      <c r="C413" s="56"/>
      <c r="D413" s="56"/>
      <c r="E413" s="56"/>
      <c r="F413" s="56"/>
      <c r="G413" s="56"/>
      <c r="H413" s="56"/>
      <c r="I413" s="56"/>
      <c r="J413" s="56"/>
      <c r="K413" s="56"/>
      <c r="L413" s="56"/>
      <c r="M413" s="56"/>
      <c r="N413" s="56"/>
      <c r="O413" s="56"/>
      <c r="P413" s="56"/>
      <c r="Q413" s="56"/>
      <c r="R413" s="56"/>
      <c r="S413" s="56"/>
      <c r="T413" s="56"/>
      <c r="U413" s="56"/>
    </row>
    <row r="414" spans="2:21" x14ac:dyDescent="0.15">
      <c r="B414" s="56"/>
      <c r="C414" s="56"/>
      <c r="D414" s="56"/>
      <c r="E414" s="56"/>
      <c r="F414" s="56"/>
      <c r="G414" s="56"/>
      <c r="H414" s="56"/>
      <c r="I414" s="56"/>
      <c r="J414" s="56"/>
      <c r="K414" s="56"/>
      <c r="L414" s="56"/>
      <c r="M414" s="56"/>
      <c r="N414" s="56"/>
      <c r="O414" s="56"/>
      <c r="P414" s="56"/>
      <c r="Q414" s="56"/>
      <c r="R414" s="56"/>
      <c r="S414" s="56"/>
      <c r="T414" s="56"/>
      <c r="U414" s="56"/>
    </row>
    <row r="415" spans="2:21" x14ac:dyDescent="0.15">
      <c r="B415" s="56"/>
      <c r="C415" s="56"/>
      <c r="D415" s="56"/>
      <c r="E415" s="56"/>
      <c r="F415" s="56"/>
      <c r="G415" s="56"/>
      <c r="H415" s="56"/>
      <c r="I415" s="56"/>
      <c r="J415" s="56"/>
      <c r="K415" s="56"/>
      <c r="L415" s="56"/>
      <c r="M415" s="56"/>
      <c r="N415" s="56"/>
      <c r="O415" s="56"/>
      <c r="P415" s="56"/>
      <c r="Q415" s="56"/>
      <c r="R415" s="56"/>
      <c r="S415" s="56"/>
      <c r="T415" s="56"/>
      <c r="U415" s="56"/>
    </row>
    <row r="416" spans="2:21" x14ac:dyDescent="0.15">
      <c r="B416" s="56"/>
      <c r="C416" s="56"/>
      <c r="D416" s="56"/>
      <c r="E416" s="56"/>
      <c r="F416" s="56"/>
      <c r="G416" s="56"/>
      <c r="H416" s="56"/>
      <c r="I416" s="56"/>
      <c r="J416" s="56"/>
      <c r="K416" s="56"/>
      <c r="L416" s="56"/>
      <c r="M416" s="56"/>
      <c r="N416" s="56"/>
      <c r="O416" s="56"/>
      <c r="P416" s="56"/>
      <c r="Q416" s="56"/>
      <c r="R416" s="56"/>
      <c r="S416" s="56"/>
      <c r="T416" s="56"/>
      <c r="U416" s="56"/>
    </row>
    <row r="417" spans="2:21" x14ac:dyDescent="0.15">
      <c r="B417" s="56"/>
      <c r="C417" s="56"/>
      <c r="D417" s="56"/>
      <c r="E417" s="56"/>
      <c r="F417" s="56"/>
      <c r="G417" s="56"/>
      <c r="H417" s="56"/>
      <c r="I417" s="56"/>
      <c r="J417" s="56"/>
      <c r="K417" s="56"/>
      <c r="L417" s="56"/>
      <c r="M417" s="56"/>
      <c r="N417" s="56"/>
      <c r="O417" s="56"/>
      <c r="P417" s="56"/>
      <c r="Q417" s="56"/>
      <c r="R417" s="56"/>
      <c r="S417" s="56"/>
      <c r="T417" s="56"/>
      <c r="U417" s="56"/>
    </row>
    <row r="418" spans="2:21" x14ac:dyDescent="0.15">
      <c r="B418" s="56"/>
      <c r="C418" s="56"/>
      <c r="D418" s="56"/>
      <c r="E418" s="56"/>
      <c r="F418" s="56"/>
      <c r="G418" s="56"/>
      <c r="H418" s="56"/>
      <c r="I418" s="56"/>
      <c r="J418" s="56"/>
      <c r="K418" s="56"/>
      <c r="L418" s="56"/>
      <c r="M418" s="56"/>
      <c r="N418" s="56"/>
      <c r="O418" s="56"/>
      <c r="P418" s="56"/>
      <c r="Q418" s="56"/>
      <c r="R418" s="56"/>
      <c r="S418" s="56"/>
      <c r="T418" s="56"/>
      <c r="U418" s="56"/>
    </row>
    <row r="419" spans="2:21" x14ac:dyDescent="0.15">
      <c r="B419" s="56"/>
      <c r="C419" s="56"/>
      <c r="D419" s="56"/>
      <c r="E419" s="56"/>
      <c r="F419" s="56"/>
      <c r="G419" s="56"/>
      <c r="H419" s="56"/>
      <c r="I419" s="56"/>
      <c r="J419" s="56"/>
      <c r="K419" s="56"/>
      <c r="L419" s="56"/>
      <c r="M419" s="56"/>
      <c r="N419" s="56"/>
      <c r="O419" s="56"/>
      <c r="P419" s="56"/>
      <c r="Q419" s="56"/>
      <c r="R419" s="56"/>
      <c r="S419" s="56"/>
      <c r="T419" s="56"/>
      <c r="U419" s="56"/>
    </row>
    <row r="420" spans="2:21" x14ac:dyDescent="0.15">
      <c r="B420" s="56"/>
      <c r="C420" s="56"/>
      <c r="D420" s="56"/>
      <c r="E420" s="56"/>
      <c r="F420" s="56"/>
      <c r="G420" s="56"/>
      <c r="H420" s="56"/>
      <c r="I420" s="56"/>
      <c r="J420" s="56"/>
      <c r="K420" s="56"/>
      <c r="L420" s="56"/>
      <c r="M420" s="56"/>
      <c r="N420" s="56"/>
      <c r="O420" s="56"/>
      <c r="P420" s="56"/>
      <c r="Q420" s="56"/>
      <c r="R420" s="56"/>
      <c r="S420" s="56"/>
      <c r="T420" s="56"/>
      <c r="U420" s="56"/>
    </row>
    <row r="421" spans="2:21" x14ac:dyDescent="0.15"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6"/>
    </row>
    <row r="422" spans="2:21" x14ac:dyDescent="0.15"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6"/>
    </row>
    <row r="423" spans="2:21" x14ac:dyDescent="0.15"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6"/>
    </row>
    <row r="424" spans="2:21" x14ac:dyDescent="0.15"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6"/>
    </row>
    <row r="425" spans="2:21" x14ac:dyDescent="0.15"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6"/>
    </row>
    <row r="426" spans="2:21" x14ac:dyDescent="0.15"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6"/>
    </row>
    <row r="427" spans="2:21" x14ac:dyDescent="0.15"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6"/>
    </row>
    <row r="428" spans="2:21" x14ac:dyDescent="0.15"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6"/>
    </row>
    <row r="429" spans="2:21" x14ac:dyDescent="0.15"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6"/>
    </row>
    <row r="430" spans="2:21" x14ac:dyDescent="0.15"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6"/>
    </row>
    <row r="431" spans="2:21" x14ac:dyDescent="0.15"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6"/>
    </row>
    <row r="432" spans="2:21" x14ac:dyDescent="0.15"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6"/>
    </row>
    <row r="433" spans="2:21" x14ac:dyDescent="0.15"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6"/>
    </row>
    <row r="434" spans="2:21" x14ac:dyDescent="0.15"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6"/>
    </row>
    <row r="435" spans="2:21" x14ac:dyDescent="0.15"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6"/>
    </row>
    <row r="436" spans="2:21" x14ac:dyDescent="0.15"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6"/>
    </row>
    <row r="437" spans="2:21" x14ac:dyDescent="0.15"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6"/>
    </row>
    <row r="438" spans="2:21" x14ac:dyDescent="0.15"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6"/>
    </row>
    <row r="439" spans="2:21" x14ac:dyDescent="0.15"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6"/>
    </row>
    <row r="440" spans="2:21" x14ac:dyDescent="0.15"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6"/>
    </row>
    <row r="441" spans="2:21" x14ac:dyDescent="0.15"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6"/>
    </row>
    <row r="442" spans="2:21" x14ac:dyDescent="0.15"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6"/>
    </row>
    <row r="443" spans="2:21" x14ac:dyDescent="0.15"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6"/>
    </row>
    <row r="444" spans="2:21" x14ac:dyDescent="0.15"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6"/>
    </row>
    <row r="445" spans="2:21" x14ac:dyDescent="0.15"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6"/>
    </row>
    <row r="446" spans="2:21" x14ac:dyDescent="0.15"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6"/>
    </row>
    <row r="447" spans="2:21" x14ac:dyDescent="0.15"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6"/>
    </row>
    <row r="448" spans="2:21" x14ac:dyDescent="0.15"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6"/>
    </row>
    <row r="449" spans="2:21" x14ac:dyDescent="0.15"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6"/>
    </row>
    <row r="450" spans="2:21" x14ac:dyDescent="0.15"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6"/>
    </row>
    <row r="451" spans="2:21" x14ac:dyDescent="0.15"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6"/>
    </row>
    <row r="452" spans="2:21" x14ac:dyDescent="0.15"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6"/>
    </row>
    <row r="453" spans="2:21" x14ac:dyDescent="0.15"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6"/>
    </row>
    <row r="454" spans="2:21" x14ac:dyDescent="0.15"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6"/>
    </row>
    <row r="455" spans="2:21" x14ac:dyDescent="0.15"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6"/>
    </row>
    <row r="456" spans="2:21" x14ac:dyDescent="0.15"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6"/>
    </row>
    <row r="457" spans="2:21" x14ac:dyDescent="0.15"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6"/>
    </row>
    <row r="458" spans="2:21" x14ac:dyDescent="0.15"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6"/>
    </row>
    <row r="459" spans="2:21" x14ac:dyDescent="0.15">
      <c r="B459" s="56"/>
      <c r="C459" s="56"/>
      <c r="D459" s="56"/>
      <c r="E459" s="56"/>
      <c r="F459" s="56"/>
      <c r="G459" s="56"/>
      <c r="H459" s="56"/>
      <c r="I459" s="56"/>
      <c r="J459" s="56"/>
      <c r="K459" s="56"/>
      <c r="L459" s="56"/>
      <c r="M459" s="56"/>
      <c r="N459" s="56"/>
      <c r="O459" s="56"/>
      <c r="P459" s="56"/>
      <c r="Q459" s="56"/>
      <c r="R459" s="56"/>
      <c r="S459" s="56"/>
      <c r="T459" s="56"/>
      <c r="U459" s="56"/>
    </row>
    <row r="460" spans="2:21" x14ac:dyDescent="0.15">
      <c r="B460" s="56"/>
      <c r="C460" s="56"/>
      <c r="D460" s="56"/>
      <c r="E460" s="56"/>
      <c r="F460" s="56"/>
      <c r="G460" s="56"/>
      <c r="H460" s="56"/>
      <c r="I460" s="56"/>
      <c r="J460" s="56"/>
      <c r="K460" s="56"/>
      <c r="L460" s="56"/>
      <c r="M460" s="56"/>
      <c r="N460" s="56"/>
      <c r="O460" s="56"/>
      <c r="P460" s="56"/>
      <c r="Q460" s="56"/>
      <c r="R460" s="56"/>
      <c r="S460" s="56"/>
      <c r="T460" s="56"/>
      <c r="U460" s="56"/>
    </row>
    <row r="461" spans="2:21" x14ac:dyDescent="0.15">
      <c r="B461" s="56"/>
      <c r="C461" s="56"/>
      <c r="D461" s="56"/>
      <c r="E461" s="56"/>
      <c r="F461" s="56"/>
      <c r="G461" s="56"/>
      <c r="H461" s="56"/>
      <c r="I461" s="56"/>
      <c r="J461" s="56"/>
      <c r="K461" s="56"/>
      <c r="L461" s="56"/>
      <c r="M461" s="56"/>
      <c r="N461" s="56"/>
      <c r="O461" s="56"/>
      <c r="P461" s="56"/>
      <c r="Q461" s="56"/>
      <c r="R461" s="56"/>
      <c r="S461" s="56"/>
      <c r="T461" s="56"/>
      <c r="U461" s="56"/>
    </row>
    <row r="462" spans="2:21" x14ac:dyDescent="0.15">
      <c r="B462" s="56"/>
      <c r="C462" s="56"/>
      <c r="D462" s="56"/>
      <c r="E462" s="56"/>
      <c r="F462" s="56"/>
      <c r="G462" s="56"/>
      <c r="H462" s="56"/>
      <c r="I462" s="56"/>
      <c r="J462" s="56"/>
      <c r="K462" s="56"/>
      <c r="L462" s="56"/>
      <c r="M462" s="56"/>
      <c r="N462" s="56"/>
      <c r="O462" s="56"/>
      <c r="P462" s="56"/>
      <c r="Q462" s="56"/>
      <c r="R462" s="56"/>
      <c r="S462" s="56"/>
      <c r="T462" s="56"/>
      <c r="U462" s="56"/>
    </row>
    <row r="463" spans="2:21" x14ac:dyDescent="0.15">
      <c r="B463" s="56"/>
      <c r="C463" s="56"/>
      <c r="D463" s="56"/>
      <c r="E463" s="56"/>
      <c r="F463" s="56"/>
      <c r="G463" s="56"/>
      <c r="H463" s="56"/>
      <c r="I463" s="56"/>
      <c r="J463" s="56"/>
      <c r="K463" s="56"/>
      <c r="L463" s="56"/>
      <c r="M463" s="56"/>
      <c r="N463" s="56"/>
      <c r="O463" s="56"/>
      <c r="P463" s="56"/>
      <c r="Q463" s="56"/>
      <c r="R463" s="56"/>
      <c r="S463" s="56"/>
      <c r="T463" s="56"/>
      <c r="U463" s="56"/>
    </row>
    <row r="464" spans="2:21" x14ac:dyDescent="0.15">
      <c r="B464" s="56"/>
      <c r="C464" s="56"/>
      <c r="D464" s="56"/>
      <c r="E464" s="56"/>
      <c r="F464" s="56"/>
      <c r="G464" s="56"/>
      <c r="H464" s="56"/>
      <c r="I464" s="56"/>
      <c r="J464" s="56"/>
      <c r="K464" s="56"/>
      <c r="L464" s="56"/>
      <c r="M464" s="56"/>
      <c r="N464" s="56"/>
      <c r="O464" s="56"/>
      <c r="P464" s="56"/>
      <c r="Q464" s="56"/>
      <c r="R464" s="56"/>
      <c r="S464" s="56"/>
      <c r="T464" s="56"/>
      <c r="U464" s="56"/>
    </row>
    <row r="465" spans="2:21" x14ac:dyDescent="0.15">
      <c r="B465" s="56"/>
      <c r="C465" s="56"/>
      <c r="D465" s="56"/>
      <c r="E465" s="56"/>
      <c r="F465" s="56"/>
      <c r="G465" s="56"/>
      <c r="H465" s="56"/>
      <c r="I465" s="56"/>
      <c r="J465" s="56"/>
      <c r="K465" s="56"/>
      <c r="L465" s="56"/>
      <c r="M465" s="56"/>
      <c r="N465" s="56"/>
      <c r="O465" s="56"/>
      <c r="P465" s="56"/>
      <c r="Q465" s="56"/>
      <c r="R465" s="56"/>
      <c r="S465" s="56"/>
      <c r="T465" s="56"/>
      <c r="U465" s="56"/>
    </row>
    <row r="466" spans="2:21" x14ac:dyDescent="0.15">
      <c r="B466" s="56"/>
      <c r="C466" s="56"/>
      <c r="D466" s="56"/>
      <c r="E466" s="56"/>
      <c r="F466" s="56"/>
      <c r="G466" s="56"/>
      <c r="H466" s="56"/>
      <c r="I466" s="56"/>
      <c r="J466" s="56"/>
      <c r="K466" s="56"/>
      <c r="L466" s="56"/>
      <c r="M466" s="56"/>
      <c r="N466" s="56"/>
      <c r="O466" s="56"/>
      <c r="P466" s="56"/>
      <c r="Q466" s="56"/>
      <c r="R466" s="56"/>
      <c r="S466" s="56"/>
      <c r="T466" s="56"/>
      <c r="U466" s="56"/>
    </row>
    <row r="467" spans="2:21" x14ac:dyDescent="0.15">
      <c r="B467" s="56"/>
      <c r="C467" s="56"/>
      <c r="D467" s="56"/>
      <c r="E467" s="56"/>
      <c r="F467" s="56"/>
      <c r="G467" s="56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  <c r="T467" s="56"/>
      <c r="U467" s="56"/>
    </row>
    <row r="468" spans="2:21" x14ac:dyDescent="0.15">
      <c r="B468" s="56"/>
      <c r="C468" s="56"/>
      <c r="D468" s="56"/>
      <c r="E468" s="56"/>
      <c r="F468" s="56"/>
      <c r="G468" s="56"/>
      <c r="H468" s="56"/>
      <c r="I468" s="56"/>
      <c r="J468" s="56"/>
      <c r="K468" s="56"/>
      <c r="L468" s="56"/>
      <c r="M468" s="56"/>
      <c r="N468" s="56"/>
      <c r="O468" s="56"/>
      <c r="P468" s="56"/>
      <c r="Q468" s="56"/>
      <c r="R468" s="56"/>
      <c r="S468" s="56"/>
      <c r="T468" s="56"/>
      <c r="U468" s="56"/>
    </row>
    <row r="469" spans="2:21" x14ac:dyDescent="0.15">
      <c r="B469" s="56"/>
      <c r="C469" s="56"/>
      <c r="D469" s="56"/>
      <c r="E469" s="56"/>
      <c r="F469" s="56"/>
      <c r="G469" s="56"/>
      <c r="H469" s="56"/>
      <c r="I469" s="56"/>
      <c r="J469" s="56"/>
      <c r="K469" s="56"/>
      <c r="L469" s="56"/>
      <c r="M469" s="56"/>
      <c r="N469" s="56"/>
      <c r="O469" s="56"/>
      <c r="P469" s="56"/>
      <c r="Q469" s="56"/>
      <c r="R469" s="56"/>
      <c r="S469" s="56"/>
      <c r="T469" s="56"/>
      <c r="U469" s="56"/>
    </row>
    <row r="470" spans="2:21" x14ac:dyDescent="0.15">
      <c r="B470" s="56"/>
      <c r="C470" s="56"/>
      <c r="D470" s="56"/>
      <c r="E470" s="56"/>
      <c r="F470" s="56"/>
      <c r="G470" s="56"/>
      <c r="H470" s="56"/>
      <c r="I470" s="56"/>
      <c r="J470" s="56"/>
      <c r="K470" s="56"/>
      <c r="L470" s="56"/>
      <c r="M470" s="56"/>
      <c r="N470" s="56"/>
      <c r="O470" s="56"/>
      <c r="P470" s="56"/>
      <c r="Q470" s="56"/>
      <c r="R470" s="56"/>
      <c r="S470" s="56"/>
      <c r="T470" s="56"/>
      <c r="U470" s="56"/>
    </row>
    <row r="471" spans="2:21" x14ac:dyDescent="0.15">
      <c r="B471" s="56"/>
      <c r="C471" s="56"/>
      <c r="D471" s="56"/>
      <c r="E471" s="56"/>
      <c r="F471" s="56"/>
      <c r="G471" s="56"/>
      <c r="H471" s="56"/>
      <c r="I471" s="56"/>
      <c r="J471" s="56"/>
      <c r="K471" s="56"/>
      <c r="L471" s="56"/>
      <c r="M471" s="56"/>
      <c r="N471" s="56"/>
      <c r="O471" s="56"/>
      <c r="P471" s="56"/>
      <c r="Q471" s="56"/>
      <c r="R471" s="56"/>
      <c r="S471" s="56"/>
      <c r="T471" s="56"/>
      <c r="U471" s="56"/>
    </row>
    <row r="472" spans="2:21" x14ac:dyDescent="0.15">
      <c r="B472" s="56"/>
      <c r="C472" s="56"/>
      <c r="D472" s="56"/>
      <c r="E472" s="56"/>
      <c r="F472" s="56"/>
      <c r="G472" s="56"/>
      <c r="H472" s="56"/>
      <c r="I472" s="56"/>
      <c r="J472" s="56"/>
      <c r="K472" s="56"/>
      <c r="L472" s="56"/>
      <c r="M472" s="56"/>
      <c r="N472" s="56"/>
      <c r="O472" s="56"/>
      <c r="P472" s="56"/>
      <c r="Q472" s="56"/>
      <c r="R472" s="56"/>
      <c r="S472" s="56"/>
      <c r="T472" s="56"/>
      <c r="U472" s="56"/>
    </row>
    <row r="473" spans="2:21" x14ac:dyDescent="0.15">
      <c r="B473" s="56"/>
      <c r="C473" s="56"/>
      <c r="D473" s="56"/>
      <c r="E473" s="56"/>
      <c r="F473" s="56"/>
      <c r="G473" s="56"/>
      <c r="H473" s="56"/>
      <c r="I473" s="56"/>
      <c r="J473" s="56"/>
      <c r="K473" s="56"/>
      <c r="L473" s="56"/>
      <c r="M473" s="56"/>
      <c r="N473" s="56"/>
      <c r="O473" s="56"/>
      <c r="P473" s="56"/>
      <c r="Q473" s="56"/>
      <c r="R473" s="56"/>
      <c r="S473" s="56"/>
      <c r="T473" s="56"/>
      <c r="U473" s="56"/>
    </row>
    <row r="474" spans="2:21" x14ac:dyDescent="0.15">
      <c r="B474" s="56"/>
      <c r="C474" s="56"/>
      <c r="D474" s="56"/>
      <c r="E474" s="56"/>
      <c r="F474" s="56"/>
      <c r="G474" s="56"/>
      <c r="H474" s="56"/>
      <c r="I474" s="56"/>
      <c r="J474" s="56"/>
      <c r="K474" s="56"/>
      <c r="L474" s="56"/>
      <c r="M474" s="56"/>
      <c r="N474" s="56"/>
      <c r="O474" s="56"/>
      <c r="P474" s="56"/>
      <c r="Q474" s="56"/>
      <c r="R474" s="56"/>
      <c r="S474" s="56"/>
      <c r="T474" s="56"/>
      <c r="U474" s="56"/>
    </row>
    <row r="475" spans="2:21" x14ac:dyDescent="0.15">
      <c r="B475" s="56"/>
      <c r="C475" s="56"/>
      <c r="D475" s="56"/>
      <c r="E475" s="56"/>
      <c r="F475" s="56"/>
      <c r="G475" s="56"/>
      <c r="H475" s="56"/>
      <c r="I475" s="56"/>
      <c r="J475" s="56"/>
      <c r="K475" s="56"/>
      <c r="L475" s="56"/>
      <c r="M475" s="56"/>
      <c r="N475" s="56"/>
      <c r="O475" s="56"/>
      <c r="P475" s="56"/>
      <c r="Q475" s="56"/>
      <c r="R475" s="56"/>
      <c r="S475" s="56"/>
      <c r="T475" s="56"/>
      <c r="U475" s="56"/>
    </row>
    <row r="476" spans="2:21" x14ac:dyDescent="0.15">
      <c r="B476" s="56"/>
      <c r="C476" s="56"/>
      <c r="D476" s="56"/>
      <c r="E476" s="56"/>
      <c r="F476" s="56"/>
      <c r="G476" s="56"/>
      <c r="H476" s="56"/>
      <c r="I476" s="56"/>
      <c r="J476" s="56"/>
      <c r="K476" s="56"/>
      <c r="L476" s="56"/>
      <c r="M476" s="56"/>
      <c r="N476" s="56"/>
      <c r="O476" s="56"/>
      <c r="P476" s="56"/>
      <c r="Q476" s="56"/>
      <c r="R476" s="56"/>
      <c r="S476" s="56"/>
      <c r="T476" s="56"/>
      <c r="U476" s="56"/>
    </row>
    <row r="477" spans="2:21" x14ac:dyDescent="0.15">
      <c r="B477" s="56"/>
      <c r="C477" s="56"/>
      <c r="D477" s="56"/>
      <c r="E477" s="56"/>
      <c r="F477" s="56"/>
      <c r="G477" s="56"/>
      <c r="H477" s="56"/>
      <c r="I477" s="56"/>
      <c r="J477" s="56"/>
      <c r="K477" s="56"/>
      <c r="L477" s="56"/>
      <c r="M477" s="56"/>
      <c r="N477" s="56"/>
      <c r="O477" s="56"/>
      <c r="P477" s="56"/>
      <c r="Q477" s="56"/>
      <c r="R477" s="56"/>
      <c r="S477" s="56"/>
      <c r="T477" s="56"/>
      <c r="U477" s="56"/>
    </row>
    <row r="478" spans="2:21" x14ac:dyDescent="0.15">
      <c r="B478" s="56"/>
      <c r="C478" s="56"/>
      <c r="D478" s="56"/>
      <c r="E478" s="56"/>
      <c r="F478" s="56"/>
      <c r="G478" s="56"/>
      <c r="H478" s="56"/>
      <c r="I478" s="56"/>
      <c r="J478" s="56"/>
      <c r="K478" s="56"/>
      <c r="L478" s="56"/>
      <c r="M478" s="56"/>
      <c r="N478" s="56"/>
      <c r="O478" s="56"/>
      <c r="P478" s="56"/>
      <c r="Q478" s="56"/>
      <c r="R478" s="56"/>
      <c r="S478" s="56"/>
      <c r="T478" s="56"/>
      <c r="U478" s="56"/>
    </row>
    <row r="479" spans="2:21" x14ac:dyDescent="0.15">
      <c r="B479" s="56"/>
      <c r="C479" s="56"/>
      <c r="D479" s="56"/>
      <c r="E479" s="56"/>
      <c r="F479" s="56"/>
      <c r="G479" s="56"/>
      <c r="H479" s="56"/>
      <c r="I479" s="56"/>
      <c r="J479" s="56"/>
      <c r="K479" s="56"/>
      <c r="L479" s="56"/>
      <c r="M479" s="56"/>
      <c r="N479" s="56"/>
      <c r="O479" s="56"/>
      <c r="P479" s="56"/>
      <c r="Q479" s="56"/>
      <c r="R479" s="56"/>
      <c r="S479" s="56"/>
      <c r="T479" s="56"/>
      <c r="U479" s="56"/>
    </row>
    <row r="480" spans="2:21" x14ac:dyDescent="0.15">
      <c r="B480" s="56"/>
      <c r="C480" s="56"/>
      <c r="D480" s="56"/>
      <c r="E480" s="56"/>
      <c r="F480" s="56"/>
      <c r="G480" s="56"/>
      <c r="H480" s="56"/>
      <c r="I480" s="56"/>
      <c r="J480" s="56"/>
      <c r="K480" s="56"/>
      <c r="L480" s="56"/>
      <c r="M480" s="56"/>
      <c r="N480" s="56"/>
      <c r="O480" s="56"/>
      <c r="P480" s="56"/>
      <c r="Q480" s="56"/>
      <c r="R480" s="56"/>
      <c r="S480" s="56"/>
      <c r="T480" s="56"/>
      <c r="U480" s="56"/>
    </row>
    <row r="481" spans="2:21" x14ac:dyDescent="0.15">
      <c r="B481" s="56"/>
      <c r="C481" s="56"/>
      <c r="D481" s="56"/>
      <c r="E481" s="56"/>
      <c r="F481" s="56"/>
      <c r="G481" s="56"/>
      <c r="H481" s="56"/>
      <c r="I481" s="56"/>
      <c r="J481" s="56"/>
      <c r="K481" s="56"/>
      <c r="L481" s="56"/>
      <c r="M481" s="56"/>
      <c r="N481" s="56"/>
      <c r="O481" s="56"/>
      <c r="P481" s="56"/>
      <c r="Q481" s="56"/>
      <c r="R481" s="56"/>
      <c r="S481" s="56"/>
      <c r="T481" s="56"/>
      <c r="U481" s="56"/>
    </row>
    <row r="482" spans="2:21" x14ac:dyDescent="0.15">
      <c r="B482" s="56"/>
      <c r="C482" s="56"/>
      <c r="D482" s="56"/>
      <c r="E482" s="56"/>
      <c r="F482" s="56"/>
      <c r="G482" s="56"/>
      <c r="H482" s="56"/>
      <c r="I482" s="56"/>
      <c r="J482" s="56"/>
      <c r="K482" s="56"/>
      <c r="L482" s="56"/>
      <c r="M482" s="56"/>
      <c r="N482" s="56"/>
      <c r="O482" s="56"/>
      <c r="P482" s="56"/>
      <c r="Q482" s="56"/>
      <c r="R482" s="56"/>
      <c r="S482" s="56"/>
      <c r="T482" s="56"/>
      <c r="U482" s="56"/>
    </row>
    <row r="483" spans="2:21" x14ac:dyDescent="0.15">
      <c r="B483" s="56"/>
      <c r="C483" s="56"/>
      <c r="D483" s="56"/>
      <c r="E483" s="56"/>
      <c r="F483" s="56"/>
      <c r="G483" s="56"/>
      <c r="H483" s="56"/>
      <c r="I483" s="56"/>
      <c r="J483" s="56"/>
      <c r="K483" s="56"/>
      <c r="L483" s="56"/>
      <c r="M483" s="56"/>
      <c r="N483" s="56"/>
      <c r="O483" s="56"/>
      <c r="P483" s="56"/>
      <c r="Q483" s="56"/>
      <c r="R483" s="56"/>
      <c r="S483" s="56"/>
      <c r="T483" s="56"/>
      <c r="U483" s="56"/>
    </row>
    <row r="484" spans="2:21" x14ac:dyDescent="0.15">
      <c r="B484" s="56"/>
      <c r="C484" s="56"/>
      <c r="D484" s="56"/>
      <c r="E484" s="56"/>
      <c r="F484" s="56"/>
      <c r="G484" s="56"/>
      <c r="H484" s="56"/>
      <c r="I484" s="56"/>
      <c r="J484" s="56"/>
      <c r="K484" s="56"/>
      <c r="L484" s="56"/>
      <c r="M484" s="56"/>
      <c r="N484" s="56"/>
      <c r="O484" s="56"/>
      <c r="P484" s="56"/>
      <c r="Q484" s="56"/>
      <c r="R484" s="56"/>
      <c r="S484" s="56"/>
      <c r="T484" s="56"/>
      <c r="U484" s="56"/>
    </row>
    <row r="485" spans="2:21" x14ac:dyDescent="0.15">
      <c r="B485" s="56"/>
      <c r="C485" s="56"/>
      <c r="D485" s="56"/>
      <c r="E485" s="56"/>
      <c r="F485" s="56"/>
      <c r="G485" s="56"/>
      <c r="H485" s="56"/>
      <c r="I485" s="56"/>
      <c r="J485" s="56"/>
      <c r="K485" s="56"/>
      <c r="L485" s="56"/>
      <c r="M485" s="56"/>
      <c r="N485" s="56"/>
      <c r="O485" s="56"/>
      <c r="P485" s="56"/>
      <c r="Q485" s="56"/>
      <c r="R485" s="56"/>
      <c r="S485" s="56"/>
      <c r="T485" s="56"/>
      <c r="U485" s="56"/>
    </row>
    <row r="486" spans="2:21" x14ac:dyDescent="0.15">
      <c r="B486" s="56"/>
      <c r="C486" s="56"/>
      <c r="D486" s="56"/>
      <c r="E486" s="56"/>
      <c r="F486" s="56"/>
      <c r="G486" s="56"/>
      <c r="H486" s="56"/>
      <c r="I486" s="56"/>
      <c r="J486" s="56"/>
      <c r="K486" s="56"/>
      <c r="L486" s="56"/>
      <c r="M486" s="56"/>
      <c r="N486" s="56"/>
      <c r="O486" s="56"/>
      <c r="P486" s="56"/>
      <c r="Q486" s="56"/>
      <c r="R486" s="56"/>
      <c r="S486" s="56"/>
      <c r="T486" s="56"/>
      <c r="U486" s="56"/>
    </row>
    <row r="487" spans="2:21" x14ac:dyDescent="0.15">
      <c r="B487" s="56"/>
      <c r="C487" s="56"/>
      <c r="D487" s="56"/>
      <c r="E487" s="56"/>
      <c r="F487" s="56"/>
      <c r="G487" s="56"/>
      <c r="H487" s="56"/>
      <c r="I487" s="56"/>
      <c r="J487" s="56"/>
      <c r="K487" s="56"/>
      <c r="L487" s="56"/>
      <c r="M487" s="56"/>
      <c r="N487" s="56"/>
      <c r="O487" s="56"/>
      <c r="P487" s="56"/>
      <c r="Q487" s="56"/>
      <c r="R487" s="56"/>
      <c r="S487" s="56"/>
      <c r="T487" s="56"/>
      <c r="U487" s="56"/>
    </row>
    <row r="488" spans="2:21" x14ac:dyDescent="0.15">
      <c r="B488" s="56"/>
      <c r="C488" s="56"/>
      <c r="D488" s="56"/>
      <c r="E488" s="56"/>
      <c r="F488" s="56"/>
      <c r="G488" s="56"/>
      <c r="H488" s="56"/>
      <c r="I488" s="56"/>
      <c r="J488" s="56"/>
      <c r="K488" s="56"/>
      <c r="L488" s="56"/>
      <c r="M488" s="56"/>
      <c r="N488" s="56"/>
      <c r="O488" s="56"/>
      <c r="P488" s="56"/>
      <c r="Q488" s="56"/>
      <c r="R488" s="56"/>
      <c r="S488" s="56"/>
      <c r="T488" s="56"/>
      <c r="U488" s="56"/>
    </row>
    <row r="489" spans="2:21" x14ac:dyDescent="0.15">
      <c r="B489" s="56"/>
      <c r="C489" s="56"/>
      <c r="D489" s="56"/>
      <c r="E489" s="56"/>
      <c r="F489" s="56"/>
      <c r="G489" s="56"/>
      <c r="H489" s="56"/>
      <c r="I489" s="56"/>
      <c r="J489" s="56"/>
      <c r="K489" s="56"/>
      <c r="L489" s="56"/>
      <c r="M489" s="56"/>
      <c r="N489" s="56"/>
      <c r="O489" s="56"/>
      <c r="P489" s="56"/>
      <c r="Q489" s="56"/>
      <c r="R489" s="56"/>
      <c r="S489" s="56"/>
      <c r="T489" s="56"/>
      <c r="U489" s="56"/>
    </row>
    <row r="490" spans="2:21" x14ac:dyDescent="0.15">
      <c r="B490" s="56"/>
      <c r="C490" s="56"/>
      <c r="D490" s="56"/>
      <c r="E490" s="56"/>
      <c r="F490" s="56"/>
      <c r="G490" s="56"/>
      <c r="H490" s="56"/>
      <c r="I490" s="56"/>
      <c r="J490" s="56"/>
      <c r="K490" s="56"/>
      <c r="L490" s="56"/>
      <c r="M490" s="56"/>
      <c r="N490" s="56"/>
      <c r="O490" s="56"/>
      <c r="P490" s="56"/>
      <c r="Q490" s="56"/>
      <c r="R490" s="56"/>
      <c r="S490" s="56"/>
      <c r="T490" s="56"/>
      <c r="U490" s="56"/>
    </row>
    <row r="491" spans="2:21" x14ac:dyDescent="0.15">
      <c r="B491" s="56"/>
      <c r="C491" s="56"/>
      <c r="D491" s="56"/>
      <c r="E491" s="56"/>
      <c r="F491" s="56"/>
      <c r="G491" s="56"/>
      <c r="H491" s="56"/>
      <c r="I491" s="56"/>
      <c r="J491" s="56"/>
      <c r="K491" s="56"/>
      <c r="L491" s="56"/>
      <c r="M491" s="56"/>
      <c r="N491" s="56"/>
      <c r="O491" s="56"/>
      <c r="P491" s="56"/>
      <c r="Q491" s="56"/>
      <c r="R491" s="56"/>
      <c r="S491" s="56"/>
      <c r="T491" s="56"/>
      <c r="U491" s="56"/>
    </row>
    <row r="492" spans="2:21" x14ac:dyDescent="0.15">
      <c r="B492" s="56"/>
      <c r="C492" s="56"/>
      <c r="D492" s="56"/>
      <c r="E492" s="56"/>
      <c r="F492" s="56"/>
      <c r="G492" s="56"/>
      <c r="H492" s="56"/>
      <c r="I492" s="56"/>
      <c r="J492" s="56"/>
      <c r="K492" s="56"/>
      <c r="L492" s="56"/>
      <c r="M492" s="56"/>
      <c r="N492" s="56"/>
      <c r="O492" s="56"/>
      <c r="P492" s="56"/>
      <c r="Q492" s="56"/>
      <c r="R492" s="56"/>
      <c r="S492" s="56"/>
      <c r="T492" s="56"/>
      <c r="U492" s="56"/>
    </row>
    <row r="493" spans="2:21" x14ac:dyDescent="0.15">
      <c r="B493" s="56"/>
      <c r="C493" s="56"/>
      <c r="D493" s="56"/>
      <c r="E493" s="56"/>
      <c r="F493" s="56"/>
      <c r="G493" s="56"/>
      <c r="H493" s="56"/>
      <c r="I493" s="56"/>
      <c r="J493" s="56"/>
      <c r="K493" s="56"/>
      <c r="L493" s="56"/>
      <c r="M493" s="56"/>
      <c r="N493" s="56"/>
      <c r="O493" s="56"/>
      <c r="P493" s="56"/>
      <c r="Q493" s="56"/>
      <c r="R493" s="56"/>
      <c r="S493" s="56"/>
      <c r="T493" s="56"/>
      <c r="U493" s="56"/>
    </row>
    <row r="494" spans="2:21" x14ac:dyDescent="0.15">
      <c r="B494" s="56"/>
      <c r="C494" s="56"/>
      <c r="D494" s="56"/>
      <c r="E494" s="56"/>
      <c r="F494" s="56"/>
      <c r="G494" s="56"/>
      <c r="H494" s="56"/>
      <c r="I494" s="56"/>
      <c r="J494" s="56"/>
      <c r="K494" s="56"/>
      <c r="L494" s="56"/>
      <c r="M494" s="56"/>
      <c r="N494" s="56"/>
      <c r="O494" s="56"/>
      <c r="P494" s="56"/>
      <c r="Q494" s="56"/>
      <c r="R494" s="56"/>
      <c r="S494" s="56"/>
      <c r="T494" s="56"/>
      <c r="U494" s="56"/>
    </row>
    <row r="495" spans="2:21" x14ac:dyDescent="0.15">
      <c r="B495" s="56"/>
      <c r="C495" s="56"/>
      <c r="D495" s="56"/>
      <c r="E495" s="56"/>
      <c r="F495" s="56"/>
      <c r="G495" s="56"/>
      <c r="H495" s="56"/>
      <c r="I495" s="56"/>
      <c r="J495" s="56"/>
      <c r="K495" s="56"/>
      <c r="L495" s="56"/>
      <c r="M495" s="56"/>
      <c r="N495" s="56"/>
      <c r="O495" s="56"/>
      <c r="P495" s="56"/>
      <c r="Q495" s="56"/>
      <c r="R495" s="56"/>
      <c r="S495" s="56"/>
      <c r="T495" s="56"/>
      <c r="U495" s="56"/>
    </row>
    <row r="496" spans="2:21" x14ac:dyDescent="0.15">
      <c r="B496" s="56"/>
      <c r="C496" s="56"/>
      <c r="D496" s="56"/>
      <c r="E496" s="56"/>
      <c r="F496" s="56"/>
      <c r="G496" s="56"/>
      <c r="H496" s="56"/>
      <c r="I496" s="56"/>
      <c r="J496" s="56"/>
      <c r="K496" s="56"/>
      <c r="L496" s="56"/>
      <c r="M496" s="56"/>
      <c r="N496" s="56"/>
      <c r="O496" s="56"/>
      <c r="P496" s="56"/>
      <c r="Q496" s="56"/>
      <c r="R496" s="56"/>
      <c r="S496" s="56"/>
      <c r="T496" s="56"/>
      <c r="U496" s="56"/>
    </row>
    <row r="497" spans="2:21" x14ac:dyDescent="0.15">
      <c r="B497" s="56"/>
      <c r="C497" s="56"/>
      <c r="D497" s="56"/>
      <c r="E497" s="56"/>
      <c r="F497" s="56"/>
      <c r="G497" s="56"/>
      <c r="H497" s="56"/>
      <c r="I497" s="56"/>
      <c r="J497" s="56"/>
      <c r="K497" s="56"/>
      <c r="L497" s="56"/>
      <c r="M497" s="56"/>
      <c r="N497" s="56"/>
      <c r="O497" s="56"/>
      <c r="P497" s="56"/>
      <c r="Q497" s="56"/>
      <c r="R497" s="56"/>
      <c r="S497" s="56"/>
      <c r="T497" s="56"/>
      <c r="U497" s="56"/>
    </row>
    <row r="498" spans="2:21" x14ac:dyDescent="0.15">
      <c r="B498" s="56"/>
      <c r="C498" s="56"/>
      <c r="D498" s="56"/>
      <c r="E498" s="56"/>
      <c r="F498" s="56"/>
      <c r="G498" s="56"/>
      <c r="H498" s="56"/>
      <c r="I498" s="56"/>
      <c r="J498" s="56"/>
      <c r="K498" s="56"/>
      <c r="L498" s="56"/>
      <c r="M498" s="56"/>
      <c r="N498" s="56"/>
      <c r="O498" s="56"/>
      <c r="P498" s="56"/>
      <c r="Q498" s="56"/>
      <c r="R498" s="56"/>
      <c r="S498" s="56"/>
      <c r="T498" s="56"/>
      <c r="U498" s="56"/>
    </row>
    <row r="499" spans="2:21" x14ac:dyDescent="0.15">
      <c r="B499" s="56"/>
      <c r="C499" s="56"/>
      <c r="D499" s="56"/>
      <c r="E499" s="56"/>
      <c r="F499" s="56"/>
      <c r="G499" s="56"/>
      <c r="H499" s="56"/>
      <c r="I499" s="56"/>
      <c r="J499" s="56"/>
      <c r="K499" s="56"/>
      <c r="L499" s="56"/>
      <c r="M499" s="56"/>
      <c r="N499" s="56"/>
      <c r="O499" s="56"/>
      <c r="P499" s="56"/>
      <c r="Q499" s="56"/>
      <c r="R499" s="56"/>
      <c r="S499" s="56"/>
      <c r="T499" s="56"/>
      <c r="U499" s="56"/>
    </row>
    <row r="500" spans="2:21" x14ac:dyDescent="0.15">
      <c r="B500" s="56"/>
      <c r="C500" s="56"/>
      <c r="D500" s="56"/>
      <c r="E500" s="56"/>
      <c r="F500" s="56"/>
      <c r="G500" s="56"/>
      <c r="H500" s="56"/>
      <c r="I500" s="56"/>
      <c r="J500" s="56"/>
      <c r="K500" s="56"/>
      <c r="L500" s="56"/>
      <c r="M500" s="56"/>
      <c r="N500" s="56"/>
      <c r="O500" s="56"/>
      <c r="P500" s="56"/>
      <c r="Q500" s="56"/>
      <c r="R500" s="56"/>
      <c r="S500" s="56"/>
      <c r="T500" s="56"/>
      <c r="U500" s="56"/>
    </row>
    <row r="501" spans="2:21" x14ac:dyDescent="0.15">
      <c r="B501" s="56"/>
      <c r="C501" s="56"/>
      <c r="D501" s="56"/>
      <c r="E501" s="56"/>
      <c r="F501" s="56"/>
      <c r="G501" s="56"/>
      <c r="H501" s="56"/>
      <c r="I501" s="56"/>
      <c r="J501" s="56"/>
      <c r="K501" s="56"/>
      <c r="L501" s="56"/>
      <c r="M501" s="56"/>
      <c r="N501" s="56"/>
      <c r="O501" s="56"/>
      <c r="P501" s="56"/>
      <c r="Q501" s="56"/>
      <c r="R501" s="56"/>
      <c r="S501" s="56"/>
      <c r="T501" s="56"/>
      <c r="U501" s="56"/>
    </row>
    <row r="502" spans="2:21" x14ac:dyDescent="0.15">
      <c r="B502" s="56"/>
      <c r="C502" s="56"/>
      <c r="D502" s="56"/>
      <c r="E502" s="56"/>
      <c r="F502" s="56"/>
      <c r="G502" s="56"/>
      <c r="H502" s="56"/>
      <c r="I502" s="56"/>
      <c r="J502" s="56"/>
      <c r="K502" s="56"/>
      <c r="L502" s="56"/>
      <c r="M502" s="56"/>
      <c r="N502" s="56"/>
      <c r="O502" s="56"/>
      <c r="P502" s="56"/>
      <c r="Q502" s="56"/>
      <c r="R502" s="56"/>
      <c r="S502" s="56"/>
      <c r="T502" s="56"/>
      <c r="U502" s="56"/>
    </row>
    <row r="503" spans="2:21" x14ac:dyDescent="0.15">
      <c r="B503" s="56"/>
      <c r="C503" s="56"/>
      <c r="D503" s="56"/>
      <c r="E503" s="56"/>
      <c r="F503" s="56"/>
      <c r="G503" s="56"/>
      <c r="H503" s="56"/>
      <c r="I503" s="56"/>
      <c r="J503" s="56"/>
      <c r="K503" s="56"/>
      <c r="L503" s="56"/>
      <c r="M503" s="56"/>
      <c r="N503" s="56"/>
      <c r="O503" s="56"/>
      <c r="P503" s="56"/>
      <c r="Q503" s="56"/>
      <c r="R503" s="56"/>
      <c r="S503" s="56"/>
      <c r="T503" s="56"/>
      <c r="U503" s="56"/>
    </row>
    <row r="504" spans="2:21" x14ac:dyDescent="0.15">
      <c r="B504" s="56"/>
      <c r="C504" s="56"/>
      <c r="D504" s="56"/>
      <c r="E504" s="56"/>
      <c r="F504" s="56"/>
      <c r="G504" s="56"/>
      <c r="H504" s="56"/>
      <c r="I504" s="56"/>
      <c r="J504" s="56"/>
      <c r="K504" s="56"/>
      <c r="L504" s="56"/>
      <c r="M504" s="56"/>
      <c r="N504" s="56"/>
      <c r="O504" s="56"/>
      <c r="P504" s="56"/>
      <c r="Q504" s="56"/>
      <c r="R504" s="56"/>
      <c r="S504" s="56"/>
      <c r="T504" s="56"/>
      <c r="U504" s="56"/>
    </row>
    <row r="505" spans="2:21" x14ac:dyDescent="0.15">
      <c r="B505" s="56"/>
      <c r="C505" s="56"/>
      <c r="D505" s="56"/>
      <c r="E505" s="56"/>
      <c r="F505" s="56"/>
      <c r="G505" s="56"/>
      <c r="H505" s="56"/>
      <c r="I505" s="56"/>
      <c r="J505" s="56"/>
      <c r="K505" s="56"/>
      <c r="L505" s="56"/>
      <c r="M505" s="56"/>
      <c r="N505" s="56"/>
      <c r="O505" s="56"/>
      <c r="P505" s="56"/>
      <c r="Q505" s="56"/>
      <c r="R505" s="56"/>
      <c r="S505" s="56"/>
      <c r="T505" s="56"/>
      <c r="U505" s="56"/>
    </row>
    <row r="506" spans="2:21" x14ac:dyDescent="0.15">
      <c r="B506" s="56"/>
      <c r="C506" s="56"/>
      <c r="D506" s="56"/>
      <c r="E506" s="56"/>
      <c r="F506" s="56"/>
      <c r="G506" s="56"/>
      <c r="H506" s="56"/>
      <c r="I506" s="56"/>
      <c r="J506" s="56"/>
      <c r="K506" s="56"/>
      <c r="L506" s="56"/>
      <c r="M506" s="56"/>
      <c r="N506" s="56"/>
      <c r="O506" s="56"/>
      <c r="P506" s="56"/>
      <c r="Q506" s="56"/>
      <c r="R506" s="56"/>
      <c r="S506" s="56"/>
      <c r="T506" s="56"/>
      <c r="U506" s="56"/>
    </row>
    <row r="507" spans="2:21" x14ac:dyDescent="0.15">
      <c r="B507" s="56"/>
      <c r="C507" s="56"/>
      <c r="D507" s="56"/>
      <c r="E507" s="56"/>
      <c r="F507" s="56"/>
      <c r="G507" s="56"/>
      <c r="H507" s="56"/>
      <c r="I507" s="56"/>
      <c r="J507" s="56"/>
      <c r="K507" s="56"/>
      <c r="L507" s="56"/>
      <c r="M507" s="56"/>
      <c r="N507" s="56"/>
      <c r="O507" s="56"/>
      <c r="P507" s="56"/>
      <c r="Q507" s="56"/>
      <c r="R507" s="56"/>
      <c r="S507" s="56"/>
      <c r="T507" s="56"/>
      <c r="U507" s="56"/>
    </row>
    <row r="508" spans="2:21" x14ac:dyDescent="0.15">
      <c r="B508" s="56"/>
      <c r="C508" s="56"/>
      <c r="D508" s="56"/>
      <c r="E508" s="56"/>
      <c r="F508" s="56"/>
      <c r="G508" s="56"/>
      <c r="H508" s="56"/>
      <c r="I508" s="56"/>
      <c r="J508" s="56"/>
      <c r="K508" s="56"/>
      <c r="L508" s="56"/>
      <c r="M508" s="56"/>
      <c r="N508" s="56"/>
      <c r="O508" s="56"/>
      <c r="P508" s="56"/>
      <c r="Q508" s="56"/>
      <c r="R508" s="56"/>
      <c r="S508" s="56"/>
      <c r="T508" s="56"/>
      <c r="U508" s="56"/>
    </row>
    <row r="509" spans="2:21" x14ac:dyDescent="0.15">
      <c r="B509" s="56"/>
      <c r="C509" s="56"/>
      <c r="D509" s="56"/>
      <c r="E509" s="56"/>
      <c r="F509" s="56"/>
      <c r="G509" s="56"/>
      <c r="H509" s="56"/>
      <c r="I509" s="56"/>
      <c r="J509" s="56"/>
      <c r="K509" s="56"/>
      <c r="L509" s="56"/>
      <c r="M509" s="56"/>
      <c r="N509" s="56"/>
      <c r="O509" s="56"/>
      <c r="P509" s="56"/>
      <c r="Q509" s="56"/>
      <c r="R509" s="56"/>
      <c r="S509" s="56"/>
      <c r="T509" s="56"/>
      <c r="U509" s="56"/>
    </row>
    <row r="510" spans="2:21" x14ac:dyDescent="0.15">
      <c r="B510" s="56"/>
      <c r="C510" s="56"/>
      <c r="D510" s="56"/>
      <c r="E510" s="56"/>
      <c r="F510" s="56"/>
      <c r="G510" s="56"/>
      <c r="H510" s="56"/>
      <c r="I510" s="56"/>
      <c r="J510" s="56"/>
      <c r="K510" s="56"/>
      <c r="L510" s="56"/>
      <c r="M510" s="56"/>
      <c r="N510" s="56"/>
      <c r="O510" s="56"/>
      <c r="P510" s="56"/>
      <c r="Q510" s="56"/>
      <c r="R510" s="56"/>
      <c r="S510" s="56"/>
      <c r="T510" s="56"/>
      <c r="U510" s="56"/>
    </row>
    <row r="511" spans="2:21" x14ac:dyDescent="0.15">
      <c r="B511" s="56"/>
      <c r="C511" s="56"/>
      <c r="D511" s="56"/>
      <c r="E511" s="56"/>
      <c r="F511" s="56"/>
      <c r="G511" s="56"/>
      <c r="H511" s="56"/>
      <c r="I511" s="56"/>
      <c r="J511" s="56"/>
      <c r="K511" s="56"/>
      <c r="L511" s="56"/>
      <c r="M511" s="56"/>
      <c r="N511" s="56"/>
      <c r="O511" s="56"/>
      <c r="P511" s="56"/>
      <c r="Q511" s="56"/>
      <c r="R511" s="56"/>
      <c r="S511" s="56"/>
      <c r="T511" s="56"/>
      <c r="U511" s="56"/>
    </row>
    <row r="512" spans="2:21" x14ac:dyDescent="0.15">
      <c r="B512" s="56"/>
      <c r="C512" s="56"/>
      <c r="D512" s="56"/>
      <c r="E512" s="56"/>
      <c r="F512" s="56"/>
      <c r="G512" s="56"/>
      <c r="H512" s="56"/>
      <c r="I512" s="56"/>
      <c r="J512" s="56"/>
      <c r="K512" s="56"/>
      <c r="L512" s="56"/>
      <c r="M512" s="56"/>
      <c r="N512" s="56"/>
      <c r="O512" s="56"/>
      <c r="P512" s="56"/>
      <c r="Q512" s="56"/>
      <c r="R512" s="56"/>
      <c r="S512" s="56"/>
      <c r="T512" s="56"/>
      <c r="U512" s="56"/>
    </row>
    <row r="513" spans="2:21" x14ac:dyDescent="0.15">
      <c r="B513" s="56"/>
      <c r="C513" s="56"/>
      <c r="D513" s="56"/>
      <c r="E513" s="56"/>
      <c r="F513" s="56"/>
      <c r="G513" s="56"/>
      <c r="H513" s="56"/>
      <c r="I513" s="56"/>
      <c r="J513" s="56"/>
      <c r="K513" s="56"/>
      <c r="L513" s="56"/>
      <c r="M513" s="56"/>
      <c r="N513" s="56"/>
      <c r="O513" s="56"/>
      <c r="P513" s="56"/>
      <c r="Q513" s="56"/>
      <c r="R513" s="56"/>
      <c r="S513" s="56"/>
      <c r="T513" s="56"/>
      <c r="U513" s="56"/>
    </row>
    <row r="514" spans="2:21" x14ac:dyDescent="0.15">
      <c r="B514" s="56"/>
      <c r="C514" s="56"/>
      <c r="D514" s="56"/>
      <c r="E514" s="56"/>
      <c r="F514" s="56"/>
      <c r="G514" s="56"/>
      <c r="H514" s="56"/>
      <c r="I514" s="56"/>
      <c r="J514" s="56"/>
      <c r="K514" s="56"/>
      <c r="L514" s="56"/>
      <c r="M514" s="56"/>
      <c r="N514" s="56"/>
      <c r="O514" s="56"/>
      <c r="P514" s="56"/>
      <c r="Q514" s="56"/>
      <c r="R514" s="56"/>
      <c r="S514" s="56"/>
      <c r="T514" s="56"/>
      <c r="U514" s="56"/>
    </row>
    <row r="515" spans="2:21" x14ac:dyDescent="0.15">
      <c r="B515" s="56"/>
      <c r="C515" s="56"/>
      <c r="D515" s="56"/>
      <c r="E515" s="56"/>
      <c r="F515" s="56"/>
      <c r="G515" s="56"/>
      <c r="H515" s="56"/>
      <c r="I515" s="56"/>
      <c r="J515" s="56"/>
      <c r="K515" s="56"/>
      <c r="L515" s="56"/>
      <c r="M515" s="56"/>
      <c r="N515" s="56"/>
      <c r="O515" s="56"/>
      <c r="P515" s="56"/>
      <c r="Q515" s="56"/>
      <c r="R515" s="56"/>
      <c r="S515" s="56"/>
      <c r="T515" s="56"/>
      <c r="U515" s="56"/>
    </row>
    <row r="516" spans="2:21" x14ac:dyDescent="0.15">
      <c r="B516" s="56"/>
      <c r="C516" s="56"/>
      <c r="D516" s="56"/>
      <c r="E516" s="56"/>
      <c r="F516" s="56"/>
      <c r="G516" s="56"/>
      <c r="H516" s="56"/>
      <c r="I516" s="56"/>
      <c r="J516" s="56"/>
      <c r="K516" s="56"/>
      <c r="L516" s="56"/>
      <c r="M516" s="56"/>
      <c r="N516" s="56"/>
      <c r="O516" s="56"/>
      <c r="P516" s="56"/>
      <c r="Q516" s="56"/>
      <c r="R516" s="56"/>
      <c r="S516" s="56"/>
      <c r="T516" s="56"/>
      <c r="U516" s="56"/>
    </row>
    <row r="517" spans="2:21" x14ac:dyDescent="0.15">
      <c r="B517" s="56"/>
      <c r="C517" s="56"/>
      <c r="D517" s="56"/>
      <c r="E517" s="56"/>
      <c r="F517" s="56"/>
      <c r="G517" s="56"/>
      <c r="H517" s="56"/>
      <c r="I517" s="56"/>
      <c r="J517" s="56"/>
      <c r="K517" s="56"/>
      <c r="L517" s="56"/>
      <c r="M517" s="56"/>
      <c r="N517" s="56"/>
      <c r="O517" s="56"/>
      <c r="P517" s="56"/>
      <c r="Q517" s="56"/>
      <c r="R517" s="56"/>
      <c r="S517" s="56"/>
      <c r="T517" s="56"/>
      <c r="U517" s="56"/>
    </row>
    <row r="518" spans="2:21" x14ac:dyDescent="0.15">
      <c r="B518" s="56"/>
      <c r="C518" s="56"/>
      <c r="D518" s="56"/>
      <c r="E518" s="56"/>
      <c r="F518" s="56"/>
      <c r="G518" s="56"/>
      <c r="H518" s="56"/>
      <c r="I518" s="56"/>
      <c r="J518" s="56"/>
      <c r="K518" s="56"/>
      <c r="L518" s="56"/>
      <c r="M518" s="56"/>
      <c r="N518" s="56"/>
      <c r="O518" s="56"/>
      <c r="P518" s="56"/>
      <c r="Q518" s="56"/>
      <c r="R518" s="56"/>
      <c r="S518" s="56"/>
      <c r="T518" s="56"/>
      <c r="U518" s="56"/>
    </row>
    <row r="519" spans="2:21" x14ac:dyDescent="0.15">
      <c r="B519" s="56"/>
      <c r="C519" s="56"/>
      <c r="D519" s="56"/>
      <c r="E519" s="56"/>
      <c r="F519" s="56"/>
      <c r="G519" s="56"/>
      <c r="H519" s="56"/>
      <c r="I519" s="56"/>
      <c r="J519" s="56"/>
      <c r="K519" s="56"/>
      <c r="L519" s="56"/>
      <c r="M519" s="56"/>
      <c r="N519" s="56"/>
      <c r="O519" s="56"/>
      <c r="P519" s="56"/>
      <c r="Q519" s="56"/>
      <c r="R519" s="56"/>
      <c r="S519" s="56"/>
      <c r="T519" s="56"/>
      <c r="U519" s="56"/>
    </row>
    <row r="520" spans="2:21" x14ac:dyDescent="0.15">
      <c r="B520" s="56"/>
      <c r="C520" s="56"/>
      <c r="D520" s="56"/>
      <c r="E520" s="56"/>
      <c r="F520" s="56"/>
      <c r="G520" s="56"/>
      <c r="H520" s="56"/>
      <c r="I520" s="56"/>
      <c r="J520" s="56"/>
      <c r="K520" s="56"/>
      <c r="L520" s="56"/>
      <c r="M520" s="56"/>
      <c r="N520" s="56"/>
      <c r="O520" s="56"/>
      <c r="P520" s="56"/>
      <c r="Q520" s="56"/>
      <c r="R520" s="56"/>
      <c r="S520" s="56"/>
      <c r="T520" s="56"/>
      <c r="U520" s="56"/>
    </row>
    <row r="521" spans="2:21" x14ac:dyDescent="0.15">
      <c r="B521" s="56"/>
      <c r="C521" s="56"/>
      <c r="D521" s="56"/>
      <c r="E521" s="56"/>
      <c r="F521" s="56"/>
      <c r="G521" s="56"/>
      <c r="H521" s="56"/>
      <c r="I521" s="56"/>
      <c r="J521" s="56"/>
      <c r="K521" s="56"/>
      <c r="L521" s="56"/>
      <c r="M521" s="56"/>
      <c r="N521" s="56"/>
      <c r="O521" s="56"/>
      <c r="P521" s="56"/>
      <c r="Q521" s="56"/>
      <c r="R521" s="56"/>
      <c r="S521" s="56"/>
      <c r="T521" s="56"/>
      <c r="U521" s="56"/>
    </row>
    <row r="522" spans="2:21" x14ac:dyDescent="0.15">
      <c r="B522" s="56"/>
      <c r="C522" s="56"/>
      <c r="D522" s="56"/>
      <c r="E522" s="56"/>
      <c r="F522" s="56"/>
      <c r="G522" s="56"/>
      <c r="H522" s="56"/>
      <c r="I522" s="56"/>
      <c r="J522" s="56"/>
      <c r="K522" s="56"/>
      <c r="L522" s="56"/>
      <c r="M522" s="56"/>
      <c r="N522" s="56"/>
      <c r="O522" s="56"/>
      <c r="P522" s="56"/>
      <c r="Q522" s="56"/>
      <c r="R522" s="56"/>
      <c r="S522" s="56"/>
      <c r="T522" s="56"/>
      <c r="U522" s="56"/>
    </row>
    <row r="523" spans="2:21" x14ac:dyDescent="0.15">
      <c r="B523" s="56"/>
      <c r="C523" s="56"/>
      <c r="D523" s="56"/>
      <c r="E523" s="56"/>
      <c r="F523" s="56"/>
      <c r="G523" s="56"/>
      <c r="H523" s="56"/>
      <c r="I523" s="56"/>
      <c r="J523" s="56"/>
      <c r="K523" s="56"/>
      <c r="L523" s="56"/>
      <c r="M523" s="56"/>
      <c r="N523" s="56"/>
      <c r="O523" s="56"/>
      <c r="P523" s="56"/>
      <c r="Q523" s="56"/>
      <c r="R523" s="56"/>
      <c r="S523" s="56"/>
      <c r="T523" s="56"/>
      <c r="U523" s="56"/>
    </row>
    <row r="524" spans="2:21" x14ac:dyDescent="0.15">
      <c r="B524" s="56"/>
      <c r="C524" s="56"/>
      <c r="D524" s="56"/>
      <c r="E524" s="56"/>
      <c r="F524" s="56"/>
      <c r="G524" s="56"/>
      <c r="H524" s="56"/>
      <c r="I524" s="56"/>
      <c r="J524" s="56"/>
      <c r="K524" s="56"/>
      <c r="L524" s="56"/>
      <c r="M524" s="56"/>
      <c r="N524" s="56"/>
      <c r="O524" s="56"/>
      <c r="P524" s="56"/>
      <c r="Q524" s="56"/>
      <c r="R524" s="56"/>
      <c r="S524" s="56"/>
      <c r="T524" s="56"/>
      <c r="U524" s="56"/>
    </row>
    <row r="525" spans="2:21" x14ac:dyDescent="0.15">
      <c r="B525" s="56"/>
      <c r="C525" s="56"/>
      <c r="D525" s="56"/>
      <c r="E525" s="56"/>
      <c r="F525" s="56"/>
      <c r="G525" s="56"/>
      <c r="H525" s="56"/>
      <c r="I525" s="56"/>
      <c r="J525" s="56"/>
      <c r="K525" s="56"/>
      <c r="L525" s="56"/>
      <c r="M525" s="56"/>
      <c r="N525" s="56"/>
      <c r="O525" s="56"/>
      <c r="P525" s="56"/>
      <c r="Q525" s="56"/>
      <c r="R525" s="56"/>
      <c r="S525" s="56"/>
      <c r="T525" s="56"/>
      <c r="U525" s="56"/>
    </row>
    <row r="526" spans="2:21" x14ac:dyDescent="0.15">
      <c r="B526" s="56"/>
      <c r="C526" s="56"/>
      <c r="D526" s="56"/>
      <c r="E526" s="56"/>
      <c r="F526" s="56"/>
      <c r="G526" s="56"/>
      <c r="H526" s="56"/>
      <c r="I526" s="56"/>
      <c r="J526" s="56"/>
      <c r="K526" s="56"/>
      <c r="L526" s="56"/>
      <c r="M526" s="56"/>
      <c r="N526" s="56"/>
      <c r="O526" s="56"/>
      <c r="P526" s="56"/>
      <c r="Q526" s="56"/>
      <c r="R526" s="56"/>
      <c r="S526" s="56"/>
      <c r="T526" s="56"/>
      <c r="U526" s="56"/>
    </row>
    <row r="527" spans="2:21" x14ac:dyDescent="0.15">
      <c r="B527" s="56"/>
      <c r="C527" s="56"/>
      <c r="D527" s="56"/>
      <c r="E527" s="56"/>
      <c r="F527" s="56"/>
      <c r="G527" s="56"/>
      <c r="H527" s="56"/>
      <c r="I527" s="56"/>
      <c r="J527" s="56"/>
      <c r="K527" s="56"/>
      <c r="L527" s="56"/>
      <c r="M527" s="56"/>
      <c r="N527" s="56"/>
      <c r="O527" s="56"/>
      <c r="P527" s="56"/>
      <c r="Q527" s="56"/>
      <c r="R527" s="56"/>
      <c r="S527" s="56"/>
      <c r="T527" s="56"/>
      <c r="U527" s="56"/>
    </row>
    <row r="528" spans="2:21" x14ac:dyDescent="0.15">
      <c r="B528" s="56"/>
      <c r="C528" s="56"/>
      <c r="D528" s="56"/>
      <c r="E528" s="56"/>
      <c r="F528" s="56"/>
      <c r="G528" s="56"/>
      <c r="H528" s="56"/>
      <c r="I528" s="56"/>
      <c r="J528" s="56"/>
      <c r="K528" s="56"/>
      <c r="L528" s="56"/>
      <c r="M528" s="56"/>
      <c r="N528" s="56"/>
      <c r="O528" s="56"/>
      <c r="P528" s="56"/>
      <c r="Q528" s="56"/>
      <c r="R528" s="56"/>
      <c r="S528" s="56"/>
      <c r="T528" s="56"/>
      <c r="U528" s="56"/>
    </row>
    <row r="529" spans="2:21" x14ac:dyDescent="0.15">
      <c r="B529" s="56"/>
      <c r="C529" s="56"/>
      <c r="D529" s="56"/>
      <c r="E529" s="56"/>
      <c r="F529" s="56"/>
      <c r="G529" s="56"/>
      <c r="H529" s="56"/>
      <c r="I529" s="56"/>
      <c r="J529" s="56"/>
      <c r="K529" s="56"/>
      <c r="L529" s="56"/>
      <c r="M529" s="56"/>
      <c r="N529" s="56"/>
      <c r="O529" s="56"/>
      <c r="P529" s="56"/>
      <c r="Q529" s="56"/>
      <c r="R529" s="56"/>
      <c r="S529" s="56"/>
      <c r="T529" s="56"/>
      <c r="U529" s="56"/>
    </row>
    <row r="530" spans="2:21" x14ac:dyDescent="0.15">
      <c r="B530" s="56"/>
      <c r="C530" s="56"/>
      <c r="D530" s="56"/>
      <c r="E530" s="56"/>
      <c r="F530" s="56"/>
      <c r="G530" s="56"/>
      <c r="H530" s="56"/>
      <c r="I530" s="56"/>
      <c r="J530" s="56"/>
      <c r="K530" s="56"/>
      <c r="L530" s="56"/>
      <c r="M530" s="56"/>
      <c r="N530" s="56"/>
      <c r="O530" s="56"/>
      <c r="P530" s="56"/>
      <c r="Q530" s="56"/>
      <c r="R530" s="56"/>
      <c r="S530" s="56"/>
      <c r="T530" s="56"/>
      <c r="U530" s="56"/>
    </row>
    <row r="531" spans="2:21" x14ac:dyDescent="0.15">
      <c r="B531" s="56"/>
      <c r="C531" s="56"/>
      <c r="D531" s="56"/>
      <c r="E531" s="56"/>
      <c r="F531" s="56"/>
      <c r="G531" s="56"/>
      <c r="H531" s="56"/>
      <c r="I531" s="56"/>
      <c r="J531" s="56"/>
      <c r="K531" s="56"/>
      <c r="L531" s="56"/>
      <c r="M531" s="56"/>
      <c r="N531" s="56"/>
      <c r="O531" s="56"/>
      <c r="P531" s="56"/>
      <c r="Q531" s="56"/>
      <c r="R531" s="56"/>
      <c r="S531" s="56"/>
      <c r="T531" s="56"/>
      <c r="U531" s="56"/>
    </row>
    <row r="532" spans="2:21" x14ac:dyDescent="0.15">
      <c r="B532" s="56"/>
      <c r="C532" s="56"/>
      <c r="D532" s="56"/>
      <c r="E532" s="56"/>
      <c r="F532" s="56"/>
      <c r="G532" s="56"/>
      <c r="H532" s="56"/>
      <c r="I532" s="56"/>
      <c r="J532" s="56"/>
      <c r="K532" s="56"/>
      <c r="L532" s="56"/>
      <c r="M532" s="56"/>
      <c r="N532" s="56"/>
      <c r="O532" s="56"/>
      <c r="P532" s="56"/>
      <c r="Q532" s="56"/>
      <c r="R532" s="56"/>
      <c r="S532" s="56"/>
      <c r="T532" s="56"/>
      <c r="U532" s="56"/>
    </row>
    <row r="533" spans="2:21" x14ac:dyDescent="0.15">
      <c r="B533" s="56"/>
      <c r="C533" s="56"/>
      <c r="D533" s="56"/>
      <c r="E533" s="56"/>
      <c r="F533" s="56"/>
      <c r="G533" s="56"/>
      <c r="H533" s="56"/>
      <c r="I533" s="56"/>
      <c r="J533" s="56"/>
      <c r="K533" s="56"/>
      <c r="L533" s="56"/>
      <c r="M533" s="56"/>
      <c r="N533" s="56"/>
      <c r="O533" s="56"/>
      <c r="P533" s="56"/>
      <c r="Q533" s="56"/>
      <c r="R533" s="56"/>
      <c r="S533" s="56"/>
      <c r="T533" s="56"/>
      <c r="U533" s="56"/>
    </row>
    <row r="534" spans="2:21" x14ac:dyDescent="0.15">
      <c r="B534" s="56"/>
      <c r="C534" s="56"/>
      <c r="D534" s="56"/>
      <c r="E534" s="56"/>
      <c r="F534" s="56"/>
      <c r="G534" s="56"/>
      <c r="H534" s="56"/>
      <c r="I534" s="56"/>
      <c r="J534" s="56"/>
      <c r="K534" s="56"/>
      <c r="L534" s="56"/>
      <c r="M534" s="56"/>
      <c r="N534" s="56"/>
      <c r="O534" s="56"/>
      <c r="P534" s="56"/>
      <c r="Q534" s="56"/>
      <c r="R534" s="56"/>
      <c r="S534" s="56"/>
      <c r="T534" s="56"/>
      <c r="U534" s="56"/>
    </row>
    <row r="535" spans="2:21" x14ac:dyDescent="0.15">
      <c r="B535" s="56"/>
      <c r="C535" s="56"/>
      <c r="D535" s="56"/>
      <c r="E535" s="56"/>
      <c r="F535" s="56"/>
      <c r="G535" s="56"/>
      <c r="H535" s="56"/>
      <c r="I535" s="56"/>
      <c r="J535" s="56"/>
      <c r="K535" s="56"/>
      <c r="L535" s="56"/>
      <c r="M535" s="56"/>
      <c r="N535" s="56"/>
      <c r="O535" s="56"/>
      <c r="P535" s="56"/>
      <c r="Q535" s="56"/>
      <c r="R535" s="56"/>
      <c r="S535" s="56"/>
      <c r="T535" s="56"/>
      <c r="U535" s="56"/>
    </row>
    <row r="536" spans="2:21" x14ac:dyDescent="0.15">
      <c r="B536" s="56"/>
      <c r="C536" s="56"/>
      <c r="D536" s="56"/>
      <c r="E536" s="56"/>
      <c r="F536" s="56"/>
      <c r="G536" s="56"/>
      <c r="H536" s="56"/>
      <c r="I536" s="56"/>
      <c r="J536" s="56"/>
      <c r="K536" s="56"/>
      <c r="L536" s="56"/>
      <c r="M536" s="56"/>
      <c r="N536" s="56"/>
      <c r="O536" s="56"/>
      <c r="P536" s="56"/>
      <c r="Q536" s="56"/>
      <c r="R536" s="56"/>
      <c r="S536" s="56"/>
      <c r="T536" s="56"/>
      <c r="U536" s="56"/>
    </row>
    <row r="537" spans="2:21" x14ac:dyDescent="0.15">
      <c r="B537" s="56"/>
      <c r="C537" s="56"/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  <c r="O537" s="56"/>
      <c r="P537" s="56"/>
      <c r="Q537" s="56"/>
      <c r="R537" s="56"/>
      <c r="S537" s="56"/>
      <c r="T537" s="56"/>
      <c r="U537" s="56"/>
    </row>
    <row r="538" spans="2:21" x14ac:dyDescent="0.15">
      <c r="B538" s="56"/>
      <c r="C538" s="56"/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  <c r="O538" s="56"/>
      <c r="P538" s="56"/>
      <c r="Q538" s="56"/>
      <c r="R538" s="56"/>
      <c r="S538" s="56"/>
      <c r="T538" s="56"/>
      <c r="U538" s="56"/>
    </row>
    <row r="539" spans="2:21" x14ac:dyDescent="0.15">
      <c r="B539" s="56"/>
      <c r="C539" s="56"/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  <c r="O539" s="56"/>
      <c r="P539" s="56"/>
      <c r="Q539" s="56"/>
      <c r="R539" s="56"/>
      <c r="S539" s="56"/>
      <c r="T539" s="56"/>
      <c r="U539" s="56"/>
    </row>
    <row r="540" spans="2:21" x14ac:dyDescent="0.15">
      <c r="B540" s="56"/>
      <c r="C540" s="56"/>
      <c r="D540" s="56"/>
      <c r="E540" s="56"/>
      <c r="F540" s="56"/>
      <c r="G540" s="56"/>
      <c r="H540" s="56"/>
      <c r="I540" s="56"/>
      <c r="J540" s="56"/>
      <c r="K540" s="56"/>
      <c r="L540" s="56"/>
      <c r="M540" s="56"/>
      <c r="N540" s="56"/>
      <c r="O540" s="56"/>
      <c r="P540" s="56"/>
      <c r="Q540" s="56"/>
      <c r="R540" s="56"/>
      <c r="S540" s="56"/>
      <c r="T540" s="56"/>
      <c r="U540" s="56"/>
    </row>
    <row r="541" spans="2:21" x14ac:dyDescent="0.15">
      <c r="B541" s="56"/>
      <c r="C541" s="56"/>
      <c r="D541" s="56"/>
      <c r="E541" s="56"/>
      <c r="F541" s="56"/>
      <c r="G541" s="56"/>
      <c r="H541" s="56"/>
      <c r="I541" s="56"/>
      <c r="J541" s="56"/>
      <c r="K541" s="56"/>
      <c r="L541" s="56"/>
      <c r="M541" s="56"/>
      <c r="N541" s="56"/>
      <c r="O541" s="56"/>
      <c r="P541" s="56"/>
      <c r="Q541" s="56"/>
      <c r="R541" s="56"/>
      <c r="S541" s="56"/>
      <c r="T541" s="56"/>
      <c r="U541" s="56"/>
    </row>
    <row r="542" spans="2:21" x14ac:dyDescent="0.15">
      <c r="B542" s="56"/>
      <c r="C542" s="56"/>
      <c r="D542" s="56"/>
      <c r="E542" s="56"/>
      <c r="F542" s="56"/>
      <c r="G542" s="56"/>
      <c r="H542" s="56"/>
      <c r="I542" s="56"/>
      <c r="J542" s="56"/>
      <c r="K542" s="56"/>
      <c r="L542" s="56"/>
      <c r="M542" s="56"/>
      <c r="N542" s="56"/>
      <c r="O542" s="56"/>
      <c r="P542" s="56"/>
      <c r="Q542" s="56"/>
      <c r="R542" s="56"/>
      <c r="S542" s="56"/>
      <c r="T542" s="56"/>
      <c r="U542" s="56"/>
    </row>
    <row r="543" spans="2:21" x14ac:dyDescent="0.15">
      <c r="B543" s="56"/>
      <c r="C543" s="56"/>
      <c r="D543" s="56"/>
      <c r="E543" s="56"/>
      <c r="F543" s="56"/>
      <c r="G543" s="56"/>
      <c r="H543" s="56"/>
      <c r="I543" s="56"/>
      <c r="J543" s="56"/>
      <c r="K543" s="56"/>
      <c r="L543" s="56"/>
      <c r="M543" s="56"/>
      <c r="N543" s="56"/>
      <c r="O543" s="56"/>
      <c r="P543" s="56"/>
      <c r="Q543" s="56"/>
      <c r="R543" s="56"/>
      <c r="S543" s="56"/>
      <c r="T543" s="56"/>
      <c r="U543" s="56"/>
    </row>
    <row r="544" spans="2:21" x14ac:dyDescent="0.15">
      <c r="B544" s="56"/>
      <c r="C544" s="56"/>
      <c r="D544" s="56"/>
      <c r="E544" s="56"/>
      <c r="F544" s="56"/>
      <c r="G544" s="56"/>
      <c r="H544" s="56"/>
      <c r="I544" s="56"/>
      <c r="J544" s="56"/>
      <c r="K544" s="56"/>
      <c r="L544" s="56"/>
      <c r="M544" s="56"/>
      <c r="N544" s="56"/>
      <c r="O544" s="56"/>
      <c r="P544" s="56"/>
      <c r="Q544" s="56"/>
      <c r="R544" s="56"/>
      <c r="S544" s="56"/>
      <c r="T544" s="56"/>
      <c r="U544" s="56"/>
    </row>
    <row r="545" spans="2:21" x14ac:dyDescent="0.15">
      <c r="B545" s="56"/>
      <c r="C545" s="56"/>
      <c r="D545" s="56"/>
      <c r="E545" s="56"/>
      <c r="F545" s="56"/>
      <c r="G545" s="56"/>
      <c r="H545" s="56"/>
      <c r="I545" s="56"/>
      <c r="J545" s="56"/>
      <c r="K545" s="56"/>
      <c r="L545" s="56"/>
      <c r="M545" s="56"/>
      <c r="N545" s="56"/>
      <c r="O545" s="56"/>
      <c r="P545" s="56"/>
      <c r="Q545" s="56"/>
      <c r="R545" s="56"/>
      <c r="S545" s="56"/>
      <c r="T545" s="56"/>
      <c r="U545" s="56"/>
    </row>
    <row r="546" spans="2:21" x14ac:dyDescent="0.15">
      <c r="B546" s="56"/>
      <c r="C546" s="56"/>
      <c r="D546" s="56"/>
      <c r="E546" s="56"/>
      <c r="F546" s="56"/>
      <c r="G546" s="56"/>
      <c r="H546" s="56"/>
      <c r="I546" s="56"/>
      <c r="J546" s="56"/>
      <c r="K546" s="56"/>
      <c r="L546" s="56"/>
      <c r="M546" s="56"/>
      <c r="N546" s="56"/>
      <c r="O546" s="56"/>
      <c r="P546" s="56"/>
      <c r="Q546" s="56"/>
      <c r="R546" s="56"/>
      <c r="S546" s="56"/>
      <c r="T546" s="56"/>
      <c r="U546" s="56"/>
    </row>
    <row r="547" spans="2:21" x14ac:dyDescent="0.15">
      <c r="B547" s="56"/>
      <c r="C547" s="56"/>
      <c r="D547" s="56"/>
      <c r="E547" s="56"/>
      <c r="F547" s="56"/>
      <c r="G547" s="56"/>
      <c r="H547" s="56"/>
      <c r="I547" s="56"/>
      <c r="J547" s="56"/>
      <c r="K547" s="56"/>
      <c r="L547" s="56"/>
      <c r="M547" s="56"/>
      <c r="N547" s="56"/>
      <c r="O547" s="56"/>
      <c r="P547" s="56"/>
      <c r="Q547" s="56"/>
      <c r="R547" s="56"/>
      <c r="S547" s="56"/>
      <c r="T547" s="56"/>
      <c r="U547" s="56"/>
    </row>
    <row r="548" spans="2:21" x14ac:dyDescent="0.15">
      <c r="B548" s="56"/>
      <c r="C548" s="56"/>
      <c r="D548" s="56"/>
      <c r="E548" s="56"/>
      <c r="F548" s="56"/>
      <c r="G548" s="56"/>
      <c r="H548" s="56"/>
      <c r="I548" s="56"/>
      <c r="J548" s="56"/>
      <c r="K548" s="56"/>
      <c r="L548" s="56"/>
      <c r="M548" s="56"/>
      <c r="N548" s="56"/>
      <c r="O548" s="56"/>
      <c r="P548" s="56"/>
      <c r="Q548" s="56"/>
      <c r="R548" s="56"/>
      <c r="S548" s="56"/>
      <c r="T548" s="56"/>
      <c r="U548" s="56"/>
    </row>
    <row r="549" spans="2:21" x14ac:dyDescent="0.15">
      <c r="B549" s="56"/>
      <c r="C549" s="56"/>
      <c r="D549" s="56"/>
      <c r="E549" s="56"/>
      <c r="F549" s="56"/>
      <c r="G549" s="56"/>
      <c r="H549" s="56"/>
      <c r="I549" s="56"/>
      <c r="J549" s="56"/>
      <c r="K549" s="56"/>
      <c r="L549" s="56"/>
      <c r="M549" s="56"/>
      <c r="N549" s="56"/>
      <c r="O549" s="56"/>
      <c r="P549" s="56"/>
      <c r="Q549" s="56"/>
      <c r="R549" s="56"/>
      <c r="S549" s="56"/>
      <c r="T549" s="56"/>
      <c r="U549" s="56"/>
    </row>
    <row r="550" spans="2:21" x14ac:dyDescent="0.15">
      <c r="B550" s="56"/>
      <c r="C550" s="56"/>
      <c r="D550" s="56"/>
      <c r="E550" s="56"/>
      <c r="F550" s="56"/>
      <c r="G550" s="56"/>
      <c r="H550" s="56"/>
      <c r="I550" s="56"/>
      <c r="J550" s="56"/>
      <c r="K550" s="56"/>
      <c r="L550" s="56"/>
      <c r="M550" s="56"/>
      <c r="N550" s="56"/>
      <c r="O550" s="56"/>
      <c r="P550" s="56"/>
      <c r="Q550" s="56"/>
      <c r="R550" s="56"/>
      <c r="S550" s="56"/>
      <c r="T550" s="56"/>
      <c r="U550" s="56"/>
    </row>
    <row r="551" spans="2:21" x14ac:dyDescent="0.15">
      <c r="B551" s="56"/>
      <c r="C551" s="56"/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  <c r="O551" s="56"/>
      <c r="P551" s="56"/>
      <c r="Q551" s="56"/>
      <c r="R551" s="56"/>
      <c r="S551" s="56"/>
      <c r="T551" s="56"/>
      <c r="U551" s="56"/>
    </row>
    <row r="552" spans="2:21" x14ac:dyDescent="0.15">
      <c r="B552" s="56"/>
      <c r="C552" s="56"/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  <c r="O552" s="56"/>
      <c r="P552" s="56"/>
      <c r="Q552" s="56"/>
      <c r="R552" s="56"/>
      <c r="S552" s="56"/>
      <c r="T552" s="56"/>
      <c r="U552" s="56"/>
    </row>
    <row r="553" spans="2:21" x14ac:dyDescent="0.15">
      <c r="B553" s="56"/>
      <c r="C553" s="56"/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  <c r="O553" s="56"/>
      <c r="P553" s="56"/>
      <c r="Q553" s="56"/>
      <c r="R553" s="56"/>
      <c r="S553" s="56"/>
      <c r="T553" s="56"/>
      <c r="U553" s="56"/>
    </row>
    <row r="554" spans="2:21" x14ac:dyDescent="0.15">
      <c r="B554" s="56"/>
      <c r="C554" s="56"/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  <c r="O554" s="56"/>
      <c r="P554" s="56"/>
      <c r="Q554" s="56"/>
      <c r="R554" s="56"/>
      <c r="S554" s="56"/>
      <c r="T554" s="56"/>
      <c r="U554" s="56"/>
    </row>
    <row r="555" spans="2:21" x14ac:dyDescent="0.15">
      <c r="B555" s="56"/>
      <c r="C555" s="56"/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  <c r="O555" s="56"/>
      <c r="P555" s="56"/>
      <c r="Q555" s="56"/>
      <c r="R555" s="56"/>
      <c r="S555" s="56"/>
      <c r="T555" s="56"/>
      <c r="U555" s="56"/>
    </row>
    <row r="556" spans="2:21" x14ac:dyDescent="0.15">
      <c r="B556" s="56"/>
      <c r="C556" s="56"/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  <c r="O556" s="56"/>
      <c r="P556" s="56"/>
      <c r="Q556" s="56"/>
      <c r="R556" s="56"/>
      <c r="S556" s="56"/>
      <c r="T556" s="56"/>
      <c r="U556" s="56"/>
    </row>
    <row r="557" spans="2:21" x14ac:dyDescent="0.15">
      <c r="B557" s="56"/>
      <c r="C557" s="56"/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  <c r="O557" s="56"/>
      <c r="P557" s="56"/>
      <c r="Q557" s="56"/>
      <c r="R557" s="56"/>
      <c r="S557" s="56"/>
      <c r="T557" s="56"/>
      <c r="U557" s="56"/>
    </row>
    <row r="558" spans="2:21" x14ac:dyDescent="0.15">
      <c r="B558" s="56"/>
      <c r="C558" s="56"/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  <c r="O558" s="56"/>
      <c r="P558" s="56"/>
      <c r="Q558" s="56"/>
      <c r="R558" s="56"/>
      <c r="S558" s="56"/>
      <c r="T558" s="56"/>
      <c r="U558" s="56"/>
    </row>
    <row r="559" spans="2:21" x14ac:dyDescent="0.15">
      <c r="B559" s="56"/>
      <c r="C559" s="56"/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  <c r="O559" s="56"/>
      <c r="P559" s="56"/>
      <c r="Q559" s="56"/>
      <c r="R559" s="56"/>
      <c r="S559" s="56"/>
      <c r="T559" s="56"/>
      <c r="U559" s="56"/>
    </row>
    <row r="560" spans="2:21" x14ac:dyDescent="0.15">
      <c r="B560" s="56"/>
      <c r="C560" s="56"/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  <c r="O560" s="56"/>
      <c r="P560" s="56"/>
      <c r="Q560" s="56"/>
      <c r="R560" s="56"/>
      <c r="S560" s="56"/>
      <c r="T560" s="56"/>
      <c r="U560" s="56"/>
    </row>
    <row r="561" spans="2:21" x14ac:dyDescent="0.15">
      <c r="B561" s="56"/>
      <c r="C561" s="56"/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  <c r="O561" s="56"/>
      <c r="P561" s="56"/>
      <c r="Q561" s="56"/>
      <c r="R561" s="56"/>
      <c r="S561" s="56"/>
      <c r="T561" s="56"/>
      <c r="U561" s="56"/>
    </row>
    <row r="562" spans="2:21" x14ac:dyDescent="0.15">
      <c r="B562" s="56"/>
      <c r="C562" s="56"/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  <c r="O562" s="56"/>
      <c r="P562" s="56"/>
      <c r="Q562" s="56"/>
      <c r="R562" s="56"/>
      <c r="S562" s="56"/>
      <c r="T562" s="56"/>
      <c r="U562" s="56"/>
    </row>
    <row r="563" spans="2:21" x14ac:dyDescent="0.15">
      <c r="B563" s="56"/>
      <c r="C563" s="56"/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  <c r="O563" s="56"/>
      <c r="P563" s="56"/>
      <c r="Q563" s="56"/>
      <c r="R563" s="56"/>
      <c r="S563" s="56"/>
      <c r="T563" s="56"/>
      <c r="U563" s="56"/>
    </row>
    <row r="564" spans="2:21" x14ac:dyDescent="0.15">
      <c r="B564" s="56"/>
      <c r="C564" s="56"/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  <c r="O564" s="56"/>
      <c r="P564" s="56"/>
      <c r="Q564" s="56"/>
      <c r="R564" s="56"/>
      <c r="S564" s="56"/>
      <c r="T564" s="56"/>
      <c r="U564" s="56"/>
    </row>
    <row r="565" spans="2:21" x14ac:dyDescent="0.15">
      <c r="B565" s="56"/>
      <c r="C565" s="56"/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  <c r="O565" s="56"/>
      <c r="P565" s="56"/>
      <c r="Q565" s="56"/>
      <c r="R565" s="56"/>
      <c r="S565" s="56"/>
      <c r="T565" s="56"/>
      <c r="U565" s="56"/>
    </row>
    <row r="566" spans="2:21" x14ac:dyDescent="0.15">
      <c r="B566" s="56"/>
      <c r="C566" s="56"/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  <c r="O566" s="56"/>
      <c r="P566" s="56"/>
      <c r="Q566" s="56"/>
      <c r="R566" s="56"/>
      <c r="S566" s="56"/>
      <c r="T566" s="56"/>
      <c r="U566" s="56"/>
    </row>
    <row r="567" spans="2:21" x14ac:dyDescent="0.15">
      <c r="B567" s="56"/>
      <c r="C567" s="56"/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  <c r="O567" s="56"/>
      <c r="P567" s="56"/>
      <c r="Q567" s="56"/>
      <c r="R567" s="56"/>
      <c r="S567" s="56"/>
      <c r="T567" s="56"/>
      <c r="U567" s="56"/>
    </row>
    <row r="568" spans="2:21" x14ac:dyDescent="0.15">
      <c r="B568" s="56"/>
      <c r="C568" s="56"/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  <c r="O568" s="56"/>
      <c r="P568" s="56"/>
      <c r="Q568" s="56"/>
      <c r="R568" s="56"/>
      <c r="S568" s="56"/>
      <c r="T568" s="56"/>
      <c r="U568" s="56"/>
    </row>
    <row r="569" spans="2:21" x14ac:dyDescent="0.15">
      <c r="B569" s="56"/>
      <c r="C569" s="56"/>
      <c r="D569" s="56"/>
      <c r="E569" s="56"/>
      <c r="F569" s="56"/>
      <c r="G569" s="56"/>
      <c r="H569" s="56"/>
      <c r="I569" s="56"/>
      <c r="J569" s="56"/>
      <c r="K569" s="56"/>
      <c r="L569" s="56"/>
      <c r="M569" s="56"/>
      <c r="N569" s="56"/>
      <c r="O569" s="56"/>
      <c r="P569" s="56"/>
      <c r="Q569" s="56"/>
      <c r="R569" s="56"/>
      <c r="S569" s="56"/>
      <c r="T569" s="56"/>
      <c r="U569" s="56"/>
    </row>
    <row r="570" spans="2:21" x14ac:dyDescent="0.15">
      <c r="B570" s="56"/>
      <c r="C570" s="56"/>
      <c r="D570" s="56"/>
      <c r="E570" s="56"/>
      <c r="F570" s="56"/>
      <c r="G570" s="56"/>
      <c r="H570" s="56"/>
      <c r="I570" s="56"/>
      <c r="J570" s="56"/>
      <c r="K570" s="56"/>
      <c r="L570" s="56"/>
      <c r="M570" s="56"/>
      <c r="N570" s="56"/>
      <c r="O570" s="56"/>
      <c r="P570" s="56"/>
      <c r="Q570" s="56"/>
      <c r="R570" s="56"/>
      <c r="S570" s="56"/>
      <c r="T570" s="56"/>
      <c r="U570" s="56"/>
    </row>
    <row r="571" spans="2:21" x14ac:dyDescent="0.15">
      <c r="B571" s="56"/>
      <c r="C571" s="56"/>
      <c r="D571" s="56"/>
      <c r="E571" s="56"/>
      <c r="F571" s="56"/>
      <c r="G571" s="56"/>
      <c r="H571" s="56"/>
      <c r="I571" s="56"/>
      <c r="J571" s="56"/>
      <c r="K571" s="56"/>
      <c r="L571" s="56"/>
      <c r="M571" s="56"/>
      <c r="N571" s="56"/>
      <c r="O571" s="56"/>
      <c r="P571" s="56"/>
      <c r="Q571" s="56"/>
      <c r="R571" s="56"/>
      <c r="S571" s="56"/>
      <c r="T571" s="56"/>
      <c r="U571" s="56"/>
    </row>
    <row r="572" spans="2:21" x14ac:dyDescent="0.15">
      <c r="B572" s="56"/>
      <c r="C572" s="56"/>
      <c r="D572" s="56"/>
      <c r="E572" s="56"/>
      <c r="F572" s="56"/>
      <c r="G572" s="56"/>
      <c r="H572" s="56"/>
      <c r="I572" s="56"/>
      <c r="J572" s="56"/>
      <c r="K572" s="56"/>
      <c r="L572" s="56"/>
      <c r="M572" s="56"/>
      <c r="N572" s="56"/>
      <c r="O572" s="56"/>
      <c r="P572" s="56"/>
      <c r="Q572" s="56"/>
      <c r="R572" s="56"/>
      <c r="S572" s="56"/>
      <c r="T572" s="56"/>
      <c r="U572" s="56"/>
    </row>
    <row r="573" spans="2:21" x14ac:dyDescent="0.15">
      <c r="B573" s="56"/>
      <c r="C573" s="56"/>
      <c r="D573" s="56"/>
      <c r="E573" s="56"/>
      <c r="F573" s="56"/>
      <c r="G573" s="56"/>
      <c r="H573" s="56"/>
      <c r="I573" s="56"/>
      <c r="J573" s="56"/>
      <c r="K573" s="56"/>
      <c r="L573" s="56"/>
      <c r="M573" s="56"/>
      <c r="N573" s="56"/>
      <c r="O573" s="56"/>
      <c r="P573" s="56"/>
      <c r="Q573" s="56"/>
      <c r="R573" s="56"/>
      <c r="S573" s="56"/>
      <c r="T573" s="56"/>
      <c r="U573" s="56"/>
    </row>
    <row r="574" spans="2:21" x14ac:dyDescent="0.15">
      <c r="B574" s="56"/>
      <c r="C574" s="56"/>
      <c r="D574" s="56"/>
      <c r="E574" s="56"/>
      <c r="F574" s="56"/>
      <c r="G574" s="56"/>
      <c r="H574" s="56"/>
      <c r="I574" s="56"/>
      <c r="J574" s="56"/>
      <c r="K574" s="56"/>
      <c r="L574" s="56"/>
      <c r="M574" s="56"/>
      <c r="N574" s="56"/>
      <c r="O574" s="56"/>
      <c r="P574" s="56"/>
      <c r="Q574" s="56"/>
      <c r="R574" s="56"/>
      <c r="S574" s="56"/>
      <c r="T574" s="56"/>
      <c r="U574" s="56"/>
    </row>
    <row r="575" spans="2:21" x14ac:dyDescent="0.15">
      <c r="B575" s="56"/>
      <c r="C575" s="56"/>
      <c r="D575" s="56"/>
      <c r="E575" s="56"/>
      <c r="F575" s="56"/>
      <c r="G575" s="56"/>
      <c r="H575" s="56"/>
      <c r="I575" s="56"/>
      <c r="J575" s="56"/>
      <c r="K575" s="56"/>
      <c r="L575" s="56"/>
      <c r="M575" s="56"/>
      <c r="N575" s="56"/>
      <c r="O575" s="56"/>
      <c r="P575" s="56"/>
      <c r="Q575" s="56"/>
      <c r="R575" s="56"/>
      <c r="S575" s="56"/>
      <c r="T575" s="56"/>
      <c r="U575" s="56"/>
    </row>
    <row r="576" spans="2:21" x14ac:dyDescent="0.15">
      <c r="B576" s="56"/>
      <c r="C576" s="56"/>
      <c r="D576" s="56"/>
      <c r="E576" s="56"/>
      <c r="F576" s="56"/>
      <c r="G576" s="56"/>
      <c r="H576" s="56"/>
      <c r="I576" s="56"/>
      <c r="J576" s="56"/>
      <c r="K576" s="56"/>
      <c r="L576" s="56"/>
      <c r="M576" s="56"/>
      <c r="N576" s="56"/>
      <c r="O576" s="56"/>
      <c r="P576" s="56"/>
      <c r="Q576" s="56"/>
      <c r="R576" s="56"/>
      <c r="S576" s="56"/>
      <c r="T576" s="56"/>
      <c r="U576" s="56"/>
    </row>
    <row r="577" spans="2:21" x14ac:dyDescent="0.15">
      <c r="B577" s="56"/>
      <c r="C577" s="56"/>
      <c r="D577" s="56"/>
      <c r="E577" s="56"/>
      <c r="F577" s="56"/>
      <c r="G577" s="56"/>
      <c r="H577" s="56"/>
      <c r="I577" s="56"/>
      <c r="J577" s="56"/>
      <c r="K577" s="56"/>
      <c r="L577" s="56"/>
      <c r="M577" s="56"/>
      <c r="N577" s="56"/>
      <c r="O577" s="56"/>
      <c r="P577" s="56"/>
      <c r="Q577" s="56"/>
      <c r="R577" s="56"/>
      <c r="S577" s="56"/>
      <c r="T577" s="56"/>
      <c r="U577" s="56"/>
    </row>
    <row r="578" spans="2:21" x14ac:dyDescent="0.15">
      <c r="B578" s="56"/>
      <c r="C578" s="56"/>
      <c r="D578" s="56"/>
      <c r="E578" s="56"/>
      <c r="F578" s="56"/>
      <c r="G578" s="56"/>
      <c r="H578" s="56"/>
      <c r="I578" s="56"/>
      <c r="J578" s="56"/>
      <c r="K578" s="56"/>
      <c r="L578" s="56"/>
      <c r="M578" s="56"/>
      <c r="N578" s="56"/>
      <c r="O578" s="56"/>
      <c r="P578" s="56"/>
      <c r="Q578" s="56"/>
      <c r="R578" s="56"/>
      <c r="S578" s="56"/>
      <c r="T578" s="56"/>
      <c r="U578" s="56"/>
    </row>
    <row r="579" spans="2:21" x14ac:dyDescent="0.15">
      <c r="B579" s="56"/>
      <c r="C579" s="56"/>
      <c r="D579" s="56"/>
      <c r="E579" s="56"/>
      <c r="F579" s="56"/>
      <c r="G579" s="56"/>
      <c r="H579" s="56"/>
      <c r="I579" s="56"/>
      <c r="J579" s="56"/>
      <c r="K579" s="56"/>
      <c r="L579" s="56"/>
      <c r="M579" s="56"/>
      <c r="N579" s="56"/>
      <c r="O579" s="56"/>
      <c r="P579" s="56"/>
      <c r="Q579" s="56"/>
      <c r="R579" s="56"/>
      <c r="S579" s="56"/>
      <c r="T579" s="56"/>
      <c r="U579" s="56"/>
    </row>
    <row r="580" spans="2:21" x14ac:dyDescent="0.15">
      <c r="B580" s="56"/>
      <c r="C580" s="56"/>
      <c r="D580" s="56"/>
      <c r="E580" s="56"/>
      <c r="F580" s="56"/>
      <c r="G580" s="56"/>
      <c r="H580" s="56"/>
      <c r="I580" s="56"/>
      <c r="J580" s="56"/>
      <c r="K580" s="56"/>
      <c r="L580" s="56"/>
      <c r="M580" s="56"/>
      <c r="N580" s="56"/>
      <c r="O580" s="56"/>
      <c r="P580" s="56"/>
      <c r="Q580" s="56"/>
      <c r="R580" s="56"/>
      <c r="S580" s="56"/>
      <c r="T580" s="56"/>
      <c r="U580" s="56"/>
    </row>
    <row r="581" spans="2:21" x14ac:dyDescent="0.15">
      <c r="B581" s="56"/>
      <c r="C581" s="56"/>
      <c r="D581" s="56"/>
      <c r="E581" s="56"/>
      <c r="F581" s="56"/>
      <c r="G581" s="56"/>
      <c r="H581" s="56"/>
      <c r="I581" s="56"/>
      <c r="J581" s="56"/>
      <c r="K581" s="56"/>
      <c r="L581" s="56"/>
      <c r="M581" s="56"/>
      <c r="N581" s="56"/>
      <c r="O581" s="56"/>
      <c r="P581" s="56"/>
      <c r="Q581" s="56"/>
      <c r="R581" s="56"/>
      <c r="S581" s="56"/>
      <c r="T581" s="56"/>
      <c r="U581" s="56"/>
    </row>
    <row r="582" spans="2:21" x14ac:dyDescent="0.15">
      <c r="B582" s="56"/>
      <c r="C582" s="56"/>
      <c r="D582" s="56"/>
      <c r="E582" s="56"/>
      <c r="F582" s="56"/>
      <c r="G582" s="56"/>
      <c r="H582" s="56"/>
      <c r="I582" s="56"/>
      <c r="J582" s="56"/>
      <c r="K582" s="56"/>
      <c r="L582" s="56"/>
      <c r="M582" s="56"/>
      <c r="N582" s="56"/>
      <c r="O582" s="56"/>
      <c r="P582" s="56"/>
      <c r="Q582" s="56"/>
      <c r="R582" s="56"/>
      <c r="S582" s="56"/>
      <c r="T582" s="56"/>
      <c r="U582" s="56"/>
    </row>
    <row r="583" spans="2:21" x14ac:dyDescent="0.15">
      <c r="B583" s="56"/>
      <c r="C583" s="56"/>
      <c r="D583" s="56"/>
      <c r="E583" s="56"/>
      <c r="F583" s="56"/>
      <c r="G583" s="56"/>
      <c r="H583" s="56"/>
      <c r="I583" s="56"/>
      <c r="J583" s="56"/>
      <c r="K583" s="56"/>
      <c r="L583" s="56"/>
      <c r="M583" s="56"/>
      <c r="N583" s="56"/>
      <c r="O583" s="56"/>
      <c r="P583" s="56"/>
      <c r="Q583" s="56"/>
      <c r="R583" s="56"/>
      <c r="S583" s="56"/>
      <c r="T583" s="56"/>
      <c r="U583" s="56"/>
    </row>
    <row r="584" spans="2:21" x14ac:dyDescent="0.15">
      <c r="B584" s="56"/>
      <c r="C584" s="56"/>
      <c r="D584" s="56"/>
      <c r="E584" s="56"/>
      <c r="F584" s="56"/>
      <c r="G584" s="56"/>
      <c r="H584" s="56"/>
      <c r="I584" s="56"/>
      <c r="J584" s="56"/>
      <c r="K584" s="56"/>
      <c r="L584" s="56"/>
      <c r="M584" s="56"/>
      <c r="N584" s="56"/>
      <c r="O584" s="56"/>
      <c r="P584" s="56"/>
      <c r="Q584" s="56"/>
      <c r="R584" s="56"/>
      <c r="S584" s="56"/>
      <c r="T584" s="56"/>
      <c r="U584" s="56"/>
    </row>
    <row r="585" spans="2:21" x14ac:dyDescent="0.15">
      <c r="B585" s="56"/>
      <c r="C585" s="56"/>
      <c r="D585" s="56"/>
      <c r="E585" s="56"/>
      <c r="F585" s="56"/>
      <c r="G585" s="56"/>
      <c r="H585" s="56"/>
      <c r="I585" s="56"/>
      <c r="J585" s="56"/>
      <c r="K585" s="56"/>
      <c r="L585" s="56"/>
      <c r="M585" s="56"/>
      <c r="N585" s="56"/>
      <c r="O585" s="56"/>
      <c r="P585" s="56"/>
      <c r="Q585" s="56"/>
      <c r="R585" s="56"/>
      <c r="S585" s="56"/>
      <c r="T585" s="56"/>
      <c r="U585" s="56"/>
    </row>
    <row r="586" spans="2:21" x14ac:dyDescent="0.15">
      <c r="B586" s="56"/>
      <c r="C586" s="56"/>
      <c r="D586" s="56"/>
      <c r="E586" s="56"/>
      <c r="F586" s="56"/>
      <c r="G586" s="56"/>
      <c r="H586" s="56"/>
      <c r="I586" s="56"/>
      <c r="J586" s="56"/>
      <c r="K586" s="56"/>
      <c r="L586" s="56"/>
      <c r="M586" s="56"/>
      <c r="N586" s="56"/>
      <c r="O586" s="56"/>
      <c r="P586" s="56"/>
      <c r="Q586" s="56"/>
      <c r="R586" s="56"/>
      <c r="S586" s="56"/>
      <c r="T586" s="56"/>
      <c r="U586" s="56"/>
    </row>
    <row r="587" spans="2:21" x14ac:dyDescent="0.15">
      <c r="B587" s="56"/>
      <c r="C587" s="56"/>
      <c r="D587" s="56"/>
      <c r="E587" s="56"/>
      <c r="F587" s="56"/>
      <c r="G587" s="56"/>
      <c r="H587" s="56"/>
      <c r="I587" s="56"/>
      <c r="J587" s="56"/>
      <c r="K587" s="56"/>
      <c r="L587" s="56"/>
      <c r="M587" s="56"/>
      <c r="N587" s="56"/>
      <c r="O587" s="56"/>
      <c r="P587" s="56"/>
      <c r="Q587" s="56"/>
      <c r="R587" s="56"/>
      <c r="S587" s="56"/>
      <c r="T587" s="56"/>
      <c r="U587" s="56"/>
    </row>
    <row r="588" spans="2:21" x14ac:dyDescent="0.15">
      <c r="B588" s="56"/>
      <c r="C588" s="56"/>
      <c r="D588" s="56"/>
      <c r="E588" s="56"/>
      <c r="F588" s="56"/>
      <c r="G588" s="56"/>
      <c r="H588" s="56"/>
      <c r="I588" s="56"/>
      <c r="J588" s="56"/>
      <c r="K588" s="56"/>
      <c r="L588" s="56"/>
      <c r="M588" s="56"/>
      <c r="N588" s="56"/>
      <c r="O588" s="56"/>
      <c r="P588" s="56"/>
      <c r="Q588" s="56"/>
      <c r="R588" s="56"/>
      <c r="S588" s="56"/>
      <c r="T588" s="56"/>
      <c r="U588" s="56"/>
    </row>
    <row r="589" spans="2:21" x14ac:dyDescent="0.15">
      <c r="B589" s="56"/>
      <c r="C589" s="56"/>
      <c r="D589" s="56"/>
      <c r="E589" s="56"/>
      <c r="F589" s="56"/>
      <c r="G589" s="56"/>
      <c r="H589" s="56"/>
      <c r="I589" s="56"/>
      <c r="J589" s="56"/>
      <c r="K589" s="56"/>
      <c r="L589" s="56"/>
      <c r="M589" s="56"/>
      <c r="N589" s="56"/>
      <c r="O589" s="56"/>
      <c r="P589" s="56"/>
      <c r="Q589" s="56"/>
      <c r="R589" s="56"/>
      <c r="S589" s="56"/>
      <c r="T589" s="56"/>
      <c r="U589" s="56"/>
    </row>
    <row r="590" spans="2:21" x14ac:dyDescent="0.15">
      <c r="B590" s="56"/>
      <c r="C590" s="56"/>
      <c r="D590" s="56"/>
      <c r="E590" s="56"/>
      <c r="F590" s="56"/>
      <c r="G590" s="56"/>
      <c r="H590" s="56"/>
      <c r="I590" s="56"/>
      <c r="J590" s="56"/>
      <c r="K590" s="56"/>
      <c r="L590" s="56"/>
      <c r="M590" s="56"/>
      <c r="N590" s="56"/>
      <c r="O590" s="56"/>
      <c r="P590" s="56"/>
      <c r="Q590" s="56"/>
      <c r="R590" s="56"/>
      <c r="S590" s="56"/>
      <c r="T590" s="56"/>
      <c r="U590" s="56"/>
    </row>
    <row r="591" spans="2:21" x14ac:dyDescent="0.15">
      <c r="B591" s="56"/>
      <c r="C591" s="56"/>
      <c r="D591" s="56"/>
      <c r="E591" s="56"/>
      <c r="F591" s="56"/>
      <c r="G591" s="56"/>
      <c r="H591" s="56"/>
      <c r="I591" s="56"/>
      <c r="J591" s="56"/>
      <c r="K591" s="56"/>
      <c r="L591" s="56"/>
      <c r="M591" s="56"/>
      <c r="N591" s="56"/>
      <c r="O591" s="56"/>
      <c r="P591" s="56"/>
      <c r="Q591" s="56"/>
      <c r="R591" s="56"/>
      <c r="S591" s="56"/>
      <c r="T591" s="56"/>
      <c r="U591" s="56"/>
    </row>
    <row r="592" spans="2:21" x14ac:dyDescent="0.15">
      <c r="B592" s="56"/>
      <c r="C592" s="56"/>
      <c r="D592" s="56"/>
      <c r="E592" s="56"/>
      <c r="F592" s="56"/>
      <c r="G592" s="56"/>
      <c r="H592" s="56"/>
      <c r="I592" s="56"/>
      <c r="J592" s="56"/>
      <c r="K592" s="56"/>
      <c r="L592" s="56"/>
      <c r="M592" s="56"/>
      <c r="N592" s="56"/>
      <c r="O592" s="56"/>
      <c r="P592" s="56"/>
      <c r="Q592" s="56"/>
      <c r="R592" s="56"/>
      <c r="S592" s="56"/>
      <c r="T592" s="56"/>
      <c r="U592" s="56"/>
    </row>
    <row r="593" spans="2:21" x14ac:dyDescent="0.15">
      <c r="B593" s="56"/>
      <c r="C593" s="56"/>
      <c r="D593" s="56"/>
      <c r="E593" s="56"/>
      <c r="F593" s="56"/>
      <c r="G593" s="56"/>
      <c r="H593" s="56"/>
      <c r="I593" s="56"/>
      <c r="J593" s="56"/>
      <c r="K593" s="56"/>
      <c r="L593" s="56"/>
      <c r="M593" s="56"/>
      <c r="N593" s="56"/>
      <c r="O593" s="56"/>
      <c r="P593" s="56"/>
      <c r="Q593" s="56"/>
      <c r="R593" s="56"/>
      <c r="S593" s="56"/>
      <c r="T593" s="56"/>
      <c r="U593" s="56"/>
    </row>
    <row r="594" spans="2:21" x14ac:dyDescent="0.15">
      <c r="B594" s="56"/>
      <c r="C594" s="56"/>
      <c r="D594" s="56"/>
      <c r="E594" s="56"/>
      <c r="F594" s="56"/>
      <c r="G594" s="56"/>
      <c r="H594" s="56"/>
      <c r="I594" s="56"/>
      <c r="J594" s="56"/>
      <c r="K594" s="56"/>
      <c r="L594" s="56"/>
      <c r="M594" s="56"/>
      <c r="N594" s="56"/>
      <c r="O594" s="56"/>
      <c r="P594" s="56"/>
      <c r="Q594" s="56"/>
      <c r="R594" s="56"/>
      <c r="S594" s="56"/>
      <c r="T594" s="56"/>
      <c r="U594" s="56"/>
    </row>
    <row r="595" spans="2:21" x14ac:dyDescent="0.15">
      <c r="B595" s="56"/>
      <c r="C595" s="56"/>
      <c r="D595" s="56"/>
      <c r="E595" s="56"/>
      <c r="F595" s="56"/>
      <c r="G595" s="56"/>
      <c r="H595" s="56"/>
      <c r="I595" s="56"/>
      <c r="J595" s="56"/>
      <c r="K595" s="56"/>
      <c r="L595" s="56"/>
      <c r="M595" s="56"/>
      <c r="N595" s="56"/>
      <c r="O595" s="56"/>
      <c r="P595" s="56"/>
      <c r="Q595" s="56"/>
      <c r="R595" s="56"/>
      <c r="S595" s="56"/>
      <c r="T595" s="56"/>
      <c r="U595" s="56"/>
    </row>
    <row r="596" spans="2:21" x14ac:dyDescent="0.15">
      <c r="B596" s="56"/>
      <c r="C596" s="56"/>
      <c r="D596" s="56"/>
      <c r="E596" s="56"/>
      <c r="F596" s="56"/>
      <c r="G596" s="56"/>
      <c r="H596" s="56"/>
      <c r="I596" s="56"/>
      <c r="J596" s="56"/>
      <c r="K596" s="56"/>
      <c r="L596" s="56"/>
      <c r="M596" s="56"/>
      <c r="N596" s="56"/>
      <c r="O596" s="56"/>
      <c r="P596" s="56"/>
      <c r="Q596" s="56"/>
      <c r="R596" s="56"/>
      <c r="S596" s="56"/>
      <c r="T596" s="56"/>
      <c r="U596" s="56"/>
    </row>
    <row r="597" spans="2:21" x14ac:dyDescent="0.15">
      <c r="B597" s="56"/>
      <c r="C597" s="56"/>
      <c r="D597" s="56"/>
      <c r="E597" s="56"/>
      <c r="F597" s="56"/>
      <c r="G597" s="56"/>
      <c r="H597" s="56"/>
      <c r="I597" s="56"/>
      <c r="J597" s="56"/>
      <c r="K597" s="56"/>
      <c r="L597" s="56"/>
      <c r="M597" s="56"/>
      <c r="N597" s="56"/>
      <c r="O597" s="56"/>
      <c r="P597" s="56"/>
      <c r="Q597" s="56"/>
      <c r="R597" s="56"/>
      <c r="S597" s="56"/>
      <c r="T597" s="56"/>
      <c r="U597" s="56"/>
    </row>
    <row r="598" spans="2:21" x14ac:dyDescent="0.15">
      <c r="B598" s="56"/>
      <c r="C598" s="56"/>
      <c r="D598" s="56"/>
      <c r="E598" s="56"/>
      <c r="F598" s="56"/>
      <c r="G598" s="56"/>
      <c r="H598" s="56"/>
      <c r="I598" s="56"/>
      <c r="J598" s="56"/>
      <c r="K598" s="56"/>
      <c r="L598" s="56"/>
      <c r="M598" s="56"/>
      <c r="N598" s="56"/>
      <c r="O598" s="56"/>
      <c r="P598" s="56"/>
      <c r="Q598" s="56"/>
      <c r="R598" s="56"/>
      <c r="S598" s="56"/>
      <c r="T598" s="56"/>
      <c r="U598" s="56"/>
    </row>
    <row r="599" spans="2:21" x14ac:dyDescent="0.15">
      <c r="B599" s="56"/>
      <c r="C599" s="56"/>
      <c r="D599" s="56"/>
      <c r="E599" s="56"/>
      <c r="F599" s="56"/>
      <c r="G599" s="56"/>
      <c r="H599" s="56"/>
      <c r="I599" s="56"/>
      <c r="J599" s="56"/>
      <c r="K599" s="56"/>
      <c r="L599" s="56"/>
      <c r="M599" s="56"/>
      <c r="N599" s="56"/>
      <c r="O599" s="56"/>
      <c r="P599" s="56"/>
      <c r="Q599" s="56"/>
      <c r="R599" s="56"/>
      <c r="S599" s="56"/>
      <c r="T599" s="56"/>
      <c r="U599" s="56"/>
    </row>
    <row r="600" spans="2:21" x14ac:dyDescent="0.15">
      <c r="B600" s="56"/>
      <c r="C600" s="56"/>
      <c r="D600" s="56"/>
      <c r="E600" s="56"/>
      <c r="F600" s="56"/>
      <c r="G600" s="56"/>
      <c r="H600" s="56"/>
      <c r="I600" s="56"/>
      <c r="J600" s="56"/>
      <c r="K600" s="56"/>
      <c r="L600" s="56"/>
      <c r="M600" s="56"/>
      <c r="N600" s="56"/>
      <c r="O600" s="56"/>
      <c r="P600" s="56"/>
      <c r="Q600" s="56"/>
      <c r="R600" s="56"/>
      <c r="S600" s="56"/>
      <c r="T600" s="56"/>
      <c r="U600" s="56"/>
    </row>
    <row r="601" spans="2:21" x14ac:dyDescent="0.15">
      <c r="B601" s="56"/>
      <c r="C601" s="56"/>
      <c r="D601" s="56"/>
      <c r="E601" s="56"/>
      <c r="F601" s="56"/>
      <c r="G601" s="56"/>
      <c r="H601" s="56"/>
      <c r="I601" s="56"/>
      <c r="J601" s="56"/>
      <c r="K601" s="56"/>
      <c r="L601" s="56"/>
      <c r="M601" s="56"/>
      <c r="N601" s="56"/>
      <c r="O601" s="56"/>
      <c r="P601" s="56"/>
      <c r="Q601" s="56"/>
      <c r="R601" s="56"/>
      <c r="S601" s="56"/>
      <c r="T601" s="56"/>
      <c r="U601" s="56"/>
    </row>
    <row r="602" spans="2:21" x14ac:dyDescent="0.15">
      <c r="B602" s="56"/>
      <c r="C602" s="56"/>
      <c r="D602" s="56"/>
      <c r="E602" s="56"/>
      <c r="F602" s="56"/>
      <c r="G602" s="56"/>
      <c r="H602" s="56"/>
      <c r="I602" s="56"/>
      <c r="J602" s="56"/>
      <c r="K602" s="56"/>
      <c r="L602" s="56"/>
      <c r="M602" s="56"/>
      <c r="N602" s="56"/>
      <c r="O602" s="56"/>
      <c r="P602" s="56"/>
      <c r="Q602" s="56"/>
      <c r="R602" s="56"/>
      <c r="S602" s="56"/>
      <c r="T602" s="56"/>
      <c r="U602" s="56"/>
    </row>
    <row r="603" spans="2:21" x14ac:dyDescent="0.15">
      <c r="B603" s="56"/>
      <c r="C603" s="56"/>
      <c r="D603" s="56"/>
      <c r="E603" s="56"/>
      <c r="F603" s="56"/>
      <c r="G603" s="56"/>
      <c r="H603" s="56"/>
      <c r="I603" s="56"/>
      <c r="J603" s="56"/>
      <c r="K603" s="56"/>
      <c r="L603" s="56"/>
      <c r="M603" s="56"/>
      <c r="N603" s="56"/>
      <c r="O603" s="56"/>
      <c r="P603" s="56"/>
      <c r="Q603" s="56"/>
      <c r="R603" s="56"/>
      <c r="S603" s="56"/>
      <c r="T603" s="56"/>
      <c r="U603" s="56"/>
    </row>
    <row r="604" spans="2:21" x14ac:dyDescent="0.15">
      <c r="B604" s="56"/>
      <c r="C604" s="56"/>
      <c r="D604" s="56"/>
      <c r="E604" s="56"/>
      <c r="F604" s="56"/>
      <c r="G604" s="56"/>
      <c r="H604" s="56"/>
      <c r="I604" s="56"/>
      <c r="J604" s="56"/>
      <c r="K604" s="56"/>
      <c r="L604" s="56"/>
      <c r="M604" s="56"/>
      <c r="N604" s="56"/>
      <c r="O604" s="56"/>
      <c r="P604" s="56"/>
      <c r="Q604" s="56"/>
      <c r="R604" s="56"/>
      <c r="S604" s="56"/>
      <c r="T604" s="56"/>
      <c r="U604" s="56"/>
    </row>
  </sheetData>
  <mergeCells count="147">
    <mergeCell ref="H63:J63"/>
    <mergeCell ref="K63:M63"/>
    <mergeCell ref="B62:U62"/>
    <mergeCell ref="B32:U32"/>
    <mergeCell ref="H33:J33"/>
    <mergeCell ref="K33:M33"/>
    <mergeCell ref="B35:B37"/>
    <mergeCell ref="C35:C37"/>
    <mergeCell ref="D35:D37"/>
    <mergeCell ref="E35:E37"/>
    <mergeCell ref="G35:G37"/>
    <mergeCell ref="B38:B40"/>
    <mergeCell ref="C38:C40"/>
    <mergeCell ref="D38:D40"/>
    <mergeCell ref="E38:E40"/>
    <mergeCell ref="G38:G40"/>
    <mergeCell ref="B44:B46"/>
    <mergeCell ref="C44:C46"/>
    <mergeCell ref="D44:D46"/>
    <mergeCell ref="E44:E46"/>
    <mergeCell ref="G44:G46"/>
    <mergeCell ref="B41:B43"/>
    <mergeCell ref="C41:C43"/>
    <mergeCell ref="D41:D43"/>
    <mergeCell ref="K4:M4"/>
    <mergeCell ref="B5:B7"/>
    <mergeCell ref="C5:C7"/>
    <mergeCell ref="D5:D7"/>
    <mergeCell ref="E5:E7"/>
    <mergeCell ref="G5:G7"/>
    <mergeCell ref="A1:U1"/>
    <mergeCell ref="B2:U2"/>
    <mergeCell ref="Z2:AA2"/>
    <mergeCell ref="H3:J3"/>
    <mergeCell ref="K3:M3"/>
    <mergeCell ref="B11:B13"/>
    <mergeCell ref="C11:C13"/>
    <mergeCell ref="D11:D13"/>
    <mergeCell ref="E11:E13"/>
    <mergeCell ref="G11:G13"/>
    <mergeCell ref="B8:B10"/>
    <mergeCell ref="C8:C10"/>
    <mergeCell ref="D8:D10"/>
    <mergeCell ref="E8:E10"/>
    <mergeCell ref="G8:G10"/>
    <mergeCell ref="B17:B19"/>
    <mergeCell ref="C17:C19"/>
    <mergeCell ref="D17:D19"/>
    <mergeCell ref="E17:E19"/>
    <mergeCell ref="G17:G19"/>
    <mergeCell ref="B14:B16"/>
    <mergeCell ref="C14:C16"/>
    <mergeCell ref="D14:D16"/>
    <mergeCell ref="E14:E16"/>
    <mergeCell ref="G14:G16"/>
    <mergeCell ref="B23:B25"/>
    <mergeCell ref="C23:C25"/>
    <mergeCell ref="D23:D25"/>
    <mergeCell ref="E23:E25"/>
    <mergeCell ref="G23:G25"/>
    <mergeCell ref="B20:B22"/>
    <mergeCell ref="C20:C22"/>
    <mergeCell ref="D20:D22"/>
    <mergeCell ref="E20:E22"/>
    <mergeCell ref="G20:G22"/>
    <mergeCell ref="B29:B31"/>
    <mergeCell ref="C29:C31"/>
    <mergeCell ref="D29:D31"/>
    <mergeCell ref="E29:E31"/>
    <mergeCell ref="G29:G31"/>
    <mergeCell ref="B26:B28"/>
    <mergeCell ref="C26:C28"/>
    <mergeCell ref="D26:D28"/>
    <mergeCell ref="E26:E28"/>
    <mergeCell ref="G26:G28"/>
    <mergeCell ref="E41:E43"/>
    <mergeCell ref="G41:G43"/>
    <mergeCell ref="B50:B52"/>
    <mergeCell ref="C50:C52"/>
    <mergeCell ref="D50:D52"/>
    <mergeCell ref="E50:E52"/>
    <mergeCell ref="G50:G52"/>
    <mergeCell ref="B47:B49"/>
    <mergeCell ref="C47:C49"/>
    <mergeCell ref="D47:D49"/>
    <mergeCell ref="E47:E49"/>
    <mergeCell ref="G47:G49"/>
    <mergeCell ref="B56:B58"/>
    <mergeCell ref="C56:C58"/>
    <mergeCell ref="D56:D58"/>
    <mergeCell ref="E56:E58"/>
    <mergeCell ref="G56:G58"/>
    <mergeCell ref="B53:B55"/>
    <mergeCell ref="C53:C55"/>
    <mergeCell ref="D53:D55"/>
    <mergeCell ref="E53:E55"/>
    <mergeCell ref="G53:G55"/>
    <mergeCell ref="B65:B67"/>
    <mergeCell ref="C65:C67"/>
    <mergeCell ref="D65:D67"/>
    <mergeCell ref="E65:E67"/>
    <mergeCell ref="G65:G67"/>
    <mergeCell ref="B59:B61"/>
    <mergeCell ref="C59:C61"/>
    <mergeCell ref="D59:D61"/>
    <mergeCell ref="E59:E61"/>
    <mergeCell ref="G59:G61"/>
    <mergeCell ref="B71:B73"/>
    <mergeCell ref="C71:C73"/>
    <mergeCell ref="D71:D73"/>
    <mergeCell ref="E71:E73"/>
    <mergeCell ref="G71:G73"/>
    <mergeCell ref="B68:B70"/>
    <mergeCell ref="C68:C70"/>
    <mergeCell ref="D68:D70"/>
    <mergeCell ref="E68:E70"/>
    <mergeCell ref="G68:G70"/>
    <mergeCell ref="B77:B79"/>
    <mergeCell ref="C77:C79"/>
    <mergeCell ref="D77:D79"/>
    <mergeCell ref="E77:E79"/>
    <mergeCell ref="G77:G79"/>
    <mergeCell ref="B74:B76"/>
    <mergeCell ref="C74:C76"/>
    <mergeCell ref="D74:D76"/>
    <mergeCell ref="E74:E76"/>
    <mergeCell ref="G74:G76"/>
    <mergeCell ref="B83:B85"/>
    <mergeCell ref="C83:C85"/>
    <mergeCell ref="D83:D85"/>
    <mergeCell ref="E83:E85"/>
    <mergeCell ref="G83:G85"/>
    <mergeCell ref="B80:B82"/>
    <mergeCell ref="C80:C82"/>
    <mergeCell ref="D80:D82"/>
    <mergeCell ref="E80:E82"/>
    <mergeCell ref="G80:G82"/>
    <mergeCell ref="B89:B91"/>
    <mergeCell ref="C89:C91"/>
    <mergeCell ref="D89:D91"/>
    <mergeCell ref="E89:E91"/>
    <mergeCell ref="G89:G91"/>
    <mergeCell ref="B86:B88"/>
    <mergeCell ref="C86:C88"/>
    <mergeCell ref="D86:D88"/>
    <mergeCell ref="E86:E88"/>
    <mergeCell ref="G86:G8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4CE5B02-9610-4F3A-9157-EE9649460F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98E45F-AECF-45C8-A04C-93C7AE98B3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D007F9-14E6-4F61-8C44-1A7C5C4B94C5}">
  <ds:schemaRefs>
    <ds:schemaRef ds:uri="http://purl.org/dc/dcmitype/"/>
    <ds:schemaRef ds:uri="bb877b61-73df-4c71-aa42-e1c67dd7a708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 Sheet</vt:lpstr>
      <vt:lpstr>Growth curves CeBER</vt:lpstr>
      <vt:lpstr>Growth curves UTEX #1926</vt:lpstr>
      <vt:lpstr>C-phycocyanin CeBER</vt:lpstr>
      <vt:lpstr>C-phycocyanin UTEX #1926</vt:lpstr>
      <vt:lpstr>Nitrate content CeBER</vt:lpstr>
      <vt:lpstr>Nitrate content UTEX #1926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Ssekimpi</cp:lastModifiedBy>
  <cp:revision/>
  <dcterms:created xsi:type="dcterms:W3CDTF">2021-09-12T16:13:09Z</dcterms:created>
  <dcterms:modified xsi:type="dcterms:W3CDTF">2023-04-02T19:18:15Z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