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7112EA33-AF87-AD4E-A8AA-478FC83BCE7E}" xr6:coauthVersionLast="47" xr6:coauthVersionMax="47" xr10:uidLastSave="{00000000-0000-0000-0000-000000000000}"/>
  <bookViews>
    <workbookView xWindow="0" yWindow="500" windowWidth="25600" windowHeight="14260" xr2:uid="{0CBF04AF-B0B9-4C03-BCE8-DAC3C822C974}"/>
  </bookViews>
  <sheets>
    <sheet name="Information Sheet" sheetId="17" r:id="rId1"/>
    <sheet name="Growth curves CeBER" sheetId="18" r:id="rId2"/>
    <sheet name="Growth curves UTEX #1926" sheetId="19" r:id="rId3"/>
    <sheet name="C-phycocyanin CeBER" sheetId="20" r:id="rId4"/>
    <sheet name="C-phycocyanin UTEX #1926" sheetId="21" r:id="rId5"/>
    <sheet name="Nitrate content CeBER" sheetId="22" r:id="rId6"/>
    <sheet name="Nitrate content UTEX #1926" sheetId="23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6" i="21" l="1"/>
  <c r="M96" i="21"/>
  <c r="L97" i="21"/>
  <c r="M97" i="21"/>
  <c r="L98" i="21"/>
  <c r="M98" i="21"/>
  <c r="L99" i="21"/>
  <c r="M99" i="21"/>
  <c r="L100" i="21"/>
  <c r="M100" i="21"/>
  <c r="L101" i="21"/>
  <c r="M101" i="21"/>
  <c r="L102" i="21"/>
  <c r="M102" i="21"/>
  <c r="L103" i="21"/>
  <c r="M103" i="21"/>
  <c r="L104" i="21"/>
  <c r="M104" i="21"/>
  <c r="L105" i="21"/>
  <c r="M105" i="21"/>
  <c r="L106" i="21"/>
  <c r="M106" i="21"/>
  <c r="L107" i="21"/>
  <c r="M107" i="21"/>
  <c r="L108" i="21"/>
  <c r="M108" i="21"/>
  <c r="L109" i="21"/>
  <c r="M109" i="21"/>
  <c r="L110" i="21"/>
  <c r="M110" i="21"/>
  <c r="L111" i="21"/>
  <c r="M111" i="21"/>
  <c r="L112" i="21"/>
  <c r="M112" i="21"/>
  <c r="L113" i="21"/>
  <c r="M113" i="21"/>
  <c r="L114" i="21"/>
  <c r="M114" i="21"/>
  <c r="L115" i="21"/>
  <c r="M115" i="21"/>
  <c r="L116" i="21"/>
  <c r="M116" i="21"/>
  <c r="L117" i="21"/>
  <c r="M117" i="21"/>
  <c r="L118" i="21"/>
  <c r="M118" i="21"/>
  <c r="L119" i="21"/>
  <c r="M119" i="21"/>
  <c r="L120" i="21"/>
  <c r="M120" i="21"/>
  <c r="L121" i="21"/>
  <c r="M121" i="21"/>
  <c r="L122" i="21"/>
  <c r="M122" i="21"/>
  <c r="L123" i="21"/>
  <c r="M123" i="21"/>
  <c r="L124" i="21"/>
  <c r="M124" i="21"/>
  <c r="L125" i="21"/>
  <c r="M125" i="21"/>
  <c r="L126" i="21"/>
  <c r="M126" i="21"/>
  <c r="L127" i="21"/>
  <c r="M127" i="21"/>
  <c r="L128" i="21"/>
  <c r="M128" i="21"/>
  <c r="L129" i="21"/>
  <c r="M129" i="21"/>
  <c r="L130" i="21"/>
  <c r="M130" i="21"/>
  <c r="L131" i="21"/>
  <c r="M131" i="21"/>
  <c r="L132" i="21"/>
  <c r="M132" i="21"/>
  <c r="L133" i="21"/>
  <c r="M133" i="21"/>
  <c r="L134" i="21"/>
  <c r="M134" i="21"/>
  <c r="L135" i="21"/>
  <c r="M135" i="21"/>
  <c r="L136" i="21"/>
  <c r="M136" i="21"/>
  <c r="M95" i="21"/>
  <c r="L95" i="21"/>
  <c r="L51" i="21"/>
  <c r="M51" i="21"/>
  <c r="L52" i="21"/>
  <c r="M52" i="21"/>
  <c r="L53" i="21"/>
  <c r="M53" i="21"/>
  <c r="L54" i="21"/>
  <c r="M54" i="21"/>
  <c r="L55" i="21"/>
  <c r="M55" i="21"/>
  <c r="L56" i="21"/>
  <c r="M56" i="21"/>
  <c r="L57" i="21"/>
  <c r="M57" i="21"/>
  <c r="L58" i="21"/>
  <c r="M58" i="21"/>
  <c r="L59" i="21"/>
  <c r="M59" i="21"/>
  <c r="L60" i="21"/>
  <c r="M60" i="21"/>
  <c r="L61" i="21"/>
  <c r="M61" i="21"/>
  <c r="L62" i="21"/>
  <c r="M62" i="21"/>
  <c r="L63" i="21"/>
  <c r="M63" i="21"/>
  <c r="L64" i="21"/>
  <c r="M64" i="21"/>
  <c r="L65" i="21"/>
  <c r="M65" i="21"/>
  <c r="L66" i="21"/>
  <c r="M66" i="21"/>
  <c r="L67" i="21"/>
  <c r="M67" i="21"/>
  <c r="L68" i="21"/>
  <c r="M68" i="21"/>
  <c r="L69" i="21"/>
  <c r="M69" i="21"/>
  <c r="L70" i="21"/>
  <c r="M70" i="21"/>
  <c r="L71" i="21"/>
  <c r="M71" i="21"/>
  <c r="L72" i="21"/>
  <c r="M72" i="21"/>
  <c r="L73" i="21"/>
  <c r="M73" i="21"/>
  <c r="L74" i="21"/>
  <c r="M74" i="21"/>
  <c r="L75" i="21"/>
  <c r="M75" i="21"/>
  <c r="L76" i="21"/>
  <c r="M76" i="21"/>
  <c r="L77" i="21"/>
  <c r="M77" i="21"/>
  <c r="L78" i="21"/>
  <c r="M78" i="21"/>
  <c r="L79" i="21"/>
  <c r="M79" i="21"/>
  <c r="L80" i="21"/>
  <c r="M80" i="21"/>
  <c r="L81" i="21"/>
  <c r="M81" i="21"/>
  <c r="L82" i="21"/>
  <c r="M82" i="21"/>
  <c r="L83" i="21"/>
  <c r="M83" i="21"/>
  <c r="L84" i="21"/>
  <c r="M84" i="21"/>
  <c r="L85" i="21"/>
  <c r="M85" i="21"/>
  <c r="L86" i="21"/>
  <c r="M86" i="21"/>
  <c r="L87" i="21"/>
  <c r="M87" i="21"/>
  <c r="L88" i="21"/>
  <c r="M88" i="21"/>
  <c r="L89" i="21"/>
  <c r="M89" i="21"/>
  <c r="L90" i="21"/>
  <c r="M90" i="21"/>
  <c r="L91" i="21"/>
  <c r="M91" i="21"/>
  <c r="M50" i="21"/>
  <c r="L50" i="21"/>
  <c r="M19" i="21"/>
  <c r="M20" i="21"/>
  <c r="M21" i="21"/>
  <c r="M22" i="21"/>
  <c r="M23" i="21"/>
  <c r="M24" i="21"/>
  <c r="M25" i="21"/>
  <c r="M26" i="21"/>
  <c r="M27" i="21"/>
  <c r="M28" i="21"/>
  <c r="M29" i="21"/>
  <c r="M30" i="21"/>
  <c r="M31" i="21"/>
  <c r="M32" i="21"/>
  <c r="M33" i="21"/>
  <c r="M34" i="21"/>
  <c r="M35" i="21"/>
  <c r="M36" i="21"/>
  <c r="M37" i="21"/>
  <c r="M38" i="21"/>
  <c r="M39" i="21"/>
  <c r="M40" i="21"/>
  <c r="M41" i="21"/>
  <c r="M42" i="21"/>
  <c r="M43" i="21"/>
  <c r="M44" i="21"/>
  <c r="M45" i="21"/>
  <c r="M46" i="21"/>
  <c r="M18" i="21"/>
  <c r="M6" i="21"/>
  <c r="M7" i="21"/>
  <c r="M8" i="21"/>
  <c r="M9" i="21"/>
  <c r="M10" i="21"/>
  <c r="M11" i="21"/>
  <c r="M12" i="21"/>
  <c r="M13" i="21"/>
  <c r="M14" i="21"/>
  <c r="M15" i="21"/>
  <c r="M16" i="21"/>
  <c r="L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3" i="21"/>
  <c r="L34" i="21"/>
  <c r="L35" i="21"/>
  <c r="L36" i="21"/>
  <c r="L37" i="21"/>
  <c r="L38" i="21"/>
  <c r="L39" i="21"/>
  <c r="L40" i="21"/>
  <c r="L41" i="21"/>
  <c r="L42" i="21"/>
  <c r="L43" i="21"/>
  <c r="L44" i="21"/>
  <c r="L45" i="21"/>
  <c r="L46" i="21"/>
  <c r="M5" i="21"/>
  <c r="L5" i="21"/>
  <c r="M136" i="20"/>
  <c r="M111" i="20"/>
  <c r="M112" i="20"/>
  <c r="M113" i="20"/>
  <c r="M114" i="20"/>
  <c r="M115" i="20"/>
  <c r="M116" i="20"/>
  <c r="M117" i="20"/>
  <c r="M118" i="20"/>
  <c r="M119" i="20"/>
  <c r="M120" i="20"/>
  <c r="M121" i="20"/>
  <c r="M122" i="20"/>
  <c r="M123" i="20"/>
  <c r="M124" i="20"/>
  <c r="M125" i="20"/>
  <c r="M126" i="20"/>
  <c r="M127" i="20"/>
  <c r="M128" i="20"/>
  <c r="M129" i="20"/>
  <c r="M130" i="20"/>
  <c r="M131" i="20"/>
  <c r="M132" i="20"/>
  <c r="M133" i="20"/>
  <c r="M134" i="20"/>
  <c r="M135" i="20"/>
  <c r="M110" i="20"/>
  <c r="M96" i="20"/>
  <c r="M97" i="20"/>
  <c r="M98" i="20"/>
  <c r="M99" i="20"/>
  <c r="M100" i="20"/>
  <c r="M101" i="20"/>
  <c r="M102" i="20"/>
  <c r="M103" i="20"/>
  <c r="M104" i="20"/>
  <c r="M105" i="20"/>
  <c r="M106" i="20"/>
  <c r="M107" i="20"/>
  <c r="M108" i="20"/>
  <c r="L96" i="20"/>
  <c r="L97" i="20"/>
  <c r="L98" i="20"/>
  <c r="L99" i="20"/>
  <c r="L100" i="20"/>
  <c r="L101" i="20"/>
  <c r="L102" i="20"/>
  <c r="L103" i="20"/>
  <c r="L104" i="20"/>
  <c r="L105" i="20"/>
  <c r="L106" i="20"/>
  <c r="L107" i="20"/>
  <c r="L108" i="20"/>
  <c r="L109" i="20"/>
  <c r="L110" i="20"/>
  <c r="L111" i="20"/>
  <c r="L112" i="20"/>
  <c r="L113" i="20"/>
  <c r="L114" i="20"/>
  <c r="L115" i="20"/>
  <c r="L116" i="20"/>
  <c r="L117" i="20"/>
  <c r="L118" i="20"/>
  <c r="L119" i="20"/>
  <c r="L120" i="20"/>
  <c r="L121" i="20"/>
  <c r="L122" i="20"/>
  <c r="L123" i="20"/>
  <c r="L124" i="20"/>
  <c r="L125" i="20"/>
  <c r="L126" i="20"/>
  <c r="L127" i="20"/>
  <c r="L128" i="20"/>
  <c r="L129" i="20"/>
  <c r="L130" i="20"/>
  <c r="L131" i="20"/>
  <c r="L132" i="20"/>
  <c r="L133" i="20"/>
  <c r="L134" i="20"/>
  <c r="L135" i="20"/>
  <c r="L136" i="20"/>
  <c r="M95" i="20"/>
  <c r="L95" i="20"/>
  <c r="L51" i="20"/>
  <c r="M51" i="20"/>
  <c r="L52" i="20"/>
  <c r="M52" i="20"/>
  <c r="L53" i="20"/>
  <c r="M53" i="20"/>
  <c r="L54" i="20"/>
  <c r="M54" i="20"/>
  <c r="L55" i="20"/>
  <c r="M55" i="20"/>
  <c r="L56" i="20"/>
  <c r="M56" i="20"/>
  <c r="L57" i="20"/>
  <c r="M57" i="20"/>
  <c r="L58" i="20"/>
  <c r="M58" i="20"/>
  <c r="L59" i="20"/>
  <c r="M59" i="20"/>
  <c r="L60" i="20"/>
  <c r="M60" i="20"/>
  <c r="L61" i="20"/>
  <c r="M61" i="20"/>
  <c r="L62" i="20"/>
  <c r="M62" i="20"/>
  <c r="L63" i="20"/>
  <c r="M63" i="20"/>
  <c r="L64" i="20"/>
  <c r="M64" i="20"/>
  <c r="L65" i="20"/>
  <c r="M65" i="20"/>
  <c r="L66" i="20"/>
  <c r="M66" i="20"/>
  <c r="L67" i="20"/>
  <c r="M67" i="20"/>
  <c r="L68" i="20"/>
  <c r="M68" i="20"/>
  <c r="L69" i="20"/>
  <c r="M69" i="20"/>
  <c r="L70" i="20"/>
  <c r="M70" i="20"/>
  <c r="L71" i="20"/>
  <c r="M71" i="20"/>
  <c r="L72" i="20"/>
  <c r="M72" i="20"/>
  <c r="L73" i="20"/>
  <c r="M73" i="20"/>
  <c r="L74" i="20"/>
  <c r="M74" i="20"/>
  <c r="L75" i="20"/>
  <c r="M75" i="20"/>
  <c r="L76" i="20"/>
  <c r="M76" i="20"/>
  <c r="L77" i="20"/>
  <c r="M77" i="20"/>
  <c r="L78" i="20"/>
  <c r="M78" i="20"/>
  <c r="L79" i="20"/>
  <c r="M79" i="20"/>
  <c r="L80" i="20"/>
  <c r="M80" i="20"/>
  <c r="L81" i="20"/>
  <c r="M81" i="20"/>
  <c r="L82" i="20"/>
  <c r="M82" i="20"/>
  <c r="L83" i="20"/>
  <c r="M83" i="20"/>
  <c r="L84" i="20"/>
  <c r="M84" i="20"/>
  <c r="L85" i="20"/>
  <c r="M85" i="20"/>
  <c r="L86" i="20"/>
  <c r="M86" i="20"/>
  <c r="L87" i="20"/>
  <c r="M87" i="20"/>
  <c r="L88" i="20"/>
  <c r="M88" i="20"/>
  <c r="L89" i="20"/>
  <c r="M89" i="20"/>
  <c r="L90" i="20"/>
  <c r="M90" i="20"/>
  <c r="L91" i="20"/>
  <c r="M91" i="20"/>
  <c r="M50" i="20"/>
  <c r="L50" i="20"/>
  <c r="L6" i="20"/>
  <c r="M6" i="20"/>
  <c r="L7" i="20"/>
  <c r="M7" i="20"/>
  <c r="L8" i="20"/>
  <c r="M8" i="20"/>
  <c r="L9" i="20"/>
  <c r="M9" i="20"/>
  <c r="L10" i="20"/>
  <c r="M10" i="20"/>
  <c r="L11" i="20"/>
  <c r="M11" i="20"/>
  <c r="L12" i="20"/>
  <c r="M12" i="20"/>
  <c r="L13" i="20"/>
  <c r="M13" i="20"/>
  <c r="L14" i="20"/>
  <c r="M14" i="20"/>
  <c r="L15" i="20"/>
  <c r="M15" i="20"/>
  <c r="L16" i="20"/>
  <c r="M16" i="20"/>
  <c r="L17" i="20"/>
  <c r="M17" i="20"/>
  <c r="L18" i="20"/>
  <c r="M18" i="20"/>
  <c r="L19" i="20"/>
  <c r="M19" i="20"/>
  <c r="L20" i="20"/>
  <c r="M20" i="20"/>
  <c r="L21" i="20"/>
  <c r="M21" i="20"/>
  <c r="L22" i="20"/>
  <c r="M22" i="20"/>
  <c r="L23" i="20"/>
  <c r="M23" i="20"/>
  <c r="L24" i="20"/>
  <c r="M24" i="20"/>
  <c r="L25" i="20"/>
  <c r="M25" i="20"/>
  <c r="L26" i="20"/>
  <c r="M26" i="20"/>
  <c r="L27" i="20"/>
  <c r="M27" i="20"/>
  <c r="L28" i="20"/>
  <c r="M28" i="20"/>
  <c r="L29" i="20"/>
  <c r="M29" i="20"/>
  <c r="L30" i="20"/>
  <c r="M30" i="20"/>
  <c r="L31" i="20"/>
  <c r="M31" i="20"/>
  <c r="L32" i="20"/>
  <c r="M32" i="20"/>
  <c r="L33" i="20"/>
  <c r="M33" i="20"/>
  <c r="L34" i="20"/>
  <c r="M34" i="20"/>
  <c r="L35" i="20"/>
  <c r="M35" i="20"/>
  <c r="L36" i="20"/>
  <c r="M36" i="20"/>
  <c r="L37" i="20"/>
  <c r="M37" i="20"/>
  <c r="L38" i="20"/>
  <c r="M38" i="20"/>
  <c r="L39" i="20"/>
  <c r="M39" i="20"/>
  <c r="L40" i="20"/>
  <c r="M40" i="20"/>
  <c r="L41" i="20"/>
  <c r="M41" i="20"/>
  <c r="L42" i="20"/>
  <c r="M42" i="20"/>
  <c r="L43" i="20"/>
  <c r="M43" i="20"/>
  <c r="L44" i="20"/>
  <c r="M44" i="20"/>
  <c r="L45" i="20"/>
  <c r="M45" i="20"/>
  <c r="L46" i="20"/>
  <c r="M46" i="20"/>
  <c r="M5" i="20"/>
  <c r="L5" i="20"/>
  <c r="G131" i="20"/>
  <c r="F131" i="20"/>
  <c r="G128" i="20"/>
  <c r="F128" i="20"/>
  <c r="G125" i="20"/>
  <c r="F125" i="20"/>
  <c r="G122" i="20"/>
  <c r="F122" i="20"/>
  <c r="G119" i="20"/>
  <c r="F119" i="20"/>
  <c r="F110" i="20"/>
  <c r="G107" i="20"/>
  <c r="J109" i="20" s="1"/>
  <c r="F107" i="20"/>
  <c r="G98" i="20"/>
  <c r="F98" i="20"/>
  <c r="G86" i="20"/>
  <c r="F86" i="20"/>
  <c r="G83" i="20"/>
  <c r="F83" i="20"/>
  <c r="G80" i="20"/>
  <c r="F80" i="20"/>
  <c r="G77" i="20"/>
  <c r="F77" i="20"/>
  <c r="G74" i="20"/>
  <c r="F74" i="20"/>
  <c r="F65" i="20"/>
  <c r="G62" i="20"/>
  <c r="J63" i="20" s="1"/>
  <c r="F62" i="20"/>
  <c r="G53" i="20"/>
  <c r="F53" i="20"/>
  <c r="H55" i="20" s="1"/>
  <c r="G41" i="20"/>
  <c r="F41" i="20"/>
  <c r="G38" i="20"/>
  <c r="F38" i="20"/>
  <c r="H39" i="20" s="1"/>
  <c r="G35" i="20"/>
  <c r="F35" i="20"/>
  <c r="G32" i="20"/>
  <c r="F32" i="20"/>
  <c r="H33" i="20" s="1"/>
  <c r="G29" i="20"/>
  <c r="F29" i="20"/>
  <c r="F20" i="20"/>
  <c r="H22" i="20" s="1"/>
  <c r="G17" i="20"/>
  <c r="J19" i="20" s="1"/>
  <c r="F17" i="20"/>
  <c r="G8" i="20"/>
  <c r="F8" i="20"/>
  <c r="H10" i="20" s="1"/>
  <c r="I82" i="23"/>
  <c r="I81" i="23"/>
  <c r="I80" i="23"/>
  <c r="H82" i="23"/>
  <c r="H81" i="23"/>
  <c r="H80" i="23"/>
  <c r="J79" i="23"/>
  <c r="J78" i="23"/>
  <c r="M78" i="23" s="1"/>
  <c r="J77" i="23"/>
  <c r="I79" i="23"/>
  <c r="I78" i="23"/>
  <c r="I77" i="23"/>
  <c r="H79" i="23"/>
  <c r="K79" i="23" s="1"/>
  <c r="H78" i="23"/>
  <c r="K78" i="23" s="1"/>
  <c r="H77" i="23"/>
  <c r="H72" i="23"/>
  <c r="H71" i="23"/>
  <c r="K71" i="23" s="1"/>
  <c r="J69" i="23"/>
  <c r="J68" i="23"/>
  <c r="I70" i="23"/>
  <c r="I69" i="23"/>
  <c r="I68" i="23"/>
  <c r="H70" i="23"/>
  <c r="H69" i="23"/>
  <c r="H68" i="23"/>
  <c r="J56" i="23"/>
  <c r="I57" i="23"/>
  <c r="I56" i="23"/>
  <c r="H56" i="23"/>
  <c r="O58" i="23"/>
  <c r="J51" i="23"/>
  <c r="J50" i="23"/>
  <c r="I52" i="23"/>
  <c r="I51" i="23"/>
  <c r="I50" i="23"/>
  <c r="H52" i="23"/>
  <c r="H51" i="23"/>
  <c r="H50" i="23"/>
  <c r="J52" i="23"/>
  <c r="H35" i="23"/>
  <c r="K35" i="23" s="1"/>
  <c r="U43" i="23"/>
  <c r="T43" i="23"/>
  <c r="S43" i="23"/>
  <c r="H27" i="23"/>
  <c r="H26" i="23"/>
  <c r="J25" i="23"/>
  <c r="J24" i="23"/>
  <c r="J23" i="23"/>
  <c r="I25" i="23"/>
  <c r="I24" i="23"/>
  <c r="I23" i="23"/>
  <c r="H25" i="23"/>
  <c r="H24" i="23"/>
  <c r="H23" i="23"/>
  <c r="J20" i="23"/>
  <c r="I22" i="23"/>
  <c r="I21" i="23"/>
  <c r="I20" i="23"/>
  <c r="H22" i="23"/>
  <c r="H21" i="23"/>
  <c r="H20" i="23"/>
  <c r="J22" i="23"/>
  <c r="J21" i="23"/>
  <c r="G89" i="23"/>
  <c r="G83" i="23"/>
  <c r="G77" i="23"/>
  <c r="G74" i="23"/>
  <c r="G71" i="23"/>
  <c r="D71" i="23"/>
  <c r="D74" i="23" s="1"/>
  <c r="D77" i="23" s="1"/>
  <c r="G68" i="23"/>
  <c r="D68" i="23"/>
  <c r="G65" i="23"/>
  <c r="G59" i="23"/>
  <c r="G53" i="23"/>
  <c r="J55" i="23" s="1"/>
  <c r="M55" i="23" s="1"/>
  <c r="G47" i="23"/>
  <c r="G44" i="23"/>
  <c r="G41" i="23"/>
  <c r="G38" i="23"/>
  <c r="D38" i="23"/>
  <c r="D41" i="23" s="1"/>
  <c r="D44" i="23" s="1"/>
  <c r="D47" i="23" s="1"/>
  <c r="G35" i="23"/>
  <c r="G29" i="23"/>
  <c r="G23" i="23"/>
  <c r="G17" i="23"/>
  <c r="G14" i="23"/>
  <c r="I14" i="23" s="1"/>
  <c r="L14" i="23" s="1"/>
  <c r="G11" i="23"/>
  <c r="D11" i="23"/>
  <c r="D14" i="23" s="1"/>
  <c r="D17" i="23" s="1"/>
  <c r="D20" i="23" s="1"/>
  <c r="G8" i="23"/>
  <c r="I8" i="23" s="1"/>
  <c r="L8" i="23" s="1"/>
  <c r="D8" i="23"/>
  <c r="G5" i="23"/>
  <c r="J88" i="22"/>
  <c r="J87" i="22"/>
  <c r="M87" i="22" s="1"/>
  <c r="J86" i="22"/>
  <c r="M86" i="22" s="1"/>
  <c r="I88" i="22"/>
  <c r="L88" i="22" s="1"/>
  <c r="I87" i="22"/>
  <c r="I86" i="22"/>
  <c r="H88" i="22"/>
  <c r="H87" i="22"/>
  <c r="H86" i="22"/>
  <c r="L87" i="22"/>
  <c r="K87" i="22"/>
  <c r="L86" i="22"/>
  <c r="J84" i="22"/>
  <c r="I84" i="22"/>
  <c r="H84" i="22"/>
  <c r="I83" i="22"/>
  <c r="J83" i="22"/>
  <c r="J82" i="22"/>
  <c r="M82" i="22" s="1"/>
  <c r="J81" i="22"/>
  <c r="M81" i="22" s="1"/>
  <c r="J80" i="22"/>
  <c r="M80" i="22" s="1"/>
  <c r="I82" i="22"/>
  <c r="L82" i="22" s="1"/>
  <c r="I81" i="22"/>
  <c r="L81" i="22" s="1"/>
  <c r="I80" i="22"/>
  <c r="H82" i="22"/>
  <c r="H81" i="22"/>
  <c r="K81" i="22" s="1"/>
  <c r="H80" i="22"/>
  <c r="K82" i="22"/>
  <c r="K80" i="22"/>
  <c r="K84" i="22"/>
  <c r="I78" i="22"/>
  <c r="L78" i="22" s="1"/>
  <c r="J78" i="22"/>
  <c r="M78" i="22" s="1"/>
  <c r="H78" i="22"/>
  <c r="K78" i="22" s="1"/>
  <c r="H72" i="22"/>
  <c r="I71" i="22"/>
  <c r="H73" i="22"/>
  <c r="H71" i="22"/>
  <c r="K71" i="22" s="1"/>
  <c r="H69" i="22"/>
  <c r="I68" i="22"/>
  <c r="H68" i="22"/>
  <c r="J68" i="22"/>
  <c r="J69" i="22"/>
  <c r="J70" i="22"/>
  <c r="I70" i="22"/>
  <c r="I69" i="22"/>
  <c r="H70" i="22"/>
  <c r="H56" i="22"/>
  <c r="H57" i="22"/>
  <c r="I57" i="22"/>
  <c r="I56" i="22"/>
  <c r="J58" i="22"/>
  <c r="J57" i="22"/>
  <c r="J56" i="22"/>
  <c r="I58" i="22"/>
  <c r="H58" i="22"/>
  <c r="I55" i="22"/>
  <c r="I54" i="22"/>
  <c r="H55" i="22"/>
  <c r="H54" i="22"/>
  <c r="K54" i="22"/>
  <c r="H53" i="22"/>
  <c r="H52" i="22"/>
  <c r="H51" i="22"/>
  <c r="H50" i="22"/>
  <c r="J52" i="22"/>
  <c r="J51" i="22"/>
  <c r="J50" i="22"/>
  <c r="I52" i="22"/>
  <c r="I51" i="22"/>
  <c r="I50" i="22"/>
  <c r="J39" i="22"/>
  <c r="J38" i="22"/>
  <c r="I39" i="22"/>
  <c r="I38" i="22"/>
  <c r="H40" i="22"/>
  <c r="H39" i="22"/>
  <c r="I24" i="22"/>
  <c r="I23" i="22"/>
  <c r="H25" i="22"/>
  <c r="H24" i="22"/>
  <c r="K24" i="22" s="1"/>
  <c r="H23" i="22"/>
  <c r="K23" i="22" s="1"/>
  <c r="D20" i="22"/>
  <c r="J31" i="23"/>
  <c r="M31" i="23" s="1"/>
  <c r="H19" i="23"/>
  <c r="K19" i="23" s="1"/>
  <c r="H18" i="23"/>
  <c r="K18" i="23" s="1"/>
  <c r="J17" i="23"/>
  <c r="M17" i="23" s="1"/>
  <c r="H17" i="23"/>
  <c r="K17" i="23" s="1"/>
  <c r="J19" i="23"/>
  <c r="M19" i="23" s="1"/>
  <c r="H16" i="23"/>
  <c r="K16" i="23" s="1"/>
  <c r="J12" i="23"/>
  <c r="M12" i="23" s="1"/>
  <c r="H12" i="23"/>
  <c r="K12" i="23" s="1"/>
  <c r="J11" i="23"/>
  <c r="M11" i="23" s="1"/>
  <c r="H11" i="23"/>
  <c r="K11" i="23" s="1"/>
  <c r="I12" i="23"/>
  <c r="L12" i="23" s="1"/>
  <c r="H8" i="23"/>
  <c r="K8" i="23" s="1"/>
  <c r="J7" i="23"/>
  <c r="M7" i="23" s="1"/>
  <c r="I7" i="23"/>
  <c r="L7" i="23" s="1"/>
  <c r="H7" i="23"/>
  <c r="K7" i="23" s="1"/>
  <c r="N7" i="23" s="1"/>
  <c r="O7" i="23" s="1"/>
  <c r="J6" i="23"/>
  <c r="M6" i="23" s="1"/>
  <c r="I6" i="23"/>
  <c r="L6" i="23" s="1"/>
  <c r="H6" i="23"/>
  <c r="K6" i="23" s="1"/>
  <c r="N6" i="23" s="1"/>
  <c r="O6" i="23" s="1"/>
  <c r="J5" i="23"/>
  <c r="M5" i="23" s="1"/>
  <c r="I5" i="23"/>
  <c r="L5" i="23" s="1"/>
  <c r="H5" i="23"/>
  <c r="K5" i="23" s="1"/>
  <c r="H31" i="22"/>
  <c r="K31" i="22" s="1"/>
  <c r="H30" i="22"/>
  <c r="K30" i="22" s="1"/>
  <c r="H29" i="22"/>
  <c r="K29" i="22" s="1"/>
  <c r="G29" i="22"/>
  <c r="J31" i="22" s="1"/>
  <c r="M31" i="22" s="1"/>
  <c r="K25" i="22"/>
  <c r="G23" i="22"/>
  <c r="J25" i="22" s="1"/>
  <c r="M25" i="22" s="1"/>
  <c r="M19" i="22"/>
  <c r="L19" i="22"/>
  <c r="J19" i="22"/>
  <c r="I19" i="22"/>
  <c r="H19" i="22"/>
  <c r="K19" i="22" s="1"/>
  <c r="N19" i="22" s="1"/>
  <c r="O19" i="22" s="1"/>
  <c r="M18" i="22"/>
  <c r="L18" i="22"/>
  <c r="J18" i="22"/>
  <c r="I18" i="22"/>
  <c r="H18" i="22"/>
  <c r="K18" i="22" s="1"/>
  <c r="N18" i="22" s="1"/>
  <c r="O18" i="22" s="1"/>
  <c r="M17" i="22"/>
  <c r="L17" i="22"/>
  <c r="J17" i="22"/>
  <c r="I17" i="22"/>
  <c r="H17" i="22"/>
  <c r="K17" i="22" s="1"/>
  <c r="N17" i="22" s="1"/>
  <c r="O17" i="22" s="1"/>
  <c r="G17" i="22"/>
  <c r="M16" i="22"/>
  <c r="J16" i="22"/>
  <c r="I16" i="22"/>
  <c r="L16" i="22" s="1"/>
  <c r="M15" i="22"/>
  <c r="J15" i="22"/>
  <c r="I15" i="22"/>
  <c r="L15" i="22" s="1"/>
  <c r="M14" i="22"/>
  <c r="J14" i="22"/>
  <c r="I14" i="22"/>
  <c r="L14" i="22" s="1"/>
  <c r="G14" i="22"/>
  <c r="H16" i="22" s="1"/>
  <c r="K16" i="22" s="1"/>
  <c r="N16" i="22" s="1"/>
  <c r="O16" i="22" s="1"/>
  <c r="J13" i="22"/>
  <c r="M13" i="22" s="1"/>
  <c r="J12" i="22"/>
  <c r="M12" i="22" s="1"/>
  <c r="J11" i="22"/>
  <c r="M11" i="22" s="1"/>
  <c r="G11" i="22"/>
  <c r="I13" i="22" s="1"/>
  <c r="L13" i="22" s="1"/>
  <c r="G8" i="22"/>
  <c r="J10" i="22" s="1"/>
  <c r="M10" i="22" s="1"/>
  <c r="M7" i="22"/>
  <c r="L7" i="22"/>
  <c r="J7" i="22"/>
  <c r="I7" i="22"/>
  <c r="H7" i="22"/>
  <c r="K7" i="22" s="1"/>
  <c r="N7" i="22" s="1"/>
  <c r="O7" i="22" s="1"/>
  <c r="M6" i="22"/>
  <c r="L6" i="22"/>
  <c r="J6" i="22"/>
  <c r="I6" i="22"/>
  <c r="H6" i="22"/>
  <c r="K6" i="22" s="1"/>
  <c r="N6" i="22" s="1"/>
  <c r="O6" i="22" s="1"/>
  <c r="M5" i="22"/>
  <c r="L5" i="22"/>
  <c r="J5" i="22"/>
  <c r="I5" i="22"/>
  <c r="H5" i="22"/>
  <c r="K5" i="22" s="1"/>
  <c r="N5" i="22" s="1"/>
  <c r="O5" i="22" s="1"/>
  <c r="G5" i="22"/>
  <c r="D8" i="22"/>
  <c r="D11" i="22" s="1"/>
  <c r="D14" i="22" s="1"/>
  <c r="D17" i="22" s="1"/>
  <c r="L61" i="23"/>
  <c r="I61" i="23"/>
  <c r="H61" i="23"/>
  <c r="K61" i="23" s="1"/>
  <c r="I60" i="23"/>
  <c r="L60" i="23" s="1"/>
  <c r="H60" i="23"/>
  <c r="K60" i="23" s="1"/>
  <c r="L59" i="23"/>
  <c r="J59" i="23"/>
  <c r="M59" i="23" s="1"/>
  <c r="I59" i="23"/>
  <c r="H59" i="23"/>
  <c r="K59" i="23" s="1"/>
  <c r="J61" i="23"/>
  <c r="M61" i="23" s="1"/>
  <c r="H55" i="23"/>
  <c r="K55" i="23" s="1"/>
  <c r="M49" i="23"/>
  <c r="J49" i="23"/>
  <c r="I49" i="23"/>
  <c r="L49" i="23" s="1"/>
  <c r="H49" i="23"/>
  <c r="K49" i="23" s="1"/>
  <c r="J48" i="23"/>
  <c r="M48" i="23" s="1"/>
  <c r="I48" i="23"/>
  <c r="L48" i="23" s="1"/>
  <c r="H48" i="23"/>
  <c r="K48" i="23" s="1"/>
  <c r="J47" i="23"/>
  <c r="M47" i="23" s="1"/>
  <c r="I47" i="23"/>
  <c r="L47" i="23" s="1"/>
  <c r="H47" i="23"/>
  <c r="K47" i="23" s="1"/>
  <c r="J46" i="23"/>
  <c r="M46" i="23" s="1"/>
  <c r="I46" i="23"/>
  <c r="L46" i="23" s="1"/>
  <c r="M45" i="23"/>
  <c r="J45" i="23"/>
  <c r="I45" i="23"/>
  <c r="L45" i="23" s="1"/>
  <c r="J44" i="23"/>
  <c r="M44" i="23" s="1"/>
  <c r="I44" i="23"/>
  <c r="L44" i="23" s="1"/>
  <c r="H46" i="23"/>
  <c r="K46" i="23" s="1"/>
  <c r="J43" i="23"/>
  <c r="M43" i="23" s="1"/>
  <c r="J42" i="23"/>
  <c r="M42" i="23" s="1"/>
  <c r="J41" i="23"/>
  <c r="M41" i="23" s="1"/>
  <c r="I43" i="23"/>
  <c r="L43" i="23" s="1"/>
  <c r="J39" i="23"/>
  <c r="M39" i="23" s="1"/>
  <c r="J37" i="23"/>
  <c r="M37" i="23" s="1"/>
  <c r="I37" i="23"/>
  <c r="L37" i="23" s="1"/>
  <c r="H37" i="23"/>
  <c r="K37" i="23" s="1"/>
  <c r="L36" i="23"/>
  <c r="J36" i="23"/>
  <c r="M36" i="23" s="1"/>
  <c r="I36" i="23"/>
  <c r="H36" i="23"/>
  <c r="K36" i="23" s="1"/>
  <c r="M35" i="23"/>
  <c r="J35" i="23"/>
  <c r="I35" i="23"/>
  <c r="L35" i="23" s="1"/>
  <c r="H61" i="22"/>
  <c r="K61" i="22" s="1"/>
  <c r="H60" i="22"/>
  <c r="K60" i="22" s="1"/>
  <c r="H59" i="22"/>
  <c r="K59" i="22" s="1"/>
  <c r="G59" i="22"/>
  <c r="J61" i="22" s="1"/>
  <c r="M61" i="22" s="1"/>
  <c r="J55" i="22"/>
  <c r="M55" i="22" s="1"/>
  <c r="K55" i="22"/>
  <c r="J54" i="22"/>
  <c r="M54" i="22" s="1"/>
  <c r="J53" i="22"/>
  <c r="M53" i="22" s="1"/>
  <c r="K53" i="22"/>
  <c r="G53" i="22"/>
  <c r="J49" i="22"/>
  <c r="M49" i="22" s="1"/>
  <c r="H49" i="22"/>
  <c r="K49" i="22" s="1"/>
  <c r="N49" i="22" s="1"/>
  <c r="O49" i="22" s="1"/>
  <c r="J48" i="22"/>
  <c r="M48" i="22" s="1"/>
  <c r="H48" i="22"/>
  <c r="K48" i="22" s="1"/>
  <c r="J47" i="22"/>
  <c r="M47" i="22" s="1"/>
  <c r="H47" i="22"/>
  <c r="K47" i="22" s="1"/>
  <c r="G47" i="22"/>
  <c r="I49" i="22" s="1"/>
  <c r="L49" i="22" s="1"/>
  <c r="I46" i="22"/>
  <c r="L46" i="22" s="1"/>
  <c r="I45" i="22"/>
  <c r="L45" i="22" s="1"/>
  <c r="I44" i="22"/>
  <c r="L44" i="22" s="1"/>
  <c r="G44" i="22"/>
  <c r="H46" i="22" s="1"/>
  <c r="K46" i="22" s="1"/>
  <c r="J43" i="22"/>
  <c r="M43" i="22" s="1"/>
  <c r="H43" i="22"/>
  <c r="K43" i="22" s="1"/>
  <c r="J42" i="22"/>
  <c r="M42" i="22" s="1"/>
  <c r="H42" i="22"/>
  <c r="K42" i="22" s="1"/>
  <c r="J41" i="22"/>
  <c r="M41" i="22" s="1"/>
  <c r="H41" i="22"/>
  <c r="K41" i="22" s="1"/>
  <c r="G41" i="22"/>
  <c r="I43" i="22" s="1"/>
  <c r="L43" i="22" s="1"/>
  <c r="G38" i="22"/>
  <c r="J40" i="22" s="1"/>
  <c r="M40" i="22" s="1"/>
  <c r="H37" i="22"/>
  <c r="K37" i="22" s="1"/>
  <c r="H36" i="22"/>
  <c r="K36" i="22" s="1"/>
  <c r="H35" i="22"/>
  <c r="K35" i="22" s="1"/>
  <c r="G35" i="22"/>
  <c r="J37" i="22" s="1"/>
  <c r="M37" i="22" s="1"/>
  <c r="D38" i="22"/>
  <c r="D41" i="22" s="1"/>
  <c r="D44" i="22" s="1"/>
  <c r="D47" i="22" s="1"/>
  <c r="J91" i="23"/>
  <c r="M91" i="23" s="1"/>
  <c r="I91" i="23"/>
  <c r="L91" i="23" s="1"/>
  <c r="H91" i="23"/>
  <c r="K91" i="23" s="1"/>
  <c r="J90" i="23"/>
  <c r="M90" i="23" s="1"/>
  <c r="I90" i="23"/>
  <c r="L90" i="23" s="1"/>
  <c r="H90" i="23"/>
  <c r="K90" i="23" s="1"/>
  <c r="L89" i="23"/>
  <c r="J89" i="23"/>
  <c r="M89" i="23" s="1"/>
  <c r="I89" i="23"/>
  <c r="H89" i="23"/>
  <c r="K89" i="23" s="1"/>
  <c r="H85" i="23"/>
  <c r="K85" i="23" s="1"/>
  <c r="H84" i="23"/>
  <c r="K84" i="23" s="1"/>
  <c r="H83" i="23"/>
  <c r="K83" i="23" s="1"/>
  <c r="J85" i="23"/>
  <c r="M85" i="23" s="1"/>
  <c r="M77" i="23"/>
  <c r="K77" i="23"/>
  <c r="M79" i="23"/>
  <c r="I76" i="23"/>
  <c r="L76" i="23" s="1"/>
  <c r="I75" i="23"/>
  <c r="L75" i="23" s="1"/>
  <c r="I74" i="23"/>
  <c r="L74" i="23" s="1"/>
  <c r="H76" i="23"/>
  <c r="K76" i="23" s="1"/>
  <c r="J73" i="23"/>
  <c r="M73" i="23" s="1"/>
  <c r="H73" i="23"/>
  <c r="K73" i="23" s="1"/>
  <c r="J72" i="23"/>
  <c r="M72" i="23" s="1"/>
  <c r="K72" i="23"/>
  <c r="J71" i="23"/>
  <c r="M71" i="23" s="1"/>
  <c r="I73" i="23"/>
  <c r="L73" i="23" s="1"/>
  <c r="J70" i="23"/>
  <c r="M70" i="23" s="1"/>
  <c r="H67" i="23"/>
  <c r="K67" i="23" s="1"/>
  <c r="H66" i="23"/>
  <c r="K66" i="23" s="1"/>
  <c r="J65" i="23"/>
  <c r="M65" i="23" s="1"/>
  <c r="H65" i="23"/>
  <c r="K65" i="23" s="1"/>
  <c r="J67" i="23"/>
  <c r="M67" i="23" s="1"/>
  <c r="S91" i="22"/>
  <c r="M90" i="22"/>
  <c r="J90" i="22"/>
  <c r="I90" i="22"/>
  <c r="L90" i="22" s="1"/>
  <c r="M89" i="22"/>
  <c r="J89" i="22"/>
  <c r="I89" i="22"/>
  <c r="L89" i="22" s="1"/>
  <c r="G89" i="22"/>
  <c r="H90" i="22" s="1"/>
  <c r="K90" i="22" s="1"/>
  <c r="N90" i="22" s="1"/>
  <c r="O90" i="22" s="1"/>
  <c r="P90" i="22" s="1"/>
  <c r="Q90" i="22" s="1"/>
  <c r="R90" i="22" s="1"/>
  <c r="H85" i="22"/>
  <c r="K85" i="22" s="1"/>
  <c r="H83" i="22"/>
  <c r="K83" i="22" s="1"/>
  <c r="G83" i="22"/>
  <c r="J85" i="22" s="1"/>
  <c r="M85" i="22" s="1"/>
  <c r="J79" i="22"/>
  <c r="M79" i="22" s="1"/>
  <c r="H79" i="22"/>
  <c r="K79" i="22" s="1"/>
  <c r="J77" i="22"/>
  <c r="M77" i="22" s="1"/>
  <c r="H77" i="22"/>
  <c r="K77" i="22" s="1"/>
  <c r="G77" i="22"/>
  <c r="I79" i="22" s="1"/>
  <c r="L79" i="22" s="1"/>
  <c r="I76" i="22"/>
  <c r="L76" i="22" s="1"/>
  <c r="I75" i="22"/>
  <c r="L75" i="22" s="1"/>
  <c r="I74" i="22"/>
  <c r="L74" i="22" s="1"/>
  <c r="G74" i="22"/>
  <c r="H76" i="22" s="1"/>
  <c r="K76" i="22" s="1"/>
  <c r="J73" i="22"/>
  <c r="M73" i="22" s="1"/>
  <c r="K73" i="22"/>
  <c r="J72" i="22"/>
  <c r="M72" i="22" s="1"/>
  <c r="K72" i="22"/>
  <c r="J71" i="22"/>
  <c r="M71" i="22" s="1"/>
  <c r="G71" i="22"/>
  <c r="I73" i="22" s="1"/>
  <c r="L73" i="22" s="1"/>
  <c r="G68" i="22"/>
  <c r="H67" i="22"/>
  <c r="K67" i="22" s="1"/>
  <c r="H66" i="22"/>
  <c r="K66" i="22" s="1"/>
  <c r="H65" i="22"/>
  <c r="K65" i="22" s="1"/>
  <c r="G65" i="22"/>
  <c r="J67" i="22" s="1"/>
  <c r="M67" i="22" s="1"/>
  <c r="D68" i="22"/>
  <c r="D71" i="22" s="1"/>
  <c r="D74" i="22" s="1"/>
  <c r="D77" i="22" s="1"/>
  <c r="K88" i="22"/>
  <c r="H45" i="20"/>
  <c r="H44" i="20"/>
  <c r="I43" i="20"/>
  <c r="I41" i="20"/>
  <c r="H43" i="20"/>
  <c r="H41" i="20"/>
  <c r="H40" i="20"/>
  <c r="H32" i="20"/>
  <c r="I29" i="20"/>
  <c r="J30" i="20"/>
  <c r="I30" i="20"/>
  <c r="I31" i="20"/>
  <c r="H31" i="20"/>
  <c r="H30" i="20"/>
  <c r="H29" i="20"/>
  <c r="H21" i="20"/>
  <c r="I20" i="20"/>
  <c r="H20" i="20"/>
  <c r="AD10" i="20"/>
  <c r="O136" i="21"/>
  <c r="O135" i="21"/>
  <c r="O134" i="21"/>
  <c r="O133" i="21"/>
  <c r="O132" i="21"/>
  <c r="O131" i="21"/>
  <c r="O130" i="21"/>
  <c r="O129" i="21"/>
  <c r="O128" i="21"/>
  <c r="O127" i="21"/>
  <c r="O126" i="21"/>
  <c r="O125" i="21"/>
  <c r="O124" i="21"/>
  <c r="O123" i="21"/>
  <c r="O122" i="21"/>
  <c r="O121" i="21"/>
  <c r="O120" i="21"/>
  <c r="O119" i="21"/>
  <c r="O118" i="21"/>
  <c r="O117" i="21"/>
  <c r="O116" i="21"/>
  <c r="O115" i="21"/>
  <c r="O114" i="21"/>
  <c r="O113" i="21"/>
  <c r="O112" i="21"/>
  <c r="O111" i="21"/>
  <c r="O110" i="21"/>
  <c r="O109" i="21"/>
  <c r="O108" i="21"/>
  <c r="Q108" i="21" s="1"/>
  <c r="O107" i="21"/>
  <c r="Q107" i="21"/>
  <c r="Q112" i="21"/>
  <c r="O106" i="21"/>
  <c r="O105" i="21"/>
  <c r="O104" i="21"/>
  <c r="O103" i="21"/>
  <c r="O102" i="21"/>
  <c r="O101" i="21"/>
  <c r="O100" i="21"/>
  <c r="O99" i="21"/>
  <c r="O98" i="21"/>
  <c r="O97" i="21"/>
  <c r="O96" i="21"/>
  <c r="O95" i="21"/>
  <c r="O91" i="21"/>
  <c r="O90" i="21"/>
  <c r="O89" i="21"/>
  <c r="O88" i="21"/>
  <c r="O87" i="21"/>
  <c r="O86" i="21"/>
  <c r="O85" i="21"/>
  <c r="O84" i="21"/>
  <c r="O83" i="21"/>
  <c r="O82" i="21"/>
  <c r="O81" i="21"/>
  <c r="O80" i="21"/>
  <c r="O79" i="21"/>
  <c r="O78" i="21"/>
  <c r="O77" i="21"/>
  <c r="O76" i="21"/>
  <c r="O75" i="21"/>
  <c r="O74" i="21"/>
  <c r="O73" i="21"/>
  <c r="O72" i="21"/>
  <c r="O71" i="21"/>
  <c r="O70" i="21"/>
  <c r="Q70" i="21" s="1"/>
  <c r="O69" i="21"/>
  <c r="O68" i="21"/>
  <c r="Q68" i="21" s="1"/>
  <c r="O67" i="21"/>
  <c r="Q67" i="21" s="1"/>
  <c r="O66" i="21"/>
  <c r="O65" i="21"/>
  <c r="O64" i="21"/>
  <c r="O63" i="21"/>
  <c r="O62" i="21"/>
  <c r="Q64" i="21"/>
  <c r="Q65" i="21"/>
  <c r="Q69" i="21"/>
  <c r="O61" i="21"/>
  <c r="O60" i="21"/>
  <c r="O59" i="21"/>
  <c r="O58" i="21"/>
  <c r="O57" i="21"/>
  <c r="O56" i="21"/>
  <c r="O55" i="21"/>
  <c r="O54" i="21"/>
  <c r="O53" i="21"/>
  <c r="O52" i="21"/>
  <c r="O51" i="21"/>
  <c r="O50" i="21"/>
  <c r="O46" i="21"/>
  <c r="O45" i="21"/>
  <c r="O44" i="21"/>
  <c r="O43" i="21"/>
  <c r="O42" i="21"/>
  <c r="O41" i="21"/>
  <c r="O40" i="21"/>
  <c r="O39" i="21"/>
  <c r="O38" i="21"/>
  <c r="O37" i="21"/>
  <c r="O36" i="21"/>
  <c r="O35" i="21"/>
  <c r="O34" i="21"/>
  <c r="O33" i="21"/>
  <c r="O32" i="21"/>
  <c r="O31" i="21"/>
  <c r="O30" i="21"/>
  <c r="O29" i="21"/>
  <c r="O28" i="21"/>
  <c r="O27" i="21"/>
  <c r="O26" i="21"/>
  <c r="O25" i="21"/>
  <c r="O24" i="21"/>
  <c r="O23" i="21"/>
  <c r="O22" i="21"/>
  <c r="O21" i="21"/>
  <c r="O20" i="21"/>
  <c r="O19" i="21"/>
  <c r="O18" i="21"/>
  <c r="O17" i="21"/>
  <c r="Q18" i="21"/>
  <c r="Q22" i="21"/>
  <c r="O16" i="21"/>
  <c r="O15" i="21"/>
  <c r="O14" i="21"/>
  <c r="O13" i="21"/>
  <c r="O12" i="21"/>
  <c r="O11" i="21"/>
  <c r="O10" i="21"/>
  <c r="O9" i="21"/>
  <c r="O8" i="21"/>
  <c r="O7" i="21"/>
  <c r="O6" i="21"/>
  <c r="O5" i="21"/>
  <c r="O136" i="20"/>
  <c r="O135" i="20"/>
  <c r="O134" i="20"/>
  <c r="O133" i="20"/>
  <c r="O132" i="20"/>
  <c r="O131" i="20"/>
  <c r="O130" i="20"/>
  <c r="O129" i="20"/>
  <c r="O128" i="20"/>
  <c r="O127" i="20"/>
  <c r="O126" i="20"/>
  <c r="O125" i="20"/>
  <c r="O124" i="20"/>
  <c r="O123" i="20"/>
  <c r="O122" i="20"/>
  <c r="O121" i="20"/>
  <c r="O120" i="20"/>
  <c r="O119" i="20"/>
  <c r="O118" i="20"/>
  <c r="O117" i="20"/>
  <c r="O116" i="20"/>
  <c r="O115" i="20"/>
  <c r="O114" i="20"/>
  <c r="O113" i="20"/>
  <c r="O112" i="20"/>
  <c r="O111" i="20"/>
  <c r="O110" i="20"/>
  <c r="O109" i="20"/>
  <c r="O108" i="20"/>
  <c r="O107" i="20"/>
  <c r="O106" i="20"/>
  <c r="O105" i="20"/>
  <c r="O104" i="20"/>
  <c r="O103" i="20"/>
  <c r="O102" i="20"/>
  <c r="O101" i="20"/>
  <c r="O100" i="20"/>
  <c r="O99" i="20"/>
  <c r="O98" i="20"/>
  <c r="O97" i="20"/>
  <c r="O96" i="20"/>
  <c r="O95" i="20"/>
  <c r="O91" i="20"/>
  <c r="O90" i="20"/>
  <c r="O89" i="20"/>
  <c r="O88" i="20"/>
  <c r="O87" i="20"/>
  <c r="O86" i="20"/>
  <c r="O85" i="20"/>
  <c r="O84" i="20"/>
  <c r="O83" i="20"/>
  <c r="O82" i="20"/>
  <c r="O81" i="20"/>
  <c r="O80" i="20"/>
  <c r="O79" i="20"/>
  <c r="O78" i="20"/>
  <c r="O77" i="20"/>
  <c r="O76" i="20"/>
  <c r="O75" i="20"/>
  <c r="O74" i="20"/>
  <c r="O73" i="20"/>
  <c r="O72" i="20"/>
  <c r="O71" i="20"/>
  <c r="O70" i="20"/>
  <c r="O69" i="20"/>
  <c r="O68" i="20"/>
  <c r="O67" i="20"/>
  <c r="O66" i="20"/>
  <c r="O65" i="20"/>
  <c r="O64" i="20"/>
  <c r="O63" i="20"/>
  <c r="O62" i="20"/>
  <c r="O61" i="20"/>
  <c r="O60" i="20"/>
  <c r="O59" i="20"/>
  <c r="O58" i="20"/>
  <c r="O57" i="20"/>
  <c r="O56" i="20"/>
  <c r="O55" i="20"/>
  <c r="O54" i="20"/>
  <c r="O53" i="20"/>
  <c r="O52" i="20"/>
  <c r="O51" i="20"/>
  <c r="O50" i="20"/>
  <c r="K46" i="21"/>
  <c r="J46" i="21"/>
  <c r="I46" i="21"/>
  <c r="H46" i="21"/>
  <c r="K45" i="21"/>
  <c r="J45" i="21"/>
  <c r="I45" i="21"/>
  <c r="H45" i="21"/>
  <c r="K44" i="21"/>
  <c r="J44" i="21"/>
  <c r="I44" i="21"/>
  <c r="H44" i="21"/>
  <c r="K31" i="21"/>
  <c r="J31" i="21"/>
  <c r="I31" i="21"/>
  <c r="H31" i="21"/>
  <c r="K30" i="21"/>
  <c r="J30" i="21"/>
  <c r="I30" i="21"/>
  <c r="H30" i="21"/>
  <c r="K29" i="21"/>
  <c r="J29" i="21"/>
  <c r="I29" i="21"/>
  <c r="H29" i="21"/>
  <c r="K19" i="21"/>
  <c r="J19" i="21"/>
  <c r="I19" i="21"/>
  <c r="H19" i="21"/>
  <c r="K18" i="21"/>
  <c r="J18" i="21"/>
  <c r="I18" i="21"/>
  <c r="H18" i="21"/>
  <c r="K17" i="21"/>
  <c r="J17" i="21"/>
  <c r="I17" i="21"/>
  <c r="H17" i="21"/>
  <c r="K15" i="21"/>
  <c r="J15" i="21"/>
  <c r="I15" i="21"/>
  <c r="H15" i="21"/>
  <c r="K14" i="21"/>
  <c r="J14" i="21"/>
  <c r="I14" i="21"/>
  <c r="H14" i="21"/>
  <c r="K13" i="21"/>
  <c r="J13" i="21"/>
  <c r="I13" i="21"/>
  <c r="H13" i="21"/>
  <c r="K12" i="21"/>
  <c r="J12" i="21"/>
  <c r="I12" i="21"/>
  <c r="H12" i="21"/>
  <c r="K11" i="21"/>
  <c r="J11" i="21"/>
  <c r="I11" i="21"/>
  <c r="H11" i="21"/>
  <c r="K10" i="21"/>
  <c r="J10" i="21"/>
  <c r="I10" i="21"/>
  <c r="H10" i="21"/>
  <c r="K9" i="21"/>
  <c r="J9" i="21"/>
  <c r="I9" i="21"/>
  <c r="H9" i="21"/>
  <c r="K8" i="21"/>
  <c r="J8" i="21"/>
  <c r="I8" i="21"/>
  <c r="H8" i="21"/>
  <c r="K7" i="21"/>
  <c r="J7" i="21"/>
  <c r="I7" i="21"/>
  <c r="H7" i="21"/>
  <c r="K6" i="21"/>
  <c r="J6" i="21"/>
  <c r="I6" i="21"/>
  <c r="H6" i="21"/>
  <c r="K5" i="21"/>
  <c r="J5" i="21"/>
  <c r="I5" i="21"/>
  <c r="H5" i="21"/>
  <c r="K46" i="20"/>
  <c r="J46" i="20"/>
  <c r="I46" i="20"/>
  <c r="H46" i="20"/>
  <c r="K45" i="20"/>
  <c r="J45" i="20"/>
  <c r="I45" i="20"/>
  <c r="K44" i="20"/>
  <c r="J44" i="20"/>
  <c r="I44" i="20"/>
  <c r="K31" i="20"/>
  <c r="J31" i="20"/>
  <c r="K30" i="20"/>
  <c r="K29" i="20"/>
  <c r="J29" i="20"/>
  <c r="I19" i="20"/>
  <c r="H19" i="20"/>
  <c r="I18" i="20"/>
  <c r="H18" i="20"/>
  <c r="I17" i="20"/>
  <c r="H17" i="20"/>
  <c r="K15" i="20"/>
  <c r="J15" i="20"/>
  <c r="I15" i="20"/>
  <c r="H15" i="20"/>
  <c r="K14" i="20"/>
  <c r="J14" i="20"/>
  <c r="I14" i="20"/>
  <c r="H14" i="20"/>
  <c r="K13" i="20"/>
  <c r="J13" i="20"/>
  <c r="I13" i="20"/>
  <c r="H13" i="20"/>
  <c r="K12" i="20"/>
  <c r="J12" i="20"/>
  <c r="I12" i="20"/>
  <c r="H12" i="20"/>
  <c r="K11" i="20"/>
  <c r="J11" i="20"/>
  <c r="I11" i="20"/>
  <c r="H11" i="20"/>
  <c r="K10" i="20"/>
  <c r="J10" i="20"/>
  <c r="I10" i="20"/>
  <c r="K9" i="20"/>
  <c r="J9" i="20"/>
  <c r="I9" i="20"/>
  <c r="K8" i="20"/>
  <c r="J8" i="20"/>
  <c r="I8" i="20"/>
  <c r="K7" i="20"/>
  <c r="J7" i="20"/>
  <c r="I7" i="20"/>
  <c r="H7" i="20"/>
  <c r="K6" i="20"/>
  <c r="J6" i="20"/>
  <c r="I6" i="20"/>
  <c r="H6" i="20"/>
  <c r="K5" i="20"/>
  <c r="J5" i="20"/>
  <c r="I5" i="20"/>
  <c r="H5" i="20"/>
  <c r="K91" i="21"/>
  <c r="J91" i="21"/>
  <c r="I91" i="21"/>
  <c r="H91" i="21"/>
  <c r="K90" i="21"/>
  <c r="J90" i="21"/>
  <c r="I90" i="21"/>
  <c r="H90" i="21"/>
  <c r="K89" i="21"/>
  <c r="J89" i="21"/>
  <c r="I89" i="21"/>
  <c r="H89" i="21"/>
  <c r="K76" i="21"/>
  <c r="J76" i="21"/>
  <c r="I76" i="21"/>
  <c r="H76" i="21"/>
  <c r="K75" i="21"/>
  <c r="J75" i="21"/>
  <c r="I75" i="21"/>
  <c r="H75" i="21"/>
  <c r="K74" i="21"/>
  <c r="J74" i="21"/>
  <c r="I74" i="21"/>
  <c r="H74" i="21"/>
  <c r="K64" i="21"/>
  <c r="J64" i="21"/>
  <c r="I64" i="21"/>
  <c r="H64" i="21"/>
  <c r="K63" i="21"/>
  <c r="J63" i="21"/>
  <c r="I63" i="21"/>
  <c r="H63" i="21"/>
  <c r="K62" i="21"/>
  <c r="J62" i="21"/>
  <c r="I62" i="21"/>
  <c r="H62" i="21"/>
  <c r="K60" i="21"/>
  <c r="J60" i="21"/>
  <c r="I60" i="21"/>
  <c r="H60" i="21"/>
  <c r="K59" i="21"/>
  <c r="J59" i="21"/>
  <c r="I59" i="21"/>
  <c r="H59" i="21"/>
  <c r="K58" i="21"/>
  <c r="J58" i="21"/>
  <c r="I58" i="21"/>
  <c r="H58" i="21"/>
  <c r="K57" i="21"/>
  <c r="J57" i="21"/>
  <c r="I57" i="21"/>
  <c r="H57" i="21"/>
  <c r="K56" i="21"/>
  <c r="J56" i="21"/>
  <c r="I56" i="21"/>
  <c r="H56" i="21"/>
  <c r="K55" i="21"/>
  <c r="J55" i="21"/>
  <c r="I55" i="21"/>
  <c r="H55" i="21"/>
  <c r="K54" i="21"/>
  <c r="J54" i="21"/>
  <c r="I54" i="21"/>
  <c r="H54" i="21"/>
  <c r="K53" i="21"/>
  <c r="J53" i="21"/>
  <c r="I53" i="21"/>
  <c r="H53" i="21"/>
  <c r="K52" i="21"/>
  <c r="J52" i="21"/>
  <c r="I52" i="21"/>
  <c r="H52" i="21"/>
  <c r="K51" i="21"/>
  <c r="J51" i="21"/>
  <c r="I51" i="21"/>
  <c r="H51" i="21"/>
  <c r="K50" i="21"/>
  <c r="J50" i="21"/>
  <c r="I50" i="21"/>
  <c r="H50" i="21"/>
  <c r="K91" i="20"/>
  <c r="J91" i="20"/>
  <c r="I91" i="20"/>
  <c r="H91" i="20"/>
  <c r="K90" i="20"/>
  <c r="J90" i="20"/>
  <c r="I90" i="20"/>
  <c r="H90" i="20"/>
  <c r="K89" i="20"/>
  <c r="J89" i="20"/>
  <c r="I89" i="20"/>
  <c r="H89" i="20"/>
  <c r="K76" i="20"/>
  <c r="J76" i="20"/>
  <c r="I76" i="20"/>
  <c r="H76" i="20"/>
  <c r="K75" i="20"/>
  <c r="J75" i="20"/>
  <c r="I75" i="20"/>
  <c r="H75" i="20"/>
  <c r="K74" i="20"/>
  <c r="J74" i="20"/>
  <c r="I74" i="20"/>
  <c r="H74" i="20"/>
  <c r="I64" i="20"/>
  <c r="H64" i="20"/>
  <c r="I63" i="20"/>
  <c r="H63" i="20"/>
  <c r="I62" i="20"/>
  <c r="H62" i="20"/>
  <c r="K60" i="20"/>
  <c r="J60" i="20"/>
  <c r="I60" i="20"/>
  <c r="H60" i="20"/>
  <c r="K59" i="20"/>
  <c r="J59" i="20"/>
  <c r="I59" i="20"/>
  <c r="H59" i="20"/>
  <c r="K58" i="20"/>
  <c r="J58" i="20"/>
  <c r="I58" i="20"/>
  <c r="H58" i="20"/>
  <c r="K57" i="20"/>
  <c r="J57" i="20"/>
  <c r="I57" i="20"/>
  <c r="H57" i="20"/>
  <c r="K56" i="20"/>
  <c r="J56" i="20"/>
  <c r="I56" i="20"/>
  <c r="H56" i="20"/>
  <c r="K55" i="20"/>
  <c r="J55" i="20"/>
  <c r="I55" i="20"/>
  <c r="K54" i="20"/>
  <c r="J54" i="20"/>
  <c r="I54" i="20"/>
  <c r="K53" i="20"/>
  <c r="J53" i="20"/>
  <c r="I53" i="20"/>
  <c r="K52" i="20"/>
  <c r="J52" i="20"/>
  <c r="I52" i="20"/>
  <c r="H52" i="20"/>
  <c r="K51" i="20"/>
  <c r="J51" i="20"/>
  <c r="I51" i="20"/>
  <c r="H51" i="20"/>
  <c r="K50" i="20"/>
  <c r="J50" i="20"/>
  <c r="I50" i="20"/>
  <c r="H50" i="20"/>
  <c r="K136" i="21"/>
  <c r="J136" i="21"/>
  <c r="I136" i="21"/>
  <c r="H136" i="21"/>
  <c r="K135" i="21"/>
  <c r="J135" i="21"/>
  <c r="I135" i="21"/>
  <c r="H135" i="21"/>
  <c r="K134" i="21"/>
  <c r="J134" i="21"/>
  <c r="I134" i="21"/>
  <c r="H134" i="21"/>
  <c r="K121" i="21"/>
  <c r="J121" i="21"/>
  <c r="I121" i="21"/>
  <c r="H121" i="21"/>
  <c r="K120" i="21"/>
  <c r="J120" i="21"/>
  <c r="I120" i="21"/>
  <c r="H120" i="21"/>
  <c r="K119" i="21"/>
  <c r="J119" i="21"/>
  <c r="I119" i="21"/>
  <c r="H119" i="21"/>
  <c r="K109" i="21"/>
  <c r="J109" i="21"/>
  <c r="I109" i="21"/>
  <c r="H109" i="21"/>
  <c r="K108" i="21"/>
  <c r="J108" i="21"/>
  <c r="I108" i="21"/>
  <c r="H108" i="21"/>
  <c r="K107" i="21"/>
  <c r="J107" i="21"/>
  <c r="I107" i="21"/>
  <c r="H107" i="21"/>
  <c r="K105" i="21"/>
  <c r="J105" i="21"/>
  <c r="I105" i="21"/>
  <c r="H105" i="21"/>
  <c r="K104" i="21"/>
  <c r="J104" i="21"/>
  <c r="I104" i="21"/>
  <c r="H104" i="21"/>
  <c r="K103" i="21"/>
  <c r="J103" i="21"/>
  <c r="I103" i="21"/>
  <c r="H103" i="21"/>
  <c r="K102" i="21"/>
  <c r="J102" i="21"/>
  <c r="I102" i="21"/>
  <c r="H102" i="21"/>
  <c r="K101" i="21"/>
  <c r="J101" i="21"/>
  <c r="I101" i="21"/>
  <c r="H101" i="21"/>
  <c r="K100" i="21"/>
  <c r="J100" i="21"/>
  <c r="I100" i="21"/>
  <c r="H100" i="21"/>
  <c r="K99" i="21"/>
  <c r="J99" i="21"/>
  <c r="I99" i="21"/>
  <c r="H99" i="21"/>
  <c r="K98" i="21"/>
  <c r="J98" i="21"/>
  <c r="I98" i="21"/>
  <c r="H98" i="21"/>
  <c r="K97" i="21"/>
  <c r="J97" i="21"/>
  <c r="I97" i="21"/>
  <c r="H97" i="21"/>
  <c r="K96" i="21"/>
  <c r="J96" i="21"/>
  <c r="I96" i="21"/>
  <c r="H96" i="21"/>
  <c r="K95" i="21"/>
  <c r="J95" i="21"/>
  <c r="I95" i="21"/>
  <c r="H95" i="21"/>
  <c r="K136" i="20"/>
  <c r="J136" i="20"/>
  <c r="I136" i="20"/>
  <c r="H136" i="20"/>
  <c r="K135" i="20"/>
  <c r="J135" i="20"/>
  <c r="I135" i="20"/>
  <c r="H135" i="20"/>
  <c r="K134" i="20"/>
  <c r="J134" i="20"/>
  <c r="I134" i="20"/>
  <c r="H134" i="20"/>
  <c r="K121" i="20"/>
  <c r="J121" i="20"/>
  <c r="I121" i="20"/>
  <c r="H121" i="20"/>
  <c r="K120" i="20"/>
  <c r="J120" i="20"/>
  <c r="I120" i="20"/>
  <c r="H120" i="20"/>
  <c r="K119" i="20"/>
  <c r="J119" i="20"/>
  <c r="I119" i="20"/>
  <c r="H119" i="20"/>
  <c r="K109" i="20"/>
  <c r="I109" i="20"/>
  <c r="H109" i="20"/>
  <c r="K108" i="20"/>
  <c r="I108" i="20"/>
  <c r="H108" i="20"/>
  <c r="K107" i="20"/>
  <c r="I107" i="20"/>
  <c r="H107" i="20"/>
  <c r="K105" i="20"/>
  <c r="J105" i="20"/>
  <c r="I105" i="20"/>
  <c r="H105" i="20"/>
  <c r="K104" i="20"/>
  <c r="J104" i="20"/>
  <c r="I104" i="20"/>
  <c r="H104" i="20"/>
  <c r="K103" i="20"/>
  <c r="J103" i="20"/>
  <c r="I103" i="20"/>
  <c r="H103" i="20"/>
  <c r="K102" i="20"/>
  <c r="J102" i="20"/>
  <c r="I102" i="20"/>
  <c r="H102" i="20"/>
  <c r="K101" i="20"/>
  <c r="J101" i="20"/>
  <c r="I101" i="20"/>
  <c r="H101" i="20"/>
  <c r="K100" i="20"/>
  <c r="J100" i="20"/>
  <c r="I100" i="20"/>
  <c r="H100" i="20"/>
  <c r="K99" i="20"/>
  <c r="J99" i="20"/>
  <c r="I99" i="20"/>
  <c r="H99" i="20"/>
  <c r="K98" i="20"/>
  <c r="J98" i="20"/>
  <c r="I98" i="20"/>
  <c r="H98" i="20"/>
  <c r="K97" i="20"/>
  <c r="J97" i="20"/>
  <c r="I97" i="20"/>
  <c r="H97" i="20"/>
  <c r="K96" i="20"/>
  <c r="J96" i="20"/>
  <c r="I96" i="20"/>
  <c r="H96" i="20"/>
  <c r="K95" i="20"/>
  <c r="J95" i="20"/>
  <c r="I95" i="20"/>
  <c r="H95" i="20"/>
  <c r="Q115" i="21"/>
  <c r="Q114" i="21"/>
  <c r="Q113" i="21"/>
  <c r="Q111" i="21"/>
  <c r="Q110" i="21"/>
  <c r="Q109" i="21"/>
  <c r="Q106" i="21"/>
  <c r="Q105" i="21"/>
  <c r="Q104" i="21"/>
  <c r="Q66" i="21"/>
  <c r="Q63" i="21"/>
  <c r="Q62" i="21"/>
  <c r="Q61" i="21"/>
  <c r="Q60" i="21"/>
  <c r="Q59" i="21"/>
  <c r="Q25" i="21"/>
  <c r="Q24" i="21"/>
  <c r="Q23" i="21"/>
  <c r="Q21" i="21"/>
  <c r="Q20" i="21"/>
  <c r="Q19" i="21"/>
  <c r="Q17" i="21"/>
  <c r="Q16" i="21"/>
  <c r="Q15" i="21"/>
  <c r="Q14" i="21"/>
  <c r="G131" i="21"/>
  <c r="F131" i="21"/>
  <c r="G128" i="21"/>
  <c r="F128" i="21"/>
  <c r="G125" i="21"/>
  <c r="F125" i="21"/>
  <c r="G122" i="21"/>
  <c r="F122" i="21"/>
  <c r="G119" i="21"/>
  <c r="F119" i="21"/>
  <c r="F110" i="21"/>
  <c r="G107" i="21"/>
  <c r="F107" i="21"/>
  <c r="G98" i="21"/>
  <c r="F98" i="21"/>
  <c r="G86" i="21"/>
  <c r="F86" i="21"/>
  <c r="G83" i="21"/>
  <c r="F83" i="21"/>
  <c r="G80" i="21"/>
  <c r="F80" i="21"/>
  <c r="G77" i="21"/>
  <c r="F77" i="21"/>
  <c r="G74" i="21"/>
  <c r="F74" i="21"/>
  <c r="F65" i="21"/>
  <c r="G62" i="21"/>
  <c r="F62" i="21"/>
  <c r="G53" i="21"/>
  <c r="F53" i="21"/>
  <c r="G41" i="21"/>
  <c r="F41" i="21"/>
  <c r="G38" i="21"/>
  <c r="F38" i="21"/>
  <c r="G35" i="21"/>
  <c r="F35" i="21"/>
  <c r="G32" i="21"/>
  <c r="F32" i="21"/>
  <c r="G29" i="21"/>
  <c r="F29" i="21"/>
  <c r="F20" i="21"/>
  <c r="G17" i="21"/>
  <c r="F17" i="21"/>
  <c r="G8" i="21"/>
  <c r="F8" i="21"/>
  <c r="J107" i="20" l="1"/>
  <c r="J108" i="20"/>
  <c r="J62" i="20"/>
  <c r="J64" i="20"/>
  <c r="K62" i="20"/>
  <c r="K63" i="20"/>
  <c r="K64" i="20"/>
  <c r="H53" i="20"/>
  <c r="H54" i="20"/>
  <c r="J18" i="20"/>
  <c r="K17" i="20"/>
  <c r="K18" i="20"/>
  <c r="K19" i="20"/>
  <c r="I21" i="20"/>
  <c r="H38" i="20"/>
  <c r="I39" i="20"/>
  <c r="J17" i="20"/>
  <c r="I38" i="20"/>
  <c r="H8" i="20"/>
  <c r="H9" i="20"/>
  <c r="M25" i="23"/>
  <c r="N89" i="23"/>
  <c r="O89" i="23" s="1"/>
  <c r="N90" i="23"/>
  <c r="O90" i="23" s="1"/>
  <c r="N91" i="23"/>
  <c r="O91" i="23" s="1"/>
  <c r="N37" i="23"/>
  <c r="O37" i="23" s="1"/>
  <c r="N47" i="23"/>
  <c r="O47" i="23" s="1"/>
  <c r="H53" i="23"/>
  <c r="K53" i="23" s="1"/>
  <c r="N59" i="23"/>
  <c r="O59" i="23" s="1"/>
  <c r="N35" i="23"/>
  <c r="O35" i="23" s="1"/>
  <c r="N49" i="23"/>
  <c r="O49" i="23" s="1"/>
  <c r="N48" i="23"/>
  <c r="O48" i="23" s="1"/>
  <c r="H54" i="23"/>
  <c r="K54" i="23" s="1"/>
  <c r="N46" i="23"/>
  <c r="O46" i="23" s="1"/>
  <c r="N36" i="23"/>
  <c r="O36" i="23" s="1"/>
  <c r="I9" i="23"/>
  <c r="L9" i="23" s="1"/>
  <c r="I15" i="23"/>
  <c r="L15" i="23" s="1"/>
  <c r="L23" i="23"/>
  <c r="K24" i="23"/>
  <c r="M24" i="23"/>
  <c r="L25" i="23"/>
  <c r="J10" i="23"/>
  <c r="M10" i="23" s="1"/>
  <c r="I16" i="23"/>
  <c r="L16" i="23" s="1"/>
  <c r="M23" i="23"/>
  <c r="L24" i="23"/>
  <c r="K25" i="23"/>
  <c r="K23" i="23"/>
  <c r="M88" i="22"/>
  <c r="K86" i="22"/>
  <c r="N86" i="22" s="1"/>
  <c r="O86" i="22" s="1"/>
  <c r="P86" i="22" s="1"/>
  <c r="Q86" i="22" s="1"/>
  <c r="R86" i="22" s="1"/>
  <c r="N87" i="22"/>
  <c r="O87" i="22" s="1"/>
  <c r="P87" i="22" s="1"/>
  <c r="Q87" i="22" s="1"/>
  <c r="R87" i="22" s="1"/>
  <c r="N88" i="22"/>
  <c r="L84" i="22"/>
  <c r="M84" i="22"/>
  <c r="L80" i="22"/>
  <c r="N84" i="22"/>
  <c r="O84" i="22" s="1"/>
  <c r="N78" i="22"/>
  <c r="O78" i="22" s="1"/>
  <c r="M70" i="22"/>
  <c r="L55" i="22"/>
  <c r="N55" i="22"/>
  <c r="O55" i="22" s="1"/>
  <c r="H29" i="23"/>
  <c r="K29" i="23" s="1"/>
  <c r="H30" i="23"/>
  <c r="K30" i="23" s="1"/>
  <c r="H31" i="23"/>
  <c r="K31" i="23" s="1"/>
  <c r="I29" i="23"/>
  <c r="L29" i="23" s="1"/>
  <c r="I30" i="23"/>
  <c r="L30" i="23" s="1"/>
  <c r="I31" i="23"/>
  <c r="L31" i="23" s="1"/>
  <c r="J29" i="23"/>
  <c r="M29" i="23" s="1"/>
  <c r="J30" i="23"/>
  <c r="M30" i="23" s="1"/>
  <c r="N5" i="23"/>
  <c r="O5" i="23" s="1"/>
  <c r="N12" i="23"/>
  <c r="O12" i="23" s="1"/>
  <c r="J8" i="23"/>
  <c r="M8" i="23" s="1"/>
  <c r="N8" i="23" s="1"/>
  <c r="O8" i="23" s="1"/>
  <c r="H10" i="23"/>
  <c r="K10" i="23" s="1"/>
  <c r="J14" i="23"/>
  <c r="M14" i="23" s="1"/>
  <c r="J15" i="23"/>
  <c r="M15" i="23" s="1"/>
  <c r="J16" i="23"/>
  <c r="M16" i="23" s="1"/>
  <c r="N16" i="23" s="1"/>
  <c r="O16" i="23" s="1"/>
  <c r="I17" i="23"/>
  <c r="L17" i="23" s="1"/>
  <c r="N17" i="23" s="1"/>
  <c r="O17" i="23" s="1"/>
  <c r="I18" i="23"/>
  <c r="L18" i="23" s="1"/>
  <c r="N18" i="23" s="1"/>
  <c r="O18" i="23" s="1"/>
  <c r="I19" i="23"/>
  <c r="L19" i="23" s="1"/>
  <c r="N19" i="23" s="1"/>
  <c r="O19" i="23" s="1"/>
  <c r="I10" i="23"/>
  <c r="L10" i="23" s="1"/>
  <c r="J18" i="23"/>
  <c r="M18" i="23" s="1"/>
  <c r="H9" i="23"/>
  <c r="K9" i="23" s="1"/>
  <c r="N9" i="23" s="1"/>
  <c r="O9" i="23" s="1"/>
  <c r="I11" i="23"/>
  <c r="L11" i="23" s="1"/>
  <c r="N11" i="23" s="1"/>
  <c r="O11" i="23" s="1"/>
  <c r="H14" i="23"/>
  <c r="K14" i="23" s="1"/>
  <c r="H15" i="23"/>
  <c r="K15" i="23" s="1"/>
  <c r="N15" i="23" s="1"/>
  <c r="O15" i="23" s="1"/>
  <c r="I29" i="22"/>
  <c r="L29" i="22" s="1"/>
  <c r="N29" i="22" s="1"/>
  <c r="O29" i="22" s="1"/>
  <c r="I30" i="22"/>
  <c r="L30" i="22" s="1"/>
  <c r="I31" i="22"/>
  <c r="L31" i="22" s="1"/>
  <c r="N31" i="22" s="1"/>
  <c r="O31" i="22" s="1"/>
  <c r="J29" i="22"/>
  <c r="M29" i="22" s="1"/>
  <c r="J30" i="22"/>
  <c r="M30" i="22" s="1"/>
  <c r="N30" i="22" s="1"/>
  <c r="O30" i="22" s="1"/>
  <c r="N25" i="22"/>
  <c r="O25" i="22" s="1"/>
  <c r="L23" i="22"/>
  <c r="N23" i="22" s="1"/>
  <c r="O23" i="22" s="1"/>
  <c r="L24" i="22"/>
  <c r="I25" i="22"/>
  <c r="L25" i="22" s="1"/>
  <c r="J23" i="22"/>
  <c r="M23" i="22" s="1"/>
  <c r="J24" i="22"/>
  <c r="M24" i="22" s="1"/>
  <c r="N24" i="22" s="1"/>
  <c r="O24" i="22" s="1"/>
  <c r="H8" i="22"/>
  <c r="K8" i="22" s="1"/>
  <c r="H9" i="22"/>
  <c r="K9" i="22" s="1"/>
  <c r="H10" i="22"/>
  <c r="K10" i="22" s="1"/>
  <c r="N10" i="22" s="1"/>
  <c r="O10" i="22" s="1"/>
  <c r="I8" i="22"/>
  <c r="L8" i="22" s="1"/>
  <c r="I9" i="22"/>
  <c r="L9" i="22" s="1"/>
  <c r="I10" i="22"/>
  <c r="L10" i="22" s="1"/>
  <c r="H11" i="22"/>
  <c r="K11" i="22" s="1"/>
  <c r="H12" i="22"/>
  <c r="K12" i="22" s="1"/>
  <c r="N12" i="22" s="1"/>
  <c r="O12" i="22" s="1"/>
  <c r="H13" i="22"/>
  <c r="K13" i="22" s="1"/>
  <c r="N13" i="22" s="1"/>
  <c r="O13" i="22" s="1"/>
  <c r="J8" i="22"/>
  <c r="M8" i="22" s="1"/>
  <c r="J9" i="22"/>
  <c r="M9" i="22" s="1"/>
  <c r="I11" i="22"/>
  <c r="L11" i="22" s="1"/>
  <c r="I12" i="22"/>
  <c r="L12" i="22" s="1"/>
  <c r="H14" i="22"/>
  <c r="K14" i="22" s="1"/>
  <c r="N14" i="22" s="1"/>
  <c r="O14" i="22" s="1"/>
  <c r="H15" i="22"/>
  <c r="K15" i="22" s="1"/>
  <c r="N15" i="22" s="1"/>
  <c r="O15" i="22" s="1"/>
  <c r="N61" i="23"/>
  <c r="O61" i="23" s="1"/>
  <c r="J60" i="23"/>
  <c r="M60" i="23" s="1"/>
  <c r="N60" i="23" s="1"/>
  <c r="O60" i="23" s="1"/>
  <c r="I53" i="23"/>
  <c r="L53" i="23" s="1"/>
  <c r="I54" i="23"/>
  <c r="L54" i="23" s="1"/>
  <c r="N54" i="23" s="1"/>
  <c r="O54" i="23" s="1"/>
  <c r="I55" i="23"/>
  <c r="L55" i="23" s="1"/>
  <c r="N55" i="23" s="1"/>
  <c r="O55" i="23" s="1"/>
  <c r="J53" i="23"/>
  <c r="M53" i="23" s="1"/>
  <c r="J54" i="23"/>
  <c r="M54" i="23" s="1"/>
  <c r="H38" i="23"/>
  <c r="K38" i="23" s="1"/>
  <c r="I38" i="23"/>
  <c r="L38" i="23" s="1"/>
  <c r="I39" i="23"/>
  <c r="L39" i="23" s="1"/>
  <c r="H41" i="23"/>
  <c r="K41" i="23" s="1"/>
  <c r="H42" i="23"/>
  <c r="K42" i="23" s="1"/>
  <c r="H43" i="23"/>
  <c r="K43" i="23" s="1"/>
  <c r="N43" i="23" s="1"/>
  <c r="O43" i="23" s="1"/>
  <c r="H39" i="23"/>
  <c r="K39" i="23" s="1"/>
  <c r="N39" i="23" s="1"/>
  <c r="O39" i="23" s="1"/>
  <c r="J38" i="23"/>
  <c r="M38" i="23" s="1"/>
  <c r="I41" i="23"/>
  <c r="L41" i="23" s="1"/>
  <c r="I42" i="23"/>
  <c r="L42" i="23" s="1"/>
  <c r="H44" i="23"/>
  <c r="K44" i="23" s="1"/>
  <c r="N44" i="23" s="1"/>
  <c r="O44" i="23" s="1"/>
  <c r="H45" i="23"/>
  <c r="K45" i="23" s="1"/>
  <c r="N45" i="23" s="1"/>
  <c r="O45" i="23" s="1"/>
  <c r="N61" i="22"/>
  <c r="O61" i="22" s="1"/>
  <c r="I59" i="22"/>
  <c r="L59" i="22" s="1"/>
  <c r="N59" i="22" s="1"/>
  <c r="O59" i="22" s="1"/>
  <c r="I60" i="22"/>
  <c r="L60" i="22" s="1"/>
  <c r="I61" i="22"/>
  <c r="L61" i="22" s="1"/>
  <c r="J59" i="22"/>
  <c r="M59" i="22" s="1"/>
  <c r="J60" i="22"/>
  <c r="M60" i="22" s="1"/>
  <c r="N60" i="22" s="1"/>
  <c r="O60" i="22" s="1"/>
  <c r="I53" i="22"/>
  <c r="L53" i="22" s="1"/>
  <c r="N53" i="22" s="1"/>
  <c r="O53" i="22" s="1"/>
  <c r="L54" i="22"/>
  <c r="N54" i="22" s="1"/>
  <c r="O54" i="22" s="1"/>
  <c r="N43" i="22"/>
  <c r="O43" i="22" s="1"/>
  <c r="I35" i="22"/>
  <c r="L35" i="22" s="1"/>
  <c r="N35" i="22" s="1"/>
  <c r="O35" i="22" s="1"/>
  <c r="I36" i="22"/>
  <c r="L36" i="22" s="1"/>
  <c r="N36" i="22" s="1"/>
  <c r="O36" i="22" s="1"/>
  <c r="I37" i="22"/>
  <c r="L37" i="22" s="1"/>
  <c r="N37" i="22" s="1"/>
  <c r="O37" i="22" s="1"/>
  <c r="H38" i="22"/>
  <c r="K38" i="22" s="1"/>
  <c r="K39" i="22"/>
  <c r="K40" i="22"/>
  <c r="J44" i="22"/>
  <c r="M44" i="22" s="1"/>
  <c r="J45" i="22"/>
  <c r="M45" i="22" s="1"/>
  <c r="J46" i="22"/>
  <c r="M46" i="22" s="1"/>
  <c r="N46" i="22" s="1"/>
  <c r="O46" i="22" s="1"/>
  <c r="I47" i="22"/>
  <c r="L47" i="22" s="1"/>
  <c r="N47" i="22" s="1"/>
  <c r="O47" i="22" s="1"/>
  <c r="I48" i="22"/>
  <c r="L48" i="22" s="1"/>
  <c r="N48" i="22" s="1"/>
  <c r="O48" i="22" s="1"/>
  <c r="J35" i="22"/>
  <c r="M35" i="22" s="1"/>
  <c r="J36" i="22"/>
  <c r="M36" i="22" s="1"/>
  <c r="L38" i="22"/>
  <c r="L39" i="22"/>
  <c r="I40" i="22"/>
  <c r="L40" i="22" s="1"/>
  <c r="M38" i="22"/>
  <c r="M39" i="22"/>
  <c r="I41" i="22"/>
  <c r="L41" i="22" s="1"/>
  <c r="N41" i="22" s="1"/>
  <c r="O41" i="22" s="1"/>
  <c r="I42" i="22"/>
  <c r="L42" i="22" s="1"/>
  <c r="N42" i="22" s="1"/>
  <c r="O42" i="22" s="1"/>
  <c r="H44" i="22"/>
  <c r="K44" i="22" s="1"/>
  <c r="H45" i="22"/>
  <c r="K45" i="22" s="1"/>
  <c r="I83" i="23"/>
  <c r="L83" i="23" s="1"/>
  <c r="N83" i="23" s="1"/>
  <c r="O83" i="23" s="1"/>
  <c r="I84" i="23"/>
  <c r="L84" i="23" s="1"/>
  <c r="I85" i="23"/>
  <c r="L85" i="23" s="1"/>
  <c r="N85" i="23" s="1"/>
  <c r="O85" i="23" s="1"/>
  <c r="J83" i="23"/>
  <c r="M83" i="23" s="1"/>
  <c r="J84" i="23"/>
  <c r="M84" i="23" s="1"/>
  <c r="N73" i="23"/>
  <c r="O73" i="23" s="1"/>
  <c r="I65" i="23"/>
  <c r="L65" i="23" s="1"/>
  <c r="N65" i="23" s="1"/>
  <c r="O65" i="23" s="1"/>
  <c r="I66" i="23"/>
  <c r="L66" i="23" s="1"/>
  <c r="I67" i="23"/>
  <c r="L67" i="23" s="1"/>
  <c r="N67" i="23" s="1"/>
  <c r="O67" i="23" s="1"/>
  <c r="K68" i="23"/>
  <c r="K69" i="23"/>
  <c r="K70" i="23"/>
  <c r="J74" i="23"/>
  <c r="M74" i="23" s="1"/>
  <c r="J75" i="23"/>
  <c r="M75" i="23" s="1"/>
  <c r="J76" i="23"/>
  <c r="M76" i="23" s="1"/>
  <c r="N76" i="23" s="1"/>
  <c r="O76" i="23" s="1"/>
  <c r="L77" i="23"/>
  <c r="N77" i="23" s="1"/>
  <c r="O77" i="23" s="1"/>
  <c r="L78" i="23"/>
  <c r="N78" i="23" s="1"/>
  <c r="O78" i="23" s="1"/>
  <c r="L79" i="23"/>
  <c r="N79" i="23" s="1"/>
  <c r="O79" i="23" s="1"/>
  <c r="J66" i="23"/>
  <c r="M66" i="23" s="1"/>
  <c r="L68" i="23"/>
  <c r="L69" i="23"/>
  <c r="L70" i="23"/>
  <c r="M68" i="23"/>
  <c r="M69" i="23"/>
  <c r="I71" i="23"/>
  <c r="L71" i="23" s="1"/>
  <c r="N71" i="23" s="1"/>
  <c r="O71" i="23" s="1"/>
  <c r="I72" i="23"/>
  <c r="L72" i="23" s="1"/>
  <c r="N72" i="23" s="1"/>
  <c r="O72" i="23" s="1"/>
  <c r="H74" i="23"/>
  <c r="K74" i="23" s="1"/>
  <c r="H75" i="23"/>
  <c r="K75" i="23" s="1"/>
  <c r="H89" i="22"/>
  <c r="K89" i="22" s="1"/>
  <c r="N89" i="22" s="1"/>
  <c r="O89" i="22" s="1"/>
  <c r="N85" i="22"/>
  <c r="O85" i="22" s="1"/>
  <c r="P85" i="22" s="1"/>
  <c r="Q85" i="22" s="1"/>
  <c r="R85" i="22" s="1"/>
  <c r="L83" i="22"/>
  <c r="N83" i="22" s="1"/>
  <c r="O83" i="22" s="1"/>
  <c r="I85" i="22"/>
  <c r="L85" i="22" s="1"/>
  <c r="M83" i="22"/>
  <c r="N73" i="22"/>
  <c r="O73" i="22" s="1"/>
  <c r="N79" i="22"/>
  <c r="O79" i="22" s="1"/>
  <c r="N76" i="22"/>
  <c r="O76" i="22" s="1"/>
  <c r="I65" i="22"/>
  <c r="L65" i="22" s="1"/>
  <c r="I66" i="22"/>
  <c r="L66" i="22" s="1"/>
  <c r="N66" i="22" s="1"/>
  <c r="O66" i="22" s="1"/>
  <c r="I67" i="22"/>
  <c r="L67" i="22" s="1"/>
  <c r="N67" i="22" s="1"/>
  <c r="O67" i="22" s="1"/>
  <c r="K68" i="22"/>
  <c r="K69" i="22"/>
  <c r="K70" i="22"/>
  <c r="J74" i="22"/>
  <c r="M74" i="22" s="1"/>
  <c r="J75" i="22"/>
  <c r="M75" i="22" s="1"/>
  <c r="J76" i="22"/>
  <c r="M76" i="22" s="1"/>
  <c r="I77" i="22"/>
  <c r="L77" i="22" s="1"/>
  <c r="N77" i="22" s="1"/>
  <c r="O77" i="22" s="1"/>
  <c r="J65" i="22"/>
  <c r="M65" i="22" s="1"/>
  <c r="N65" i="22" s="1"/>
  <c r="O65" i="22" s="1"/>
  <c r="J66" i="22"/>
  <c r="M66" i="22" s="1"/>
  <c r="L68" i="22"/>
  <c r="L69" i="22"/>
  <c r="L70" i="22"/>
  <c r="M68" i="22"/>
  <c r="M69" i="22"/>
  <c r="L71" i="22"/>
  <c r="N71" i="22" s="1"/>
  <c r="O71" i="22" s="1"/>
  <c r="I72" i="22"/>
  <c r="L72" i="22" s="1"/>
  <c r="N72" i="22" s="1"/>
  <c r="O72" i="22" s="1"/>
  <c r="H74" i="22"/>
  <c r="K74" i="22" s="1"/>
  <c r="H75" i="22"/>
  <c r="K75" i="22" s="1"/>
  <c r="P89" i="22"/>
  <c r="Q89" i="22" s="1"/>
  <c r="R89" i="22" s="1"/>
  <c r="N80" i="22"/>
  <c r="O80" i="22" s="1"/>
  <c r="N81" i="22"/>
  <c r="O81" i="22" s="1"/>
  <c r="N82" i="22"/>
  <c r="O82" i="22" s="1"/>
  <c r="Q115" i="20"/>
  <c r="Q114" i="20"/>
  <c r="Q113" i="20"/>
  <c r="Q112" i="20"/>
  <c r="Q111" i="20"/>
  <c r="Q110" i="20"/>
  <c r="Q109" i="20"/>
  <c r="Q108" i="20"/>
  <c r="Q107" i="20"/>
  <c r="Q106" i="20"/>
  <c r="Q105" i="20"/>
  <c r="Q104" i="20"/>
  <c r="Q70" i="20"/>
  <c r="Q69" i="20"/>
  <c r="Q68" i="20"/>
  <c r="Q67" i="20"/>
  <c r="Q66" i="20"/>
  <c r="Q65" i="20"/>
  <c r="Q64" i="20"/>
  <c r="Q63" i="20"/>
  <c r="Q62" i="20"/>
  <c r="Q61" i="20"/>
  <c r="Q60" i="20"/>
  <c r="Q59" i="20"/>
  <c r="O46" i="20"/>
  <c r="O45" i="20"/>
  <c r="O44" i="20"/>
  <c r="O43" i="20"/>
  <c r="O42" i="20"/>
  <c r="O41" i="20"/>
  <c r="O40" i="20"/>
  <c r="O39" i="20"/>
  <c r="O38" i="20"/>
  <c r="O37" i="20"/>
  <c r="O36" i="20"/>
  <c r="O35" i="20"/>
  <c r="O34" i="20"/>
  <c r="O33" i="20"/>
  <c r="O32" i="20"/>
  <c r="O31" i="20"/>
  <c r="O30" i="20"/>
  <c r="O29" i="20"/>
  <c r="O28" i="20"/>
  <c r="O27" i="20"/>
  <c r="O26" i="20"/>
  <c r="O25" i="20"/>
  <c r="Q25" i="20" s="1"/>
  <c r="O24" i="20"/>
  <c r="Q24" i="20" s="1"/>
  <c r="O23" i="20"/>
  <c r="Q23" i="20" s="1"/>
  <c r="O22" i="20"/>
  <c r="Q22" i="20" s="1"/>
  <c r="O21" i="20"/>
  <c r="Q21" i="20" s="1"/>
  <c r="O20" i="20"/>
  <c r="Q20" i="20" s="1"/>
  <c r="O19" i="20"/>
  <c r="Q19" i="20" s="1"/>
  <c r="O18" i="20"/>
  <c r="O17" i="20"/>
  <c r="Q17" i="20" s="1"/>
  <c r="O16" i="20"/>
  <c r="Q16" i="20" s="1"/>
  <c r="O15" i="20"/>
  <c r="Q15" i="20" s="1"/>
  <c r="O14" i="20"/>
  <c r="Q14" i="20" s="1"/>
  <c r="O13" i="20"/>
  <c r="O12" i="20"/>
  <c r="O11" i="20"/>
  <c r="O10" i="20"/>
  <c r="O9" i="20"/>
  <c r="O8" i="20"/>
  <c r="O7" i="20"/>
  <c r="O6" i="20"/>
  <c r="O5" i="20"/>
  <c r="Q18" i="20"/>
  <c r="AD9" i="20"/>
  <c r="N23" i="23" l="1"/>
  <c r="O23" i="23" s="1"/>
  <c r="N84" i="23"/>
  <c r="O84" i="23" s="1"/>
  <c r="N75" i="23"/>
  <c r="O75" i="23" s="1"/>
  <c r="N66" i="23"/>
  <c r="O66" i="23" s="1"/>
  <c r="N74" i="23"/>
  <c r="O74" i="23" s="1"/>
  <c r="N53" i="23"/>
  <c r="O53" i="23" s="1"/>
  <c r="N24" i="23"/>
  <c r="O24" i="23" s="1"/>
  <c r="N25" i="23"/>
  <c r="O25" i="23" s="1"/>
  <c r="N10" i="23"/>
  <c r="O10" i="23" s="1"/>
  <c r="O88" i="22"/>
  <c r="P88" i="22" s="1"/>
  <c r="Q88" i="22" s="1"/>
  <c r="R88" i="22" s="1"/>
  <c r="N31" i="23"/>
  <c r="O31" i="23" s="1"/>
  <c r="N30" i="23"/>
  <c r="O30" i="23" s="1"/>
  <c r="N29" i="23"/>
  <c r="O29" i="23" s="1"/>
  <c r="N14" i="23"/>
  <c r="O14" i="23" s="1"/>
  <c r="N11" i="22"/>
  <c r="O11" i="22" s="1"/>
  <c r="N9" i="22"/>
  <c r="O9" i="22" s="1"/>
  <c r="N8" i="22"/>
  <c r="O8" i="22" s="1"/>
  <c r="N41" i="23"/>
  <c r="O41" i="23" s="1"/>
  <c r="N42" i="23"/>
  <c r="O42" i="23" s="1"/>
  <c r="N38" i="23"/>
  <c r="O38" i="23" s="1"/>
  <c r="N45" i="22"/>
  <c r="O45" i="22" s="1"/>
  <c r="N40" i="22"/>
  <c r="O40" i="22" s="1"/>
  <c r="N44" i="22"/>
  <c r="O44" i="22" s="1"/>
  <c r="N39" i="22"/>
  <c r="O39" i="22" s="1"/>
  <c r="N38" i="22"/>
  <c r="O38" i="22" s="1"/>
  <c r="N70" i="23"/>
  <c r="O70" i="23" s="1"/>
  <c r="N69" i="23"/>
  <c r="O69" i="23" s="1"/>
  <c r="N68" i="23"/>
  <c r="O68" i="23" s="1"/>
  <c r="N75" i="22"/>
  <c r="O75" i="22" s="1"/>
  <c r="N69" i="22"/>
  <c r="O69" i="22" s="1"/>
  <c r="N70" i="22"/>
  <c r="O70" i="22" s="1"/>
  <c r="N74" i="22"/>
  <c r="O74" i="22" s="1"/>
  <c r="N68" i="22"/>
  <c r="O68" i="22" s="1"/>
  <c r="T91" i="22"/>
  <c r="U91" i="22" s="1"/>
  <c r="H23" i="19"/>
  <c r="G23" i="19"/>
  <c r="F23" i="19"/>
  <c r="H22" i="19"/>
  <c r="G22" i="19"/>
  <c r="F22" i="19"/>
  <c r="H21" i="19"/>
  <c r="G21" i="19"/>
  <c r="F21" i="19"/>
  <c r="H20" i="19"/>
  <c r="G20" i="19"/>
  <c r="F20" i="19"/>
  <c r="H19" i="19"/>
  <c r="G19" i="19"/>
  <c r="F19" i="19"/>
  <c r="H18" i="19"/>
  <c r="G18" i="19"/>
  <c r="F18" i="19"/>
  <c r="H17" i="19"/>
  <c r="G17" i="19"/>
  <c r="F17" i="19"/>
  <c r="H16" i="19"/>
  <c r="G16" i="19"/>
  <c r="F16" i="19"/>
  <c r="H15" i="19"/>
  <c r="G15" i="19"/>
  <c r="F15" i="19"/>
  <c r="H14" i="19"/>
  <c r="G14" i="19"/>
  <c r="F14" i="19"/>
  <c r="H13" i="19"/>
  <c r="G13" i="19"/>
  <c r="F13" i="19"/>
  <c r="D10" i="19"/>
  <c r="D11" i="19" s="1"/>
  <c r="D12" i="19" s="1"/>
  <c r="D13" i="19" s="1"/>
  <c r="D14" i="19" s="1"/>
  <c r="D15" i="19" s="1"/>
  <c r="D16" i="19" s="1"/>
  <c r="D17" i="19" s="1"/>
  <c r="D18" i="19" s="1"/>
  <c r="D19" i="19" s="1"/>
  <c r="D20" i="19" s="1"/>
  <c r="D21" i="19" s="1"/>
  <c r="D22" i="19" s="1"/>
  <c r="D23" i="19" s="1"/>
  <c r="D9" i="19"/>
  <c r="D8" i="19"/>
  <c r="D6" i="19"/>
  <c r="D7" i="19" s="1"/>
  <c r="H23" i="18"/>
  <c r="G23" i="18"/>
  <c r="F23" i="18"/>
  <c r="H22" i="18"/>
  <c r="G22" i="18"/>
  <c r="F22" i="18"/>
  <c r="H21" i="18"/>
  <c r="G21" i="18"/>
  <c r="F21" i="18"/>
  <c r="H20" i="18"/>
  <c r="G20" i="18"/>
  <c r="F20" i="18"/>
  <c r="H19" i="18"/>
  <c r="G19" i="18"/>
  <c r="F19" i="18"/>
  <c r="H18" i="18"/>
  <c r="G18" i="18"/>
  <c r="F18" i="18"/>
  <c r="H17" i="18"/>
  <c r="G17" i="18"/>
  <c r="F17" i="18"/>
  <c r="H16" i="18"/>
  <c r="G16" i="18"/>
  <c r="F16" i="18"/>
  <c r="H15" i="18"/>
  <c r="G15" i="18"/>
  <c r="F15" i="18"/>
  <c r="H14" i="18"/>
  <c r="G14" i="18"/>
  <c r="F14" i="18"/>
  <c r="H13" i="18"/>
  <c r="G13" i="18"/>
  <c r="F13" i="18"/>
  <c r="D8" i="18"/>
  <c r="D9" i="18" s="1"/>
  <c r="D10" i="18" s="1"/>
  <c r="D11" i="18" s="1"/>
  <c r="D12" i="18" s="1"/>
  <c r="D13" i="18" s="1"/>
  <c r="D14" i="18" s="1"/>
  <c r="D15" i="18" s="1"/>
  <c r="D16" i="18" s="1"/>
  <c r="D17" i="18" s="1"/>
  <c r="D18" i="18" s="1"/>
  <c r="D19" i="18" s="1"/>
  <c r="D20" i="18" s="1"/>
  <c r="D21" i="18" s="1"/>
  <c r="D22" i="18" s="1"/>
  <c r="D23" i="18" s="1"/>
  <c r="D6" i="18"/>
  <c r="D7" i="18" s="1"/>
  <c r="H45" i="19"/>
  <c r="G45" i="19"/>
  <c r="F45" i="19"/>
  <c r="H44" i="19"/>
  <c r="G44" i="19"/>
  <c r="F44" i="19"/>
  <c r="H43" i="19"/>
  <c r="G43" i="19"/>
  <c r="F43" i="19"/>
  <c r="H42" i="19"/>
  <c r="G42" i="19"/>
  <c r="F42" i="19"/>
  <c r="H41" i="19"/>
  <c r="G41" i="19"/>
  <c r="F41" i="19"/>
  <c r="H40" i="19"/>
  <c r="G40" i="19"/>
  <c r="F40" i="19"/>
  <c r="H39" i="19"/>
  <c r="G39" i="19"/>
  <c r="F39" i="19"/>
  <c r="H38" i="19"/>
  <c r="G38" i="19"/>
  <c r="F38" i="19"/>
  <c r="H37" i="19"/>
  <c r="G37" i="19"/>
  <c r="F37" i="19"/>
  <c r="H36" i="19"/>
  <c r="G36" i="19"/>
  <c r="F36" i="19"/>
  <c r="F35" i="19"/>
  <c r="D30" i="19"/>
  <c r="D31" i="19" s="1"/>
  <c r="D32" i="19" s="1"/>
  <c r="D33" i="19" s="1"/>
  <c r="D34" i="19" s="1"/>
  <c r="D35" i="19" s="1"/>
  <c r="D36" i="19" s="1"/>
  <c r="D37" i="19" s="1"/>
  <c r="D38" i="19" s="1"/>
  <c r="D39" i="19" s="1"/>
  <c r="D40" i="19" s="1"/>
  <c r="D41" i="19" s="1"/>
  <c r="D42" i="19" s="1"/>
  <c r="D43" i="19" s="1"/>
  <c r="D44" i="19" s="1"/>
  <c r="D45" i="19" s="1"/>
  <c r="D29" i="19"/>
  <c r="D28" i="19"/>
  <c r="H45" i="18"/>
  <c r="G45" i="18"/>
  <c r="F45" i="18"/>
  <c r="H44" i="18"/>
  <c r="G44" i="18"/>
  <c r="F44" i="18"/>
  <c r="H43" i="18"/>
  <c r="G43" i="18"/>
  <c r="F43" i="18"/>
  <c r="H42" i="18"/>
  <c r="G42" i="18"/>
  <c r="F42" i="18"/>
  <c r="H41" i="18"/>
  <c r="G41" i="18"/>
  <c r="F41" i="18"/>
  <c r="H40" i="18"/>
  <c r="G40" i="18"/>
  <c r="F40" i="18"/>
  <c r="H39" i="18"/>
  <c r="G39" i="18"/>
  <c r="F39" i="18"/>
  <c r="H38" i="18"/>
  <c r="G38" i="18"/>
  <c r="F38" i="18"/>
  <c r="H37" i="18"/>
  <c r="G37" i="18"/>
  <c r="F37" i="18"/>
  <c r="H36" i="18"/>
  <c r="G36" i="18"/>
  <c r="F36" i="18"/>
  <c r="H35" i="18"/>
  <c r="G35" i="18"/>
  <c r="D30" i="18"/>
  <c r="D31" i="18" s="1"/>
  <c r="D32" i="18" s="1"/>
  <c r="D33" i="18" s="1"/>
  <c r="D34" i="18" s="1"/>
  <c r="D35" i="18" s="1"/>
  <c r="D36" i="18" s="1"/>
  <c r="D37" i="18" s="1"/>
  <c r="D38" i="18" s="1"/>
  <c r="D39" i="18" s="1"/>
  <c r="D40" i="18" s="1"/>
  <c r="D41" i="18" s="1"/>
  <c r="D42" i="18" s="1"/>
  <c r="D43" i="18" s="1"/>
  <c r="D44" i="18" s="1"/>
  <c r="D45" i="18" s="1"/>
  <c r="D28" i="18"/>
  <c r="D29" i="18" s="1"/>
  <c r="H67" i="19"/>
  <c r="G67" i="19"/>
  <c r="F67" i="19"/>
  <c r="H66" i="19"/>
  <c r="G66" i="19"/>
  <c r="F66" i="19"/>
  <c r="H65" i="19"/>
  <c r="G65" i="19"/>
  <c r="F65" i="19"/>
  <c r="H64" i="19"/>
  <c r="G64" i="19"/>
  <c r="F64" i="19"/>
  <c r="H63" i="19"/>
  <c r="G63" i="19"/>
  <c r="F63" i="19"/>
  <c r="H62" i="19"/>
  <c r="G62" i="19"/>
  <c r="F62" i="19"/>
  <c r="H61" i="19"/>
  <c r="G61" i="19"/>
  <c r="F61" i="19"/>
  <c r="H60" i="19"/>
  <c r="G60" i="19"/>
  <c r="F60" i="19"/>
  <c r="H59" i="19"/>
  <c r="G59" i="19"/>
  <c r="F59" i="19"/>
  <c r="H58" i="19"/>
  <c r="G58" i="19"/>
  <c r="F58" i="19"/>
  <c r="H57" i="19"/>
  <c r="G57" i="19"/>
  <c r="F57" i="19"/>
  <c r="D52" i="19"/>
  <c r="D53" i="19" s="1"/>
  <c r="D54" i="19" s="1"/>
  <c r="D55" i="19" s="1"/>
  <c r="D56" i="19" s="1"/>
  <c r="D57" i="19" s="1"/>
  <c r="D58" i="19" s="1"/>
  <c r="D59" i="19" s="1"/>
  <c r="D60" i="19" s="1"/>
  <c r="D61" i="19" s="1"/>
  <c r="D62" i="19" s="1"/>
  <c r="D63" i="19" s="1"/>
  <c r="D64" i="19" s="1"/>
  <c r="D65" i="19" s="1"/>
  <c r="D66" i="19" s="1"/>
  <c r="D67" i="19" s="1"/>
  <c r="D50" i="19"/>
  <c r="D51" i="19" s="1"/>
  <c r="H67" i="18"/>
  <c r="G67" i="18"/>
  <c r="F67" i="18"/>
  <c r="H66" i="18"/>
  <c r="G66" i="18"/>
  <c r="F66" i="18"/>
  <c r="H65" i="18"/>
  <c r="G65" i="18"/>
  <c r="F65" i="18"/>
  <c r="H64" i="18"/>
  <c r="G64" i="18"/>
  <c r="F64" i="18"/>
  <c r="H63" i="18"/>
  <c r="G63" i="18"/>
  <c r="F63" i="18"/>
  <c r="H62" i="18"/>
  <c r="G62" i="18"/>
  <c r="F62" i="18"/>
  <c r="H61" i="18"/>
  <c r="G61" i="18"/>
  <c r="F61" i="18"/>
  <c r="H60" i="18"/>
  <c r="G60" i="18"/>
  <c r="F60" i="18"/>
  <c r="H59" i="18"/>
  <c r="G59" i="18"/>
  <c r="F59" i="18"/>
  <c r="H58" i="18"/>
  <c r="G58" i="18"/>
  <c r="F58" i="18"/>
  <c r="H57" i="18"/>
  <c r="D52" i="18"/>
  <c r="D53" i="18" s="1"/>
  <c r="D54" i="18" s="1"/>
  <c r="D55" i="18" s="1"/>
  <c r="D56" i="18" s="1"/>
  <c r="D57" i="18" s="1"/>
  <c r="D58" i="18" s="1"/>
  <c r="D59" i="18" s="1"/>
  <c r="D60" i="18" s="1"/>
  <c r="D61" i="18" s="1"/>
  <c r="D62" i="18" s="1"/>
  <c r="D63" i="18" s="1"/>
  <c r="D64" i="18" s="1"/>
  <c r="D65" i="18" s="1"/>
  <c r="D66" i="18" s="1"/>
  <c r="D67" i="18" s="1"/>
  <c r="D50" i="18"/>
  <c r="D51" i="18" s="1"/>
  <c r="T88" i="22" l="1"/>
  <c r="U88" i="22" s="1"/>
  <c r="S88" i="22"/>
  <c r="P91" i="23"/>
  <c r="Q91" i="23" s="1"/>
  <c r="R91" i="23" s="1"/>
  <c r="P90" i="23"/>
  <c r="Q90" i="23" s="1"/>
  <c r="R90" i="23" s="1"/>
  <c r="P89" i="23"/>
  <c r="Q89" i="23" s="1"/>
  <c r="R89" i="23" s="1"/>
  <c r="M88" i="23"/>
  <c r="L88" i="23"/>
  <c r="K88" i="23"/>
  <c r="M87" i="23"/>
  <c r="L87" i="23"/>
  <c r="K87" i="23"/>
  <c r="N87" i="23" s="1"/>
  <c r="M86" i="23"/>
  <c r="L86" i="23"/>
  <c r="K86" i="23"/>
  <c r="P83" i="23"/>
  <c r="Q83" i="23" s="1"/>
  <c r="R83" i="23" s="1"/>
  <c r="L82" i="23"/>
  <c r="J82" i="23"/>
  <c r="M82" i="23" s="1"/>
  <c r="K82" i="23"/>
  <c r="M81" i="23"/>
  <c r="J81" i="23"/>
  <c r="L81" i="23"/>
  <c r="K81" i="23"/>
  <c r="J80" i="23"/>
  <c r="M80" i="23" s="1"/>
  <c r="L80" i="23"/>
  <c r="K80" i="23"/>
  <c r="P79" i="23"/>
  <c r="Q79" i="23" s="1"/>
  <c r="R79" i="23" s="1"/>
  <c r="P78" i="23"/>
  <c r="Q78" i="23" s="1"/>
  <c r="R78" i="23" s="1"/>
  <c r="P77" i="23"/>
  <c r="Q77" i="23" s="1"/>
  <c r="R77" i="23" s="1"/>
  <c r="P76" i="23"/>
  <c r="Q76" i="23" s="1"/>
  <c r="R76" i="23" s="1"/>
  <c r="P75" i="23"/>
  <c r="Q75" i="23" s="1"/>
  <c r="R75" i="23" s="1"/>
  <c r="P74" i="23"/>
  <c r="Q74" i="23" s="1"/>
  <c r="R74" i="23" s="1"/>
  <c r="P73" i="23"/>
  <c r="Q73" i="23" s="1"/>
  <c r="R73" i="23" s="1"/>
  <c r="W72" i="23"/>
  <c r="W71" i="23"/>
  <c r="P71" i="23"/>
  <c r="Q71" i="23" s="1"/>
  <c r="R71" i="23" s="1"/>
  <c r="W70" i="23"/>
  <c r="P70" i="23"/>
  <c r="Q70" i="23" s="1"/>
  <c r="R70" i="23" s="1"/>
  <c r="W69" i="23"/>
  <c r="P69" i="23"/>
  <c r="Q69" i="23" s="1"/>
  <c r="R69" i="23" s="1"/>
  <c r="W68" i="23"/>
  <c r="W67" i="23"/>
  <c r="P67" i="23"/>
  <c r="Q67" i="23" s="1"/>
  <c r="R67" i="23" s="1"/>
  <c r="W66" i="23"/>
  <c r="R66" i="23"/>
  <c r="P66" i="23"/>
  <c r="Q66" i="23" s="1"/>
  <c r="W65" i="23"/>
  <c r="P65" i="23"/>
  <c r="Q65" i="23" s="1"/>
  <c r="R65" i="23" s="1"/>
  <c r="Y63" i="23"/>
  <c r="X63" i="23"/>
  <c r="P61" i="23"/>
  <c r="Q61" i="23" s="1"/>
  <c r="R61" i="23" s="1"/>
  <c r="P60" i="23"/>
  <c r="Q60" i="23" s="1"/>
  <c r="R60" i="23" s="1"/>
  <c r="P59" i="23"/>
  <c r="Q59" i="23" s="1"/>
  <c r="R59" i="23" s="1"/>
  <c r="K58" i="23"/>
  <c r="J58" i="23"/>
  <c r="M58" i="23" s="1"/>
  <c r="I58" i="23"/>
  <c r="L58" i="23" s="1"/>
  <c r="H58" i="23"/>
  <c r="L57" i="23"/>
  <c r="J57" i="23"/>
  <c r="M57" i="23" s="1"/>
  <c r="H57" i="23"/>
  <c r="K57" i="23" s="1"/>
  <c r="M56" i="23"/>
  <c r="L56" i="23"/>
  <c r="K56" i="23"/>
  <c r="P55" i="23"/>
  <c r="Q55" i="23" s="1"/>
  <c r="R55" i="23" s="1"/>
  <c r="P54" i="23"/>
  <c r="Q54" i="23" s="1"/>
  <c r="R54" i="23" s="1"/>
  <c r="P53" i="23"/>
  <c r="Q53" i="23" s="1"/>
  <c r="R53" i="23" s="1"/>
  <c r="M52" i="23"/>
  <c r="L52" i="23"/>
  <c r="K52" i="23"/>
  <c r="N52" i="23" s="1"/>
  <c r="O52" i="23" s="1"/>
  <c r="P52" i="23" s="1"/>
  <c r="Q52" i="23" s="1"/>
  <c r="R52" i="23" s="1"/>
  <c r="M51" i="23"/>
  <c r="L51" i="23"/>
  <c r="K51" i="23"/>
  <c r="M50" i="23"/>
  <c r="L50" i="23"/>
  <c r="K50" i="23"/>
  <c r="P49" i="23"/>
  <c r="Q49" i="23" s="1"/>
  <c r="R49" i="23" s="1"/>
  <c r="P48" i="23"/>
  <c r="Q48" i="23" s="1"/>
  <c r="R48" i="23" s="1"/>
  <c r="P47" i="23"/>
  <c r="Q47" i="23" s="1"/>
  <c r="R47" i="23" s="1"/>
  <c r="P46" i="23"/>
  <c r="Q46" i="23" s="1"/>
  <c r="R46" i="23" s="1"/>
  <c r="P45" i="23"/>
  <c r="Q45" i="23" s="1"/>
  <c r="R45" i="23" s="1"/>
  <c r="W42" i="23"/>
  <c r="P42" i="23"/>
  <c r="Q42" i="23" s="1"/>
  <c r="R42" i="23" s="1"/>
  <c r="W41" i="23"/>
  <c r="W40" i="23"/>
  <c r="P40" i="23"/>
  <c r="Q40" i="23" s="1"/>
  <c r="W39" i="23"/>
  <c r="P39" i="23"/>
  <c r="Q39" i="23" s="1"/>
  <c r="R39" i="23" s="1"/>
  <c r="W38" i="23"/>
  <c r="P38" i="23"/>
  <c r="Q38" i="23" s="1"/>
  <c r="R38" i="23" s="1"/>
  <c r="W37" i="23"/>
  <c r="P37" i="23"/>
  <c r="Q37" i="23" s="1"/>
  <c r="R37" i="23" s="1"/>
  <c r="W36" i="23"/>
  <c r="P36" i="23"/>
  <c r="Q36" i="23" s="1"/>
  <c r="R36" i="23" s="1"/>
  <c r="W35" i="23"/>
  <c r="P35" i="23"/>
  <c r="Q35" i="23" s="1"/>
  <c r="R35" i="23" s="1"/>
  <c r="Y33" i="23"/>
  <c r="X33" i="23"/>
  <c r="P31" i="23"/>
  <c r="Q31" i="23" s="1"/>
  <c r="R31" i="23" s="1"/>
  <c r="P30" i="23"/>
  <c r="Q30" i="23" s="1"/>
  <c r="R30" i="23" s="1"/>
  <c r="P29" i="23"/>
  <c r="Q29" i="23" s="1"/>
  <c r="R29" i="23" s="1"/>
  <c r="J28" i="23"/>
  <c r="M28" i="23" s="1"/>
  <c r="I28" i="23"/>
  <c r="L28" i="23" s="1"/>
  <c r="H28" i="23"/>
  <c r="K28" i="23" s="1"/>
  <c r="L27" i="23"/>
  <c r="J27" i="23"/>
  <c r="M27" i="23" s="1"/>
  <c r="I27" i="23"/>
  <c r="K27" i="23"/>
  <c r="M26" i="23"/>
  <c r="J26" i="23"/>
  <c r="I26" i="23"/>
  <c r="L26" i="23" s="1"/>
  <c r="K26" i="23"/>
  <c r="N26" i="23" s="1"/>
  <c r="O26" i="23" s="1"/>
  <c r="P26" i="23" s="1"/>
  <c r="Q26" i="23" s="1"/>
  <c r="R26" i="23" s="1"/>
  <c r="P24" i="23"/>
  <c r="Q24" i="23" s="1"/>
  <c r="R24" i="23" s="1"/>
  <c r="P23" i="23"/>
  <c r="Q23" i="23" s="1"/>
  <c r="R23" i="23" s="1"/>
  <c r="M22" i="23"/>
  <c r="L22" i="23"/>
  <c r="K22" i="23"/>
  <c r="M21" i="23"/>
  <c r="L21" i="23"/>
  <c r="K21" i="23"/>
  <c r="M20" i="23"/>
  <c r="L20" i="23"/>
  <c r="K20" i="23"/>
  <c r="P19" i="23"/>
  <c r="Q19" i="23" s="1"/>
  <c r="R19" i="23" s="1"/>
  <c r="P18" i="23"/>
  <c r="Q18" i="23" s="1"/>
  <c r="R18" i="23" s="1"/>
  <c r="P17" i="23"/>
  <c r="Q17" i="23" s="1"/>
  <c r="R17" i="23" s="1"/>
  <c r="P16" i="23"/>
  <c r="Q16" i="23" s="1"/>
  <c r="R16" i="23" s="1"/>
  <c r="P15" i="23"/>
  <c r="Q15" i="23" s="1"/>
  <c r="R15" i="23" s="1"/>
  <c r="P14" i="23"/>
  <c r="Q14" i="23" s="1"/>
  <c r="R14" i="23" s="1"/>
  <c r="P13" i="23"/>
  <c r="Q13" i="23" s="1"/>
  <c r="W12" i="23"/>
  <c r="W11" i="23"/>
  <c r="P11" i="23"/>
  <c r="Q11" i="23" s="1"/>
  <c r="R11" i="23" s="1"/>
  <c r="W10" i="23"/>
  <c r="P10" i="23"/>
  <c r="Q10" i="23" s="1"/>
  <c r="R10" i="23" s="1"/>
  <c r="W9" i="23"/>
  <c r="P9" i="23"/>
  <c r="Q9" i="23" s="1"/>
  <c r="R9" i="23" s="1"/>
  <c r="W8" i="23"/>
  <c r="P8" i="23"/>
  <c r="Q8" i="23" s="1"/>
  <c r="R8" i="23" s="1"/>
  <c r="W7" i="23"/>
  <c r="P7" i="23"/>
  <c r="Q7" i="23" s="1"/>
  <c r="R7" i="23" s="1"/>
  <c r="W6" i="23"/>
  <c r="P6" i="23"/>
  <c r="Q6" i="23" s="1"/>
  <c r="R6" i="23" s="1"/>
  <c r="W5" i="23"/>
  <c r="P5" i="23"/>
  <c r="Q5" i="23" s="1"/>
  <c r="R5" i="23" s="1"/>
  <c r="Y3" i="23"/>
  <c r="X3" i="23"/>
  <c r="P82" i="22"/>
  <c r="Q82" i="22" s="1"/>
  <c r="R82" i="22" s="1"/>
  <c r="W72" i="22"/>
  <c r="W71" i="22"/>
  <c r="W70" i="22"/>
  <c r="W69" i="22"/>
  <c r="W68" i="22"/>
  <c r="W67" i="22"/>
  <c r="W66" i="22"/>
  <c r="W65" i="22"/>
  <c r="Y63" i="22"/>
  <c r="X63" i="22"/>
  <c r="M58" i="22"/>
  <c r="L58" i="22"/>
  <c r="K58" i="22"/>
  <c r="M57" i="22"/>
  <c r="L57" i="22"/>
  <c r="K57" i="22"/>
  <c r="M56" i="22"/>
  <c r="L56" i="22"/>
  <c r="K56" i="22"/>
  <c r="M52" i="22"/>
  <c r="L52" i="22"/>
  <c r="K52" i="22"/>
  <c r="M51" i="22"/>
  <c r="L51" i="22"/>
  <c r="K51" i="22"/>
  <c r="M50" i="22"/>
  <c r="L50" i="22"/>
  <c r="K50" i="22"/>
  <c r="W42" i="22"/>
  <c r="W41" i="22"/>
  <c r="W40" i="22"/>
  <c r="W39" i="22"/>
  <c r="W38" i="22"/>
  <c r="W37" i="22"/>
  <c r="W36" i="22"/>
  <c r="W35" i="22"/>
  <c r="Y33" i="22"/>
  <c r="X33" i="22"/>
  <c r="M28" i="22"/>
  <c r="L28" i="22"/>
  <c r="K28" i="22"/>
  <c r="M27" i="22"/>
  <c r="L27" i="22"/>
  <c r="K27" i="22"/>
  <c r="M26" i="22"/>
  <c r="L26" i="22"/>
  <c r="K26" i="22"/>
  <c r="J22" i="22"/>
  <c r="M22" i="22" s="1"/>
  <c r="I22" i="22"/>
  <c r="L22" i="22" s="1"/>
  <c r="H22" i="22"/>
  <c r="K22" i="22" s="1"/>
  <c r="J21" i="22"/>
  <c r="M21" i="22" s="1"/>
  <c r="I21" i="22"/>
  <c r="L21" i="22" s="1"/>
  <c r="H21" i="22"/>
  <c r="K21" i="22" s="1"/>
  <c r="J20" i="22"/>
  <c r="M20" i="22" s="1"/>
  <c r="I20" i="22"/>
  <c r="L20" i="22" s="1"/>
  <c r="H20" i="22"/>
  <c r="K20" i="22" s="1"/>
  <c r="W12" i="22"/>
  <c r="W11" i="22"/>
  <c r="W10" i="22"/>
  <c r="W9" i="22"/>
  <c r="W8" i="22"/>
  <c r="W7" i="22"/>
  <c r="W6" i="22"/>
  <c r="W5" i="22"/>
  <c r="Y3" i="22"/>
  <c r="X3" i="22"/>
  <c r="W3" i="22"/>
  <c r="P136" i="21"/>
  <c r="Q136" i="21" s="1"/>
  <c r="P135" i="21"/>
  <c r="Q135" i="21" s="1"/>
  <c r="P134" i="21"/>
  <c r="Q134" i="21" s="1"/>
  <c r="P133" i="21"/>
  <c r="Q133" i="21" s="1"/>
  <c r="P132" i="21"/>
  <c r="Q132" i="21" s="1"/>
  <c r="P131" i="21"/>
  <c r="Q131" i="21" s="1"/>
  <c r="K133" i="21"/>
  <c r="P130" i="21"/>
  <c r="Q130" i="21" s="1"/>
  <c r="P129" i="21"/>
  <c r="Q129" i="21" s="1"/>
  <c r="P128" i="21"/>
  <c r="Q128" i="21" s="1"/>
  <c r="J129" i="21"/>
  <c r="P127" i="21"/>
  <c r="Q127" i="21" s="1"/>
  <c r="P126" i="21"/>
  <c r="Q126" i="21" s="1"/>
  <c r="P125" i="21"/>
  <c r="Q125" i="21" s="1"/>
  <c r="K127" i="21"/>
  <c r="H127" i="21"/>
  <c r="P124" i="21"/>
  <c r="Q124" i="21" s="1"/>
  <c r="P123" i="21"/>
  <c r="Q123" i="21" s="1"/>
  <c r="P122" i="21"/>
  <c r="Q122" i="21" s="1"/>
  <c r="K124" i="21"/>
  <c r="I124" i="21"/>
  <c r="P121" i="21"/>
  <c r="Q121" i="21" s="1"/>
  <c r="P120" i="21"/>
  <c r="Q120" i="21" s="1"/>
  <c r="P119" i="21"/>
  <c r="Q119" i="21" s="1"/>
  <c r="P118" i="21"/>
  <c r="Q118" i="21" s="1"/>
  <c r="K118" i="21"/>
  <c r="J118" i="21"/>
  <c r="I118" i="21"/>
  <c r="H118" i="21"/>
  <c r="P117" i="21"/>
  <c r="Q117" i="21" s="1"/>
  <c r="K117" i="21"/>
  <c r="J117" i="21"/>
  <c r="I117" i="21"/>
  <c r="H117" i="21"/>
  <c r="P116" i="21"/>
  <c r="Q116" i="21" s="1"/>
  <c r="K116" i="21"/>
  <c r="J116" i="21"/>
  <c r="I116" i="21"/>
  <c r="H116" i="21"/>
  <c r="K115" i="21"/>
  <c r="J115" i="21"/>
  <c r="I115" i="21"/>
  <c r="H115" i="21"/>
  <c r="K114" i="21"/>
  <c r="J114" i="21"/>
  <c r="I114" i="21"/>
  <c r="H114" i="21"/>
  <c r="K113" i="21"/>
  <c r="J113" i="21"/>
  <c r="I113" i="21"/>
  <c r="H113" i="21"/>
  <c r="K112" i="21"/>
  <c r="J112" i="21"/>
  <c r="K111" i="21"/>
  <c r="J111" i="21"/>
  <c r="P110" i="21"/>
  <c r="K110" i="21"/>
  <c r="J110" i="21"/>
  <c r="I112" i="21"/>
  <c r="P109" i="21"/>
  <c r="P103" i="21"/>
  <c r="Q103" i="21" s="1"/>
  <c r="P102" i="21"/>
  <c r="Q102" i="21" s="1"/>
  <c r="P101" i="21"/>
  <c r="Q101" i="21" s="1"/>
  <c r="P100" i="21"/>
  <c r="Q100" i="21" s="1"/>
  <c r="P99" i="21"/>
  <c r="Q99" i="21" s="1"/>
  <c r="P98" i="21"/>
  <c r="Q98" i="21" s="1"/>
  <c r="P97" i="21"/>
  <c r="Q97" i="21" s="1"/>
  <c r="P96" i="21"/>
  <c r="Q96" i="21" s="1"/>
  <c r="P95" i="21"/>
  <c r="Q95" i="21" s="1"/>
  <c r="AD94" i="21"/>
  <c r="AG93" i="21"/>
  <c r="AE93" i="21"/>
  <c r="P91" i="21"/>
  <c r="Q91" i="21" s="1"/>
  <c r="P90" i="21"/>
  <c r="Q90" i="21" s="1"/>
  <c r="P89" i="21"/>
  <c r="Q89" i="21" s="1"/>
  <c r="P88" i="21"/>
  <c r="Q88" i="21" s="1"/>
  <c r="P87" i="21"/>
  <c r="Q87" i="21" s="1"/>
  <c r="P86" i="21"/>
  <c r="Q86" i="21" s="1"/>
  <c r="J87" i="21"/>
  <c r="P85" i="21"/>
  <c r="Q85" i="21" s="1"/>
  <c r="P84" i="21"/>
  <c r="Q84" i="21" s="1"/>
  <c r="P83" i="21"/>
  <c r="Q83" i="21" s="1"/>
  <c r="J84" i="21"/>
  <c r="P82" i="21"/>
  <c r="Q82" i="21" s="1"/>
  <c r="P81" i="21"/>
  <c r="Q81" i="21" s="1"/>
  <c r="P80" i="21"/>
  <c r="Q80" i="21" s="1"/>
  <c r="J81" i="21"/>
  <c r="I82" i="21"/>
  <c r="P79" i="21"/>
  <c r="Q79" i="21" s="1"/>
  <c r="P78" i="21"/>
  <c r="Q78" i="21" s="1"/>
  <c r="P77" i="21"/>
  <c r="Q77" i="21" s="1"/>
  <c r="K79" i="21"/>
  <c r="P76" i="21"/>
  <c r="Q76" i="21" s="1"/>
  <c r="P75" i="21"/>
  <c r="Q75" i="21" s="1"/>
  <c r="P74" i="21"/>
  <c r="Q74" i="21" s="1"/>
  <c r="P73" i="21"/>
  <c r="Q73" i="21" s="1"/>
  <c r="K73" i="21"/>
  <c r="J73" i="21"/>
  <c r="I73" i="21"/>
  <c r="H73" i="21"/>
  <c r="P72" i="21"/>
  <c r="Q72" i="21" s="1"/>
  <c r="K72" i="21"/>
  <c r="J72" i="21"/>
  <c r="I72" i="21"/>
  <c r="H72" i="21"/>
  <c r="P71" i="21"/>
  <c r="Q71" i="21" s="1"/>
  <c r="K71" i="21"/>
  <c r="J71" i="21"/>
  <c r="I71" i="21"/>
  <c r="H71" i="21"/>
  <c r="K70" i="21"/>
  <c r="J70" i="21"/>
  <c r="I70" i="21"/>
  <c r="H70" i="21"/>
  <c r="K69" i="21"/>
  <c r="J69" i="21"/>
  <c r="I69" i="21"/>
  <c r="H69" i="21"/>
  <c r="P68" i="21"/>
  <c r="K68" i="21"/>
  <c r="J68" i="21"/>
  <c r="I68" i="21"/>
  <c r="H68" i="21"/>
  <c r="K67" i="21"/>
  <c r="J67" i="21"/>
  <c r="P66" i="21"/>
  <c r="K66" i="21"/>
  <c r="J66" i="21"/>
  <c r="K65" i="21"/>
  <c r="J65" i="21"/>
  <c r="I65" i="21"/>
  <c r="P63" i="21"/>
  <c r="P60" i="21"/>
  <c r="P58" i="21"/>
  <c r="Q58" i="21" s="1"/>
  <c r="P57" i="21"/>
  <c r="Q57" i="21" s="1"/>
  <c r="P56" i="21"/>
  <c r="Q56" i="21" s="1"/>
  <c r="P55" i="21"/>
  <c r="Q55" i="21" s="1"/>
  <c r="P54" i="21"/>
  <c r="Q54" i="21" s="1"/>
  <c r="P53" i="21"/>
  <c r="Q53" i="21" s="1"/>
  <c r="P52" i="21"/>
  <c r="Q52" i="21" s="1"/>
  <c r="P51" i="21"/>
  <c r="Q51" i="21" s="1"/>
  <c r="P50" i="21"/>
  <c r="Q50" i="21" s="1"/>
  <c r="AD49" i="21"/>
  <c r="AG48" i="21"/>
  <c r="AE48" i="21"/>
  <c r="P46" i="21"/>
  <c r="Q46" i="21" s="1"/>
  <c r="P45" i="21"/>
  <c r="Q45" i="21" s="1"/>
  <c r="P44" i="21"/>
  <c r="Q44" i="21" s="1"/>
  <c r="P43" i="21"/>
  <c r="Q43" i="21" s="1"/>
  <c r="J43" i="21"/>
  <c r="P42" i="21"/>
  <c r="Q42" i="21" s="1"/>
  <c r="J42" i="21"/>
  <c r="P41" i="21"/>
  <c r="Q41" i="21" s="1"/>
  <c r="J41" i="21"/>
  <c r="K43" i="21"/>
  <c r="H43" i="21"/>
  <c r="P40" i="21"/>
  <c r="Q40" i="21" s="1"/>
  <c r="I40" i="21"/>
  <c r="H40" i="21"/>
  <c r="P39" i="21"/>
  <c r="Q39" i="21" s="1"/>
  <c r="J39" i="21"/>
  <c r="I39" i="21"/>
  <c r="H39" i="21"/>
  <c r="P38" i="21"/>
  <c r="Q38" i="21" s="1"/>
  <c r="J38" i="21"/>
  <c r="I38" i="21"/>
  <c r="H38" i="21"/>
  <c r="K40" i="21"/>
  <c r="P37" i="21"/>
  <c r="Q37" i="21" s="1"/>
  <c r="H37" i="21"/>
  <c r="P36" i="21"/>
  <c r="Q36" i="21" s="1"/>
  <c r="H36" i="21"/>
  <c r="P35" i="21"/>
  <c r="Q35" i="21" s="1"/>
  <c r="H35" i="21"/>
  <c r="J37" i="21"/>
  <c r="I37" i="21"/>
  <c r="P34" i="21"/>
  <c r="Q34" i="21" s="1"/>
  <c r="P33" i="21"/>
  <c r="Q33" i="21" s="1"/>
  <c r="J33" i="21"/>
  <c r="P32" i="21"/>
  <c r="Q32" i="21" s="1"/>
  <c r="J32" i="21"/>
  <c r="K34" i="21"/>
  <c r="I34" i="21"/>
  <c r="P31" i="21"/>
  <c r="Q31" i="21" s="1"/>
  <c r="P30" i="21"/>
  <c r="Q30" i="21" s="1"/>
  <c r="P29" i="21"/>
  <c r="Q29" i="21" s="1"/>
  <c r="P28" i="21"/>
  <c r="Q28" i="21" s="1"/>
  <c r="K28" i="21"/>
  <c r="J28" i="21"/>
  <c r="I28" i="21"/>
  <c r="H28" i="21"/>
  <c r="P27" i="21"/>
  <c r="Q27" i="21" s="1"/>
  <c r="K27" i="21"/>
  <c r="J27" i="21"/>
  <c r="I27" i="21"/>
  <c r="H27" i="21"/>
  <c r="P26" i="21"/>
  <c r="Q26" i="21" s="1"/>
  <c r="K26" i="21"/>
  <c r="J26" i="21"/>
  <c r="I26" i="21"/>
  <c r="H26" i="21"/>
  <c r="P25" i="21"/>
  <c r="K25" i="21"/>
  <c r="J25" i="21"/>
  <c r="I25" i="21"/>
  <c r="H25" i="21"/>
  <c r="P24" i="21"/>
  <c r="K24" i="21"/>
  <c r="J24" i="21"/>
  <c r="I24" i="21"/>
  <c r="H24" i="21"/>
  <c r="P23" i="21"/>
  <c r="K23" i="21"/>
  <c r="J23" i="21"/>
  <c r="I23" i="21"/>
  <c r="H23" i="21"/>
  <c r="P22" i="21"/>
  <c r="K22" i="21"/>
  <c r="J22" i="21"/>
  <c r="P21" i="21"/>
  <c r="K21" i="21"/>
  <c r="J21" i="21"/>
  <c r="H21" i="21"/>
  <c r="P20" i="21"/>
  <c r="K20" i="21"/>
  <c r="J20" i="21"/>
  <c r="I20" i="21"/>
  <c r="H20" i="21"/>
  <c r="I22" i="21"/>
  <c r="P19" i="21"/>
  <c r="P18" i="21"/>
  <c r="P17" i="21"/>
  <c r="P16" i="21"/>
  <c r="P15" i="21"/>
  <c r="P14" i="21"/>
  <c r="P13" i="21"/>
  <c r="Q13" i="21" s="1"/>
  <c r="P12" i="21"/>
  <c r="Q12" i="21" s="1"/>
  <c r="P11" i="21"/>
  <c r="Q11" i="21" s="1"/>
  <c r="P10" i="21"/>
  <c r="Q10" i="21" s="1"/>
  <c r="P9" i="21"/>
  <c r="Q9" i="21" s="1"/>
  <c r="P8" i="21"/>
  <c r="Q8" i="21" s="1"/>
  <c r="AD7" i="21"/>
  <c r="P7" i="21"/>
  <c r="Q7" i="21" s="1"/>
  <c r="AD6" i="21"/>
  <c r="P6" i="21"/>
  <c r="Q6" i="21" s="1"/>
  <c r="AD5" i="21"/>
  <c r="P5" i="21"/>
  <c r="Q5" i="21" s="1"/>
  <c r="AG4" i="21"/>
  <c r="AE4" i="21"/>
  <c r="P136" i="20"/>
  <c r="Q136" i="20" s="1"/>
  <c r="P135" i="20"/>
  <c r="Q135" i="20" s="1"/>
  <c r="P134" i="20"/>
  <c r="Q134" i="20" s="1"/>
  <c r="P133" i="20"/>
  <c r="Q133" i="20" s="1"/>
  <c r="P132" i="20"/>
  <c r="Q132" i="20" s="1"/>
  <c r="P131" i="20"/>
  <c r="Q131" i="20" s="1"/>
  <c r="J132" i="20"/>
  <c r="I133" i="20"/>
  <c r="P130" i="20"/>
  <c r="Q130" i="20" s="1"/>
  <c r="P129" i="20"/>
  <c r="Q129" i="20" s="1"/>
  <c r="P128" i="20"/>
  <c r="Q128" i="20" s="1"/>
  <c r="J129" i="20"/>
  <c r="H130" i="20"/>
  <c r="P127" i="20"/>
  <c r="Q127" i="20" s="1"/>
  <c r="P126" i="20"/>
  <c r="Q126" i="20" s="1"/>
  <c r="P125" i="20"/>
  <c r="Q125" i="20" s="1"/>
  <c r="K127" i="20"/>
  <c r="P124" i="20"/>
  <c r="Q124" i="20" s="1"/>
  <c r="P123" i="20"/>
  <c r="Q123" i="20" s="1"/>
  <c r="P122" i="20"/>
  <c r="Q122" i="20" s="1"/>
  <c r="J123" i="20"/>
  <c r="H122" i="20"/>
  <c r="P121" i="20"/>
  <c r="Q121" i="20" s="1"/>
  <c r="P120" i="20"/>
  <c r="Q120" i="20" s="1"/>
  <c r="P119" i="20"/>
  <c r="Q119" i="20" s="1"/>
  <c r="P118" i="20"/>
  <c r="Q118" i="20" s="1"/>
  <c r="K118" i="20"/>
  <c r="J118" i="20"/>
  <c r="I118" i="20"/>
  <c r="H118" i="20"/>
  <c r="P117" i="20"/>
  <c r="Q117" i="20" s="1"/>
  <c r="K117" i="20"/>
  <c r="J117" i="20"/>
  <c r="I117" i="20"/>
  <c r="H117" i="20"/>
  <c r="P116" i="20"/>
  <c r="Q116" i="20" s="1"/>
  <c r="K116" i="20"/>
  <c r="J116" i="20"/>
  <c r="I116" i="20"/>
  <c r="H116" i="20"/>
  <c r="K115" i="20"/>
  <c r="J115" i="20"/>
  <c r="I115" i="20"/>
  <c r="H115" i="20"/>
  <c r="K114" i="20"/>
  <c r="J114" i="20"/>
  <c r="I114" i="20"/>
  <c r="H114" i="20"/>
  <c r="P113" i="20"/>
  <c r="K113" i="20"/>
  <c r="J113" i="20"/>
  <c r="I113" i="20"/>
  <c r="H113" i="20"/>
  <c r="K112" i="20"/>
  <c r="J112" i="20"/>
  <c r="K111" i="20"/>
  <c r="J111" i="20"/>
  <c r="K110" i="20"/>
  <c r="J110" i="20"/>
  <c r="I110" i="20"/>
  <c r="P108" i="20"/>
  <c r="P103" i="20"/>
  <c r="Q103" i="20" s="1"/>
  <c r="P102" i="20"/>
  <c r="Q102" i="20" s="1"/>
  <c r="P101" i="20"/>
  <c r="Q101" i="20" s="1"/>
  <c r="P100" i="20"/>
  <c r="Q100" i="20" s="1"/>
  <c r="P99" i="20"/>
  <c r="Q99" i="20" s="1"/>
  <c r="P98" i="20"/>
  <c r="Q98" i="20" s="1"/>
  <c r="AD95" i="20"/>
  <c r="P97" i="20"/>
  <c r="Q97" i="20" s="1"/>
  <c r="P96" i="20"/>
  <c r="Q96" i="20" s="1"/>
  <c r="P95" i="20"/>
  <c r="Q95" i="20" s="1"/>
  <c r="AD94" i="20"/>
  <c r="AG93" i="20"/>
  <c r="AE93" i="20"/>
  <c r="P91" i="20"/>
  <c r="Q91" i="20" s="1"/>
  <c r="P90" i="20"/>
  <c r="Q90" i="20" s="1"/>
  <c r="P89" i="20"/>
  <c r="Q89" i="20" s="1"/>
  <c r="P88" i="20"/>
  <c r="Q88" i="20" s="1"/>
  <c r="P87" i="20"/>
  <c r="Q87" i="20" s="1"/>
  <c r="P86" i="20"/>
  <c r="Q86" i="20" s="1"/>
  <c r="K86" i="20"/>
  <c r="H86" i="20"/>
  <c r="P85" i="20"/>
  <c r="Q85" i="20" s="1"/>
  <c r="P84" i="20"/>
  <c r="Q84" i="20" s="1"/>
  <c r="P83" i="20"/>
  <c r="Q83" i="20" s="1"/>
  <c r="K83" i="20"/>
  <c r="H85" i="20"/>
  <c r="P82" i="20"/>
  <c r="Q82" i="20" s="1"/>
  <c r="P81" i="20"/>
  <c r="Q81" i="20" s="1"/>
  <c r="P80" i="20"/>
  <c r="Q80" i="20" s="1"/>
  <c r="K80" i="20"/>
  <c r="H80" i="20"/>
  <c r="P79" i="20"/>
  <c r="Q79" i="20" s="1"/>
  <c r="P78" i="20"/>
  <c r="Q78" i="20" s="1"/>
  <c r="P77" i="20"/>
  <c r="Q77" i="20" s="1"/>
  <c r="K77" i="20"/>
  <c r="H79" i="20"/>
  <c r="P76" i="20"/>
  <c r="Q76" i="20" s="1"/>
  <c r="P75" i="20"/>
  <c r="Q75" i="20" s="1"/>
  <c r="P74" i="20"/>
  <c r="Q74" i="20" s="1"/>
  <c r="P73" i="20"/>
  <c r="Q73" i="20" s="1"/>
  <c r="K73" i="20"/>
  <c r="J73" i="20"/>
  <c r="I73" i="20"/>
  <c r="H73" i="20"/>
  <c r="P72" i="20"/>
  <c r="Q72" i="20" s="1"/>
  <c r="K72" i="20"/>
  <c r="J72" i="20"/>
  <c r="I72" i="20"/>
  <c r="H72" i="20"/>
  <c r="P71" i="20"/>
  <c r="Q71" i="20" s="1"/>
  <c r="K71" i="20"/>
  <c r="J71" i="20"/>
  <c r="I71" i="20"/>
  <c r="H71" i="20"/>
  <c r="P70" i="20"/>
  <c r="K70" i="20"/>
  <c r="J70" i="20"/>
  <c r="I70" i="20"/>
  <c r="H70" i="20"/>
  <c r="K69" i="20"/>
  <c r="J69" i="20"/>
  <c r="I69" i="20"/>
  <c r="H69" i="20"/>
  <c r="K68" i="20"/>
  <c r="J68" i="20"/>
  <c r="I68" i="20"/>
  <c r="H68" i="20"/>
  <c r="P67" i="20"/>
  <c r="K67" i="20"/>
  <c r="J67" i="20"/>
  <c r="K66" i="20"/>
  <c r="J66" i="20"/>
  <c r="K65" i="20"/>
  <c r="J65" i="20"/>
  <c r="H67" i="20"/>
  <c r="P61" i="20"/>
  <c r="P59" i="20"/>
  <c r="P58" i="20"/>
  <c r="Q58" i="20" s="1"/>
  <c r="P57" i="20"/>
  <c r="Q57" i="20" s="1"/>
  <c r="P56" i="20"/>
  <c r="Q56" i="20" s="1"/>
  <c r="P55" i="20"/>
  <c r="Q55" i="20" s="1"/>
  <c r="P54" i="20"/>
  <c r="Q54" i="20" s="1"/>
  <c r="P53" i="20"/>
  <c r="Q53" i="20" s="1"/>
  <c r="P52" i="20"/>
  <c r="Q52" i="20" s="1"/>
  <c r="P51" i="20"/>
  <c r="Q51" i="20" s="1"/>
  <c r="P50" i="20"/>
  <c r="Q50" i="20" s="1"/>
  <c r="AD49" i="20"/>
  <c r="AG48" i="20"/>
  <c r="AE48" i="20"/>
  <c r="P46" i="20"/>
  <c r="Q46" i="20" s="1"/>
  <c r="P45" i="20"/>
  <c r="Q45" i="20" s="1"/>
  <c r="P44" i="20"/>
  <c r="Q44" i="20" s="1"/>
  <c r="P43" i="20"/>
  <c r="Q43" i="20" s="1"/>
  <c r="P42" i="20"/>
  <c r="Q42" i="20" s="1"/>
  <c r="P41" i="20"/>
  <c r="Q41" i="20" s="1"/>
  <c r="K43" i="20"/>
  <c r="P40" i="20"/>
  <c r="Q40" i="20" s="1"/>
  <c r="P39" i="20"/>
  <c r="Q39" i="20" s="1"/>
  <c r="P38" i="20"/>
  <c r="Q38" i="20" s="1"/>
  <c r="J40" i="20"/>
  <c r="P37" i="20"/>
  <c r="Q37" i="20" s="1"/>
  <c r="P36" i="20"/>
  <c r="Q36" i="20" s="1"/>
  <c r="P35" i="20"/>
  <c r="Q35" i="20" s="1"/>
  <c r="K37" i="20"/>
  <c r="I37" i="20"/>
  <c r="P34" i="20"/>
  <c r="Q34" i="20" s="1"/>
  <c r="P33" i="20"/>
  <c r="Q33" i="20" s="1"/>
  <c r="P32" i="20"/>
  <c r="Q32" i="20" s="1"/>
  <c r="K34" i="20"/>
  <c r="H34" i="20"/>
  <c r="P31" i="20"/>
  <c r="Q31" i="20" s="1"/>
  <c r="P30" i="20"/>
  <c r="Q30" i="20" s="1"/>
  <c r="P29" i="20"/>
  <c r="Q29" i="20" s="1"/>
  <c r="P28" i="20"/>
  <c r="Q28" i="20" s="1"/>
  <c r="K28" i="20"/>
  <c r="J28" i="20"/>
  <c r="I28" i="20"/>
  <c r="H28" i="20"/>
  <c r="P27" i="20"/>
  <c r="Q27" i="20" s="1"/>
  <c r="K27" i="20"/>
  <c r="J27" i="20"/>
  <c r="I27" i="20"/>
  <c r="H27" i="20"/>
  <c r="P26" i="20"/>
  <c r="Q26" i="20" s="1"/>
  <c r="K26" i="20"/>
  <c r="J26" i="20"/>
  <c r="I26" i="20"/>
  <c r="H26" i="20"/>
  <c r="P25" i="20"/>
  <c r="K25" i="20"/>
  <c r="J25" i="20"/>
  <c r="I25" i="20"/>
  <c r="H25" i="20"/>
  <c r="P24" i="20"/>
  <c r="K24" i="20"/>
  <c r="J24" i="20"/>
  <c r="I24" i="20"/>
  <c r="H24" i="20"/>
  <c r="P23" i="20"/>
  <c r="K23" i="20"/>
  <c r="J23" i="20"/>
  <c r="I23" i="20"/>
  <c r="H23" i="20"/>
  <c r="P22" i="20"/>
  <c r="K22" i="20"/>
  <c r="J22" i="20"/>
  <c r="P21" i="20"/>
  <c r="K21" i="20"/>
  <c r="J21" i="20"/>
  <c r="P20" i="20"/>
  <c r="K20" i="20"/>
  <c r="J20" i="20"/>
  <c r="P19" i="20"/>
  <c r="P18" i="20"/>
  <c r="P17" i="20"/>
  <c r="P16" i="20"/>
  <c r="P15" i="20"/>
  <c r="P14" i="20"/>
  <c r="P13" i="20"/>
  <c r="Q13" i="20" s="1"/>
  <c r="P12" i="20"/>
  <c r="Q12" i="20" s="1"/>
  <c r="P11" i="20"/>
  <c r="Q11" i="20" s="1"/>
  <c r="P10" i="20"/>
  <c r="Q10" i="20" s="1"/>
  <c r="P9" i="20"/>
  <c r="Q9" i="20" s="1"/>
  <c r="P8" i="20"/>
  <c r="Q8" i="20" s="1"/>
  <c r="AD7" i="20"/>
  <c r="P7" i="20"/>
  <c r="Q7" i="20" s="1"/>
  <c r="AD6" i="20"/>
  <c r="P6" i="20"/>
  <c r="Q6" i="20" s="1"/>
  <c r="AD5" i="20"/>
  <c r="P5" i="20"/>
  <c r="Q5" i="20" s="1"/>
  <c r="AG4" i="20"/>
  <c r="AE4" i="20"/>
  <c r="K67" i="19"/>
  <c r="J67" i="19"/>
  <c r="O67" i="19" s="1"/>
  <c r="I67" i="19"/>
  <c r="K66" i="19"/>
  <c r="J66" i="19"/>
  <c r="I66" i="19"/>
  <c r="N66" i="19" s="1"/>
  <c r="K65" i="19"/>
  <c r="J65" i="19"/>
  <c r="I65" i="19"/>
  <c r="N65" i="19" s="1"/>
  <c r="K64" i="19"/>
  <c r="J64" i="19"/>
  <c r="I64" i="19"/>
  <c r="N64" i="19" s="1"/>
  <c r="K63" i="19"/>
  <c r="J63" i="19"/>
  <c r="I63" i="19"/>
  <c r="N63" i="19" s="1"/>
  <c r="K62" i="19"/>
  <c r="J62" i="19"/>
  <c r="I62" i="19"/>
  <c r="N62" i="19" s="1"/>
  <c r="K61" i="19"/>
  <c r="J61" i="19"/>
  <c r="I61" i="19"/>
  <c r="N61" i="19" s="1"/>
  <c r="K60" i="19"/>
  <c r="J60" i="19"/>
  <c r="I60" i="19"/>
  <c r="N60" i="19" s="1"/>
  <c r="K59" i="19"/>
  <c r="J59" i="19"/>
  <c r="I59" i="19"/>
  <c r="N59" i="19" s="1"/>
  <c r="K58" i="19"/>
  <c r="J58" i="19"/>
  <c r="O58" i="19" s="1"/>
  <c r="I58" i="19"/>
  <c r="K57" i="19"/>
  <c r="J57" i="19"/>
  <c r="I57" i="19"/>
  <c r="K56" i="19"/>
  <c r="J56" i="19"/>
  <c r="O56" i="19" s="1"/>
  <c r="I56" i="19"/>
  <c r="N56" i="19" s="1"/>
  <c r="K55" i="19"/>
  <c r="P55" i="19" s="1"/>
  <c r="J55" i="19"/>
  <c r="O55" i="19" s="1"/>
  <c r="I55" i="19"/>
  <c r="N55" i="19" s="1"/>
  <c r="K54" i="19"/>
  <c r="P54" i="19" s="1"/>
  <c r="J54" i="19"/>
  <c r="I54" i="19"/>
  <c r="K53" i="19"/>
  <c r="P53" i="19" s="1"/>
  <c r="J53" i="19"/>
  <c r="I53" i="19"/>
  <c r="K52" i="19"/>
  <c r="P52" i="19" s="1"/>
  <c r="J52" i="19"/>
  <c r="I52" i="19"/>
  <c r="N52" i="19" s="1"/>
  <c r="K51" i="19"/>
  <c r="J51" i="19"/>
  <c r="O51" i="19" s="1"/>
  <c r="I51" i="19"/>
  <c r="N51" i="19" s="1"/>
  <c r="K50" i="19"/>
  <c r="P50" i="19" s="1"/>
  <c r="J50" i="19"/>
  <c r="O50" i="19" s="1"/>
  <c r="I50" i="19"/>
  <c r="K49" i="19"/>
  <c r="P49" i="19" s="1"/>
  <c r="J49" i="19"/>
  <c r="O49" i="19" s="1"/>
  <c r="I49" i="19"/>
  <c r="N49" i="19" s="1"/>
  <c r="K45" i="19"/>
  <c r="J45" i="19"/>
  <c r="O45" i="19" s="1"/>
  <c r="I45" i="19"/>
  <c r="K44" i="19"/>
  <c r="P44" i="19" s="1"/>
  <c r="J44" i="19"/>
  <c r="I44" i="19"/>
  <c r="K43" i="19"/>
  <c r="J43" i="19"/>
  <c r="I43" i="19"/>
  <c r="K42" i="19"/>
  <c r="P42" i="19" s="1"/>
  <c r="J42" i="19"/>
  <c r="I42" i="19"/>
  <c r="K41" i="19"/>
  <c r="P41" i="19" s="1"/>
  <c r="J41" i="19"/>
  <c r="I41" i="19"/>
  <c r="N41" i="19" s="1"/>
  <c r="K40" i="19"/>
  <c r="P40" i="19" s="1"/>
  <c r="J40" i="19"/>
  <c r="I40" i="19"/>
  <c r="K39" i="19"/>
  <c r="P39" i="19" s="1"/>
  <c r="J39" i="19"/>
  <c r="I39" i="19"/>
  <c r="K38" i="19"/>
  <c r="P38" i="19" s="1"/>
  <c r="J38" i="19"/>
  <c r="O38" i="19" s="1"/>
  <c r="I38" i="19"/>
  <c r="K37" i="19"/>
  <c r="J37" i="19"/>
  <c r="O37" i="19" s="1"/>
  <c r="I37" i="19"/>
  <c r="N37" i="19" s="1"/>
  <c r="K36" i="19"/>
  <c r="J36" i="19"/>
  <c r="O36" i="19" s="1"/>
  <c r="I36" i="19"/>
  <c r="K35" i="19"/>
  <c r="P35" i="19" s="1"/>
  <c r="J35" i="19"/>
  <c r="O35" i="19" s="1"/>
  <c r="I35" i="19"/>
  <c r="K34" i="19"/>
  <c r="P34" i="19" s="1"/>
  <c r="J34" i="19"/>
  <c r="I34" i="19"/>
  <c r="K33" i="19"/>
  <c r="J33" i="19"/>
  <c r="O33" i="19" s="1"/>
  <c r="I33" i="19"/>
  <c r="N33" i="19" s="1"/>
  <c r="K32" i="19"/>
  <c r="P32" i="19" s="1"/>
  <c r="J32" i="19"/>
  <c r="I32" i="19"/>
  <c r="K31" i="19"/>
  <c r="J31" i="19"/>
  <c r="I31" i="19"/>
  <c r="K30" i="19"/>
  <c r="P30" i="19" s="1"/>
  <c r="J30" i="19"/>
  <c r="I30" i="19"/>
  <c r="N30" i="19" s="1"/>
  <c r="K29" i="19"/>
  <c r="J29" i="19"/>
  <c r="O29" i="19" s="1"/>
  <c r="I29" i="19"/>
  <c r="K28" i="19"/>
  <c r="P28" i="19" s="1"/>
  <c r="J28" i="19"/>
  <c r="I28" i="19"/>
  <c r="K27" i="19"/>
  <c r="P27" i="19" s="1"/>
  <c r="J27" i="19"/>
  <c r="O27" i="19" s="1"/>
  <c r="I27" i="19"/>
  <c r="N27" i="19" s="1"/>
  <c r="K23" i="19"/>
  <c r="J23" i="19"/>
  <c r="O23" i="19" s="1"/>
  <c r="I23" i="19"/>
  <c r="N23" i="19" s="1"/>
  <c r="K22" i="19"/>
  <c r="P22" i="19" s="1"/>
  <c r="J22" i="19"/>
  <c r="I22" i="19"/>
  <c r="K21" i="19"/>
  <c r="P21" i="19" s="1"/>
  <c r="J21" i="19"/>
  <c r="O21" i="19" s="1"/>
  <c r="I21" i="19"/>
  <c r="K20" i="19"/>
  <c r="J20" i="19"/>
  <c r="O20" i="19" s="1"/>
  <c r="I20" i="19"/>
  <c r="K19" i="19"/>
  <c r="J19" i="19"/>
  <c r="O19" i="19" s="1"/>
  <c r="I19" i="19"/>
  <c r="K18" i="19"/>
  <c r="P18" i="19" s="1"/>
  <c r="J18" i="19"/>
  <c r="I18" i="19"/>
  <c r="K17" i="19"/>
  <c r="P17" i="19" s="1"/>
  <c r="J17" i="19"/>
  <c r="O17" i="19" s="1"/>
  <c r="I17" i="19"/>
  <c r="N17" i="19" s="1"/>
  <c r="K16" i="19"/>
  <c r="J16" i="19"/>
  <c r="O16" i="19" s="1"/>
  <c r="I16" i="19"/>
  <c r="K15" i="19"/>
  <c r="P15" i="19" s="1"/>
  <c r="J15" i="19"/>
  <c r="O15" i="19" s="1"/>
  <c r="I15" i="19"/>
  <c r="N15" i="19" s="1"/>
  <c r="K14" i="19"/>
  <c r="P14" i="19" s="1"/>
  <c r="J14" i="19"/>
  <c r="O14" i="19" s="1"/>
  <c r="I14" i="19"/>
  <c r="K13" i="19"/>
  <c r="P13" i="19" s="1"/>
  <c r="J13" i="19"/>
  <c r="I13" i="19"/>
  <c r="N13" i="19" s="1"/>
  <c r="K12" i="19"/>
  <c r="J12" i="19"/>
  <c r="O12" i="19" s="1"/>
  <c r="I12" i="19"/>
  <c r="N12" i="19" s="1"/>
  <c r="K11" i="19"/>
  <c r="P11" i="19" s="1"/>
  <c r="J11" i="19"/>
  <c r="O11" i="19" s="1"/>
  <c r="I11" i="19"/>
  <c r="K10" i="19"/>
  <c r="P10" i="19" s="1"/>
  <c r="J10" i="19"/>
  <c r="O10" i="19" s="1"/>
  <c r="I10" i="19"/>
  <c r="K9" i="19"/>
  <c r="P9" i="19" s="1"/>
  <c r="J9" i="19"/>
  <c r="I9" i="19"/>
  <c r="K8" i="19"/>
  <c r="J8" i="19"/>
  <c r="O8" i="19" s="1"/>
  <c r="I8" i="19"/>
  <c r="N8" i="19" s="1"/>
  <c r="K7" i="19"/>
  <c r="Z7" i="19" s="1"/>
  <c r="J7" i="19"/>
  <c r="O7" i="19" s="1"/>
  <c r="I7" i="19"/>
  <c r="N7" i="19" s="1"/>
  <c r="K6" i="19"/>
  <c r="P6" i="19" s="1"/>
  <c r="J6" i="19"/>
  <c r="O6" i="19" s="1"/>
  <c r="I6" i="19"/>
  <c r="K5" i="19"/>
  <c r="P5" i="19" s="1"/>
  <c r="J5" i="19"/>
  <c r="O5" i="19" s="1"/>
  <c r="I5" i="19"/>
  <c r="K67" i="18"/>
  <c r="J67" i="18"/>
  <c r="I67" i="18"/>
  <c r="N67" i="18" s="1"/>
  <c r="K66" i="18"/>
  <c r="J66" i="18"/>
  <c r="I66" i="18"/>
  <c r="N66" i="18" s="1"/>
  <c r="K65" i="18"/>
  <c r="J65" i="18"/>
  <c r="I65" i="18"/>
  <c r="N65" i="18" s="1"/>
  <c r="K64" i="18"/>
  <c r="J64" i="18"/>
  <c r="I64" i="18"/>
  <c r="N64" i="18" s="1"/>
  <c r="K63" i="18"/>
  <c r="J63" i="18"/>
  <c r="I63" i="18"/>
  <c r="N63" i="18" s="1"/>
  <c r="K62" i="18"/>
  <c r="J62" i="18"/>
  <c r="I62" i="18"/>
  <c r="N62" i="18" s="1"/>
  <c r="K61" i="18"/>
  <c r="J61" i="18"/>
  <c r="I61" i="18"/>
  <c r="N61" i="18" s="1"/>
  <c r="I60" i="18"/>
  <c r="N60" i="18" s="1"/>
  <c r="K60" i="18"/>
  <c r="J60" i="18"/>
  <c r="I59" i="18"/>
  <c r="N59" i="18" s="1"/>
  <c r="K59" i="18"/>
  <c r="P59" i="18" s="1"/>
  <c r="J59" i="18"/>
  <c r="K58" i="18"/>
  <c r="P58" i="18" s="1"/>
  <c r="J58" i="18"/>
  <c r="O58" i="18" s="1"/>
  <c r="I58" i="18"/>
  <c r="K57" i="18"/>
  <c r="P57" i="18" s="1"/>
  <c r="J57" i="18"/>
  <c r="I57" i="18"/>
  <c r="K56" i="18"/>
  <c r="J56" i="18"/>
  <c r="O56" i="18" s="1"/>
  <c r="I56" i="18"/>
  <c r="K55" i="18"/>
  <c r="J55" i="18"/>
  <c r="I55" i="18"/>
  <c r="N55" i="18" s="1"/>
  <c r="K54" i="18"/>
  <c r="J54" i="18"/>
  <c r="O54" i="18" s="1"/>
  <c r="I54" i="18"/>
  <c r="N54" i="18" s="1"/>
  <c r="K53" i="18"/>
  <c r="J53" i="18"/>
  <c r="I53" i="18"/>
  <c r="N53" i="18" s="1"/>
  <c r="K52" i="18"/>
  <c r="J52" i="18"/>
  <c r="O52" i="18" s="1"/>
  <c r="I52" i="18"/>
  <c r="N52" i="18" s="1"/>
  <c r="K51" i="18"/>
  <c r="P51" i="18" s="1"/>
  <c r="J51" i="18"/>
  <c r="O51" i="18" s="1"/>
  <c r="I51" i="18"/>
  <c r="N51" i="18" s="1"/>
  <c r="K50" i="18"/>
  <c r="P50" i="18" s="1"/>
  <c r="J50" i="18"/>
  <c r="I50" i="18"/>
  <c r="K49" i="18"/>
  <c r="J49" i="18"/>
  <c r="O49" i="18" s="1"/>
  <c r="I49" i="18"/>
  <c r="N49" i="18" s="1"/>
  <c r="K45" i="18"/>
  <c r="P45" i="18" s="1"/>
  <c r="J45" i="18"/>
  <c r="I45" i="18"/>
  <c r="K44" i="18"/>
  <c r="J44" i="18"/>
  <c r="I44" i="18"/>
  <c r="K43" i="18"/>
  <c r="J43" i="18"/>
  <c r="I43" i="18"/>
  <c r="N43" i="18" s="1"/>
  <c r="K42" i="18"/>
  <c r="J42" i="18"/>
  <c r="I42" i="18"/>
  <c r="N42" i="18" s="1"/>
  <c r="K41" i="18"/>
  <c r="J41" i="18"/>
  <c r="I41" i="18"/>
  <c r="N41" i="18" s="1"/>
  <c r="K40" i="18"/>
  <c r="J40" i="18"/>
  <c r="I40" i="18"/>
  <c r="N40" i="18" s="1"/>
  <c r="K39" i="18"/>
  <c r="J39" i="18"/>
  <c r="I39" i="18"/>
  <c r="N39" i="18" s="1"/>
  <c r="J38" i="18"/>
  <c r="O38" i="18" s="1"/>
  <c r="I38" i="18"/>
  <c r="N38" i="18" s="1"/>
  <c r="K38" i="18"/>
  <c r="K37" i="18"/>
  <c r="P37" i="18" s="1"/>
  <c r="J37" i="18"/>
  <c r="O37" i="18" s="1"/>
  <c r="I37" i="18"/>
  <c r="K36" i="18"/>
  <c r="P36" i="18" s="1"/>
  <c r="J36" i="18"/>
  <c r="I36" i="18"/>
  <c r="N36" i="18" s="1"/>
  <c r="K35" i="18"/>
  <c r="J35" i="18"/>
  <c r="O35" i="18" s="1"/>
  <c r="I35" i="18"/>
  <c r="N35" i="18" s="1"/>
  <c r="K34" i="18"/>
  <c r="P34" i="18" s="1"/>
  <c r="J34" i="18"/>
  <c r="O34" i="18" s="1"/>
  <c r="I34" i="18"/>
  <c r="K33" i="18"/>
  <c r="P33" i="18" s="1"/>
  <c r="J33" i="18"/>
  <c r="O33" i="18" s="1"/>
  <c r="I33" i="18"/>
  <c r="K32" i="18"/>
  <c r="P32" i="18" s="1"/>
  <c r="J32" i="18"/>
  <c r="I32" i="18"/>
  <c r="K31" i="18"/>
  <c r="J31" i="18"/>
  <c r="O31" i="18" s="1"/>
  <c r="I31" i="18"/>
  <c r="N31" i="18" s="1"/>
  <c r="K30" i="18"/>
  <c r="P30" i="18" s="1"/>
  <c r="J30" i="18"/>
  <c r="O30" i="18" s="1"/>
  <c r="I30" i="18"/>
  <c r="N30" i="18" s="1"/>
  <c r="K29" i="18"/>
  <c r="J29" i="18"/>
  <c r="I29" i="18"/>
  <c r="K28" i="18"/>
  <c r="P28" i="18" s="1"/>
  <c r="J28" i="18"/>
  <c r="I28" i="18"/>
  <c r="N28" i="18" s="1"/>
  <c r="K27" i="18"/>
  <c r="P27" i="18" s="1"/>
  <c r="J27" i="18"/>
  <c r="O27" i="18" s="1"/>
  <c r="I27" i="18"/>
  <c r="K23" i="18"/>
  <c r="J23" i="18"/>
  <c r="O23" i="18" s="1"/>
  <c r="I23" i="18"/>
  <c r="K22" i="18"/>
  <c r="J22" i="18"/>
  <c r="I22" i="18"/>
  <c r="N22" i="18" s="1"/>
  <c r="K21" i="18"/>
  <c r="P21" i="18" s="1"/>
  <c r="J21" i="18"/>
  <c r="I21" i="18"/>
  <c r="N21" i="18" s="1"/>
  <c r="K20" i="18"/>
  <c r="P20" i="18" s="1"/>
  <c r="J20" i="18"/>
  <c r="O20" i="18" s="1"/>
  <c r="I20" i="18"/>
  <c r="K19" i="18"/>
  <c r="J19" i="18"/>
  <c r="O19" i="18" s="1"/>
  <c r="I19" i="18"/>
  <c r="K18" i="18"/>
  <c r="J18" i="18"/>
  <c r="I18" i="18"/>
  <c r="K17" i="18"/>
  <c r="J17" i="18"/>
  <c r="I17" i="18"/>
  <c r="N17" i="18" s="1"/>
  <c r="K16" i="18"/>
  <c r="P16" i="18" s="1"/>
  <c r="J16" i="18"/>
  <c r="O16" i="18" s="1"/>
  <c r="I16" i="18"/>
  <c r="N16" i="18" s="1"/>
  <c r="K15" i="18"/>
  <c r="P15" i="18" s="1"/>
  <c r="J15" i="18"/>
  <c r="O15" i="18" s="1"/>
  <c r="I15" i="18"/>
  <c r="N15" i="18" s="1"/>
  <c r="K14" i="18"/>
  <c r="J14" i="18"/>
  <c r="O14" i="18" s="1"/>
  <c r="I14" i="18"/>
  <c r="K13" i="18"/>
  <c r="P13" i="18" s="1"/>
  <c r="J13" i="18"/>
  <c r="I13" i="18"/>
  <c r="K12" i="18"/>
  <c r="P12" i="18" s="1"/>
  <c r="J12" i="18"/>
  <c r="O12" i="18" s="1"/>
  <c r="I12" i="18"/>
  <c r="K11" i="18"/>
  <c r="P11" i="18" s="1"/>
  <c r="J11" i="18"/>
  <c r="O11" i="18" s="1"/>
  <c r="I11" i="18"/>
  <c r="K10" i="18"/>
  <c r="P10" i="18" s="1"/>
  <c r="J10" i="18"/>
  <c r="I10" i="18"/>
  <c r="K9" i="18"/>
  <c r="J9" i="18"/>
  <c r="O9" i="18" s="1"/>
  <c r="I9" i="18"/>
  <c r="N9" i="18" s="1"/>
  <c r="K8" i="18"/>
  <c r="P8" i="18" s="1"/>
  <c r="J8" i="18"/>
  <c r="O8" i="18" s="1"/>
  <c r="I8" i="18"/>
  <c r="N8" i="18" s="1"/>
  <c r="K7" i="18"/>
  <c r="P7" i="18" s="1"/>
  <c r="J7" i="18"/>
  <c r="O7" i="18" s="1"/>
  <c r="I7" i="18"/>
  <c r="X7" i="18" s="1"/>
  <c r="K6" i="18"/>
  <c r="P6" i="18" s="1"/>
  <c r="J6" i="18"/>
  <c r="Y6" i="18" s="1"/>
  <c r="I6" i="18"/>
  <c r="N6" i="18" s="1"/>
  <c r="K5" i="18"/>
  <c r="P5" i="18" s="1"/>
  <c r="J5" i="18"/>
  <c r="O5" i="18" s="1"/>
  <c r="I5" i="18"/>
  <c r="N88" i="23" l="1"/>
  <c r="N86" i="23"/>
  <c r="O86" i="23" s="1"/>
  <c r="P86" i="23" s="1"/>
  <c r="Q86" i="23" s="1"/>
  <c r="R86" i="23" s="1"/>
  <c r="O88" i="23"/>
  <c r="P88" i="23" s="1"/>
  <c r="Q88" i="23" s="1"/>
  <c r="R88" i="23" s="1"/>
  <c r="O87" i="23"/>
  <c r="P87" i="23" s="1"/>
  <c r="Q87" i="23" s="1"/>
  <c r="R87" i="23" s="1"/>
  <c r="N82" i="23"/>
  <c r="O82" i="23" s="1"/>
  <c r="P82" i="23" s="1"/>
  <c r="Q82" i="23" s="1"/>
  <c r="R82" i="23" s="1"/>
  <c r="N81" i="23"/>
  <c r="O81" i="23" s="1"/>
  <c r="P81" i="23" s="1"/>
  <c r="Q81" i="23" s="1"/>
  <c r="R81" i="23" s="1"/>
  <c r="N56" i="23"/>
  <c r="O56" i="23" s="1"/>
  <c r="P56" i="23" s="1"/>
  <c r="Q56" i="23" s="1"/>
  <c r="R56" i="23" s="1"/>
  <c r="N51" i="23"/>
  <c r="O51" i="23" s="1"/>
  <c r="P51" i="23" s="1"/>
  <c r="Q51" i="23" s="1"/>
  <c r="R51" i="23" s="1"/>
  <c r="N50" i="23"/>
  <c r="O50" i="23" s="1"/>
  <c r="P50" i="23" s="1"/>
  <c r="Q50" i="23" s="1"/>
  <c r="R50" i="23" s="1"/>
  <c r="N80" i="23"/>
  <c r="N57" i="23"/>
  <c r="N58" i="23"/>
  <c r="P58" i="23" s="1"/>
  <c r="Q58" i="23" s="1"/>
  <c r="R58" i="23" s="1"/>
  <c r="S19" i="23"/>
  <c r="X8" i="23" s="1"/>
  <c r="P72" i="22"/>
  <c r="Q72" i="22" s="1"/>
  <c r="R72" i="22" s="1"/>
  <c r="P45" i="22"/>
  <c r="Q45" i="22" s="1"/>
  <c r="R45" i="22" s="1"/>
  <c r="P59" i="22"/>
  <c r="Q59" i="22" s="1"/>
  <c r="R59" i="22" s="1"/>
  <c r="P35" i="22"/>
  <c r="Q35" i="22" s="1"/>
  <c r="R35" i="22" s="1"/>
  <c r="Y72" i="22"/>
  <c r="P31" i="22"/>
  <c r="Q31" i="22" s="1"/>
  <c r="R31" i="22" s="1"/>
  <c r="P81" i="22"/>
  <c r="Q81" i="22" s="1"/>
  <c r="R81" i="22" s="1"/>
  <c r="P80" i="22"/>
  <c r="Q80" i="22" s="1"/>
  <c r="R80" i="22" s="1"/>
  <c r="P25" i="22"/>
  <c r="Q25" i="22" s="1"/>
  <c r="R25" i="22" s="1"/>
  <c r="P38" i="22"/>
  <c r="Q38" i="22" s="1"/>
  <c r="R38" i="22" s="1"/>
  <c r="P39" i="22"/>
  <c r="Q39" i="22" s="1"/>
  <c r="R39" i="22" s="1"/>
  <c r="P41" i="22"/>
  <c r="Q41" i="22" s="1"/>
  <c r="R41" i="22" s="1"/>
  <c r="P61" i="22"/>
  <c r="Q61" i="22" s="1"/>
  <c r="R61" i="22" s="1"/>
  <c r="P79" i="22"/>
  <c r="Q79" i="22" s="1"/>
  <c r="R79" i="22" s="1"/>
  <c r="P16" i="22"/>
  <c r="Q16" i="22" s="1"/>
  <c r="R16" i="22" s="1"/>
  <c r="P29" i="22"/>
  <c r="Q29" i="22" s="1"/>
  <c r="R29" i="22" s="1"/>
  <c r="P60" i="22"/>
  <c r="Q60" i="22" s="1"/>
  <c r="R60" i="22" s="1"/>
  <c r="P65" i="22"/>
  <c r="Q65" i="22" s="1"/>
  <c r="R65" i="22" s="1"/>
  <c r="P68" i="22"/>
  <c r="Q68" i="22" s="1"/>
  <c r="R68" i="22" s="1"/>
  <c r="P78" i="22"/>
  <c r="Q78" i="22" s="1"/>
  <c r="R78" i="22" s="1"/>
  <c r="S79" i="22" s="1"/>
  <c r="P13" i="22"/>
  <c r="Q13" i="22" s="1"/>
  <c r="R13" i="22" s="1"/>
  <c r="N27" i="22"/>
  <c r="O27" i="22" s="1"/>
  <c r="P27" i="22" s="1"/>
  <c r="Q27" i="22" s="1"/>
  <c r="R27" i="22" s="1"/>
  <c r="N52" i="22"/>
  <c r="P74" i="22"/>
  <c r="Q74" i="22" s="1"/>
  <c r="R74" i="22" s="1"/>
  <c r="P77" i="22"/>
  <c r="Q77" i="22" s="1"/>
  <c r="R77" i="22" s="1"/>
  <c r="P18" i="22"/>
  <c r="Q18" i="22" s="1"/>
  <c r="R18" i="22" s="1"/>
  <c r="P37" i="22"/>
  <c r="Q37" i="22" s="1"/>
  <c r="R37" i="22" s="1"/>
  <c r="P43" i="22"/>
  <c r="Q43" i="22" s="1"/>
  <c r="R43" i="22" s="1"/>
  <c r="P55" i="22"/>
  <c r="Q55" i="22" s="1"/>
  <c r="R55" i="22" s="1"/>
  <c r="P15" i="22"/>
  <c r="Q15" i="22" s="1"/>
  <c r="R15" i="22" s="1"/>
  <c r="P53" i="22"/>
  <c r="Q53" i="22" s="1"/>
  <c r="R53" i="22" s="1"/>
  <c r="P10" i="22"/>
  <c r="Q10" i="22" s="1"/>
  <c r="R10" i="22" s="1"/>
  <c r="P11" i="22"/>
  <c r="Q11" i="22" s="1"/>
  <c r="R11" i="22" s="1"/>
  <c r="N22" i="22"/>
  <c r="O22" i="22" s="1"/>
  <c r="P22" i="22" s="1"/>
  <c r="Q22" i="22" s="1"/>
  <c r="R22" i="22" s="1"/>
  <c r="N26" i="22"/>
  <c r="O26" i="22" s="1"/>
  <c r="P26" i="22" s="1"/>
  <c r="Q26" i="22" s="1"/>
  <c r="R26" i="22" s="1"/>
  <c r="P30" i="22"/>
  <c r="Q30" i="22" s="1"/>
  <c r="R30" i="22" s="1"/>
  <c r="P40" i="22"/>
  <c r="Q40" i="22" s="1"/>
  <c r="R40" i="22" s="1"/>
  <c r="N51" i="22"/>
  <c r="P71" i="22"/>
  <c r="Q71" i="22" s="1"/>
  <c r="R71" i="22" s="1"/>
  <c r="P84" i="22"/>
  <c r="Q84" i="22" s="1"/>
  <c r="R84" i="22" s="1"/>
  <c r="P6" i="22"/>
  <c r="Q6" i="22" s="1"/>
  <c r="R6" i="22" s="1"/>
  <c r="P9" i="22"/>
  <c r="Q9" i="22" s="1"/>
  <c r="R9" i="22" s="1"/>
  <c r="P19" i="22"/>
  <c r="Q19" i="22" s="1"/>
  <c r="R19" i="22" s="1"/>
  <c r="N21" i="22"/>
  <c r="O21" i="22" s="1"/>
  <c r="P21" i="22" s="1"/>
  <c r="Q21" i="22" s="1"/>
  <c r="R21" i="22" s="1"/>
  <c r="N28" i="22"/>
  <c r="O28" i="22" s="1"/>
  <c r="P28" i="22" s="1"/>
  <c r="Q28" i="22" s="1"/>
  <c r="R28" i="22" s="1"/>
  <c r="P36" i="22"/>
  <c r="Q36" i="22" s="1"/>
  <c r="R36" i="22" s="1"/>
  <c r="N50" i="22"/>
  <c r="P83" i="22"/>
  <c r="Q83" i="22" s="1"/>
  <c r="R83" i="22" s="1"/>
  <c r="I110" i="21"/>
  <c r="H111" i="21"/>
  <c r="K132" i="21"/>
  <c r="K88" i="21"/>
  <c r="K77" i="21"/>
  <c r="J86" i="21"/>
  <c r="K82" i="21"/>
  <c r="J83" i="21"/>
  <c r="J122" i="21"/>
  <c r="J85" i="21"/>
  <c r="K81" i="21"/>
  <c r="J88" i="21"/>
  <c r="AD95" i="21"/>
  <c r="K123" i="21"/>
  <c r="I122" i="21"/>
  <c r="K126" i="21"/>
  <c r="H66" i="21"/>
  <c r="K129" i="21"/>
  <c r="K84" i="21"/>
  <c r="K87" i="21"/>
  <c r="H124" i="21"/>
  <c r="J125" i="21"/>
  <c r="J127" i="21"/>
  <c r="J128" i="21"/>
  <c r="J77" i="21"/>
  <c r="J79" i="21"/>
  <c r="J80" i="21"/>
  <c r="J82" i="21"/>
  <c r="H122" i="21"/>
  <c r="H123" i="21"/>
  <c r="J130" i="21"/>
  <c r="J131" i="21"/>
  <c r="J133" i="21"/>
  <c r="H65" i="20"/>
  <c r="I65" i="20"/>
  <c r="H66" i="20"/>
  <c r="I80" i="20"/>
  <c r="I67" i="20"/>
  <c r="I83" i="20"/>
  <c r="AD50" i="20"/>
  <c r="H84" i="20"/>
  <c r="I82" i="20"/>
  <c r="H83" i="20"/>
  <c r="J84" i="20"/>
  <c r="I40" i="20"/>
  <c r="H77" i="20"/>
  <c r="H81" i="20"/>
  <c r="I85" i="20"/>
  <c r="I86" i="20"/>
  <c r="H111" i="20"/>
  <c r="K130" i="20"/>
  <c r="H131" i="20"/>
  <c r="H133" i="20"/>
  <c r="I32" i="20"/>
  <c r="I34" i="20"/>
  <c r="J35" i="20"/>
  <c r="J37" i="20"/>
  <c r="I77" i="20"/>
  <c r="I79" i="20"/>
  <c r="I88" i="20"/>
  <c r="K126" i="20"/>
  <c r="K129" i="20"/>
  <c r="AD51" i="20"/>
  <c r="H87" i="20"/>
  <c r="J125" i="20"/>
  <c r="I33" i="20"/>
  <c r="J36" i="20"/>
  <c r="H42" i="20"/>
  <c r="N72" i="20"/>
  <c r="R72" i="20" s="1"/>
  <c r="V72" i="20" s="1"/>
  <c r="H78" i="20"/>
  <c r="N115" i="20"/>
  <c r="R115" i="20" s="1"/>
  <c r="K125" i="20"/>
  <c r="J127" i="20"/>
  <c r="J128" i="20"/>
  <c r="J130" i="20"/>
  <c r="P104" i="20"/>
  <c r="P69" i="21"/>
  <c r="P113" i="21"/>
  <c r="P62" i="20"/>
  <c r="P60" i="20"/>
  <c r="P66" i="20"/>
  <c r="M9" i="19"/>
  <c r="M38" i="19"/>
  <c r="L12" i="18"/>
  <c r="M10" i="18"/>
  <c r="L54" i="18"/>
  <c r="M34" i="18"/>
  <c r="M57" i="18"/>
  <c r="P64" i="20"/>
  <c r="P65" i="20"/>
  <c r="P111" i="20"/>
  <c r="P105" i="21"/>
  <c r="P107" i="21"/>
  <c r="P68" i="20"/>
  <c r="P106" i="20"/>
  <c r="P114" i="20"/>
  <c r="P111" i="21"/>
  <c r="P114" i="21"/>
  <c r="M31" i="19"/>
  <c r="L32" i="19"/>
  <c r="Z28" i="19"/>
  <c r="L36" i="19"/>
  <c r="X28" i="19"/>
  <c r="X29" i="19"/>
  <c r="L57" i="19"/>
  <c r="M14" i="19"/>
  <c r="M34" i="19"/>
  <c r="M57" i="19"/>
  <c r="Q15" i="19"/>
  <c r="M29" i="19"/>
  <c r="L30" i="19"/>
  <c r="N19" i="19"/>
  <c r="L19" i="19"/>
  <c r="T6" i="19"/>
  <c r="T7" i="19"/>
  <c r="N9" i="19"/>
  <c r="L11" i="19"/>
  <c r="L15" i="19"/>
  <c r="L23" i="19"/>
  <c r="N28" i="19"/>
  <c r="S28" i="19" s="1"/>
  <c r="M32" i="19"/>
  <c r="N32" i="19"/>
  <c r="P36" i="19"/>
  <c r="L49" i="19"/>
  <c r="Z51" i="19"/>
  <c r="U6" i="19"/>
  <c r="Z29" i="19"/>
  <c r="Y29" i="19"/>
  <c r="N34" i="19"/>
  <c r="N57" i="19"/>
  <c r="Y6" i="19"/>
  <c r="P7" i="19"/>
  <c r="U7" i="19" s="1"/>
  <c r="Z50" i="19"/>
  <c r="M52" i="19"/>
  <c r="X53" i="19"/>
  <c r="L5" i="19"/>
  <c r="L8" i="19"/>
  <c r="L12" i="19"/>
  <c r="Q27" i="19"/>
  <c r="M36" i="19"/>
  <c r="N36" i="19"/>
  <c r="Y50" i="19"/>
  <c r="M50" i="19"/>
  <c r="Y51" i="19"/>
  <c r="Y52" i="19"/>
  <c r="M11" i="18"/>
  <c r="M33" i="18"/>
  <c r="X6" i="18"/>
  <c r="L51" i="18"/>
  <c r="Y29" i="18"/>
  <c r="M32" i="18"/>
  <c r="L15" i="18"/>
  <c r="X28" i="18"/>
  <c r="L5" i="18"/>
  <c r="M6" i="18"/>
  <c r="Z6" i="18"/>
  <c r="Y7" i="18"/>
  <c r="N10" i="18"/>
  <c r="L34" i="18"/>
  <c r="L49" i="18"/>
  <c r="T8" i="18"/>
  <c r="N18" i="18"/>
  <c r="L18" i="18"/>
  <c r="M7" i="18"/>
  <c r="Z28" i="18"/>
  <c r="N34" i="18"/>
  <c r="Q34" i="18" s="1"/>
  <c r="U51" i="18"/>
  <c r="Y28" i="18"/>
  <c r="L30" i="18"/>
  <c r="M37" i="18"/>
  <c r="P49" i="18"/>
  <c r="U50" i="18" s="1"/>
  <c r="M53" i="18"/>
  <c r="M56" i="18"/>
  <c r="T52" i="18"/>
  <c r="X8" i="18"/>
  <c r="L8" i="18"/>
  <c r="M22" i="18"/>
  <c r="U28" i="18"/>
  <c r="N32" i="18"/>
  <c r="M36" i="18"/>
  <c r="Z50" i="18"/>
  <c r="Z51" i="18"/>
  <c r="Y52" i="18"/>
  <c r="N57" i="18"/>
  <c r="T7" i="23"/>
  <c r="U7" i="23" s="1"/>
  <c r="Y4" i="23" s="1"/>
  <c r="S7" i="23"/>
  <c r="X4" i="23" s="1"/>
  <c r="T31" i="23"/>
  <c r="U31" i="23" s="1"/>
  <c r="Y12" i="23" s="1"/>
  <c r="S31" i="23"/>
  <c r="X12" i="23" s="1"/>
  <c r="T37" i="23"/>
  <c r="U37" i="23" s="1"/>
  <c r="Y34" i="23" s="1"/>
  <c r="S37" i="23"/>
  <c r="X34" i="23" s="1"/>
  <c r="T16" i="23"/>
  <c r="U16" i="23" s="1"/>
  <c r="Y7" i="23" s="1"/>
  <c r="S16" i="23"/>
  <c r="X7" i="23" s="1"/>
  <c r="T10" i="23"/>
  <c r="U10" i="23" s="1"/>
  <c r="Y5" i="23" s="1"/>
  <c r="T40" i="23"/>
  <c r="U40" i="23" s="1"/>
  <c r="Y35" i="23" s="1"/>
  <c r="S40" i="23"/>
  <c r="X35" i="23" s="1"/>
  <c r="S49" i="23"/>
  <c r="X38" i="23" s="1"/>
  <c r="S10" i="23"/>
  <c r="X5" i="23" s="1"/>
  <c r="T19" i="23"/>
  <c r="U19" i="23" s="1"/>
  <c r="Y8" i="23" s="1"/>
  <c r="P25" i="23"/>
  <c r="Q25" i="23" s="1"/>
  <c r="R25" i="23" s="1"/>
  <c r="T25" i="23" s="1"/>
  <c r="U25" i="23" s="1"/>
  <c r="Y10" i="23" s="1"/>
  <c r="N28" i="23"/>
  <c r="O28" i="23" s="1"/>
  <c r="P28" i="23" s="1"/>
  <c r="Q28" i="23" s="1"/>
  <c r="R28" i="23" s="1"/>
  <c r="S79" i="23"/>
  <c r="X68" i="23" s="1"/>
  <c r="T79" i="23"/>
  <c r="U79" i="23" s="1"/>
  <c r="Y68" i="23" s="1"/>
  <c r="N20" i="23"/>
  <c r="N21" i="23"/>
  <c r="N22" i="23"/>
  <c r="N27" i="23"/>
  <c r="O27" i="23" s="1"/>
  <c r="P27" i="23" s="1"/>
  <c r="Q27" i="23" s="1"/>
  <c r="R27" i="23" s="1"/>
  <c r="T28" i="23" s="1"/>
  <c r="U28" i="23" s="1"/>
  <c r="Y11" i="23" s="1"/>
  <c r="P41" i="23"/>
  <c r="Q41" i="23" s="1"/>
  <c r="R41" i="23" s="1"/>
  <c r="P43" i="23"/>
  <c r="Q43" i="23" s="1"/>
  <c r="R43" i="23" s="1"/>
  <c r="T49" i="23"/>
  <c r="U49" i="23" s="1"/>
  <c r="Y38" i="23" s="1"/>
  <c r="T55" i="23"/>
  <c r="U55" i="23" s="1"/>
  <c r="Y40" i="23" s="1"/>
  <c r="S55" i="23"/>
  <c r="X40" i="23" s="1"/>
  <c r="T67" i="23"/>
  <c r="U67" i="23" s="1"/>
  <c r="Y64" i="23" s="1"/>
  <c r="T91" i="23"/>
  <c r="U91" i="23" s="1"/>
  <c r="Y72" i="23" s="1"/>
  <c r="S91" i="23"/>
  <c r="X72" i="23" s="1"/>
  <c r="P12" i="23"/>
  <c r="Q12" i="23" s="1"/>
  <c r="R12" i="23" s="1"/>
  <c r="T13" i="23" s="1"/>
  <c r="U13" i="23" s="1"/>
  <c r="Y6" i="23" s="1"/>
  <c r="S61" i="23"/>
  <c r="X42" i="23" s="1"/>
  <c r="T61" i="23"/>
  <c r="U61" i="23" s="1"/>
  <c r="Y42" i="23" s="1"/>
  <c r="S67" i="23"/>
  <c r="X64" i="23" s="1"/>
  <c r="T76" i="23"/>
  <c r="U76" i="23" s="1"/>
  <c r="Y67" i="23" s="1"/>
  <c r="S76" i="23"/>
  <c r="X67" i="23" s="1"/>
  <c r="P44" i="23"/>
  <c r="Q44" i="23" s="1"/>
  <c r="R44" i="23" s="1"/>
  <c r="P72" i="23"/>
  <c r="Q72" i="23" s="1"/>
  <c r="R72" i="23" s="1"/>
  <c r="T73" i="23" s="1"/>
  <c r="U73" i="23" s="1"/>
  <c r="Y66" i="23" s="1"/>
  <c r="P85" i="23"/>
  <c r="Q85" i="23" s="1"/>
  <c r="R85" i="23" s="1"/>
  <c r="P68" i="23"/>
  <c r="Q68" i="23" s="1"/>
  <c r="R68" i="23" s="1"/>
  <c r="P84" i="23"/>
  <c r="Q84" i="23" s="1"/>
  <c r="R84" i="23" s="1"/>
  <c r="P12" i="22"/>
  <c r="Q12" i="22" s="1"/>
  <c r="R12" i="22" s="1"/>
  <c r="T13" i="22" s="1"/>
  <c r="U13" i="22" s="1"/>
  <c r="Y6" i="22" s="1"/>
  <c r="P7" i="22"/>
  <c r="Q7" i="22" s="1"/>
  <c r="R7" i="22" s="1"/>
  <c r="P8" i="22"/>
  <c r="Q8" i="22" s="1"/>
  <c r="R8" i="22" s="1"/>
  <c r="P5" i="22"/>
  <c r="Q5" i="22" s="1"/>
  <c r="R5" i="22" s="1"/>
  <c r="P42" i="22"/>
  <c r="Q42" i="22" s="1"/>
  <c r="R42" i="22" s="1"/>
  <c r="P14" i="22"/>
  <c r="Q14" i="22" s="1"/>
  <c r="R14" i="22" s="1"/>
  <c r="P17" i="22"/>
  <c r="Q17" i="22" s="1"/>
  <c r="R17" i="22" s="1"/>
  <c r="N20" i="22"/>
  <c r="O20" i="22" s="1"/>
  <c r="P20" i="22" s="1"/>
  <c r="Q20" i="22" s="1"/>
  <c r="R20" i="22" s="1"/>
  <c r="P23" i="22"/>
  <c r="Q23" i="22" s="1"/>
  <c r="R23" i="22" s="1"/>
  <c r="N57" i="22"/>
  <c r="P44" i="22"/>
  <c r="Q44" i="22" s="1"/>
  <c r="R44" i="22" s="1"/>
  <c r="Y71" i="22"/>
  <c r="X71" i="22"/>
  <c r="P24" i="22"/>
  <c r="Q24" i="22" s="1"/>
  <c r="R24" i="22" s="1"/>
  <c r="P69" i="22"/>
  <c r="Q69" i="22" s="1"/>
  <c r="R69" i="22" s="1"/>
  <c r="P46" i="22"/>
  <c r="Q46" i="22" s="1"/>
  <c r="R46" i="22" s="1"/>
  <c r="N56" i="22"/>
  <c r="P67" i="22"/>
  <c r="Q67" i="22" s="1"/>
  <c r="R67" i="22" s="1"/>
  <c r="P76" i="22"/>
  <c r="Q76" i="22" s="1"/>
  <c r="R76" i="22" s="1"/>
  <c r="P47" i="22"/>
  <c r="Q47" i="22" s="1"/>
  <c r="R47" i="22" s="1"/>
  <c r="P48" i="22"/>
  <c r="Q48" i="22" s="1"/>
  <c r="R48" i="22" s="1"/>
  <c r="P49" i="22"/>
  <c r="Q49" i="22" s="1"/>
  <c r="R49" i="22" s="1"/>
  <c r="P54" i="22"/>
  <c r="Q54" i="22" s="1"/>
  <c r="R54" i="22" s="1"/>
  <c r="N58" i="22"/>
  <c r="P66" i="22"/>
  <c r="Q66" i="22" s="1"/>
  <c r="R66" i="22" s="1"/>
  <c r="P70" i="22"/>
  <c r="Q70" i="22" s="1"/>
  <c r="R70" i="22" s="1"/>
  <c r="P73" i="22"/>
  <c r="Q73" i="22" s="1"/>
  <c r="R73" i="22" s="1"/>
  <c r="P75" i="22"/>
  <c r="Q75" i="22" s="1"/>
  <c r="R75" i="22" s="1"/>
  <c r="AD8" i="21"/>
  <c r="J34" i="21"/>
  <c r="K35" i="21"/>
  <c r="K36" i="21"/>
  <c r="K37" i="21"/>
  <c r="I41" i="21"/>
  <c r="I42" i="21"/>
  <c r="I43" i="21"/>
  <c r="AD50" i="21"/>
  <c r="K32" i="21"/>
  <c r="K33" i="21"/>
  <c r="N46" i="21"/>
  <c r="R46" i="21" s="1"/>
  <c r="V46" i="21" s="1"/>
  <c r="N16" i="21"/>
  <c r="R16" i="21" s="1"/>
  <c r="V16" i="21" s="1"/>
  <c r="I21" i="21"/>
  <c r="H22" i="21"/>
  <c r="N22" i="21" s="1"/>
  <c r="R22" i="21" s="1"/>
  <c r="V22" i="21" s="1"/>
  <c r="H32" i="21"/>
  <c r="H33" i="21"/>
  <c r="H34" i="21"/>
  <c r="I35" i="21"/>
  <c r="I36" i="21"/>
  <c r="J40" i="21"/>
  <c r="K41" i="21"/>
  <c r="K42" i="21"/>
  <c r="P59" i="21"/>
  <c r="P61" i="21"/>
  <c r="P67" i="21"/>
  <c r="P70" i="21"/>
  <c r="I32" i="21"/>
  <c r="I33" i="21"/>
  <c r="J35" i="21"/>
  <c r="J36" i="21"/>
  <c r="K38" i="21"/>
  <c r="K39" i="21"/>
  <c r="H41" i="21"/>
  <c r="H42" i="21"/>
  <c r="I85" i="21"/>
  <c r="H84" i="21"/>
  <c r="I83" i="21"/>
  <c r="H85" i="21"/>
  <c r="H87" i="21"/>
  <c r="I86" i="21"/>
  <c r="I88" i="21"/>
  <c r="H88" i="21"/>
  <c r="I66" i="21"/>
  <c r="H67" i="21"/>
  <c r="H78" i="21"/>
  <c r="I77" i="21"/>
  <c r="I78" i="21"/>
  <c r="H81" i="21"/>
  <c r="AD96" i="21"/>
  <c r="P62" i="21"/>
  <c r="P64" i="21"/>
  <c r="H65" i="21"/>
  <c r="P65" i="21"/>
  <c r="I67" i="21"/>
  <c r="J78" i="21"/>
  <c r="H79" i="21"/>
  <c r="H80" i="21"/>
  <c r="I81" i="21"/>
  <c r="H83" i="21"/>
  <c r="I84" i="21"/>
  <c r="H86" i="21"/>
  <c r="I87" i="21"/>
  <c r="H77" i="21"/>
  <c r="K78" i="21"/>
  <c r="I79" i="21"/>
  <c r="I80" i="21"/>
  <c r="H82" i="21"/>
  <c r="K80" i="21"/>
  <c r="K85" i="21"/>
  <c r="K86" i="21"/>
  <c r="K83" i="21"/>
  <c r="I130" i="21"/>
  <c r="H129" i="21"/>
  <c r="I128" i="21"/>
  <c r="I129" i="21"/>
  <c r="H128" i="21"/>
  <c r="H130" i="21"/>
  <c r="H132" i="21"/>
  <c r="I131" i="21"/>
  <c r="I133" i="21"/>
  <c r="I132" i="21"/>
  <c r="H131" i="21"/>
  <c r="H133" i="21"/>
  <c r="P104" i="21"/>
  <c r="P106" i="21"/>
  <c r="P108" i="21"/>
  <c r="P112" i="21"/>
  <c r="P115" i="21"/>
  <c r="H126" i="21"/>
  <c r="I125" i="21"/>
  <c r="I127" i="21"/>
  <c r="I126" i="21"/>
  <c r="H125" i="21"/>
  <c r="I111" i="21"/>
  <c r="H112" i="21"/>
  <c r="I123" i="21"/>
  <c r="J124" i="21"/>
  <c r="N136" i="21"/>
  <c r="R136" i="21" s="1"/>
  <c r="V136" i="21" s="1"/>
  <c r="H110" i="21"/>
  <c r="K122" i="21"/>
  <c r="J123" i="21"/>
  <c r="K125" i="21"/>
  <c r="J126" i="21"/>
  <c r="K130" i="21"/>
  <c r="K131" i="21"/>
  <c r="J132" i="21"/>
  <c r="K128" i="21"/>
  <c r="AD8" i="20"/>
  <c r="I22" i="20"/>
  <c r="K38" i="20"/>
  <c r="K39" i="20"/>
  <c r="K40" i="20"/>
  <c r="J32" i="20"/>
  <c r="J33" i="20"/>
  <c r="J34" i="20"/>
  <c r="K35" i="20"/>
  <c r="K36" i="20"/>
  <c r="K32" i="20"/>
  <c r="K33" i="20"/>
  <c r="H35" i="20"/>
  <c r="H36" i="20"/>
  <c r="H37" i="20"/>
  <c r="AD52" i="20"/>
  <c r="I35" i="20"/>
  <c r="I36" i="20"/>
  <c r="J38" i="20"/>
  <c r="J39" i="20"/>
  <c r="I42" i="20"/>
  <c r="P69" i="20"/>
  <c r="N70" i="20"/>
  <c r="N74" i="20"/>
  <c r="R74" i="20" s="1"/>
  <c r="J78" i="20"/>
  <c r="K79" i="20"/>
  <c r="J41" i="20"/>
  <c r="J42" i="20"/>
  <c r="J43" i="20"/>
  <c r="N46" i="20"/>
  <c r="R46" i="20" s="1"/>
  <c r="V46" i="20" s="1"/>
  <c r="K41" i="20"/>
  <c r="K42" i="20"/>
  <c r="P63" i="20"/>
  <c r="J83" i="20"/>
  <c r="J85" i="20"/>
  <c r="K84" i="20"/>
  <c r="J88" i="20"/>
  <c r="K87" i="20"/>
  <c r="J86" i="20"/>
  <c r="J87" i="20"/>
  <c r="K88" i="20"/>
  <c r="P105" i="20"/>
  <c r="J77" i="20"/>
  <c r="J79" i="20"/>
  <c r="K78" i="20"/>
  <c r="J82" i="20"/>
  <c r="K81" i="20"/>
  <c r="J80" i="20"/>
  <c r="J81" i="20"/>
  <c r="K82" i="20"/>
  <c r="K85" i="20"/>
  <c r="N90" i="20"/>
  <c r="R90" i="20" s="1"/>
  <c r="V90" i="20" s="1"/>
  <c r="I81" i="20"/>
  <c r="H82" i="20"/>
  <c r="I87" i="20"/>
  <c r="H88" i="20"/>
  <c r="P107" i="20"/>
  <c r="P112" i="20"/>
  <c r="P115" i="20"/>
  <c r="I66" i="20"/>
  <c r="I78" i="20"/>
  <c r="I84" i="20"/>
  <c r="J124" i="20"/>
  <c r="K122" i="20"/>
  <c r="J122" i="20"/>
  <c r="K123" i="20"/>
  <c r="K124" i="20"/>
  <c r="H126" i="20"/>
  <c r="I125" i="20"/>
  <c r="H127" i="20"/>
  <c r="I127" i="20"/>
  <c r="I126" i="20"/>
  <c r="H125" i="20"/>
  <c r="I111" i="20"/>
  <c r="H112" i="20"/>
  <c r="I128" i="20"/>
  <c r="H129" i="20"/>
  <c r="K133" i="20"/>
  <c r="K131" i="20"/>
  <c r="J133" i="20"/>
  <c r="J131" i="20"/>
  <c r="K132" i="20"/>
  <c r="P109" i="20"/>
  <c r="H110" i="20"/>
  <c r="P110" i="20"/>
  <c r="I112" i="20"/>
  <c r="I124" i="20"/>
  <c r="H123" i="20"/>
  <c r="I122" i="20"/>
  <c r="I123" i="20"/>
  <c r="H124" i="20"/>
  <c r="I130" i="20"/>
  <c r="I129" i="20"/>
  <c r="H128" i="20"/>
  <c r="J126" i="20"/>
  <c r="H132" i="20"/>
  <c r="I131" i="20"/>
  <c r="I132" i="20"/>
  <c r="K128" i="20"/>
  <c r="Y8" i="19"/>
  <c r="S9" i="19"/>
  <c r="M5" i="19"/>
  <c r="T8" i="19"/>
  <c r="L16" i="19"/>
  <c r="N16" i="19"/>
  <c r="M21" i="19"/>
  <c r="L21" i="19"/>
  <c r="O28" i="19"/>
  <c r="T28" i="19" s="1"/>
  <c r="L28" i="19"/>
  <c r="N5" i="19"/>
  <c r="M6" i="19"/>
  <c r="L7" i="19"/>
  <c r="Z8" i="19"/>
  <c r="P8" i="19"/>
  <c r="R8" i="19" s="1"/>
  <c r="Y9" i="19"/>
  <c r="O9" i="19"/>
  <c r="T9" i="19" s="1"/>
  <c r="Z9" i="19"/>
  <c r="N11" i="19"/>
  <c r="M12" i="19"/>
  <c r="L13" i="19"/>
  <c r="L14" i="19"/>
  <c r="N14" i="19"/>
  <c r="R17" i="19"/>
  <c r="Q17" i="19"/>
  <c r="N18" i="19"/>
  <c r="M18" i="19"/>
  <c r="L18" i="19"/>
  <c r="L20" i="19"/>
  <c r="N20" i="19"/>
  <c r="M20" i="19"/>
  <c r="O22" i="19"/>
  <c r="Y28" i="19"/>
  <c r="P37" i="19"/>
  <c r="R37" i="19" s="1"/>
  <c r="M42" i="19"/>
  <c r="L42" i="19"/>
  <c r="N42" i="19"/>
  <c r="L10" i="19"/>
  <c r="M11" i="19"/>
  <c r="O18" i="19"/>
  <c r="X6" i="19"/>
  <c r="L6" i="19"/>
  <c r="N6" i="19"/>
  <c r="M7" i="19"/>
  <c r="X7" i="19"/>
  <c r="M13" i="19"/>
  <c r="P16" i="19"/>
  <c r="N21" i="19"/>
  <c r="N22" i="19"/>
  <c r="M22" i="19"/>
  <c r="L22" i="19"/>
  <c r="M43" i="19"/>
  <c r="L43" i="19"/>
  <c r="N43" i="19"/>
  <c r="N10" i="19"/>
  <c r="R15" i="19"/>
  <c r="M16" i="19"/>
  <c r="M41" i="19"/>
  <c r="L41" i="19"/>
  <c r="Z6" i="19"/>
  <c r="Y7" i="19"/>
  <c r="M8" i="19"/>
  <c r="S8" i="19"/>
  <c r="X8" i="19"/>
  <c r="L9" i="19"/>
  <c r="M10" i="19"/>
  <c r="P12" i="19"/>
  <c r="O13" i="19"/>
  <c r="R13" i="19" s="1"/>
  <c r="M17" i="19"/>
  <c r="L17" i="19"/>
  <c r="P20" i="19"/>
  <c r="AB28" i="19"/>
  <c r="U28" i="19"/>
  <c r="N29" i="19"/>
  <c r="S30" i="19" s="1"/>
  <c r="L29" i="19"/>
  <c r="Y32" i="19"/>
  <c r="Z30" i="19"/>
  <c r="X30" i="19"/>
  <c r="L35" i="19"/>
  <c r="N35" i="19"/>
  <c r="M35" i="19"/>
  <c r="M40" i="19"/>
  <c r="L40" i="19"/>
  <c r="N40" i="19"/>
  <c r="L45" i="19"/>
  <c r="M45" i="19"/>
  <c r="N45" i="19"/>
  <c r="M15" i="19"/>
  <c r="M19" i="19"/>
  <c r="M23" i="19"/>
  <c r="L27" i="19"/>
  <c r="M30" i="19"/>
  <c r="L31" i="19"/>
  <c r="N31" i="19"/>
  <c r="L34" i="19"/>
  <c r="O34" i="19"/>
  <c r="Q34" i="19" s="1"/>
  <c r="O39" i="19"/>
  <c r="O44" i="19"/>
  <c r="R27" i="19"/>
  <c r="M27" i="19"/>
  <c r="P29" i="19"/>
  <c r="U29" i="19" s="1"/>
  <c r="Y30" i="19"/>
  <c r="O30" i="19"/>
  <c r="Q30" i="19" s="1"/>
  <c r="O31" i="19"/>
  <c r="L38" i="19"/>
  <c r="N38" i="19"/>
  <c r="P43" i="19"/>
  <c r="L44" i="19"/>
  <c r="N44" i="19"/>
  <c r="M44" i="19"/>
  <c r="P45" i="19"/>
  <c r="N50" i="19"/>
  <c r="X50" i="19"/>
  <c r="L50" i="19"/>
  <c r="P19" i="19"/>
  <c r="P23" i="19"/>
  <c r="M28" i="19"/>
  <c r="P31" i="19"/>
  <c r="U31" i="19" s="1"/>
  <c r="O32" i="19"/>
  <c r="P33" i="19"/>
  <c r="M39" i="19"/>
  <c r="L39" i="19"/>
  <c r="N39" i="19"/>
  <c r="O40" i="19"/>
  <c r="O41" i="19"/>
  <c r="Q41" i="19" s="1"/>
  <c r="O42" i="19"/>
  <c r="O43" i="19"/>
  <c r="L33" i="19"/>
  <c r="Q36" i="19"/>
  <c r="L37" i="19"/>
  <c r="R49" i="19"/>
  <c r="Q49" i="19"/>
  <c r="T50" i="19"/>
  <c r="U50" i="19"/>
  <c r="M33" i="19"/>
  <c r="R36" i="19"/>
  <c r="M37" i="19"/>
  <c r="U53" i="19"/>
  <c r="U55" i="19"/>
  <c r="Z53" i="19"/>
  <c r="T51" i="19"/>
  <c r="Z52" i="19"/>
  <c r="M53" i="19"/>
  <c r="O54" i="19"/>
  <c r="M56" i="19"/>
  <c r="P59" i="19"/>
  <c r="Q59" i="19" s="1"/>
  <c r="O62" i="19"/>
  <c r="P63" i="19"/>
  <c r="O66" i="19"/>
  <c r="N67" i="19"/>
  <c r="M67" i="19"/>
  <c r="L67" i="19"/>
  <c r="L51" i="19"/>
  <c r="P51" i="19"/>
  <c r="U51" i="19" s="1"/>
  <c r="X51" i="19"/>
  <c r="O52" i="19"/>
  <c r="T52" i="19" s="1"/>
  <c r="S52" i="19"/>
  <c r="Y53" i="19"/>
  <c r="N53" i="19"/>
  <c r="N58" i="19"/>
  <c r="M58" i="19"/>
  <c r="L58" i="19"/>
  <c r="O59" i="19"/>
  <c r="P60" i="19"/>
  <c r="O63" i="19"/>
  <c r="P64" i="19"/>
  <c r="M49" i="19"/>
  <c r="M51" i="19"/>
  <c r="L52" i="19"/>
  <c r="X52" i="19"/>
  <c r="O53" i="19"/>
  <c r="M54" i="19"/>
  <c r="L55" i="19"/>
  <c r="Q55" i="19"/>
  <c r="P56" i="19"/>
  <c r="Q56" i="19" s="1"/>
  <c r="O57" i="19"/>
  <c r="P57" i="19"/>
  <c r="O60" i="19"/>
  <c r="P61" i="19"/>
  <c r="O64" i="19"/>
  <c r="P65" i="19"/>
  <c r="L53" i="19"/>
  <c r="L54" i="19"/>
  <c r="N54" i="19"/>
  <c r="M55" i="19"/>
  <c r="R55" i="19"/>
  <c r="L56" i="19"/>
  <c r="P58" i="19"/>
  <c r="O61" i="19"/>
  <c r="P62" i="19"/>
  <c r="O65" i="19"/>
  <c r="P66" i="19"/>
  <c r="P67" i="19"/>
  <c r="L59" i="19"/>
  <c r="L60" i="19"/>
  <c r="L61" i="19"/>
  <c r="L62" i="19"/>
  <c r="L63" i="19"/>
  <c r="L64" i="19"/>
  <c r="L65" i="19"/>
  <c r="L66" i="19"/>
  <c r="M59" i="19"/>
  <c r="M60" i="19"/>
  <c r="M61" i="19"/>
  <c r="M62" i="19"/>
  <c r="M63" i="19"/>
  <c r="M64" i="19"/>
  <c r="M65" i="19"/>
  <c r="M66" i="19"/>
  <c r="U7" i="18"/>
  <c r="R8" i="18"/>
  <c r="Q8" i="18"/>
  <c r="U8" i="18"/>
  <c r="U6" i="18"/>
  <c r="M5" i="18"/>
  <c r="O21" i="18"/>
  <c r="R21" i="18" s="1"/>
  <c r="M21" i="18"/>
  <c r="N5" i="18"/>
  <c r="S6" i="18" s="1"/>
  <c r="O6" i="18"/>
  <c r="T6" i="18" s="1"/>
  <c r="N7" i="18"/>
  <c r="S8" i="18" s="1"/>
  <c r="Z7" i="18"/>
  <c r="AB7" i="18" s="1"/>
  <c r="M8" i="18"/>
  <c r="Y8" i="18"/>
  <c r="T9" i="18"/>
  <c r="L9" i="18"/>
  <c r="P9" i="18"/>
  <c r="R9" i="18" s="1"/>
  <c r="X9" i="18"/>
  <c r="O10" i="18"/>
  <c r="N11" i="18"/>
  <c r="M12" i="18"/>
  <c r="M19" i="18"/>
  <c r="P22" i="18"/>
  <c r="P23" i="18"/>
  <c r="M13" i="18"/>
  <c r="N19" i="18"/>
  <c r="L19" i="18"/>
  <c r="L21" i="18"/>
  <c r="O22" i="18"/>
  <c r="L6" i="18"/>
  <c r="Z8" i="18"/>
  <c r="M9" i="18"/>
  <c r="L10" i="18"/>
  <c r="N12" i="18"/>
  <c r="P14" i="18"/>
  <c r="R15" i="18"/>
  <c r="L16" i="18"/>
  <c r="O17" i="18"/>
  <c r="M17" i="18"/>
  <c r="L17" i="18"/>
  <c r="O18" i="18"/>
  <c r="M18" i="18"/>
  <c r="N23" i="18"/>
  <c r="L23" i="18"/>
  <c r="N13" i="18"/>
  <c r="L7" i="18"/>
  <c r="L11" i="18"/>
  <c r="L13" i="18"/>
  <c r="M14" i="18"/>
  <c r="Q15" i="18"/>
  <c r="Q16" i="18"/>
  <c r="P17" i="18"/>
  <c r="P18" i="18"/>
  <c r="P19" i="18"/>
  <c r="N20" i="18"/>
  <c r="M20" i="18"/>
  <c r="L20" i="18"/>
  <c r="L22" i="18"/>
  <c r="M23" i="18"/>
  <c r="AB28" i="18"/>
  <c r="O28" i="18"/>
  <c r="Q28" i="18" s="1"/>
  <c r="X29" i="18"/>
  <c r="L29" i="18"/>
  <c r="N29" i="18"/>
  <c r="S30" i="18" s="1"/>
  <c r="Z30" i="18"/>
  <c r="T31" i="18"/>
  <c r="O39" i="18"/>
  <c r="P40" i="18"/>
  <c r="L43" i="18"/>
  <c r="O43" i="18"/>
  <c r="O44" i="18"/>
  <c r="O45" i="18"/>
  <c r="R51" i="18"/>
  <c r="Q51" i="18"/>
  <c r="M27" i="18"/>
  <c r="O29" i="18"/>
  <c r="R30" i="18"/>
  <c r="Q30" i="18"/>
  <c r="L32" i="18"/>
  <c r="O32" i="18"/>
  <c r="L36" i="18"/>
  <c r="O36" i="18"/>
  <c r="Q36" i="18" s="1"/>
  <c r="O40" i="18"/>
  <c r="P41" i="18"/>
  <c r="L14" i="18"/>
  <c r="N14" i="18"/>
  <c r="M15" i="18"/>
  <c r="L27" i="18"/>
  <c r="N27" i="18"/>
  <c r="S28" i="18" s="1"/>
  <c r="L28" i="18"/>
  <c r="P29" i="18"/>
  <c r="U29" i="18" s="1"/>
  <c r="Z29" i="18"/>
  <c r="P38" i="18"/>
  <c r="O41" i="18"/>
  <c r="P42" i="18"/>
  <c r="P44" i="18"/>
  <c r="O13" i="18"/>
  <c r="R16" i="18"/>
  <c r="M16" i="18"/>
  <c r="M28" i="18"/>
  <c r="M29" i="18"/>
  <c r="X30" i="18"/>
  <c r="P31" i="18"/>
  <c r="L33" i="18"/>
  <c r="N33" i="18"/>
  <c r="P35" i="18"/>
  <c r="Q35" i="18" s="1"/>
  <c r="L37" i="18"/>
  <c r="N37" i="18"/>
  <c r="P39" i="18"/>
  <c r="Q39" i="18" s="1"/>
  <c r="L42" i="18"/>
  <c r="O42" i="18"/>
  <c r="P43" i="18"/>
  <c r="M44" i="18"/>
  <c r="L44" i="18"/>
  <c r="N44" i="18"/>
  <c r="O50" i="18"/>
  <c r="T50" i="18" s="1"/>
  <c r="M50" i="18"/>
  <c r="Y50" i="18"/>
  <c r="M30" i="18"/>
  <c r="Y30" i="18"/>
  <c r="L31" i="18"/>
  <c r="L35" i="18"/>
  <c r="L38" i="18"/>
  <c r="L39" i="18"/>
  <c r="L40" i="18"/>
  <c r="L41" i="18"/>
  <c r="M45" i="18"/>
  <c r="L45" i="18"/>
  <c r="S52" i="18"/>
  <c r="M31" i="18"/>
  <c r="M35" i="18"/>
  <c r="M38" i="18"/>
  <c r="M39" i="18"/>
  <c r="M40" i="18"/>
  <c r="M41" i="18"/>
  <c r="M42" i="18"/>
  <c r="M43" i="18"/>
  <c r="N45" i="18"/>
  <c r="M49" i="18"/>
  <c r="X50" i="18"/>
  <c r="L50" i="18"/>
  <c r="N50" i="18"/>
  <c r="S51" i="18" s="1"/>
  <c r="S53" i="18"/>
  <c r="X52" i="18"/>
  <c r="Z52" i="18"/>
  <c r="X51" i="18"/>
  <c r="P55" i="18"/>
  <c r="L58" i="18"/>
  <c r="N58" i="18"/>
  <c r="L59" i="18"/>
  <c r="O59" i="18"/>
  <c r="Q59" i="18" s="1"/>
  <c r="P60" i="18"/>
  <c r="O63" i="18"/>
  <c r="P64" i="18"/>
  <c r="O67" i="18"/>
  <c r="M51" i="18"/>
  <c r="Y51" i="18"/>
  <c r="L52" i="18"/>
  <c r="P52" i="18"/>
  <c r="U52" i="18" s="1"/>
  <c r="O53" i="18"/>
  <c r="T53" i="18" s="1"/>
  <c r="M54" i="18"/>
  <c r="L55" i="18"/>
  <c r="N56" i="18"/>
  <c r="L56" i="18"/>
  <c r="L57" i="18"/>
  <c r="O57" i="18"/>
  <c r="O60" i="18"/>
  <c r="P61" i="18"/>
  <c r="O64" i="18"/>
  <c r="P65" i="18"/>
  <c r="M52" i="18"/>
  <c r="L53" i="18"/>
  <c r="P53" i="18"/>
  <c r="M55" i="18"/>
  <c r="O61" i="18"/>
  <c r="P62" i="18"/>
  <c r="O65" i="18"/>
  <c r="P66" i="18"/>
  <c r="P54" i="18"/>
  <c r="R54" i="18" s="1"/>
  <c r="O55" i="18"/>
  <c r="P56" i="18"/>
  <c r="M58" i="18"/>
  <c r="M59" i="18"/>
  <c r="O62" i="18"/>
  <c r="P63" i="18"/>
  <c r="O66" i="18"/>
  <c r="P67" i="18"/>
  <c r="L60" i="18"/>
  <c r="L61" i="18"/>
  <c r="L62" i="18"/>
  <c r="L63" i="18"/>
  <c r="L64" i="18"/>
  <c r="L65" i="18"/>
  <c r="L66" i="18"/>
  <c r="L67" i="18"/>
  <c r="M60" i="18"/>
  <c r="M61" i="18"/>
  <c r="M62" i="18"/>
  <c r="M63" i="18"/>
  <c r="M64" i="18"/>
  <c r="M65" i="18"/>
  <c r="M66" i="18"/>
  <c r="M67" i="18"/>
  <c r="T88" i="23" l="1"/>
  <c r="U88" i="23" s="1"/>
  <c r="Y71" i="23" s="1"/>
  <c r="S88" i="23"/>
  <c r="X71" i="23" s="1"/>
  <c r="O80" i="23"/>
  <c r="P80" i="23" s="1"/>
  <c r="Q80" i="23" s="1"/>
  <c r="R80" i="23" s="1"/>
  <c r="O57" i="23"/>
  <c r="P57" i="23" s="1"/>
  <c r="Q57" i="23" s="1"/>
  <c r="R57" i="23" s="1"/>
  <c r="S52" i="23"/>
  <c r="X39" i="23" s="1"/>
  <c r="T52" i="23"/>
  <c r="U52" i="23" s="1"/>
  <c r="Y39" i="23" s="1"/>
  <c r="O21" i="23"/>
  <c r="P21" i="23" s="1"/>
  <c r="Q21" i="23" s="1"/>
  <c r="R21" i="23" s="1"/>
  <c r="O22" i="23"/>
  <c r="P22" i="23" s="1"/>
  <c r="Q22" i="23" s="1"/>
  <c r="R22" i="23" s="1"/>
  <c r="O20" i="23"/>
  <c r="P20" i="23" s="1"/>
  <c r="Q20" i="23" s="1"/>
  <c r="R20" i="23" s="1"/>
  <c r="S85" i="23"/>
  <c r="X70" i="23" s="1"/>
  <c r="T82" i="22"/>
  <c r="U82" i="22" s="1"/>
  <c r="Y69" i="22" s="1"/>
  <c r="O58" i="22"/>
  <c r="P58" i="22" s="1"/>
  <c r="Q58" i="22" s="1"/>
  <c r="R58" i="22" s="1"/>
  <c r="O57" i="22"/>
  <c r="P57" i="22" s="1"/>
  <c r="Q57" i="22" s="1"/>
  <c r="R57" i="22" s="1"/>
  <c r="O56" i="22"/>
  <c r="P56" i="22" s="1"/>
  <c r="Q56" i="22" s="1"/>
  <c r="R56" i="22" s="1"/>
  <c r="O52" i="22"/>
  <c r="P52" i="22" s="1"/>
  <c r="Q52" i="22" s="1"/>
  <c r="R52" i="22" s="1"/>
  <c r="O51" i="22"/>
  <c r="P51" i="22" s="1"/>
  <c r="Q51" i="22" s="1"/>
  <c r="R51" i="22" s="1"/>
  <c r="O50" i="22"/>
  <c r="P50" i="22" s="1"/>
  <c r="Q50" i="22" s="1"/>
  <c r="R50" i="22" s="1"/>
  <c r="T28" i="22"/>
  <c r="U28" i="22" s="1"/>
  <c r="Y11" i="22" s="1"/>
  <c r="S61" i="22"/>
  <c r="X42" i="22" s="1"/>
  <c r="T55" i="22"/>
  <c r="U55" i="22" s="1"/>
  <c r="Y40" i="22" s="1"/>
  <c r="T40" i="22"/>
  <c r="U40" i="22" s="1"/>
  <c r="Y35" i="22" s="1"/>
  <c r="S37" i="22"/>
  <c r="X34" i="22" s="1"/>
  <c r="T79" i="22"/>
  <c r="U79" i="22" s="1"/>
  <c r="Y68" i="22" s="1"/>
  <c r="S85" i="22"/>
  <c r="X70" i="22" s="1"/>
  <c r="X68" i="22"/>
  <c r="S73" i="22"/>
  <c r="X66" i="22" s="1"/>
  <c r="S82" i="22"/>
  <c r="X69" i="22" s="1"/>
  <c r="T31" i="22"/>
  <c r="U31" i="22" s="1"/>
  <c r="Y12" i="22" s="1"/>
  <c r="T61" i="22"/>
  <c r="U61" i="22" s="1"/>
  <c r="Y42" i="22" s="1"/>
  <c r="X72" i="22"/>
  <c r="T85" i="22"/>
  <c r="U85" i="22" s="1"/>
  <c r="Y70" i="22" s="1"/>
  <c r="S43" i="22"/>
  <c r="X36" i="22" s="1"/>
  <c r="S31" i="22"/>
  <c r="X12" i="22" s="1"/>
  <c r="S40" i="22"/>
  <c r="X35" i="22" s="1"/>
  <c r="S28" i="22"/>
  <c r="X11" i="22" s="1"/>
  <c r="T37" i="22"/>
  <c r="U37" i="22" s="1"/>
  <c r="Y34" i="22" s="1"/>
  <c r="S13" i="22"/>
  <c r="X6" i="22" s="1"/>
  <c r="S76" i="22"/>
  <c r="X67" i="22" s="1"/>
  <c r="T70" i="22"/>
  <c r="U70" i="22" s="1"/>
  <c r="Y65" i="22" s="1"/>
  <c r="S55" i="22"/>
  <c r="X40" i="22" s="1"/>
  <c r="N116" i="21"/>
  <c r="R116" i="21" s="1"/>
  <c r="V116" i="21" s="1"/>
  <c r="N65" i="21"/>
  <c r="R65" i="21" s="1"/>
  <c r="V65" i="21" s="1"/>
  <c r="N39" i="21"/>
  <c r="R39" i="21" s="1"/>
  <c r="V39" i="21" s="1"/>
  <c r="N109" i="21"/>
  <c r="R109" i="21" s="1"/>
  <c r="V109" i="21" s="1"/>
  <c r="N99" i="21"/>
  <c r="R99" i="21" s="1"/>
  <c r="V99" i="21" s="1"/>
  <c r="N101" i="21"/>
  <c r="R101" i="21" s="1"/>
  <c r="N26" i="21"/>
  <c r="R26" i="21" s="1"/>
  <c r="V26" i="21" s="1"/>
  <c r="N43" i="21"/>
  <c r="R43" i="21" s="1"/>
  <c r="V43" i="21" s="1"/>
  <c r="N106" i="21"/>
  <c r="R106" i="21" s="1"/>
  <c r="V106" i="21" s="1"/>
  <c r="N114" i="21"/>
  <c r="R114" i="21" s="1"/>
  <c r="V114" i="21" s="1"/>
  <c r="N25" i="21"/>
  <c r="R25" i="21" s="1"/>
  <c r="V25" i="21" s="1"/>
  <c r="N40" i="21"/>
  <c r="R40" i="21" s="1"/>
  <c r="V40" i="21" s="1"/>
  <c r="N95" i="21"/>
  <c r="R95" i="21" s="1"/>
  <c r="N111" i="21"/>
  <c r="R111" i="21" s="1"/>
  <c r="V111" i="21" s="1"/>
  <c r="N108" i="21"/>
  <c r="R108" i="21" s="1"/>
  <c r="V108" i="21" s="1"/>
  <c r="N82" i="21"/>
  <c r="R82" i="21" s="1"/>
  <c r="V82" i="21" s="1"/>
  <c r="N68" i="21"/>
  <c r="R68" i="21" s="1"/>
  <c r="N110" i="21"/>
  <c r="N133" i="21"/>
  <c r="R133" i="21" s="1"/>
  <c r="V133" i="21" s="1"/>
  <c r="N36" i="21"/>
  <c r="R36" i="21" s="1"/>
  <c r="V36" i="21" s="1"/>
  <c r="N76" i="21"/>
  <c r="R76" i="21" s="1"/>
  <c r="V76" i="21" s="1"/>
  <c r="N63" i="21"/>
  <c r="R63" i="21" s="1"/>
  <c r="V63" i="21" s="1"/>
  <c r="N70" i="21"/>
  <c r="R70" i="21" s="1"/>
  <c r="V70" i="21" s="1"/>
  <c r="N115" i="21"/>
  <c r="R115" i="21" s="1"/>
  <c r="V115" i="21" s="1"/>
  <c r="N118" i="21"/>
  <c r="R118" i="21" s="1"/>
  <c r="V118" i="21" s="1"/>
  <c r="N117" i="21"/>
  <c r="R117" i="21" s="1"/>
  <c r="V117" i="21" s="1"/>
  <c r="N87" i="21"/>
  <c r="R87" i="21" s="1"/>
  <c r="V87" i="21" s="1"/>
  <c r="N81" i="21"/>
  <c r="R81" i="21" s="1"/>
  <c r="V81" i="21" s="1"/>
  <c r="N112" i="21"/>
  <c r="R112" i="21" s="1"/>
  <c r="V112" i="21" s="1"/>
  <c r="N37" i="21"/>
  <c r="R37" i="21" s="1"/>
  <c r="V37" i="21" s="1"/>
  <c r="N71" i="21"/>
  <c r="R71" i="21" s="1"/>
  <c r="V71" i="21" s="1"/>
  <c r="N124" i="21"/>
  <c r="R124" i="21" s="1"/>
  <c r="V124" i="21" s="1"/>
  <c r="N57" i="21"/>
  <c r="R57" i="21" s="1"/>
  <c r="V57" i="21" s="1"/>
  <c r="N66" i="21"/>
  <c r="R66" i="21" s="1"/>
  <c r="V66" i="21" s="1"/>
  <c r="N74" i="21"/>
  <c r="R74" i="21" s="1"/>
  <c r="N31" i="21"/>
  <c r="R31" i="21" s="1"/>
  <c r="V31" i="21" s="1"/>
  <c r="N12" i="21"/>
  <c r="R12" i="21" s="1"/>
  <c r="V12" i="21" s="1"/>
  <c r="N24" i="21"/>
  <c r="R24" i="21" s="1"/>
  <c r="V24" i="21" s="1"/>
  <c r="N21" i="21"/>
  <c r="R21" i="21" s="1"/>
  <c r="V21" i="21" s="1"/>
  <c r="N113" i="21"/>
  <c r="R113" i="21" s="1"/>
  <c r="V113" i="21" s="1"/>
  <c r="N54" i="21"/>
  <c r="R54" i="21" s="1"/>
  <c r="V54" i="21" s="1"/>
  <c r="N27" i="21"/>
  <c r="R27" i="21" s="1"/>
  <c r="V27" i="21" s="1"/>
  <c r="N73" i="21"/>
  <c r="R73" i="21" s="1"/>
  <c r="V73" i="21" s="1"/>
  <c r="N15" i="21"/>
  <c r="R15" i="21" s="1"/>
  <c r="V15" i="21" s="1"/>
  <c r="N23" i="21"/>
  <c r="R23" i="21" s="1"/>
  <c r="V23" i="21" s="1"/>
  <c r="N52" i="21"/>
  <c r="R52" i="21" s="1"/>
  <c r="V52" i="21" s="1"/>
  <c r="N20" i="21"/>
  <c r="R20" i="21" s="1"/>
  <c r="V20" i="21" s="1"/>
  <c r="N121" i="21"/>
  <c r="R121" i="21" s="1"/>
  <c r="V121" i="21" s="1"/>
  <c r="N129" i="21"/>
  <c r="R129" i="21" s="1"/>
  <c r="V129" i="21" s="1"/>
  <c r="N105" i="21"/>
  <c r="R105" i="21" s="1"/>
  <c r="V105" i="21" s="1"/>
  <c r="N102" i="21"/>
  <c r="R102" i="21" s="1"/>
  <c r="V102" i="21" s="1"/>
  <c r="N7" i="21"/>
  <c r="R7" i="21" s="1"/>
  <c r="V7" i="21" s="1"/>
  <c r="N97" i="21"/>
  <c r="R97" i="21" s="1"/>
  <c r="V97" i="21" s="1"/>
  <c r="N28" i="21"/>
  <c r="R28" i="21" s="1"/>
  <c r="V28" i="21" s="1"/>
  <c r="N58" i="21"/>
  <c r="R58" i="21" s="1"/>
  <c r="V58" i="21" s="1"/>
  <c r="N100" i="21"/>
  <c r="R100" i="21" s="1"/>
  <c r="V100" i="21" s="1"/>
  <c r="N96" i="21"/>
  <c r="R96" i="21" s="1"/>
  <c r="V96" i="21" s="1"/>
  <c r="N38" i="21"/>
  <c r="R38" i="21" s="1"/>
  <c r="V38" i="21" s="1"/>
  <c r="N32" i="21"/>
  <c r="R32" i="21" s="1"/>
  <c r="N35" i="21"/>
  <c r="R35" i="21" s="1"/>
  <c r="N69" i="21"/>
  <c r="R69" i="21" s="1"/>
  <c r="N127" i="21"/>
  <c r="R127" i="21" s="1"/>
  <c r="V127" i="21" s="1"/>
  <c r="N62" i="21"/>
  <c r="R62" i="21" s="1"/>
  <c r="N89" i="21"/>
  <c r="R89" i="21" s="1"/>
  <c r="V89" i="21" s="1"/>
  <c r="N135" i="21"/>
  <c r="R135" i="21" s="1"/>
  <c r="V135" i="21" s="1"/>
  <c r="N90" i="21"/>
  <c r="R90" i="21" s="1"/>
  <c r="V90" i="21" s="1"/>
  <c r="N61" i="21"/>
  <c r="R61" i="21" s="1"/>
  <c r="V61" i="21" s="1"/>
  <c r="N72" i="21"/>
  <c r="R72" i="21" s="1"/>
  <c r="V72" i="21" s="1"/>
  <c r="N10" i="21"/>
  <c r="R10" i="21" s="1"/>
  <c r="V10" i="21" s="1"/>
  <c r="N29" i="21"/>
  <c r="R29" i="21" s="1"/>
  <c r="N41" i="21"/>
  <c r="R41" i="21" s="1"/>
  <c r="N18" i="21"/>
  <c r="R18" i="21" s="1"/>
  <c r="V18" i="21" s="1"/>
  <c r="N117" i="20"/>
  <c r="R117" i="20" s="1"/>
  <c r="V117" i="20" s="1"/>
  <c r="N28" i="20"/>
  <c r="R28" i="20" s="1"/>
  <c r="V28" i="20" s="1"/>
  <c r="N24" i="20"/>
  <c r="R24" i="20" s="1"/>
  <c r="V24" i="20" s="1"/>
  <c r="N77" i="20"/>
  <c r="R77" i="20" s="1"/>
  <c r="V77" i="20" s="1"/>
  <c r="N55" i="20"/>
  <c r="R55" i="20" s="1"/>
  <c r="V55" i="20" s="1"/>
  <c r="N32" i="20"/>
  <c r="R32" i="20" s="1"/>
  <c r="N54" i="20"/>
  <c r="R54" i="20" s="1"/>
  <c r="V54" i="20" s="1"/>
  <c r="N122" i="20"/>
  <c r="R122" i="20" s="1"/>
  <c r="N68" i="20"/>
  <c r="R68" i="20" s="1"/>
  <c r="V68" i="20" s="1"/>
  <c r="N116" i="20"/>
  <c r="R116" i="20" s="1"/>
  <c r="V116" i="20" s="1"/>
  <c r="N63" i="20"/>
  <c r="R63" i="20" s="1"/>
  <c r="V63" i="20" s="1"/>
  <c r="N118" i="20"/>
  <c r="R118" i="20" s="1"/>
  <c r="V118" i="20" s="1"/>
  <c r="N113" i="20"/>
  <c r="R113" i="20" s="1"/>
  <c r="N106" i="20"/>
  <c r="R106" i="20" s="1"/>
  <c r="V106" i="20" s="1"/>
  <c r="N71" i="20"/>
  <c r="R71" i="20" s="1"/>
  <c r="N98" i="20"/>
  <c r="R98" i="20" s="1"/>
  <c r="V98" i="20" s="1"/>
  <c r="N114" i="20"/>
  <c r="R114" i="20" s="1"/>
  <c r="V114" i="20" s="1"/>
  <c r="N108" i="20"/>
  <c r="R108" i="20" s="1"/>
  <c r="V108" i="20" s="1"/>
  <c r="N86" i="20"/>
  <c r="R86" i="20" s="1"/>
  <c r="V86" i="20" s="1"/>
  <c r="N65" i="20"/>
  <c r="R65" i="20" s="1"/>
  <c r="V65" i="20" s="1"/>
  <c r="N26" i="20"/>
  <c r="R26" i="20" s="1"/>
  <c r="V26" i="20" s="1"/>
  <c r="N73" i="20"/>
  <c r="R73" i="20" s="1"/>
  <c r="V73" i="20" s="1"/>
  <c r="R70" i="20"/>
  <c r="V70" i="20" s="1"/>
  <c r="N52" i="20"/>
  <c r="R52" i="20" s="1"/>
  <c r="V52" i="20" s="1"/>
  <c r="N66" i="20"/>
  <c r="R66" i="20" s="1"/>
  <c r="N35" i="20"/>
  <c r="R35" i="20" s="1"/>
  <c r="V35" i="20" s="1"/>
  <c r="N40" i="20"/>
  <c r="R40" i="20" s="1"/>
  <c r="V40" i="20" s="1"/>
  <c r="N27" i="20"/>
  <c r="R27" i="20" s="1"/>
  <c r="V27" i="20" s="1"/>
  <c r="N127" i="20"/>
  <c r="R127" i="20" s="1"/>
  <c r="V127" i="20" s="1"/>
  <c r="N43" i="20"/>
  <c r="R43" i="20" s="1"/>
  <c r="V43" i="20" s="1"/>
  <c r="N37" i="20"/>
  <c r="R37" i="20" s="1"/>
  <c r="V37" i="20" s="1"/>
  <c r="N129" i="20"/>
  <c r="R129" i="20" s="1"/>
  <c r="V129" i="20" s="1"/>
  <c r="N95" i="20"/>
  <c r="R95" i="20" s="1"/>
  <c r="N91" i="20"/>
  <c r="R91" i="20" s="1"/>
  <c r="V91" i="20" s="1"/>
  <c r="N22" i="20"/>
  <c r="R22" i="20" s="1"/>
  <c r="V22" i="20" s="1"/>
  <c r="N67" i="20"/>
  <c r="R67" i="20" s="1"/>
  <c r="N120" i="20"/>
  <c r="R120" i="20" s="1"/>
  <c r="V120" i="20" s="1"/>
  <c r="N103" i="20"/>
  <c r="R103" i="20" s="1"/>
  <c r="V103" i="20" s="1"/>
  <c r="N79" i="20"/>
  <c r="R79" i="20" s="1"/>
  <c r="V79" i="20" s="1"/>
  <c r="N19" i="20"/>
  <c r="R19" i="20" s="1"/>
  <c r="V19" i="20" s="1"/>
  <c r="N69" i="20"/>
  <c r="R69" i="20" s="1"/>
  <c r="V69" i="20" s="1"/>
  <c r="N110" i="20"/>
  <c r="R110" i="20" s="1"/>
  <c r="V110" i="20" s="1"/>
  <c r="N107" i="20"/>
  <c r="R107" i="20" s="1"/>
  <c r="N12" i="20"/>
  <c r="R12" i="20" s="1"/>
  <c r="V12" i="20" s="1"/>
  <c r="N100" i="20"/>
  <c r="R100" i="20" s="1"/>
  <c r="V100" i="20" s="1"/>
  <c r="N109" i="20"/>
  <c r="R109" i="20" s="1"/>
  <c r="V109" i="20" s="1"/>
  <c r="N89" i="20"/>
  <c r="R89" i="20" s="1"/>
  <c r="V89" i="20" s="1"/>
  <c r="N97" i="20"/>
  <c r="R97" i="20" s="1"/>
  <c r="V97" i="20" s="1"/>
  <c r="N132" i="20"/>
  <c r="R132" i="20" s="1"/>
  <c r="V132" i="20" s="1"/>
  <c r="N111" i="20"/>
  <c r="R111" i="20" s="1"/>
  <c r="V111" i="20" s="1"/>
  <c r="N99" i="20"/>
  <c r="R99" i="20" s="1"/>
  <c r="V99" i="20" s="1"/>
  <c r="N80" i="20"/>
  <c r="R80" i="20" s="1"/>
  <c r="V80" i="20" s="1"/>
  <c r="N31" i="20"/>
  <c r="R31" i="20" s="1"/>
  <c r="V31" i="20" s="1"/>
  <c r="N85" i="20"/>
  <c r="R85" i="20" s="1"/>
  <c r="V85" i="20" s="1"/>
  <c r="N130" i="20"/>
  <c r="R130" i="20" s="1"/>
  <c r="V130" i="20" s="1"/>
  <c r="N76" i="20"/>
  <c r="R76" i="20" s="1"/>
  <c r="V76" i="20" s="1"/>
  <c r="N83" i="20"/>
  <c r="R83" i="20" s="1"/>
  <c r="N57" i="20"/>
  <c r="R57" i="20" s="1"/>
  <c r="V57" i="20" s="1"/>
  <c r="N34" i="20"/>
  <c r="R34" i="20" s="1"/>
  <c r="V34" i="20" s="1"/>
  <c r="N133" i="20"/>
  <c r="R133" i="20" s="1"/>
  <c r="V133" i="20" s="1"/>
  <c r="N39" i="20"/>
  <c r="R39" i="20" s="1"/>
  <c r="V39" i="20" s="1"/>
  <c r="N136" i="20"/>
  <c r="R136" i="20" s="1"/>
  <c r="V136" i="20" s="1"/>
  <c r="N135" i="20"/>
  <c r="R135" i="20" s="1"/>
  <c r="V135" i="20" s="1"/>
  <c r="N25" i="20"/>
  <c r="R25" i="20" s="1"/>
  <c r="V25" i="20" s="1"/>
  <c r="N13" i="20"/>
  <c r="R13" i="20" s="1"/>
  <c r="V13" i="20" s="1"/>
  <c r="N23" i="20"/>
  <c r="R23" i="20" s="1"/>
  <c r="R110" i="21"/>
  <c r="V110" i="21" s="1"/>
  <c r="Q63" i="19"/>
  <c r="R9" i="19"/>
  <c r="AA28" i="19"/>
  <c r="Q28" i="19"/>
  <c r="T29" i="19"/>
  <c r="R19" i="19"/>
  <c r="R28" i="19"/>
  <c r="Q60" i="19"/>
  <c r="R41" i="18"/>
  <c r="R49" i="18"/>
  <c r="R17" i="18"/>
  <c r="AB6" i="18"/>
  <c r="Q32" i="18"/>
  <c r="Q64" i="19"/>
  <c r="AA6" i="18"/>
  <c r="R34" i="18"/>
  <c r="R10" i="18"/>
  <c r="R6" i="18"/>
  <c r="R60" i="18"/>
  <c r="Q63" i="18"/>
  <c r="U31" i="18"/>
  <c r="Q57" i="18"/>
  <c r="R42" i="18"/>
  <c r="X31" i="18"/>
  <c r="R43" i="18"/>
  <c r="Z31" i="18"/>
  <c r="S31" i="18"/>
  <c r="R40" i="18"/>
  <c r="Q55" i="18"/>
  <c r="R22" i="18"/>
  <c r="T51" i="18"/>
  <c r="W51" i="18" s="1"/>
  <c r="R61" i="18"/>
  <c r="Q53" i="18"/>
  <c r="R59" i="18"/>
  <c r="Q64" i="18"/>
  <c r="U32" i="19"/>
  <c r="X54" i="19"/>
  <c r="R59" i="19"/>
  <c r="R65" i="19"/>
  <c r="AB29" i="19"/>
  <c r="AA29" i="19"/>
  <c r="R57" i="19"/>
  <c r="Q37" i="19"/>
  <c r="S55" i="19"/>
  <c r="Z54" i="19"/>
  <c r="T53" i="19"/>
  <c r="R63" i="19"/>
  <c r="T55" i="19"/>
  <c r="Z31" i="19"/>
  <c r="U8" i="19"/>
  <c r="V8" i="19" s="1"/>
  <c r="Q7" i="19"/>
  <c r="S32" i="19"/>
  <c r="R7" i="19"/>
  <c r="AB53" i="19"/>
  <c r="R61" i="19"/>
  <c r="Q9" i="19"/>
  <c r="R64" i="18"/>
  <c r="R18" i="18"/>
  <c r="AA28" i="18"/>
  <c r="Q60" i="18"/>
  <c r="Q40" i="18"/>
  <c r="Q49" i="18"/>
  <c r="T29" i="18"/>
  <c r="U53" i="18"/>
  <c r="V53" i="18" s="1"/>
  <c r="Z53" i="18"/>
  <c r="Y53" i="18"/>
  <c r="AA8" i="18"/>
  <c r="T85" i="23"/>
  <c r="U85" i="23" s="1"/>
  <c r="Y70" i="23" s="1"/>
  <c r="S25" i="23"/>
  <c r="X10" i="23" s="1"/>
  <c r="T46" i="23"/>
  <c r="U46" i="23" s="1"/>
  <c r="Y37" i="23" s="1"/>
  <c r="S46" i="23"/>
  <c r="X37" i="23" s="1"/>
  <c r="T70" i="23"/>
  <c r="U70" i="23" s="1"/>
  <c r="Y65" i="23" s="1"/>
  <c r="S70" i="23"/>
  <c r="X65" i="23" s="1"/>
  <c r="X36" i="23"/>
  <c r="Y36" i="23"/>
  <c r="S73" i="23"/>
  <c r="X66" i="23" s="1"/>
  <c r="S13" i="23"/>
  <c r="X6" i="23" s="1"/>
  <c r="S28" i="23"/>
  <c r="X11" i="23" s="1"/>
  <c r="S49" i="22"/>
  <c r="X38" i="22" s="1"/>
  <c r="T49" i="22"/>
  <c r="U49" i="22" s="1"/>
  <c r="Y38" i="22" s="1"/>
  <c r="T76" i="22"/>
  <c r="U76" i="22" s="1"/>
  <c r="Y67" i="22" s="1"/>
  <c r="T73" i="22"/>
  <c r="U73" i="22" s="1"/>
  <c r="Y66" i="22" s="1"/>
  <c r="S70" i="22"/>
  <c r="X65" i="22" s="1"/>
  <c r="T22" i="22"/>
  <c r="U22" i="22" s="1"/>
  <c r="Y9" i="22" s="1"/>
  <c r="S22" i="22"/>
  <c r="X9" i="22" s="1"/>
  <c r="T43" i="22"/>
  <c r="U43" i="22" s="1"/>
  <c r="Y36" i="22" s="1"/>
  <c r="T16" i="22"/>
  <c r="U16" i="22" s="1"/>
  <c r="Y7" i="22" s="1"/>
  <c r="S16" i="22"/>
  <c r="X7" i="22" s="1"/>
  <c r="S7" i="22"/>
  <c r="X4" i="22" s="1"/>
  <c r="T7" i="22"/>
  <c r="U7" i="22" s="1"/>
  <c r="Y4" i="22" s="1"/>
  <c r="T25" i="22"/>
  <c r="U25" i="22" s="1"/>
  <c r="Y10" i="22" s="1"/>
  <c r="S25" i="22"/>
  <c r="X10" i="22" s="1"/>
  <c r="T67" i="22"/>
  <c r="U67" i="22" s="1"/>
  <c r="Y64" i="22" s="1"/>
  <c r="S67" i="22"/>
  <c r="X64" i="22" s="1"/>
  <c r="T46" i="22"/>
  <c r="U46" i="22" s="1"/>
  <c r="Y37" i="22" s="1"/>
  <c r="S46" i="22"/>
  <c r="X37" i="22" s="1"/>
  <c r="T19" i="22"/>
  <c r="U19" i="22" s="1"/>
  <c r="Y8" i="22" s="1"/>
  <c r="S19" i="22"/>
  <c r="X8" i="22" s="1"/>
  <c r="S10" i="22"/>
  <c r="X5" i="22" s="1"/>
  <c r="T10" i="22"/>
  <c r="U10" i="22" s="1"/>
  <c r="Y5" i="22" s="1"/>
  <c r="V74" i="21"/>
  <c r="N6" i="21"/>
  <c r="R6" i="21" s="1"/>
  <c r="V6" i="21" s="1"/>
  <c r="N60" i="21"/>
  <c r="R60" i="21" s="1"/>
  <c r="V60" i="21" s="1"/>
  <c r="N44" i="21"/>
  <c r="R44" i="21" s="1"/>
  <c r="AD51" i="21"/>
  <c r="N42" i="21"/>
  <c r="R42" i="21" s="1"/>
  <c r="V42" i="21" s="1"/>
  <c r="N8" i="21"/>
  <c r="R8" i="21" s="1"/>
  <c r="N79" i="21"/>
  <c r="R79" i="21" s="1"/>
  <c r="V79" i="21" s="1"/>
  <c r="N50" i="21"/>
  <c r="R50" i="21" s="1"/>
  <c r="N5" i="21"/>
  <c r="R5" i="21" s="1"/>
  <c r="N120" i="21"/>
  <c r="R120" i="21" s="1"/>
  <c r="V120" i="21" s="1"/>
  <c r="AD97" i="21"/>
  <c r="N34" i="21"/>
  <c r="R34" i="21" s="1"/>
  <c r="V34" i="21" s="1"/>
  <c r="N11" i="21"/>
  <c r="R11" i="21" s="1"/>
  <c r="N13" i="21"/>
  <c r="R13" i="21" s="1"/>
  <c r="V13" i="21" s="1"/>
  <c r="AD9" i="21"/>
  <c r="N134" i="21"/>
  <c r="R134" i="21" s="1"/>
  <c r="N91" i="21"/>
  <c r="R91" i="21" s="1"/>
  <c r="V91" i="21" s="1"/>
  <c r="N67" i="21"/>
  <c r="R67" i="21" s="1"/>
  <c r="V67" i="21" s="1"/>
  <c r="N84" i="21"/>
  <c r="R84" i="21" s="1"/>
  <c r="V84" i="21" s="1"/>
  <c r="N33" i="21"/>
  <c r="R33" i="21" s="1"/>
  <c r="V33" i="21" s="1"/>
  <c r="N14" i="21"/>
  <c r="R14" i="21" s="1"/>
  <c r="N45" i="21"/>
  <c r="R45" i="21" s="1"/>
  <c r="V45" i="21" s="1"/>
  <c r="N30" i="21"/>
  <c r="R30" i="21" s="1"/>
  <c r="V30" i="21" s="1"/>
  <c r="N17" i="21"/>
  <c r="R17" i="21" s="1"/>
  <c r="V66" i="20"/>
  <c r="N105" i="20"/>
  <c r="R105" i="20" s="1"/>
  <c r="V105" i="20" s="1"/>
  <c r="V74" i="20"/>
  <c r="N64" i="20"/>
  <c r="R64" i="20" s="1"/>
  <c r="V64" i="20" s="1"/>
  <c r="N44" i="20"/>
  <c r="R44" i="20" s="1"/>
  <c r="N10" i="20"/>
  <c r="R10" i="20" s="1"/>
  <c r="V10" i="20" s="1"/>
  <c r="AD53" i="20"/>
  <c r="V71" i="20"/>
  <c r="N20" i="20"/>
  <c r="R20" i="20" s="1"/>
  <c r="N9" i="20"/>
  <c r="R9" i="20" s="1"/>
  <c r="V9" i="20" s="1"/>
  <c r="N112" i="20"/>
  <c r="R112" i="20" s="1"/>
  <c r="V112" i="20" s="1"/>
  <c r="N102" i="20"/>
  <c r="R102" i="20" s="1"/>
  <c r="V102" i="20" s="1"/>
  <c r="N18" i="20"/>
  <c r="R18" i="20" s="1"/>
  <c r="V18" i="20" s="1"/>
  <c r="N16" i="20"/>
  <c r="N131" i="20"/>
  <c r="R131" i="20" s="1"/>
  <c r="N134" i="20"/>
  <c r="R134" i="20" s="1"/>
  <c r="N123" i="20"/>
  <c r="R123" i="20" s="1"/>
  <c r="V123" i="20" s="1"/>
  <c r="AD96" i="20"/>
  <c r="N119" i="20"/>
  <c r="R119" i="20" s="1"/>
  <c r="V115" i="20"/>
  <c r="N88" i="20"/>
  <c r="R88" i="20" s="1"/>
  <c r="V88" i="20" s="1"/>
  <c r="N60" i="20"/>
  <c r="R60" i="20" s="1"/>
  <c r="V60" i="20" s="1"/>
  <c r="N45" i="20"/>
  <c r="R45" i="20" s="1"/>
  <c r="V45" i="20" s="1"/>
  <c r="N51" i="20"/>
  <c r="R51" i="20" s="1"/>
  <c r="V51" i="20" s="1"/>
  <c r="N21" i="20"/>
  <c r="R21" i="20" s="1"/>
  <c r="V21" i="20" s="1"/>
  <c r="N15" i="20"/>
  <c r="R15" i="20" s="1"/>
  <c r="N7" i="20"/>
  <c r="R7" i="20" s="1"/>
  <c r="V7" i="20" s="1"/>
  <c r="W55" i="19"/>
  <c r="R62" i="19"/>
  <c r="Q65" i="19"/>
  <c r="R58" i="19"/>
  <c r="Q58" i="19"/>
  <c r="U56" i="19"/>
  <c r="Z55" i="19"/>
  <c r="U54" i="19"/>
  <c r="S50" i="19"/>
  <c r="R50" i="19"/>
  <c r="Q50" i="19"/>
  <c r="T30" i="19"/>
  <c r="R30" i="19"/>
  <c r="R33" i="19"/>
  <c r="R45" i="19"/>
  <c r="Q45" i="19"/>
  <c r="Q40" i="19"/>
  <c r="R40" i="19"/>
  <c r="AA30" i="19"/>
  <c r="AB30" i="19"/>
  <c r="AA53" i="19"/>
  <c r="R10" i="19"/>
  <c r="Q10" i="19"/>
  <c r="W28" i="19"/>
  <c r="V28" i="19"/>
  <c r="AA7" i="19"/>
  <c r="AB7" i="19"/>
  <c r="AB6" i="19"/>
  <c r="AA6" i="19"/>
  <c r="R51" i="19"/>
  <c r="Q14" i="19"/>
  <c r="R14" i="19"/>
  <c r="U9" i="19"/>
  <c r="W9" i="19" s="1"/>
  <c r="Q66" i="19"/>
  <c r="Q57" i="19"/>
  <c r="R67" i="19"/>
  <c r="Q67" i="19"/>
  <c r="R64" i="19"/>
  <c r="R52" i="19"/>
  <c r="Q52" i="19"/>
  <c r="U52" i="19"/>
  <c r="W52" i="19" s="1"/>
  <c r="T32" i="19"/>
  <c r="R32" i="19"/>
  <c r="Q19" i="19"/>
  <c r="Q44" i="19"/>
  <c r="R44" i="19"/>
  <c r="Q32" i="19"/>
  <c r="R31" i="19"/>
  <c r="Q31" i="19"/>
  <c r="S31" i="19"/>
  <c r="R35" i="19"/>
  <c r="Q35" i="19"/>
  <c r="R29" i="19"/>
  <c r="Q29" i="19"/>
  <c r="S29" i="19"/>
  <c r="Q12" i="19"/>
  <c r="U30" i="19"/>
  <c r="R22" i="19"/>
  <c r="Q22" i="19"/>
  <c r="Y54" i="19"/>
  <c r="Q42" i="19"/>
  <c r="R42" i="19"/>
  <c r="Q11" i="19"/>
  <c r="R11" i="19"/>
  <c r="Q8" i="19"/>
  <c r="S54" i="19"/>
  <c r="R54" i="19"/>
  <c r="Q54" i="19"/>
  <c r="R66" i="19"/>
  <c r="AB52" i="19"/>
  <c r="AA52" i="19"/>
  <c r="R56" i="19"/>
  <c r="T54" i="19"/>
  <c r="R38" i="19"/>
  <c r="Q38" i="19"/>
  <c r="Z32" i="19"/>
  <c r="T33" i="19"/>
  <c r="X32" i="19"/>
  <c r="Q23" i="19"/>
  <c r="AB8" i="19"/>
  <c r="AA8" i="19"/>
  <c r="R43" i="19"/>
  <c r="Q43" i="19"/>
  <c r="R21" i="19"/>
  <c r="Q21" i="19"/>
  <c r="Q13" i="19"/>
  <c r="S6" i="19"/>
  <c r="R6" i="19"/>
  <c r="Q6" i="19"/>
  <c r="S51" i="19"/>
  <c r="Y31" i="19"/>
  <c r="Q20" i="19"/>
  <c r="R20" i="19"/>
  <c r="Q5" i="19"/>
  <c r="R5" i="19"/>
  <c r="R41" i="19"/>
  <c r="Q62" i="19"/>
  <c r="Q61" i="19"/>
  <c r="S53" i="19"/>
  <c r="R53" i="19"/>
  <c r="Q53" i="19"/>
  <c r="AB51" i="19"/>
  <c r="AA51" i="19"/>
  <c r="R60" i="19"/>
  <c r="Y55" i="19"/>
  <c r="X55" i="19"/>
  <c r="Q39" i="19"/>
  <c r="R39" i="19"/>
  <c r="AA50" i="19"/>
  <c r="AB50" i="19"/>
  <c r="T31" i="19"/>
  <c r="R34" i="19"/>
  <c r="Q33" i="19"/>
  <c r="X31" i="19"/>
  <c r="R23" i="19"/>
  <c r="Q51" i="19"/>
  <c r="R18" i="19"/>
  <c r="Q18" i="19"/>
  <c r="R12" i="19"/>
  <c r="Q16" i="19"/>
  <c r="R16" i="19"/>
  <c r="S7" i="19"/>
  <c r="S10" i="19"/>
  <c r="X9" i="19"/>
  <c r="W8" i="18"/>
  <c r="V8" i="18"/>
  <c r="R63" i="18"/>
  <c r="R66" i="18"/>
  <c r="R56" i="18"/>
  <c r="Q56" i="18"/>
  <c r="R53" i="18"/>
  <c r="X53" i="18"/>
  <c r="V52" i="18"/>
  <c r="W52" i="18"/>
  <c r="T32" i="18"/>
  <c r="Y31" i="18"/>
  <c r="AB29" i="18"/>
  <c r="AA29" i="18"/>
  <c r="T30" i="18"/>
  <c r="Q13" i="18"/>
  <c r="R13" i="18"/>
  <c r="R12" i="18"/>
  <c r="Q12" i="18"/>
  <c r="Q5" i="18"/>
  <c r="R5" i="18"/>
  <c r="AA7" i="18"/>
  <c r="Q9" i="18"/>
  <c r="T7" i="18"/>
  <c r="R55" i="18"/>
  <c r="Q67" i="18"/>
  <c r="Q65" i="18"/>
  <c r="S50" i="18"/>
  <c r="R50" i="18"/>
  <c r="Q50" i="18"/>
  <c r="Q52" i="18"/>
  <c r="AA30" i="18"/>
  <c r="AB30" i="18"/>
  <c r="R32" i="18"/>
  <c r="Q31" i="18"/>
  <c r="R28" i="18"/>
  <c r="T28" i="18"/>
  <c r="V28" i="18" s="1"/>
  <c r="R20" i="18"/>
  <c r="Q20" i="18"/>
  <c r="R23" i="18"/>
  <c r="Q23" i="18"/>
  <c r="T10" i="18"/>
  <c r="Y9" i="18"/>
  <c r="Q7" i="18"/>
  <c r="S7" i="18"/>
  <c r="R7" i="18"/>
  <c r="Z9" i="18"/>
  <c r="Q6" i="18"/>
  <c r="R67" i="18"/>
  <c r="Q62" i="18"/>
  <c r="R57" i="18"/>
  <c r="R65" i="18"/>
  <c r="AA51" i="18"/>
  <c r="AB51" i="18"/>
  <c r="Q45" i="18"/>
  <c r="R45" i="18"/>
  <c r="R52" i="18"/>
  <c r="R37" i="18"/>
  <c r="Q37" i="18"/>
  <c r="R33" i="18"/>
  <c r="Q33" i="18"/>
  <c r="Q14" i="18"/>
  <c r="R14" i="18"/>
  <c r="R36" i="18"/>
  <c r="R31" i="18"/>
  <c r="Q38" i="18"/>
  <c r="R29" i="18"/>
  <c r="Q29" i="18"/>
  <c r="S29" i="18"/>
  <c r="W6" i="18"/>
  <c r="V6" i="18"/>
  <c r="AB8" i="18"/>
  <c r="U54" i="18"/>
  <c r="Q54" i="18"/>
  <c r="Q66" i="18"/>
  <c r="R62" i="18"/>
  <c r="Q61" i="18"/>
  <c r="R58" i="18"/>
  <c r="Q58" i="18"/>
  <c r="AB52" i="18"/>
  <c r="AA52" i="18"/>
  <c r="AB50" i="18"/>
  <c r="AA50" i="18"/>
  <c r="T54" i="18"/>
  <c r="Q44" i="18"/>
  <c r="R44" i="18"/>
  <c r="Q43" i="18"/>
  <c r="R39" i="18"/>
  <c r="R27" i="18"/>
  <c r="Q27" i="18"/>
  <c r="Q42" i="18"/>
  <c r="R35" i="18"/>
  <c r="U30" i="18"/>
  <c r="Q41" i="18"/>
  <c r="R38" i="18"/>
  <c r="Q18" i="18"/>
  <c r="Q17" i="18"/>
  <c r="Q22" i="18"/>
  <c r="R19" i="18"/>
  <c r="Q19" i="18"/>
  <c r="Q11" i="18"/>
  <c r="R11" i="18"/>
  <c r="U9" i="18"/>
  <c r="Q21" i="18"/>
  <c r="S9" i="18"/>
  <c r="Q10" i="18"/>
  <c r="N84" i="20" l="1"/>
  <c r="R84" i="20" s="1"/>
  <c r="V84" i="20" s="1"/>
  <c r="N62" i="20"/>
  <c r="R62" i="20" s="1"/>
  <c r="S82" i="23"/>
  <c r="X69" i="23" s="1"/>
  <c r="T82" i="23"/>
  <c r="U82" i="23" s="1"/>
  <c r="Y69" i="23" s="1"/>
  <c r="S58" i="23"/>
  <c r="X41" i="23" s="1"/>
  <c r="T58" i="23"/>
  <c r="U58" i="23" s="1"/>
  <c r="Y41" i="23" s="1"/>
  <c r="T22" i="23"/>
  <c r="U22" i="23" s="1"/>
  <c r="Y9" i="23" s="1"/>
  <c r="S22" i="23"/>
  <c r="X9" i="23" s="1"/>
  <c r="T58" i="22"/>
  <c r="U58" i="22" s="1"/>
  <c r="Y41" i="22" s="1"/>
  <c r="S58" i="22"/>
  <c r="X41" i="22" s="1"/>
  <c r="S52" i="22"/>
  <c r="X39" i="22" s="1"/>
  <c r="T52" i="22"/>
  <c r="U52" i="22" s="1"/>
  <c r="Y39" i="22" s="1"/>
  <c r="N53" i="21"/>
  <c r="R53" i="21" s="1"/>
  <c r="N50" i="20"/>
  <c r="R50" i="20" s="1"/>
  <c r="V50" i="20" s="1"/>
  <c r="S118" i="21"/>
  <c r="N77" i="21"/>
  <c r="R77" i="21" s="1"/>
  <c r="V77" i="21" s="1"/>
  <c r="N59" i="21"/>
  <c r="R59" i="21" s="1"/>
  <c r="V59" i="21" s="1"/>
  <c r="T22" i="21"/>
  <c r="U22" i="21" s="1"/>
  <c r="AF10" i="21" s="1"/>
  <c r="N88" i="21"/>
  <c r="R88" i="21" s="1"/>
  <c r="V88" i="21" s="1"/>
  <c r="T28" i="21"/>
  <c r="U28" i="21" s="1"/>
  <c r="AF12" i="21" s="1"/>
  <c r="N128" i="21"/>
  <c r="R128" i="21" s="1"/>
  <c r="N125" i="21"/>
  <c r="R125" i="21" s="1"/>
  <c r="V125" i="21" s="1"/>
  <c r="T118" i="21"/>
  <c r="U118" i="21" s="1"/>
  <c r="AF101" i="21" s="1"/>
  <c r="W28" i="21"/>
  <c r="N123" i="21"/>
  <c r="R123" i="21" s="1"/>
  <c r="V123" i="21" s="1"/>
  <c r="N80" i="21"/>
  <c r="R80" i="21" s="1"/>
  <c r="S82" i="21" s="1"/>
  <c r="S25" i="21"/>
  <c r="N130" i="21"/>
  <c r="R130" i="21" s="1"/>
  <c r="V130" i="21" s="1"/>
  <c r="N75" i="21"/>
  <c r="R75" i="21" s="1"/>
  <c r="V75" i="21" s="1"/>
  <c r="X76" i="21" s="1"/>
  <c r="Y76" i="21" s="1"/>
  <c r="AH57" i="21" s="1"/>
  <c r="X25" i="21"/>
  <c r="Y25" i="21" s="1"/>
  <c r="AH11" i="21" s="1"/>
  <c r="N131" i="21"/>
  <c r="R131" i="21" s="1"/>
  <c r="V131" i="21" s="1"/>
  <c r="S22" i="21"/>
  <c r="T25" i="21"/>
  <c r="U25" i="21" s="1"/>
  <c r="AF11" i="21" s="1"/>
  <c r="N85" i="21"/>
  <c r="R85" i="21" s="1"/>
  <c r="V85" i="21" s="1"/>
  <c r="N104" i="21"/>
  <c r="R104" i="21" s="1"/>
  <c r="S106" i="21" s="1"/>
  <c r="W25" i="21"/>
  <c r="Z106" i="21"/>
  <c r="N64" i="21"/>
  <c r="R64" i="21" s="1"/>
  <c r="V64" i="21" s="1"/>
  <c r="Z15" i="21"/>
  <c r="V68" i="21"/>
  <c r="T70" i="21"/>
  <c r="U70" i="21" s="1"/>
  <c r="AF55" i="21" s="1"/>
  <c r="S70" i="21"/>
  <c r="X28" i="21"/>
  <c r="Y28" i="21" s="1"/>
  <c r="AH12" i="21" s="1"/>
  <c r="Z102" i="21"/>
  <c r="Z58" i="21"/>
  <c r="N126" i="21"/>
  <c r="R126" i="21" s="1"/>
  <c r="V126" i="21" s="1"/>
  <c r="N55" i="21"/>
  <c r="R55" i="21" s="1"/>
  <c r="V55" i="21" s="1"/>
  <c r="Z55" i="21" s="1"/>
  <c r="N119" i="21"/>
  <c r="R119" i="21" s="1"/>
  <c r="T121" i="21" s="1"/>
  <c r="U121" i="21" s="1"/>
  <c r="AF102" i="21" s="1"/>
  <c r="Z99" i="21"/>
  <c r="N86" i="21"/>
  <c r="R86" i="21" s="1"/>
  <c r="N83" i="21"/>
  <c r="R83" i="21" s="1"/>
  <c r="V83" i="21" s="1"/>
  <c r="N132" i="21"/>
  <c r="R132" i="21" s="1"/>
  <c r="V132" i="21" s="1"/>
  <c r="S40" i="21"/>
  <c r="S73" i="21"/>
  <c r="T40" i="21"/>
  <c r="U40" i="21" s="1"/>
  <c r="AF16" i="21" s="1"/>
  <c r="S28" i="21"/>
  <c r="N122" i="21"/>
  <c r="R122" i="21" s="1"/>
  <c r="V122" i="21" s="1"/>
  <c r="W124" i="21" s="1"/>
  <c r="N107" i="21"/>
  <c r="R107" i="21" s="1"/>
  <c r="V107" i="21" s="1"/>
  <c r="X109" i="21" s="1"/>
  <c r="Y109" i="21" s="1"/>
  <c r="AH98" i="21" s="1"/>
  <c r="N103" i="21"/>
  <c r="R103" i="21" s="1"/>
  <c r="V103" i="21" s="1"/>
  <c r="Z103" i="21" s="1"/>
  <c r="N98" i="21"/>
  <c r="R98" i="21" s="1"/>
  <c r="T100" i="21" s="1"/>
  <c r="U100" i="21" s="1"/>
  <c r="AF95" i="21" s="1"/>
  <c r="Z21" i="21"/>
  <c r="Z100" i="21"/>
  <c r="Z10" i="21"/>
  <c r="N56" i="21"/>
  <c r="R56" i="21" s="1"/>
  <c r="S58" i="21" s="1"/>
  <c r="AE51" i="21" s="1"/>
  <c r="Z105" i="21"/>
  <c r="Z22" i="21"/>
  <c r="Z13" i="21"/>
  <c r="S115" i="21"/>
  <c r="V69" i="21"/>
  <c r="Z16" i="21"/>
  <c r="T115" i="21"/>
  <c r="U115" i="21" s="1"/>
  <c r="AF100" i="21" s="1"/>
  <c r="T73" i="21"/>
  <c r="U73" i="21" s="1"/>
  <c r="AF56" i="21" s="1"/>
  <c r="N78" i="21"/>
  <c r="R78" i="21" s="1"/>
  <c r="V35" i="21"/>
  <c r="X37" i="21" s="1"/>
  <c r="Y37" i="21" s="1"/>
  <c r="AH15" i="21" s="1"/>
  <c r="T37" i="21"/>
  <c r="U37" i="21" s="1"/>
  <c r="AF15" i="21" s="1"/>
  <c r="S37" i="21"/>
  <c r="N19" i="21"/>
  <c r="R19" i="21" s="1"/>
  <c r="V19" i="21" s="1"/>
  <c r="Z19" i="21" s="1"/>
  <c r="S43" i="21"/>
  <c r="V41" i="21"/>
  <c r="X43" i="21" s="1"/>
  <c r="Y43" i="21" s="1"/>
  <c r="AH17" i="21" s="1"/>
  <c r="Z108" i="21"/>
  <c r="Z18" i="21"/>
  <c r="Z12" i="21"/>
  <c r="T43" i="21"/>
  <c r="U43" i="21" s="1"/>
  <c r="AF17" i="21" s="1"/>
  <c r="S73" i="20"/>
  <c r="N41" i="20"/>
  <c r="R41" i="20" s="1"/>
  <c r="N101" i="20"/>
  <c r="R101" i="20" s="1"/>
  <c r="V101" i="20" s="1"/>
  <c r="T118" i="20"/>
  <c r="U118" i="20" s="1"/>
  <c r="AF101" i="20" s="1"/>
  <c r="N38" i="20"/>
  <c r="R38" i="20" s="1"/>
  <c r="V38" i="20" s="1"/>
  <c r="N5" i="20"/>
  <c r="R5" i="20" s="1"/>
  <c r="V5" i="20" s="1"/>
  <c r="T73" i="20"/>
  <c r="U73" i="20" s="1"/>
  <c r="AF56" i="20" s="1"/>
  <c r="N121" i="20"/>
  <c r="R121" i="20" s="1"/>
  <c r="V121" i="20" s="1"/>
  <c r="S70" i="20"/>
  <c r="N82" i="20"/>
  <c r="R82" i="20" s="1"/>
  <c r="V82" i="20" s="1"/>
  <c r="N96" i="20"/>
  <c r="R96" i="20" s="1"/>
  <c r="V96" i="20" s="1"/>
  <c r="Z99" i="20" s="1"/>
  <c r="N17" i="20"/>
  <c r="R17" i="20" s="1"/>
  <c r="T19" i="20" s="1"/>
  <c r="U19" i="20" s="1"/>
  <c r="AF9" i="20" s="1"/>
  <c r="S118" i="20"/>
  <c r="N6" i="20"/>
  <c r="R6" i="20" s="1"/>
  <c r="V6" i="20" s="1"/>
  <c r="Z21" i="20" s="1"/>
  <c r="V113" i="20"/>
  <c r="W115" i="20" s="1"/>
  <c r="T115" i="20"/>
  <c r="U115" i="20" s="1"/>
  <c r="AF100" i="20" s="1"/>
  <c r="S115" i="20"/>
  <c r="N78" i="20"/>
  <c r="R78" i="20" s="1"/>
  <c r="V78" i="20" s="1"/>
  <c r="X79" i="20" s="1"/>
  <c r="Y79" i="20" s="1"/>
  <c r="AH58" i="20" s="1"/>
  <c r="T28" i="20"/>
  <c r="U28" i="20" s="1"/>
  <c r="AF12" i="20" s="1"/>
  <c r="T91" i="20"/>
  <c r="U91" i="20" s="1"/>
  <c r="AF62" i="20" s="1"/>
  <c r="N75" i="20"/>
  <c r="R75" i="20" s="1"/>
  <c r="V75" i="20" s="1"/>
  <c r="X76" i="20" s="1"/>
  <c r="Y76" i="20" s="1"/>
  <c r="AH57" i="20" s="1"/>
  <c r="N8" i="20"/>
  <c r="R8" i="20" s="1"/>
  <c r="V8" i="20" s="1"/>
  <c r="S91" i="20"/>
  <c r="N124" i="20"/>
  <c r="R124" i="20" s="1"/>
  <c r="V124" i="20" s="1"/>
  <c r="N126" i="20"/>
  <c r="R126" i="20" s="1"/>
  <c r="V126" i="20" s="1"/>
  <c r="N128" i="20"/>
  <c r="R128" i="20" s="1"/>
  <c r="V128" i="20" s="1"/>
  <c r="S28" i="20"/>
  <c r="AE12" i="20" s="1"/>
  <c r="Z22" i="20"/>
  <c r="Z19" i="20"/>
  <c r="N53" i="20"/>
  <c r="R53" i="20" s="1"/>
  <c r="S55" i="20" s="1"/>
  <c r="N81" i="20"/>
  <c r="R81" i="20" s="1"/>
  <c r="V81" i="20" s="1"/>
  <c r="V67" i="20"/>
  <c r="W67" i="20" s="1"/>
  <c r="T67" i="20"/>
  <c r="U67" i="20" s="1"/>
  <c r="AF54" i="20" s="1"/>
  <c r="N42" i="20"/>
  <c r="R42" i="20" s="1"/>
  <c r="V42" i="20" s="1"/>
  <c r="N87" i="20"/>
  <c r="R87" i="20" s="1"/>
  <c r="V87" i="20" s="1"/>
  <c r="W88" i="20" s="1"/>
  <c r="V95" i="20"/>
  <c r="N36" i="20"/>
  <c r="R36" i="20" s="1"/>
  <c r="V36" i="20" s="1"/>
  <c r="W37" i="20" s="1"/>
  <c r="N33" i="20"/>
  <c r="R33" i="20" s="1"/>
  <c r="V33" i="20" s="1"/>
  <c r="N14" i="20"/>
  <c r="R14" i="20" s="1"/>
  <c r="V14" i="20" s="1"/>
  <c r="S67" i="20"/>
  <c r="N11" i="20"/>
  <c r="R11" i="20" s="1"/>
  <c r="V11" i="20" s="1"/>
  <c r="W13" i="20" s="1"/>
  <c r="Z100" i="20"/>
  <c r="T70" i="20"/>
  <c r="U70" i="20" s="1"/>
  <c r="AF55" i="20" s="1"/>
  <c r="Z103" i="20"/>
  <c r="S112" i="20"/>
  <c r="N59" i="20"/>
  <c r="R59" i="20" s="1"/>
  <c r="V59" i="20" s="1"/>
  <c r="N125" i="20"/>
  <c r="R125" i="20" s="1"/>
  <c r="V125" i="20" s="1"/>
  <c r="N104" i="20"/>
  <c r="R104" i="20" s="1"/>
  <c r="S106" i="20" s="1"/>
  <c r="N29" i="20"/>
  <c r="R29" i="20" s="1"/>
  <c r="V29" i="20" s="1"/>
  <c r="Z64" i="20"/>
  <c r="N56" i="20"/>
  <c r="R56" i="20" s="1"/>
  <c r="T85" i="20"/>
  <c r="U85" i="20" s="1"/>
  <c r="AF60" i="20" s="1"/>
  <c r="T109" i="20"/>
  <c r="U109" i="20" s="1"/>
  <c r="AF98" i="20" s="1"/>
  <c r="V83" i="20"/>
  <c r="X85" i="20" s="1"/>
  <c r="Y85" i="20" s="1"/>
  <c r="AH60" i="20" s="1"/>
  <c r="V107" i="20"/>
  <c r="X109" i="20" s="1"/>
  <c r="Y109" i="20" s="1"/>
  <c r="AH98" i="20" s="1"/>
  <c r="S25" i="20"/>
  <c r="AE11" i="20" s="1"/>
  <c r="N61" i="20"/>
  <c r="R61" i="20" s="1"/>
  <c r="V61" i="20" s="1"/>
  <c r="Z61" i="20" s="1"/>
  <c r="S100" i="20"/>
  <c r="S85" i="20"/>
  <c r="S109" i="20"/>
  <c r="N30" i="20"/>
  <c r="R30" i="20" s="1"/>
  <c r="V30" i="20" s="1"/>
  <c r="T100" i="20"/>
  <c r="U100" i="20" s="1"/>
  <c r="AF95" i="20" s="1"/>
  <c r="N58" i="20"/>
  <c r="R58" i="20" s="1"/>
  <c r="V58" i="20" s="1"/>
  <c r="Z58" i="20" s="1"/>
  <c r="V23" i="20"/>
  <c r="T25" i="20"/>
  <c r="U25" i="20" s="1"/>
  <c r="AF11" i="20" s="1"/>
  <c r="AB54" i="19"/>
  <c r="V32" i="19"/>
  <c r="W28" i="18"/>
  <c r="W53" i="18"/>
  <c r="W8" i="19"/>
  <c r="AB31" i="18"/>
  <c r="V31" i="18"/>
  <c r="AA31" i="18"/>
  <c r="AB9" i="18"/>
  <c r="W31" i="18"/>
  <c r="V51" i="18"/>
  <c r="W30" i="18"/>
  <c r="T112" i="20"/>
  <c r="U112" i="20" s="1"/>
  <c r="AF99" i="20" s="1"/>
  <c r="S61" i="21"/>
  <c r="Z63" i="20"/>
  <c r="Z60" i="20"/>
  <c r="V55" i="19"/>
  <c r="W32" i="19"/>
  <c r="V9" i="19"/>
  <c r="V30" i="19"/>
  <c r="U32" i="18"/>
  <c r="AA9" i="18"/>
  <c r="V128" i="21"/>
  <c r="V50" i="21"/>
  <c r="Z59" i="21" s="1"/>
  <c r="V17" i="21"/>
  <c r="V95" i="21"/>
  <c r="T97" i="21"/>
  <c r="U97" i="21" s="1"/>
  <c r="AF94" i="21" s="1"/>
  <c r="S97" i="21"/>
  <c r="AE94" i="21" s="1"/>
  <c r="X118" i="21"/>
  <c r="Y118" i="21" s="1"/>
  <c r="AH101" i="21" s="1"/>
  <c r="W118" i="21"/>
  <c r="S112" i="21"/>
  <c r="T7" i="21"/>
  <c r="U7" i="21" s="1"/>
  <c r="AF5" i="21" s="1"/>
  <c r="S7" i="21"/>
  <c r="AE5" i="21" s="1"/>
  <c r="V5" i="21"/>
  <c r="Z20" i="21" s="1"/>
  <c r="T34" i="21"/>
  <c r="U34" i="21" s="1"/>
  <c r="AF14" i="21" s="1"/>
  <c r="S34" i="21"/>
  <c r="V32" i="21"/>
  <c r="T91" i="21"/>
  <c r="U91" i="21" s="1"/>
  <c r="AF62" i="21" s="1"/>
  <c r="X40" i="21"/>
  <c r="Y40" i="21" s="1"/>
  <c r="AH16" i="21" s="1"/>
  <c r="W40" i="21"/>
  <c r="V14" i="21"/>
  <c r="T16" i="21"/>
  <c r="U16" i="21" s="1"/>
  <c r="AF8" i="21" s="1"/>
  <c r="S16" i="21"/>
  <c r="X73" i="21"/>
  <c r="Y73" i="21" s="1"/>
  <c r="AH56" i="21" s="1"/>
  <c r="W73" i="21"/>
  <c r="T136" i="21"/>
  <c r="U136" i="21" s="1"/>
  <c r="AF107" i="21" s="1"/>
  <c r="S136" i="21"/>
  <c r="V134" i="21"/>
  <c r="X22" i="21"/>
  <c r="Y22" i="21" s="1"/>
  <c r="AH10" i="21" s="1"/>
  <c r="W22" i="21"/>
  <c r="T13" i="21"/>
  <c r="U13" i="21" s="1"/>
  <c r="AF7" i="21" s="1"/>
  <c r="S13" i="21"/>
  <c r="AE7" i="21" s="1"/>
  <c r="V11" i="21"/>
  <c r="V53" i="21"/>
  <c r="S67" i="21"/>
  <c r="X115" i="21"/>
  <c r="Y115" i="21" s="1"/>
  <c r="AH100" i="21" s="1"/>
  <c r="W115" i="21"/>
  <c r="X112" i="21"/>
  <c r="Y112" i="21" s="1"/>
  <c r="AH99" i="21" s="1"/>
  <c r="W112" i="21"/>
  <c r="V8" i="21"/>
  <c r="AD52" i="21"/>
  <c r="Z61" i="21"/>
  <c r="X61" i="21"/>
  <c r="Y61" i="21" s="1"/>
  <c r="AH52" i="21" s="1"/>
  <c r="W61" i="21"/>
  <c r="T31" i="21"/>
  <c r="U31" i="21" s="1"/>
  <c r="AF13" i="21" s="1"/>
  <c r="S31" i="21"/>
  <c r="V29" i="21"/>
  <c r="X67" i="21"/>
  <c r="Y67" i="21" s="1"/>
  <c r="AH54" i="21" s="1"/>
  <c r="W67" i="21"/>
  <c r="V101" i="21"/>
  <c r="T112" i="21"/>
  <c r="U112" i="21" s="1"/>
  <c r="AF99" i="21" s="1"/>
  <c r="Z109" i="21"/>
  <c r="S46" i="21"/>
  <c r="V44" i="21"/>
  <c r="T46" i="21"/>
  <c r="U46" i="21" s="1"/>
  <c r="AF18" i="21" s="1"/>
  <c r="X91" i="21"/>
  <c r="Y91" i="21" s="1"/>
  <c r="AH62" i="21" s="1"/>
  <c r="W91" i="21"/>
  <c r="N9" i="21"/>
  <c r="R9" i="21" s="1"/>
  <c r="V9" i="21" s="1"/>
  <c r="Z9" i="21" s="1"/>
  <c r="AD10" i="21"/>
  <c r="V62" i="21"/>
  <c r="AD98" i="21"/>
  <c r="T67" i="21"/>
  <c r="U67" i="21" s="1"/>
  <c r="AF54" i="21" s="1"/>
  <c r="N51" i="21"/>
  <c r="R51" i="21" s="1"/>
  <c r="V51" i="21" s="1"/>
  <c r="Z60" i="21" s="1"/>
  <c r="S91" i="21"/>
  <c r="T61" i="21"/>
  <c r="U61" i="21" s="1"/>
  <c r="AF52" i="21" s="1"/>
  <c r="S64" i="20"/>
  <c r="V62" i="20"/>
  <c r="T64" i="20"/>
  <c r="U64" i="20" s="1"/>
  <c r="AF53" i="20" s="1"/>
  <c r="V119" i="20"/>
  <c r="T121" i="20"/>
  <c r="U121" i="20" s="1"/>
  <c r="AF102" i="20" s="1"/>
  <c r="V15" i="20"/>
  <c r="S52" i="20"/>
  <c r="S133" i="20"/>
  <c r="T133" i="20"/>
  <c r="U133" i="20" s="1"/>
  <c r="AF106" i="20" s="1"/>
  <c r="V131" i="20"/>
  <c r="W28" i="20"/>
  <c r="X28" i="20"/>
  <c r="Y28" i="20" s="1"/>
  <c r="AH12" i="20" s="1"/>
  <c r="Z54" i="20"/>
  <c r="Z25" i="20"/>
  <c r="Z10" i="20"/>
  <c r="X91" i="20"/>
  <c r="Y91" i="20" s="1"/>
  <c r="AH62" i="20" s="1"/>
  <c r="W91" i="20"/>
  <c r="S40" i="20"/>
  <c r="AE16" i="20" s="1"/>
  <c r="AD97" i="20"/>
  <c r="Z13" i="20"/>
  <c r="X73" i="20"/>
  <c r="Y73" i="20" s="1"/>
  <c r="AH56" i="20" s="1"/>
  <c r="W73" i="20"/>
  <c r="AD54" i="20"/>
  <c r="X82" i="20"/>
  <c r="Y82" i="20" s="1"/>
  <c r="AH59" i="20" s="1"/>
  <c r="V122" i="20"/>
  <c r="S46" i="20"/>
  <c r="AE18" i="20" s="1"/>
  <c r="V44" i="20"/>
  <c r="T46" i="20"/>
  <c r="U46" i="20" s="1"/>
  <c r="AF18" i="20" s="1"/>
  <c r="Z109" i="20"/>
  <c r="Z66" i="20"/>
  <c r="W118" i="20"/>
  <c r="X118" i="20"/>
  <c r="Y118" i="20" s="1"/>
  <c r="AH101" i="20" s="1"/>
  <c r="T40" i="20"/>
  <c r="U40" i="20" s="1"/>
  <c r="AF16" i="20" s="1"/>
  <c r="X112" i="20"/>
  <c r="Y112" i="20" s="1"/>
  <c r="AH99" i="20" s="1"/>
  <c r="W112" i="20"/>
  <c r="V134" i="20"/>
  <c r="T136" i="20"/>
  <c r="U136" i="20" s="1"/>
  <c r="AF107" i="20" s="1"/>
  <c r="S136" i="20"/>
  <c r="Z16" i="20"/>
  <c r="S103" i="20"/>
  <c r="S7" i="20"/>
  <c r="AE5" i="20" s="1"/>
  <c r="V20" i="20"/>
  <c r="T22" i="20"/>
  <c r="U22" i="20" s="1"/>
  <c r="AF10" i="20" s="1"/>
  <c r="S22" i="20"/>
  <c r="AE10" i="20" s="1"/>
  <c r="V32" i="20"/>
  <c r="S82" i="20"/>
  <c r="X100" i="20"/>
  <c r="Y100" i="20" s="1"/>
  <c r="AH95" i="20" s="1"/>
  <c r="W100" i="20"/>
  <c r="Z106" i="20"/>
  <c r="Z55" i="20"/>
  <c r="W40" i="20"/>
  <c r="X40" i="20"/>
  <c r="Y40" i="20" s="1"/>
  <c r="AH16" i="20" s="1"/>
  <c r="V17" i="20"/>
  <c r="X70" i="20"/>
  <c r="Y70" i="20" s="1"/>
  <c r="AH55" i="20" s="1"/>
  <c r="W70" i="20"/>
  <c r="W79" i="20"/>
  <c r="Z57" i="20"/>
  <c r="W7" i="19"/>
  <c r="V7" i="19"/>
  <c r="AB31" i="19"/>
  <c r="AA31" i="19"/>
  <c r="W53" i="19"/>
  <c r="V53" i="19"/>
  <c r="U33" i="19"/>
  <c r="V52" i="19"/>
  <c r="AA55" i="19"/>
  <c r="AB55" i="19"/>
  <c r="V6" i="19"/>
  <c r="W6" i="19"/>
  <c r="T10" i="19"/>
  <c r="V31" i="19"/>
  <c r="W31" i="19"/>
  <c r="W50" i="19"/>
  <c r="V50" i="19"/>
  <c r="Y56" i="19"/>
  <c r="X56" i="19"/>
  <c r="T56" i="19"/>
  <c r="Z56" i="19"/>
  <c r="S56" i="19"/>
  <c r="W30" i="19"/>
  <c r="AB9" i="19"/>
  <c r="AA9" i="19"/>
  <c r="V51" i="19"/>
  <c r="W51" i="19"/>
  <c r="AA32" i="19"/>
  <c r="AB32" i="19"/>
  <c r="AA54" i="19"/>
  <c r="Y10" i="19"/>
  <c r="U10" i="19"/>
  <c r="Z10" i="19"/>
  <c r="X10" i="19"/>
  <c r="Y33" i="19"/>
  <c r="S33" i="19"/>
  <c r="Z33" i="19"/>
  <c r="X33" i="19"/>
  <c r="W54" i="19"/>
  <c r="V54" i="19"/>
  <c r="V29" i="19"/>
  <c r="W29" i="19"/>
  <c r="V29" i="18"/>
  <c r="W29" i="18"/>
  <c r="W50" i="18"/>
  <c r="V50" i="18"/>
  <c r="AA53" i="18"/>
  <c r="AB53" i="18"/>
  <c r="V30" i="18"/>
  <c r="Z10" i="18"/>
  <c r="X10" i="18"/>
  <c r="Y10" i="18"/>
  <c r="S10" i="18"/>
  <c r="U10" i="18"/>
  <c r="X32" i="18"/>
  <c r="Z32" i="18"/>
  <c r="Y32" i="18"/>
  <c r="S32" i="18"/>
  <c r="Y54" i="18"/>
  <c r="S54" i="18"/>
  <c r="X54" i="18"/>
  <c r="Z54" i="18"/>
  <c r="V9" i="18"/>
  <c r="W9" i="18"/>
  <c r="W7" i="18"/>
  <c r="V7" i="18"/>
  <c r="T79" i="21" l="1"/>
  <c r="U79" i="21" s="1"/>
  <c r="AF58" i="21" s="1"/>
  <c r="S121" i="20"/>
  <c r="T52" i="20"/>
  <c r="U52" i="20" s="1"/>
  <c r="AF49" i="20" s="1"/>
  <c r="T76" i="20"/>
  <c r="U76" i="20" s="1"/>
  <c r="AF57" i="20" s="1"/>
  <c r="S43" i="20"/>
  <c r="AE17" i="20" s="1"/>
  <c r="Z15" i="20"/>
  <c r="V41" i="20"/>
  <c r="V53" i="20"/>
  <c r="S88" i="21"/>
  <c r="S109" i="21"/>
  <c r="T82" i="21"/>
  <c r="U82" i="21" s="1"/>
  <c r="AF59" i="21" s="1"/>
  <c r="S130" i="21"/>
  <c r="V80" i="21"/>
  <c r="W82" i="21" s="1"/>
  <c r="S76" i="21"/>
  <c r="X124" i="21"/>
  <c r="Y124" i="21" s="1"/>
  <c r="AH103" i="21" s="1"/>
  <c r="T76" i="21"/>
  <c r="U76" i="21" s="1"/>
  <c r="AF57" i="21" s="1"/>
  <c r="T130" i="21"/>
  <c r="U130" i="21" s="1"/>
  <c r="AF105" i="21" s="1"/>
  <c r="T124" i="21"/>
  <c r="U124" i="21" s="1"/>
  <c r="AF103" i="21" s="1"/>
  <c r="T88" i="21"/>
  <c r="U88" i="21" s="1"/>
  <c r="AF61" i="21" s="1"/>
  <c r="Z107" i="21"/>
  <c r="AB109" i="21" s="1"/>
  <c r="V86" i="21"/>
  <c r="W88" i="21" s="1"/>
  <c r="S64" i="21"/>
  <c r="W76" i="21"/>
  <c r="W109" i="21"/>
  <c r="S124" i="21"/>
  <c r="T127" i="21"/>
  <c r="U127" i="21" s="1"/>
  <c r="AF104" i="21" s="1"/>
  <c r="Z110" i="21"/>
  <c r="T64" i="21"/>
  <c r="U64" i="21" s="1"/>
  <c r="AF53" i="21" s="1"/>
  <c r="S127" i="21"/>
  <c r="S85" i="21"/>
  <c r="W70" i="21"/>
  <c r="V119" i="21"/>
  <c r="X121" i="21" s="1"/>
  <c r="Y121" i="21" s="1"/>
  <c r="AH102" i="21" s="1"/>
  <c r="V98" i="21"/>
  <c r="W100" i="21" s="1"/>
  <c r="AG95" i="21" s="1"/>
  <c r="W37" i="21"/>
  <c r="T109" i="21"/>
  <c r="U109" i="21" s="1"/>
  <c r="AF98" i="21" s="1"/>
  <c r="T106" i="21"/>
  <c r="U106" i="21" s="1"/>
  <c r="AF97" i="21" s="1"/>
  <c r="V104" i="21"/>
  <c r="X106" i="21" s="1"/>
  <c r="Y106" i="21" s="1"/>
  <c r="AH97" i="21" s="1"/>
  <c r="T103" i="21"/>
  <c r="U103" i="21" s="1"/>
  <c r="AF96" i="21" s="1"/>
  <c r="S55" i="21"/>
  <c r="AE50" i="21" s="1"/>
  <c r="T55" i="21"/>
  <c r="U55" i="21" s="1"/>
  <c r="AF50" i="21" s="1"/>
  <c r="T85" i="21"/>
  <c r="U85" i="21" s="1"/>
  <c r="AF60" i="21" s="1"/>
  <c r="S100" i="21"/>
  <c r="AE95" i="21" s="1"/>
  <c r="S121" i="21"/>
  <c r="S133" i="21"/>
  <c r="T133" i="21"/>
  <c r="U133" i="21" s="1"/>
  <c r="AF106" i="21" s="1"/>
  <c r="S79" i="21"/>
  <c r="W43" i="21"/>
  <c r="S103" i="21"/>
  <c r="AE96" i="21" s="1"/>
  <c r="X70" i="21"/>
  <c r="Y70" i="21" s="1"/>
  <c r="AH55" i="21" s="1"/>
  <c r="T58" i="21"/>
  <c r="U58" i="21" s="1"/>
  <c r="AF51" i="21" s="1"/>
  <c r="V56" i="21"/>
  <c r="Z56" i="21" s="1"/>
  <c r="V78" i="21"/>
  <c r="S19" i="21"/>
  <c r="T19" i="21"/>
  <c r="U19" i="21" s="1"/>
  <c r="AF9" i="21" s="1"/>
  <c r="Z105" i="20"/>
  <c r="W76" i="20"/>
  <c r="S130" i="20"/>
  <c r="W82" i="20"/>
  <c r="T7" i="20"/>
  <c r="U7" i="20" s="1"/>
  <c r="AF5" i="20" s="1"/>
  <c r="T103" i="20"/>
  <c r="U103" i="20" s="1"/>
  <c r="AF96" i="20" s="1"/>
  <c r="T97" i="20"/>
  <c r="U97" i="20" s="1"/>
  <c r="AF94" i="20" s="1"/>
  <c r="X115" i="20"/>
  <c r="Y115" i="20" s="1"/>
  <c r="AH100" i="20" s="1"/>
  <c r="T37" i="20"/>
  <c r="U37" i="20" s="1"/>
  <c r="AF15" i="20" s="1"/>
  <c r="T130" i="20"/>
  <c r="U130" i="20" s="1"/>
  <c r="AF105" i="20" s="1"/>
  <c r="S76" i="20"/>
  <c r="S124" i="20"/>
  <c r="Z18" i="20"/>
  <c r="T79" i="20"/>
  <c r="U79" i="20" s="1"/>
  <c r="AF58" i="20" s="1"/>
  <c r="S97" i="20"/>
  <c r="T82" i="20"/>
  <c r="U82" i="20" s="1"/>
  <c r="AF59" i="20" s="1"/>
  <c r="Z9" i="20"/>
  <c r="S79" i="20"/>
  <c r="Z12" i="20"/>
  <c r="W127" i="20"/>
  <c r="Z102" i="20"/>
  <c r="X67" i="20"/>
  <c r="Y67" i="20" s="1"/>
  <c r="AH54" i="20" s="1"/>
  <c r="S19" i="20"/>
  <c r="AE9" i="20" s="1"/>
  <c r="S34" i="20"/>
  <c r="AE14" i="20" s="1"/>
  <c r="T88" i="20"/>
  <c r="U88" i="20" s="1"/>
  <c r="AF61" i="20" s="1"/>
  <c r="W97" i="20"/>
  <c r="S10" i="20"/>
  <c r="AE6" i="20" s="1"/>
  <c r="T10" i="20"/>
  <c r="U10" i="20" s="1"/>
  <c r="AF6" i="20" s="1"/>
  <c r="Z67" i="20"/>
  <c r="S61" i="20"/>
  <c r="X97" i="20"/>
  <c r="Y97" i="20" s="1"/>
  <c r="AH94" i="20" s="1"/>
  <c r="T55" i="20"/>
  <c r="U55" i="20" s="1"/>
  <c r="AF50" i="20" s="1"/>
  <c r="Z98" i="20"/>
  <c r="AA100" i="20" s="1"/>
  <c r="T124" i="20"/>
  <c r="U124" i="20" s="1"/>
  <c r="AF103" i="20" s="1"/>
  <c r="T43" i="20"/>
  <c r="U43" i="20" s="1"/>
  <c r="AF17" i="20" s="1"/>
  <c r="X88" i="20"/>
  <c r="Y88" i="20" s="1"/>
  <c r="AH61" i="20" s="1"/>
  <c r="S88" i="20"/>
  <c r="T58" i="20"/>
  <c r="U58" i="20" s="1"/>
  <c r="AF51" i="20" s="1"/>
  <c r="V56" i="20"/>
  <c r="X58" i="20" s="1"/>
  <c r="Y58" i="20" s="1"/>
  <c r="AH51" i="20" s="1"/>
  <c r="S37" i="20"/>
  <c r="AE15" i="20" s="1"/>
  <c r="X37" i="20"/>
  <c r="Y37" i="20" s="1"/>
  <c r="AH15" i="20" s="1"/>
  <c r="S16" i="20"/>
  <c r="AE8" i="20" s="1"/>
  <c r="T16" i="20"/>
  <c r="U16" i="20" s="1"/>
  <c r="AF8" i="20" s="1"/>
  <c r="Z17" i="20"/>
  <c r="T106" i="20"/>
  <c r="U106" i="20" s="1"/>
  <c r="AF97" i="20" s="1"/>
  <c r="T127" i="20"/>
  <c r="U127" i="20" s="1"/>
  <c r="AF104" i="20" s="1"/>
  <c r="W109" i="20"/>
  <c r="V104" i="20"/>
  <c r="W106" i="20" s="1"/>
  <c r="T34" i="20"/>
  <c r="U34" i="20" s="1"/>
  <c r="AF14" i="20" s="1"/>
  <c r="Z107" i="20"/>
  <c r="X16" i="20"/>
  <c r="Y16" i="20" s="1"/>
  <c r="AH8" i="20" s="1"/>
  <c r="S58" i="20"/>
  <c r="X13" i="20"/>
  <c r="Y13" i="20" s="1"/>
  <c r="AH7" i="20" s="1"/>
  <c r="X127" i="20"/>
  <c r="Y127" i="20" s="1"/>
  <c r="AH104" i="20" s="1"/>
  <c r="S13" i="20"/>
  <c r="AE7" i="20" s="1"/>
  <c r="T13" i="20"/>
  <c r="U13" i="20" s="1"/>
  <c r="AF7" i="20" s="1"/>
  <c r="S127" i="20"/>
  <c r="X31" i="20"/>
  <c r="Y31" i="20" s="1"/>
  <c r="AH13" i="20" s="1"/>
  <c r="W31" i="20"/>
  <c r="W85" i="20"/>
  <c r="T61" i="20"/>
  <c r="U61" i="20" s="1"/>
  <c r="AF52" i="20" s="1"/>
  <c r="T31" i="20"/>
  <c r="U31" i="20" s="1"/>
  <c r="AF13" i="20" s="1"/>
  <c r="S31" i="20"/>
  <c r="AE13" i="20" s="1"/>
  <c r="W16" i="20"/>
  <c r="W25" i="20"/>
  <c r="X25" i="20"/>
  <c r="Y25" i="20" s="1"/>
  <c r="AH11" i="20" s="1"/>
  <c r="Z68" i="20"/>
  <c r="W10" i="19"/>
  <c r="W46" i="21"/>
  <c r="X46" i="21"/>
  <c r="Y46" i="21" s="1"/>
  <c r="AH18" i="21" s="1"/>
  <c r="X103" i="21"/>
  <c r="Y103" i="21" s="1"/>
  <c r="AH96" i="21" s="1"/>
  <c r="Z101" i="21"/>
  <c r="W103" i="21"/>
  <c r="AG96" i="21" s="1"/>
  <c r="T10" i="21"/>
  <c r="U10" i="21" s="1"/>
  <c r="AF6" i="21" s="1"/>
  <c r="X55" i="21"/>
  <c r="Y55" i="21" s="1"/>
  <c r="AH50" i="21" s="1"/>
  <c r="Z53" i="21"/>
  <c r="W55" i="21"/>
  <c r="AG50" i="21" s="1"/>
  <c r="AA22" i="21"/>
  <c r="AB22" i="21"/>
  <c r="X34" i="21"/>
  <c r="Y34" i="21" s="1"/>
  <c r="AH14" i="21" s="1"/>
  <c r="W34" i="21"/>
  <c r="X7" i="21"/>
  <c r="Y7" i="21" s="1"/>
  <c r="AH5" i="21" s="1"/>
  <c r="W7" i="21"/>
  <c r="AG5" i="21" s="1"/>
  <c r="Z23" i="21"/>
  <c r="S52" i="21"/>
  <c r="AE49" i="21" s="1"/>
  <c r="Z54" i="21"/>
  <c r="Z63" i="21"/>
  <c r="Z57" i="21"/>
  <c r="X64" i="21"/>
  <c r="Y64" i="21" s="1"/>
  <c r="AH53" i="21" s="1"/>
  <c r="Z62" i="21"/>
  <c r="W64" i="21"/>
  <c r="AD11" i="21"/>
  <c r="Z25" i="21"/>
  <c r="Z24" i="21"/>
  <c r="X10" i="21"/>
  <c r="Y10" i="21" s="1"/>
  <c r="AH6" i="21" s="1"/>
  <c r="W10" i="21"/>
  <c r="AG6" i="21" s="1"/>
  <c r="Z8" i="21"/>
  <c r="X136" i="21"/>
  <c r="Y136" i="21" s="1"/>
  <c r="AH107" i="21" s="1"/>
  <c r="W136" i="21"/>
  <c r="W19" i="21"/>
  <c r="Z17" i="21"/>
  <c r="X19" i="21"/>
  <c r="Y19" i="21" s="1"/>
  <c r="AH9" i="21" s="1"/>
  <c r="T52" i="21"/>
  <c r="U52" i="21" s="1"/>
  <c r="AF49" i="21" s="1"/>
  <c r="W106" i="21"/>
  <c r="W121" i="21"/>
  <c r="W133" i="21"/>
  <c r="X133" i="21"/>
  <c r="Y133" i="21" s="1"/>
  <c r="AH106" i="21" s="1"/>
  <c r="AD53" i="21"/>
  <c r="Z14" i="21"/>
  <c r="X16" i="21"/>
  <c r="Y16" i="21" s="1"/>
  <c r="AH8" i="21" s="1"/>
  <c r="W16" i="21"/>
  <c r="X97" i="21"/>
  <c r="Y97" i="21" s="1"/>
  <c r="AH94" i="21" s="1"/>
  <c r="W97" i="21"/>
  <c r="AG94" i="21" s="1"/>
  <c r="X52" i="21"/>
  <c r="Y52" i="21" s="1"/>
  <c r="AH49" i="21" s="1"/>
  <c r="W52" i="21"/>
  <c r="AG49" i="21" s="1"/>
  <c r="W130" i="21"/>
  <c r="X130" i="21"/>
  <c r="Y130" i="21" s="1"/>
  <c r="AH105" i="21" s="1"/>
  <c r="AD99" i="21"/>
  <c r="Z111" i="21"/>
  <c r="W127" i="21"/>
  <c r="X127" i="21"/>
  <c r="Y127" i="21" s="1"/>
  <c r="AH104" i="21" s="1"/>
  <c r="Z64" i="21"/>
  <c r="X31" i="21"/>
  <c r="Y31" i="21" s="1"/>
  <c r="AH13" i="21" s="1"/>
  <c r="W31" i="21"/>
  <c r="AB61" i="21"/>
  <c r="AA61" i="21"/>
  <c r="S10" i="21"/>
  <c r="AE6" i="21" s="1"/>
  <c r="X13" i="21"/>
  <c r="Y13" i="21" s="1"/>
  <c r="AH7" i="21" s="1"/>
  <c r="W13" i="21"/>
  <c r="AG7" i="21" s="1"/>
  <c r="Z11" i="21"/>
  <c r="Z112" i="21"/>
  <c r="W85" i="21"/>
  <c r="X85" i="21"/>
  <c r="Y85" i="21" s="1"/>
  <c r="AH60" i="21" s="1"/>
  <c r="X34" i="20"/>
  <c r="Y34" i="20" s="1"/>
  <c r="AH14" i="20" s="1"/>
  <c r="W34" i="20"/>
  <c r="W7" i="20"/>
  <c r="X7" i="20"/>
  <c r="Y7" i="20" s="1"/>
  <c r="AH5" i="20" s="1"/>
  <c r="Z23" i="20"/>
  <c r="X121" i="20"/>
  <c r="Y121" i="20" s="1"/>
  <c r="AH102" i="20" s="1"/>
  <c r="W121" i="20"/>
  <c r="AB100" i="20"/>
  <c r="W103" i="20"/>
  <c r="X103" i="20"/>
  <c r="Y103" i="20" s="1"/>
  <c r="AH96" i="20" s="1"/>
  <c r="Z101" i="20"/>
  <c r="X136" i="20"/>
  <c r="Y136" i="20" s="1"/>
  <c r="AH107" i="20" s="1"/>
  <c r="W136" i="20"/>
  <c r="W46" i="20"/>
  <c r="X46" i="20"/>
  <c r="Y46" i="20" s="1"/>
  <c r="AH18" i="20" s="1"/>
  <c r="AD55" i="20"/>
  <c r="Z70" i="20"/>
  <c r="X130" i="20"/>
  <c r="Y130" i="20" s="1"/>
  <c r="AH105" i="20" s="1"/>
  <c r="W130" i="20"/>
  <c r="W133" i="20"/>
  <c r="X133" i="20"/>
  <c r="Y133" i="20" s="1"/>
  <c r="AH106" i="20" s="1"/>
  <c r="X55" i="20"/>
  <c r="Y55" i="20" s="1"/>
  <c r="AH50" i="20" s="1"/>
  <c r="Z53" i="20"/>
  <c r="W55" i="20"/>
  <c r="X19" i="20"/>
  <c r="Y19" i="20" s="1"/>
  <c r="AH9" i="20" s="1"/>
  <c r="W19" i="20"/>
  <c r="X22" i="20"/>
  <c r="Y22" i="20" s="1"/>
  <c r="AH10" i="20" s="1"/>
  <c r="W22" i="20"/>
  <c r="Z20" i="20"/>
  <c r="AD11" i="20"/>
  <c r="X52" i="20"/>
  <c r="Y52" i="20" s="1"/>
  <c r="AH49" i="20" s="1"/>
  <c r="W52" i="20"/>
  <c r="Z65" i="20"/>
  <c r="W64" i="20"/>
  <c r="Z62" i="20"/>
  <c r="X64" i="20"/>
  <c r="Y64" i="20" s="1"/>
  <c r="AH53" i="20" s="1"/>
  <c r="Z14" i="20"/>
  <c r="Z11" i="20"/>
  <c r="X124" i="20"/>
  <c r="Y124" i="20" s="1"/>
  <c r="AH103" i="20" s="1"/>
  <c r="W124" i="20"/>
  <c r="AD98" i="20"/>
  <c r="Z108" i="20"/>
  <c r="Z69" i="20"/>
  <c r="X61" i="20"/>
  <c r="Y61" i="20" s="1"/>
  <c r="AH52" i="20" s="1"/>
  <c r="Z59" i="20"/>
  <c r="W61" i="20"/>
  <c r="X10" i="20"/>
  <c r="Y10" i="20" s="1"/>
  <c r="AH6" i="20" s="1"/>
  <c r="W10" i="20"/>
  <c r="Z8" i="20"/>
  <c r="X43" i="20"/>
  <c r="Y43" i="20" s="1"/>
  <c r="AH17" i="20" s="1"/>
  <c r="W43" i="20"/>
  <c r="Z24" i="20"/>
  <c r="AB56" i="19"/>
  <c r="AA56" i="19"/>
  <c r="AB33" i="19"/>
  <c r="AA33" i="19"/>
  <c r="X34" i="19"/>
  <c r="Z34" i="19"/>
  <c r="S34" i="19"/>
  <c r="Y34" i="19"/>
  <c r="T34" i="19"/>
  <c r="U34" i="19"/>
  <c r="V56" i="19"/>
  <c r="W56" i="19"/>
  <c r="X57" i="19"/>
  <c r="Z57" i="19"/>
  <c r="S57" i="19"/>
  <c r="Y57" i="19"/>
  <c r="T57" i="19"/>
  <c r="U57" i="19"/>
  <c r="AB10" i="19"/>
  <c r="AA10" i="19"/>
  <c r="Z11" i="19"/>
  <c r="U11" i="19"/>
  <c r="X11" i="19"/>
  <c r="T11" i="19"/>
  <c r="Y11" i="19"/>
  <c r="S11" i="19"/>
  <c r="V10" i="19"/>
  <c r="V33" i="19"/>
  <c r="W33" i="19"/>
  <c r="X55" i="18"/>
  <c r="S55" i="18"/>
  <c r="Y55" i="18"/>
  <c r="Z55" i="18"/>
  <c r="T55" i="18"/>
  <c r="U55" i="18"/>
  <c r="V10" i="18"/>
  <c r="W10" i="18"/>
  <c r="Y11" i="18"/>
  <c r="U11" i="18"/>
  <c r="X11" i="18"/>
  <c r="T11" i="18"/>
  <c r="Z11" i="18"/>
  <c r="S11" i="18"/>
  <c r="AB32" i="18"/>
  <c r="AA32" i="18"/>
  <c r="AA54" i="18"/>
  <c r="AB54" i="18"/>
  <c r="W32" i="18"/>
  <c r="V32" i="18"/>
  <c r="Y33" i="18"/>
  <c r="U33" i="18"/>
  <c r="T33" i="18"/>
  <c r="X33" i="18"/>
  <c r="Z33" i="18"/>
  <c r="S33" i="18"/>
  <c r="AB10" i="18"/>
  <c r="AA10" i="18"/>
  <c r="V54" i="18"/>
  <c r="W54" i="18"/>
  <c r="AA109" i="21" l="1"/>
  <c r="Z98" i="21"/>
  <c r="AA100" i="21" s="1"/>
  <c r="X82" i="21"/>
  <c r="Y82" i="21" s="1"/>
  <c r="AH59" i="21" s="1"/>
  <c r="X100" i="21"/>
  <c r="Y100" i="21" s="1"/>
  <c r="AH95" i="21" s="1"/>
  <c r="X88" i="21"/>
  <c r="Y88" i="21" s="1"/>
  <c r="AH61" i="21" s="1"/>
  <c r="Z104" i="21"/>
  <c r="AA106" i="21" s="1"/>
  <c r="AB58" i="21"/>
  <c r="X58" i="21"/>
  <c r="Y58" i="21" s="1"/>
  <c r="AH51" i="21" s="1"/>
  <c r="W58" i="21"/>
  <c r="AG51" i="21" s="1"/>
  <c r="W79" i="21"/>
  <c r="X79" i="21"/>
  <c r="Y79" i="21" s="1"/>
  <c r="AH58" i="21" s="1"/>
  <c r="AA58" i="21"/>
  <c r="Z56" i="20"/>
  <c r="AA58" i="20" s="1"/>
  <c r="W58" i="20"/>
  <c r="AB109" i="20"/>
  <c r="Z104" i="20"/>
  <c r="AB106" i="20" s="1"/>
  <c r="X106" i="20"/>
  <c r="Y106" i="20" s="1"/>
  <c r="AH97" i="20" s="1"/>
  <c r="AB70" i="20"/>
  <c r="AB112" i="21"/>
  <c r="AA19" i="21"/>
  <c r="AB19" i="21"/>
  <c r="AB64" i="21"/>
  <c r="AA64" i="21"/>
  <c r="AB16" i="21"/>
  <c r="AA16" i="21"/>
  <c r="AB25" i="21"/>
  <c r="AA25" i="21"/>
  <c r="AD100" i="21"/>
  <c r="Z114" i="21"/>
  <c r="Z115" i="21"/>
  <c r="Z113" i="21"/>
  <c r="AD54" i="21"/>
  <c r="Z67" i="21"/>
  <c r="Z65" i="21"/>
  <c r="AB10" i="21"/>
  <c r="AA10" i="21"/>
  <c r="AD12" i="21"/>
  <c r="Z28" i="21"/>
  <c r="Z27" i="21"/>
  <c r="Z66" i="21"/>
  <c r="Z26" i="21"/>
  <c r="AB103" i="21"/>
  <c r="AA103" i="21"/>
  <c r="AA112" i="21"/>
  <c r="AB13" i="21"/>
  <c r="AA13" i="21"/>
  <c r="AB55" i="21"/>
  <c r="AA55" i="21"/>
  <c r="AD12" i="20"/>
  <c r="Z28" i="20"/>
  <c r="Z27" i="20"/>
  <c r="AB55" i="20"/>
  <c r="AA55" i="20"/>
  <c r="AB10" i="20"/>
  <c r="AA10" i="20"/>
  <c r="AB61" i="20"/>
  <c r="AA61" i="20"/>
  <c r="AD56" i="20"/>
  <c r="Z73" i="20"/>
  <c r="Z71" i="20"/>
  <c r="Z72" i="20"/>
  <c r="AA103" i="20"/>
  <c r="AB103" i="20"/>
  <c r="AB25" i="20"/>
  <c r="AA25" i="20"/>
  <c r="AD99" i="20"/>
  <c r="Z111" i="20"/>
  <c r="Z112" i="20"/>
  <c r="Z110" i="20"/>
  <c r="AB13" i="20"/>
  <c r="AA13" i="20"/>
  <c r="AA64" i="20"/>
  <c r="AB64" i="20"/>
  <c r="AB19" i="20"/>
  <c r="AA19" i="20"/>
  <c r="AA70" i="20"/>
  <c r="AA106" i="20"/>
  <c r="AA109" i="20"/>
  <c r="AB67" i="20"/>
  <c r="AA67" i="20"/>
  <c r="AB22" i="20"/>
  <c r="AA22" i="20"/>
  <c r="AB16" i="20"/>
  <c r="AA16" i="20"/>
  <c r="Z26" i="20"/>
  <c r="AB58" i="20"/>
  <c r="Y12" i="19"/>
  <c r="T12" i="19"/>
  <c r="Z12" i="19"/>
  <c r="S12" i="19"/>
  <c r="X12" i="19"/>
  <c r="U12" i="19"/>
  <c r="AA57" i="19"/>
  <c r="AB57" i="19"/>
  <c r="AA11" i="19"/>
  <c r="AB11" i="19"/>
  <c r="Y58" i="19"/>
  <c r="T58" i="19"/>
  <c r="X58" i="19"/>
  <c r="Z58" i="19"/>
  <c r="U58" i="19"/>
  <c r="S58" i="19"/>
  <c r="AB34" i="19"/>
  <c r="AA34" i="19"/>
  <c r="W34" i="19"/>
  <c r="V34" i="19"/>
  <c r="W11" i="19"/>
  <c r="V11" i="19"/>
  <c r="W57" i="19"/>
  <c r="V57" i="19"/>
  <c r="Y35" i="19"/>
  <c r="X35" i="19"/>
  <c r="Z35" i="19"/>
  <c r="U35" i="19"/>
  <c r="T35" i="19"/>
  <c r="S35" i="19"/>
  <c r="W11" i="18"/>
  <c r="V11" i="18"/>
  <c r="AB33" i="18"/>
  <c r="AA33" i="18"/>
  <c r="Z34" i="18"/>
  <c r="X34" i="18"/>
  <c r="T34" i="18"/>
  <c r="Y34" i="18"/>
  <c r="U34" i="18"/>
  <c r="S34" i="18"/>
  <c r="Y12" i="18"/>
  <c r="Z12" i="18"/>
  <c r="X12" i="18"/>
  <c r="T12" i="18"/>
  <c r="U12" i="18"/>
  <c r="S12" i="18"/>
  <c r="W55" i="18"/>
  <c r="V55" i="18"/>
  <c r="AA55" i="18"/>
  <c r="AB55" i="18"/>
  <c r="W33" i="18"/>
  <c r="V33" i="18"/>
  <c r="AB11" i="18"/>
  <c r="AA11" i="18"/>
  <c r="Y56" i="18"/>
  <c r="X56" i="18"/>
  <c r="Z56" i="18"/>
  <c r="T56" i="18"/>
  <c r="S56" i="18"/>
  <c r="U56" i="18"/>
  <c r="AB100" i="21" l="1"/>
  <c r="AB106" i="21"/>
  <c r="AD55" i="21"/>
  <c r="Z70" i="21"/>
  <c r="Z68" i="21"/>
  <c r="Z69" i="21"/>
  <c r="AB28" i="21"/>
  <c r="AA28" i="21"/>
  <c r="AD13" i="21"/>
  <c r="Z31" i="21"/>
  <c r="Z30" i="21"/>
  <c r="Z29" i="21"/>
  <c r="AB67" i="21"/>
  <c r="AA67" i="21"/>
  <c r="AB115" i="21"/>
  <c r="AA115" i="21"/>
  <c r="AD101" i="21"/>
  <c r="Z117" i="21"/>
  <c r="Z118" i="21"/>
  <c r="Z116" i="21"/>
  <c r="AB112" i="20"/>
  <c r="AA112" i="20"/>
  <c r="AD100" i="20"/>
  <c r="Z114" i="20"/>
  <c r="Z113" i="20"/>
  <c r="Z115" i="20"/>
  <c r="AD57" i="20"/>
  <c r="Z74" i="20"/>
  <c r="Z76" i="20"/>
  <c r="Z75" i="20"/>
  <c r="AB73" i="20"/>
  <c r="AA73" i="20"/>
  <c r="AA28" i="20"/>
  <c r="AB28" i="20"/>
  <c r="AD13" i="20"/>
  <c r="Z30" i="20"/>
  <c r="Z31" i="20"/>
  <c r="Z29" i="20"/>
  <c r="Z36" i="19"/>
  <c r="X36" i="19"/>
  <c r="T36" i="19"/>
  <c r="Y36" i="19"/>
  <c r="S36" i="19"/>
  <c r="U36" i="19"/>
  <c r="X59" i="19"/>
  <c r="Z59" i="19"/>
  <c r="Y59" i="19"/>
  <c r="U59" i="19"/>
  <c r="T59" i="19"/>
  <c r="S59" i="19"/>
  <c r="AB58" i="19"/>
  <c r="AA58" i="19"/>
  <c r="V58" i="19"/>
  <c r="W58" i="19"/>
  <c r="AA12" i="19"/>
  <c r="AB12" i="19"/>
  <c r="X13" i="19"/>
  <c r="Z13" i="19"/>
  <c r="S13" i="19"/>
  <c r="Y13" i="19"/>
  <c r="T13" i="19"/>
  <c r="U13" i="19"/>
  <c r="W35" i="19"/>
  <c r="V35" i="19"/>
  <c r="AB35" i="19"/>
  <c r="AA35" i="19"/>
  <c r="V12" i="19"/>
  <c r="W12" i="19"/>
  <c r="V56" i="18"/>
  <c r="W56" i="18"/>
  <c r="X57" i="18"/>
  <c r="Z57" i="18"/>
  <c r="S57" i="18"/>
  <c r="Y57" i="18"/>
  <c r="U57" i="18"/>
  <c r="T57" i="18"/>
  <c r="AA12" i="18"/>
  <c r="AB12" i="18"/>
  <c r="W12" i="18"/>
  <c r="V12" i="18"/>
  <c r="Y35" i="18"/>
  <c r="T35" i="18"/>
  <c r="S35" i="18"/>
  <c r="Z35" i="18"/>
  <c r="X35" i="18"/>
  <c r="U35" i="18"/>
  <c r="Z13" i="18"/>
  <c r="Y13" i="18"/>
  <c r="U13" i="18"/>
  <c r="X13" i="18"/>
  <c r="T13" i="18"/>
  <c r="S13" i="18"/>
  <c r="W34" i="18"/>
  <c r="V34" i="18"/>
  <c r="AA34" i="18"/>
  <c r="AB34" i="18"/>
  <c r="AB56" i="18"/>
  <c r="AA56" i="18"/>
  <c r="AB70" i="21" l="1"/>
  <c r="AA70" i="21"/>
  <c r="AB31" i="21"/>
  <c r="AA31" i="21"/>
  <c r="AD14" i="21"/>
  <c r="Z33" i="21"/>
  <c r="Z34" i="21"/>
  <c r="Z32" i="21"/>
  <c r="AB118" i="21"/>
  <c r="AA118" i="21"/>
  <c r="AD102" i="21"/>
  <c r="Z121" i="21"/>
  <c r="Z120" i="21"/>
  <c r="Z119" i="21"/>
  <c r="AD56" i="21"/>
  <c r="Z73" i="21"/>
  <c r="Z71" i="21"/>
  <c r="Z72" i="21"/>
  <c r="AA115" i="20"/>
  <c r="AB115" i="20"/>
  <c r="AD14" i="20"/>
  <c r="Z33" i="20"/>
  <c r="Z34" i="20"/>
  <c r="Z32" i="20"/>
  <c r="AD101" i="20"/>
  <c r="Z117" i="20"/>
  <c r="Z118" i="20"/>
  <c r="Z116" i="20"/>
  <c r="AB76" i="20"/>
  <c r="AA76" i="20"/>
  <c r="AB31" i="20"/>
  <c r="AA31" i="20"/>
  <c r="AD58" i="20"/>
  <c r="Z77" i="20"/>
  <c r="Z78" i="20"/>
  <c r="Z79" i="20"/>
  <c r="W13" i="19"/>
  <c r="V13" i="19"/>
  <c r="AA36" i="19"/>
  <c r="AB36" i="19"/>
  <c r="Y14" i="19"/>
  <c r="Z14" i="19"/>
  <c r="X14" i="19"/>
  <c r="U14" i="19"/>
  <c r="T14" i="19"/>
  <c r="S14" i="19"/>
  <c r="Z60" i="19"/>
  <c r="Y60" i="19"/>
  <c r="S60" i="19"/>
  <c r="X60" i="19"/>
  <c r="U60" i="19"/>
  <c r="T60" i="19"/>
  <c r="AB13" i="19"/>
  <c r="AA13" i="19"/>
  <c r="V59" i="19"/>
  <c r="W59" i="19"/>
  <c r="W36" i="19"/>
  <c r="V36" i="19"/>
  <c r="Y37" i="19"/>
  <c r="Z37" i="19"/>
  <c r="T37" i="19"/>
  <c r="S37" i="19"/>
  <c r="X37" i="19"/>
  <c r="U37" i="19"/>
  <c r="AB59" i="19"/>
  <c r="AA59" i="19"/>
  <c r="AB57" i="18"/>
  <c r="AA57" i="18"/>
  <c r="W13" i="18"/>
  <c r="V13" i="18"/>
  <c r="AB35" i="18"/>
  <c r="AA35" i="18"/>
  <c r="Y58" i="18"/>
  <c r="U58" i="18"/>
  <c r="X58" i="18"/>
  <c r="Z58" i="18"/>
  <c r="S58" i="18"/>
  <c r="T58" i="18"/>
  <c r="X36" i="18"/>
  <c r="Z36" i="18"/>
  <c r="S36" i="18"/>
  <c r="Y36" i="18"/>
  <c r="U36" i="18"/>
  <c r="T36" i="18"/>
  <c r="W57" i="18"/>
  <c r="V57" i="18"/>
  <c r="AB13" i="18"/>
  <c r="AA13" i="18"/>
  <c r="Y14" i="18"/>
  <c r="Z14" i="18"/>
  <c r="X14" i="18"/>
  <c r="T14" i="18"/>
  <c r="U14" i="18"/>
  <c r="S14" i="18"/>
  <c r="V35" i="18"/>
  <c r="W35" i="18"/>
  <c r="AB73" i="21" l="1"/>
  <c r="AA73" i="21"/>
  <c r="AB121" i="21"/>
  <c r="AA121" i="21"/>
  <c r="AD103" i="21"/>
  <c r="Z124" i="21"/>
  <c r="Z122" i="21"/>
  <c r="Z123" i="21"/>
  <c r="AD57" i="21"/>
  <c r="Z74" i="21"/>
  <c r="Z76" i="21"/>
  <c r="Z75" i="21"/>
  <c r="AB34" i="21"/>
  <c r="AA34" i="21"/>
  <c r="AD15" i="21"/>
  <c r="Z37" i="21"/>
  <c r="Z36" i="21"/>
  <c r="Z35" i="21"/>
  <c r="AD59" i="20"/>
  <c r="Z81" i="20"/>
  <c r="Z80" i="20"/>
  <c r="Z82" i="20"/>
  <c r="AA118" i="20"/>
  <c r="AB118" i="20"/>
  <c r="AD102" i="20"/>
  <c r="Z120" i="20"/>
  <c r="Z121" i="20"/>
  <c r="Z119" i="20"/>
  <c r="AB79" i="20"/>
  <c r="AA79" i="20"/>
  <c r="AB34" i="20"/>
  <c r="AA34" i="20"/>
  <c r="AD15" i="20"/>
  <c r="Z36" i="20"/>
  <c r="Z37" i="20"/>
  <c r="Z35" i="20"/>
  <c r="Y61" i="19"/>
  <c r="S61" i="19"/>
  <c r="Z61" i="19"/>
  <c r="X61" i="19"/>
  <c r="U61" i="19"/>
  <c r="T61" i="19"/>
  <c r="AB14" i="19"/>
  <c r="AA14" i="19"/>
  <c r="V60" i="19"/>
  <c r="W60" i="19"/>
  <c r="AB37" i="19"/>
  <c r="AA37" i="19"/>
  <c r="AB60" i="19"/>
  <c r="AA60" i="19"/>
  <c r="V14" i="19"/>
  <c r="W14" i="19"/>
  <c r="V37" i="19"/>
  <c r="W37" i="19"/>
  <c r="Y38" i="19"/>
  <c r="T38" i="19"/>
  <c r="X38" i="19"/>
  <c r="Z38" i="19"/>
  <c r="U38" i="19"/>
  <c r="S38" i="19"/>
  <c r="Z15" i="19"/>
  <c r="T15" i="19"/>
  <c r="U15" i="19"/>
  <c r="S15" i="19"/>
  <c r="Y15" i="19"/>
  <c r="X15" i="19"/>
  <c r="AB14" i="18"/>
  <c r="AA14" i="18"/>
  <c r="W58" i="18"/>
  <c r="V58" i="18"/>
  <c r="X59" i="18"/>
  <c r="Z59" i="18"/>
  <c r="U59" i="18"/>
  <c r="Y59" i="18"/>
  <c r="S59" i="18"/>
  <c r="T59" i="18"/>
  <c r="W14" i="18"/>
  <c r="V14" i="18"/>
  <c r="AB36" i="18"/>
  <c r="AA36" i="18"/>
  <c r="Z15" i="18"/>
  <c r="Y15" i="18"/>
  <c r="T15" i="18"/>
  <c r="X15" i="18"/>
  <c r="S15" i="18"/>
  <c r="U15" i="18"/>
  <c r="Y37" i="18"/>
  <c r="U37" i="18"/>
  <c r="Z37" i="18"/>
  <c r="X37" i="18"/>
  <c r="T37" i="18"/>
  <c r="S37" i="18"/>
  <c r="AB58" i="18"/>
  <c r="AA58" i="18"/>
  <c r="W36" i="18"/>
  <c r="V36" i="18"/>
  <c r="AB76" i="21" l="1"/>
  <c r="AA76" i="21"/>
  <c r="AA124" i="21"/>
  <c r="AB124" i="21"/>
  <c r="AD58" i="21"/>
  <c r="Z77" i="21"/>
  <c r="Z79" i="21"/>
  <c r="Z78" i="21"/>
  <c r="AA37" i="21"/>
  <c r="AB37" i="21"/>
  <c r="AD16" i="21"/>
  <c r="Z40" i="21"/>
  <c r="Z39" i="21"/>
  <c r="Z38" i="21"/>
  <c r="AD104" i="21"/>
  <c r="Z127" i="21"/>
  <c r="Z126" i="21"/>
  <c r="Z125" i="21"/>
  <c r="AB121" i="20"/>
  <c r="AA121" i="20"/>
  <c r="AD103" i="20"/>
  <c r="Z124" i="20"/>
  <c r="Z123" i="20"/>
  <c r="Z122" i="20"/>
  <c r="AB82" i="20"/>
  <c r="AA82" i="20"/>
  <c r="AD16" i="20"/>
  <c r="Z40" i="20"/>
  <c r="Z39" i="20"/>
  <c r="Z38" i="20"/>
  <c r="AD60" i="20"/>
  <c r="Z84" i="20"/>
  <c r="Z85" i="20"/>
  <c r="Z83" i="20"/>
  <c r="AB37" i="20"/>
  <c r="AA37" i="20"/>
  <c r="Z16" i="19"/>
  <c r="X16" i="19"/>
  <c r="T16" i="19"/>
  <c r="Y16" i="19"/>
  <c r="U16" i="19"/>
  <c r="S16" i="19"/>
  <c r="Z39" i="19"/>
  <c r="U39" i="19"/>
  <c r="X39" i="19"/>
  <c r="Y39" i="19"/>
  <c r="S39" i="19"/>
  <c r="T39" i="19"/>
  <c r="W15" i="19"/>
  <c r="V15" i="19"/>
  <c r="AB38" i="19"/>
  <c r="AA38" i="19"/>
  <c r="V61" i="19"/>
  <c r="W61" i="19"/>
  <c r="W38" i="19"/>
  <c r="V38" i="19"/>
  <c r="AA15" i="19"/>
  <c r="AB15" i="19"/>
  <c r="AB61" i="19"/>
  <c r="AA61" i="19"/>
  <c r="S62" i="19"/>
  <c r="Y62" i="19"/>
  <c r="Z62" i="19"/>
  <c r="X62" i="19"/>
  <c r="T62" i="19"/>
  <c r="U62" i="19"/>
  <c r="AA15" i="18"/>
  <c r="AB15" i="18"/>
  <c r="Y16" i="18"/>
  <c r="T16" i="18"/>
  <c r="X16" i="18"/>
  <c r="Z16" i="18"/>
  <c r="U16" i="18"/>
  <c r="S16" i="18"/>
  <c r="AB37" i="18"/>
  <c r="AA37" i="18"/>
  <c r="Y38" i="18"/>
  <c r="Z38" i="18"/>
  <c r="T38" i="18"/>
  <c r="X38" i="18"/>
  <c r="U38" i="18"/>
  <c r="S38" i="18"/>
  <c r="W59" i="18"/>
  <c r="V59" i="18"/>
  <c r="AB59" i="18"/>
  <c r="AA59" i="18"/>
  <c r="W37" i="18"/>
  <c r="V37" i="18"/>
  <c r="W15" i="18"/>
  <c r="V15" i="18"/>
  <c r="Y60" i="18"/>
  <c r="X60" i="18"/>
  <c r="Z60" i="18"/>
  <c r="S60" i="18"/>
  <c r="T60" i="18"/>
  <c r="U60" i="18"/>
  <c r="AB40" i="21" l="1"/>
  <c r="AA40" i="21"/>
  <c r="AA79" i="21"/>
  <c r="AB79" i="21"/>
  <c r="AA127" i="21"/>
  <c r="AB127" i="21"/>
  <c r="AD105" i="21"/>
  <c r="Z129" i="21"/>
  <c r="Z130" i="21"/>
  <c r="Z128" i="21"/>
  <c r="AD17" i="21"/>
  <c r="Z43" i="21"/>
  <c r="Z42" i="21"/>
  <c r="Z41" i="21"/>
  <c r="AD59" i="21"/>
  <c r="Z82" i="21"/>
  <c r="Z80" i="21"/>
  <c r="Z81" i="21"/>
  <c r="AB85" i="20"/>
  <c r="AA85" i="20"/>
  <c r="AB124" i="20"/>
  <c r="AA124" i="20"/>
  <c r="AD104" i="20"/>
  <c r="Z127" i="20"/>
  <c r="Z126" i="20"/>
  <c r="Z125" i="20"/>
  <c r="AA40" i="20"/>
  <c r="AB40" i="20"/>
  <c r="AD17" i="20"/>
  <c r="Z43" i="20"/>
  <c r="Z42" i="20"/>
  <c r="Z41" i="20"/>
  <c r="AD61" i="20"/>
  <c r="Z86" i="20"/>
  <c r="Z88" i="20"/>
  <c r="Z87" i="20"/>
  <c r="V62" i="19"/>
  <c r="W62" i="19"/>
  <c r="X40" i="19"/>
  <c r="Y40" i="19"/>
  <c r="U40" i="19"/>
  <c r="Z40" i="19"/>
  <c r="T40" i="19"/>
  <c r="S40" i="19"/>
  <c r="AB62" i="19"/>
  <c r="AA62" i="19"/>
  <c r="Z63" i="19"/>
  <c r="S63" i="19"/>
  <c r="X63" i="19"/>
  <c r="Y63" i="19"/>
  <c r="T63" i="19"/>
  <c r="U63" i="19"/>
  <c r="AB39" i="19"/>
  <c r="AA39" i="19"/>
  <c r="W16" i="19"/>
  <c r="V16" i="19"/>
  <c r="AA16" i="19"/>
  <c r="AB16" i="19"/>
  <c r="W39" i="19"/>
  <c r="V39" i="19"/>
  <c r="Z17" i="19"/>
  <c r="T17" i="19"/>
  <c r="Y17" i="19"/>
  <c r="S17" i="19"/>
  <c r="X17" i="19"/>
  <c r="U17" i="19"/>
  <c r="AB38" i="18"/>
  <c r="AA38" i="18"/>
  <c r="X39" i="18"/>
  <c r="S39" i="18"/>
  <c r="Y39" i="18"/>
  <c r="Z39" i="18"/>
  <c r="U39" i="18"/>
  <c r="T39" i="18"/>
  <c r="V60" i="18"/>
  <c r="W60" i="18"/>
  <c r="X61" i="18"/>
  <c r="Z61" i="18"/>
  <c r="Y61" i="18"/>
  <c r="S61" i="18"/>
  <c r="U61" i="18"/>
  <c r="T61" i="18"/>
  <c r="X17" i="18"/>
  <c r="S17" i="18"/>
  <c r="Z17" i="18"/>
  <c r="Y17" i="18"/>
  <c r="U17" i="18"/>
  <c r="T17" i="18"/>
  <c r="V38" i="18"/>
  <c r="W38" i="18"/>
  <c r="AB16" i="18"/>
  <c r="AA16" i="18"/>
  <c r="AB60" i="18"/>
  <c r="AA60" i="18"/>
  <c r="V16" i="18"/>
  <c r="W16" i="18"/>
  <c r="AA82" i="21" l="1"/>
  <c r="AB82" i="21"/>
  <c r="AB43" i="21"/>
  <c r="AA43" i="21"/>
  <c r="AD18" i="21"/>
  <c r="Z46" i="21"/>
  <c r="Z45" i="21"/>
  <c r="Z44" i="21"/>
  <c r="AA130" i="21"/>
  <c r="AB130" i="21"/>
  <c r="AD106" i="21"/>
  <c r="Z133" i="21"/>
  <c r="Z132" i="21"/>
  <c r="Z131" i="21"/>
  <c r="AD60" i="21"/>
  <c r="Z85" i="21"/>
  <c r="Z84" i="21"/>
  <c r="Z83" i="21"/>
  <c r="AB43" i="20"/>
  <c r="AA43" i="20"/>
  <c r="AD18" i="20"/>
  <c r="Z45" i="20"/>
  <c r="Z46" i="20"/>
  <c r="Z44" i="20"/>
  <c r="AA88" i="20"/>
  <c r="AB88" i="20"/>
  <c r="AD62" i="20"/>
  <c r="Z91" i="20"/>
  <c r="Z90" i="20"/>
  <c r="Z89" i="20"/>
  <c r="AA127" i="20"/>
  <c r="AB127" i="20"/>
  <c r="AD105" i="20"/>
  <c r="Z130" i="20"/>
  <c r="Z129" i="20"/>
  <c r="Z128" i="20"/>
  <c r="AA17" i="19"/>
  <c r="AB17" i="19"/>
  <c r="Z64" i="19"/>
  <c r="Y64" i="19"/>
  <c r="S64" i="19"/>
  <c r="X64" i="19"/>
  <c r="T64" i="19"/>
  <c r="U64" i="19"/>
  <c r="AB40" i="19"/>
  <c r="AA40" i="19"/>
  <c r="V63" i="19"/>
  <c r="W63" i="19"/>
  <c r="W17" i="19"/>
  <c r="V17" i="19"/>
  <c r="Z18" i="19"/>
  <c r="U18" i="19"/>
  <c r="X18" i="19"/>
  <c r="Y18" i="19"/>
  <c r="T18" i="19"/>
  <c r="S18" i="19"/>
  <c r="AB63" i="19"/>
  <c r="AA63" i="19"/>
  <c r="X41" i="19"/>
  <c r="U41" i="19"/>
  <c r="Y41" i="19"/>
  <c r="Z41" i="19"/>
  <c r="T41" i="19"/>
  <c r="S41" i="19"/>
  <c r="W40" i="19"/>
  <c r="V40" i="19"/>
  <c r="X18" i="18"/>
  <c r="S18" i="18"/>
  <c r="Z18" i="18"/>
  <c r="Y18" i="18"/>
  <c r="T18" i="18"/>
  <c r="U18" i="18"/>
  <c r="Z40" i="18"/>
  <c r="S40" i="18"/>
  <c r="X40" i="18"/>
  <c r="Y40" i="18"/>
  <c r="T40" i="18"/>
  <c r="U40" i="18"/>
  <c r="AA17" i="18"/>
  <c r="AB17" i="18"/>
  <c r="AB39" i="18"/>
  <c r="AA39" i="18"/>
  <c r="V61" i="18"/>
  <c r="W61" i="18"/>
  <c r="Y62" i="18"/>
  <c r="X62" i="18"/>
  <c r="S62" i="18"/>
  <c r="Z62" i="18"/>
  <c r="T62" i="18"/>
  <c r="U62" i="18"/>
  <c r="V17" i="18"/>
  <c r="W17" i="18"/>
  <c r="AB61" i="18"/>
  <c r="AA61" i="18"/>
  <c r="V39" i="18"/>
  <c r="W39" i="18"/>
  <c r="AA133" i="21" l="1"/>
  <c r="AB133" i="21"/>
  <c r="AD107" i="21"/>
  <c r="Z136" i="21"/>
  <c r="Z135" i="21"/>
  <c r="Z134" i="21"/>
  <c r="AA85" i="21"/>
  <c r="AB85" i="21"/>
  <c r="AD61" i="21"/>
  <c r="Z88" i="21"/>
  <c r="Z87" i="21"/>
  <c r="Z86" i="21"/>
  <c r="AA46" i="21"/>
  <c r="AB46" i="21"/>
  <c r="AA46" i="20"/>
  <c r="AB46" i="20"/>
  <c r="AB91" i="20"/>
  <c r="AA91" i="20"/>
  <c r="AB130" i="20"/>
  <c r="AA130" i="20"/>
  <c r="AD106" i="20"/>
  <c r="Z133" i="20"/>
  <c r="Z132" i="20"/>
  <c r="Z131" i="20"/>
  <c r="W18" i="19"/>
  <c r="V18" i="19"/>
  <c r="V64" i="19"/>
  <c r="W64" i="19"/>
  <c r="Y19" i="19"/>
  <c r="Z19" i="19"/>
  <c r="X19" i="19"/>
  <c r="S19" i="19"/>
  <c r="U19" i="19"/>
  <c r="T19" i="19"/>
  <c r="AB41" i="19"/>
  <c r="AA41" i="19"/>
  <c r="W41" i="19"/>
  <c r="V41" i="19"/>
  <c r="AA18" i="19"/>
  <c r="AB18" i="19"/>
  <c r="AB64" i="19"/>
  <c r="AA64" i="19"/>
  <c r="X65" i="19"/>
  <c r="S65" i="19"/>
  <c r="Z65" i="19"/>
  <c r="Y65" i="19"/>
  <c r="U65" i="19"/>
  <c r="T65" i="19"/>
  <c r="X42" i="19"/>
  <c r="U42" i="19"/>
  <c r="Z42" i="19"/>
  <c r="Y42" i="19"/>
  <c r="S42" i="19"/>
  <c r="T42" i="19"/>
  <c r="V62" i="18"/>
  <c r="W62" i="18"/>
  <c r="X41" i="18"/>
  <c r="Z41" i="18"/>
  <c r="Y41" i="18"/>
  <c r="S41" i="18"/>
  <c r="T41" i="18"/>
  <c r="U41" i="18"/>
  <c r="AB62" i="18"/>
  <c r="AA62" i="18"/>
  <c r="AB40" i="18"/>
  <c r="AA40" i="18"/>
  <c r="V18" i="18"/>
  <c r="W18" i="18"/>
  <c r="V40" i="18"/>
  <c r="W40" i="18"/>
  <c r="AA18" i="18"/>
  <c r="AB18" i="18"/>
  <c r="Y63" i="18"/>
  <c r="S63" i="18"/>
  <c r="Z63" i="18"/>
  <c r="X63" i="18"/>
  <c r="U63" i="18"/>
  <c r="T63" i="18"/>
  <c r="Y19" i="18"/>
  <c r="Z19" i="18"/>
  <c r="X19" i="18"/>
  <c r="T19" i="18"/>
  <c r="U19" i="18"/>
  <c r="S19" i="18"/>
  <c r="AB136" i="21" l="1"/>
  <c r="AA136" i="21"/>
  <c r="AA88" i="21"/>
  <c r="AB88" i="21"/>
  <c r="AD62" i="21"/>
  <c r="Z89" i="21"/>
  <c r="Z91" i="21"/>
  <c r="Z90" i="21"/>
  <c r="AA133" i="20"/>
  <c r="AB133" i="20"/>
  <c r="AD107" i="20"/>
  <c r="Z135" i="20"/>
  <c r="Z136" i="20"/>
  <c r="Z134" i="20"/>
  <c r="W42" i="19"/>
  <c r="V42" i="19"/>
  <c r="AB42" i="19"/>
  <c r="AA42" i="19"/>
  <c r="Y66" i="19"/>
  <c r="S66" i="19"/>
  <c r="Z66" i="19"/>
  <c r="X66" i="19"/>
  <c r="U66" i="19"/>
  <c r="T66" i="19"/>
  <c r="AA19" i="19"/>
  <c r="AB19" i="19"/>
  <c r="V65" i="19"/>
  <c r="W65" i="19"/>
  <c r="X43" i="19"/>
  <c r="Z43" i="19"/>
  <c r="Y43" i="19"/>
  <c r="T43" i="19"/>
  <c r="S43" i="19"/>
  <c r="U43" i="19"/>
  <c r="Z20" i="19"/>
  <c r="T20" i="19"/>
  <c r="X20" i="19"/>
  <c r="Y20" i="19"/>
  <c r="S20" i="19"/>
  <c r="U20" i="19"/>
  <c r="AB65" i="19"/>
  <c r="AA65" i="19"/>
  <c r="W19" i="19"/>
  <c r="V19" i="19"/>
  <c r="AB63" i="18"/>
  <c r="AA63" i="18"/>
  <c r="S64" i="18"/>
  <c r="Z64" i="18"/>
  <c r="Y64" i="18"/>
  <c r="X64" i="18"/>
  <c r="U64" i="18"/>
  <c r="T64" i="18"/>
  <c r="AB41" i="18"/>
  <c r="AA41" i="18"/>
  <c r="Y42" i="18"/>
  <c r="S42" i="18"/>
  <c r="Z42" i="18"/>
  <c r="X42" i="18"/>
  <c r="U42" i="18"/>
  <c r="T42" i="18"/>
  <c r="AB19" i="18"/>
  <c r="AA19" i="18"/>
  <c r="V63" i="18"/>
  <c r="W63" i="18"/>
  <c r="Y20" i="18"/>
  <c r="T20" i="18"/>
  <c r="Z20" i="18"/>
  <c r="X20" i="18"/>
  <c r="S20" i="18"/>
  <c r="U20" i="18"/>
  <c r="V41" i="18"/>
  <c r="W41" i="18"/>
  <c r="V19" i="18"/>
  <c r="W19" i="18"/>
  <c r="AB91" i="21" l="1"/>
  <c r="AA91" i="21"/>
  <c r="AA136" i="20"/>
  <c r="AB136" i="20"/>
  <c r="AA20" i="19"/>
  <c r="AB20" i="19"/>
  <c r="W20" i="19"/>
  <c r="V20" i="19"/>
  <c r="Z44" i="19"/>
  <c r="X44" i="19"/>
  <c r="Y44" i="19"/>
  <c r="U44" i="19"/>
  <c r="T44" i="19"/>
  <c r="S44" i="19"/>
  <c r="Z21" i="19"/>
  <c r="T21" i="19"/>
  <c r="Y21" i="19"/>
  <c r="X21" i="19"/>
  <c r="S21" i="19"/>
  <c r="U21" i="19"/>
  <c r="V66" i="19"/>
  <c r="W66" i="19"/>
  <c r="W43" i="19"/>
  <c r="V43" i="19"/>
  <c r="AB43" i="19"/>
  <c r="AA43" i="19"/>
  <c r="AB66" i="19"/>
  <c r="AA66" i="19"/>
  <c r="X67" i="19"/>
  <c r="Y67" i="19"/>
  <c r="Z67" i="19"/>
  <c r="S67" i="19"/>
  <c r="T67" i="19"/>
  <c r="U67" i="19"/>
  <c r="V20" i="18"/>
  <c r="W20" i="18"/>
  <c r="AB42" i="18"/>
  <c r="AA42" i="18"/>
  <c r="V64" i="18"/>
  <c r="W64" i="18"/>
  <c r="AB20" i="18"/>
  <c r="AA20" i="18"/>
  <c r="X21" i="18"/>
  <c r="U21" i="18"/>
  <c r="Z21" i="18"/>
  <c r="Y21" i="18"/>
  <c r="S21" i="18"/>
  <c r="T21" i="18"/>
  <c r="AB64" i="18"/>
  <c r="AA64" i="18"/>
  <c r="X65" i="18"/>
  <c r="Z65" i="18"/>
  <c r="Y65" i="18"/>
  <c r="S65" i="18"/>
  <c r="T65" i="18"/>
  <c r="U65" i="18"/>
  <c r="V42" i="18"/>
  <c r="W42" i="18"/>
  <c r="S43" i="18"/>
  <c r="Y43" i="18"/>
  <c r="X43" i="18"/>
  <c r="Z43" i="18"/>
  <c r="U43" i="18"/>
  <c r="T43" i="18"/>
  <c r="AB67" i="19" l="1"/>
  <c r="AA67" i="19"/>
  <c r="AA21" i="19"/>
  <c r="AB21" i="19"/>
  <c r="Z22" i="19"/>
  <c r="Y22" i="19"/>
  <c r="U22" i="19"/>
  <c r="X22" i="19"/>
  <c r="S22" i="19"/>
  <c r="T22" i="19"/>
  <c r="V67" i="19"/>
  <c r="W67" i="19"/>
  <c r="W44" i="19"/>
  <c r="V44" i="19"/>
  <c r="AB44" i="19"/>
  <c r="AA44" i="19"/>
  <c r="W21" i="19"/>
  <c r="V21" i="19"/>
  <c r="X45" i="19"/>
  <c r="Y45" i="19"/>
  <c r="T45" i="19"/>
  <c r="Z45" i="19"/>
  <c r="U45" i="19"/>
  <c r="S45" i="19"/>
  <c r="V43" i="18"/>
  <c r="W43" i="18"/>
  <c r="Y44" i="18"/>
  <c r="Z44" i="18"/>
  <c r="X44" i="18"/>
  <c r="U44" i="18"/>
  <c r="S44" i="18"/>
  <c r="T44" i="18"/>
  <c r="AB65" i="18"/>
  <c r="AA65" i="18"/>
  <c r="AB43" i="18"/>
  <c r="AA43" i="18"/>
  <c r="V65" i="18"/>
  <c r="W65" i="18"/>
  <c r="X66" i="18"/>
  <c r="S66" i="18"/>
  <c r="Z66" i="18"/>
  <c r="Y66" i="18"/>
  <c r="T66" i="18"/>
  <c r="U66" i="18"/>
  <c r="V21" i="18"/>
  <c r="W21" i="18"/>
  <c r="AB21" i="18"/>
  <c r="AA21" i="18"/>
  <c r="S22" i="18"/>
  <c r="X22" i="18"/>
  <c r="Z22" i="18"/>
  <c r="Y22" i="18"/>
  <c r="U22" i="18"/>
  <c r="T22" i="18"/>
  <c r="W22" i="19" l="1"/>
  <c r="V22" i="19"/>
  <c r="W45" i="19"/>
  <c r="V45" i="19"/>
  <c r="AB45" i="19"/>
  <c r="AA45" i="19"/>
  <c r="AA22" i="19"/>
  <c r="AB22" i="19"/>
  <c r="Y23" i="19"/>
  <c r="Z23" i="19"/>
  <c r="X23" i="19"/>
  <c r="T23" i="19"/>
  <c r="S23" i="19"/>
  <c r="U23" i="19"/>
  <c r="V22" i="18"/>
  <c r="W22" i="18"/>
  <c r="Y23" i="18"/>
  <c r="T23" i="18"/>
  <c r="Z23" i="18"/>
  <c r="X23" i="18"/>
  <c r="S23" i="18"/>
  <c r="U23" i="18"/>
  <c r="Z45" i="18"/>
  <c r="X45" i="18"/>
  <c r="U45" i="18"/>
  <c r="Y45" i="18"/>
  <c r="T45" i="18"/>
  <c r="S45" i="18"/>
  <c r="AB44" i="18"/>
  <c r="AA44" i="18"/>
  <c r="Z67" i="18"/>
  <c r="S67" i="18"/>
  <c r="Y67" i="18"/>
  <c r="X67" i="18"/>
  <c r="U67" i="18"/>
  <c r="T67" i="18"/>
  <c r="W44" i="18"/>
  <c r="V44" i="18"/>
  <c r="V66" i="18"/>
  <c r="W66" i="18"/>
  <c r="AA22" i="18"/>
  <c r="AB22" i="18"/>
  <c r="AB66" i="18"/>
  <c r="AA66" i="18"/>
  <c r="W23" i="19" l="1"/>
  <c r="V23" i="19"/>
  <c r="AA23" i="19"/>
  <c r="AB23" i="19"/>
  <c r="W45" i="18"/>
  <c r="V45" i="18"/>
  <c r="AB45" i="18"/>
  <c r="AA45" i="18"/>
  <c r="V23" i="18"/>
  <c r="W23" i="18"/>
  <c r="AB67" i="18"/>
  <c r="AA67" i="18"/>
  <c r="AB23" i="18"/>
  <c r="AA23" i="18"/>
  <c r="V67" i="18"/>
  <c r="W67" i="18"/>
</calcChain>
</file>

<file path=xl/sharedStrings.xml><?xml version="1.0" encoding="utf-8"?>
<sst xmlns="http://schemas.openxmlformats.org/spreadsheetml/2006/main" count="1263" uniqueCount="116">
  <si>
    <t>Date</t>
  </si>
  <si>
    <t>Time</t>
  </si>
  <si>
    <t>Hours</t>
  </si>
  <si>
    <t>Days</t>
  </si>
  <si>
    <t>Average biomass concentration</t>
  </si>
  <si>
    <t>Average Ln of biomass concentration</t>
  </si>
  <si>
    <t>Growth rate</t>
  </si>
  <si>
    <t>g/L</t>
  </si>
  <si>
    <t>22/03/2022</t>
  </si>
  <si>
    <t>23/03/2022</t>
  </si>
  <si>
    <t>24/03/2022</t>
  </si>
  <si>
    <t>620 (Blank)</t>
  </si>
  <si>
    <t>650 (Blank)</t>
  </si>
  <si>
    <t>Biomass concentration</t>
  </si>
  <si>
    <t>Amount of biomass</t>
  </si>
  <si>
    <t>Error</t>
  </si>
  <si>
    <t>nm</t>
  </si>
  <si>
    <t>mg/ml</t>
  </si>
  <si>
    <t>g/l</t>
  </si>
  <si>
    <t>g</t>
  </si>
  <si>
    <t>Day</t>
  </si>
  <si>
    <t>Blank</t>
  </si>
  <si>
    <t>OD (410 nm) readings</t>
  </si>
  <si>
    <t>Average N content</t>
  </si>
  <si>
    <t>N concentration</t>
  </si>
  <si>
    <t>µg</t>
  </si>
  <si>
    <t>mol/l</t>
  </si>
  <si>
    <t>26/03/2022</t>
  </si>
  <si>
    <t>27/03/2022</t>
  </si>
  <si>
    <t>28/03/2022</t>
  </si>
  <si>
    <t>30/03/2022</t>
  </si>
  <si>
    <t>31/03/2022</t>
  </si>
  <si>
    <t>04/04/2022</t>
  </si>
  <si>
    <t>09/04/2022</t>
  </si>
  <si>
    <t>05/04/2022</t>
  </si>
  <si>
    <t>06/04/2022</t>
  </si>
  <si>
    <t>07/04/2022</t>
  </si>
  <si>
    <t>08/04/2022</t>
  </si>
  <si>
    <t>01/04/2022</t>
  </si>
  <si>
    <t>02/04/2022</t>
  </si>
  <si>
    <t>03/04/2022</t>
  </si>
  <si>
    <t>Lab work by: Karen Ssekimpi</t>
  </si>
  <si>
    <t>Project Leader: A. Prof. Marijke Fagan-Endres, Prof. Sue Harrison, Dr Mariette Smart</t>
  </si>
  <si>
    <t>all assays by Karen Ssekimpi</t>
  </si>
  <si>
    <r>
      <t xml:space="preserve">The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were grown at room temperature under different conditions. These conditions include fluorescent light, different coloured LEDs, and an additional nitrogen source.</t>
    </r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</si>
  <si>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 for biomass concentration, 620 and 650 nm for c-phycocyanin determination, and 410 nm for nitrate determination</t>
    </r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</si>
  <si>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</si>
  <si>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</si>
  <si>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</si>
  <si>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</si>
  <si>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</si>
  <si>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</si>
  <si>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</si>
  <si>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Growth curves CeBER</t>
  </si>
  <si>
    <t>Growth curves UTEX #1926</t>
  </si>
  <si>
    <t>C-phycocyanin CeBER</t>
  </si>
  <si>
    <t>C-phycocyanin UTEX #1926</t>
  </si>
  <si>
    <t>Nitrate content CeBER</t>
  </si>
  <si>
    <t>Nitrate content UTEX #1926</t>
  </si>
  <si>
    <t>CeBER strain Spirulina growth curves</t>
  </si>
  <si>
    <t>40 µmol/m^2.s</t>
  </si>
  <si>
    <t>Absorbance at 750</t>
  </si>
  <si>
    <t>Standard error</t>
  </si>
  <si>
    <t>Ln of biomass concentration</t>
  </si>
  <si>
    <t>Average growth rate</t>
  </si>
  <si>
    <t>Biomass productivity</t>
  </si>
  <si>
    <t>Average biomass productivity</t>
  </si>
  <si>
    <t>/h</t>
  </si>
  <si>
    <t>g/L.h</t>
  </si>
  <si>
    <t>60 µmol/m^2.s</t>
  </si>
  <si>
    <t>Sandard error</t>
  </si>
  <si>
    <t>80 µmol/m^2.s</t>
  </si>
  <si>
    <t>Control</t>
  </si>
  <si>
    <t>2 x nitrate</t>
  </si>
  <si>
    <t>4 x nitrate</t>
  </si>
  <si>
    <t>UTEX #1926 strain Spirulina growth curves</t>
  </si>
  <si>
    <t>Phycocyanin content from CeBER Spirulina</t>
  </si>
  <si>
    <t>OD at 620 nm</t>
  </si>
  <si>
    <t>OD at 650 nm</t>
  </si>
  <si>
    <t>C-phycocyanin concentration</t>
  </si>
  <si>
    <t>Average CPC conc.</t>
  </si>
  <si>
    <t>OD at 750</t>
  </si>
  <si>
    <t>Specific CPC conc.</t>
  </si>
  <si>
    <t>Average specific CPC conc.</t>
  </si>
  <si>
    <t>Standard deviation</t>
  </si>
  <si>
    <t>Total CPC</t>
  </si>
  <si>
    <t>Average total CPC</t>
  </si>
  <si>
    <t>CPC productivity</t>
  </si>
  <si>
    <t>Average CPC productivity</t>
  </si>
  <si>
    <t>Reading 1</t>
  </si>
  <si>
    <t>Reading 2</t>
  </si>
  <si>
    <t>mg CPC/g biomass</t>
  </si>
  <si>
    <t>mg CPC/L</t>
  </si>
  <si>
    <t>mg CPC/L.h</t>
  </si>
  <si>
    <t>Bottle 1</t>
  </si>
  <si>
    <t>Bottle 2</t>
  </si>
  <si>
    <t>Bottle 3</t>
  </si>
  <si>
    <t>OD at 650</t>
  </si>
  <si>
    <t>Phycocyanin content from UTEX #1926 Spirulina</t>
  </si>
  <si>
    <t>Nitrate content determination for the CeBER Spirulina strain</t>
  </si>
  <si>
    <t>OD at 410</t>
  </si>
  <si>
    <t>N content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</si>
  <si>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</si>
  <si>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r>
      <t>Average 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</si>
  <si>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t>N content (µg)</t>
  </si>
  <si>
    <t>Nitrate content determination for the UTEX #1926 Spirulina strain</t>
  </si>
  <si>
    <t>Data extracted for plots</t>
  </si>
  <si>
    <t>Data extracted from plots</t>
  </si>
  <si>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was grown in red light at 60 µmol/m^2.s with different nitrate concentrations. </t>
    </r>
  </si>
  <si>
    <r>
      <t xml:space="preserve">Details growth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light at 60 µmol/m^2.s with different nitrate concentrations for 19 days</t>
    </r>
  </si>
  <si>
    <r>
      <t xml:space="preserve">Details growth data achieved when growing the UTEX #1926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light at 60 µmol/m^2.s with different nitrate concentrations for 19 days.</t>
    </r>
  </si>
  <si>
    <r>
      <t xml:space="preserve">Details c-phycocyanin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light at 60 µmol/m^2.s with different nitrate concentrations for 19 days.</t>
    </r>
  </si>
  <si>
    <r>
      <t>Details c-phycocyanin data achieved when growing the UTEX #1926</t>
    </r>
    <r>
      <rPr>
        <i/>
        <sz val="11"/>
        <color theme="1"/>
        <rFont val="Arial"/>
        <family val="2"/>
      </rPr>
      <t xml:space="preserve"> Spirulina</t>
    </r>
    <r>
      <rPr>
        <sz val="11"/>
        <color theme="1"/>
        <rFont val="Arial"/>
        <family val="2"/>
      </rPr>
      <t xml:space="preserve"> strain in red light at 60 µmol/m^2.s with different nitrate concentrations for 19 days.</t>
    </r>
  </si>
  <si>
    <r>
      <t xml:space="preserve">Details nitrate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light at 60 µmol/m^2.s with different nitrate concentrations for 19 days.</t>
    </r>
  </si>
  <si>
    <r>
      <t xml:space="preserve">Details nitrate data achieved when growing the UTEX #1926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light at 60 µmol/m^2.s with different nitrate concentrations for 19 days.</t>
    </r>
  </si>
  <si>
    <r>
      <t xml:space="preserve">The biomass, c-phycocyanin, and nitrate content of two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cultures grown in red light at 40 µmol/m^2.s with different nitrate concentrations.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</si>
</sst>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400]h:mm:ss\ AM/PM"/>
    <numFmt numFmtId="165" formatCode="0.000"/>
    <numFmt numFmtId="166" formatCode="0.00000"/>
    <numFmt numFmtId="167" formatCode="[$-F800]dddd\,\ mmmm\ dd\,\ yyyy"/>
    <numFmt numFmtId="168" formatCode="0.0"/>
    <numFmt numFmtId="169" formatCode="0.000000"/>
    <numFmt numFmtId="170" formatCode="0.0000"/>
  </numFmts>
  <fonts count="20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i/>
      <sz val="14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theme="0"/>
      <name val="Arial"/>
      <family val="2"/>
    </font>
    <font>
      <i/>
      <sz val="12"/>
      <color theme="1"/>
      <name val="Arial"/>
      <family val="2"/>
    </font>
    <font>
      <vertAlign val="subscript"/>
      <sz val="10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rgb="FF3B6A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167" fontId="8" fillId="7" borderId="0" xfId="0" applyNumberFormat="1" applyFont="1" applyFill="1" applyAlignment="1">
      <alignment horizontal="left" vertical="top" wrapText="1"/>
    </xf>
    <xf numFmtId="0" fontId="8" fillId="7" borderId="18" xfId="0" applyFont="1" applyFill="1" applyBorder="1" applyAlignment="1">
      <alignment horizontal="left" vertical="top" wrapText="1"/>
    </xf>
    <xf numFmtId="0" fontId="8" fillId="7" borderId="18" xfId="0" applyFont="1" applyFill="1" applyBorder="1" applyAlignment="1">
      <alignment horizontal="center" vertical="top" wrapText="1"/>
    </xf>
    <xf numFmtId="167" fontId="8" fillId="7" borderId="18" xfId="0" applyNumberFormat="1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11" fillId="12" borderId="18" xfId="0" applyFont="1" applyFill="1" applyBorder="1" applyAlignment="1">
      <alignment vertical="top" wrapText="1"/>
    </xf>
    <xf numFmtId="0" fontId="11" fillId="8" borderId="18" xfId="0" applyFont="1" applyFill="1" applyBorder="1" applyAlignment="1">
      <alignment horizontal="center" vertical="top" wrapText="1"/>
    </xf>
    <xf numFmtId="0" fontId="11" fillId="7" borderId="18" xfId="0" applyFont="1" applyFill="1" applyBorder="1" applyAlignment="1">
      <alignment vertical="top" wrapText="1"/>
    </xf>
    <xf numFmtId="0" fontId="5" fillId="12" borderId="0" xfId="0" applyFont="1" applyFill="1" applyAlignment="1">
      <alignment vertical="top" wrapText="1"/>
    </xf>
    <xf numFmtId="0" fontId="5" fillId="8" borderId="0" xfId="0" applyFont="1" applyFill="1" applyAlignment="1">
      <alignment horizontal="center" vertical="top" wrapText="1"/>
    </xf>
    <xf numFmtId="0" fontId="5" fillId="7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15" xfId="0" applyFont="1" applyBorder="1"/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4" borderId="10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5" fillId="4" borderId="11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4" xfId="0" applyFont="1" applyFill="1" applyBorder="1"/>
    <xf numFmtId="0" fontId="5" fillId="4" borderId="12" xfId="0" applyFont="1" applyFill="1" applyBorder="1" applyAlignment="1">
      <alignment horizontal="center"/>
    </xf>
    <xf numFmtId="0" fontId="5" fillId="4" borderId="26" xfId="0" applyFont="1" applyFill="1" applyBorder="1"/>
    <xf numFmtId="0" fontId="8" fillId="0" borderId="15" xfId="0" applyFont="1" applyBorder="1"/>
    <xf numFmtId="165" fontId="8" fillId="0" borderId="15" xfId="0" applyNumberFormat="1" applyFont="1" applyBorder="1"/>
    <xf numFmtId="165" fontId="8" fillId="0" borderId="0" xfId="0" applyNumberFormat="1" applyFont="1"/>
    <xf numFmtId="165" fontId="8" fillId="5" borderId="0" xfId="0" applyNumberFormat="1" applyFont="1" applyFill="1"/>
    <xf numFmtId="0" fontId="8" fillId="0" borderId="16" xfId="0" applyFont="1" applyBorder="1"/>
    <xf numFmtId="1" fontId="8" fillId="0" borderId="0" xfId="0" applyNumberFormat="1" applyFont="1"/>
    <xf numFmtId="165" fontId="8" fillId="0" borderId="16" xfId="0" applyNumberFormat="1" applyFont="1" applyBorder="1"/>
    <xf numFmtId="167" fontId="8" fillId="0" borderId="15" xfId="0" applyNumberFormat="1" applyFont="1" applyBorder="1"/>
    <xf numFmtId="1" fontId="14" fillId="0" borderId="0" xfId="0" applyNumberFormat="1" applyFont="1"/>
    <xf numFmtId="165" fontId="8" fillId="0" borderId="18" xfId="0" applyNumberFormat="1" applyFont="1" applyBorder="1"/>
    <xf numFmtId="165" fontId="8" fillId="5" borderId="18" xfId="0" applyNumberFormat="1" applyFont="1" applyFill="1" applyBorder="1"/>
    <xf numFmtId="165" fontId="8" fillId="0" borderId="19" xfId="0" applyNumberFormat="1" applyFont="1" applyBorder="1"/>
    <xf numFmtId="165" fontId="8" fillId="0" borderId="0" xfId="0" applyNumberFormat="1" applyFont="1" applyAlignment="1">
      <alignment horizontal="center"/>
    </xf>
    <xf numFmtId="165" fontId="8" fillId="5" borderId="0" xfId="0" applyNumberFormat="1" applyFont="1" applyFill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9" xfId="0" applyFont="1" applyBorder="1"/>
    <xf numFmtId="165" fontId="8" fillId="0" borderId="17" xfId="0" applyNumberFormat="1" applyFont="1" applyBorder="1"/>
    <xf numFmtId="166" fontId="8" fillId="0" borderId="18" xfId="0" applyNumberFormat="1" applyFont="1" applyBorder="1"/>
    <xf numFmtId="0" fontId="15" fillId="0" borderId="0" xfId="0" applyFont="1"/>
    <xf numFmtId="0" fontId="14" fillId="0" borderId="0" xfId="0" applyFont="1"/>
    <xf numFmtId="167" fontId="8" fillId="0" borderId="17" xfId="0" applyNumberFormat="1" applyFont="1" applyBorder="1"/>
    <xf numFmtId="0" fontId="8" fillId="0" borderId="0" xfId="0" applyFont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8" borderId="29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165" fontId="8" fillId="0" borderId="15" xfId="0" applyNumberFormat="1" applyFont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165" fontId="8" fillId="0" borderId="24" xfId="0" applyNumberFormat="1" applyFont="1" applyBorder="1" applyAlignment="1">
      <alignment horizontal="center" vertical="center"/>
    </xf>
    <xf numFmtId="169" fontId="8" fillId="0" borderId="24" xfId="0" applyNumberFormat="1" applyFont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 wrapText="1"/>
    </xf>
    <xf numFmtId="2" fontId="8" fillId="9" borderId="24" xfId="0" applyNumberFormat="1" applyFont="1" applyFill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65" fontId="8" fillId="0" borderId="21" xfId="0" applyNumberFormat="1" applyFont="1" applyBorder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/>
    </xf>
    <xf numFmtId="2" fontId="8" fillId="9" borderId="0" xfId="0" applyNumberFormat="1" applyFont="1" applyFill="1" applyAlignment="1">
      <alignment horizontal="center" vertical="center"/>
    </xf>
    <xf numFmtId="170" fontId="8" fillId="0" borderId="25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9" fontId="8" fillId="0" borderId="11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 wrapText="1"/>
    </xf>
    <xf numFmtId="2" fontId="8" fillId="9" borderId="11" xfId="0" applyNumberFormat="1" applyFont="1" applyFill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170" fontId="8" fillId="0" borderId="16" xfId="0" applyNumberFormat="1" applyFont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9" fontId="8" fillId="0" borderId="18" xfId="0" applyNumberFormat="1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 wrapText="1"/>
    </xf>
    <xf numFmtId="2" fontId="8" fillId="9" borderId="18" xfId="0" applyNumberFormat="1" applyFont="1" applyFill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170" fontId="8" fillId="0" borderId="19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vertical="center"/>
    </xf>
    <xf numFmtId="0" fontId="8" fillId="7" borderId="4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18" fillId="0" borderId="0" xfId="0" applyFont="1"/>
    <xf numFmtId="167" fontId="8" fillId="8" borderId="15" xfId="0" applyNumberFormat="1" applyFont="1" applyFill="1" applyBorder="1"/>
    <xf numFmtId="164" fontId="8" fillId="8" borderId="0" xfId="0" applyNumberFormat="1" applyFont="1" applyFill="1"/>
    <xf numFmtId="0" fontId="8" fillId="8" borderId="0" xfId="0" applyFont="1" applyFill="1"/>
    <xf numFmtId="0" fontId="8" fillId="8" borderId="30" xfId="0" applyFont="1" applyFill="1" applyBorder="1"/>
    <xf numFmtId="0" fontId="8" fillId="0" borderId="29" xfId="0" applyFont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19" fillId="0" borderId="0" xfId="0" applyFont="1"/>
    <xf numFmtId="165" fontId="8" fillId="11" borderId="0" xfId="0" applyNumberFormat="1" applyFont="1" applyFill="1" applyAlignment="1">
      <alignment horizontal="center" vertical="center"/>
    </xf>
    <xf numFmtId="165" fontId="8" fillId="11" borderId="11" xfId="0" applyNumberFormat="1" applyFont="1" applyFill="1" applyBorder="1" applyAlignment="1">
      <alignment horizontal="center" vertical="center"/>
    </xf>
    <xf numFmtId="165" fontId="8" fillId="11" borderId="24" xfId="0" applyNumberFormat="1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165" fontId="8" fillId="11" borderId="18" xfId="0" applyNumberFormat="1" applyFont="1" applyFill="1" applyBorder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65" fontId="14" fillId="0" borderId="15" xfId="0" applyNumberFormat="1" applyFont="1" applyBorder="1"/>
    <xf numFmtId="165" fontId="14" fillId="0" borderId="0" xfId="0" applyNumberFormat="1" applyFont="1"/>
    <xf numFmtId="168" fontId="8" fillId="0" borderId="0" xfId="0" applyNumberFormat="1" applyFont="1"/>
    <xf numFmtId="166" fontId="8" fillId="0" borderId="0" xfId="0" applyNumberFormat="1" applyFont="1"/>
    <xf numFmtId="0" fontId="8" fillId="5" borderId="0" xfId="0" applyFont="1" applyFill="1"/>
    <xf numFmtId="164" fontId="8" fillId="0" borderId="0" xfId="0" applyNumberFormat="1" applyFont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8" fontId="14" fillId="0" borderId="0" xfId="0" applyNumberFormat="1" applyFont="1"/>
    <xf numFmtId="165" fontId="8" fillId="0" borderId="44" xfId="0" applyNumberFormat="1" applyFont="1" applyBorder="1" applyAlignment="1">
      <alignment horizontal="center" vertical="center"/>
    </xf>
    <xf numFmtId="165" fontId="8" fillId="0" borderId="42" xfId="0" applyNumberFormat="1" applyFont="1" applyBorder="1" applyAlignment="1">
      <alignment horizontal="center" vertical="center"/>
    </xf>
    <xf numFmtId="0" fontId="8" fillId="8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12" borderId="0" xfId="0" applyFont="1" applyFill="1" applyAlignment="1">
      <alignment horizontal="left" vertical="center" wrapText="1"/>
    </xf>
    <xf numFmtId="0" fontId="6" fillId="12" borderId="0" xfId="0" applyFont="1" applyFill="1" applyAlignment="1">
      <alignment horizontal="left" vertical="top" wrapText="1"/>
    </xf>
    <xf numFmtId="0" fontId="5" fillId="12" borderId="0" xfId="0" applyFont="1" applyFill="1" applyAlignment="1">
      <alignment horizontal="left" vertical="top" wrapText="1"/>
    </xf>
    <xf numFmtId="0" fontId="7" fillId="12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left" vertical="top" wrapText="1"/>
    </xf>
    <xf numFmtId="14" fontId="8" fillId="0" borderId="15" xfId="0" applyNumberFormat="1" applyFont="1" applyBorder="1" applyAlignment="1">
      <alignment horizontal="left"/>
    </xf>
    <xf numFmtId="0" fontId="5" fillId="4" borderId="21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5" fillId="3" borderId="2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4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8" fillId="0" borderId="16" xfId="0" applyFont="1" applyBorder="1" applyAlignment="1">
      <alignment horizontal="right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20" fontId="8" fillId="0" borderId="11" xfId="0" applyNumberFormat="1" applyFont="1" applyBorder="1" applyAlignment="1">
      <alignment horizontal="center" vertical="center"/>
    </xf>
    <xf numFmtId="20" fontId="8" fillId="0" borderId="0" xfId="0" applyNumberFormat="1" applyFont="1" applyAlignment="1">
      <alignment horizontal="center" vertical="center"/>
    </xf>
    <xf numFmtId="20" fontId="8" fillId="0" borderId="18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1" fontId="8" fillId="0" borderId="16" xfId="0" applyNumberFormat="1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165" fontId="8" fillId="0" borderId="21" xfId="0" applyNumberFormat="1" applyFont="1" applyBorder="1" applyAlignment="1">
      <alignment horizontal="center" vertical="center"/>
    </xf>
    <xf numFmtId="165" fontId="8" fillId="0" borderId="15" xfId="0" applyNumberFormat="1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20" fontId="8" fillId="0" borderId="24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/>
    </xf>
    <xf numFmtId="0" fontId="12" fillId="6" borderId="2" xfId="0" applyFont="1" applyFill="1" applyBorder="1" applyAlignment="1">
      <alignment horizontal="left" vertical="center"/>
    </xf>
    <xf numFmtId="0" fontId="12" fillId="6" borderId="3" xfId="0" applyFont="1" applyFill="1" applyBorder="1" applyAlignment="1">
      <alignment horizontal="left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7" borderId="9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65" fontId="8" fillId="0" borderId="30" xfId="0" applyNumberFormat="1" applyFont="1" applyBorder="1" applyAlignment="1">
      <alignment horizontal="center" vertical="center"/>
    </xf>
    <xf numFmtId="165" fontId="8" fillId="0" borderId="40" xfId="0" applyNumberFormat="1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165" fontId="8" fillId="0" borderId="31" xfId="0" applyNumberFormat="1" applyFont="1" applyBorder="1" applyAlignment="1">
      <alignment horizontal="center" vertical="center"/>
    </xf>
    <xf numFmtId="0" fontId="16" fillId="10" borderId="1" xfId="0" applyFont="1" applyFill="1" applyBorder="1" applyAlignment="1">
      <alignment horizontal="left" vertical="center"/>
    </xf>
    <xf numFmtId="0" fontId="16" fillId="10" borderId="2" xfId="0" applyFont="1" applyFill="1" applyBorder="1" applyAlignment="1">
      <alignment horizontal="left" vertical="center"/>
    </xf>
    <xf numFmtId="0" fontId="16" fillId="10" borderId="3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26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0" fontId="8" fillId="8" borderId="42" xfId="0" applyFont="1" applyFill="1" applyBorder="1" applyAlignment="1">
      <alignment horizontal="center"/>
    </xf>
    <xf numFmtId="0" fontId="8" fillId="8" borderId="43" xfId="0" applyFont="1" applyFill="1" applyBorder="1" applyAlignment="1">
      <alignment horizontal="center"/>
    </xf>
    <xf numFmtId="1" fontId="8" fillId="0" borderId="18" xfId="0" applyNumberFormat="1" applyFont="1" applyBorder="1" applyAlignment="1">
      <alignment horizontal="center" vertical="center"/>
    </xf>
    <xf numFmtId="167" fontId="8" fillId="0" borderId="21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167" fontId="8" fillId="0" borderId="23" xfId="0" applyNumberFormat="1" applyFont="1" applyBorder="1" applyAlignment="1">
      <alignment horizontal="center" vertical="center"/>
    </xf>
    <xf numFmtId="167" fontId="8" fillId="0" borderId="17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CeBER'!$R$5:$R$23</c:f>
                <c:numCache>
                  <c:formatCode>General</c:formatCode>
                  <c:ptCount val="19"/>
                  <c:pt idx="0">
                    <c:v>2.4349692345917412E-2</c:v>
                  </c:pt>
                  <c:pt idx="1">
                    <c:v>1.3833243635584211E-2</c:v>
                  </c:pt>
                  <c:pt idx="2">
                    <c:v>3.6439664311266752E-2</c:v>
                  </c:pt>
                  <c:pt idx="3">
                    <c:v>2.7887593317399852E-2</c:v>
                  </c:pt>
                  <c:pt idx="4">
                    <c:v>4.3134561501205301E-2</c:v>
                  </c:pt>
                  <c:pt idx="5">
                    <c:v>4.7689687997692744E-3</c:v>
                  </c:pt>
                  <c:pt idx="6">
                    <c:v>3.4007757385014027E-2</c:v>
                  </c:pt>
                  <c:pt idx="7">
                    <c:v>3.4313171537925909E-2</c:v>
                  </c:pt>
                  <c:pt idx="8">
                    <c:v>2.5159508934305939E-2</c:v>
                  </c:pt>
                  <c:pt idx="9">
                    <c:v>1.7804916148034689E-2</c:v>
                  </c:pt>
                  <c:pt idx="10">
                    <c:v>2.5785636758963729E-2</c:v>
                  </c:pt>
                  <c:pt idx="11">
                    <c:v>1.7646325470479025E-2</c:v>
                  </c:pt>
                  <c:pt idx="12">
                    <c:v>2.2865810343838718E-2</c:v>
                  </c:pt>
                  <c:pt idx="13">
                    <c:v>3.1527700776038094E-2</c:v>
                  </c:pt>
                  <c:pt idx="14">
                    <c:v>1.2015224369343326E-2</c:v>
                  </c:pt>
                  <c:pt idx="15">
                    <c:v>2.3859589643386105E-2</c:v>
                  </c:pt>
                  <c:pt idx="16">
                    <c:v>2.6047474959876558E-2</c:v>
                  </c:pt>
                  <c:pt idx="17">
                    <c:v>3.5700711765440825E-2</c:v>
                  </c:pt>
                  <c:pt idx="18">
                    <c:v>3.8065528786931847E-2</c:v>
                  </c:pt>
                </c:numCache>
              </c:numRef>
            </c:plus>
            <c:minus>
              <c:numRef>
                <c:f>'Growth curves CeBER'!$R$5:$R$23</c:f>
                <c:numCache>
                  <c:formatCode>General</c:formatCode>
                  <c:ptCount val="19"/>
                  <c:pt idx="0">
                    <c:v>2.4349692345917412E-2</c:v>
                  </c:pt>
                  <c:pt idx="1">
                    <c:v>1.3833243635584211E-2</c:v>
                  </c:pt>
                  <c:pt idx="2">
                    <c:v>3.6439664311266752E-2</c:v>
                  </c:pt>
                  <c:pt idx="3">
                    <c:v>2.7887593317399852E-2</c:v>
                  </c:pt>
                  <c:pt idx="4">
                    <c:v>4.3134561501205301E-2</c:v>
                  </c:pt>
                  <c:pt idx="5">
                    <c:v>4.7689687997692744E-3</c:v>
                  </c:pt>
                  <c:pt idx="6">
                    <c:v>3.4007757385014027E-2</c:v>
                  </c:pt>
                  <c:pt idx="7">
                    <c:v>3.4313171537925909E-2</c:v>
                  </c:pt>
                  <c:pt idx="8">
                    <c:v>2.5159508934305939E-2</c:v>
                  </c:pt>
                  <c:pt idx="9">
                    <c:v>1.7804916148034689E-2</c:v>
                  </c:pt>
                  <c:pt idx="10">
                    <c:v>2.5785636758963729E-2</c:v>
                  </c:pt>
                  <c:pt idx="11">
                    <c:v>1.7646325470479025E-2</c:v>
                  </c:pt>
                  <c:pt idx="12">
                    <c:v>2.2865810343838718E-2</c:v>
                  </c:pt>
                  <c:pt idx="13">
                    <c:v>3.1527700776038094E-2</c:v>
                  </c:pt>
                  <c:pt idx="14">
                    <c:v>1.2015224369343326E-2</c:v>
                  </c:pt>
                  <c:pt idx="15">
                    <c:v>2.3859589643386105E-2</c:v>
                  </c:pt>
                  <c:pt idx="16">
                    <c:v>2.6047474959876558E-2</c:v>
                  </c:pt>
                  <c:pt idx="17">
                    <c:v>3.5700711765440825E-2</c:v>
                  </c:pt>
                  <c:pt idx="18">
                    <c:v>3.8065528786931847E-2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CeBER'!$D$5:$D$23</c:f>
              <c:numCache>
                <c:formatCode>0</c:formatCode>
                <c:ptCount val="19"/>
                <c:pt idx="0">
                  <c:v>0</c:v>
                </c:pt>
                <c:pt idx="1">
                  <c:v>3.4</c:v>
                </c:pt>
                <c:pt idx="2">
                  <c:v>8.2666666666666675</c:v>
                </c:pt>
                <c:pt idx="3">
                  <c:v>23.016666666666666</c:v>
                </c:pt>
                <c:pt idx="4">
                  <c:v>47.616666666666667</c:v>
                </c:pt>
                <c:pt idx="5">
                  <c:v>94.833333333333343</c:v>
                </c:pt>
                <c:pt idx="6">
                  <c:v>118.85000000000001</c:v>
                </c:pt>
                <c:pt idx="7">
                  <c:v>143.81666666666666</c:v>
                </c:pt>
                <c:pt idx="8">
                  <c:v>191.35</c:v>
                </c:pt>
                <c:pt idx="9">
                  <c:v>216.28333333333333</c:v>
                </c:pt>
                <c:pt idx="10">
                  <c:v>240.18333333333334</c:v>
                </c:pt>
                <c:pt idx="11">
                  <c:v>264.18333333333334</c:v>
                </c:pt>
                <c:pt idx="12">
                  <c:v>288.18333333333334</c:v>
                </c:pt>
                <c:pt idx="13">
                  <c:v>312.08333333333331</c:v>
                </c:pt>
                <c:pt idx="14">
                  <c:v>336.08333333333331</c:v>
                </c:pt>
                <c:pt idx="15">
                  <c:v>360.08333333333331</c:v>
                </c:pt>
                <c:pt idx="16">
                  <c:v>384.08333333333331</c:v>
                </c:pt>
                <c:pt idx="17">
                  <c:v>408.08333333333331</c:v>
                </c:pt>
                <c:pt idx="18">
                  <c:v>432.25</c:v>
                </c:pt>
              </c:numCache>
            </c:numRef>
          </c:xVal>
          <c:yVal>
            <c:numRef>
              <c:f>'Growth curves CeBER'!$Q$5:$Q$23</c:f>
              <c:numCache>
                <c:formatCode>0.000</c:formatCode>
                <c:ptCount val="19"/>
                <c:pt idx="0">
                  <c:v>-2.0967385631830697</c:v>
                </c:pt>
                <c:pt idx="1">
                  <c:v>-1.8996295836700483</c:v>
                </c:pt>
                <c:pt idx="2">
                  <c:v>-1.7648463239842542</c:v>
                </c:pt>
                <c:pt idx="3">
                  <c:v>-1.6277647933588808</c:v>
                </c:pt>
                <c:pt idx="4">
                  <c:v>-1.0794635152805003</c:v>
                </c:pt>
                <c:pt idx="5">
                  <c:v>-0.26774649296747682</c:v>
                </c:pt>
                <c:pt idx="6">
                  <c:v>-1.7029072273399611E-2</c:v>
                </c:pt>
                <c:pt idx="7">
                  <c:v>0.22249541805753414</c:v>
                </c:pt>
                <c:pt idx="8">
                  <c:v>0.54608469720077313</c:v>
                </c:pt>
                <c:pt idx="9">
                  <c:v>0.69270636954652798</c:v>
                </c:pt>
                <c:pt idx="10">
                  <c:v>0.81124276432113263</c:v>
                </c:pt>
                <c:pt idx="11">
                  <c:v>0.89424396845958809</c:v>
                </c:pt>
                <c:pt idx="12">
                  <c:v>0.99649329474662796</c:v>
                </c:pt>
                <c:pt idx="13">
                  <c:v>1.0657482622782817</c:v>
                </c:pt>
                <c:pt idx="14">
                  <c:v>1.1763610101008808</c:v>
                </c:pt>
                <c:pt idx="15">
                  <c:v>1.2567549200557036</c:v>
                </c:pt>
                <c:pt idx="16">
                  <c:v>1.3494931541219346</c:v>
                </c:pt>
                <c:pt idx="17">
                  <c:v>1.3695724326170904</c:v>
                </c:pt>
                <c:pt idx="18">
                  <c:v>1.3888365120290305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8B-CF4C-AD83-82FC4E2C48BE}"/>
            </c:ext>
          </c:extLst>
        </c:ser>
        <c:ser>
          <c:idx val="1"/>
          <c:order val="1"/>
          <c:tx>
            <c:strRef>
              <c:f>'Growth curves CeBER'!$B$24:$AB$24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CeBER'!$R$27:$R$45</c:f>
                <c:numCache>
                  <c:formatCode>General</c:formatCode>
                  <c:ptCount val="19"/>
                  <c:pt idx="0">
                    <c:v>2.4933737694232759E-2</c:v>
                  </c:pt>
                  <c:pt idx="1">
                    <c:v>6.6427295811399667E-2</c:v>
                  </c:pt>
                  <c:pt idx="2">
                    <c:v>3.6549315673675455E-2</c:v>
                  </c:pt>
                  <c:pt idx="3">
                    <c:v>2.1123204644196408E-2</c:v>
                  </c:pt>
                  <c:pt idx="4">
                    <c:v>1.6680060825063459E-2</c:v>
                  </c:pt>
                  <c:pt idx="5">
                    <c:v>3.1813239719623944E-2</c:v>
                  </c:pt>
                  <c:pt idx="6">
                    <c:v>2.142121437230941E-2</c:v>
                  </c:pt>
                  <c:pt idx="7">
                    <c:v>5.9937105669279119E-3</c:v>
                  </c:pt>
                  <c:pt idx="8">
                    <c:v>2.3367826249799512E-2</c:v>
                  </c:pt>
                  <c:pt idx="9">
                    <c:v>1.4367460227788936E-2</c:v>
                  </c:pt>
                  <c:pt idx="10">
                    <c:v>1.7618262542922207E-3</c:v>
                  </c:pt>
                  <c:pt idx="11">
                    <c:v>4.0057606728156536E-3</c:v>
                  </c:pt>
                  <c:pt idx="12">
                    <c:v>3.6943238201352191E-3</c:v>
                  </c:pt>
                  <c:pt idx="13">
                    <c:v>2.0876599811728697E-2</c:v>
                  </c:pt>
                  <c:pt idx="14">
                    <c:v>1.6506517378569514E-2</c:v>
                  </c:pt>
                  <c:pt idx="15">
                    <c:v>3.1750666505868962E-2</c:v>
                  </c:pt>
                  <c:pt idx="16">
                    <c:v>5.1782320954966571E-2</c:v>
                  </c:pt>
                  <c:pt idx="17">
                    <c:v>4.8308008258052246E-2</c:v>
                  </c:pt>
                  <c:pt idx="18">
                    <c:v>5.208036517660336E-2</c:v>
                  </c:pt>
                </c:numCache>
              </c:numRef>
            </c:plus>
            <c:minus>
              <c:numRef>
                <c:f>'Growth curves CeBER'!$R$27:$R$45</c:f>
                <c:numCache>
                  <c:formatCode>General</c:formatCode>
                  <c:ptCount val="19"/>
                  <c:pt idx="0">
                    <c:v>2.4933737694232759E-2</c:v>
                  </c:pt>
                  <c:pt idx="1">
                    <c:v>6.6427295811399667E-2</c:v>
                  </c:pt>
                  <c:pt idx="2">
                    <c:v>3.6549315673675455E-2</c:v>
                  </c:pt>
                  <c:pt idx="3">
                    <c:v>2.1123204644196408E-2</c:v>
                  </c:pt>
                  <c:pt idx="4">
                    <c:v>1.6680060825063459E-2</c:v>
                  </c:pt>
                  <c:pt idx="5">
                    <c:v>3.1813239719623944E-2</c:v>
                  </c:pt>
                  <c:pt idx="6">
                    <c:v>2.142121437230941E-2</c:v>
                  </c:pt>
                  <c:pt idx="7">
                    <c:v>5.9937105669279119E-3</c:v>
                  </c:pt>
                  <c:pt idx="8">
                    <c:v>2.3367826249799512E-2</c:v>
                  </c:pt>
                  <c:pt idx="9">
                    <c:v>1.4367460227788936E-2</c:v>
                  </c:pt>
                  <c:pt idx="10">
                    <c:v>1.7618262542922207E-3</c:v>
                  </c:pt>
                  <c:pt idx="11">
                    <c:v>4.0057606728156536E-3</c:v>
                  </c:pt>
                  <c:pt idx="12">
                    <c:v>3.6943238201352191E-3</c:v>
                  </c:pt>
                  <c:pt idx="13">
                    <c:v>2.0876599811728697E-2</c:v>
                  </c:pt>
                  <c:pt idx="14">
                    <c:v>1.6506517378569514E-2</c:v>
                  </c:pt>
                  <c:pt idx="15">
                    <c:v>3.1750666505868962E-2</c:v>
                  </c:pt>
                  <c:pt idx="16">
                    <c:v>5.1782320954966571E-2</c:v>
                  </c:pt>
                  <c:pt idx="17">
                    <c:v>4.8308008258052246E-2</c:v>
                  </c:pt>
                  <c:pt idx="18">
                    <c:v>5.208036517660336E-2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CeBER'!$D$27:$D$45</c:f>
              <c:numCache>
                <c:formatCode>0</c:formatCode>
                <c:ptCount val="19"/>
                <c:pt idx="0">
                  <c:v>0</c:v>
                </c:pt>
                <c:pt idx="1">
                  <c:v>4.4666666666666668</c:v>
                </c:pt>
                <c:pt idx="2">
                  <c:v>9.3333333333333339</c:v>
                </c:pt>
                <c:pt idx="3">
                  <c:v>24.05</c:v>
                </c:pt>
                <c:pt idx="4">
                  <c:v>48.55</c:v>
                </c:pt>
                <c:pt idx="5">
                  <c:v>95.816666666666663</c:v>
                </c:pt>
                <c:pt idx="6">
                  <c:v>119.86666666666666</c:v>
                </c:pt>
                <c:pt idx="7">
                  <c:v>144.73333333333332</c:v>
                </c:pt>
                <c:pt idx="8">
                  <c:v>192.29999999999998</c:v>
                </c:pt>
                <c:pt idx="9">
                  <c:v>217.2833333333333</c:v>
                </c:pt>
                <c:pt idx="10">
                  <c:v>241.06666666666663</c:v>
                </c:pt>
                <c:pt idx="11">
                  <c:v>265.06666666666661</c:v>
                </c:pt>
                <c:pt idx="12">
                  <c:v>289.06666666666661</c:v>
                </c:pt>
                <c:pt idx="13">
                  <c:v>312.84999999999997</c:v>
                </c:pt>
                <c:pt idx="14">
                  <c:v>336.84999999999997</c:v>
                </c:pt>
                <c:pt idx="15">
                  <c:v>360.84999999999997</c:v>
                </c:pt>
                <c:pt idx="16">
                  <c:v>384.84999999999997</c:v>
                </c:pt>
                <c:pt idx="17">
                  <c:v>408.84999999999997</c:v>
                </c:pt>
                <c:pt idx="18">
                  <c:v>433.01666666666665</c:v>
                </c:pt>
              </c:numCache>
            </c:numRef>
          </c:xVal>
          <c:yVal>
            <c:numRef>
              <c:f>'Growth curves CeBER'!$Q$27:$Q$45</c:f>
              <c:numCache>
                <c:formatCode>0.000</c:formatCode>
                <c:ptCount val="19"/>
                <c:pt idx="0">
                  <c:v>-2.0133842317887805</c:v>
                </c:pt>
                <c:pt idx="1">
                  <c:v>-1.7996785042548604</c:v>
                </c:pt>
                <c:pt idx="2">
                  <c:v>-1.677617625567666</c:v>
                </c:pt>
                <c:pt idx="3">
                  <c:v>-1.2897582710966373</c:v>
                </c:pt>
                <c:pt idx="4">
                  <c:v>-0.73983347864819915</c:v>
                </c:pt>
                <c:pt idx="5">
                  <c:v>-6.700140236134057E-2</c:v>
                </c:pt>
                <c:pt idx="6">
                  <c:v>0.2066438034889623</c:v>
                </c:pt>
                <c:pt idx="7">
                  <c:v>0.43767079868041875</c:v>
                </c:pt>
                <c:pt idx="8">
                  <c:v>0.69821723458796059</c:v>
                </c:pt>
                <c:pt idx="9">
                  <c:v>0.8283518736251928</c:v>
                </c:pt>
                <c:pt idx="10">
                  <c:v>0.90358510366815548</c:v>
                </c:pt>
                <c:pt idx="11">
                  <c:v>0.98847158667404644</c:v>
                </c:pt>
                <c:pt idx="12">
                  <c:v>1.0695518447449568</c:v>
                </c:pt>
                <c:pt idx="13">
                  <c:v>1.1760661519623286</c:v>
                </c:pt>
                <c:pt idx="14">
                  <c:v>1.2901753238090194</c:v>
                </c:pt>
                <c:pt idx="15">
                  <c:v>1.3739903725882685</c:v>
                </c:pt>
                <c:pt idx="16">
                  <c:v>1.4495209970207605</c:v>
                </c:pt>
                <c:pt idx="17">
                  <c:v>1.4590710022453264</c:v>
                </c:pt>
                <c:pt idx="18">
                  <c:v>1.4730868307190714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8B-CF4C-AD83-82FC4E2C48BE}"/>
            </c:ext>
          </c:extLst>
        </c:ser>
        <c:ser>
          <c:idx val="2"/>
          <c:order val="2"/>
          <c:tx>
            <c:strRef>
              <c:f>'Growth curves CeBER'!$B$46:$AB$46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CeBER'!$R$49:$R$67</c:f>
                <c:numCache>
                  <c:formatCode>General</c:formatCode>
                  <c:ptCount val="19"/>
                  <c:pt idx="0">
                    <c:v>2.0691560121525388E-2</c:v>
                  </c:pt>
                  <c:pt idx="1">
                    <c:v>1.0101783165109717E-2</c:v>
                  </c:pt>
                  <c:pt idx="2">
                    <c:v>3.176958938923443E-2</c:v>
                  </c:pt>
                  <c:pt idx="3">
                    <c:v>1.2988010704233839E-2</c:v>
                  </c:pt>
                  <c:pt idx="4">
                    <c:v>2.7832362806430332E-2</c:v>
                  </c:pt>
                  <c:pt idx="5">
                    <c:v>4.5004300553539003E-2</c:v>
                  </c:pt>
                  <c:pt idx="6">
                    <c:v>5.0575960898199407E-2</c:v>
                  </c:pt>
                  <c:pt idx="7">
                    <c:v>2.8034125967025782E-2</c:v>
                  </c:pt>
                  <c:pt idx="8">
                    <c:v>3.1006076619708906E-2</c:v>
                  </c:pt>
                  <c:pt idx="9">
                    <c:v>6.8969840519821999E-3</c:v>
                  </c:pt>
                  <c:pt idx="10">
                    <c:v>4.3580477507632765E-3</c:v>
                  </c:pt>
                  <c:pt idx="11">
                    <c:v>4.6952495538341178E-3</c:v>
                  </c:pt>
                  <c:pt idx="12">
                    <c:v>3.439897224342043E-2</c:v>
                  </c:pt>
                  <c:pt idx="13">
                    <c:v>2.9832501609582313E-2</c:v>
                  </c:pt>
                  <c:pt idx="14">
                    <c:v>5.7937600054652205E-2</c:v>
                  </c:pt>
                  <c:pt idx="15">
                    <c:v>3.3116093655036948E-2</c:v>
                  </c:pt>
                  <c:pt idx="16">
                    <c:v>2.7067313990025474E-2</c:v>
                  </c:pt>
                  <c:pt idx="17">
                    <c:v>3.2818387802985578E-2</c:v>
                  </c:pt>
                  <c:pt idx="18">
                    <c:v>4.1288969171969649E-2</c:v>
                  </c:pt>
                </c:numCache>
              </c:numRef>
            </c:plus>
            <c:minus>
              <c:numRef>
                <c:f>'Growth curves CeBER'!$R$49:$R$67</c:f>
                <c:numCache>
                  <c:formatCode>General</c:formatCode>
                  <c:ptCount val="19"/>
                  <c:pt idx="0">
                    <c:v>2.0691560121525388E-2</c:v>
                  </c:pt>
                  <c:pt idx="1">
                    <c:v>1.0101783165109717E-2</c:v>
                  </c:pt>
                  <c:pt idx="2">
                    <c:v>3.176958938923443E-2</c:v>
                  </c:pt>
                  <c:pt idx="3">
                    <c:v>1.2988010704233839E-2</c:v>
                  </c:pt>
                  <c:pt idx="4">
                    <c:v>2.7832362806430332E-2</c:v>
                  </c:pt>
                  <c:pt idx="5">
                    <c:v>4.5004300553539003E-2</c:v>
                  </c:pt>
                  <c:pt idx="6">
                    <c:v>5.0575960898199407E-2</c:v>
                  </c:pt>
                  <c:pt idx="7">
                    <c:v>2.8034125967025782E-2</c:v>
                  </c:pt>
                  <c:pt idx="8">
                    <c:v>3.1006076619708906E-2</c:v>
                  </c:pt>
                  <c:pt idx="9">
                    <c:v>6.8969840519821999E-3</c:v>
                  </c:pt>
                  <c:pt idx="10">
                    <c:v>4.3580477507632765E-3</c:v>
                  </c:pt>
                  <c:pt idx="11">
                    <c:v>4.6952495538341178E-3</c:v>
                  </c:pt>
                  <c:pt idx="12">
                    <c:v>3.439897224342043E-2</c:v>
                  </c:pt>
                  <c:pt idx="13">
                    <c:v>2.9832501609582313E-2</c:v>
                  </c:pt>
                  <c:pt idx="14">
                    <c:v>5.7937600054652205E-2</c:v>
                  </c:pt>
                  <c:pt idx="15">
                    <c:v>3.3116093655036948E-2</c:v>
                  </c:pt>
                  <c:pt idx="16">
                    <c:v>2.7067313990025474E-2</c:v>
                  </c:pt>
                  <c:pt idx="17">
                    <c:v>3.2818387802985578E-2</c:v>
                  </c:pt>
                  <c:pt idx="18">
                    <c:v>4.1288969171969649E-2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CeBER'!$D$49:$D$67</c:f>
              <c:numCache>
                <c:formatCode>0</c:formatCode>
                <c:ptCount val="19"/>
                <c:pt idx="0">
                  <c:v>0</c:v>
                </c:pt>
                <c:pt idx="1">
                  <c:v>5.25</c:v>
                </c:pt>
                <c:pt idx="2">
                  <c:v>10.083333333333332</c:v>
                </c:pt>
                <c:pt idx="3">
                  <c:v>25.133333333333333</c:v>
                </c:pt>
                <c:pt idx="4">
                  <c:v>49.316666666666663</c:v>
                </c:pt>
                <c:pt idx="5">
                  <c:v>96.566666666666663</c:v>
                </c:pt>
                <c:pt idx="6">
                  <c:v>120.61666666666666</c:v>
                </c:pt>
                <c:pt idx="7">
                  <c:v>145.4</c:v>
                </c:pt>
                <c:pt idx="8">
                  <c:v>193.01666666666668</c:v>
                </c:pt>
                <c:pt idx="9">
                  <c:v>217.96666666666667</c:v>
                </c:pt>
                <c:pt idx="10">
                  <c:v>241.96666666666667</c:v>
                </c:pt>
                <c:pt idx="11">
                  <c:v>265.9666666666667</c:v>
                </c:pt>
                <c:pt idx="12">
                  <c:v>289.9666666666667</c:v>
                </c:pt>
                <c:pt idx="13">
                  <c:v>313.65000000000003</c:v>
                </c:pt>
                <c:pt idx="14">
                  <c:v>337.65000000000003</c:v>
                </c:pt>
                <c:pt idx="15">
                  <c:v>361.65000000000003</c:v>
                </c:pt>
                <c:pt idx="16">
                  <c:v>385.65000000000003</c:v>
                </c:pt>
                <c:pt idx="17">
                  <c:v>409.65000000000003</c:v>
                </c:pt>
                <c:pt idx="18">
                  <c:v>433.81666666666672</c:v>
                </c:pt>
              </c:numCache>
            </c:numRef>
          </c:xVal>
          <c:yVal>
            <c:numRef>
              <c:f>'Growth curves CeBER'!$Q$49:$Q$67</c:f>
              <c:numCache>
                <c:formatCode>0.000</c:formatCode>
                <c:ptCount val="19"/>
                <c:pt idx="0">
                  <c:v>-2.0476308008258646</c:v>
                </c:pt>
                <c:pt idx="1">
                  <c:v>-1.8102426786210799</c:v>
                </c:pt>
                <c:pt idx="2">
                  <c:v>-1.6905868889872566</c:v>
                </c:pt>
                <c:pt idx="3">
                  <c:v>-1.3014954115926078</c:v>
                </c:pt>
                <c:pt idx="4">
                  <c:v>-0.95149474427664948</c:v>
                </c:pt>
                <c:pt idx="5">
                  <c:v>-0.2622656926316061</c:v>
                </c:pt>
                <c:pt idx="6">
                  <c:v>-2.4739735721299783E-2</c:v>
                </c:pt>
                <c:pt idx="7">
                  <c:v>0.12922901679145485</c:v>
                </c:pt>
                <c:pt idx="8">
                  <c:v>0.45567690667383642</c:v>
                </c:pt>
                <c:pt idx="9">
                  <c:v>0.5687991181137001</c:v>
                </c:pt>
                <c:pt idx="10">
                  <c:v>0.71174224566264443</c:v>
                </c:pt>
                <c:pt idx="11">
                  <c:v>0.80271096352946791</c:v>
                </c:pt>
                <c:pt idx="12">
                  <c:v>0.86854017782602966</c:v>
                </c:pt>
                <c:pt idx="13">
                  <c:v>0.95905038170089563</c:v>
                </c:pt>
                <c:pt idx="14">
                  <c:v>1.0994824444268789</c:v>
                </c:pt>
                <c:pt idx="15">
                  <c:v>1.1544024798208463</c:v>
                </c:pt>
                <c:pt idx="16">
                  <c:v>1.210657810849564</c:v>
                </c:pt>
                <c:pt idx="17">
                  <c:v>1.2215170168583265</c:v>
                </c:pt>
                <c:pt idx="18">
                  <c:v>1.2271530038411793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8B-CF4C-AD83-82FC4E2C4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1455635753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UTEX #1926'!$B$2:$U$2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#1926'!$Y$4:$Y$13</c:f>
                <c:numCache>
                  <c:formatCode>General</c:formatCode>
                  <c:ptCount val="10"/>
                  <c:pt idx="0">
                    <c:v>6.2533831084053675E-3</c:v>
                  </c:pt>
                  <c:pt idx="1">
                    <c:v>6.788803491655746E-3</c:v>
                  </c:pt>
                  <c:pt idx="2">
                    <c:v>6.5766474522511859E-3</c:v>
                  </c:pt>
                  <c:pt idx="3">
                    <c:v>1.4459369743340719E-2</c:v>
                  </c:pt>
                  <c:pt idx="4">
                    <c:v>1.1868660938207218E-2</c:v>
                  </c:pt>
                  <c:pt idx="5">
                    <c:v>1.9800449842585242E-2</c:v>
                  </c:pt>
                  <c:pt idx="6">
                    <c:v>0.1458520753308406</c:v>
                  </c:pt>
                  <c:pt idx="7">
                    <c:v>7.5972751769531205E-4</c:v>
                  </c:pt>
                  <c:pt idx="8">
                    <c:v>4.1422651326999828E-2</c:v>
                  </c:pt>
                </c:numCache>
              </c:numRef>
            </c:plus>
            <c:minus>
              <c:numRef>
                <c:f>'Nitrate content UTEX #1926'!$Y$4:$Y$13</c:f>
                <c:numCache>
                  <c:formatCode>General</c:formatCode>
                  <c:ptCount val="10"/>
                  <c:pt idx="0">
                    <c:v>6.2533831084053675E-3</c:v>
                  </c:pt>
                  <c:pt idx="1">
                    <c:v>6.788803491655746E-3</c:v>
                  </c:pt>
                  <c:pt idx="2">
                    <c:v>6.5766474522511859E-3</c:v>
                  </c:pt>
                  <c:pt idx="3">
                    <c:v>1.4459369743340719E-2</c:v>
                  </c:pt>
                  <c:pt idx="4">
                    <c:v>1.1868660938207218E-2</c:v>
                  </c:pt>
                  <c:pt idx="5">
                    <c:v>1.9800449842585242E-2</c:v>
                  </c:pt>
                  <c:pt idx="6">
                    <c:v>0.1458520753308406</c:v>
                  </c:pt>
                  <c:pt idx="7">
                    <c:v>7.5972751769531205E-4</c:v>
                  </c:pt>
                  <c:pt idx="8">
                    <c:v>4.1422651326999828E-2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#1926'!$W$4:$W$13</c:f>
              <c:numCache>
                <c:formatCode>0</c:formatCode>
                <c:ptCount val="10"/>
                <c:pt idx="0">
                  <c:v>0</c:v>
                </c:pt>
                <c:pt idx="1">
                  <c:v>47.616666666666667</c:v>
                </c:pt>
                <c:pt idx="2">
                  <c:v>94.833333333333343</c:v>
                </c:pt>
                <c:pt idx="3">
                  <c:v>143.81666666666666</c:v>
                </c:pt>
                <c:pt idx="4">
                  <c:v>191.35</c:v>
                </c:pt>
                <c:pt idx="5">
                  <c:v>239.35</c:v>
                </c:pt>
                <c:pt idx="6">
                  <c:v>312.08333333333331</c:v>
                </c:pt>
                <c:pt idx="7">
                  <c:v>384.08333333333331</c:v>
                </c:pt>
                <c:pt idx="8">
                  <c:v>432.25</c:v>
                </c:pt>
              </c:numCache>
            </c:numRef>
          </c:xVal>
          <c:yVal>
            <c:numRef>
              <c:f>'Nitrate content UTEX #1926'!$X$4:$X$13</c:f>
              <c:numCache>
                <c:formatCode>0.000</c:formatCode>
                <c:ptCount val="10"/>
                <c:pt idx="0">
                  <c:v>1.6244853533333334</c:v>
                </c:pt>
                <c:pt idx="1">
                  <c:v>1.5470705688888888</c:v>
                </c:pt>
                <c:pt idx="2">
                  <c:v>1.4680778352380954</c:v>
                </c:pt>
                <c:pt idx="3">
                  <c:v>1.3662317588888888</c:v>
                </c:pt>
                <c:pt idx="4">
                  <c:v>1.0817720684126984</c:v>
                </c:pt>
                <c:pt idx="5">
                  <c:v>0.91119543444444451</c:v>
                </c:pt>
                <c:pt idx="6">
                  <c:v>0.87941567619047623</c:v>
                </c:pt>
                <c:pt idx="7">
                  <c:v>0.54432634285714276</c:v>
                </c:pt>
                <c:pt idx="8">
                  <c:v>0.46161521333333333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29-614F-B2B4-0EB930348F60}"/>
            </c:ext>
          </c:extLst>
        </c:ser>
        <c:ser>
          <c:idx val="1"/>
          <c:order val="1"/>
          <c:tx>
            <c:strRef>
              <c:f>'Nitrate content UTEX #1926'!$B$32:$U$32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#1926'!$Y$34:$Y$43</c:f>
                <c:numCache>
                  <c:formatCode>General</c:formatCode>
                  <c:ptCount val="10"/>
                  <c:pt idx="0">
                    <c:v>1.3213912380952484E-2</c:v>
                  </c:pt>
                  <c:pt idx="1">
                    <c:v>8.3073441502120773E-2</c:v>
                  </c:pt>
                  <c:pt idx="2">
                    <c:v>5.9586926363401342E-2</c:v>
                  </c:pt>
                  <c:pt idx="3">
                    <c:v>2.8918739486681437E-2</c:v>
                  </c:pt>
                  <c:pt idx="4">
                    <c:v>5.9904605090542164E-2</c:v>
                  </c:pt>
                  <c:pt idx="5">
                    <c:v>2.5329690418296077E-2</c:v>
                  </c:pt>
                  <c:pt idx="6">
                    <c:v>8.5482182224538447E-2</c:v>
                  </c:pt>
                  <c:pt idx="7">
                    <c:v>0.20838911736768098</c:v>
                  </c:pt>
                  <c:pt idx="8">
                    <c:v>7.7881122706401809E-2</c:v>
                  </c:pt>
                </c:numCache>
              </c:numRef>
            </c:plus>
            <c:minus>
              <c:numRef>
                <c:f>'Nitrate content UTEX #1926'!$Y$34:$Y$43</c:f>
                <c:numCache>
                  <c:formatCode>General</c:formatCode>
                  <c:ptCount val="10"/>
                  <c:pt idx="0">
                    <c:v>1.3213912380952484E-2</c:v>
                  </c:pt>
                  <c:pt idx="1">
                    <c:v>8.3073441502120773E-2</c:v>
                  </c:pt>
                  <c:pt idx="2">
                    <c:v>5.9586926363401342E-2</c:v>
                  </c:pt>
                  <c:pt idx="3">
                    <c:v>2.8918739486681437E-2</c:v>
                  </c:pt>
                  <c:pt idx="4">
                    <c:v>5.9904605090542164E-2</c:v>
                  </c:pt>
                  <c:pt idx="5">
                    <c:v>2.5329690418296077E-2</c:v>
                  </c:pt>
                  <c:pt idx="6">
                    <c:v>8.5482182224538447E-2</c:v>
                  </c:pt>
                  <c:pt idx="7">
                    <c:v>0.20838911736768098</c:v>
                  </c:pt>
                  <c:pt idx="8">
                    <c:v>7.7881122706401809E-2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#1926'!$W$34:$W$43</c:f>
              <c:numCache>
                <c:formatCode>General</c:formatCode>
                <c:ptCount val="10"/>
                <c:pt idx="0">
                  <c:v>0</c:v>
                </c:pt>
                <c:pt idx="1">
                  <c:v>48.55</c:v>
                </c:pt>
                <c:pt idx="2">
                  <c:v>95.816666666666663</c:v>
                </c:pt>
                <c:pt idx="3">
                  <c:v>144.73333333333335</c:v>
                </c:pt>
                <c:pt idx="4">
                  <c:v>192.3</c:v>
                </c:pt>
                <c:pt idx="5">
                  <c:v>241.06666666666663</c:v>
                </c:pt>
                <c:pt idx="6">
                  <c:v>312.84999999999997</c:v>
                </c:pt>
                <c:pt idx="7">
                  <c:v>384.84999999999997</c:v>
                </c:pt>
                <c:pt idx="8" formatCode="0">
                  <c:v>433.01666666666665</c:v>
                </c:pt>
              </c:numCache>
            </c:numRef>
          </c:xVal>
          <c:yVal>
            <c:numRef>
              <c:f>'Nitrate content UTEX #1926'!$X$34:$X$43</c:f>
              <c:numCache>
                <c:formatCode>0.000</c:formatCode>
                <c:ptCount val="10"/>
                <c:pt idx="0">
                  <c:v>3.2142841866666663</c:v>
                </c:pt>
                <c:pt idx="1">
                  <c:v>3.1981458819047619</c:v>
                </c:pt>
                <c:pt idx="2">
                  <c:v>2.956787046349207</c:v>
                </c:pt>
                <c:pt idx="3">
                  <c:v>2.7324635177777776</c:v>
                </c:pt>
                <c:pt idx="4">
                  <c:v>2.5506319057142859</c:v>
                </c:pt>
                <c:pt idx="5">
                  <c:v>2.32475983168254</c:v>
                </c:pt>
                <c:pt idx="6">
                  <c:v>2.0427789523809525</c:v>
                </c:pt>
                <c:pt idx="7">
                  <c:v>1.7649897976190472</c:v>
                </c:pt>
                <c:pt idx="8">
                  <c:v>1.6221165399999997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29-614F-B2B4-0EB930348F60}"/>
            </c:ext>
          </c:extLst>
        </c:ser>
        <c:ser>
          <c:idx val="2"/>
          <c:order val="2"/>
          <c:tx>
            <c:strRef>
              <c:f>'Nitrate content UTEX #1926'!$B$62:$U$62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#1926'!$Y$64:$Y$73</c:f>
                <c:numCache>
                  <c:formatCode>General</c:formatCode>
                  <c:ptCount val="10"/>
                  <c:pt idx="0">
                    <c:v>0.20966317212505126</c:v>
                  </c:pt>
                  <c:pt idx="1">
                    <c:v>0.27995690441457849</c:v>
                  </c:pt>
                  <c:pt idx="2">
                    <c:v>0.12451782421734103</c:v>
                  </c:pt>
                  <c:pt idx="3">
                    <c:v>0.18385500402489699</c:v>
                  </c:pt>
                  <c:pt idx="4">
                    <c:v>0.28557940948655125</c:v>
                  </c:pt>
                  <c:pt idx="5">
                    <c:v>0.32387587637059484</c:v>
                  </c:pt>
                  <c:pt idx="6">
                    <c:v>5.2069668226013971E-2</c:v>
                  </c:pt>
                  <c:pt idx="7">
                    <c:v>8.6885617904838064E-2</c:v>
                  </c:pt>
                  <c:pt idx="8">
                    <c:v>0.31280561134068269</c:v>
                  </c:pt>
                </c:numCache>
              </c:numRef>
            </c:plus>
            <c:minus>
              <c:numRef>
                <c:f>'Nitrate content UTEX #1926'!$Y$64:$Y$73</c:f>
                <c:numCache>
                  <c:formatCode>General</c:formatCode>
                  <c:ptCount val="10"/>
                  <c:pt idx="0">
                    <c:v>0.20966317212505126</c:v>
                  </c:pt>
                  <c:pt idx="1">
                    <c:v>0.27995690441457849</c:v>
                  </c:pt>
                  <c:pt idx="2">
                    <c:v>0.12451782421734103</c:v>
                  </c:pt>
                  <c:pt idx="3">
                    <c:v>0.18385500402489699</c:v>
                  </c:pt>
                  <c:pt idx="4">
                    <c:v>0.28557940948655125</c:v>
                  </c:pt>
                  <c:pt idx="5">
                    <c:v>0.32387587637059484</c:v>
                  </c:pt>
                  <c:pt idx="6">
                    <c:v>5.2069668226013971E-2</c:v>
                  </c:pt>
                  <c:pt idx="7">
                    <c:v>8.6885617904838064E-2</c:v>
                  </c:pt>
                  <c:pt idx="8">
                    <c:v>0.31280561134068269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#1926'!$W$64:$W$73</c:f>
              <c:numCache>
                <c:formatCode>General</c:formatCode>
                <c:ptCount val="10"/>
                <c:pt idx="0">
                  <c:v>0</c:v>
                </c:pt>
                <c:pt idx="1">
                  <c:v>49.316666666666663</c:v>
                </c:pt>
                <c:pt idx="2">
                  <c:v>96.566666666666663</c:v>
                </c:pt>
                <c:pt idx="3" formatCode="0.0">
                  <c:v>145.39999999999998</c:v>
                </c:pt>
                <c:pt idx="4">
                  <c:v>193.01666666666665</c:v>
                </c:pt>
                <c:pt idx="5">
                  <c:v>241.96666666666667</c:v>
                </c:pt>
                <c:pt idx="6">
                  <c:v>313.64999999999998</c:v>
                </c:pt>
                <c:pt idx="7">
                  <c:v>385.65000000000003</c:v>
                </c:pt>
                <c:pt idx="8" formatCode="0.0">
                  <c:v>433.88333333333333</c:v>
                </c:pt>
              </c:numCache>
            </c:numRef>
          </c:xVal>
          <c:yVal>
            <c:numRef>
              <c:f>'Nitrate content UTEX #1926'!$X$64:$X$73</c:f>
              <c:numCache>
                <c:formatCode>0.000</c:formatCode>
                <c:ptCount val="10"/>
                <c:pt idx="0">
                  <c:v>6.3746115644444439</c:v>
                </c:pt>
                <c:pt idx="1">
                  <c:v>6.3262016101587299</c:v>
                </c:pt>
                <c:pt idx="2">
                  <c:v>6.1792383847619048</c:v>
                </c:pt>
                <c:pt idx="3">
                  <c:v>5.8662234133333335</c:v>
                </c:pt>
                <c:pt idx="4">
                  <c:v>5.2926808400000001</c:v>
                </c:pt>
                <c:pt idx="5">
                  <c:v>4.7536562844444452</c:v>
                </c:pt>
                <c:pt idx="6">
                  <c:v>4.4227953904761916</c:v>
                </c:pt>
                <c:pt idx="7">
                  <c:v>4.220467641269841</c:v>
                </c:pt>
                <c:pt idx="8">
                  <c:v>4.0759568800000006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29-614F-B2B4-0EB930348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CeBER'!$M$5:$M$23</c:f>
                <c:numCache>
                  <c:formatCode>General</c:formatCode>
                  <c:ptCount val="19"/>
                  <c:pt idx="0">
                    <c:v>2.9647246287715233E-3</c:v>
                  </c:pt>
                  <c:pt idx="1">
                    <c:v>2.0556666666666687E-3</c:v>
                  </c:pt>
                  <c:pt idx="2">
                    <c:v>6.3293172154137893E-3</c:v>
                  </c:pt>
                  <c:pt idx="3">
                    <c:v>5.5312332998869096E-3</c:v>
                  </c:pt>
                  <c:pt idx="4">
                    <c:v>1.4954180262388168E-2</c:v>
                  </c:pt>
                  <c:pt idx="5">
                    <c:v>3.6542329981056735E-3</c:v>
                  </c:pt>
                  <c:pt idx="6">
                    <c:v>3.3491598641649398E-2</c:v>
                  </c:pt>
                  <c:pt idx="7">
                    <c:v>4.3169000000000041E-2</c:v>
                  </c:pt>
                  <c:pt idx="8">
                    <c:v>4.3997029840559754E-2</c:v>
                  </c:pt>
                  <c:pt idx="9">
                    <c:v>3.5614684552926261E-2</c:v>
                  </c:pt>
                  <c:pt idx="10">
                    <c:v>5.7376304445650637E-2</c:v>
                  </c:pt>
                  <c:pt idx="11">
                    <c:v>4.2781579322154269E-2</c:v>
                  </c:pt>
                  <c:pt idx="12">
                    <c:v>6.2492266666666442E-2</c:v>
                  </c:pt>
                  <c:pt idx="13">
                    <c:v>9.1282711035405389E-2</c:v>
                  </c:pt>
                  <c:pt idx="14">
                    <c:v>3.8777524105480375E-2</c:v>
                  </c:pt>
                  <c:pt idx="15">
                    <c:v>8.4609601843552443E-2</c:v>
                  </c:pt>
                  <c:pt idx="16">
                    <c:v>9.9775885185950597E-2</c:v>
                  </c:pt>
                  <c:pt idx="17">
                    <c:v>0.13943664432017541</c:v>
                  </c:pt>
                  <c:pt idx="18">
                    <c:v>0.15104660428216629</c:v>
                  </c:pt>
                </c:numCache>
              </c:numRef>
            </c:plus>
            <c:minus>
              <c:numRef>
                <c:f>'Growth curves CeBER'!$M$5:$M$23</c:f>
                <c:numCache>
                  <c:formatCode>General</c:formatCode>
                  <c:ptCount val="19"/>
                  <c:pt idx="0">
                    <c:v>2.9647246287715233E-3</c:v>
                  </c:pt>
                  <c:pt idx="1">
                    <c:v>2.0556666666666687E-3</c:v>
                  </c:pt>
                  <c:pt idx="2">
                    <c:v>6.3293172154137893E-3</c:v>
                  </c:pt>
                  <c:pt idx="3">
                    <c:v>5.5312332998869096E-3</c:v>
                  </c:pt>
                  <c:pt idx="4">
                    <c:v>1.4954180262388168E-2</c:v>
                  </c:pt>
                  <c:pt idx="5">
                    <c:v>3.6542329981056735E-3</c:v>
                  </c:pt>
                  <c:pt idx="6">
                    <c:v>3.3491598641649398E-2</c:v>
                  </c:pt>
                  <c:pt idx="7">
                    <c:v>4.3169000000000041E-2</c:v>
                  </c:pt>
                  <c:pt idx="8">
                    <c:v>4.3997029840559754E-2</c:v>
                  </c:pt>
                  <c:pt idx="9">
                    <c:v>3.5614684552926261E-2</c:v>
                  </c:pt>
                  <c:pt idx="10">
                    <c:v>5.7376304445650637E-2</c:v>
                  </c:pt>
                  <c:pt idx="11">
                    <c:v>4.2781579322154269E-2</c:v>
                  </c:pt>
                  <c:pt idx="12">
                    <c:v>6.2492266666666442E-2</c:v>
                  </c:pt>
                  <c:pt idx="13">
                    <c:v>9.1282711035405389E-2</c:v>
                  </c:pt>
                  <c:pt idx="14">
                    <c:v>3.8777524105480375E-2</c:v>
                  </c:pt>
                  <c:pt idx="15">
                    <c:v>8.4609601843552443E-2</c:v>
                  </c:pt>
                  <c:pt idx="16">
                    <c:v>9.9775885185950597E-2</c:v>
                  </c:pt>
                  <c:pt idx="17">
                    <c:v>0.13943664432017541</c:v>
                  </c:pt>
                  <c:pt idx="18">
                    <c:v>0.15104660428216629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CeBER'!$D$5:$D$23</c:f>
              <c:numCache>
                <c:formatCode>0</c:formatCode>
                <c:ptCount val="19"/>
                <c:pt idx="0">
                  <c:v>0</c:v>
                </c:pt>
                <c:pt idx="1">
                  <c:v>3.4</c:v>
                </c:pt>
                <c:pt idx="2">
                  <c:v>8.2666666666666675</c:v>
                </c:pt>
                <c:pt idx="3">
                  <c:v>23.016666666666666</c:v>
                </c:pt>
                <c:pt idx="4">
                  <c:v>47.616666666666667</c:v>
                </c:pt>
                <c:pt idx="5">
                  <c:v>94.833333333333343</c:v>
                </c:pt>
                <c:pt idx="6">
                  <c:v>118.85000000000001</c:v>
                </c:pt>
                <c:pt idx="7">
                  <c:v>143.81666666666666</c:v>
                </c:pt>
                <c:pt idx="8">
                  <c:v>191.35</c:v>
                </c:pt>
                <c:pt idx="9">
                  <c:v>216.28333333333333</c:v>
                </c:pt>
                <c:pt idx="10">
                  <c:v>240.18333333333334</c:v>
                </c:pt>
                <c:pt idx="11">
                  <c:v>264.18333333333334</c:v>
                </c:pt>
                <c:pt idx="12">
                  <c:v>288.18333333333334</c:v>
                </c:pt>
                <c:pt idx="13">
                  <c:v>312.08333333333331</c:v>
                </c:pt>
                <c:pt idx="14">
                  <c:v>336.08333333333331</c:v>
                </c:pt>
                <c:pt idx="15">
                  <c:v>360.08333333333331</c:v>
                </c:pt>
                <c:pt idx="16">
                  <c:v>384.08333333333331</c:v>
                </c:pt>
                <c:pt idx="17">
                  <c:v>408.08333333333331</c:v>
                </c:pt>
                <c:pt idx="18">
                  <c:v>432.25</c:v>
                </c:pt>
              </c:numCache>
            </c:numRef>
          </c:xVal>
          <c:yVal>
            <c:numRef>
              <c:f>'Growth curves CeBER'!$L$5:$L$23</c:f>
              <c:numCache>
                <c:formatCode>0.000</c:formatCode>
                <c:ptCount val="19"/>
                <c:pt idx="0">
                  <c:v>0.12292886666666668</c:v>
                </c:pt>
                <c:pt idx="1">
                  <c:v>0.14965253333333337</c:v>
                </c:pt>
                <c:pt idx="2">
                  <c:v>0.1714426</c:v>
                </c:pt>
                <c:pt idx="3">
                  <c:v>0.19652173333333334</c:v>
                </c:pt>
                <c:pt idx="4">
                  <c:v>0.34041840000000007</c:v>
                </c:pt>
                <c:pt idx="5">
                  <c:v>0.76511913333333326</c:v>
                </c:pt>
                <c:pt idx="6">
                  <c:v>0.98425320000000005</c:v>
                </c:pt>
                <c:pt idx="7">
                  <c:v>1.2506675999999999</c:v>
                </c:pt>
                <c:pt idx="8">
                  <c:v>1.7275822666666667</c:v>
                </c:pt>
                <c:pt idx="9">
                  <c:v>1.9997525333333337</c:v>
                </c:pt>
                <c:pt idx="10">
                  <c:v>2.2521884000000001</c:v>
                </c:pt>
                <c:pt idx="11">
                  <c:v>2.4462433333333338</c:v>
                </c:pt>
                <c:pt idx="12">
                  <c:v>2.7101909333333336</c:v>
                </c:pt>
                <c:pt idx="13">
                  <c:v>2.9058904000000001</c:v>
                </c:pt>
                <c:pt idx="14">
                  <c:v>3.2430197333333335</c:v>
                </c:pt>
                <c:pt idx="15">
                  <c:v>3.5160122666666669</c:v>
                </c:pt>
                <c:pt idx="16">
                  <c:v>3.8580752</c:v>
                </c:pt>
                <c:pt idx="17">
                  <c:v>3.9386573333333339</c:v>
                </c:pt>
                <c:pt idx="18">
                  <c:v>4.0159504000000004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C0-E043-87AF-917321D74C22}"/>
            </c:ext>
          </c:extLst>
        </c:ser>
        <c:ser>
          <c:idx val="1"/>
          <c:order val="1"/>
          <c:tx>
            <c:strRef>
              <c:f>'Growth curves CeBER'!$B$24:$AB$24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CeBER'!$T$27:$T$45</c:f>
                <c:numCache>
                  <c:formatCode>General</c:formatCode>
                  <c:ptCount val="19"/>
                  <c:pt idx="1">
                    <c:v>3.0147063838714266E-2</c:v>
                  </c:pt>
                  <c:pt idx="2">
                    <c:v>2.1487562449228153E-2</c:v>
                  </c:pt>
                  <c:pt idx="3">
                    <c:v>2.8349906544304648E-2</c:v>
                  </c:pt>
                  <c:pt idx="4">
                    <c:v>2.2895918814226909E-2</c:v>
                  </c:pt>
                  <c:pt idx="5">
                    <c:v>1.4179541803587605E-2</c:v>
                  </c:pt>
                  <c:pt idx="6">
                    <c:v>1.1433779603007668E-2</c:v>
                  </c:pt>
                  <c:pt idx="7">
                    <c:v>1.0115737957062523E-2</c:v>
                  </c:pt>
                  <c:pt idx="8">
                    <c:v>6.5914558163984328E-3</c:v>
                  </c:pt>
                  <c:pt idx="9">
                    <c:v>4.0329403427718019E-3</c:v>
                  </c:pt>
                  <c:pt idx="10">
                    <c:v>2.562205904829756E-3</c:v>
                  </c:pt>
                  <c:pt idx="11">
                    <c:v>3.4441627370053224E-3</c:v>
                  </c:pt>
                  <c:pt idx="12">
                    <c:v>3.4650075921641849E-3</c:v>
                  </c:pt>
                  <c:pt idx="13">
                    <c:v>3.6227941151383831E-3</c:v>
                  </c:pt>
                  <c:pt idx="14">
                    <c:v>7.0852105904885181E-3</c:v>
                  </c:pt>
                  <c:pt idx="15">
                    <c:v>1.3468097736467066E-3</c:v>
                  </c:pt>
                  <c:pt idx="16">
                    <c:v>3.9905297709446896E-3</c:v>
                  </c:pt>
                  <c:pt idx="17">
                    <c:v>6.689746147207446E-4</c:v>
                  </c:pt>
                  <c:pt idx="18">
                    <c:v>7.0017424089669985E-4</c:v>
                  </c:pt>
                </c:numCache>
              </c:numRef>
            </c:plus>
            <c:minus>
              <c:numRef>
                <c:f>'Growth curves CeBER'!$T$27:$T$45</c:f>
                <c:numCache>
                  <c:formatCode>General</c:formatCode>
                  <c:ptCount val="19"/>
                  <c:pt idx="1">
                    <c:v>3.0147063838714266E-2</c:v>
                  </c:pt>
                  <c:pt idx="2">
                    <c:v>2.1487562449228153E-2</c:v>
                  </c:pt>
                  <c:pt idx="3">
                    <c:v>2.8349906544304648E-2</c:v>
                  </c:pt>
                  <c:pt idx="4">
                    <c:v>2.2895918814226909E-2</c:v>
                  </c:pt>
                  <c:pt idx="5">
                    <c:v>1.4179541803587605E-2</c:v>
                  </c:pt>
                  <c:pt idx="6">
                    <c:v>1.1433779603007668E-2</c:v>
                  </c:pt>
                  <c:pt idx="7">
                    <c:v>1.0115737957062523E-2</c:v>
                  </c:pt>
                  <c:pt idx="8">
                    <c:v>6.5914558163984328E-3</c:v>
                  </c:pt>
                  <c:pt idx="9">
                    <c:v>4.0329403427718019E-3</c:v>
                  </c:pt>
                  <c:pt idx="10">
                    <c:v>2.562205904829756E-3</c:v>
                  </c:pt>
                  <c:pt idx="11">
                    <c:v>3.4441627370053224E-3</c:v>
                  </c:pt>
                  <c:pt idx="12">
                    <c:v>3.4650075921641849E-3</c:v>
                  </c:pt>
                  <c:pt idx="13">
                    <c:v>3.6227941151383831E-3</c:v>
                  </c:pt>
                  <c:pt idx="14">
                    <c:v>7.0852105904885181E-3</c:v>
                  </c:pt>
                  <c:pt idx="15">
                    <c:v>1.3468097736467066E-3</c:v>
                  </c:pt>
                  <c:pt idx="16">
                    <c:v>3.9905297709446896E-3</c:v>
                  </c:pt>
                  <c:pt idx="17">
                    <c:v>6.689746147207446E-4</c:v>
                  </c:pt>
                  <c:pt idx="18">
                    <c:v>7.0017424089669985E-4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CeBER'!$D$27:$D$45</c:f>
              <c:numCache>
                <c:formatCode>0</c:formatCode>
                <c:ptCount val="19"/>
                <c:pt idx="0">
                  <c:v>0</c:v>
                </c:pt>
                <c:pt idx="1">
                  <c:v>4.4666666666666668</c:v>
                </c:pt>
                <c:pt idx="2">
                  <c:v>9.3333333333333339</c:v>
                </c:pt>
                <c:pt idx="3">
                  <c:v>24.05</c:v>
                </c:pt>
                <c:pt idx="4">
                  <c:v>48.55</c:v>
                </c:pt>
                <c:pt idx="5">
                  <c:v>95.816666666666663</c:v>
                </c:pt>
                <c:pt idx="6">
                  <c:v>119.86666666666666</c:v>
                </c:pt>
                <c:pt idx="7">
                  <c:v>144.73333333333332</c:v>
                </c:pt>
                <c:pt idx="8">
                  <c:v>192.29999999999998</c:v>
                </c:pt>
                <c:pt idx="9">
                  <c:v>217.2833333333333</c:v>
                </c:pt>
                <c:pt idx="10">
                  <c:v>241.06666666666663</c:v>
                </c:pt>
                <c:pt idx="11">
                  <c:v>265.06666666666661</c:v>
                </c:pt>
                <c:pt idx="12">
                  <c:v>289.06666666666661</c:v>
                </c:pt>
                <c:pt idx="13">
                  <c:v>312.84999999999997</c:v>
                </c:pt>
                <c:pt idx="14">
                  <c:v>336.84999999999997</c:v>
                </c:pt>
                <c:pt idx="15">
                  <c:v>360.84999999999997</c:v>
                </c:pt>
                <c:pt idx="16">
                  <c:v>384.84999999999997</c:v>
                </c:pt>
                <c:pt idx="17">
                  <c:v>408.84999999999997</c:v>
                </c:pt>
                <c:pt idx="18">
                  <c:v>433.01666666666665</c:v>
                </c:pt>
              </c:numCache>
            </c:numRef>
          </c:xVal>
          <c:yVal>
            <c:numRef>
              <c:f>'Growth curves CeBER'!$L$27:$L$45</c:f>
              <c:numCache>
                <c:formatCode>0.000</c:formatCode>
                <c:ptCount val="19"/>
                <c:pt idx="0">
                  <c:v>0.13361833333333334</c:v>
                </c:pt>
                <c:pt idx="1">
                  <c:v>0.16609786666666668</c:v>
                </c:pt>
                <c:pt idx="2">
                  <c:v>0.18706566666666669</c:v>
                </c:pt>
                <c:pt idx="3">
                  <c:v>0.27545933333333333</c:v>
                </c:pt>
                <c:pt idx="4">
                  <c:v>0.47732580000000002</c:v>
                </c:pt>
                <c:pt idx="5">
                  <c:v>0.93615060000000005</c:v>
                </c:pt>
                <c:pt idx="6">
                  <c:v>1.2301109333333333</c:v>
                </c:pt>
                <c:pt idx="7">
                  <c:v>1.5491504</c:v>
                </c:pt>
                <c:pt idx="8">
                  <c:v>2.0112642666666667</c:v>
                </c:pt>
                <c:pt idx="9">
                  <c:v>2.2900126666666671</c:v>
                </c:pt>
                <c:pt idx="10">
                  <c:v>2.4684445333333334</c:v>
                </c:pt>
                <c:pt idx="11">
                  <c:v>2.6871674666666667</c:v>
                </c:pt>
                <c:pt idx="12">
                  <c:v>2.9141130666666668</c:v>
                </c:pt>
                <c:pt idx="13">
                  <c:v>3.2430197333333335</c:v>
                </c:pt>
                <c:pt idx="14">
                  <c:v>3.6344186666666669</c:v>
                </c:pt>
                <c:pt idx="15">
                  <c:v>3.9551026666666669</c:v>
                </c:pt>
                <c:pt idx="16">
                  <c:v>4.2724976000000003</c:v>
                </c:pt>
                <c:pt idx="17">
                  <c:v>4.3119664000000002</c:v>
                </c:pt>
                <c:pt idx="18">
                  <c:v>4.3744586666666665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C0-E043-87AF-917321D74C22}"/>
            </c:ext>
          </c:extLst>
        </c:ser>
        <c:ser>
          <c:idx val="2"/>
          <c:order val="2"/>
          <c:tx>
            <c:strRef>
              <c:f>'Growth curves CeBER'!$B$46:$AB$46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CeBER'!$M$49:$M$67</c:f>
                <c:numCache>
                  <c:formatCode>General</c:formatCode>
                  <c:ptCount val="19"/>
                  <c:pt idx="0">
                    <c:v>2.6959815586246956E-3</c:v>
                  </c:pt>
                  <c:pt idx="1">
                    <c:v>1.6445333333333367E-3</c:v>
                  </c:pt>
                  <c:pt idx="2">
                    <c:v>5.9294492575430579E-3</c:v>
                  </c:pt>
                  <c:pt idx="3">
                    <c:v>3.5127247398248872E-3</c:v>
                  </c:pt>
                  <c:pt idx="4">
                    <c:v>1.0900849705310965E-2</c:v>
                  </c:pt>
                  <c:pt idx="5">
                    <c:v>3.4980174986602587E-2</c:v>
                  </c:pt>
                  <c:pt idx="6">
                    <c:v>5.0166690822629881E-2</c:v>
                  </c:pt>
                  <c:pt idx="7">
                    <c:v>3.1601153299066646E-2</c:v>
                  </c:pt>
                  <c:pt idx="8">
                    <c:v>4.8673741779046903E-2</c:v>
                  </c:pt>
                  <c:pt idx="9">
                    <c:v>1.2168435444761776E-2</c:v>
                  </c:pt>
                  <c:pt idx="10">
                    <c:v>8.8941738863145478E-3</c:v>
                  </c:pt>
                  <c:pt idx="11">
                    <c:v>1.0497998037297927E-2</c:v>
                  </c:pt>
                  <c:pt idx="12">
                    <c:v>8.0632460474702336E-2</c:v>
                  </c:pt>
                  <c:pt idx="13">
                    <c:v>7.6806045077483662E-2</c:v>
                  </c:pt>
                  <c:pt idx="14">
                    <c:v>0.17654048099044536</c:v>
                  </c:pt>
                  <c:pt idx="15">
                    <c:v>0.10451523641685517</c:v>
                  </c:pt>
                  <c:pt idx="16">
                    <c:v>9.013483018717626E-2</c:v>
                  </c:pt>
                  <c:pt idx="17">
                    <c:v>0.1103309066847746</c:v>
                  </c:pt>
                  <c:pt idx="18">
                    <c:v>0.14168778497891443</c:v>
                  </c:pt>
                </c:numCache>
              </c:numRef>
            </c:plus>
            <c:minus>
              <c:numRef>
                <c:f>'Growth curves CeBER'!$M$49:$M$67</c:f>
                <c:numCache>
                  <c:formatCode>General</c:formatCode>
                  <c:ptCount val="19"/>
                  <c:pt idx="0">
                    <c:v>2.6959815586246956E-3</c:v>
                  </c:pt>
                  <c:pt idx="1">
                    <c:v>1.6445333333333367E-3</c:v>
                  </c:pt>
                  <c:pt idx="2">
                    <c:v>5.9294492575430579E-3</c:v>
                  </c:pt>
                  <c:pt idx="3">
                    <c:v>3.5127247398248872E-3</c:v>
                  </c:pt>
                  <c:pt idx="4">
                    <c:v>1.0900849705310965E-2</c:v>
                  </c:pt>
                  <c:pt idx="5">
                    <c:v>3.4980174986602587E-2</c:v>
                  </c:pt>
                  <c:pt idx="6">
                    <c:v>5.0166690822629881E-2</c:v>
                  </c:pt>
                  <c:pt idx="7">
                    <c:v>3.1601153299066646E-2</c:v>
                  </c:pt>
                  <c:pt idx="8">
                    <c:v>4.8673741779046903E-2</c:v>
                  </c:pt>
                  <c:pt idx="9">
                    <c:v>1.2168435444761776E-2</c:v>
                  </c:pt>
                  <c:pt idx="10">
                    <c:v>8.8941738863145478E-3</c:v>
                  </c:pt>
                  <c:pt idx="11">
                    <c:v>1.0497998037297927E-2</c:v>
                  </c:pt>
                  <c:pt idx="12">
                    <c:v>8.0632460474702336E-2</c:v>
                  </c:pt>
                  <c:pt idx="13">
                    <c:v>7.6806045077483662E-2</c:v>
                  </c:pt>
                  <c:pt idx="14">
                    <c:v>0.17654048099044536</c:v>
                  </c:pt>
                  <c:pt idx="15">
                    <c:v>0.10451523641685517</c:v>
                  </c:pt>
                  <c:pt idx="16">
                    <c:v>9.013483018717626E-2</c:v>
                  </c:pt>
                  <c:pt idx="17">
                    <c:v>0.1103309066847746</c:v>
                  </c:pt>
                  <c:pt idx="18">
                    <c:v>0.14168778497891443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CeBER'!$D$49:$D$67</c:f>
              <c:numCache>
                <c:formatCode>0</c:formatCode>
                <c:ptCount val="19"/>
                <c:pt idx="0">
                  <c:v>0</c:v>
                </c:pt>
                <c:pt idx="1">
                  <c:v>5.25</c:v>
                </c:pt>
                <c:pt idx="2">
                  <c:v>10.083333333333332</c:v>
                </c:pt>
                <c:pt idx="3">
                  <c:v>25.133333333333333</c:v>
                </c:pt>
                <c:pt idx="4">
                  <c:v>49.316666666666663</c:v>
                </c:pt>
                <c:pt idx="5">
                  <c:v>96.566666666666663</c:v>
                </c:pt>
                <c:pt idx="6">
                  <c:v>120.61666666666666</c:v>
                </c:pt>
                <c:pt idx="7">
                  <c:v>145.4</c:v>
                </c:pt>
                <c:pt idx="8">
                  <c:v>193.01666666666668</c:v>
                </c:pt>
                <c:pt idx="9">
                  <c:v>217.96666666666667</c:v>
                </c:pt>
                <c:pt idx="10">
                  <c:v>241.96666666666667</c:v>
                </c:pt>
                <c:pt idx="11">
                  <c:v>265.9666666666667</c:v>
                </c:pt>
                <c:pt idx="12">
                  <c:v>289.9666666666667</c:v>
                </c:pt>
                <c:pt idx="13">
                  <c:v>313.65000000000003</c:v>
                </c:pt>
                <c:pt idx="14">
                  <c:v>337.65000000000003</c:v>
                </c:pt>
                <c:pt idx="15">
                  <c:v>361.65000000000003</c:v>
                </c:pt>
                <c:pt idx="16">
                  <c:v>385.65000000000003</c:v>
                </c:pt>
                <c:pt idx="17">
                  <c:v>409.65000000000003</c:v>
                </c:pt>
                <c:pt idx="18">
                  <c:v>433.81666666666672</c:v>
                </c:pt>
              </c:numCache>
            </c:numRef>
          </c:xVal>
          <c:yVal>
            <c:numRef>
              <c:f>'Growth curves CeBER'!$L$49:$L$67</c:f>
              <c:numCache>
                <c:formatCode>0.000</c:formatCode>
                <c:ptCount val="19"/>
                <c:pt idx="0">
                  <c:v>0.12909586666666664</c:v>
                </c:pt>
                <c:pt idx="1">
                  <c:v>0.16363106666666669</c:v>
                </c:pt>
                <c:pt idx="2">
                  <c:v>0.18459886666666667</c:v>
                </c:pt>
                <c:pt idx="3">
                  <c:v>0.27217026666666672</c:v>
                </c:pt>
                <c:pt idx="4">
                  <c:v>0.38646533333333338</c:v>
                </c:pt>
                <c:pt idx="5">
                  <c:v>0.77087500000000009</c:v>
                </c:pt>
                <c:pt idx="6">
                  <c:v>0.97808619999999991</c:v>
                </c:pt>
                <c:pt idx="7">
                  <c:v>1.1388393333333333</c:v>
                </c:pt>
                <c:pt idx="8">
                  <c:v>1.5787519999999999</c:v>
                </c:pt>
                <c:pt idx="9">
                  <c:v>1.7662288000000002</c:v>
                </c:pt>
                <c:pt idx="10">
                  <c:v>2.0375767999999996</c:v>
                </c:pt>
                <c:pt idx="11">
                  <c:v>2.2316317333333333</c:v>
                </c:pt>
                <c:pt idx="12">
                  <c:v>2.3862178666666671</c:v>
                </c:pt>
                <c:pt idx="13">
                  <c:v>2.611518933333334</c:v>
                </c:pt>
                <c:pt idx="14">
                  <c:v>3.0127850666666673</c:v>
                </c:pt>
                <c:pt idx="15">
                  <c:v>3.175593866666667</c:v>
                </c:pt>
                <c:pt idx="16">
                  <c:v>3.3581370666666666</c:v>
                </c:pt>
                <c:pt idx="17">
                  <c:v>3.3959613333333336</c:v>
                </c:pt>
                <c:pt idx="18">
                  <c:v>3.4173402666666668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C0-E043-87AF-917321D74C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#1926'!$R$5:$R$23</c:f>
                <c:numCache>
                  <c:formatCode>General</c:formatCode>
                  <c:ptCount val="19"/>
                  <c:pt idx="0">
                    <c:v>5.7089844436476758E-2</c:v>
                  </c:pt>
                  <c:pt idx="1">
                    <c:v>2.1968082030156381E-2</c:v>
                  </c:pt>
                  <c:pt idx="2">
                    <c:v>1.0131898085569697E-2</c:v>
                  </c:pt>
                  <c:pt idx="3">
                    <c:v>4.510051622117655E-2</c:v>
                  </c:pt>
                  <c:pt idx="4">
                    <c:v>4.2631851748610256E-2</c:v>
                  </c:pt>
                  <c:pt idx="5">
                    <c:v>3.4922473499670093E-2</c:v>
                  </c:pt>
                  <c:pt idx="6">
                    <c:v>6.7718913674493725E-3</c:v>
                  </c:pt>
                  <c:pt idx="7">
                    <c:v>1.2516020703213069E-2</c:v>
                  </c:pt>
                  <c:pt idx="8">
                    <c:v>2.267165791162478E-2</c:v>
                  </c:pt>
                  <c:pt idx="9">
                    <c:v>2.5558446865977465E-2</c:v>
                  </c:pt>
                  <c:pt idx="10">
                    <c:v>2.4996858096443666E-2</c:v>
                  </c:pt>
                  <c:pt idx="11">
                    <c:v>1.7450501640301232E-2</c:v>
                  </c:pt>
                  <c:pt idx="12">
                    <c:v>2.5519658495217756E-2</c:v>
                  </c:pt>
                  <c:pt idx="13">
                    <c:v>1.7323341504473216E-2</c:v>
                  </c:pt>
                  <c:pt idx="14">
                    <c:v>1.0625663233244126E-2</c:v>
                  </c:pt>
                  <c:pt idx="15">
                    <c:v>2.562973919076799E-2</c:v>
                  </c:pt>
                  <c:pt idx="16">
                    <c:v>4.4333723204745483E-2</c:v>
                  </c:pt>
                  <c:pt idx="17">
                    <c:v>4.0253352689893891E-2</c:v>
                  </c:pt>
                  <c:pt idx="18">
                    <c:v>4.286624246370134E-2</c:v>
                  </c:pt>
                </c:numCache>
              </c:numRef>
            </c:plus>
            <c:minus>
              <c:numRef>
                <c:f>'Growth curves UTEX #1926'!$R$5:$R$23</c:f>
                <c:numCache>
                  <c:formatCode>General</c:formatCode>
                  <c:ptCount val="19"/>
                  <c:pt idx="0">
                    <c:v>5.7089844436476758E-2</c:v>
                  </c:pt>
                  <c:pt idx="1">
                    <c:v>2.1968082030156381E-2</c:v>
                  </c:pt>
                  <c:pt idx="2">
                    <c:v>1.0131898085569697E-2</c:v>
                  </c:pt>
                  <c:pt idx="3">
                    <c:v>4.510051622117655E-2</c:v>
                  </c:pt>
                  <c:pt idx="4">
                    <c:v>4.2631851748610256E-2</c:v>
                  </c:pt>
                  <c:pt idx="5">
                    <c:v>3.4922473499670093E-2</c:v>
                  </c:pt>
                  <c:pt idx="6">
                    <c:v>6.7718913674493725E-3</c:v>
                  </c:pt>
                  <c:pt idx="7">
                    <c:v>1.2516020703213069E-2</c:v>
                  </c:pt>
                  <c:pt idx="8">
                    <c:v>2.267165791162478E-2</c:v>
                  </c:pt>
                  <c:pt idx="9">
                    <c:v>2.5558446865977465E-2</c:v>
                  </c:pt>
                  <c:pt idx="10">
                    <c:v>2.4996858096443666E-2</c:v>
                  </c:pt>
                  <c:pt idx="11">
                    <c:v>1.7450501640301232E-2</c:v>
                  </c:pt>
                  <c:pt idx="12">
                    <c:v>2.5519658495217756E-2</c:v>
                  </c:pt>
                  <c:pt idx="13">
                    <c:v>1.7323341504473216E-2</c:v>
                  </c:pt>
                  <c:pt idx="14">
                    <c:v>1.0625663233244126E-2</c:v>
                  </c:pt>
                  <c:pt idx="15">
                    <c:v>2.562973919076799E-2</c:v>
                  </c:pt>
                  <c:pt idx="16">
                    <c:v>4.4333723204745483E-2</c:v>
                  </c:pt>
                  <c:pt idx="17">
                    <c:v>4.0253352689893891E-2</c:v>
                  </c:pt>
                  <c:pt idx="18">
                    <c:v>4.286624246370134E-2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#1926'!$D$5:$D$23</c:f>
              <c:numCache>
                <c:formatCode>0</c:formatCode>
                <c:ptCount val="19"/>
                <c:pt idx="0">
                  <c:v>0</c:v>
                </c:pt>
                <c:pt idx="1">
                  <c:v>3.4</c:v>
                </c:pt>
                <c:pt idx="2">
                  <c:v>8.2666666666666675</c:v>
                </c:pt>
                <c:pt idx="3">
                  <c:v>23.016666666666666</c:v>
                </c:pt>
                <c:pt idx="4">
                  <c:v>47.616666666666667</c:v>
                </c:pt>
                <c:pt idx="5">
                  <c:v>94.833333333333343</c:v>
                </c:pt>
                <c:pt idx="6">
                  <c:v>118.85000000000001</c:v>
                </c:pt>
                <c:pt idx="7">
                  <c:v>143.81666666666666</c:v>
                </c:pt>
                <c:pt idx="8">
                  <c:v>191.35</c:v>
                </c:pt>
                <c:pt idx="9">
                  <c:v>216.28333333333333</c:v>
                </c:pt>
                <c:pt idx="10">
                  <c:v>240.18333333333334</c:v>
                </c:pt>
                <c:pt idx="11">
                  <c:v>264.18333333333334</c:v>
                </c:pt>
                <c:pt idx="12">
                  <c:v>288.18333333333334</c:v>
                </c:pt>
                <c:pt idx="13">
                  <c:v>312.08333333333331</c:v>
                </c:pt>
                <c:pt idx="14">
                  <c:v>336.08333333333331</c:v>
                </c:pt>
                <c:pt idx="15">
                  <c:v>360.08333333333331</c:v>
                </c:pt>
                <c:pt idx="16">
                  <c:v>384.08333333333331</c:v>
                </c:pt>
                <c:pt idx="17">
                  <c:v>408.08333333333331</c:v>
                </c:pt>
                <c:pt idx="18">
                  <c:v>432.25</c:v>
                </c:pt>
              </c:numCache>
            </c:numRef>
          </c:xVal>
          <c:yVal>
            <c:numRef>
              <c:f>'Growth curves UTEX #1926'!$Q$5:$Q$23</c:f>
              <c:numCache>
                <c:formatCode>0.000</c:formatCode>
                <c:ptCount val="19"/>
                <c:pt idx="0">
                  <c:v>-2.0423013334201108</c:v>
                </c:pt>
                <c:pt idx="1">
                  <c:v>-1.8228159206691743</c:v>
                </c:pt>
                <c:pt idx="2">
                  <c:v>-1.709567798183236</c:v>
                </c:pt>
                <c:pt idx="3">
                  <c:v>-1.6227339083375742</c:v>
                </c:pt>
                <c:pt idx="4">
                  <c:v>-1.2009446157311634</c:v>
                </c:pt>
                <c:pt idx="5">
                  <c:v>-0.31571316931749005</c:v>
                </c:pt>
                <c:pt idx="6">
                  <c:v>-1.7713062182659473E-2</c:v>
                </c:pt>
                <c:pt idx="7">
                  <c:v>0.22796678524650379</c:v>
                </c:pt>
                <c:pt idx="8">
                  <c:v>0.56912759704736526</c:v>
                </c:pt>
                <c:pt idx="9">
                  <c:v>0.70181543569728311</c:v>
                </c:pt>
                <c:pt idx="10">
                  <c:v>0.81833047064581255</c:v>
                </c:pt>
                <c:pt idx="11">
                  <c:v>0.90852499241560813</c:v>
                </c:pt>
                <c:pt idx="12">
                  <c:v>1.0366208435326119</c:v>
                </c:pt>
                <c:pt idx="13">
                  <c:v>1.110399178512788</c:v>
                </c:pt>
                <c:pt idx="14">
                  <c:v>1.171208868395353</c:v>
                </c:pt>
                <c:pt idx="15">
                  <c:v>1.2414902906064877</c:v>
                </c:pt>
                <c:pt idx="16">
                  <c:v>1.3040306333969827</c:v>
                </c:pt>
                <c:pt idx="17">
                  <c:v>1.3219813182507132</c:v>
                </c:pt>
                <c:pt idx="18">
                  <c:v>1.313671323588844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36-3F4D-A090-CBAEF8DF46C5}"/>
            </c:ext>
          </c:extLst>
        </c:ser>
        <c:ser>
          <c:idx val="1"/>
          <c:order val="1"/>
          <c:tx>
            <c:strRef>
              <c:f>'Growth curves UTEX #1926'!$B$24:$AB$24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#1926'!$R$27:$R$45</c:f>
                <c:numCache>
                  <c:formatCode>General</c:formatCode>
                  <c:ptCount val="19"/>
                  <c:pt idx="0">
                    <c:v>4.7557245797111236E-2</c:v>
                  </c:pt>
                  <c:pt idx="1">
                    <c:v>4.8348916794559604E-2</c:v>
                  </c:pt>
                  <c:pt idx="2">
                    <c:v>2.9884331173853852E-2</c:v>
                  </c:pt>
                  <c:pt idx="3">
                    <c:v>4.5009716339518217E-2</c:v>
                  </c:pt>
                  <c:pt idx="4">
                    <c:v>4.5345337728494806E-2</c:v>
                  </c:pt>
                  <c:pt idx="5">
                    <c:v>1.431777044109279E-2</c:v>
                  </c:pt>
                  <c:pt idx="6">
                    <c:v>3.7551240112618671E-2</c:v>
                  </c:pt>
                  <c:pt idx="7">
                    <c:v>4.3006921323940447E-2</c:v>
                  </c:pt>
                  <c:pt idx="8">
                    <c:v>3.9038887931305305E-2</c:v>
                  </c:pt>
                  <c:pt idx="9">
                    <c:v>6.5018303338135151E-3</c:v>
                  </c:pt>
                  <c:pt idx="10">
                    <c:v>1.6891135425554177E-2</c:v>
                  </c:pt>
                  <c:pt idx="11">
                    <c:v>2.816774139413895E-2</c:v>
                  </c:pt>
                  <c:pt idx="12">
                    <c:v>2.1192431090388815E-3</c:v>
                  </c:pt>
                  <c:pt idx="13">
                    <c:v>1.9368833721701405E-2</c:v>
                  </c:pt>
                  <c:pt idx="14">
                    <c:v>5.2550855635706707E-3</c:v>
                  </c:pt>
                  <c:pt idx="15">
                    <c:v>1.7363580546350135E-2</c:v>
                  </c:pt>
                  <c:pt idx="16">
                    <c:v>2.9332370858680235E-2</c:v>
                  </c:pt>
                  <c:pt idx="17">
                    <c:v>2.8256033568657989E-2</c:v>
                  </c:pt>
                  <c:pt idx="18">
                    <c:v>3.6784775958255016E-2</c:v>
                  </c:pt>
                </c:numCache>
              </c:numRef>
            </c:plus>
            <c:minus>
              <c:numRef>
                <c:f>'Growth curves UTEX #1926'!$R$27:$R$45</c:f>
                <c:numCache>
                  <c:formatCode>General</c:formatCode>
                  <c:ptCount val="19"/>
                  <c:pt idx="0">
                    <c:v>4.7557245797111236E-2</c:v>
                  </c:pt>
                  <c:pt idx="1">
                    <c:v>4.8348916794559604E-2</c:v>
                  </c:pt>
                  <c:pt idx="2">
                    <c:v>2.9884331173853852E-2</c:v>
                  </c:pt>
                  <c:pt idx="3">
                    <c:v>4.5009716339518217E-2</c:v>
                  </c:pt>
                  <c:pt idx="4">
                    <c:v>4.5345337728494806E-2</c:v>
                  </c:pt>
                  <c:pt idx="5">
                    <c:v>1.431777044109279E-2</c:v>
                  </c:pt>
                  <c:pt idx="6">
                    <c:v>3.7551240112618671E-2</c:v>
                  </c:pt>
                  <c:pt idx="7">
                    <c:v>4.3006921323940447E-2</c:v>
                  </c:pt>
                  <c:pt idx="8">
                    <c:v>3.9038887931305305E-2</c:v>
                  </c:pt>
                  <c:pt idx="9">
                    <c:v>6.5018303338135151E-3</c:v>
                  </c:pt>
                  <c:pt idx="10">
                    <c:v>1.6891135425554177E-2</c:v>
                  </c:pt>
                  <c:pt idx="11">
                    <c:v>2.816774139413895E-2</c:v>
                  </c:pt>
                  <c:pt idx="12">
                    <c:v>2.1192431090388815E-3</c:v>
                  </c:pt>
                  <c:pt idx="13">
                    <c:v>1.9368833721701405E-2</c:v>
                  </c:pt>
                  <c:pt idx="14">
                    <c:v>5.2550855635706707E-3</c:v>
                  </c:pt>
                  <c:pt idx="15">
                    <c:v>1.7363580546350135E-2</c:v>
                  </c:pt>
                  <c:pt idx="16">
                    <c:v>2.9332370858680235E-2</c:v>
                  </c:pt>
                  <c:pt idx="17">
                    <c:v>2.8256033568657989E-2</c:v>
                  </c:pt>
                  <c:pt idx="18">
                    <c:v>3.6784775958255016E-2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#1926'!$D$27:$D$45</c:f>
              <c:numCache>
                <c:formatCode>0</c:formatCode>
                <c:ptCount val="19"/>
                <c:pt idx="0">
                  <c:v>0</c:v>
                </c:pt>
                <c:pt idx="1">
                  <c:v>4.4666666666666668</c:v>
                </c:pt>
                <c:pt idx="2">
                  <c:v>9.3333333333333339</c:v>
                </c:pt>
                <c:pt idx="3">
                  <c:v>24.05</c:v>
                </c:pt>
                <c:pt idx="4">
                  <c:v>48.55</c:v>
                </c:pt>
                <c:pt idx="5">
                  <c:v>95.816666666666663</c:v>
                </c:pt>
                <c:pt idx="6">
                  <c:v>119.86666666666666</c:v>
                </c:pt>
                <c:pt idx="7">
                  <c:v>144.73333333333332</c:v>
                </c:pt>
                <c:pt idx="8">
                  <c:v>192.29999999999998</c:v>
                </c:pt>
                <c:pt idx="9">
                  <c:v>217.2833333333333</c:v>
                </c:pt>
                <c:pt idx="10">
                  <c:v>241.06666666666663</c:v>
                </c:pt>
                <c:pt idx="11">
                  <c:v>265.06666666666661</c:v>
                </c:pt>
                <c:pt idx="12">
                  <c:v>289.06666666666661</c:v>
                </c:pt>
                <c:pt idx="13">
                  <c:v>312.84999999999997</c:v>
                </c:pt>
                <c:pt idx="14">
                  <c:v>336.84999999999997</c:v>
                </c:pt>
                <c:pt idx="15">
                  <c:v>360.84999999999997</c:v>
                </c:pt>
                <c:pt idx="16">
                  <c:v>384.84999999999997</c:v>
                </c:pt>
                <c:pt idx="17">
                  <c:v>408.84999999999997</c:v>
                </c:pt>
                <c:pt idx="18">
                  <c:v>433.01666666666665</c:v>
                </c:pt>
              </c:numCache>
            </c:numRef>
          </c:xVal>
          <c:yVal>
            <c:numRef>
              <c:f>'Growth curves UTEX #1926'!$Q$27:$Q$45</c:f>
              <c:numCache>
                <c:formatCode>0.000</c:formatCode>
                <c:ptCount val="19"/>
                <c:pt idx="0">
                  <c:v>-2.0608362115429224</c:v>
                </c:pt>
                <c:pt idx="1">
                  <c:v>-1.7071638446519104</c:v>
                </c:pt>
                <c:pt idx="2">
                  <c:v>-1.6322839674034235</c:v>
                </c:pt>
                <c:pt idx="3">
                  <c:v>-1.3494876529713598</c:v>
                </c:pt>
                <c:pt idx="4">
                  <c:v>-0.68172176220844793</c:v>
                </c:pt>
                <c:pt idx="5">
                  <c:v>-8.9616020953535283E-2</c:v>
                </c:pt>
                <c:pt idx="6">
                  <c:v>0.200282599442972</c:v>
                </c:pt>
                <c:pt idx="7">
                  <c:v>0.4079282866150426</c:v>
                </c:pt>
                <c:pt idx="8">
                  <c:v>0.66968838961872146</c:v>
                </c:pt>
                <c:pt idx="9">
                  <c:v>0.85132851253840747</c:v>
                </c:pt>
                <c:pt idx="10">
                  <c:v>0.89936471084240743</c:v>
                </c:pt>
                <c:pt idx="11">
                  <c:v>0.9782748709222826</c:v>
                </c:pt>
                <c:pt idx="12">
                  <c:v>1.0491000402078043</c:v>
                </c:pt>
                <c:pt idx="13">
                  <c:v>1.1097700579878966</c:v>
                </c:pt>
                <c:pt idx="14">
                  <c:v>1.216583435963452</c:v>
                </c:pt>
                <c:pt idx="15">
                  <c:v>1.2766400658663897</c:v>
                </c:pt>
                <c:pt idx="16">
                  <c:v>1.353137608480915</c:v>
                </c:pt>
                <c:pt idx="17">
                  <c:v>1.3656974230649765</c:v>
                </c:pt>
                <c:pt idx="18">
                  <c:v>1.3804474828781022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36-3F4D-A090-CBAEF8DF46C5}"/>
            </c:ext>
          </c:extLst>
        </c:ser>
        <c:ser>
          <c:idx val="2"/>
          <c:order val="2"/>
          <c:tx>
            <c:strRef>
              <c:f>'Growth curves UTEX #1926'!$B$46:$AB$46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#1926'!$R$49:$R$67</c:f>
                <c:numCache>
                  <c:formatCode>General</c:formatCode>
                  <c:ptCount val="19"/>
                  <c:pt idx="0">
                    <c:v>1.1797691988673583E-2</c:v>
                  </c:pt>
                  <c:pt idx="1">
                    <c:v>2.4778316071116625E-2</c:v>
                  </c:pt>
                  <c:pt idx="2">
                    <c:v>5.0039472099773295E-2</c:v>
                  </c:pt>
                  <c:pt idx="3">
                    <c:v>3.1962128110823829E-2</c:v>
                  </c:pt>
                  <c:pt idx="4">
                    <c:v>3.1688310781975912E-2</c:v>
                  </c:pt>
                  <c:pt idx="5">
                    <c:v>2.4541555739471352E-2</c:v>
                  </c:pt>
                  <c:pt idx="6">
                    <c:v>3.8526256548754571E-2</c:v>
                  </c:pt>
                  <c:pt idx="7">
                    <c:v>3.8176711859747317E-2</c:v>
                  </c:pt>
                  <c:pt idx="8">
                    <c:v>2.8866689259657682E-2</c:v>
                  </c:pt>
                  <c:pt idx="9">
                    <c:v>3.4527140899335423E-2</c:v>
                  </c:pt>
                  <c:pt idx="10">
                    <c:v>8.204230950447049E-3</c:v>
                  </c:pt>
                  <c:pt idx="11">
                    <c:v>9.0145768586370346E-3</c:v>
                  </c:pt>
                  <c:pt idx="12">
                    <c:v>2.1928954405482943E-2</c:v>
                  </c:pt>
                  <c:pt idx="13">
                    <c:v>1.6158997068400287E-2</c:v>
                  </c:pt>
                  <c:pt idx="14">
                    <c:v>1.70114347323388E-2</c:v>
                  </c:pt>
                  <c:pt idx="15">
                    <c:v>1.8007966423334621E-2</c:v>
                  </c:pt>
                  <c:pt idx="16">
                    <c:v>3.7372071724739733E-2</c:v>
                  </c:pt>
                  <c:pt idx="17">
                    <c:v>3.6920275036074916E-2</c:v>
                  </c:pt>
                  <c:pt idx="18">
                    <c:v>3.6300223473853477E-2</c:v>
                  </c:pt>
                </c:numCache>
              </c:numRef>
            </c:plus>
            <c:minus>
              <c:numRef>
                <c:f>'Growth curves UTEX #1926'!$R$49:$R$67</c:f>
                <c:numCache>
                  <c:formatCode>General</c:formatCode>
                  <c:ptCount val="19"/>
                  <c:pt idx="0">
                    <c:v>1.1797691988673583E-2</c:v>
                  </c:pt>
                  <c:pt idx="1">
                    <c:v>2.4778316071116625E-2</c:v>
                  </c:pt>
                  <c:pt idx="2">
                    <c:v>5.0039472099773295E-2</c:v>
                  </c:pt>
                  <c:pt idx="3">
                    <c:v>3.1962128110823829E-2</c:v>
                  </c:pt>
                  <c:pt idx="4">
                    <c:v>3.1688310781975912E-2</c:v>
                  </c:pt>
                  <c:pt idx="5">
                    <c:v>2.4541555739471352E-2</c:v>
                  </c:pt>
                  <c:pt idx="6">
                    <c:v>3.8526256548754571E-2</c:v>
                  </c:pt>
                  <c:pt idx="7">
                    <c:v>3.8176711859747317E-2</c:v>
                  </c:pt>
                  <c:pt idx="8">
                    <c:v>2.8866689259657682E-2</c:v>
                  </c:pt>
                  <c:pt idx="9">
                    <c:v>3.4527140899335423E-2</c:v>
                  </c:pt>
                  <c:pt idx="10">
                    <c:v>8.204230950447049E-3</c:v>
                  </c:pt>
                  <c:pt idx="11">
                    <c:v>9.0145768586370346E-3</c:v>
                  </c:pt>
                  <c:pt idx="12">
                    <c:v>2.1928954405482943E-2</c:v>
                  </c:pt>
                  <c:pt idx="13">
                    <c:v>1.6158997068400287E-2</c:v>
                  </c:pt>
                  <c:pt idx="14">
                    <c:v>1.70114347323388E-2</c:v>
                  </c:pt>
                  <c:pt idx="15">
                    <c:v>1.8007966423334621E-2</c:v>
                  </c:pt>
                  <c:pt idx="16">
                    <c:v>3.7372071724739733E-2</c:v>
                  </c:pt>
                  <c:pt idx="17">
                    <c:v>3.6920275036074916E-2</c:v>
                  </c:pt>
                  <c:pt idx="18">
                    <c:v>3.6300223473853477E-2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#1926'!$D$49:$D$67</c:f>
              <c:numCache>
                <c:formatCode>0</c:formatCode>
                <c:ptCount val="19"/>
                <c:pt idx="0">
                  <c:v>0</c:v>
                </c:pt>
                <c:pt idx="1">
                  <c:v>5.25</c:v>
                </c:pt>
                <c:pt idx="2">
                  <c:v>10.083333333333332</c:v>
                </c:pt>
                <c:pt idx="3">
                  <c:v>25.133333333333333</c:v>
                </c:pt>
                <c:pt idx="4">
                  <c:v>49.316666666666663</c:v>
                </c:pt>
                <c:pt idx="5">
                  <c:v>96.566666666666663</c:v>
                </c:pt>
                <c:pt idx="6">
                  <c:v>120.61666666666666</c:v>
                </c:pt>
                <c:pt idx="7">
                  <c:v>145.4</c:v>
                </c:pt>
                <c:pt idx="8">
                  <c:v>193.01666666666668</c:v>
                </c:pt>
                <c:pt idx="9">
                  <c:v>217.96666666666667</c:v>
                </c:pt>
                <c:pt idx="10">
                  <c:v>241.96666666666667</c:v>
                </c:pt>
                <c:pt idx="11">
                  <c:v>265.9666666666667</c:v>
                </c:pt>
                <c:pt idx="12">
                  <c:v>289.9666666666667</c:v>
                </c:pt>
                <c:pt idx="13">
                  <c:v>313.65000000000003</c:v>
                </c:pt>
                <c:pt idx="14">
                  <c:v>337.65000000000003</c:v>
                </c:pt>
                <c:pt idx="15">
                  <c:v>361.65000000000003</c:v>
                </c:pt>
                <c:pt idx="16">
                  <c:v>385.65000000000003</c:v>
                </c:pt>
                <c:pt idx="17">
                  <c:v>409.65000000000003</c:v>
                </c:pt>
                <c:pt idx="18">
                  <c:v>433.81666666666672</c:v>
                </c:pt>
              </c:numCache>
            </c:numRef>
          </c:xVal>
          <c:yVal>
            <c:numRef>
              <c:f>'Growth curves UTEX #1926'!$Q$49:$Q$67</c:f>
              <c:numCache>
                <c:formatCode>0.000</c:formatCode>
                <c:ptCount val="19"/>
                <c:pt idx="0">
                  <c:v>-2.0488643776177047</c:v>
                </c:pt>
                <c:pt idx="1">
                  <c:v>-1.8203488821757372</c:v>
                </c:pt>
                <c:pt idx="2">
                  <c:v>-1.6710945390363705</c:v>
                </c:pt>
                <c:pt idx="3">
                  <c:v>-1.2370158106112408</c:v>
                </c:pt>
                <c:pt idx="4">
                  <c:v>-0.82002477752335323</c:v>
                </c:pt>
                <c:pt idx="5">
                  <c:v>-0.15058000857349621</c:v>
                </c:pt>
                <c:pt idx="6">
                  <c:v>9.1943428580016959E-2</c:v>
                </c:pt>
                <c:pt idx="7">
                  <c:v>0.3105914775246465</c:v>
                </c:pt>
                <c:pt idx="8">
                  <c:v>0.74676269780024607</c:v>
                </c:pt>
                <c:pt idx="9">
                  <c:v>0.8016979627600912</c:v>
                </c:pt>
                <c:pt idx="10">
                  <c:v>0.92053509634128705</c:v>
                </c:pt>
                <c:pt idx="11">
                  <c:v>1.015527394605523</c:v>
                </c:pt>
                <c:pt idx="12">
                  <c:v>1.0707300511699893</c:v>
                </c:pt>
                <c:pt idx="13">
                  <c:v>1.1366395265133367</c:v>
                </c:pt>
                <c:pt idx="14">
                  <c:v>1.2296650938141573</c:v>
                </c:pt>
                <c:pt idx="15">
                  <c:v>1.2738027541949295</c:v>
                </c:pt>
                <c:pt idx="16">
                  <c:v>1.3231018689712448</c:v>
                </c:pt>
                <c:pt idx="17">
                  <c:v>1.3373193387231848</c:v>
                </c:pt>
                <c:pt idx="18">
                  <c:v>1.340441965800818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36-3F4D-A090-CBAEF8DF4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93611082258263E-2"/>
              <c:y val="0.151830414834373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#1926'!$M$5:$M$23</c:f>
                <c:numCache>
                  <c:formatCode>General</c:formatCode>
                  <c:ptCount val="19"/>
                  <c:pt idx="0">
                    <c:v>7.56925397762407E-3</c:v>
                  </c:pt>
                  <c:pt idx="1">
                    <c:v>3.5873423725339957E-3</c:v>
                  </c:pt>
                  <c:pt idx="2">
                    <c:v>1.8301563697612773E-3</c:v>
                  </c:pt>
                  <c:pt idx="3">
                    <c:v>8.8172000000000077E-3</c:v>
                  </c:pt>
                  <c:pt idx="4">
                    <c:v>1.3096879067082269E-2</c:v>
                  </c:pt>
                  <c:pt idx="5">
                    <c:v>2.5048134766307642E-2</c:v>
                  </c:pt>
                  <c:pt idx="6">
                    <c:v>6.6651767028339283E-3</c:v>
                  </c:pt>
                  <c:pt idx="7">
                    <c:v>1.5805066314037133E-2</c:v>
                  </c:pt>
                  <c:pt idx="8">
                    <c:v>4.0420753936121073E-2</c:v>
                  </c:pt>
                  <c:pt idx="9">
                    <c:v>5.0933824415782578E-2</c:v>
                  </c:pt>
                  <c:pt idx="10">
                    <c:v>5.613037906271845E-2</c:v>
                  </c:pt>
                  <c:pt idx="11">
                    <c:v>4.2925078471836693E-2</c:v>
                  </c:pt>
                  <c:pt idx="12">
                    <c:v>7.1668177638149241E-2</c:v>
                  </c:pt>
                  <c:pt idx="13">
                    <c:v>5.2144667859757771E-2</c:v>
                  </c:pt>
                  <c:pt idx="14">
                    <c:v>3.4459774923105806E-2</c:v>
                  </c:pt>
                  <c:pt idx="15">
                    <c:v>8.9863237858227779E-2</c:v>
                  </c:pt>
                  <c:pt idx="16">
                    <c:v>0.16711326286170258</c:v>
                  </c:pt>
                  <c:pt idx="17">
                    <c:v>0.15266527520809853</c:v>
                  </c:pt>
                  <c:pt idx="18">
                    <c:v>0.16285631611525275</c:v>
                  </c:pt>
                </c:numCache>
              </c:numRef>
            </c:plus>
            <c:minus>
              <c:numRef>
                <c:f>'Growth curves UTEX #1926'!$M$5:$M$23</c:f>
                <c:numCache>
                  <c:formatCode>General</c:formatCode>
                  <c:ptCount val="19"/>
                  <c:pt idx="0">
                    <c:v>7.56925397762407E-3</c:v>
                  </c:pt>
                  <c:pt idx="1">
                    <c:v>3.5873423725339957E-3</c:v>
                  </c:pt>
                  <c:pt idx="2">
                    <c:v>1.8301563697612773E-3</c:v>
                  </c:pt>
                  <c:pt idx="3">
                    <c:v>8.8172000000000077E-3</c:v>
                  </c:pt>
                  <c:pt idx="4">
                    <c:v>1.3096879067082269E-2</c:v>
                  </c:pt>
                  <c:pt idx="5">
                    <c:v>2.5048134766307642E-2</c:v>
                  </c:pt>
                  <c:pt idx="6">
                    <c:v>6.6651767028339283E-3</c:v>
                  </c:pt>
                  <c:pt idx="7">
                    <c:v>1.5805066314037133E-2</c:v>
                  </c:pt>
                  <c:pt idx="8">
                    <c:v>4.0420753936121073E-2</c:v>
                  </c:pt>
                  <c:pt idx="9">
                    <c:v>5.0933824415782578E-2</c:v>
                  </c:pt>
                  <c:pt idx="10">
                    <c:v>5.613037906271845E-2</c:v>
                  </c:pt>
                  <c:pt idx="11">
                    <c:v>4.2925078471836693E-2</c:v>
                  </c:pt>
                  <c:pt idx="12">
                    <c:v>7.1668177638149241E-2</c:v>
                  </c:pt>
                  <c:pt idx="13">
                    <c:v>5.2144667859757771E-2</c:v>
                  </c:pt>
                  <c:pt idx="14">
                    <c:v>3.4459774923105806E-2</c:v>
                  </c:pt>
                  <c:pt idx="15">
                    <c:v>8.9863237858227779E-2</c:v>
                  </c:pt>
                  <c:pt idx="16">
                    <c:v>0.16711326286170258</c:v>
                  </c:pt>
                  <c:pt idx="17">
                    <c:v>0.15266527520809853</c:v>
                  </c:pt>
                  <c:pt idx="18">
                    <c:v>0.16285631611525275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#1926'!$D$5:$D$23</c:f>
              <c:numCache>
                <c:formatCode>0</c:formatCode>
                <c:ptCount val="19"/>
                <c:pt idx="0">
                  <c:v>0</c:v>
                </c:pt>
                <c:pt idx="1">
                  <c:v>3.4</c:v>
                </c:pt>
                <c:pt idx="2">
                  <c:v>8.2666666666666675</c:v>
                </c:pt>
                <c:pt idx="3">
                  <c:v>23.016666666666666</c:v>
                </c:pt>
                <c:pt idx="4">
                  <c:v>47.616666666666667</c:v>
                </c:pt>
                <c:pt idx="5">
                  <c:v>94.833333333333343</c:v>
                </c:pt>
                <c:pt idx="6">
                  <c:v>118.85000000000001</c:v>
                </c:pt>
                <c:pt idx="7">
                  <c:v>143.81666666666666</c:v>
                </c:pt>
                <c:pt idx="8">
                  <c:v>191.35</c:v>
                </c:pt>
                <c:pt idx="9">
                  <c:v>216.28333333333333</c:v>
                </c:pt>
                <c:pt idx="10">
                  <c:v>240.18333333333334</c:v>
                </c:pt>
                <c:pt idx="11">
                  <c:v>264.18333333333334</c:v>
                </c:pt>
                <c:pt idx="12">
                  <c:v>288.18333333333334</c:v>
                </c:pt>
                <c:pt idx="13">
                  <c:v>312.08333333333331</c:v>
                </c:pt>
                <c:pt idx="14">
                  <c:v>336.08333333333331</c:v>
                </c:pt>
                <c:pt idx="15">
                  <c:v>360.08333333333331</c:v>
                </c:pt>
                <c:pt idx="16">
                  <c:v>384.08333333333331</c:v>
                </c:pt>
                <c:pt idx="17">
                  <c:v>408.08333333333331</c:v>
                </c:pt>
                <c:pt idx="18">
                  <c:v>432.25</c:v>
                </c:pt>
              </c:numCache>
            </c:numRef>
          </c:xVal>
          <c:yVal>
            <c:numRef>
              <c:f>'Growth curves UTEX #1926'!$L$5:$L$23</c:f>
              <c:numCache>
                <c:formatCode>0.000</c:formatCode>
                <c:ptCount val="19"/>
                <c:pt idx="0">
                  <c:v>0.13015866666666667</c:v>
                </c:pt>
                <c:pt idx="1">
                  <c:v>0.16164866666666666</c:v>
                </c:pt>
                <c:pt idx="2">
                  <c:v>0.18096253333333334</c:v>
                </c:pt>
                <c:pt idx="3">
                  <c:v>0.19775719999999999</c:v>
                </c:pt>
                <c:pt idx="4">
                  <c:v>0.3014642666666667</c:v>
                </c:pt>
                <c:pt idx="5">
                  <c:v>0.73014813333333339</c:v>
                </c:pt>
                <c:pt idx="6">
                  <c:v>0.98248800000000003</c:v>
                </c:pt>
                <c:pt idx="7">
                  <c:v>1.2562410666666668</c:v>
                </c:pt>
                <c:pt idx="8">
                  <c:v>1.7676386666666666</c:v>
                </c:pt>
                <c:pt idx="9">
                  <c:v>2.0187189333333335</c:v>
                </c:pt>
                <c:pt idx="10">
                  <c:v>2.2681197333333336</c:v>
                </c:pt>
                <c:pt idx="11">
                  <c:v>2.4814120000000002</c:v>
                </c:pt>
                <c:pt idx="12">
                  <c:v>2.8215039999999996</c:v>
                </c:pt>
                <c:pt idx="13">
                  <c:v>3.036475733333333</c:v>
                </c:pt>
                <c:pt idx="14">
                  <c:v>3.2262554666666667</c:v>
                </c:pt>
                <c:pt idx="15">
                  <c:v>3.4630602666666674</c:v>
                </c:pt>
                <c:pt idx="16">
                  <c:v>3.6914677333333334</c:v>
                </c:pt>
                <c:pt idx="17">
                  <c:v>3.7569669333333331</c:v>
                </c:pt>
                <c:pt idx="18">
                  <c:v>3.7267365333333333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F9-D748-8915-56DF65E4DDB5}"/>
            </c:ext>
          </c:extLst>
        </c:ser>
        <c:ser>
          <c:idx val="1"/>
          <c:order val="1"/>
          <c:tx>
            <c:strRef>
              <c:f>'Growth curves UTEX #1926'!$B$24:$AB$24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#1926'!$T$27:$T$45</c:f>
                <c:numCache>
                  <c:formatCode>General</c:formatCode>
                  <c:ptCount val="19"/>
                  <c:pt idx="1">
                    <c:v>3.8792176404635073E-2</c:v>
                  </c:pt>
                  <c:pt idx="2">
                    <c:v>2.3508976269399476E-2</c:v>
                  </c:pt>
                  <c:pt idx="3">
                    <c:v>1.6974754137918754E-2</c:v>
                  </c:pt>
                  <c:pt idx="4">
                    <c:v>2.7092758035920046E-2</c:v>
                  </c:pt>
                  <c:pt idx="5">
                    <c:v>1.3786617411562606E-2</c:v>
                  </c:pt>
                  <c:pt idx="6">
                    <c:v>1.1206215046658441E-2</c:v>
                  </c:pt>
                  <c:pt idx="7">
                    <c:v>7.1725858609131658E-3</c:v>
                  </c:pt>
                  <c:pt idx="8">
                    <c:v>5.4806588151456786E-3</c:v>
                  </c:pt>
                  <c:pt idx="9">
                    <c:v>9.7799612901712067E-3</c:v>
                  </c:pt>
                  <c:pt idx="10">
                    <c:v>1.1743003023830529E-3</c:v>
                  </c:pt>
                  <c:pt idx="11">
                    <c:v>2.3177962569151372E-3</c:v>
                  </c:pt>
                  <c:pt idx="12">
                    <c:v>5.1758181414550868E-3</c:v>
                  </c:pt>
                  <c:pt idx="13">
                    <c:v>1.1741426365299383E-3</c:v>
                  </c:pt>
                  <c:pt idx="14">
                    <c:v>5.5010097222479752E-3</c:v>
                  </c:pt>
                  <c:pt idx="15">
                    <c:v>1.9640356407887305E-3</c:v>
                  </c:pt>
                  <c:pt idx="16">
                    <c:v>1.7608253870784463E-3</c:v>
                  </c:pt>
                  <c:pt idx="17">
                    <c:v>5.7078518159007585E-4</c:v>
                  </c:pt>
                  <c:pt idx="18">
                    <c:v>0</c:v>
                  </c:pt>
                </c:numCache>
              </c:numRef>
            </c:plus>
            <c:minus>
              <c:numRef>
                <c:f>'Growth curves UTEX #1926'!$T$27:$T$45</c:f>
                <c:numCache>
                  <c:formatCode>General</c:formatCode>
                  <c:ptCount val="19"/>
                  <c:pt idx="1">
                    <c:v>3.8792176404635073E-2</c:v>
                  </c:pt>
                  <c:pt idx="2">
                    <c:v>2.3508976269399476E-2</c:v>
                  </c:pt>
                  <c:pt idx="3">
                    <c:v>1.6974754137918754E-2</c:v>
                  </c:pt>
                  <c:pt idx="4">
                    <c:v>2.7092758035920046E-2</c:v>
                  </c:pt>
                  <c:pt idx="5">
                    <c:v>1.3786617411562606E-2</c:v>
                  </c:pt>
                  <c:pt idx="6">
                    <c:v>1.1206215046658441E-2</c:v>
                  </c:pt>
                  <c:pt idx="7">
                    <c:v>7.1725858609131658E-3</c:v>
                  </c:pt>
                  <c:pt idx="8">
                    <c:v>5.4806588151456786E-3</c:v>
                  </c:pt>
                  <c:pt idx="9">
                    <c:v>9.7799612901712067E-3</c:v>
                  </c:pt>
                  <c:pt idx="10">
                    <c:v>1.1743003023830529E-3</c:v>
                  </c:pt>
                  <c:pt idx="11">
                    <c:v>2.3177962569151372E-3</c:v>
                  </c:pt>
                  <c:pt idx="12">
                    <c:v>5.1758181414550868E-3</c:v>
                  </c:pt>
                  <c:pt idx="13">
                    <c:v>1.1741426365299383E-3</c:v>
                  </c:pt>
                  <c:pt idx="14">
                    <c:v>5.5010097222479752E-3</c:v>
                  </c:pt>
                  <c:pt idx="15">
                    <c:v>1.9640356407887305E-3</c:v>
                  </c:pt>
                  <c:pt idx="16">
                    <c:v>1.7608253870784463E-3</c:v>
                  </c:pt>
                  <c:pt idx="17">
                    <c:v>5.7078518159007585E-4</c:v>
                  </c:pt>
                  <c:pt idx="1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#1926'!$D$27:$D$45</c:f>
              <c:numCache>
                <c:formatCode>0</c:formatCode>
                <c:ptCount val="19"/>
                <c:pt idx="0">
                  <c:v>0</c:v>
                </c:pt>
                <c:pt idx="1">
                  <c:v>4.4666666666666668</c:v>
                </c:pt>
                <c:pt idx="2">
                  <c:v>9.3333333333333339</c:v>
                </c:pt>
                <c:pt idx="3">
                  <c:v>24.05</c:v>
                </c:pt>
                <c:pt idx="4">
                  <c:v>48.55</c:v>
                </c:pt>
                <c:pt idx="5">
                  <c:v>95.816666666666663</c:v>
                </c:pt>
                <c:pt idx="6">
                  <c:v>119.86666666666666</c:v>
                </c:pt>
                <c:pt idx="7">
                  <c:v>144.73333333333332</c:v>
                </c:pt>
                <c:pt idx="8">
                  <c:v>192.29999999999998</c:v>
                </c:pt>
                <c:pt idx="9">
                  <c:v>217.2833333333333</c:v>
                </c:pt>
                <c:pt idx="10">
                  <c:v>241.06666666666663</c:v>
                </c:pt>
                <c:pt idx="11">
                  <c:v>265.06666666666661</c:v>
                </c:pt>
                <c:pt idx="12">
                  <c:v>289.06666666666661</c:v>
                </c:pt>
                <c:pt idx="13">
                  <c:v>312.84999999999997</c:v>
                </c:pt>
                <c:pt idx="14">
                  <c:v>336.84999999999997</c:v>
                </c:pt>
                <c:pt idx="15">
                  <c:v>360.84999999999997</c:v>
                </c:pt>
                <c:pt idx="16">
                  <c:v>384.84999999999997</c:v>
                </c:pt>
                <c:pt idx="17">
                  <c:v>408.84999999999997</c:v>
                </c:pt>
                <c:pt idx="18">
                  <c:v>433.01666666666665</c:v>
                </c:pt>
              </c:numCache>
            </c:numRef>
          </c:xVal>
          <c:yVal>
            <c:numRef>
              <c:f>'Growth curves UTEX #1926'!$L$27:$L$45</c:f>
              <c:numCache>
                <c:formatCode>0.000</c:formatCode>
                <c:ptCount val="19"/>
                <c:pt idx="0">
                  <c:v>0.12763946666666667</c:v>
                </c:pt>
                <c:pt idx="1">
                  <c:v>0.18180226666666666</c:v>
                </c:pt>
                <c:pt idx="2">
                  <c:v>0.19565786666666665</c:v>
                </c:pt>
                <c:pt idx="3">
                  <c:v>0.25989746666666669</c:v>
                </c:pt>
                <c:pt idx="4">
                  <c:v>0.50677906666666672</c:v>
                </c:pt>
                <c:pt idx="5">
                  <c:v>0.91446959999999999</c:v>
                </c:pt>
                <c:pt idx="6">
                  <c:v>1.2234914666666665</c:v>
                </c:pt>
                <c:pt idx="7">
                  <c:v>1.5064816000000001</c:v>
                </c:pt>
                <c:pt idx="8">
                  <c:v>1.9565786666666665</c:v>
                </c:pt>
                <c:pt idx="9">
                  <c:v>2.3428559999999998</c:v>
                </c:pt>
                <c:pt idx="10">
                  <c:v>2.4587392000000001</c:v>
                </c:pt>
                <c:pt idx="11">
                  <c:v>2.6619546666666669</c:v>
                </c:pt>
                <c:pt idx="12">
                  <c:v>2.855093333333333</c:v>
                </c:pt>
                <c:pt idx="13">
                  <c:v>3.034796266666667</c:v>
                </c:pt>
                <c:pt idx="14">
                  <c:v>3.3757280000000005</c:v>
                </c:pt>
                <c:pt idx="15">
                  <c:v>3.5856613333333329</c:v>
                </c:pt>
                <c:pt idx="16">
                  <c:v>3.8728501333333334</c:v>
                </c:pt>
                <c:pt idx="17">
                  <c:v>3.9215546666666672</c:v>
                </c:pt>
                <c:pt idx="18">
                  <c:v>3.9820154666666667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F9-D748-8915-56DF65E4DDB5}"/>
            </c:ext>
          </c:extLst>
        </c:ser>
        <c:ser>
          <c:idx val="2"/>
          <c:order val="2"/>
          <c:tx>
            <c:strRef>
              <c:f>'Growth curves UTEX #1926'!$B$46:$AB$46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#1926'!$M$49:$M$67</c:f>
                <c:numCache>
                  <c:formatCode>General</c:formatCode>
                  <c:ptCount val="19"/>
                  <c:pt idx="0">
                    <c:v>1.5138507955248042E-3</c:v>
                  </c:pt>
                  <c:pt idx="1">
                    <c:v>4.0052727270159559E-3</c:v>
                  </c:pt>
                  <c:pt idx="2">
                    <c:v>9.6569333333333413E-3</c:v>
                  </c:pt>
                  <c:pt idx="3">
                    <c:v>9.3791108784954096E-3</c:v>
                  </c:pt>
                  <c:pt idx="4">
                    <c:v>1.3817377582353805E-2</c:v>
                  </c:pt>
                  <c:pt idx="5">
                    <c:v>2.109386064406206E-2</c:v>
                  </c:pt>
                  <c:pt idx="6">
                    <c:v>4.3074718653882224E-2</c:v>
                  </c:pt>
                  <c:pt idx="7">
                    <c:v>5.3114377982781451E-2</c:v>
                  </c:pt>
                  <c:pt idx="8">
                    <c:v>6.1610336785243393E-2</c:v>
                  </c:pt>
                  <c:pt idx="9">
                    <c:v>7.8311605541281901E-2</c:v>
                  </c:pt>
                  <c:pt idx="10">
                    <c:v>2.0637631912385525E-2</c:v>
                  </c:pt>
                  <c:pt idx="11">
                    <c:v>2.4853837013494195E-2</c:v>
                  </c:pt>
                  <c:pt idx="12">
                    <c:v>6.4084363632255184E-2</c:v>
                  </c:pt>
                  <c:pt idx="13">
                    <c:v>5.0159571267350864E-2</c:v>
                  </c:pt>
                  <c:pt idx="14">
                    <c:v>5.8178431925700193E-2</c:v>
                  </c:pt>
                  <c:pt idx="15">
                    <c:v>6.4871777842071807E-2</c:v>
                  </c:pt>
                  <c:pt idx="16">
                    <c:v>0.14159408068782797</c:v>
                  </c:pt>
                  <c:pt idx="17">
                    <c:v>0.14298170808062599</c:v>
                  </c:pt>
                  <c:pt idx="18">
                    <c:v>0.14114516043078154</c:v>
                  </c:pt>
                </c:numCache>
              </c:numRef>
            </c:plus>
            <c:minus>
              <c:numRef>
                <c:f>'Growth curves UTEX #1926'!$M$49:$M$67</c:f>
                <c:numCache>
                  <c:formatCode>General</c:formatCode>
                  <c:ptCount val="19"/>
                  <c:pt idx="0">
                    <c:v>1.5138507955248042E-3</c:v>
                  </c:pt>
                  <c:pt idx="1">
                    <c:v>4.0052727270159559E-3</c:v>
                  </c:pt>
                  <c:pt idx="2">
                    <c:v>9.6569333333333413E-3</c:v>
                  </c:pt>
                  <c:pt idx="3">
                    <c:v>9.3791108784954096E-3</c:v>
                  </c:pt>
                  <c:pt idx="4">
                    <c:v>1.3817377582353805E-2</c:v>
                  </c:pt>
                  <c:pt idx="5">
                    <c:v>2.109386064406206E-2</c:v>
                  </c:pt>
                  <c:pt idx="6">
                    <c:v>4.3074718653882224E-2</c:v>
                  </c:pt>
                  <c:pt idx="7">
                    <c:v>5.3114377982781451E-2</c:v>
                  </c:pt>
                  <c:pt idx="8">
                    <c:v>6.1610336785243393E-2</c:v>
                  </c:pt>
                  <c:pt idx="9">
                    <c:v>7.8311605541281901E-2</c:v>
                  </c:pt>
                  <c:pt idx="10">
                    <c:v>2.0637631912385525E-2</c:v>
                  </c:pt>
                  <c:pt idx="11">
                    <c:v>2.4853837013494195E-2</c:v>
                  </c:pt>
                  <c:pt idx="12">
                    <c:v>6.4084363632255184E-2</c:v>
                  </c:pt>
                  <c:pt idx="13">
                    <c:v>5.0159571267350864E-2</c:v>
                  </c:pt>
                  <c:pt idx="14">
                    <c:v>5.8178431925700193E-2</c:v>
                  </c:pt>
                  <c:pt idx="15">
                    <c:v>6.4871777842071807E-2</c:v>
                  </c:pt>
                  <c:pt idx="16">
                    <c:v>0.14159408068782797</c:v>
                  </c:pt>
                  <c:pt idx="17">
                    <c:v>0.14298170808062599</c:v>
                  </c:pt>
                  <c:pt idx="18">
                    <c:v>0.14114516043078154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#1926'!$D$49:$D$67</c:f>
              <c:numCache>
                <c:formatCode>0</c:formatCode>
                <c:ptCount val="19"/>
                <c:pt idx="0">
                  <c:v>0</c:v>
                </c:pt>
                <c:pt idx="1">
                  <c:v>5.25</c:v>
                </c:pt>
                <c:pt idx="2">
                  <c:v>10.083333333333332</c:v>
                </c:pt>
                <c:pt idx="3">
                  <c:v>25.133333333333333</c:v>
                </c:pt>
                <c:pt idx="4">
                  <c:v>49.316666666666663</c:v>
                </c:pt>
                <c:pt idx="5">
                  <c:v>96.566666666666663</c:v>
                </c:pt>
                <c:pt idx="6">
                  <c:v>120.61666666666666</c:v>
                </c:pt>
                <c:pt idx="7">
                  <c:v>145.4</c:v>
                </c:pt>
                <c:pt idx="8">
                  <c:v>193.01666666666668</c:v>
                </c:pt>
                <c:pt idx="9">
                  <c:v>217.96666666666667</c:v>
                </c:pt>
                <c:pt idx="10">
                  <c:v>241.96666666666667</c:v>
                </c:pt>
                <c:pt idx="11">
                  <c:v>265.9666666666667</c:v>
                </c:pt>
                <c:pt idx="12">
                  <c:v>289.9666666666667</c:v>
                </c:pt>
                <c:pt idx="13">
                  <c:v>313.65000000000003</c:v>
                </c:pt>
                <c:pt idx="14">
                  <c:v>337.65000000000003</c:v>
                </c:pt>
                <c:pt idx="15">
                  <c:v>361.65000000000003</c:v>
                </c:pt>
                <c:pt idx="16">
                  <c:v>385.65000000000003</c:v>
                </c:pt>
                <c:pt idx="17">
                  <c:v>409.65000000000003</c:v>
                </c:pt>
                <c:pt idx="18">
                  <c:v>433.81666666666672</c:v>
                </c:pt>
              </c:numCache>
            </c:numRef>
          </c:xVal>
          <c:yVal>
            <c:numRef>
              <c:f>'Growth curves UTEX #1926'!$L$49:$L$67</c:f>
              <c:numCache>
                <c:formatCode>0.000</c:formatCode>
                <c:ptCount val="19"/>
                <c:pt idx="0">
                  <c:v>0.12889906666666667</c:v>
                </c:pt>
                <c:pt idx="1">
                  <c:v>0.16206853333333335</c:v>
                </c:pt>
                <c:pt idx="2">
                  <c:v>0.18852013333333337</c:v>
                </c:pt>
                <c:pt idx="3">
                  <c:v>0.29054773333333334</c:v>
                </c:pt>
                <c:pt idx="4">
                  <c:v>0.44085999999999997</c:v>
                </c:pt>
                <c:pt idx="5">
                  <c:v>0.86072666666666675</c:v>
                </c:pt>
                <c:pt idx="6">
                  <c:v>1.0979513333333333</c:v>
                </c:pt>
                <c:pt idx="7">
                  <c:v>1.3662461333333333</c:v>
                </c:pt>
                <c:pt idx="8">
                  <c:v>2.1119293333333333</c:v>
                </c:pt>
                <c:pt idx="9">
                  <c:v>2.2320112000000001</c:v>
                </c:pt>
                <c:pt idx="10">
                  <c:v>2.5108026666666672</c:v>
                </c:pt>
                <c:pt idx="11">
                  <c:v>2.7610432</c:v>
                </c:pt>
                <c:pt idx="12">
                  <c:v>2.9189130666666667</c:v>
                </c:pt>
                <c:pt idx="13">
                  <c:v>3.1170901333333334</c:v>
                </c:pt>
                <c:pt idx="14">
                  <c:v>3.4210736000000002</c:v>
                </c:pt>
                <c:pt idx="15">
                  <c:v>3.5755845333333336</c:v>
                </c:pt>
                <c:pt idx="16">
                  <c:v>3.7603258666666672</c:v>
                </c:pt>
                <c:pt idx="17">
                  <c:v>3.8140687999999998</c:v>
                </c:pt>
                <c:pt idx="18">
                  <c:v>3.8258250666666664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F9-D748-8915-56DF65E4D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CeBER'!$AF$5:$AF$22</c:f>
                <c:numCache>
                  <c:formatCode>General</c:formatCode>
                  <c:ptCount val="18"/>
                  <c:pt idx="0">
                    <c:v>1.7794193814270156</c:v>
                  </c:pt>
                  <c:pt idx="1">
                    <c:v>2.3608858746901622</c:v>
                  </c:pt>
                  <c:pt idx="2">
                    <c:v>3.3912662358056846</c:v>
                  </c:pt>
                  <c:pt idx="3">
                    <c:v>0.27279088894574538</c:v>
                  </c:pt>
                  <c:pt idx="4">
                    <c:v>0.67299164434664083</c:v>
                  </c:pt>
                  <c:pt idx="5">
                    <c:v>5.805122827976807</c:v>
                  </c:pt>
                  <c:pt idx="6">
                    <c:v>10.417619752756714</c:v>
                  </c:pt>
                  <c:pt idx="7">
                    <c:v>1.1168300475684985</c:v>
                  </c:pt>
                  <c:pt idx="8">
                    <c:v>6.5579076688958233</c:v>
                  </c:pt>
                  <c:pt idx="9">
                    <c:v>10.75099838527583</c:v>
                  </c:pt>
                  <c:pt idx="10">
                    <c:v>4.7460893422753854</c:v>
                  </c:pt>
                  <c:pt idx="11">
                    <c:v>4.5397687937179061</c:v>
                  </c:pt>
                  <c:pt idx="12">
                    <c:v>1.6605797703528733</c:v>
                  </c:pt>
                  <c:pt idx="13">
                    <c:v>3.5176053748476233</c:v>
                  </c:pt>
                </c:numCache>
              </c:numRef>
            </c:plus>
            <c:minus>
              <c:numRef>
                <c:f>'C-phycocyanin CeBER'!$AF$5:$AF$22</c:f>
                <c:numCache>
                  <c:formatCode>General</c:formatCode>
                  <c:ptCount val="18"/>
                  <c:pt idx="0">
                    <c:v>1.7794193814270156</c:v>
                  </c:pt>
                  <c:pt idx="1">
                    <c:v>2.3608858746901622</c:v>
                  </c:pt>
                  <c:pt idx="2">
                    <c:v>3.3912662358056846</c:v>
                  </c:pt>
                  <c:pt idx="3">
                    <c:v>0.27279088894574538</c:v>
                  </c:pt>
                  <c:pt idx="4">
                    <c:v>0.67299164434664083</c:v>
                  </c:pt>
                  <c:pt idx="5">
                    <c:v>5.805122827976807</c:v>
                  </c:pt>
                  <c:pt idx="6">
                    <c:v>10.417619752756714</c:v>
                  </c:pt>
                  <c:pt idx="7">
                    <c:v>1.1168300475684985</c:v>
                  </c:pt>
                  <c:pt idx="8">
                    <c:v>6.5579076688958233</c:v>
                  </c:pt>
                  <c:pt idx="9">
                    <c:v>10.75099838527583</c:v>
                  </c:pt>
                  <c:pt idx="10">
                    <c:v>4.7460893422753854</c:v>
                  </c:pt>
                  <c:pt idx="11">
                    <c:v>4.5397687937179061</c:v>
                  </c:pt>
                  <c:pt idx="12">
                    <c:v>1.6605797703528733</c:v>
                  </c:pt>
                  <c:pt idx="13">
                    <c:v>3.5176053748476233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CeBER'!$AD$5:$AD$22</c:f>
              <c:numCache>
                <c:formatCode>0</c:formatCode>
                <c:ptCount val="18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CeBER'!$AE$5:$AE$22</c:f>
              <c:numCache>
                <c:formatCode>0.00</c:formatCode>
                <c:ptCount val="18"/>
                <c:pt idx="0">
                  <c:v>27.002338913901081</c:v>
                </c:pt>
                <c:pt idx="1">
                  <c:v>28.103251648738141</c:v>
                </c:pt>
                <c:pt idx="2">
                  <c:v>32.72584404002189</c:v>
                </c:pt>
                <c:pt idx="3">
                  <c:v>33.504249006691488</c:v>
                </c:pt>
                <c:pt idx="4">
                  <c:v>44.581292492005446</c:v>
                </c:pt>
                <c:pt idx="5">
                  <c:v>41.279532491973576</c:v>
                </c:pt>
                <c:pt idx="6">
                  <c:v>47.727512437453832</c:v>
                </c:pt>
                <c:pt idx="7">
                  <c:v>36.839127316938495</c:v>
                </c:pt>
                <c:pt idx="8">
                  <c:v>57.611946410054067</c:v>
                </c:pt>
                <c:pt idx="9">
                  <c:v>51.858920057621425</c:v>
                </c:pt>
                <c:pt idx="10">
                  <c:v>44.661674077402751</c:v>
                </c:pt>
                <c:pt idx="11">
                  <c:v>46.860442785168175</c:v>
                </c:pt>
                <c:pt idx="12">
                  <c:v>51.047603167388047</c:v>
                </c:pt>
                <c:pt idx="13">
                  <c:v>48.744017274964115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44-C848-9FEB-3F6B681B9DFA}"/>
            </c:ext>
          </c:extLst>
        </c:ser>
        <c:ser>
          <c:idx val="1"/>
          <c:order val="1"/>
          <c:tx>
            <c:strRef>
              <c:f>'C-phycocyanin CeBER'!$B$47:$AB$47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CeBER'!$AF$49:$AF$65</c:f>
                <c:numCache>
                  <c:formatCode>General</c:formatCode>
                  <c:ptCount val="17"/>
                  <c:pt idx="0">
                    <c:v>1.0557897512106924</c:v>
                  </c:pt>
                  <c:pt idx="1">
                    <c:v>1.9228410830644018</c:v>
                  </c:pt>
                  <c:pt idx="2">
                    <c:v>2.4416931353359042</c:v>
                  </c:pt>
                  <c:pt idx="3">
                    <c:v>10.695257860719474</c:v>
                  </c:pt>
                  <c:pt idx="4">
                    <c:v>5.1678226665333025</c:v>
                  </c:pt>
                  <c:pt idx="5">
                    <c:v>6.8958446136979257</c:v>
                  </c:pt>
                  <c:pt idx="6">
                    <c:v>1.1295258419896488</c:v>
                  </c:pt>
                  <c:pt idx="7">
                    <c:v>1.7884877103181731</c:v>
                  </c:pt>
                  <c:pt idx="8">
                    <c:v>2.4394472788188888</c:v>
                  </c:pt>
                  <c:pt idx="9">
                    <c:v>1.2051112526818624</c:v>
                  </c:pt>
                  <c:pt idx="10">
                    <c:v>2.911478304052832</c:v>
                  </c:pt>
                  <c:pt idx="11">
                    <c:v>0.54525044876056339</c:v>
                  </c:pt>
                  <c:pt idx="12">
                    <c:v>1.1480940435926448</c:v>
                  </c:pt>
                  <c:pt idx="13">
                    <c:v>2.2787448454906198</c:v>
                  </c:pt>
                </c:numCache>
              </c:numRef>
            </c:plus>
            <c:minus>
              <c:numRef>
                <c:f>'C-phycocyanin CeBER'!$AF$49:$AF$65</c:f>
                <c:numCache>
                  <c:formatCode>General</c:formatCode>
                  <c:ptCount val="17"/>
                  <c:pt idx="0">
                    <c:v>1.0557897512106924</c:v>
                  </c:pt>
                  <c:pt idx="1">
                    <c:v>1.9228410830644018</c:v>
                  </c:pt>
                  <c:pt idx="2">
                    <c:v>2.4416931353359042</c:v>
                  </c:pt>
                  <c:pt idx="3">
                    <c:v>10.695257860719474</c:v>
                  </c:pt>
                  <c:pt idx="4">
                    <c:v>5.1678226665333025</c:v>
                  </c:pt>
                  <c:pt idx="5">
                    <c:v>6.8958446136979257</c:v>
                  </c:pt>
                  <c:pt idx="6">
                    <c:v>1.1295258419896488</c:v>
                  </c:pt>
                  <c:pt idx="7">
                    <c:v>1.7884877103181731</c:v>
                  </c:pt>
                  <c:pt idx="8">
                    <c:v>2.4394472788188888</c:v>
                  </c:pt>
                  <c:pt idx="9">
                    <c:v>1.2051112526818624</c:v>
                  </c:pt>
                  <c:pt idx="10">
                    <c:v>2.911478304052832</c:v>
                  </c:pt>
                  <c:pt idx="11">
                    <c:v>0.54525044876056339</c:v>
                  </c:pt>
                  <c:pt idx="12">
                    <c:v>1.1480940435926448</c:v>
                  </c:pt>
                  <c:pt idx="13">
                    <c:v>2.2787448454906198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CeBER'!$AD$49:$AD$65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CeBER'!$AE$49:$AE$65</c:f>
              <c:numCache>
                <c:formatCode>0.00</c:formatCode>
                <c:ptCount val="17"/>
                <c:pt idx="0">
                  <c:v>24.599267732136301</c:v>
                </c:pt>
                <c:pt idx="1">
                  <c:v>38.267700120630103</c:v>
                </c:pt>
                <c:pt idx="2">
                  <c:v>33.906319219158654</c:v>
                </c:pt>
                <c:pt idx="3">
                  <c:v>40.923899702764828</c:v>
                </c:pt>
                <c:pt idx="4">
                  <c:v>66.019578083441658</c:v>
                </c:pt>
                <c:pt idx="5">
                  <c:v>70.674350000000004</c:v>
                </c:pt>
                <c:pt idx="6">
                  <c:v>65.876450000000006</c:v>
                </c:pt>
                <c:pt idx="7">
                  <c:v>74.976740000000007</c:v>
                </c:pt>
                <c:pt idx="8">
                  <c:v>81.373105770724621</c:v>
                </c:pt>
                <c:pt idx="9">
                  <c:v>73.78546</c:v>
                </c:pt>
                <c:pt idx="10">
                  <c:v>69.756349999999998</c:v>
                </c:pt>
                <c:pt idx="11">
                  <c:v>66.986649999999997</c:v>
                </c:pt>
                <c:pt idx="12">
                  <c:v>67.787858</c:v>
                </c:pt>
                <c:pt idx="13">
                  <c:v>57.303737867560869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E44-C848-9FEB-3F6B681B9DFA}"/>
            </c:ext>
          </c:extLst>
        </c:ser>
        <c:ser>
          <c:idx val="2"/>
          <c:order val="2"/>
          <c:tx>
            <c:strRef>
              <c:f>'C-phycocyanin CeBER'!$B$92:$AB$92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CeBER'!$AF$94:$AF$110</c:f>
                <c:numCache>
                  <c:formatCode>General</c:formatCode>
                  <c:ptCount val="17"/>
                  <c:pt idx="0">
                    <c:v>1.0085976202878575</c:v>
                  </c:pt>
                  <c:pt idx="1">
                    <c:v>0.39055552584573217</c:v>
                  </c:pt>
                  <c:pt idx="2">
                    <c:v>2.8376388751576562</c:v>
                  </c:pt>
                  <c:pt idx="3">
                    <c:v>13.289429898662245</c:v>
                  </c:pt>
                  <c:pt idx="4">
                    <c:v>4.6686315712112494</c:v>
                  </c:pt>
                  <c:pt idx="5">
                    <c:v>4.8822910008452567</c:v>
                  </c:pt>
                  <c:pt idx="6">
                    <c:v>1.5137943809936367</c:v>
                  </c:pt>
                  <c:pt idx="7">
                    <c:v>1.4164271257057817</c:v>
                  </c:pt>
                  <c:pt idx="8">
                    <c:v>3.8119478493206183</c:v>
                  </c:pt>
                  <c:pt idx="9">
                    <c:v>2.0142388449098201</c:v>
                  </c:pt>
                  <c:pt idx="10">
                    <c:v>8.0433576938829852</c:v>
                  </c:pt>
                  <c:pt idx="11">
                    <c:v>2.433607294251229</c:v>
                  </c:pt>
                  <c:pt idx="12">
                    <c:v>4.3029296334367295</c:v>
                  </c:pt>
                  <c:pt idx="13">
                    <c:v>5.278322863624819</c:v>
                  </c:pt>
                </c:numCache>
              </c:numRef>
            </c:plus>
            <c:minus>
              <c:numRef>
                <c:f>'C-phycocyanin CeBER'!$AF$94:$AF$110</c:f>
                <c:numCache>
                  <c:formatCode>General</c:formatCode>
                  <c:ptCount val="17"/>
                  <c:pt idx="0">
                    <c:v>1.0085976202878575</c:v>
                  </c:pt>
                  <c:pt idx="1">
                    <c:v>0.39055552584573217</c:v>
                  </c:pt>
                  <c:pt idx="2">
                    <c:v>2.8376388751576562</c:v>
                  </c:pt>
                  <c:pt idx="3">
                    <c:v>13.289429898662245</c:v>
                  </c:pt>
                  <c:pt idx="4">
                    <c:v>4.6686315712112494</c:v>
                  </c:pt>
                  <c:pt idx="5">
                    <c:v>4.8822910008452567</c:v>
                  </c:pt>
                  <c:pt idx="6">
                    <c:v>1.5137943809936367</c:v>
                  </c:pt>
                  <c:pt idx="7">
                    <c:v>1.4164271257057817</c:v>
                  </c:pt>
                  <c:pt idx="8">
                    <c:v>3.8119478493206183</c:v>
                  </c:pt>
                  <c:pt idx="9">
                    <c:v>2.0142388449098201</c:v>
                  </c:pt>
                  <c:pt idx="10">
                    <c:v>8.0433576938829852</c:v>
                  </c:pt>
                  <c:pt idx="11">
                    <c:v>2.433607294251229</c:v>
                  </c:pt>
                  <c:pt idx="12">
                    <c:v>4.3029296334367295</c:v>
                  </c:pt>
                  <c:pt idx="13">
                    <c:v>5.278322863624819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CeBER'!$AD$94:$AD$110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CeBER'!$AE$94:$AE$110</c:f>
              <c:numCache>
                <c:formatCode>0.00</c:formatCode>
                <c:ptCount val="17"/>
                <c:pt idx="0">
                  <c:v>28.836911195330014</c:v>
                </c:pt>
                <c:pt idx="1">
                  <c:v>52.944830098891259</c:v>
                </c:pt>
                <c:pt idx="2">
                  <c:v>45.469272569482634</c:v>
                </c:pt>
                <c:pt idx="3">
                  <c:v>51.655557501829065</c:v>
                </c:pt>
                <c:pt idx="4">
                  <c:v>69.882490444170983</c:v>
                </c:pt>
                <c:pt idx="5">
                  <c:v>74.382720000000006</c:v>
                </c:pt>
                <c:pt idx="6">
                  <c:v>58.533200000000001</c:v>
                </c:pt>
                <c:pt idx="7">
                  <c:v>74.384730000000005</c:v>
                </c:pt>
                <c:pt idx="8">
                  <c:v>82.417356643109173</c:v>
                </c:pt>
                <c:pt idx="9">
                  <c:v>78.475359999999995</c:v>
                </c:pt>
                <c:pt idx="10">
                  <c:v>74.785245599999996</c:v>
                </c:pt>
                <c:pt idx="11">
                  <c:v>79.364559999999997</c:v>
                </c:pt>
                <c:pt idx="12">
                  <c:v>72.895629999999997</c:v>
                </c:pt>
                <c:pt idx="13">
                  <c:v>68.158749348958693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E44-C848-9FEB-3F6B681B9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CeBER'!$AH$5:$AH$21</c:f>
                <c:numCache>
                  <c:formatCode>General</c:formatCode>
                  <c:ptCount val="17"/>
                  <c:pt idx="0">
                    <c:v>0.20782760641244066</c:v>
                  </c:pt>
                  <c:pt idx="1">
                    <c:v>1.8422265762569885</c:v>
                  </c:pt>
                  <c:pt idx="2">
                    <c:v>2.3926757974532884</c:v>
                  </c:pt>
                  <c:pt idx="3">
                    <c:v>2.2991157395070361</c:v>
                  </c:pt>
                  <c:pt idx="4">
                    <c:v>1.2784951248130196</c:v>
                  </c:pt>
                  <c:pt idx="5">
                    <c:v>14.691006555952923</c:v>
                  </c:pt>
                  <c:pt idx="6">
                    <c:v>25.733485635858475</c:v>
                  </c:pt>
                  <c:pt idx="7">
                    <c:v>0.9946557064259981</c:v>
                  </c:pt>
                  <c:pt idx="8">
                    <c:v>23.293751455618086</c:v>
                  </c:pt>
                  <c:pt idx="9">
                    <c:v>35.412494804015239</c:v>
                  </c:pt>
                  <c:pt idx="10">
                    <c:v>15.066973191303507</c:v>
                  </c:pt>
                  <c:pt idx="11">
                    <c:v>15.377628432676286</c:v>
                  </c:pt>
                  <c:pt idx="12">
                    <c:v>0.78521001905803545</c:v>
                  </c:pt>
                  <c:pt idx="13">
                    <c:v>6.545657339241588</c:v>
                  </c:pt>
                </c:numCache>
              </c:numRef>
            </c:plus>
            <c:minus>
              <c:numRef>
                <c:f>'C-phycocyanin CeBER'!$AH$5:$AH$21</c:f>
                <c:numCache>
                  <c:formatCode>General</c:formatCode>
                  <c:ptCount val="17"/>
                  <c:pt idx="0">
                    <c:v>0.20782760641244066</c:v>
                  </c:pt>
                  <c:pt idx="1">
                    <c:v>1.8422265762569885</c:v>
                  </c:pt>
                  <c:pt idx="2">
                    <c:v>2.3926757974532884</c:v>
                  </c:pt>
                  <c:pt idx="3">
                    <c:v>2.2991157395070361</c:v>
                  </c:pt>
                  <c:pt idx="4">
                    <c:v>1.2784951248130196</c:v>
                  </c:pt>
                  <c:pt idx="5">
                    <c:v>14.691006555952923</c:v>
                  </c:pt>
                  <c:pt idx="6">
                    <c:v>25.733485635858475</c:v>
                  </c:pt>
                  <c:pt idx="7">
                    <c:v>0.9946557064259981</c:v>
                  </c:pt>
                  <c:pt idx="8">
                    <c:v>23.293751455618086</c:v>
                  </c:pt>
                  <c:pt idx="9">
                    <c:v>35.412494804015239</c:v>
                  </c:pt>
                  <c:pt idx="10">
                    <c:v>15.066973191303507</c:v>
                  </c:pt>
                  <c:pt idx="11">
                    <c:v>15.377628432676286</c:v>
                  </c:pt>
                  <c:pt idx="12">
                    <c:v>0.78521001905803545</c:v>
                  </c:pt>
                  <c:pt idx="13">
                    <c:v>6.545657339241588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CeBER'!$AD$5:$AD$21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CeBER'!$AG$5:$AG$21</c:f>
              <c:numCache>
                <c:formatCode>0.00</c:formatCode>
                <c:ptCount val="17"/>
                <c:pt idx="0">
                  <c:v>6.8447659176029978</c:v>
                </c:pt>
                <c:pt idx="1">
                  <c:v>27.482322097378276</c:v>
                </c:pt>
                <c:pt idx="2">
                  <c:v>40.68523096129838</c:v>
                </c:pt>
                <c:pt idx="3">
                  <c:v>76.191229333333325</c:v>
                </c:pt>
                <c:pt idx="4">
                  <c:v>114.25179757802748</c:v>
                </c:pt>
                <c:pt idx="5">
                  <c:v>121.91632334581773</c:v>
                </c:pt>
                <c:pt idx="6">
                  <c:v>146.32727840199752</c:v>
                </c:pt>
                <c:pt idx="7">
                  <c:v>140.26860174781527</c:v>
                </c:pt>
                <c:pt idx="8">
                  <c:v>160.90347160216399</c:v>
                </c:pt>
                <c:pt idx="9">
                  <c:v>170.405930087391</c:v>
                </c:pt>
                <c:pt idx="10">
                  <c:v>188.96947565543101</c:v>
                </c:pt>
                <c:pt idx="11">
                  <c:v>198.96947565543073</c:v>
                </c:pt>
                <c:pt idx="12">
                  <c:v>200.17421972534328</c:v>
                </c:pt>
                <c:pt idx="13">
                  <c:v>205.02143154390345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EF-1C4D-AA31-CEF3BA9AE93A}"/>
            </c:ext>
          </c:extLst>
        </c:ser>
        <c:ser>
          <c:idx val="1"/>
          <c:order val="1"/>
          <c:tx>
            <c:strRef>
              <c:f>'C-phycocyanin CeBER'!$B$47:$AB$47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CeBER'!$AH$49:$AH$65</c:f>
                <c:numCache>
                  <c:formatCode>General</c:formatCode>
                  <c:ptCount val="17"/>
                  <c:pt idx="0">
                    <c:v>0.39672933823117207</c:v>
                  </c:pt>
                  <c:pt idx="1">
                    <c:v>2.6698711825649006</c:v>
                  </c:pt>
                  <c:pt idx="2">
                    <c:v>2.4418990276413455</c:v>
                  </c:pt>
                  <c:pt idx="3">
                    <c:v>21.101292281740111</c:v>
                  </c:pt>
                  <c:pt idx="4">
                    <c:v>10.033524525088577</c:v>
                  </c:pt>
                  <c:pt idx="5">
                    <c:v>16.819386436899809</c:v>
                  </c:pt>
                  <c:pt idx="6">
                    <c:v>3.2573279190712938</c:v>
                  </c:pt>
                  <c:pt idx="7">
                    <c:v>4.8913780134035667</c:v>
                  </c:pt>
                  <c:pt idx="8">
                    <c:v>9.4272513399590796</c:v>
                  </c:pt>
                  <c:pt idx="9">
                    <c:v>2.8801290046601142</c:v>
                  </c:pt>
                  <c:pt idx="10">
                    <c:v>9.6147745632688366</c:v>
                  </c:pt>
                  <c:pt idx="11">
                    <c:v>5.6874784480996192</c:v>
                  </c:pt>
                  <c:pt idx="12">
                    <c:v>4.2526625159870859</c:v>
                  </c:pt>
                  <c:pt idx="13">
                    <c:v>10.156080641452581</c:v>
                  </c:pt>
                </c:numCache>
              </c:numRef>
            </c:plus>
            <c:minus>
              <c:numRef>
                <c:f>'C-phycocyanin CeBER'!$AH$49:$AH$65</c:f>
                <c:numCache>
                  <c:formatCode>General</c:formatCode>
                  <c:ptCount val="17"/>
                  <c:pt idx="0">
                    <c:v>0.39672933823117207</c:v>
                  </c:pt>
                  <c:pt idx="1">
                    <c:v>2.6698711825649006</c:v>
                  </c:pt>
                  <c:pt idx="2">
                    <c:v>2.4418990276413455</c:v>
                  </c:pt>
                  <c:pt idx="3">
                    <c:v>21.101292281740111</c:v>
                  </c:pt>
                  <c:pt idx="4">
                    <c:v>10.033524525088577</c:v>
                  </c:pt>
                  <c:pt idx="5">
                    <c:v>16.819386436899809</c:v>
                  </c:pt>
                  <c:pt idx="6">
                    <c:v>3.2573279190712938</c:v>
                  </c:pt>
                  <c:pt idx="7">
                    <c:v>4.8913780134035667</c:v>
                  </c:pt>
                  <c:pt idx="8">
                    <c:v>9.4272513399590796</c:v>
                  </c:pt>
                  <c:pt idx="9">
                    <c:v>2.8801290046601142</c:v>
                  </c:pt>
                  <c:pt idx="10">
                    <c:v>9.6147745632688366</c:v>
                  </c:pt>
                  <c:pt idx="11">
                    <c:v>5.6874784480996192</c:v>
                  </c:pt>
                  <c:pt idx="12">
                    <c:v>4.2526625159870859</c:v>
                  </c:pt>
                  <c:pt idx="13">
                    <c:v>10.156080641452581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CeBER'!$AD$49:$AD$65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CeBER'!$AG$49:$AG$65</c:f>
              <c:numCache>
                <c:formatCode>0.00</c:formatCode>
                <c:ptCount val="17"/>
                <c:pt idx="0">
                  <c:v>6.7874812734082424</c:v>
                </c:pt>
                <c:pt idx="1">
                  <c:v>35.971960049937579</c:v>
                </c:pt>
                <c:pt idx="2">
                  <c:v>41.576079900124846</c:v>
                </c:pt>
                <c:pt idx="3">
                  <c:v>81.840617086142331</c:v>
                </c:pt>
                <c:pt idx="4">
                  <c:v>115.755848898876</c:v>
                </c:pt>
                <c:pt idx="5">
                  <c:v>125.7547</c:v>
                </c:pt>
                <c:pt idx="6">
                  <c:v>138.75643500000001</c:v>
                </c:pt>
                <c:pt idx="7">
                  <c:v>142.68566999999999</c:v>
                </c:pt>
                <c:pt idx="8">
                  <c:v>157.785764</c:v>
                </c:pt>
                <c:pt idx="9">
                  <c:v>165.8646</c:v>
                </c:pt>
                <c:pt idx="10">
                  <c:v>175.8758</c:v>
                </c:pt>
                <c:pt idx="11">
                  <c:v>182.67468</c:v>
                </c:pt>
                <c:pt idx="12">
                  <c:v>185.47835823</c:v>
                </c:pt>
                <c:pt idx="13">
                  <c:v>200.32721598002499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EF-1C4D-AA31-CEF3BA9AE93A}"/>
            </c:ext>
          </c:extLst>
        </c:ser>
        <c:ser>
          <c:idx val="2"/>
          <c:order val="2"/>
          <c:tx>
            <c:strRef>
              <c:f>'C-phycocyanin CeBER'!$B$92:$AB$92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CeBER'!$AH$94:$AH$110</c:f>
                <c:numCache>
                  <c:formatCode>General</c:formatCode>
                  <c:ptCount val="17"/>
                  <c:pt idx="0">
                    <c:v>0.19129116415357325</c:v>
                  </c:pt>
                  <c:pt idx="1">
                    <c:v>1.1866029151154596</c:v>
                  </c:pt>
                  <c:pt idx="2">
                    <c:v>4.5645870382283098</c:v>
                  </c:pt>
                  <c:pt idx="3">
                    <c:v>20.363063979985263</c:v>
                  </c:pt>
                  <c:pt idx="4">
                    <c:v>8.3218048810455159</c:v>
                  </c:pt>
                  <c:pt idx="5">
                    <c:v>9.4228234377946674</c:v>
                  </c:pt>
                  <c:pt idx="6">
                    <c:v>3.8399536400941763</c:v>
                  </c:pt>
                  <c:pt idx="7">
                    <c:v>1.3597392271261028</c:v>
                  </c:pt>
                  <c:pt idx="8">
                    <c:v>7.4934451719551278</c:v>
                  </c:pt>
                  <c:pt idx="9">
                    <c:v>11.898041383086543</c:v>
                  </c:pt>
                  <c:pt idx="10">
                    <c:v>21.697039644221956</c:v>
                  </c:pt>
                  <c:pt idx="11">
                    <c:v>8.9487967295856201</c:v>
                  </c:pt>
                  <c:pt idx="12">
                    <c:v>12.838065267183874</c:v>
                  </c:pt>
                  <c:pt idx="13">
                    <c:v>24.72395101391993</c:v>
                  </c:pt>
                </c:numCache>
              </c:numRef>
            </c:plus>
            <c:minus>
              <c:numRef>
                <c:f>'C-phycocyanin CeBER'!$AH$94:$AH$110</c:f>
                <c:numCache>
                  <c:formatCode>General</c:formatCode>
                  <c:ptCount val="17"/>
                  <c:pt idx="0">
                    <c:v>0.19129116415357325</c:v>
                  </c:pt>
                  <c:pt idx="1">
                    <c:v>1.1866029151154596</c:v>
                  </c:pt>
                  <c:pt idx="2">
                    <c:v>4.5645870382283098</c:v>
                  </c:pt>
                  <c:pt idx="3">
                    <c:v>20.363063979985263</c:v>
                  </c:pt>
                  <c:pt idx="4">
                    <c:v>8.3218048810455159</c:v>
                  </c:pt>
                  <c:pt idx="5">
                    <c:v>9.4228234377946674</c:v>
                  </c:pt>
                  <c:pt idx="6">
                    <c:v>3.8399536400941763</c:v>
                  </c:pt>
                  <c:pt idx="7">
                    <c:v>1.3597392271261028</c:v>
                  </c:pt>
                  <c:pt idx="8">
                    <c:v>7.4934451719551278</c:v>
                  </c:pt>
                  <c:pt idx="9">
                    <c:v>11.898041383086543</c:v>
                  </c:pt>
                  <c:pt idx="10">
                    <c:v>21.697039644221956</c:v>
                  </c:pt>
                  <c:pt idx="11">
                    <c:v>8.9487967295856201</c:v>
                  </c:pt>
                  <c:pt idx="12">
                    <c:v>12.838065267183874</c:v>
                  </c:pt>
                  <c:pt idx="13">
                    <c:v>24.72395101391993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CeBER'!$AD$94:$AD$110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CeBER'!$AG$94:$AG$110</c:f>
              <c:numCache>
                <c:formatCode>0.00</c:formatCode>
                <c:ptCount val="17"/>
                <c:pt idx="0">
                  <c:v>7.8401747815230971</c:v>
                </c:pt>
                <c:pt idx="1">
                  <c:v>40.773845193508123</c:v>
                </c:pt>
                <c:pt idx="2">
                  <c:v>44.808551810237219</c:v>
                </c:pt>
                <c:pt idx="3">
                  <c:v>79.381439220973789</c:v>
                </c:pt>
                <c:pt idx="4">
                  <c:v>123.43171199001249</c:v>
                </c:pt>
                <c:pt idx="5">
                  <c:v>136.90957</c:v>
                </c:pt>
                <c:pt idx="6">
                  <c:v>149.67646999999999</c:v>
                </c:pt>
                <c:pt idx="7">
                  <c:v>158.7865674</c:v>
                </c:pt>
                <c:pt idx="8">
                  <c:v>168.50284268414484</c:v>
                </c:pt>
                <c:pt idx="9">
                  <c:v>162.78899999999999</c:v>
                </c:pt>
                <c:pt idx="10">
                  <c:v>192.57679999999999</c:v>
                </c:pt>
                <c:pt idx="11">
                  <c:v>187.7859</c:v>
                </c:pt>
                <c:pt idx="12">
                  <c:v>199.8657</c:v>
                </c:pt>
                <c:pt idx="13">
                  <c:v>212.04648356221392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EF-1C4D-AA31-CEF3BA9AE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#1926'!$AF$5:$AF$22</c:f>
                <c:numCache>
                  <c:formatCode>General</c:formatCode>
                  <c:ptCount val="18"/>
                  <c:pt idx="0">
                    <c:v>0.33798682719056711</c:v>
                  </c:pt>
                  <c:pt idx="1">
                    <c:v>2.4090235910182254</c:v>
                  </c:pt>
                  <c:pt idx="2">
                    <c:v>1.1871951708567567</c:v>
                  </c:pt>
                  <c:pt idx="3">
                    <c:v>12.103924046087371</c:v>
                  </c:pt>
                  <c:pt idx="4">
                    <c:v>0.86034066382829721</c:v>
                  </c:pt>
                  <c:pt idx="5">
                    <c:v>4.8166597052094167</c:v>
                  </c:pt>
                  <c:pt idx="6">
                    <c:v>2.8979032559835343</c:v>
                  </c:pt>
                  <c:pt idx="7">
                    <c:v>3.1390023822617223</c:v>
                  </c:pt>
                  <c:pt idx="8">
                    <c:v>2.1450071951421128</c:v>
                  </c:pt>
                  <c:pt idx="9">
                    <c:v>6.0315777209601045</c:v>
                  </c:pt>
                  <c:pt idx="10">
                    <c:v>2.0848444774344519</c:v>
                  </c:pt>
                  <c:pt idx="11">
                    <c:v>5.5402082838173996</c:v>
                  </c:pt>
                  <c:pt idx="12">
                    <c:v>6.5953148016638004</c:v>
                  </c:pt>
                  <c:pt idx="13">
                    <c:v>2.4760856729234715</c:v>
                  </c:pt>
                </c:numCache>
              </c:numRef>
            </c:plus>
            <c:minus>
              <c:numRef>
                <c:f>'C-phycocyanin UTEX #1926'!$AF$5:$AF$22</c:f>
                <c:numCache>
                  <c:formatCode>General</c:formatCode>
                  <c:ptCount val="18"/>
                  <c:pt idx="0">
                    <c:v>0.33798682719056711</c:v>
                  </c:pt>
                  <c:pt idx="1">
                    <c:v>2.4090235910182254</c:v>
                  </c:pt>
                  <c:pt idx="2">
                    <c:v>1.1871951708567567</c:v>
                  </c:pt>
                  <c:pt idx="3">
                    <c:v>12.103924046087371</c:v>
                  </c:pt>
                  <c:pt idx="4">
                    <c:v>0.86034066382829721</c:v>
                  </c:pt>
                  <c:pt idx="5">
                    <c:v>4.8166597052094167</c:v>
                  </c:pt>
                  <c:pt idx="6">
                    <c:v>2.8979032559835343</c:v>
                  </c:pt>
                  <c:pt idx="7">
                    <c:v>3.1390023822617223</c:v>
                  </c:pt>
                  <c:pt idx="8">
                    <c:v>2.1450071951421128</c:v>
                  </c:pt>
                  <c:pt idx="9">
                    <c:v>6.0315777209601045</c:v>
                  </c:pt>
                  <c:pt idx="10">
                    <c:v>2.0848444774344519</c:v>
                  </c:pt>
                  <c:pt idx="11">
                    <c:v>5.5402082838173996</c:v>
                  </c:pt>
                  <c:pt idx="12">
                    <c:v>6.5953148016638004</c:v>
                  </c:pt>
                  <c:pt idx="13">
                    <c:v>2.4760856729234715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#1926'!$AD$5:$AD$22</c:f>
              <c:numCache>
                <c:formatCode>0</c:formatCode>
                <c:ptCount val="18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UTEX #1926'!$AE$5:$AE$22</c:f>
              <c:numCache>
                <c:formatCode>0.00</c:formatCode>
                <c:ptCount val="18"/>
                <c:pt idx="0">
                  <c:v>25.076869209081522</c:v>
                </c:pt>
                <c:pt idx="1">
                  <c:v>20.035872131521209</c:v>
                </c:pt>
                <c:pt idx="2">
                  <c:v>24.168669808073314</c:v>
                </c:pt>
                <c:pt idx="3">
                  <c:v>48.128541426380039</c:v>
                </c:pt>
                <c:pt idx="4">
                  <c:v>56.039787669951046</c:v>
                </c:pt>
                <c:pt idx="5">
                  <c:v>50.070902921316701</c:v>
                </c:pt>
                <c:pt idx="6">
                  <c:v>48.371382405685814</c:v>
                </c:pt>
                <c:pt idx="7">
                  <c:v>49.747677512492949</c:v>
                </c:pt>
                <c:pt idx="8">
                  <c:v>47.490378393618272</c:v>
                </c:pt>
                <c:pt idx="9">
                  <c:v>47.465284005064973</c:v>
                </c:pt>
                <c:pt idx="10">
                  <c:v>50.247459768308502</c:v>
                </c:pt>
                <c:pt idx="11">
                  <c:v>54.025993013885</c:v>
                </c:pt>
                <c:pt idx="12">
                  <c:v>52.499498287279103</c:v>
                </c:pt>
                <c:pt idx="13">
                  <c:v>57.700529324456795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31-2C4C-9BF9-6ECB58E877E3}"/>
            </c:ext>
          </c:extLst>
        </c:ser>
        <c:ser>
          <c:idx val="1"/>
          <c:order val="1"/>
          <c:tx>
            <c:strRef>
              <c:f>'C-phycocyanin UTEX #1926'!$B$47:$AB$47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#1926'!$AF$49:$AF$65</c:f>
                <c:numCache>
                  <c:formatCode>General</c:formatCode>
                  <c:ptCount val="17"/>
                  <c:pt idx="0">
                    <c:v>1.4391022234017539</c:v>
                  </c:pt>
                  <c:pt idx="1">
                    <c:v>1.5247160289829711</c:v>
                  </c:pt>
                  <c:pt idx="2">
                    <c:v>1.9754171043159272</c:v>
                  </c:pt>
                  <c:pt idx="3">
                    <c:v>10.418534118034774</c:v>
                  </c:pt>
                  <c:pt idx="4">
                    <c:v>2.7887761674771019</c:v>
                  </c:pt>
                  <c:pt idx="5">
                    <c:v>4.4091581987911983</c:v>
                  </c:pt>
                  <c:pt idx="6">
                    <c:v>4.3089166747900443</c:v>
                  </c:pt>
                  <c:pt idx="7">
                    <c:v>3.2048307957298019</c:v>
                  </c:pt>
                  <c:pt idx="8">
                    <c:v>2.8309621739233601</c:v>
                  </c:pt>
                  <c:pt idx="9">
                    <c:v>1.120825630961596</c:v>
                  </c:pt>
                  <c:pt idx="10">
                    <c:v>5.011645667360642</c:v>
                  </c:pt>
                  <c:pt idx="11">
                    <c:v>3.4039647606360206</c:v>
                  </c:pt>
                  <c:pt idx="12">
                    <c:v>2.6718961433054309</c:v>
                  </c:pt>
                  <c:pt idx="13">
                    <c:v>2.1619037971480144</c:v>
                  </c:pt>
                </c:numCache>
              </c:numRef>
            </c:plus>
            <c:minus>
              <c:numRef>
                <c:f>'C-phycocyanin UTEX #1926'!$AF$49:$AF$65</c:f>
                <c:numCache>
                  <c:formatCode>General</c:formatCode>
                  <c:ptCount val="17"/>
                  <c:pt idx="0">
                    <c:v>1.4391022234017539</c:v>
                  </c:pt>
                  <c:pt idx="1">
                    <c:v>1.5247160289829711</c:v>
                  </c:pt>
                  <c:pt idx="2">
                    <c:v>1.9754171043159272</c:v>
                  </c:pt>
                  <c:pt idx="3">
                    <c:v>10.418534118034774</c:v>
                  </c:pt>
                  <c:pt idx="4">
                    <c:v>2.7887761674771019</c:v>
                  </c:pt>
                  <c:pt idx="5">
                    <c:v>4.4091581987911983</c:v>
                  </c:pt>
                  <c:pt idx="6">
                    <c:v>4.3089166747900443</c:v>
                  </c:pt>
                  <c:pt idx="7">
                    <c:v>3.2048307957298019</c:v>
                  </c:pt>
                  <c:pt idx="8">
                    <c:v>2.8309621739233601</c:v>
                  </c:pt>
                  <c:pt idx="9">
                    <c:v>1.120825630961596</c:v>
                  </c:pt>
                  <c:pt idx="10">
                    <c:v>5.011645667360642</c:v>
                  </c:pt>
                  <c:pt idx="11">
                    <c:v>3.4039647606360206</c:v>
                  </c:pt>
                  <c:pt idx="12">
                    <c:v>2.6718961433054309</c:v>
                  </c:pt>
                  <c:pt idx="13">
                    <c:v>2.1619037971480144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#1926'!$AD$49:$AD$65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UTEX #1926'!$AE$49:$AE$65</c:f>
              <c:numCache>
                <c:formatCode>0.00</c:formatCode>
                <c:ptCount val="17"/>
                <c:pt idx="0">
                  <c:v>21.101234756492545</c:v>
                </c:pt>
                <c:pt idx="1">
                  <c:v>29.253785971467654</c:v>
                </c:pt>
                <c:pt idx="2">
                  <c:v>29.307539834752586</c:v>
                </c:pt>
                <c:pt idx="3">
                  <c:v>40.970484396122373</c:v>
                </c:pt>
                <c:pt idx="4">
                  <c:v>51.300769645390851</c:v>
                </c:pt>
                <c:pt idx="5">
                  <c:v>47.674455999999999</c:v>
                </c:pt>
                <c:pt idx="6">
                  <c:v>48.371382405685814</c:v>
                </c:pt>
                <c:pt idx="7">
                  <c:v>49.747677512492949</c:v>
                </c:pt>
                <c:pt idx="8">
                  <c:v>45.460463575227266</c:v>
                </c:pt>
                <c:pt idx="9">
                  <c:v>42.875779999999999</c:v>
                </c:pt>
                <c:pt idx="10">
                  <c:v>50.247459768308502</c:v>
                </c:pt>
                <c:pt idx="11">
                  <c:v>54.025993013885</c:v>
                </c:pt>
                <c:pt idx="12">
                  <c:v>51.677869999999999</c:v>
                </c:pt>
                <c:pt idx="13">
                  <c:v>54.932590274365673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31-2C4C-9BF9-6ECB58E877E3}"/>
            </c:ext>
          </c:extLst>
        </c:ser>
        <c:ser>
          <c:idx val="2"/>
          <c:order val="2"/>
          <c:tx>
            <c:strRef>
              <c:f>'C-phycocyanin UTEX #1926'!$B$92:$AB$92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#1926'!$AF$94:$AF$110</c:f>
                <c:numCache>
                  <c:formatCode>General</c:formatCode>
                  <c:ptCount val="17"/>
                  <c:pt idx="0">
                    <c:v>0.23316785450954622</c:v>
                  </c:pt>
                  <c:pt idx="1">
                    <c:v>1.6631429712684498</c:v>
                  </c:pt>
                  <c:pt idx="2">
                    <c:v>0.81809490199336821</c:v>
                  </c:pt>
                  <c:pt idx="3">
                    <c:v>10.044771264521406</c:v>
                  </c:pt>
                  <c:pt idx="4">
                    <c:v>1.5637114121757596</c:v>
                  </c:pt>
                  <c:pt idx="5">
                    <c:v>3.0305321282776281</c:v>
                  </c:pt>
                  <c:pt idx="6">
                    <c:v>2.9349194551277105</c:v>
                  </c:pt>
                  <c:pt idx="7">
                    <c:v>2.6433666812774632</c:v>
                  </c:pt>
                  <c:pt idx="8">
                    <c:v>3.9270090018632637</c:v>
                  </c:pt>
                  <c:pt idx="9">
                    <c:v>0.99503529396080659</c:v>
                  </c:pt>
                  <c:pt idx="10">
                    <c:v>2.5521067909813997</c:v>
                  </c:pt>
                  <c:pt idx="11">
                    <c:v>1.8219400158469268</c:v>
                  </c:pt>
                  <c:pt idx="12">
                    <c:v>5.4703746289112356</c:v>
                  </c:pt>
                  <c:pt idx="13">
                    <c:v>3.2913913356725075</c:v>
                  </c:pt>
                </c:numCache>
              </c:numRef>
            </c:plus>
            <c:minus>
              <c:numRef>
                <c:f>'C-phycocyanin UTEX #1926'!$AF$94:$AF$110</c:f>
                <c:numCache>
                  <c:formatCode>General</c:formatCode>
                  <c:ptCount val="17"/>
                  <c:pt idx="0">
                    <c:v>0.23316785450954622</c:v>
                  </c:pt>
                  <c:pt idx="1">
                    <c:v>1.6631429712684498</c:v>
                  </c:pt>
                  <c:pt idx="2">
                    <c:v>0.81809490199336821</c:v>
                  </c:pt>
                  <c:pt idx="3">
                    <c:v>10.044771264521406</c:v>
                  </c:pt>
                  <c:pt idx="4">
                    <c:v>1.5637114121757596</c:v>
                  </c:pt>
                  <c:pt idx="5">
                    <c:v>3.0305321282776281</c:v>
                  </c:pt>
                  <c:pt idx="6">
                    <c:v>2.9349194551277105</c:v>
                  </c:pt>
                  <c:pt idx="7">
                    <c:v>2.6433666812774632</c:v>
                  </c:pt>
                  <c:pt idx="8">
                    <c:v>3.9270090018632637</c:v>
                  </c:pt>
                  <c:pt idx="9">
                    <c:v>0.99503529396080659</c:v>
                  </c:pt>
                  <c:pt idx="10">
                    <c:v>2.5521067909813997</c:v>
                  </c:pt>
                  <c:pt idx="11">
                    <c:v>1.8219400158469268</c:v>
                  </c:pt>
                  <c:pt idx="12">
                    <c:v>5.4703746289112356</c:v>
                  </c:pt>
                  <c:pt idx="13">
                    <c:v>3.2913913356725075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#1926'!$AD$94:$AD$110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UTEX #1926'!$AE$94:$AE$110</c:f>
              <c:numCache>
                <c:formatCode>0.00</c:formatCode>
                <c:ptCount val="17"/>
                <c:pt idx="0">
                  <c:v>21.061508706086936</c:v>
                </c:pt>
                <c:pt idx="1">
                  <c:v>40.075317436093286</c:v>
                </c:pt>
                <c:pt idx="2">
                  <c:v>37.950453330448994</c:v>
                </c:pt>
                <c:pt idx="3">
                  <c:v>39.587344454654541</c:v>
                </c:pt>
                <c:pt idx="4">
                  <c:v>64.98364283390103</c:v>
                </c:pt>
                <c:pt idx="5">
                  <c:v>55.789650000000002</c:v>
                </c:pt>
                <c:pt idx="6">
                  <c:v>52.478230000000003</c:v>
                </c:pt>
                <c:pt idx="7">
                  <c:v>53.478681199999997</c:v>
                </c:pt>
                <c:pt idx="8">
                  <c:v>51.373006422240969</c:v>
                </c:pt>
                <c:pt idx="9">
                  <c:v>56.478631999999998</c:v>
                </c:pt>
                <c:pt idx="10">
                  <c:v>52.457865300000002</c:v>
                </c:pt>
                <c:pt idx="11">
                  <c:v>57.478630000000003</c:v>
                </c:pt>
                <c:pt idx="12">
                  <c:v>60.348730000000003</c:v>
                </c:pt>
                <c:pt idx="13">
                  <c:v>65.575758956705258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31-2C4C-9BF9-6ECB58E87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#1926'!$AH$5:$AH$21</c:f>
                <c:numCache>
                  <c:formatCode>General</c:formatCode>
                  <c:ptCount val="17"/>
                  <c:pt idx="0">
                    <c:v>0.17921289979218891</c:v>
                  </c:pt>
                  <c:pt idx="1">
                    <c:v>1.6292542559069703</c:v>
                  </c:pt>
                  <c:pt idx="2">
                    <c:v>1.3248075862732058</c:v>
                  </c:pt>
                  <c:pt idx="3">
                    <c:v>21.583266545067236</c:v>
                  </c:pt>
                  <c:pt idx="4">
                    <c:v>1.7641747214975727</c:v>
                  </c:pt>
                  <c:pt idx="5">
                    <c:v>8.6516077024976354</c:v>
                  </c:pt>
                  <c:pt idx="6">
                    <c:v>5.4050905661828104</c:v>
                  </c:pt>
                  <c:pt idx="7">
                    <c:v>6.8372318455689571</c:v>
                  </c:pt>
                  <c:pt idx="8">
                    <c:v>4.6415228907344011</c:v>
                  </c:pt>
                  <c:pt idx="9">
                    <c:v>21.042950885569905</c:v>
                  </c:pt>
                  <c:pt idx="10">
                    <c:v>8.9197286478846216</c:v>
                  </c:pt>
                  <c:pt idx="11">
                    <c:v>17.465805378413386</c:v>
                  </c:pt>
                  <c:pt idx="12">
                    <c:v>19.937410335588908</c:v>
                  </c:pt>
                  <c:pt idx="13">
                    <c:v>16.516400873332007</c:v>
                  </c:pt>
                </c:numCache>
              </c:numRef>
            </c:plus>
            <c:minus>
              <c:numRef>
                <c:f>'C-phycocyanin UTEX #1926'!$AH$5:$AH$21</c:f>
                <c:numCache>
                  <c:formatCode>General</c:formatCode>
                  <c:ptCount val="17"/>
                  <c:pt idx="0">
                    <c:v>0.17921289979218891</c:v>
                  </c:pt>
                  <c:pt idx="1">
                    <c:v>1.6292542559069703</c:v>
                  </c:pt>
                  <c:pt idx="2">
                    <c:v>1.3248075862732058</c:v>
                  </c:pt>
                  <c:pt idx="3">
                    <c:v>21.583266545067236</c:v>
                  </c:pt>
                  <c:pt idx="4">
                    <c:v>1.7641747214975727</c:v>
                  </c:pt>
                  <c:pt idx="5">
                    <c:v>8.6516077024976354</c:v>
                  </c:pt>
                  <c:pt idx="6">
                    <c:v>5.4050905661828104</c:v>
                  </c:pt>
                  <c:pt idx="7">
                    <c:v>6.8372318455689571</c:v>
                  </c:pt>
                  <c:pt idx="8">
                    <c:v>4.6415228907344011</c:v>
                  </c:pt>
                  <c:pt idx="9">
                    <c:v>21.042950885569905</c:v>
                  </c:pt>
                  <c:pt idx="10">
                    <c:v>8.9197286478846216</c:v>
                  </c:pt>
                  <c:pt idx="11">
                    <c:v>17.465805378413386</c:v>
                  </c:pt>
                  <c:pt idx="12">
                    <c:v>19.937410335588908</c:v>
                  </c:pt>
                  <c:pt idx="13">
                    <c:v>16.516400873332007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#1926'!$AD$5:$AD$21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UTEX #1926'!$AG$5:$AG$21</c:f>
              <c:numCache>
                <c:formatCode>0.00</c:formatCode>
                <c:ptCount val="17"/>
                <c:pt idx="0">
                  <c:v>4.9546799027552675</c:v>
                </c:pt>
                <c:pt idx="1">
                  <c:v>14.570353862776878</c:v>
                </c:pt>
                <c:pt idx="2">
                  <c:v>23.760831982712052</c:v>
                </c:pt>
                <c:pt idx="3">
                  <c:v>86.240849213483131</c:v>
                </c:pt>
                <c:pt idx="4">
                  <c:v>113.08918390012485</c:v>
                </c:pt>
                <c:pt idx="5">
                  <c:v>90.265121822721611</c:v>
                </c:pt>
                <c:pt idx="6">
                  <c:v>100.67588000000001</c:v>
                </c:pt>
                <c:pt idx="7">
                  <c:v>105.7587</c:v>
                </c:pt>
                <c:pt idx="8">
                  <c:v>107.26058763631603</c:v>
                </c:pt>
                <c:pt idx="9">
                  <c:v>115.265121822721</c:v>
                </c:pt>
                <c:pt idx="10">
                  <c:v>131.07958208489387</c:v>
                </c:pt>
                <c:pt idx="11">
                  <c:v>178.07215980024975</c:v>
                </c:pt>
                <c:pt idx="12">
                  <c:v>179.70377652933834</c:v>
                </c:pt>
                <c:pt idx="13">
                  <c:v>200.63245942571788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46-E247-971A-09461F07F8AB}"/>
            </c:ext>
          </c:extLst>
        </c:ser>
        <c:ser>
          <c:idx val="1"/>
          <c:order val="1"/>
          <c:tx>
            <c:strRef>
              <c:f>'C-phycocyanin UTEX #1926'!$B$47:$AB$47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#1926'!$AH$49:$AH$65</c:f>
                <c:numCache>
                  <c:formatCode>General</c:formatCode>
                  <c:ptCount val="17"/>
                  <c:pt idx="0">
                    <c:v>0.12522339551274159</c:v>
                  </c:pt>
                  <c:pt idx="1">
                    <c:v>1.1848023996814885</c:v>
                  </c:pt>
                  <c:pt idx="2">
                    <c:v>2.4923103137772222</c:v>
                  </c:pt>
                  <c:pt idx="3">
                    <c:v>19.765704364322964</c:v>
                  </c:pt>
                  <c:pt idx="4">
                    <c:v>7.0991246357927897</c:v>
                  </c:pt>
                  <c:pt idx="5">
                    <c:v>10.185768313644431</c:v>
                  </c:pt>
                  <c:pt idx="6">
                    <c:v>9.4113569038649061</c:v>
                  </c:pt>
                  <c:pt idx="7">
                    <c:v>9.0769043349047109</c:v>
                  </c:pt>
                  <c:pt idx="8">
                    <c:v>10.6026323690919</c:v>
                  </c:pt>
                  <c:pt idx="9">
                    <c:v>3.7213381870851103</c:v>
                  </c:pt>
                  <c:pt idx="10">
                    <c:v>17.081980098016281</c:v>
                  </c:pt>
                  <c:pt idx="11">
                    <c:v>14.050123704684008</c:v>
                  </c:pt>
                  <c:pt idx="12">
                    <c:v>7.8288264002853953</c:v>
                  </c:pt>
                  <c:pt idx="13">
                    <c:v>3.2716119351526225</c:v>
                  </c:pt>
                </c:numCache>
              </c:numRef>
            </c:plus>
            <c:minus>
              <c:numRef>
                <c:f>'C-phycocyanin UTEX #1926'!$AH$49:$AH$65</c:f>
                <c:numCache>
                  <c:formatCode>General</c:formatCode>
                  <c:ptCount val="17"/>
                  <c:pt idx="0">
                    <c:v>0.12522339551274159</c:v>
                  </c:pt>
                  <c:pt idx="1">
                    <c:v>1.1848023996814885</c:v>
                  </c:pt>
                  <c:pt idx="2">
                    <c:v>2.4923103137772222</c:v>
                  </c:pt>
                  <c:pt idx="3">
                    <c:v>19.765704364322964</c:v>
                  </c:pt>
                  <c:pt idx="4">
                    <c:v>7.0991246357927897</c:v>
                  </c:pt>
                  <c:pt idx="5">
                    <c:v>10.185768313644431</c:v>
                  </c:pt>
                  <c:pt idx="6">
                    <c:v>9.4113569038649061</c:v>
                  </c:pt>
                  <c:pt idx="7">
                    <c:v>9.0769043349047109</c:v>
                  </c:pt>
                  <c:pt idx="8">
                    <c:v>10.6026323690919</c:v>
                  </c:pt>
                  <c:pt idx="9">
                    <c:v>3.7213381870851103</c:v>
                  </c:pt>
                  <c:pt idx="10">
                    <c:v>17.081980098016281</c:v>
                  </c:pt>
                  <c:pt idx="11">
                    <c:v>14.050123704684008</c:v>
                  </c:pt>
                  <c:pt idx="12">
                    <c:v>7.8288264002853953</c:v>
                  </c:pt>
                  <c:pt idx="13">
                    <c:v>3.2716119351526225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#1926'!$AD$49:$AD$65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UTEX #1926'!$AG$49:$AG$65</c:f>
              <c:numCache>
                <c:formatCode>0.00</c:formatCode>
                <c:ptCount val="17"/>
                <c:pt idx="0">
                  <c:v>5.450688816855755</c:v>
                </c:pt>
                <c:pt idx="1">
                  <c:v>26.727552674230143</c:v>
                </c:pt>
                <c:pt idx="2">
                  <c:v>35.826499189627235</c:v>
                </c:pt>
                <c:pt idx="3">
                  <c:v>78.691976779026206</c:v>
                </c:pt>
                <c:pt idx="4">
                  <c:v>120.29733532084894</c:v>
                </c:pt>
                <c:pt idx="5">
                  <c:v>125.7578</c:v>
                </c:pt>
                <c:pt idx="6">
                  <c:v>116.76900000000001</c:v>
                </c:pt>
                <c:pt idx="7">
                  <c:v>120.78579999999999</c:v>
                </c:pt>
                <c:pt idx="8">
                  <c:v>111.94971291926292</c:v>
                </c:pt>
                <c:pt idx="9">
                  <c:v>118.6588</c:v>
                </c:pt>
                <c:pt idx="10">
                  <c:v>129.68879999999999</c:v>
                </c:pt>
                <c:pt idx="11">
                  <c:v>165.7859</c:v>
                </c:pt>
                <c:pt idx="12">
                  <c:v>186.78579999999999</c:v>
                </c:pt>
                <c:pt idx="13">
                  <c:v>196.68755722014149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46-E247-971A-09461F07F8AB}"/>
            </c:ext>
          </c:extLst>
        </c:ser>
        <c:ser>
          <c:idx val="2"/>
          <c:order val="2"/>
          <c:tx>
            <c:strRef>
              <c:f>'C-phycocyanin UTEX #1926'!$B$92:$AB$92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#1926'!$AH$94:$AH$110</c:f>
                <c:numCache>
                  <c:formatCode>General</c:formatCode>
                  <c:ptCount val="17"/>
                  <c:pt idx="0">
                    <c:v>0.20924878580150907</c:v>
                  </c:pt>
                  <c:pt idx="1">
                    <c:v>0.77367966848156389</c:v>
                  </c:pt>
                  <c:pt idx="2">
                    <c:v>0.81248777800062444</c:v>
                  </c:pt>
                  <c:pt idx="3">
                    <c:v>21.308694797776361</c:v>
                  </c:pt>
                  <c:pt idx="4">
                    <c:v>2.411057210270827</c:v>
                  </c:pt>
                  <c:pt idx="5">
                    <c:v>6.5405942935590327</c:v>
                  </c:pt>
                  <c:pt idx="6">
                    <c:v>7.1549129951130634</c:v>
                  </c:pt>
                  <c:pt idx="7">
                    <c:v>6.1445926729560174</c:v>
                  </c:pt>
                  <c:pt idx="8">
                    <c:v>13.698611949637149</c:v>
                  </c:pt>
                  <c:pt idx="9">
                    <c:v>5.9222617544954659</c:v>
                  </c:pt>
                  <c:pt idx="10">
                    <c:v>9.1104431972760658</c:v>
                  </c:pt>
                  <c:pt idx="11">
                    <c:v>4.1891226827018775</c:v>
                  </c:pt>
                  <c:pt idx="12">
                    <c:v>18.058276574409433</c:v>
                  </c:pt>
                  <c:pt idx="13">
                    <c:v>8.3370073783558745</c:v>
                  </c:pt>
                </c:numCache>
              </c:numRef>
            </c:plus>
            <c:minus>
              <c:numRef>
                <c:f>'C-phycocyanin UTEX #1926'!$AH$94:$AH$110</c:f>
                <c:numCache>
                  <c:formatCode>General</c:formatCode>
                  <c:ptCount val="17"/>
                  <c:pt idx="0">
                    <c:v>0.20924878580150907</c:v>
                  </c:pt>
                  <c:pt idx="1">
                    <c:v>0.77367966848156389</c:v>
                  </c:pt>
                  <c:pt idx="2">
                    <c:v>0.81248777800062444</c:v>
                  </c:pt>
                  <c:pt idx="3">
                    <c:v>21.308694797776361</c:v>
                  </c:pt>
                  <c:pt idx="4">
                    <c:v>2.411057210270827</c:v>
                  </c:pt>
                  <c:pt idx="5">
                    <c:v>6.5405942935590327</c:v>
                  </c:pt>
                  <c:pt idx="6">
                    <c:v>7.1549129951130634</c:v>
                  </c:pt>
                  <c:pt idx="7">
                    <c:v>6.1445926729560174</c:v>
                  </c:pt>
                  <c:pt idx="8">
                    <c:v>13.698611949637149</c:v>
                  </c:pt>
                  <c:pt idx="9">
                    <c:v>5.9222617544954659</c:v>
                  </c:pt>
                  <c:pt idx="10">
                    <c:v>9.1104431972760658</c:v>
                  </c:pt>
                  <c:pt idx="11">
                    <c:v>4.1891226827018775</c:v>
                  </c:pt>
                  <c:pt idx="12">
                    <c:v>18.058276574409433</c:v>
                  </c:pt>
                  <c:pt idx="13">
                    <c:v>8.3370073783558745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#1926'!$AD$94:$AD$110</c:f>
              <c:numCache>
                <c:formatCode>0</c:formatCode>
                <c:ptCount val="17"/>
                <c:pt idx="0">
                  <c:v>23.016666666666666</c:v>
                </c:pt>
                <c:pt idx="1">
                  <c:v>94.833333333333343</c:v>
                </c:pt>
                <c:pt idx="2">
                  <c:v>118.85000000000001</c:v>
                </c:pt>
                <c:pt idx="3">
                  <c:v>191.35</c:v>
                </c:pt>
                <c:pt idx="4">
                  <c:v>216.28333333333333</c:v>
                </c:pt>
                <c:pt idx="5">
                  <c:v>240.18333333333334</c:v>
                </c:pt>
                <c:pt idx="6">
                  <c:v>264.18333333333334</c:v>
                </c:pt>
                <c:pt idx="7">
                  <c:v>288.18333333333334</c:v>
                </c:pt>
                <c:pt idx="8">
                  <c:v>312.08333333333331</c:v>
                </c:pt>
                <c:pt idx="9">
                  <c:v>336.08333333333331</c:v>
                </c:pt>
                <c:pt idx="10">
                  <c:v>360.08333333333331</c:v>
                </c:pt>
                <c:pt idx="11">
                  <c:v>384.08333333333331</c:v>
                </c:pt>
                <c:pt idx="12">
                  <c:v>408.08333333333331</c:v>
                </c:pt>
                <c:pt idx="13">
                  <c:v>432.25</c:v>
                </c:pt>
              </c:numCache>
            </c:numRef>
          </c:xVal>
          <c:yVal>
            <c:numRef>
              <c:f>'C-phycocyanin UTEX #1926'!$AG$94:$AG$110</c:f>
              <c:numCache>
                <c:formatCode>0.00</c:formatCode>
                <c:ptCount val="17"/>
                <c:pt idx="0">
                  <c:v>6.1195367368989748</c:v>
                </c:pt>
                <c:pt idx="1">
                  <c:v>34.429659643435983</c:v>
                </c:pt>
                <c:pt idx="2">
                  <c:v>41.601485683414381</c:v>
                </c:pt>
                <c:pt idx="3">
                  <c:v>84.124862741573025</c:v>
                </c:pt>
                <c:pt idx="4">
                  <c:v>144.77188225717853</c:v>
                </c:pt>
                <c:pt idx="5">
                  <c:v>136.44540000000001</c:v>
                </c:pt>
                <c:pt idx="6">
                  <c:v>149.34784999999999</c:v>
                </c:pt>
                <c:pt idx="7">
                  <c:v>152.46539999999999</c:v>
                </c:pt>
                <c:pt idx="8">
                  <c:v>128.62447790696089</c:v>
                </c:pt>
                <c:pt idx="9">
                  <c:v>159.37654000000001</c:v>
                </c:pt>
                <c:pt idx="10">
                  <c:v>173.46729999999999</c:v>
                </c:pt>
                <c:pt idx="11">
                  <c:v>195.48454000000001</c:v>
                </c:pt>
                <c:pt idx="12">
                  <c:v>210.47833</c:v>
                </c:pt>
                <c:pt idx="13">
                  <c:v>234.29812734082404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F46-E247-971A-09461F07F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CeBER'!$B$2:$U$2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CeBER'!$Y$4:$Y$13</c:f>
                <c:numCache>
                  <c:formatCode>General</c:formatCode>
                  <c:ptCount val="10"/>
                  <c:pt idx="0">
                    <c:v>2.741726505015633E-2</c:v>
                  </c:pt>
                  <c:pt idx="1">
                    <c:v>8.1471524532790458E-3</c:v>
                  </c:pt>
                  <c:pt idx="2">
                    <c:v>1.7961485738608205E-2</c:v>
                  </c:pt>
                  <c:pt idx="3">
                    <c:v>2.3608217233995487E-2</c:v>
                  </c:pt>
                  <c:pt idx="4">
                    <c:v>3.9700914007146414E-3</c:v>
                  </c:pt>
                  <c:pt idx="5">
                    <c:v>9.7059011787633445E-2</c:v>
                  </c:pt>
                  <c:pt idx="6">
                    <c:v>6.6881301796716225E-2</c:v>
                  </c:pt>
                  <c:pt idx="7">
                    <c:v>2.4938400526802365E-2</c:v>
                  </c:pt>
                  <c:pt idx="8">
                    <c:v>6.9458696717399251E-2</c:v>
                  </c:pt>
                </c:numCache>
              </c:numRef>
            </c:plus>
            <c:minus>
              <c:numRef>
                <c:f>'Nitrate content CeBER'!$Y$4:$Y$13</c:f>
                <c:numCache>
                  <c:formatCode>General</c:formatCode>
                  <c:ptCount val="10"/>
                  <c:pt idx="0">
                    <c:v>2.741726505015633E-2</c:v>
                  </c:pt>
                  <c:pt idx="1">
                    <c:v>8.1471524532790458E-3</c:v>
                  </c:pt>
                  <c:pt idx="2">
                    <c:v>1.7961485738608205E-2</c:v>
                  </c:pt>
                  <c:pt idx="3">
                    <c:v>2.3608217233995487E-2</c:v>
                  </c:pt>
                  <c:pt idx="4">
                    <c:v>3.9700914007146414E-3</c:v>
                  </c:pt>
                  <c:pt idx="5">
                    <c:v>9.7059011787633445E-2</c:v>
                  </c:pt>
                  <c:pt idx="6">
                    <c:v>6.6881301796716225E-2</c:v>
                  </c:pt>
                  <c:pt idx="7">
                    <c:v>2.4938400526802365E-2</c:v>
                  </c:pt>
                  <c:pt idx="8">
                    <c:v>6.9458696717399251E-2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CeBER'!$W$4:$W$13</c:f>
              <c:numCache>
                <c:formatCode>0</c:formatCode>
                <c:ptCount val="10"/>
                <c:pt idx="0">
                  <c:v>0</c:v>
                </c:pt>
                <c:pt idx="1">
                  <c:v>47.616666666666667</c:v>
                </c:pt>
                <c:pt idx="2">
                  <c:v>94.833333333333343</c:v>
                </c:pt>
                <c:pt idx="3">
                  <c:v>143.81666666666666</c:v>
                </c:pt>
                <c:pt idx="4">
                  <c:v>191.35</c:v>
                </c:pt>
                <c:pt idx="5">
                  <c:v>239.35</c:v>
                </c:pt>
                <c:pt idx="6">
                  <c:v>312.08333333333331</c:v>
                </c:pt>
                <c:pt idx="7">
                  <c:v>384.08333333333331</c:v>
                </c:pt>
                <c:pt idx="8">
                  <c:v>432.25</c:v>
                </c:pt>
              </c:numCache>
            </c:numRef>
          </c:xVal>
          <c:yVal>
            <c:numRef>
              <c:f>'Nitrate content CeBER'!$X$4:$X$13</c:f>
              <c:numCache>
                <c:formatCode>0.000</c:formatCode>
                <c:ptCount val="10"/>
                <c:pt idx="0">
                  <c:v>1.6043891949206348</c:v>
                </c:pt>
                <c:pt idx="1">
                  <c:v>1.5990729409523812</c:v>
                </c:pt>
                <c:pt idx="2">
                  <c:v>1.4419353384126985</c:v>
                </c:pt>
                <c:pt idx="3">
                  <c:v>1.3367859857142859</c:v>
                </c:pt>
                <c:pt idx="4">
                  <c:v>1.0333860973015874</c:v>
                </c:pt>
                <c:pt idx="5">
                  <c:v>0.84427194801587302</c:v>
                </c:pt>
                <c:pt idx="6">
                  <c:v>0.72484849523809525</c:v>
                </c:pt>
                <c:pt idx="7">
                  <c:v>0.53835581174603175</c:v>
                </c:pt>
                <c:pt idx="8">
                  <c:v>0.37487101333333334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6A-6C49-AB7E-A414F1FB086A}"/>
            </c:ext>
          </c:extLst>
        </c:ser>
        <c:ser>
          <c:idx val="1"/>
          <c:order val="1"/>
          <c:tx>
            <c:strRef>
              <c:f>'Nitrate content CeBER'!$B$32:$U$32</c:f>
              <c:strCache>
                <c:ptCount val="1"/>
                <c:pt idx="0">
                  <c:v>2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CeBER'!$Y$34:$Y$43</c:f>
                <c:numCache>
                  <c:formatCode>General</c:formatCode>
                  <c:ptCount val="10"/>
                  <c:pt idx="0">
                    <c:v>0.10793047094185319</c:v>
                  </c:pt>
                  <c:pt idx="1">
                    <c:v>6.349620903777832E-2</c:v>
                  </c:pt>
                  <c:pt idx="2">
                    <c:v>7.3148232570957261E-2</c:v>
                  </c:pt>
                  <c:pt idx="3">
                    <c:v>4.7216434467990974E-2</c:v>
                  </c:pt>
                  <c:pt idx="4">
                    <c:v>3.0465864827236674E-2</c:v>
                  </c:pt>
                  <c:pt idx="5">
                    <c:v>7.3810290524702074E-2</c:v>
                  </c:pt>
                  <c:pt idx="6">
                    <c:v>0.14254418047944481</c:v>
                  </c:pt>
                  <c:pt idx="7">
                    <c:v>3.6255872376268719E-2</c:v>
                  </c:pt>
                  <c:pt idx="8">
                    <c:v>0.19855409269060476</c:v>
                  </c:pt>
                </c:numCache>
              </c:numRef>
            </c:plus>
            <c:minus>
              <c:numRef>
                <c:f>'Nitrate content CeBER'!$Y$34:$Y$43</c:f>
                <c:numCache>
                  <c:formatCode>General</c:formatCode>
                  <c:ptCount val="10"/>
                  <c:pt idx="0">
                    <c:v>0.10793047094185319</c:v>
                  </c:pt>
                  <c:pt idx="1">
                    <c:v>6.349620903777832E-2</c:v>
                  </c:pt>
                  <c:pt idx="2">
                    <c:v>7.3148232570957261E-2</c:v>
                  </c:pt>
                  <c:pt idx="3">
                    <c:v>4.7216434467990974E-2</c:v>
                  </c:pt>
                  <c:pt idx="4">
                    <c:v>3.0465864827236674E-2</c:v>
                  </c:pt>
                  <c:pt idx="5">
                    <c:v>7.3810290524702074E-2</c:v>
                  </c:pt>
                  <c:pt idx="6">
                    <c:v>0.14254418047944481</c:v>
                  </c:pt>
                  <c:pt idx="7">
                    <c:v>3.6255872376268719E-2</c:v>
                  </c:pt>
                  <c:pt idx="8">
                    <c:v>0.19855409269060476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CeBER'!$W$34:$W$43</c:f>
              <c:numCache>
                <c:formatCode>0</c:formatCode>
                <c:ptCount val="10"/>
                <c:pt idx="0">
                  <c:v>0</c:v>
                </c:pt>
                <c:pt idx="1">
                  <c:v>48.55</c:v>
                </c:pt>
                <c:pt idx="2">
                  <c:v>95.816666666666663</c:v>
                </c:pt>
                <c:pt idx="3">
                  <c:v>144.73333333333335</c:v>
                </c:pt>
                <c:pt idx="4">
                  <c:v>192.3</c:v>
                </c:pt>
                <c:pt idx="5">
                  <c:v>241.06666666666663</c:v>
                </c:pt>
                <c:pt idx="6">
                  <c:v>312.84999999999997</c:v>
                </c:pt>
                <c:pt idx="7">
                  <c:v>384.84999999999997</c:v>
                </c:pt>
                <c:pt idx="8">
                  <c:v>433.01666666666665</c:v>
                </c:pt>
              </c:numCache>
            </c:numRef>
          </c:xVal>
          <c:yVal>
            <c:numRef>
              <c:f>'Nitrate content CeBER'!$X$34:$X$43</c:f>
              <c:numCache>
                <c:formatCode>0.000</c:formatCode>
                <c:ptCount val="10"/>
                <c:pt idx="0">
                  <c:v>3.1526192622222222</c:v>
                </c:pt>
                <c:pt idx="1">
                  <c:v>3.127490485079365</c:v>
                </c:pt>
                <c:pt idx="2">
                  <c:v>3.0788795720634923</c:v>
                </c:pt>
                <c:pt idx="3">
                  <c:v>2.6735719714285717</c:v>
                </c:pt>
                <c:pt idx="4">
                  <c:v>2.4703430965079365</c:v>
                </c:pt>
                <c:pt idx="5">
                  <c:v>2.1370398700000002</c:v>
                </c:pt>
                <c:pt idx="6">
                  <c:v>1.864880876190476</c:v>
                </c:pt>
                <c:pt idx="7">
                  <c:v>1.443007584126984</c:v>
                </c:pt>
                <c:pt idx="8">
                  <c:v>1.2220726999999998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C6A-6C49-AB7E-A414F1FB086A}"/>
            </c:ext>
          </c:extLst>
        </c:ser>
        <c:ser>
          <c:idx val="2"/>
          <c:order val="2"/>
          <c:tx>
            <c:strRef>
              <c:f>'Nitrate content CeBER'!$B$62:$U$62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CeBER'!$Y$64:$Y$73</c:f>
                <c:numCache>
                  <c:formatCode>General</c:formatCode>
                  <c:ptCount val="10"/>
                  <c:pt idx="0">
                    <c:v>0.12388042857142878</c:v>
                  </c:pt>
                  <c:pt idx="1">
                    <c:v>0.16881761253508018</c:v>
                  </c:pt>
                  <c:pt idx="2">
                    <c:v>0.30489407557294418</c:v>
                  </c:pt>
                  <c:pt idx="3">
                    <c:v>0.11709851661583047</c:v>
                  </c:pt>
                  <c:pt idx="4">
                    <c:v>0.10214722156479213</c:v>
                  </c:pt>
                  <c:pt idx="5">
                    <c:v>4.9896210331998578E-2</c:v>
                  </c:pt>
                  <c:pt idx="6">
                    <c:v>2.4460455429366954E-2</c:v>
                  </c:pt>
                  <c:pt idx="7">
                    <c:v>0.1163090476190476</c:v>
                  </c:pt>
                  <c:pt idx="8">
                    <c:v>0.44870571237875956</c:v>
                  </c:pt>
                </c:numCache>
              </c:numRef>
            </c:plus>
            <c:minus>
              <c:numRef>
                <c:f>'Nitrate content CeBER'!$Y$64:$Y$73</c:f>
                <c:numCache>
                  <c:formatCode>General</c:formatCode>
                  <c:ptCount val="10"/>
                  <c:pt idx="0">
                    <c:v>0.12388042857142878</c:v>
                  </c:pt>
                  <c:pt idx="1">
                    <c:v>0.16881761253508018</c:v>
                  </c:pt>
                  <c:pt idx="2">
                    <c:v>0.30489407557294418</c:v>
                  </c:pt>
                  <c:pt idx="3">
                    <c:v>0.11709851661583047</c:v>
                  </c:pt>
                  <c:pt idx="4">
                    <c:v>0.10214722156479213</c:v>
                  </c:pt>
                  <c:pt idx="5">
                    <c:v>4.9896210331998578E-2</c:v>
                  </c:pt>
                  <c:pt idx="6">
                    <c:v>2.4460455429366954E-2</c:v>
                  </c:pt>
                  <c:pt idx="7">
                    <c:v>0.1163090476190476</c:v>
                  </c:pt>
                  <c:pt idx="8">
                    <c:v>0.44870571237875956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CeBER'!$W$64:$W$73</c:f>
              <c:numCache>
                <c:formatCode>0</c:formatCode>
                <c:ptCount val="10"/>
                <c:pt idx="0">
                  <c:v>0</c:v>
                </c:pt>
                <c:pt idx="1">
                  <c:v>49.316666666666663</c:v>
                </c:pt>
                <c:pt idx="2">
                  <c:v>96.566666666666663</c:v>
                </c:pt>
                <c:pt idx="3">
                  <c:v>145.39999999999998</c:v>
                </c:pt>
                <c:pt idx="4">
                  <c:v>193.01666666666665</c:v>
                </c:pt>
                <c:pt idx="5">
                  <c:v>241.96666666666667</c:v>
                </c:pt>
                <c:pt idx="6">
                  <c:v>313.64999999999998</c:v>
                </c:pt>
                <c:pt idx="7">
                  <c:v>385.65000000000003</c:v>
                </c:pt>
                <c:pt idx="8">
                  <c:v>433.88333333333333</c:v>
                </c:pt>
              </c:numCache>
            </c:numRef>
          </c:xVal>
          <c:yVal>
            <c:numRef>
              <c:f>'Nitrate content CeBER'!$X$64:$X$73</c:f>
              <c:numCache>
                <c:formatCode>0.000</c:formatCode>
                <c:ptCount val="10"/>
                <c:pt idx="0">
                  <c:v>6.2551357733333326</c:v>
                </c:pt>
                <c:pt idx="1">
                  <c:v>6.1905432482539693</c:v>
                </c:pt>
                <c:pt idx="2">
                  <c:v>6.0322751593650787</c:v>
                </c:pt>
                <c:pt idx="3">
                  <c:v>5.8505884895238092</c:v>
                </c:pt>
                <c:pt idx="4">
                  <c:v>5.8052531053968259</c:v>
                </c:pt>
                <c:pt idx="5">
                  <c:v>5.6227982588359788</c:v>
                </c:pt>
                <c:pt idx="6">
                  <c:v>5.4106467047619047</c:v>
                </c:pt>
                <c:pt idx="7">
                  <c:v>5.4048814428571426</c:v>
                </c:pt>
                <c:pt idx="8">
                  <c:v>5.3255836199999997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C6A-6C49-AB7E-A414F1FB08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33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5975B7F-A1D2-204C-946B-29FA288C7063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C13FC1-73C4-4841-B248-5B85DB82E1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33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2D7266-1B36-4E46-A912-807BEF9C4DF8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311142-5B74-A14A-973A-2191013643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DC5976-A6F7-3444-9223-34B4256266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265B8A-87EC-1F42-9885-8EC1B37AEB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35F3E0-C5F0-D945-B415-04E3F2513E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989385-E544-D146-88FB-8E360C77A1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E9F42D-8111-B54B-B077-BE34B05B4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10F4E41-37D1-5747-9D4E-7280716E15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07E75-033A-304D-8075-F0132B50AF23}">
  <dimension ref="A1:F19"/>
  <sheetViews>
    <sheetView tabSelected="1" workbookViewId="0">
      <selection sqref="A1:C2"/>
    </sheetView>
  </sheetViews>
  <sheetFormatPr baseColWidth="10" defaultColWidth="41.1640625" defaultRowHeight="14" x14ac:dyDescent="0.15"/>
  <cols>
    <col min="1" max="1" width="31" style="20" customWidth="1"/>
    <col min="2" max="2" width="9.5" style="21" customWidth="1"/>
    <col min="3" max="3" width="56.1640625" style="20" customWidth="1"/>
    <col min="4" max="4" width="41.1640625" style="1"/>
    <col min="5" max="16384" width="41.1640625" style="3"/>
  </cols>
  <sheetData>
    <row r="1" spans="1:6" s="2" customFormat="1" ht="18" customHeight="1" x14ac:dyDescent="0.2">
      <c r="A1" s="161" t="s">
        <v>115</v>
      </c>
      <c r="B1" s="161"/>
      <c r="C1" s="161"/>
      <c r="D1" s="1"/>
    </row>
    <row r="2" spans="1:6" ht="18" customHeight="1" x14ac:dyDescent="0.15">
      <c r="A2" s="161"/>
      <c r="B2" s="161"/>
      <c r="C2" s="161"/>
    </row>
    <row r="3" spans="1:6" ht="16" x14ac:dyDescent="0.15">
      <c r="A3" s="162" t="s">
        <v>41</v>
      </c>
      <c r="B3" s="162"/>
      <c r="C3" s="162"/>
    </row>
    <row r="4" spans="1:6" s="4" customFormat="1" x14ac:dyDescent="0.15">
      <c r="A4" s="163" t="s">
        <v>42</v>
      </c>
      <c r="B4" s="163"/>
      <c r="C4" s="163"/>
      <c r="D4" s="1"/>
    </row>
    <row r="5" spans="1:6" s="5" customFormat="1" ht="13" x14ac:dyDescent="0.15">
      <c r="A5" s="164" t="s">
        <v>43</v>
      </c>
      <c r="B5" s="164"/>
      <c r="C5" s="164"/>
      <c r="D5" s="1"/>
    </row>
    <row r="6" spans="1:6" ht="60" customHeight="1" x14ac:dyDescent="0.15">
      <c r="A6" s="165" t="s">
        <v>44</v>
      </c>
      <c r="B6" s="165"/>
      <c r="C6" s="165"/>
    </row>
    <row r="7" spans="1:6" ht="17" customHeight="1" x14ac:dyDescent="0.15">
      <c r="A7" s="166" t="s">
        <v>108</v>
      </c>
      <c r="B7" s="166"/>
      <c r="C7" s="166"/>
    </row>
    <row r="8" spans="1:6" ht="30" customHeight="1" x14ac:dyDescent="0.15">
      <c r="A8" s="159" t="s">
        <v>45</v>
      </c>
      <c r="B8" s="159"/>
      <c r="C8" s="159"/>
    </row>
    <row r="9" spans="1:6" x14ac:dyDescent="0.15">
      <c r="A9" s="6" t="s">
        <v>46</v>
      </c>
      <c r="B9" s="7"/>
      <c r="C9" s="8">
        <v>44277</v>
      </c>
    </row>
    <row r="10" spans="1:6" ht="15" thickBot="1" x14ac:dyDescent="0.2">
      <c r="A10" s="9" t="s">
        <v>47</v>
      </c>
      <c r="B10" s="10"/>
      <c r="C10" s="11">
        <v>44295</v>
      </c>
    </row>
    <row r="11" spans="1:6" s="5" customFormat="1" thickBot="1" x14ac:dyDescent="0.2">
      <c r="A11" s="12"/>
      <c r="B11" s="13"/>
      <c r="C11" s="12"/>
      <c r="D11" s="1"/>
    </row>
    <row r="12" spans="1:6" ht="18" thickBot="1" x14ac:dyDescent="0.2">
      <c r="A12" s="14" t="s">
        <v>48</v>
      </c>
      <c r="B12" s="15" t="s">
        <v>49</v>
      </c>
      <c r="C12" s="16" t="s">
        <v>50</v>
      </c>
    </row>
    <row r="13" spans="1:6" ht="15" x14ac:dyDescent="0.15">
      <c r="A13" s="17" t="s">
        <v>51</v>
      </c>
      <c r="B13" s="18">
        <v>1</v>
      </c>
      <c r="C13" s="19" t="s">
        <v>52</v>
      </c>
    </row>
    <row r="14" spans="1:6" ht="45" x14ac:dyDescent="0.15">
      <c r="A14" s="17" t="s">
        <v>53</v>
      </c>
      <c r="B14" s="18">
        <v>2</v>
      </c>
      <c r="C14" s="19" t="s">
        <v>109</v>
      </c>
      <c r="D14" s="160"/>
      <c r="E14" s="160"/>
      <c r="F14" s="160"/>
    </row>
    <row r="15" spans="1:6" ht="45" x14ac:dyDescent="0.15">
      <c r="A15" s="17" t="s">
        <v>54</v>
      </c>
      <c r="B15" s="18">
        <v>3</v>
      </c>
      <c r="C15" s="19" t="s">
        <v>110</v>
      </c>
    </row>
    <row r="16" spans="1:6" ht="45" x14ac:dyDescent="0.15">
      <c r="A16" s="17" t="s">
        <v>55</v>
      </c>
      <c r="B16" s="18">
        <v>4</v>
      </c>
      <c r="C16" s="19" t="s">
        <v>111</v>
      </c>
    </row>
    <row r="17" spans="1:3" ht="45" x14ac:dyDescent="0.15">
      <c r="A17" s="17" t="s">
        <v>56</v>
      </c>
      <c r="B17" s="18">
        <v>5</v>
      </c>
      <c r="C17" s="19" t="s">
        <v>112</v>
      </c>
    </row>
    <row r="18" spans="1:3" ht="45" x14ac:dyDescent="0.15">
      <c r="A18" s="17" t="s">
        <v>57</v>
      </c>
      <c r="B18" s="18">
        <v>6</v>
      </c>
      <c r="C18" s="19" t="s">
        <v>113</v>
      </c>
    </row>
    <row r="19" spans="1:3" ht="45" x14ac:dyDescent="0.15">
      <c r="A19" s="17" t="s">
        <v>58</v>
      </c>
      <c r="B19" s="18">
        <v>7</v>
      </c>
      <c r="C19" s="19" t="s">
        <v>114</v>
      </c>
    </row>
  </sheetData>
  <mergeCells count="8">
    <mergeCell ref="A8:C8"/>
    <mergeCell ref="D14:F14"/>
    <mergeCell ref="A1:C2"/>
    <mergeCell ref="A3:C3"/>
    <mergeCell ref="A4:C4"/>
    <mergeCell ref="A5:C5"/>
    <mergeCell ref="A6:C6"/>
    <mergeCell ref="A7:C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78478-5196-B54B-8C76-5FBECBAC1F78}">
  <dimension ref="A1:AF84"/>
  <sheetViews>
    <sheetView zoomScaleNormal="100" workbookViewId="0">
      <selection sqref="A1:AB1"/>
    </sheetView>
  </sheetViews>
  <sheetFormatPr baseColWidth="10" defaultColWidth="8.83203125" defaultRowHeight="14" x14ac:dyDescent="0.15"/>
  <cols>
    <col min="1" max="1" width="74.5" style="3" customWidth="1"/>
    <col min="2" max="2" width="12" style="3" bestFit="1" customWidth="1"/>
    <col min="3" max="3" width="12" style="3" customWidth="1"/>
    <col min="4" max="11" width="8.83203125" style="3"/>
    <col min="12" max="12" width="13.33203125" style="3" customWidth="1"/>
    <col min="13" max="13" width="10.33203125" style="3" customWidth="1"/>
    <col min="14" max="16" width="8.83203125" style="3"/>
    <col min="17" max="17" width="13.1640625" style="3" customWidth="1"/>
    <col min="18" max="18" width="10.5" style="3" customWidth="1"/>
    <col min="19" max="19" width="8.5" style="3" customWidth="1"/>
    <col min="20" max="20" width="9.1640625" style="3" bestFit="1" customWidth="1"/>
    <col min="21" max="21" width="9.33203125" style="3" bestFit="1" customWidth="1"/>
    <col min="22" max="26" width="9" style="3" bestFit="1" customWidth="1"/>
    <col min="27" max="27" width="10.33203125" style="3" customWidth="1"/>
    <col min="28" max="28" width="8.83203125" style="3" customWidth="1"/>
    <col min="29" max="29" width="12.1640625" style="3" customWidth="1"/>
    <col min="30" max="16384" width="8.83203125" style="3"/>
  </cols>
  <sheetData>
    <row r="1" spans="1:32" ht="17" customHeight="1" thickBot="1" x14ac:dyDescent="0.2">
      <c r="A1" s="187" t="s">
        <v>59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9"/>
    </row>
    <row r="2" spans="1:32" ht="15" customHeight="1" thickBot="1" x14ac:dyDescent="0.2">
      <c r="A2" s="22"/>
      <c r="B2" s="190" t="s">
        <v>72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2"/>
    </row>
    <row r="3" spans="1:32" ht="45" customHeight="1" x14ac:dyDescent="0.15">
      <c r="A3" s="22"/>
      <c r="B3" s="23" t="s">
        <v>0</v>
      </c>
      <c r="C3" s="24" t="s">
        <v>1</v>
      </c>
      <c r="D3" s="25" t="s">
        <v>2</v>
      </c>
      <c r="E3" s="26" t="s">
        <v>3</v>
      </c>
      <c r="F3" s="174" t="s">
        <v>61</v>
      </c>
      <c r="G3" s="175"/>
      <c r="H3" s="176"/>
      <c r="I3" s="177" t="s">
        <v>13</v>
      </c>
      <c r="J3" s="175"/>
      <c r="K3" s="176"/>
      <c r="L3" s="27" t="s">
        <v>4</v>
      </c>
      <c r="M3" s="28" t="s">
        <v>62</v>
      </c>
      <c r="N3" s="177" t="s">
        <v>63</v>
      </c>
      <c r="O3" s="175"/>
      <c r="P3" s="176"/>
      <c r="Q3" s="28" t="s">
        <v>5</v>
      </c>
      <c r="R3" s="28" t="s">
        <v>62</v>
      </c>
      <c r="S3" s="177" t="s">
        <v>6</v>
      </c>
      <c r="T3" s="175"/>
      <c r="U3" s="176"/>
      <c r="V3" s="27" t="s">
        <v>64</v>
      </c>
      <c r="W3" s="27" t="s">
        <v>62</v>
      </c>
      <c r="X3" s="177" t="s">
        <v>65</v>
      </c>
      <c r="Y3" s="175"/>
      <c r="Z3" s="176"/>
      <c r="AA3" s="27" t="s">
        <v>66</v>
      </c>
      <c r="AB3" s="29" t="s">
        <v>62</v>
      </c>
    </row>
    <row r="4" spans="1:32" ht="15" customHeight="1" x14ac:dyDescent="0.15">
      <c r="A4" s="22"/>
      <c r="B4" s="30"/>
      <c r="C4" s="31"/>
      <c r="D4" s="32"/>
      <c r="E4" s="33"/>
      <c r="F4" s="168" t="s">
        <v>16</v>
      </c>
      <c r="G4" s="169"/>
      <c r="H4" s="170"/>
      <c r="I4" s="180" t="s">
        <v>7</v>
      </c>
      <c r="J4" s="169"/>
      <c r="K4" s="170"/>
      <c r="L4" s="36" t="s">
        <v>7</v>
      </c>
      <c r="M4" s="37"/>
      <c r="N4" s="180" t="s">
        <v>7</v>
      </c>
      <c r="O4" s="169"/>
      <c r="P4" s="170"/>
      <c r="Q4" s="35" t="s">
        <v>7</v>
      </c>
      <c r="R4" s="35"/>
      <c r="S4" s="183" t="s">
        <v>67</v>
      </c>
      <c r="T4" s="184"/>
      <c r="U4" s="185"/>
      <c r="V4" s="36" t="s">
        <v>67</v>
      </c>
      <c r="W4" s="32"/>
      <c r="X4" s="183" t="s">
        <v>68</v>
      </c>
      <c r="Y4" s="184"/>
      <c r="Z4" s="185"/>
      <c r="AA4" s="38" t="s">
        <v>68</v>
      </c>
      <c r="AB4" s="39"/>
      <c r="AD4" s="5"/>
      <c r="AE4" s="5"/>
      <c r="AF4" s="5"/>
    </row>
    <row r="5" spans="1:32" s="5" customFormat="1" ht="13" x14ac:dyDescent="0.15">
      <c r="A5" s="40"/>
      <c r="B5" s="167" t="s">
        <v>8</v>
      </c>
      <c r="C5" s="152">
        <v>0.55138888888888882</v>
      </c>
      <c r="D5" s="93">
        <v>0</v>
      </c>
      <c r="E5" s="186">
        <v>1</v>
      </c>
      <c r="F5" s="41">
        <v>0.10299999999999999</v>
      </c>
      <c r="G5" s="42">
        <v>9.5000000000000001E-2</v>
      </c>
      <c r="H5" s="42">
        <v>0.10100000000000001</v>
      </c>
      <c r="I5" s="42">
        <f t="shared" ref="I5:K23" si="0">1.2334*F5</f>
        <v>0.12704019999999999</v>
      </c>
      <c r="J5" s="42">
        <f t="shared" si="0"/>
        <v>0.117173</v>
      </c>
      <c r="K5" s="42">
        <f t="shared" si="0"/>
        <v>0.12457340000000001</v>
      </c>
      <c r="L5" s="43">
        <f t="shared" ref="L5:L23" si="1">AVERAGE(I5:K5)</f>
        <v>0.12292886666666668</v>
      </c>
      <c r="M5" s="42">
        <f t="shared" ref="M5:M23" si="2">STDEV(I5:K5)/SQRT(3)</f>
        <v>2.9647246287715233E-3</v>
      </c>
      <c r="N5" s="42">
        <f t="shared" ref="N5:P23" si="3">LN(I5)</f>
        <v>-2.0632517071772458</v>
      </c>
      <c r="O5" s="42">
        <f t="shared" si="3"/>
        <v>-2.1441038038063409</v>
      </c>
      <c r="P5" s="42">
        <f t="shared" si="3"/>
        <v>-2.082860178565622</v>
      </c>
      <c r="Q5" s="43">
        <f t="shared" ref="Q5:Q23" si="4">AVERAGE(N5:P5)</f>
        <v>-2.0967385631830697</v>
      </c>
      <c r="R5" s="42">
        <f>STDEV(N5:P5)/SQRT(3)</f>
        <v>2.4349692345917412E-2</v>
      </c>
      <c r="AB5" s="44"/>
      <c r="AD5" s="45"/>
    </row>
    <row r="6" spans="1:32" s="5" customFormat="1" ht="13" x14ac:dyDescent="0.15">
      <c r="A6" s="40"/>
      <c r="B6" s="167"/>
      <c r="C6" s="152">
        <v>0.69305555555555554</v>
      </c>
      <c r="D6" s="93">
        <f>3+24/60+D5</f>
        <v>3.4</v>
      </c>
      <c r="E6" s="186"/>
      <c r="F6" s="147">
        <v>0.123</v>
      </c>
      <c r="G6" s="148">
        <v>0.123</v>
      </c>
      <c r="H6" s="148">
        <v>0.11799999999999999</v>
      </c>
      <c r="I6" s="42">
        <f t="shared" si="0"/>
        <v>0.15170820000000002</v>
      </c>
      <c r="J6" s="42">
        <f t="shared" si="0"/>
        <v>0.15170820000000002</v>
      </c>
      <c r="K6" s="42">
        <f t="shared" si="0"/>
        <v>0.14554120000000001</v>
      </c>
      <c r="L6" s="43">
        <f t="shared" si="1"/>
        <v>0.14965253333333337</v>
      </c>
      <c r="M6" s="42">
        <f t="shared" si="2"/>
        <v>2.0556666666666687E-3</v>
      </c>
      <c r="N6" s="42">
        <f t="shared" si="3"/>
        <v>-1.8857963400344642</v>
      </c>
      <c r="O6" s="42">
        <f t="shared" si="3"/>
        <v>-1.8857963400344642</v>
      </c>
      <c r="P6" s="42">
        <f t="shared" si="3"/>
        <v>-1.9272960709412168</v>
      </c>
      <c r="Q6" s="43">
        <f t="shared" si="4"/>
        <v>-1.8996295836700483</v>
      </c>
      <c r="R6" s="42">
        <f t="shared" ref="R6:R23" si="5">STDEV(N6:P6)/SQRT(3)</f>
        <v>1.3833243635584211E-2</v>
      </c>
      <c r="S6" s="42">
        <f>(N6-N5)/(D6-D5)</f>
        <v>5.2192755041994603E-2</v>
      </c>
      <c r="T6" s="42">
        <f>(O6-O5)/(D6-D5)</f>
        <v>7.5972783462316687E-2</v>
      </c>
      <c r="U6" s="42">
        <f>(P6-P5)/(D6-D5)</f>
        <v>4.5754149301295649E-2</v>
      </c>
      <c r="V6" s="43">
        <f>AVERAGE(S6:U6)</f>
        <v>5.7973229268535646E-2</v>
      </c>
      <c r="W6" s="42">
        <f>STDEV(S6:U6)/SQRT(3)</f>
        <v>9.1897021052949092E-3</v>
      </c>
      <c r="X6" s="42">
        <f>(I6/D6)</f>
        <v>4.4620058823529415E-2</v>
      </c>
      <c r="Y6" s="42">
        <f>J6/D6</f>
        <v>4.4620058823529415E-2</v>
      </c>
      <c r="Z6" s="42">
        <f>K6/D6</f>
        <v>4.2806235294117652E-2</v>
      </c>
      <c r="AA6" s="43">
        <f>AVERAGE(X6:Z6)</f>
        <v>4.4015450980392161E-2</v>
      </c>
      <c r="AB6" s="46">
        <f>STDEV(X6:Z6)/SQRT(3)</f>
        <v>6.0460784313725452E-4</v>
      </c>
      <c r="AD6" s="45"/>
    </row>
    <row r="7" spans="1:32" s="5" customFormat="1" ht="13" x14ac:dyDescent="0.15">
      <c r="A7" s="40"/>
      <c r="B7" s="167"/>
      <c r="C7" s="152">
        <v>0.89583333333333337</v>
      </c>
      <c r="D7" s="93">
        <f>4+52/60+D6</f>
        <v>8.2666666666666675</v>
      </c>
      <c r="E7" s="186"/>
      <c r="F7" s="147">
        <v>0.13200000000000001</v>
      </c>
      <c r="G7" s="148">
        <v>0.13600000000000001</v>
      </c>
      <c r="H7" s="148">
        <v>0.14899999999999999</v>
      </c>
      <c r="I7" s="42">
        <f t="shared" si="0"/>
        <v>0.1628088</v>
      </c>
      <c r="J7" s="42">
        <f t="shared" si="0"/>
        <v>0.16774240000000001</v>
      </c>
      <c r="K7" s="42">
        <f t="shared" si="0"/>
        <v>0.18377660000000001</v>
      </c>
      <c r="L7" s="43">
        <f t="shared" si="1"/>
        <v>0.1714426</v>
      </c>
      <c r="M7" s="42">
        <f t="shared" si="2"/>
        <v>6.3293172154137893E-3</v>
      </c>
      <c r="N7" s="42">
        <f t="shared" si="3"/>
        <v>-1.8151787728205109</v>
      </c>
      <c r="O7" s="42">
        <f t="shared" si="3"/>
        <v>-1.7853258096708295</v>
      </c>
      <c r="P7" s="42">
        <f t="shared" si="3"/>
        <v>-1.6940343894614225</v>
      </c>
      <c r="Q7" s="43">
        <f t="shared" si="4"/>
        <v>-1.7648463239842542</v>
      </c>
      <c r="R7" s="42">
        <f t="shared" si="5"/>
        <v>3.6439664311266752E-2</v>
      </c>
      <c r="S7" s="42">
        <f t="shared" ref="S7:S23" si="6">(N7-N6)/(D7-D6)</f>
        <v>1.4510459016565743E-2</v>
      </c>
      <c r="T7" s="42">
        <f t="shared" ref="T7:T23" si="7">(O7-O6)/(D7-D6)</f>
        <v>2.0644629526774236E-2</v>
      </c>
      <c r="U7" s="42">
        <f t="shared" ref="U7:U23" si="8">(P7-P6)/(D7-D6)</f>
        <v>4.7930482495848144E-2</v>
      </c>
      <c r="V7" s="43">
        <f t="shared" ref="V7:V23" si="9">AVERAGE(S7:U7)</f>
        <v>2.7695190346396042E-2</v>
      </c>
      <c r="W7" s="42">
        <f t="shared" ref="W7:W23" si="10">STDEV(S7:U7)/SQRT(3)</f>
        <v>1.027143771569713E-2</v>
      </c>
      <c r="X7" s="42">
        <f t="shared" ref="X7:X23" si="11">(I7/D7)</f>
        <v>1.9694612903225803E-2</v>
      </c>
      <c r="Y7" s="42">
        <f t="shared" ref="Y7:Y23" si="12">J7/D7</f>
        <v>2.0291419354838709E-2</v>
      </c>
      <c r="Z7" s="42">
        <f t="shared" ref="Z7:Z23" si="13">K7/D7</f>
        <v>2.2231040322580643E-2</v>
      </c>
      <c r="AA7" s="43">
        <f t="shared" ref="AA7:AA23" si="14">AVERAGE(X7:Z7)</f>
        <v>2.0739024193548384E-2</v>
      </c>
      <c r="AB7" s="46">
        <f t="shared" ref="AB7:AB23" si="15">STDEV(X7:Z7)/SQRT(3)</f>
        <v>7.6564321154199062E-4</v>
      </c>
      <c r="AD7" s="45"/>
    </row>
    <row r="8" spans="1:32" s="5" customFormat="1" ht="13" x14ac:dyDescent="0.15">
      <c r="A8" s="40"/>
      <c r="B8" s="47" t="s">
        <v>9</v>
      </c>
      <c r="C8" s="152">
        <v>0.51041666666666663</v>
      </c>
      <c r="D8" s="93">
        <f>10+1/60+13+D5</f>
        <v>23.016666666666666</v>
      </c>
      <c r="E8" s="44">
        <v>2</v>
      </c>
      <c r="F8" s="147">
        <v>0.157</v>
      </c>
      <c r="G8" s="148">
        <v>0.153</v>
      </c>
      <c r="H8" s="148">
        <v>0.16800000000000001</v>
      </c>
      <c r="I8" s="42">
        <f t="shared" si="0"/>
        <v>0.1936438</v>
      </c>
      <c r="J8" s="42">
        <f t="shared" si="0"/>
        <v>0.18871019999999999</v>
      </c>
      <c r="K8" s="42">
        <f t="shared" si="0"/>
        <v>0.20721120000000001</v>
      </c>
      <c r="L8" s="43">
        <f t="shared" si="1"/>
        <v>0.19652173333333334</v>
      </c>
      <c r="M8" s="42">
        <f t="shared" si="2"/>
        <v>5.5312332998869096E-3</v>
      </c>
      <c r="N8" s="42">
        <f t="shared" si="3"/>
        <v>-1.6417348900585735</v>
      </c>
      <c r="O8" s="42">
        <f t="shared" si="3"/>
        <v>-1.6675427740144462</v>
      </c>
      <c r="P8" s="42">
        <f t="shared" si="3"/>
        <v>-1.5740167160036227</v>
      </c>
      <c r="Q8" s="43">
        <f t="shared" si="4"/>
        <v>-1.6277647933588808</v>
      </c>
      <c r="R8" s="42">
        <f t="shared" si="5"/>
        <v>2.7887593317399852E-2</v>
      </c>
      <c r="S8" s="42">
        <f t="shared" si="6"/>
        <v>1.1758907305894059E-2</v>
      </c>
      <c r="T8" s="42">
        <f t="shared" si="7"/>
        <v>7.9852905529751456E-3</v>
      </c>
      <c r="U8" s="42">
        <f t="shared" si="8"/>
        <v>8.1367914208677825E-3</v>
      </c>
      <c r="V8" s="43">
        <f t="shared" si="9"/>
        <v>9.2936630932456618E-3</v>
      </c>
      <c r="W8" s="42">
        <f t="shared" si="10"/>
        <v>1.2333977324502647E-3</v>
      </c>
      <c r="X8" s="42">
        <f t="shared" si="11"/>
        <v>8.4131991310644472E-3</v>
      </c>
      <c r="Y8" s="42">
        <f t="shared" si="12"/>
        <v>8.1988501086169441E-3</v>
      </c>
      <c r="Z8" s="42">
        <f t="shared" si="13"/>
        <v>9.0026589427950766E-3</v>
      </c>
      <c r="AA8" s="43">
        <f t="shared" si="14"/>
        <v>8.5382360608254881E-3</v>
      </c>
      <c r="AB8" s="46">
        <f t="shared" si="15"/>
        <v>2.403142635722045E-4</v>
      </c>
      <c r="AD8" s="45"/>
    </row>
    <row r="9" spans="1:32" s="5" customFormat="1" ht="13" x14ac:dyDescent="0.15">
      <c r="A9" s="40"/>
      <c r="B9" s="47" t="s">
        <v>10</v>
      </c>
      <c r="C9" s="152">
        <v>0.53541666666666665</v>
      </c>
      <c r="D9" s="93">
        <f>36/60+24+D8</f>
        <v>47.616666666666667</v>
      </c>
      <c r="E9" s="44">
        <v>3</v>
      </c>
      <c r="F9" s="147">
        <v>0.26700000000000002</v>
      </c>
      <c r="G9" s="148">
        <v>0.3</v>
      </c>
      <c r="H9" s="148">
        <v>0.26100000000000001</v>
      </c>
      <c r="I9" s="42">
        <f t="shared" si="0"/>
        <v>0.32931780000000005</v>
      </c>
      <c r="J9" s="42">
        <f t="shared" si="0"/>
        <v>0.37002000000000002</v>
      </c>
      <c r="K9" s="42">
        <f t="shared" si="0"/>
        <v>0.32191740000000002</v>
      </c>
      <c r="L9" s="43">
        <f t="shared" si="1"/>
        <v>0.34041840000000007</v>
      </c>
      <c r="M9" s="42">
        <f t="shared" si="2"/>
        <v>1.4954180262388168E-2</v>
      </c>
      <c r="N9" s="42">
        <f t="shared" si="3"/>
        <v>-1.110732037006632</v>
      </c>
      <c r="O9" s="42">
        <f t="shared" si="3"/>
        <v>-0.99419822075068054</v>
      </c>
      <c r="P9" s="42">
        <f t="shared" si="3"/>
        <v>-1.1334602880841882</v>
      </c>
      <c r="Q9" s="43">
        <f t="shared" si="4"/>
        <v>-1.0794635152805003</v>
      </c>
      <c r="R9" s="42">
        <f t="shared" si="5"/>
        <v>4.3134561501205301E-2</v>
      </c>
      <c r="S9" s="42">
        <f t="shared" si="6"/>
        <v>2.1585481831379736E-2</v>
      </c>
      <c r="T9" s="42">
        <f t="shared" si="7"/>
        <v>2.7371729807470147E-2</v>
      </c>
      <c r="U9" s="42">
        <f t="shared" si="8"/>
        <v>1.7908797882903841E-2</v>
      </c>
      <c r="V9" s="43">
        <f t="shared" si="9"/>
        <v>2.2288669840584575E-2</v>
      </c>
      <c r="W9" s="42">
        <f t="shared" si="10"/>
        <v>2.7542467321369406E-3</v>
      </c>
      <c r="X9" s="42">
        <f t="shared" si="11"/>
        <v>6.9160196009800503E-3</v>
      </c>
      <c r="Y9" s="42">
        <f t="shared" si="12"/>
        <v>7.7708085404270214E-3</v>
      </c>
      <c r="Z9" s="42">
        <f t="shared" si="13"/>
        <v>6.7606034301715091E-3</v>
      </c>
      <c r="AA9" s="43">
        <f t="shared" si="14"/>
        <v>7.1491438571928611E-3</v>
      </c>
      <c r="AB9" s="46">
        <f t="shared" si="15"/>
        <v>3.140534881845606E-4</v>
      </c>
      <c r="AD9" s="45"/>
    </row>
    <row r="10" spans="1:32" s="5" customFormat="1" ht="13" x14ac:dyDescent="0.15">
      <c r="A10" s="40"/>
      <c r="B10" s="47" t="s">
        <v>27</v>
      </c>
      <c r="C10" s="152">
        <v>0.50277777777777777</v>
      </c>
      <c r="D10" s="93">
        <f>10+13/60+13+24+D9</f>
        <v>94.833333333333343</v>
      </c>
      <c r="E10" s="44">
        <v>5</v>
      </c>
      <c r="F10" s="147">
        <v>0.61599999999999999</v>
      </c>
      <c r="G10" s="148">
        <v>0.626</v>
      </c>
      <c r="H10" s="148">
        <v>0.61899999999999999</v>
      </c>
      <c r="I10" s="42">
        <f t="shared" si="0"/>
        <v>0.75977440000000007</v>
      </c>
      <c r="J10" s="42">
        <f t="shared" si="0"/>
        <v>0.77210840000000003</v>
      </c>
      <c r="K10" s="42">
        <f t="shared" si="0"/>
        <v>0.7634746</v>
      </c>
      <c r="L10" s="43">
        <f t="shared" si="1"/>
        <v>0.76511913333333326</v>
      </c>
      <c r="M10" s="42">
        <f t="shared" si="2"/>
        <v>3.6542329981056735E-3</v>
      </c>
      <c r="N10" s="42">
        <f t="shared" si="3"/>
        <v>-0.27473373187336181</v>
      </c>
      <c r="O10" s="42">
        <f t="shared" si="3"/>
        <v>-0.25863032430678312</v>
      </c>
      <c r="P10" s="42">
        <f t="shared" si="3"/>
        <v>-0.26987542272228554</v>
      </c>
      <c r="Q10" s="43">
        <f t="shared" si="4"/>
        <v>-0.26774649296747682</v>
      </c>
      <c r="R10" s="42">
        <f t="shared" si="5"/>
        <v>4.7689687997692744E-3</v>
      </c>
      <c r="S10" s="42">
        <f t="shared" si="6"/>
        <v>1.7705576529472716E-2</v>
      </c>
      <c r="T10" s="42">
        <f t="shared" si="7"/>
        <v>1.557856469701159E-2</v>
      </c>
      <c r="U10" s="42">
        <f t="shared" si="8"/>
        <v>1.8289831246634011E-2</v>
      </c>
      <c r="V10" s="43">
        <f t="shared" si="9"/>
        <v>1.7191324157706106E-2</v>
      </c>
      <c r="W10" s="42">
        <f t="shared" si="10"/>
        <v>8.2382910893300659E-4</v>
      </c>
      <c r="X10" s="42">
        <f t="shared" si="11"/>
        <v>8.0116808435852366E-3</v>
      </c>
      <c r="Y10" s="42">
        <f t="shared" si="12"/>
        <v>8.1417405975395419E-3</v>
      </c>
      <c r="Z10" s="42">
        <f t="shared" si="13"/>
        <v>8.050698769771528E-3</v>
      </c>
      <c r="AA10" s="43">
        <f t="shared" si="14"/>
        <v>8.0680400702987671E-3</v>
      </c>
      <c r="AB10" s="46">
        <f t="shared" si="15"/>
        <v>3.8533212633803209E-5</v>
      </c>
      <c r="AD10" s="45"/>
    </row>
    <row r="11" spans="1:32" s="5" customFormat="1" ht="13" x14ac:dyDescent="0.15">
      <c r="A11" s="40"/>
      <c r="B11" s="47" t="s">
        <v>28</v>
      </c>
      <c r="C11" s="152">
        <v>0.50347222222222221</v>
      </c>
      <c r="D11" s="93">
        <f>1/60+24+D10</f>
        <v>118.85000000000001</v>
      </c>
      <c r="E11" s="44">
        <v>6</v>
      </c>
      <c r="F11" s="147">
        <v>0.752</v>
      </c>
      <c r="G11" s="148">
        <v>0.79600000000000004</v>
      </c>
      <c r="H11" s="148">
        <v>0.84599999999999997</v>
      </c>
      <c r="I11" s="42">
        <f t="shared" si="0"/>
        <v>0.92751680000000003</v>
      </c>
      <c r="J11" s="42">
        <f t="shared" si="0"/>
        <v>0.98178640000000006</v>
      </c>
      <c r="K11" s="42">
        <f t="shared" si="0"/>
        <v>1.0434564</v>
      </c>
      <c r="L11" s="43">
        <f t="shared" si="1"/>
        <v>0.98425320000000005</v>
      </c>
      <c r="M11" s="42">
        <f t="shared" si="2"/>
        <v>3.3491598641649398E-2</v>
      </c>
      <c r="N11" s="42">
        <f t="shared" si="3"/>
        <v>-7.5244371457041812E-2</v>
      </c>
      <c r="O11" s="42">
        <f t="shared" si="3"/>
        <v>-1.838150956249859E-2</v>
      </c>
      <c r="P11" s="42">
        <f t="shared" si="3"/>
        <v>4.2538664199341568E-2</v>
      </c>
      <c r="Q11" s="43">
        <f t="shared" si="4"/>
        <v>-1.7029072273399611E-2</v>
      </c>
      <c r="R11" s="42">
        <f t="shared" si="5"/>
        <v>3.4007757385014027E-2</v>
      </c>
      <c r="S11" s="42">
        <f t="shared" si="6"/>
        <v>8.3062884281604431E-3</v>
      </c>
      <c r="T11" s="42">
        <f t="shared" si="7"/>
        <v>1.00034204612471E-2</v>
      </c>
      <c r="U11" s="42">
        <f t="shared" si="8"/>
        <v>1.3008220135529235E-2</v>
      </c>
      <c r="V11" s="43">
        <f t="shared" si="9"/>
        <v>1.0439309674978926E-2</v>
      </c>
      <c r="W11" s="42">
        <f t="shared" si="10"/>
        <v>1.3747169405827772E-3</v>
      </c>
      <c r="X11" s="42">
        <f t="shared" si="11"/>
        <v>7.8040959192259146E-3</v>
      </c>
      <c r="Y11" s="42">
        <f t="shared" si="12"/>
        <v>8.2607185527976447E-3</v>
      </c>
      <c r="Z11" s="42">
        <f t="shared" si="13"/>
        <v>8.7796079091291539E-3</v>
      </c>
      <c r="AA11" s="43">
        <f t="shared" si="14"/>
        <v>8.2814741270509033E-3</v>
      </c>
      <c r="AB11" s="46">
        <f t="shared" si="15"/>
        <v>2.8179721196171156E-4</v>
      </c>
      <c r="AD11" s="45"/>
    </row>
    <row r="12" spans="1:32" s="5" customFormat="1" ht="13" x14ac:dyDescent="0.15">
      <c r="A12" s="40"/>
      <c r="B12" s="47" t="s">
        <v>29</v>
      </c>
      <c r="C12" s="152">
        <v>0.54375000000000007</v>
      </c>
      <c r="D12" s="93">
        <f>58/60+24+D11</f>
        <v>143.81666666666666</v>
      </c>
      <c r="E12" s="44">
        <v>7</v>
      </c>
      <c r="F12" s="147">
        <v>0.95899999999999996</v>
      </c>
      <c r="G12" s="148">
        <v>1.004</v>
      </c>
      <c r="H12" s="148">
        <v>1.079</v>
      </c>
      <c r="I12" s="42">
        <f t="shared" si="0"/>
        <v>1.1828306</v>
      </c>
      <c r="J12" s="42">
        <f t="shared" si="0"/>
        <v>1.2383336</v>
      </c>
      <c r="K12" s="42">
        <f t="shared" si="0"/>
        <v>1.3308386000000001</v>
      </c>
      <c r="L12" s="43">
        <f t="shared" si="1"/>
        <v>1.2506675999999999</v>
      </c>
      <c r="M12" s="42">
        <f t="shared" si="2"/>
        <v>4.3169000000000041E-2</v>
      </c>
      <c r="N12" s="42">
        <f t="shared" si="3"/>
        <v>0.16791037947655651</v>
      </c>
      <c r="O12" s="42">
        <f t="shared" si="3"/>
        <v>0.21376660484479287</v>
      </c>
      <c r="P12" s="42">
        <f t="shared" si="3"/>
        <v>0.28580926985125304</v>
      </c>
      <c r="Q12" s="43">
        <f t="shared" si="4"/>
        <v>0.22249541805753414</v>
      </c>
      <c r="R12" s="42">
        <f t="shared" si="5"/>
        <v>3.4313171537925909E-2</v>
      </c>
      <c r="S12" s="42">
        <f t="shared" si="6"/>
        <v>9.7391756048170273E-3</v>
      </c>
      <c r="T12" s="42">
        <f t="shared" si="7"/>
        <v>9.2983223394108774E-3</v>
      </c>
      <c r="U12" s="42">
        <f t="shared" si="8"/>
        <v>9.7438159807174199E-3</v>
      </c>
      <c r="V12" s="43">
        <f t="shared" si="9"/>
        <v>9.5937713083151088E-3</v>
      </c>
      <c r="W12" s="42">
        <f t="shared" si="10"/>
        <v>1.4773055787711863E-4</v>
      </c>
      <c r="X12" s="42">
        <f t="shared" si="11"/>
        <v>8.2245724881214507E-3</v>
      </c>
      <c r="Y12" s="42">
        <f t="shared" si="12"/>
        <v>8.6105013327152629E-3</v>
      </c>
      <c r="Z12" s="42">
        <f t="shared" si="13"/>
        <v>9.2537160737049488E-3</v>
      </c>
      <c r="AA12" s="43">
        <f t="shared" si="14"/>
        <v>8.6962632981805541E-3</v>
      </c>
      <c r="AB12" s="46">
        <f t="shared" si="15"/>
        <v>3.0016687912852029E-4</v>
      </c>
      <c r="AD12" s="45"/>
    </row>
    <row r="13" spans="1:32" s="5" customFormat="1" ht="13" x14ac:dyDescent="0.15">
      <c r="A13" s="40"/>
      <c r="B13" s="47" t="s">
        <v>30</v>
      </c>
      <c r="C13" s="152">
        <v>0.52430555555555558</v>
      </c>
      <c r="D13" s="93">
        <f>10+32/60+13+24+D12</f>
        <v>191.35</v>
      </c>
      <c r="E13" s="44">
        <v>9</v>
      </c>
      <c r="F13" s="147">
        <f>2*0.736</f>
        <v>1.472</v>
      </c>
      <c r="G13" s="148">
        <f>2*0.682</f>
        <v>1.3640000000000001</v>
      </c>
      <c r="H13" s="148">
        <f>2*0.683</f>
        <v>1.3660000000000001</v>
      </c>
      <c r="I13" s="42">
        <f t="shared" si="0"/>
        <v>1.8155648</v>
      </c>
      <c r="J13" s="42">
        <f t="shared" si="0"/>
        <v>1.6823576000000002</v>
      </c>
      <c r="K13" s="42">
        <f t="shared" si="0"/>
        <v>1.6848244000000001</v>
      </c>
      <c r="L13" s="43">
        <f t="shared" si="1"/>
        <v>1.7275822666666667</v>
      </c>
      <c r="M13" s="42">
        <f t="shared" si="2"/>
        <v>4.3997029840559754E-2</v>
      </c>
      <c r="N13" s="42">
        <f t="shared" si="3"/>
        <v>0.59639660388193982</v>
      </c>
      <c r="O13" s="42">
        <f t="shared" si="3"/>
        <v>0.52019614299652583</v>
      </c>
      <c r="P13" s="42">
        <f t="shared" si="3"/>
        <v>0.52166134472385373</v>
      </c>
      <c r="Q13" s="43">
        <f t="shared" si="4"/>
        <v>0.54608469720077313</v>
      </c>
      <c r="R13" s="42">
        <f t="shared" si="5"/>
        <v>2.5159508934305939E-2</v>
      </c>
      <c r="S13" s="42">
        <f t="shared" si="6"/>
        <v>9.0144366985704764E-3</v>
      </c>
      <c r="T13" s="42">
        <f t="shared" si="7"/>
        <v>6.4466242247910163E-3</v>
      </c>
      <c r="U13" s="42">
        <f t="shared" si="8"/>
        <v>4.9618248570673356E-3</v>
      </c>
      <c r="V13" s="43">
        <f t="shared" si="9"/>
        <v>6.8076285934762755E-3</v>
      </c>
      <c r="W13" s="42">
        <f t="shared" si="10"/>
        <v>1.1837312195103319E-3</v>
      </c>
      <c r="X13" s="42">
        <f t="shared" si="11"/>
        <v>9.4881881369218712E-3</v>
      </c>
      <c r="Y13" s="42">
        <f t="shared" si="12"/>
        <v>8.7920438986151053E-3</v>
      </c>
      <c r="Z13" s="42">
        <f t="shared" si="13"/>
        <v>8.8049354585837472E-3</v>
      </c>
      <c r="AA13" s="43">
        <f t="shared" si="14"/>
        <v>9.0283891647069073E-3</v>
      </c>
      <c r="AB13" s="46">
        <f t="shared" si="15"/>
        <v>2.2992960460182791E-4</v>
      </c>
      <c r="AD13" s="45"/>
    </row>
    <row r="14" spans="1:32" s="5" customFormat="1" ht="13" x14ac:dyDescent="0.15">
      <c r="A14" s="40"/>
      <c r="B14" s="47" t="s">
        <v>31</v>
      </c>
      <c r="C14" s="152">
        <v>0.56319444444444444</v>
      </c>
      <c r="D14" s="93">
        <f>56/60+24+D13</f>
        <v>216.28333333333333</v>
      </c>
      <c r="E14" s="44">
        <v>10</v>
      </c>
      <c r="F14" s="41">
        <f>2*0.786</f>
        <v>1.5720000000000001</v>
      </c>
      <c r="G14" s="42">
        <f>2*0.81</f>
        <v>1.62</v>
      </c>
      <c r="H14" s="42">
        <f>2*0.836</f>
        <v>1.6719999999999999</v>
      </c>
      <c r="I14" s="42">
        <f t="shared" si="0"/>
        <v>1.9389048000000002</v>
      </c>
      <c r="J14" s="42">
        <f t="shared" si="0"/>
        <v>1.9981080000000002</v>
      </c>
      <c r="K14" s="42">
        <f t="shared" si="0"/>
        <v>2.0622448000000002</v>
      </c>
      <c r="L14" s="43">
        <f t="shared" si="1"/>
        <v>1.9997525333333337</v>
      </c>
      <c r="M14" s="42">
        <f t="shared" si="2"/>
        <v>3.5614684552926261E-2</v>
      </c>
      <c r="N14" s="42">
        <f t="shared" si="3"/>
        <v>0.6621232775822703</v>
      </c>
      <c r="O14" s="42">
        <f t="shared" si="3"/>
        <v>0.69220073281954819</v>
      </c>
      <c r="P14" s="42">
        <f t="shared" si="3"/>
        <v>0.72379509823776533</v>
      </c>
      <c r="Q14" s="43">
        <f t="shared" si="4"/>
        <v>0.69270636954652798</v>
      </c>
      <c r="R14" s="42">
        <f t="shared" si="5"/>
        <v>1.7804916148034689E-2</v>
      </c>
      <c r="S14" s="42">
        <f t="shared" si="6"/>
        <v>2.6360965387833076E-3</v>
      </c>
      <c r="T14" s="42">
        <f t="shared" si="7"/>
        <v>6.8985798057361897E-3</v>
      </c>
      <c r="U14" s="42">
        <f t="shared" si="8"/>
        <v>8.1069687238199822E-3</v>
      </c>
      <c r="V14" s="43">
        <f t="shared" si="9"/>
        <v>5.8805483561131591E-3</v>
      </c>
      <c r="W14" s="42">
        <f t="shared" si="10"/>
        <v>1.6593072490819958E-3</v>
      </c>
      <c r="X14" s="42">
        <f t="shared" si="11"/>
        <v>8.9646519226323513E-3</v>
      </c>
      <c r="Y14" s="42">
        <f t="shared" si="12"/>
        <v>9.2383817523310485E-3</v>
      </c>
      <c r="Z14" s="42">
        <f t="shared" si="13"/>
        <v>9.534922401171304E-3</v>
      </c>
      <c r="AA14" s="43">
        <f t="shared" si="14"/>
        <v>9.2459853587115674E-3</v>
      </c>
      <c r="AB14" s="46">
        <f t="shared" si="15"/>
        <v>1.6466680073788802E-4</v>
      </c>
      <c r="AD14" s="45"/>
    </row>
    <row r="15" spans="1:32" s="5" customFormat="1" ht="13" x14ac:dyDescent="0.15">
      <c r="A15" s="40"/>
      <c r="B15" s="47" t="s">
        <v>38</v>
      </c>
      <c r="C15" s="152">
        <v>0.55902777777777779</v>
      </c>
      <c r="D15" s="93">
        <f>54/60+23+D14</f>
        <v>240.18333333333334</v>
      </c>
      <c r="E15" s="44">
        <v>11</v>
      </c>
      <c r="F15" s="41">
        <f>0.867*2</f>
        <v>1.734</v>
      </c>
      <c r="G15" s="42">
        <f>0.93*2</f>
        <v>1.86</v>
      </c>
      <c r="H15" s="42">
        <f>0.942*2</f>
        <v>1.8839999999999999</v>
      </c>
      <c r="I15" s="42">
        <f t="shared" si="0"/>
        <v>2.1387156000000003</v>
      </c>
      <c r="J15" s="42">
        <f t="shared" si="0"/>
        <v>2.2941240000000001</v>
      </c>
      <c r="K15" s="42">
        <f t="shared" si="0"/>
        <v>2.3237255999999999</v>
      </c>
      <c r="L15" s="43">
        <f t="shared" si="1"/>
        <v>2.2521884000000001</v>
      </c>
      <c r="M15" s="42">
        <f t="shared" si="2"/>
        <v>5.7376304445650637E-2</v>
      </c>
      <c r="N15" s="42">
        <f t="shared" si="3"/>
        <v>0.76020546193360561</v>
      </c>
      <c r="O15" s="42">
        <f t="shared" si="3"/>
        <v>0.83035107130036534</v>
      </c>
      <c r="P15" s="42">
        <f t="shared" si="3"/>
        <v>0.84317175972942671</v>
      </c>
      <c r="Q15" s="43">
        <f t="shared" si="4"/>
        <v>0.81124276432113263</v>
      </c>
      <c r="R15" s="42">
        <f t="shared" si="5"/>
        <v>2.5785636758963729E-2</v>
      </c>
      <c r="S15" s="42">
        <f t="shared" si="6"/>
        <v>4.1038570858299281E-3</v>
      </c>
      <c r="T15" s="42">
        <f t="shared" si="7"/>
        <v>5.7803488904107575E-3</v>
      </c>
      <c r="U15" s="42">
        <f t="shared" si="8"/>
        <v>4.9948393929565415E-3</v>
      </c>
      <c r="V15" s="43">
        <f t="shared" si="9"/>
        <v>4.9596817897324093E-3</v>
      </c>
      <c r="W15" s="42">
        <f t="shared" si="10"/>
        <v>4.8428064711315919E-4</v>
      </c>
      <c r="X15" s="42">
        <f t="shared" si="11"/>
        <v>8.9045129415030195E-3</v>
      </c>
      <c r="Y15" s="42">
        <f t="shared" si="12"/>
        <v>9.5515536742765937E-3</v>
      </c>
      <c r="Z15" s="42">
        <f t="shared" si="13"/>
        <v>9.6747995281382271E-3</v>
      </c>
      <c r="AA15" s="43">
        <f t="shared" si="14"/>
        <v>9.3769553813059462E-3</v>
      </c>
      <c r="AB15" s="46">
        <f t="shared" si="15"/>
        <v>2.388854532467585E-4</v>
      </c>
      <c r="AD15" s="45"/>
    </row>
    <row r="16" spans="1:32" s="5" customFormat="1" ht="13" x14ac:dyDescent="0.15">
      <c r="A16" s="40"/>
      <c r="B16" s="47" t="s">
        <v>39</v>
      </c>
      <c r="C16" s="152">
        <v>0.55902777777777779</v>
      </c>
      <c r="D16" s="93">
        <f>24+D15</f>
        <v>264.18333333333334</v>
      </c>
      <c r="E16" s="44">
        <v>12</v>
      </c>
      <c r="F16" s="41">
        <f>0.957*2</f>
        <v>1.9139999999999999</v>
      </c>
      <c r="G16" s="42">
        <f>0.504*4</f>
        <v>2.016</v>
      </c>
      <c r="H16" s="42">
        <f>0.505*4</f>
        <v>2.02</v>
      </c>
      <c r="I16" s="42">
        <f t="shared" si="0"/>
        <v>2.3607276000000001</v>
      </c>
      <c r="J16" s="42">
        <f t="shared" si="0"/>
        <v>2.4865344</v>
      </c>
      <c r="K16" s="42">
        <f t="shared" si="0"/>
        <v>2.4914680000000002</v>
      </c>
      <c r="L16" s="43">
        <f t="shared" si="1"/>
        <v>2.4462433333333338</v>
      </c>
      <c r="M16" s="42">
        <f t="shared" si="2"/>
        <v>4.2781579322154269E-2</v>
      </c>
      <c r="N16" s="42">
        <f t="shared" si="3"/>
        <v>0.85896987660601798</v>
      </c>
      <c r="O16" s="42">
        <f t="shared" si="3"/>
        <v>0.91088993378437755</v>
      </c>
      <c r="P16" s="42">
        <f t="shared" si="3"/>
        <v>0.91287209498836885</v>
      </c>
      <c r="Q16" s="43">
        <f t="shared" si="4"/>
        <v>0.89424396845958809</v>
      </c>
      <c r="R16" s="42">
        <f t="shared" si="5"/>
        <v>1.7646325470479025E-2</v>
      </c>
      <c r="S16" s="42">
        <f t="shared" si="6"/>
        <v>4.1151839446838491E-3</v>
      </c>
      <c r="T16" s="42">
        <f t="shared" si="7"/>
        <v>3.3557859368338419E-3</v>
      </c>
      <c r="U16" s="42">
        <f t="shared" si="8"/>
        <v>2.904180635789256E-3</v>
      </c>
      <c r="V16" s="43">
        <f t="shared" si="9"/>
        <v>3.4583835057689825E-3</v>
      </c>
      <c r="W16" s="42">
        <f t="shared" si="10"/>
        <v>3.5333032203211956E-4</v>
      </c>
      <c r="X16" s="42">
        <f t="shared" si="11"/>
        <v>8.9359444829979189E-3</v>
      </c>
      <c r="Y16" s="42">
        <f t="shared" si="12"/>
        <v>9.4121546905558007E-3</v>
      </c>
      <c r="Z16" s="42">
        <f t="shared" si="13"/>
        <v>9.4308296006561116E-3</v>
      </c>
      <c r="AA16" s="43">
        <f t="shared" si="14"/>
        <v>9.2596429247366104E-3</v>
      </c>
      <c r="AB16" s="46">
        <f t="shared" si="15"/>
        <v>1.6193897920189614E-4</v>
      </c>
      <c r="AD16" s="45"/>
    </row>
    <row r="17" spans="1:30" s="5" customFormat="1" ht="13" x14ac:dyDescent="0.15">
      <c r="A17" s="40"/>
      <c r="B17" s="47" t="s">
        <v>40</v>
      </c>
      <c r="C17" s="152">
        <v>0.55902777777777779</v>
      </c>
      <c r="D17" s="93">
        <f>24+D16</f>
        <v>288.18333333333334</v>
      </c>
      <c r="E17" s="44">
        <v>13</v>
      </c>
      <c r="F17" s="41">
        <f>0.574*4</f>
        <v>2.2959999999999998</v>
      </c>
      <c r="G17" s="42">
        <f>0.532*4</f>
        <v>2.1280000000000001</v>
      </c>
      <c r="H17" s="42">
        <f>0.542*4</f>
        <v>2.1680000000000001</v>
      </c>
      <c r="I17" s="42">
        <f t="shared" si="0"/>
        <v>2.8318863999999997</v>
      </c>
      <c r="J17" s="42">
        <f t="shared" si="0"/>
        <v>2.6246752000000004</v>
      </c>
      <c r="K17" s="42">
        <f t="shared" si="0"/>
        <v>2.6740112000000003</v>
      </c>
      <c r="L17" s="43">
        <f t="shared" si="1"/>
        <v>2.7101909333333336</v>
      </c>
      <c r="M17" s="42">
        <f t="shared" si="2"/>
        <v>6.2492266666666442E-2</v>
      </c>
      <c r="N17" s="42">
        <f t="shared" si="3"/>
        <v>1.0409430620325753</v>
      </c>
      <c r="O17" s="42">
        <f t="shared" si="3"/>
        <v>0.96495715505465351</v>
      </c>
      <c r="P17" s="42">
        <f t="shared" si="3"/>
        <v>0.98357966715265521</v>
      </c>
      <c r="Q17" s="43">
        <f t="shared" si="4"/>
        <v>0.99649329474662796</v>
      </c>
      <c r="R17" s="42">
        <f t="shared" si="5"/>
        <v>2.2865810343838718E-2</v>
      </c>
      <c r="S17" s="42">
        <f t="shared" si="6"/>
        <v>7.5822160594398863E-3</v>
      </c>
      <c r="T17" s="42">
        <f t="shared" si="7"/>
        <v>2.2528008862614988E-3</v>
      </c>
      <c r="U17" s="42">
        <f t="shared" si="8"/>
        <v>2.9461488401785981E-3</v>
      </c>
      <c r="V17" s="43">
        <f t="shared" si="9"/>
        <v>4.260388595293328E-3</v>
      </c>
      <c r="W17" s="42">
        <f t="shared" si="10"/>
        <v>1.6729301761150527E-3</v>
      </c>
      <c r="X17" s="42">
        <f t="shared" si="11"/>
        <v>9.8266834769533268E-3</v>
      </c>
      <c r="Y17" s="42">
        <f t="shared" si="12"/>
        <v>9.1076578566884527E-3</v>
      </c>
      <c r="Z17" s="42">
        <f t="shared" si="13"/>
        <v>9.2788544329419943E-3</v>
      </c>
      <c r="AA17" s="43">
        <f t="shared" si="14"/>
        <v>9.4043985888612579E-3</v>
      </c>
      <c r="AB17" s="46">
        <f t="shared" si="15"/>
        <v>2.1684899658781917E-4</v>
      </c>
      <c r="AD17" s="45"/>
    </row>
    <row r="18" spans="1:30" s="5" customFormat="1" ht="13" x14ac:dyDescent="0.15">
      <c r="A18" s="40"/>
      <c r="B18" s="47" t="s">
        <v>32</v>
      </c>
      <c r="C18" s="152">
        <v>0.55902777777777779</v>
      </c>
      <c r="D18" s="93">
        <f>54/60+23+D17</f>
        <v>312.08333333333331</v>
      </c>
      <c r="E18" s="44">
        <v>14</v>
      </c>
      <c r="F18" s="41">
        <f>2*1.24</f>
        <v>2.48</v>
      </c>
      <c r="G18" s="42">
        <f>4*0.591</f>
        <v>2.3639999999999999</v>
      </c>
      <c r="H18" s="42">
        <f>4*0.556</f>
        <v>2.2240000000000002</v>
      </c>
      <c r="I18" s="42">
        <f t="shared" si="0"/>
        <v>3.0588320000000002</v>
      </c>
      <c r="J18" s="42">
        <f t="shared" si="0"/>
        <v>2.9157576000000001</v>
      </c>
      <c r="K18" s="42">
        <f t="shared" si="0"/>
        <v>2.7430816000000005</v>
      </c>
      <c r="L18" s="43">
        <f t="shared" si="1"/>
        <v>2.9058904000000001</v>
      </c>
      <c r="M18" s="42">
        <f t="shared" si="2"/>
        <v>9.1282711035405389E-2</v>
      </c>
      <c r="N18" s="42">
        <f t="shared" si="3"/>
        <v>1.1180331437521462</v>
      </c>
      <c r="O18" s="42">
        <f t="shared" si="3"/>
        <v>1.0701296831191072</v>
      </c>
      <c r="P18" s="42">
        <f t="shared" si="3"/>
        <v>1.0090819599635914</v>
      </c>
      <c r="Q18" s="43">
        <f t="shared" si="4"/>
        <v>1.0657482622782817</v>
      </c>
      <c r="R18" s="42">
        <f t="shared" si="5"/>
        <v>3.1527700776038094E-2</v>
      </c>
      <c r="S18" s="42">
        <f t="shared" si="6"/>
        <v>3.2255264317812161E-3</v>
      </c>
      <c r="T18" s="42">
        <f t="shared" si="7"/>
        <v>4.4005241867972281E-3</v>
      </c>
      <c r="U18" s="42">
        <f t="shared" si="8"/>
        <v>1.0670415402065361E-3</v>
      </c>
      <c r="V18" s="43">
        <f t="shared" si="9"/>
        <v>2.8976973862616605E-3</v>
      </c>
      <c r="W18" s="42">
        <f t="shared" si="10"/>
        <v>9.761541119951328E-4</v>
      </c>
      <c r="X18" s="42">
        <f t="shared" si="11"/>
        <v>9.8013308411214958E-3</v>
      </c>
      <c r="Y18" s="42">
        <f t="shared" si="12"/>
        <v>9.342881495327103E-3</v>
      </c>
      <c r="Z18" s="42">
        <f t="shared" si="13"/>
        <v>8.7895805607476653E-3</v>
      </c>
      <c r="AA18" s="43">
        <f t="shared" si="14"/>
        <v>9.3112642990654214E-3</v>
      </c>
      <c r="AB18" s="46">
        <f t="shared" si="15"/>
        <v>2.9249466820423605E-4</v>
      </c>
      <c r="AD18" s="45"/>
    </row>
    <row r="19" spans="1:30" s="5" customFormat="1" ht="13" x14ac:dyDescent="0.15">
      <c r="A19" s="40"/>
      <c r="B19" s="47" t="s">
        <v>34</v>
      </c>
      <c r="C19" s="152">
        <v>0.55902777777777779</v>
      </c>
      <c r="D19" s="93">
        <f>24+D18</f>
        <v>336.08333333333331</v>
      </c>
      <c r="E19" s="44">
        <v>15</v>
      </c>
      <c r="F19" s="41">
        <f>0.662*4</f>
        <v>2.6480000000000001</v>
      </c>
      <c r="G19" s="42">
        <f>0.642*4</f>
        <v>2.5680000000000001</v>
      </c>
      <c r="H19" s="42">
        <f>0.668*4</f>
        <v>2.6720000000000002</v>
      </c>
      <c r="I19" s="42">
        <f t="shared" si="0"/>
        <v>3.2660432000000004</v>
      </c>
      <c r="J19" s="42">
        <f t="shared" si="0"/>
        <v>3.1673712000000003</v>
      </c>
      <c r="K19" s="42">
        <f t="shared" si="0"/>
        <v>3.2956448000000003</v>
      </c>
      <c r="L19" s="43">
        <f t="shared" si="1"/>
        <v>3.2430197333333335</v>
      </c>
      <c r="M19" s="42">
        <f t="shared" si="2"/>
        <v>3.8777524105480375E-2</v>
      </c>
      <c r="N19" s="42">
        <f t="shared" si="3"/>
        <v>1.1835792216500172</v>
      </c>
      <c r="O19" s="42">
        <f t="shared" si="3"/>
        <v>1.1529019694029703</v>
      </c>
      <c r="P19" s="42">
        <f t="shared" si="3"/>
        <v>1.1926018392496547</v>
      </c>
      <c r="Q19" s="43">
        <f t="shared" si="4"/>
        <v>1.1763610101008808</v>
      </c>
      <c r="R19" s="42">
        <f t="shared" si="5"/>
        <v>1.2015224369343326E-2</v>
      </c>
      <c r="S19" s="42">
        <f t="shared" si="6"/>
        <v>2.731086579077955E-3</v>
      </c>
      <c r="T19" s="42">
        <f t="shared" si="7"/>
        <v>3.4488452618276302E-3</v>
      </c>
      <c r="U19" s="42">
        <f t="shared" si="8"/>
        <v>7.6466616369193037E-3</v>
      </c>
      <c r="V19" s="43">
        <f t="shared" si="9"/>
        <v>4.608864492608296E-3</v>
      </c>
      <c r="W19" s="42">
        <f t="shared" si="10"/>
        <v>1.5329658616718247E-3</v>
      </c>
      <c r="X19" s="42">
        <f t="shared" si="11"/>
        <v>9.7179564592115072E-3</v>
      </c>
      <c r="Y19" s="42">
        <f t="shared" si="12"/>
        <v>9.424362608480041E-3</v>
      </c>
      <c r="Z19" s="42">
        <f t="shared" si="13"/>
        <v>9.8060346144309453E-3</v>
      </c>
      <c r="AA19" s="43">
        <f t="shared" si="14"/>
        <v>9.6494512273741645E-3</v>
      </c>
      <c r="AB19" s="46">
        <f t="shared" si="15"/>
        <v>1.1538068169247806E-4</v>
      </c>
      <c r="AD19" s="45"/>
    </row>
    <row r="20" spans="1:30" s="5" customFormat="1" ht="13" x14ac:dyDescent="0.15">
      <c r="A20" s="40"/>
      <c r="B20" s="47" t="s">
        <v>35</v>
      </c>
      <c r="C20" s="152">
        <v>0.55902777777777779</v>
      </c>
      <c r="D20" s="93">
        <f>24+D19</f>
        <v>360.08333333333331</v>
      </c>
      <c r="E20" s="44">
        <v>16</v>
      </c>
      <c r="F20" s="41">
        <f>0.703*4</f>
        <v>2.8119999999999998</v>
      </c>
      <c r="G20" s="42">
        <f>0.689*4</f>
        <v>2.7559999999999998</v>
      </c>
      <c r="H20" s="42">
        <f>0.746*4</f>
        <v>2.984</v>
      </c>
      <c r="I20" s="42">
        <f t="shared" si="0"/>
        <v>3.4683207999999999</v>
      </c>
      <c r="J20" s="42">
        <f t="shared" si="0"/>
        <v>3.3992503999999997</v>
      </c>
      <c r="K20" s="42">
        <f t="shared" si="0"/>
        <v>3.6804656000000002</v>
      </c>
      <c r="L20" s="43">
        <f t="shared" si="1"/>
        <v>3.5160122666666669</v>
      </c>
      <c r="M20" s="42">
        <f t="shared" si="2"/>
        <v>8.4609601843552443E-2</v>
      </c>
      <c r="N20" s="42">
        <f t="shared" si="3"/>
        <v>1.2436705575236737</v>
      </c>
      <c r="O20" s="42">
        <f t="shared" si="3"/>
        <v>1.2235549367266674</v>
      </c>
      <c r="P20" s="42">
        <f t="shared" si="3"/>
        <v>1.3030392659167698</v>
      </c>
      <c r="Q20" s="43">
        <f t="shared" si="4"/>
        <v>1.2567549200557036</v>
      </c>
      <c r="R20" s="42">
        <f t="shared" si="5"/>
        <v>2.3859589643386105E-2</v>
      </c>
      <c r="S20" s="42">
        <f t="shared" si="6"/>
        <v>2.5038056614023565E-3</v>
      </c>
      <c r="T20" s="42">
        <f t="shared" si="7"/>
        <v>2.9438736384873785E-3</v>
      </c>
      <c r="U20" s="42">
        <f t="shared" si="8"/>
        <v>4.6015594444631285E-3</v>
      </c>
      <c r="V20" s="43">
        <f t="shared" si="9"/>
        <v>3.3497462481176209E-3</v>
      </c>
      <c r="W20" s="42">
        <f t="shared" si="10"/>
        <v>6.3866844946406341E-4</v>
      </c>
      <c r="X20" s="42">
        <f t="shared" si="11"/>
        <v>9.6319948160148109E-3</v>
      </c>
      <c r="Y20" s="42">
        <f t="shared" si="12"/>
        <v>9.4401769960657245E-3</v>
      </c>
      <c r="Z20" s="42">
        <f t="shared" si="13"/>
        <v>1.0221149548715577E-2</v>
      </c>
      <c r="AA20" s="43">
        <f t="shared" si="14"/>
        <v>9.7644404535987047E-3</v>
      </c>
      <c r="AB20" s="46">
        <f t="shared" si="15"/>
        <v>2.3497228005615165E-4</v>
      </c>
      <c r="AD20" s="45"/>
    </row>
    <row r="21" spans="1:30" s="5" customFormat="1" ht="13" x14ac:dyDescent="0.15">
      <c r="A21" s="40"/>
      <c r="B21" s="47" t="s">
        <v>36</v>
      </c>
      <c r="C21" s="152">
        <v>0.55902777777777779</v>
      </c>
      <c r="D21" s="93">
        <f>24+D20</f>
        <v>384.08333333333331</v>
      </c>
      <c r="E21" s="44">
        <v>17</v>
      </c>
      <c r="F21" s="41">
        <f>0.789*4</f>
        <v>3.1560000000000001</v>
      </c>
      <c r="G21" s="42">
        <f>0.744*4</f>
        <v>2.976</v>
      </c>
      <c r="H21" s="42">
        <f>0.813*4</f>
        <v>3.2519999999999998</v>
      </c>
      <c r="I21" s="42">
        <f t="shared" si="0"/>
        <v>3.8926104000000001</v>
      </c>
      <c r="J21" s="42">
        <f t="shared" si="0"/>
        <v>3.6705984000000003</v>
      </c>
      <c r="K21" s="42">
        <f t="shared" si="0"/>
        <v>4.0110168000000002</v>
      </c>
      <c r="L21" s="43">
        <f t="shared" si="1"/>
        <v>3.8580752</v>
      </c>
      <c r="M21" s="42">
        <f t="shared" si="2"/>
        <v>9.9775885185950597E-2</v>
      </c>
      <c r="N21" s="42">
        <f t="shared" si="3"/>
        <v>1.3590799865588832</v>
      </c>
      <c r="O21" s="42">
        <f t="shared" si="3"/>
        <v>1.3003547005461009</v>
      </c>
      <c r="P21" s="42">
        <f t="shared" si="3"/>
        <v>1.3890447752608195</v>
      </c>
      <c r="Q21" s="43">
        <f t="shared" si="4"/>
        <v>1.3494931541219346</v>
      </c>
      <c r="R21" s="42">
        <f t="shared" si="5"/>
        <v>2.6047474959876558E-2</v>
      </c>
      <c r="S21" s="42">
        <f t="shared" si="6"/>
        <v>4.8087262098003942E-3</v>
      </c>
      <c r="T21" s="42">
        <f t="shared" si="7"/>
        <v>3.1999901591430644E-3</v>
      </c>
      <c r="U21" s="42">
        <f t="shared" si="8"/>
        <v>3.5835628893354046E-3</v>
      </c>
      <c r="V21" s="43">
        <f t="shared" si="9"/>
        <v>3.8640930860929542E-3</v>
      </c>
      <c r="W21" s="42">
        <f t="shared" si="10"/>
        <v>4.8512225731965684E-4</v>
      </c>
      <c r="X21" s="42">
        <f t="shared" si="11"/>
        <v>1.0134806856151009E-2</v>
      </c>
      <c r="Y21" s="42">
        <f t="shared" si="12"/>
        <v>9.5567760468648309E-3</v>
      </c>
      <c r="Z21" s="42">
        <f t="shared" si="13"/>
        <v>1.0443089954436971E-2</v>
      </c>
      <c r="AA21" s="43">
        <f t="shared" si="14"/>
        <v>1.0044890952484271E-2</v>
      </c>
      <c r="AB21" s="46">
        <f t="shared" si="15"/>
        <v>2.5977665919535821E-4</v>
      </c>
      <c r="AD21" s="48"/>
    </row>
    <row r="22" spans="1:30" s="5" customFormat="1" ht="13" x14ac:dyDescent="0.15">
      <c r="A22" s="40"/>
      <c r="B22" s="47" t="s">
        <v>37</v>
      </c>
      <c r="C22" s="152">
        <v>0.54583333333333328</v>
      </c>
      <c r="D22" s="93">
        <f>24+D21</f>
        <v>408.08333333333331</v>
      </c>
      <c r="E22" s="44">
        <v>18</v>
      </c>
      <c r="F22" s="41">
        <f>0.806*4</f>
        <v>3.2240000000000002</v>
      </c>
      <c r="G22" s="42">
        <f>0.746*4</f>
        <v>2.984</v>
      </c>
      <c r="H22" s="42">
        <f>0.843*4</f>
        <v>3.3719999999999999</v>
      </c>
      <c r="I22" s="42">
        <f t="shared" si="0"/>
        <v>3.9764816000000005</v>
      </c>
      <c r="J22" s="42">
        <f t="shared" si="0"/>
        <v>3.6804656000000002</v>
      </c>
      <c r="K22" s="42">
        <f t="shared" si="0"/>
        <v>4.1590248000000001</v>
      </c>
      <c r="L22" s="43">
        <f t="shared" si="1"/>
        <v>3.9386573333333339</v>
      </c>
      <c r="M22" s="42">
        <f t="shared" si="2"/>
        <v>0.13943664432017541</v>
      </c>
      <c r="N22" s="42">
        <f t="shared" si="3"/>
        <v>1.3803974082196373</v>
      </c>
      <c r="O22" s="42">
        <f t="shared" si="3"/>
        <v>1.3030392659167698</v>
      </c>
      <c r="P22" s="42">
        <f t="shared" si="3"/>
        <v>1.4252806237148645</v>
      </c>
      <c r="Q22" s="43">
        <f t="shared" si="4"/>
        <v>1.3695724326170904</v>
      </c>
      <c r="R22" s="42">
        <f t="shared" si="5"/>
        <v>3.5700711765440825E-2</v>
      </c>
      <c r="S22" s="42">
        <f t="shared" si="6"/>
        <v>8.8822590253142175E-4</v>
      </c>
      <c r="T22" s="42">
        <f t="shared" si="7"/>
        <v>1.1185689044453569E-4</v>
      </c>
      <c r="U22" s="42">
        <f t="shared" si="8"/>
        <v>1.5098270189185432E-3</v>
      </c>
      <c r="V22" s="43">
        <f t="shared" si="9"/>
        <v>8.3663660396483353E-4</v>
      </c>
      <c r="W22" s="42">
        <f t="shared" si="10"/>
        <v>4.0438274436534866E-4</v>
      </c>
      <c r="X22" s="42">
        <f t="shared" si="11"/>
        <v>9.744288176434553E-3</v>
      </c>
      <c r="Y22" s="42">
        <f t="shared" si="12"/>
        <v>9.0189069226056778E-3</v>
      </c>
      <c r="Z22" s="42">
        <f t="shared" si="13"/>
        <v>1.0191606616295692E-2</v>
      </c>
      <c r="AA22" s="43">
        <f t="shared" si="14"/>
        <v>9.6516005717786416E-3</v>
      </c>
      <c r="AB22" s="46">
        <f t="shared" si="15"/>
        <v>3.4168669222832458E-4</v>
      </c>
      <c r="AD22" s="45"/>
    </row>
    <row r="23" spans="1:30" s="5" customFormat="1" thickBot="1" x14ac:dyDescent="0.2">
      <c r="A23" s="40"/>
      <c r="B23" s="47" t="s">
        <v>33</v>
      </c>
      <c r="C23" s="152">
        <v>0.56666666666666665</v>
      </c>
      <c r="D23" s="93">
        <f>10/60+24+D22</f>
        <v>432.25</v>
      </c>
      <c r="E23" s="44">
        <v>19</v>
      </c>
      <c r="F23" s="41">
        <f>4*0.826</f>
        <v>3.3039999999999998</v>
      </c>
      <c r="G23" s="42">
        <f>4*0.756</f>
        <v>3.024</v>
      </c>
      <c r="H23" s="42">
        <f>4*0.86</f>
        <v>3.44</v>
      </c>
      <c r="I23" s="42">
        <f t="shared" si="0"/>
        <v>4.0751536000000002</v>
      </c>
      <c r="J23" s="42">
        <f t="shared" si="0"/>
        <v>3.7298016000000001</v>
      </c>
      <c r="K23" s="42">
        <f t="shared" si="0"/>
        <v>4.242896</v>
      </c>
      <c r="L23" s="43">
        <f t="shared" si="1"/>
        <v>4.0159504000000004</v>
      </c>
      <c r="M23" s="42">
        <f t="shared" si="2"/>
        <v>0.15104660428216629</v>
      </c>
      <c r="N23" s="42">
        <f t="shared" si="3"/>
        <v>1.404908439233987</v>
      </c>
      <c r="O23" s="42">
        <f t="shared" si="3"/>
        <v>1.316355041892542</v>
      </c>
      <c r="P23" s="42">
        <f t="shared" si="3"/>
        <v>1.4452460549605624</v>
      </c>
      <c r="Q23" s="43">
        <f t="shared" si="4"/>
        <v>1.3888365120290305</v>
      </c>
      <c r="R23" s="42">
        <f t="shared" si="5"/>
        <v>3.8065528786931847E-2</v>
      </c>
      <c r="S23" s="42">
        <f t="shared" si="6"/>
        <v>1.0142495592144697E-3</v>
      </c>
      <c r="T23" s="42">
        <f t="shared" si="7"/>
        <v>5.509976265836797E-4</v>
      </c>
      <c r="U23" s="42">
        <f t="shared" si="8"/>
        <v>8.2615577568404745E-4</v>
      </c>
      <c r="V23" s="43">
        <f t="shared" si="9"/>
        <v>7.9713432049406555E-4</v>
      </c>
      <c r="W23" s="42">
        <f t="shared" si="10"/>
        <v>1.3451427671136944E-4</v>
      </c>
      <c r="X23" s="42">
        <f t="shared" si="11"/>
        <v>9.4277700404858302E-3</v>
      </c>
      <c r="Y23" s="42">
        <f t="shared" si="12"/>
        <v>8.6288064777327936E-3</v>
      </c>
      <c r="Z23" s="42">
        <f t="shared" si="13"/>
        <v>9.8158380566801626E-3</v>
      </c>
      <c r="AA23" s="43">
        <f t="shared" si="14"/>
        <v>9.2908048582995961E-3</v>
      </c>
      <c r="AB23" s="46">
        <f t="shared" si="15"/>
        <v>3.4944269353884641E-4</v>
      </c>
      <c r="AD23" s="45"/>
    </row>
    <row r="24" spans="1:30" ht="15" thickBot="1" x14ac:dyDescent="0.2">
      <c r="B24" s="171" t="s">
        <v>73</v>
      </c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3"/>
    </row>
    <row r="25" spans="1:30" ht="60" x14ac:dyDescent="0.15">
      <c r="B25" s="23" t="s">
        <v>0</v>
      </c>
      <c r="C25" s="24" t="s">
        <v>1</v>
      </c>
      <c r="D25" s="25" t="s">
        <v>2</v>
      </c>
      <c r="E25" s="26" t="s">
        <v>3</v>
      </c>
      <c r="F25" s="174" t="s">
        <v>61</v>
      </c>
      <c r="G25" s="175"/>
      <c r="H25" s="176"/>
      <c r="I25" s="177" t="s">
        <v>13</v>
      </c>
      <c r="J25" s="175"/>
      <c r="K25" s="176"/>
      <c r="L25" s="27" t="s">
        <v>4</v>
      </c>
      <c r="M25" s="28" t="s">
        <v>70</v>
      </c>
      <c r="N25" s="177" t="s">
        <v>63</v>
      </c>
      <c r="O25" s="175"/>
      <c r="P25" s="176"/>
      <c r="Q25" s="28" t="s">
        <v>5</v>
      </c>
      <c r="R25" s="28" t="s">
        <v>62</v>
      </c>
      <c r="S25" s="178" t="s">
        <v>6</v>
      </c>
      <c r="T25" s="179"/>
      <c r="U25" s="179"/>
      <c r="V25" s="27" t="s">
        <v>64</v>
      </c>
      <c r="W25" s="27" t="s">
        <v>62</v>
      </c>
      <c r="X25" s="177" t="s">
        <v>65</v>
      </c>
      <c r="Y25" s="175"/>
      <c r="Z25" s="176"/>
      <c r="AA25" s="27" t="s">
        <v>66</v>
      </c>
      <c r="AB25" s="29" t="s">
        <v>62</v>
      </c>
    </row>
    <row r="26" spans="1:30" ht="15" customHeight="1" x14ac:dyDescent="0.15">
      <c r="B26" s="30"/>
      <c r="C26" s="34"/>
      <c r="D26" s="36"/>
      <c r="E26" s="33"/>
      <c r="F26" s="168" t="s">
        <v>16</v>
      </c>
      <c r="G26" s="169"/>
      <c r="H26" s="170"/>
      <c r="I26" s="180" t="s">
        <v>7</v>
      </c>
      <c r="J26" s="169"/>
      <c r="K26" s="170"/>
      <c r="L26" s="36" t="s">
        <v>7</v>
      </c>
      <c r="M26" s="36"/>
      <c r="N26" s="180" t="s">
        <v>7</v>
      </c>
      <c r="O26" s="169"/>
      <c r="P26" s="170"/>
      <c r="Q26" s="35"/>
      <c r="R26" s="35"/>
      <c r="S26" s="181" t="s">
        <v>67</v>
      </c>
      <c r="T26" s="182"/>
      <c r="U26" s="182"/>
      <c r="V26" s="36" t="s">
        <v>67</v>
      </c>
      <c r="W26" s="32"/>
      <c r="X26" s="183" t="s">
        <v>68</v>
      </c>
      <c r="Y26" s="184"/>
      <c r="Z26" s="185"/>
      <c r="AA26" s="38" t="s">
        <v>68</v>
      </c>
      <c r="AB26" s="39"/>
    </row>
    <row r="27" spans="1:30" s="5" customFormat="1" ht="13" x14ac:dyDescent="0.15">
      <c r="B27" s="167" t="s">
        <v>8</v>
      </c>
      <c r="C27" s="152">
        <v>0.49305555555555558</v>
      </c>
      <c r="D27" s="93">
        <v>0</v>
      </c>
      <c r="E27" s="186">
        <v>1</v>
      </c>
      <c r="F27" s="41">
        <v>0.111</v>
      </c>
      <c r="G27" s="42">
        <v>0.111</v>
      </c>
      <c r="H27" s="42">
        <v>0.10299999999999999</v>
      </c>
      <c r="I27" s="42">
        <f t="shared" ref="I27:K45" si="16">1.2334*F27</f>
        <v>0.13690740000000001</v>
      </c>
      <c r="J27" s="42">
        <f t="shared" si="16"/>
        <v>0.13690740000000001</v>
      </c>
      <c r="K27" s="42">
        <f t="shared" si="16"/>
        <v>0.12704019999999999</v>
      </c>
      <c r="L27" s="43">
        <f t="shared" ref="L27:L45" si="17">AVERAGE(I27:K27)</f>
        <v>0.13361833333333334</v>
      </c>
      <c r="M27" s="42">
        <f>STDEV(I27:K27)/SQRT(3)</f>
        <v>3.2890666666666735E-3</v>
      </c>
      <c r="N27" s="42">
        <f t="shared" ref="N27:P45" si="18">LN(I27)</f>
        <v>-1.9884504940945475</v>
      </c>
      <c r="O27" s="42">
        <f t="shared" si="18"/>
        <v>-1.9884504940945475</v>
      </c>
      <c r="P27" s="42">
        <f t="shared" si="18"/>
        <v>-2.0632517071772458</v>
      </c>
      <c r="Q27" s="43">
        <f t="shared" ref="Q27:Q45" si="19">AVERAGE(N27:P27)</f>
        <v>-2.0133842317887805</v>
      </c>
      <c r="R27" s="42">
        <f>STDEV(N27:P27)/SQRT(3)</f>
        <v>2.4933737694232759E-2</v>
      </c>
      <c r="S27" s="42"/>
      <c r="T27" s="42"/>
      <c r="U27" s="52"/>
      <c r="V27" s="53"/>
      <c r="W27" s="52"/>
      <c r="X27" s="52"/>
      <c r="Y27" s="52"/>
      <c r="Z27" s="52"/>
      <c r="AA27" s="53"/>
      <c r="AB27" s="54"/>
      <c r="AC27" s="55"/>
    </row>
    <row r="28" spans="1:30" s="5" customFormat="1" ht="13" x14ac:dyDescent="0.15">
      <c r="B28" s="167"/>
      <c r="C28" s="152">
        <v>0.6791666666666667</v>
      </c>
      <c r="D28" s="93">
        <f>4+28/60+D27</f>
        <v>4.4666666666666668</v>
      </c>
      <c r="E28" s="186"/>
      <c r="F28" s="147">
        <v>0.153</v>
      </c>
      <c r="G28" s="148">
        <v>0.127</v>
      </c>
      <c r="H28" s="148">
        <v>0.124</v>
      </c>
      <c r="I28" s="42">
        <f t="shared" si="16"/>
        <v>0.18871019999999999</v>
      </c>
      <c r="J28" s="42">
        <f t="shared" si="16"/>
        <v>0.1566418</v>
      </c>
      <c r="K28" s="42">
        <f t="shared" si="16"/>
        <v>0.15294160000000001</v>
      </c>
      <c r="L28" s="43">
        <f t="shared" si="17"/>
        <v>0.16609786666666668</v>
      </c>
      <c r="M28" s="42">
        <f t="shared" ref="M28:M45" si="20">STDEV(I28:K28)/SQRT(3)</f>
        <v>1.1356511848470214E-2</v>
      </c>
      <c r="N28" s="42">
        <f t="shared" si="18"/>
        <v>-1.6675427740144462</v>
      </c>
      <c r="O28" s="42">
        <f t="shared" si="18"/>
        <v>-1.8537936089482905</v>
      </c>
      <c r="P28" s="42">
        <f t="shared" si="18"/>
        <v>-1.8776991298018448</v>
      </c>
      <c r="Q28" s="43">
        <f t="shared" si="19"/>
        <v>-1.7996785042548604</v>
      </c>
      <c r="R28" s="42">
        <f t="shared" ref="R28:R45" si="21">STDEV(N28:P28)/SQRT(3)</f>
        <v>6.6427295811399667E-2</v>
      </c>
      <c r="S28" s="42">
        <f>(N28-N27)/(D28-D27)</f>
        <v>7.1845011958231647E-2</v>
      </c>
      <c r="T28" s="42">
        <f>(O28-O27)/(D28-D27)</f>
        <v>3.0147063838714266E-2</v>
      </c>
      <c r="U28" s="42">
        <f>(P28-P27)/(D28-D27)</f>
        <v>4.1541621800462905E-2</v>
      </c>
      <c r="V28" s="43">
        <f>AVERAGE(S28:U28)</f>
        <v>4.7844565865802935E-2</v>
      </c>
      <c r="W28" s="42">
        <f>STDEV(S28:U28)/SQRT(3)</f>
        <v>1.2442870077044059E-2</v>
      </c>
      <c r="X28" s="42">
        <f>I28/D28</f>
        <v>4.224855223880597E-2</v>
      </c>
      <c r="Y28" s="42">
        <f>J28/D28</f>
        <v>3.5069059701492537E-2</v>
      </c>
      <c r="Z28" s="42">
        <f>K28/D28</f>
        <v>3.4240656716417912E-2</v>
      </c>
      <c r="AA28" s="43">
        <f>AVERAGE(X28:Z28)</f>
        <v>3.7186089552238809E-2</v>
      </c>
      <c r="AB28" s="46">
        <f>STDEV(X28:Z28)/SQRT(3)</f>
        <v>2.5425026526425857E-3</v>
      </c>
    </row>
    <row r="29" spans="1:30" s="5" customFormat="1" ht="13" x14ac:dyDescent="0.15">
      <c r="B29" s="167"/>
      <c r="C29" s="152">
        <v>0.88194444444444453</v>
      </c>
      <c r="D29" s="93">
        <f>4+52/60+D28</f>
        <v>9.3333333333333339</v>
      </c>
      <c r="E29" s="186"/>
      <c r="F29" s="147">
        <v>0.155</v>
      </c>
      <c r="G29" s="148">
        <v>0.14099999999999999</v>
      </c>
      <c r="H29" s="148">
        <v>0.159</v>
      </c>
      <c r="I29" s="42">
        <f t="shared" si="16"/>
        <v>0.19117700000000001</v>
      </c>
      <c r="J29" s="42">
        <f t="shared" si="16"/>
        <v>0.17390939999999999</v>
      </c>
      <c r="K29" s="42">
        <f t="shared" si="16"/>
        <v>0.19611060000000002</v>
      </c>
      <c r="L29" s="43">
        <f t="shared" si="17"/>
        <v>0.18706566666666669</v>
      </c>
      <c r="M29" s="42">
        <f t="shared" si="20"/>
        <v>6.7305427392183289E-3</v>
      </c>
      <c r="N29" s="42">
        <f t="shared" si="18"/>
        <v>-1.6545555784876349</v>
      </c>
      <c r="O29" s="42">
        <f t="shared" si="18"/>
        <v>-1.7492208050287135</v>
      </c>
      <c r="P29" s="42">
        <f t="shared" si="18"/>
        <v>-1.6290764931866499</v>
      </c>
      <c r="Q29" s="43">
        <f t="shared" si="19"/>
        <v>-1.677617625567666</v>
      </c>
      <c r="R29" s="42">
        <f t="shared" si="21"/>
        <v>3.6549315673675455E-2</v>
      </c>
      <c r="S29" s="42">
        <f t="shared" ref="S29:S45" si="22">(N29-N28)/(D29-D28)</f>
        <v>2.6686018205776575E-3</v>
      </c>
      <c r="T29" s="42">
        <f t="shared" ref="T29:T45" si="23">(O29-O28)/(D29-D28)</f>
        <v>2.1487562449228153E-2</v>
      </c>
      <c r="U29" s="42">
        <f t="shared" ref="U29:U45" si="24">(P29-P28)/(D29-D28)</f>
        <v>5.1086843140108536E-2</v>
      </c>
      <c r="V29" s="43">
        <f t="shared" ref="V29:V45" si="25">AVERAGE(S29:U29)</f>
        <v>2.5081002469971452E-2</v>
      </c>
      <c r="W29" s="42">
        <f t="shared" ref="W29:W45" si="26">STDEV(S29:U29)/SQRT(3)</f>
        <v>1.4092150669859816E-2</v>
      </c>
      <c r="X29" s="42">
        <f t="shared" ref="X29:X45" si="27">I29/D29</f>
        <v>2.0483250000000001E-2</v>
      </c>
      <c r="Y29" s="42">
        <f t="shared" ref="Y29:Y45" si="28">J29/D29</f>
        <v>1.8633149999999998E-2</v>
      </c>
      <c r="Z29" s="42">
        <f t="shared" ref="Z29:Z45" si="29">K29/D29</f>
        <v>2.1011850000000002E-2</v>
      </c>
      <c r="AA29" s="43">
        <f t="shared" ref="AA29:AA45" si="30">AVERAGE(X29:Z29)</f>
        <v>2.0042749999999998E-2</v>
      </c>
      <c r="AB29" s="46">
        <f t="shared" ref="AB29:AB45" si="31">STDEV(X29:Z29)/SQRT(3)</f>
        <v>7.2112957920196421E-4</v>
      </c>
    </row>
    <row r="30" spans="1:30" s="5" customFormat="1" ht="15" customHeight="1" x14ac:dyDescent="0.15">
      <c r="B30" s="47" t="s">
        <v>9</v>
      </c>
      <c r="C30" s="152">
        <v>0.49513888888888885</v>
      </c>
      <c r="D30" s="93">
        <f>3/60+24+D27</f>
        <v>24.05</v>
      </c>
      <c r="E30" s="44">
        <v>2</v>
      </c>
      <c r="F30" s="147">
        <v>0.22800000000000001</v>
      </c>
      <c r="G30" s="148">
        <v>0.214</v>
      </c>
      <c r="H30" s="148">
        <v>0.22800000000000001</v>
      </c>
      <c r="I30" s="42">
        <f t="shared" si="16"/>
        <v>0.2812152</v>
      </c>
      <c r="J30" s="42">
        <f t="shared" si="16"/>
        <v>0.2639476</v>
      </c>
      <c r="K30" s="42">
        <f t="shared" si="16"/>
        <v>0.2812152</v>
      </c>
      <c r="L30" s="43">
        <f t="shared" si="17"/>
        <v>0.27545933333333333</v>
      </c>
      <c r="M30" s="42">
        <f t="shared" si="20"/>
        <v>5.7558666666666647E-3</v>
      </c>
      <c r="N30" s="42">
        <f t="shared" si="18"/>
        <v>-1.2686350664524408</v>
      </c>
      <c r="O30" s="42">
        <f t="shared" si="18"/>
        <v>-1.3320046803850301</v>
      </c>
      <c r="P30" s="42">
        <f t="shared" si="18"/>
        <v>-1.2686350664524408</v>
      </c>
      <c r="Q30" s="43">
        <f t="shared" si="19"/>
        <v>-1.2897582710966373</v>
      </c>
      <c r="R30" s="42">
        <f t="shared" si="21"/>
        <v>2.1123204644196408E-2</v>
      </c>
      <c r="S30" s="42">
        <f t="shared" si="22"/>
        <v>2.6223364351202313E-2</v>
      </c>
      <c r="T30" s="42">
        <f t="shared" si="23"/>
        <v>2.8349906544304648E-2</v>
      </c>
      <c r="U30" s="42">
        <f t="shared" si="24"/>
        <v>2.4492056176729948E-2</v>
      </c>
      <c r="V30" s="43">
        <f t="shared" si="25"/>
        <v>2.6355109024078966E-2</v>
      </c>
      <c r="W30" s="42">
        <f t="shared" si="26"/>
        <v>1.1156119186008179E-3</v>
      </c>
      <c r="X30" s="42">
        <f t="shared" si="27"/>
        <v>1.1692939708939708E-2</v>
      </c>
      <c r="Y30" s="42">
        <f t="shared" si="28"/>
        <v>1.0974952182952183E-2</v>
      </c>
      <c r="Z30" s="42">
        <f t="shared" si="29"/>
        <v>1.1692939708939708E-2</v>
      </c>
      <c r="AA30" s="43">
        <f t="shared" si="30"/>
        <v>1.1453610533610534E-2</v>
      </c>
      <c r="AB30" s="46">
        <f t="shared" si="31"/>
        <v>2.3932917532917532E-4</v>
      </c>
    </row>
    <row r="31" spans="1:30" s="5" customFormat="1" ht="13" x14ac:dyDescent="0.15">
      <c r="B31" s="47" t="s">
        <v>10</v>
      </c>
      <c r="C31" s="152">
        <v>0.51597222222222217</v>
      </c>
      <c r="D31" s="93">
        <f>30/60+24+D30</f>
        <v>48.55</v>
      </c>
      <c r="E31" s="44">
        <v>3</v>
      </c>
      <c r="F31" s="147">
        <v>0.39700000000000002</v>
      </c>
      <c r="G31" s="148">
        <v>0.375</v>
      </c>
      <c r="H31" s="148">
        <v>0.38900000000000001</v>
      </c>
      <c r="I31" s="42">
        <f t="shared" si="16"/>
        <v>0.48965980000000003</v>
      </c>
      <c r="J31" s="42">
        <f t="shared" si="16"/>
        <v>0.46252500000000002</v>
      </c>
      <c r="K31" s="42">
        <f t="shared" si="16"/>
        <v>0.47979260000000001</v>
      </c>
      <c r="L31" s="43">
        <f t="shared" si="17"/>
        <v>0.47732580000000002</v>
      </c>
      <c r="M31" s="42">
        <f t="shared" si="20"/>
        <v>7.9296525657391436E-3</v>
      </c>
      <c r="N31" s="42">
        <f t="shared" si="18"/>
        <v>-0.71404441471969116</v>
      </c>
      <c r="O31" s="42">
        <f t="shared" si="18"/>
        <v>-0.77105466943647083</v>
      </c>
      <c r="P31" s="42">
        <f t="shared" si="18"/>
        <v>-0.73440135178843535</v>
      </c>
      <c r="Q31" s="43">
        <f t="shared" si="19"/>
        <v>-0.73983347864819915</v>
      </c>
      <c r="R31" s="42">
        <f t="shared" si="21"/>
        <v>1.6680060825063459E-2</v>
      </c>
      <c r="S31" s="42">
        <f t="shared" si="22"/>
        <v>2.2636353131948971E-2</v>
      </c>
      <c r="T31" s="42">
        <f t="shared" si="23"/>
        <v>2.2895918814226909E-2</v>
      </c>
      <c r="U31" s="42">
        <f t="shared" si="24"/>
        <v>2.1805457741387983E-2</v>
      </c>
      <c r="V31" s="43">
        <f t="shared" si="25"/>
        <v>2.2445909895854623E-2</v>
      </c>
      <c r="W31" s="42">
        <f t="shared" si="26"/>
        <v>3.2887576553810406E-4</v>
      </c>
      <c r="X31" s="42">
        <f t="shared" si="27"/>
        <v>1.0085680741503606E-2</v>
      </c>
      <c r="Y31" s="42">
        <f t="shared" si="28"/>
        <v>9.5267765190525239E-3</v>
      </c>
      <c r="Z31" s="42">
        <f t="shared" si="29"/>
        <v>9.8824428424304847E-3</v>
      </c>
      <c r="AA31" s="43">
        <f t="shared" si="30"/>
        <v>9.8316333676622056E-3</v>
      </c>
      <c r="AB31" s="46">
        <f t="shared" si="31"/>
        <v>1.6332961000492597E-4</v>
      </c>
    </row>
    <row r="32" spans="1:30" s="5" customFormat="1" ht="15" customHeight="1" x14ac:dyDescent="0.15">
      <c r="B32" s="47" t="s">
        <v>27</v>
      </c>
      <c r="C32" s="152">
        <v>0.48541666666666666</v>
      </c>
      <c r="D32" s="93">
        <f>11+16/60+12+24+D31</f>
        <v>95.816666666666663</v>
      </c>
      <c r="E32" s="44">
        <v>5</v>
      </c>
      <c r="F32" s="147">
        <v>0.80800000000000005</v>
      </c>
      <c r="G32" s="148">
        <v>0.73299999999999998</v>
      </c>
      <c r="H32" s="148">
        <v>0.73599999999999999</v>
      </c>
      <c r="I32" s="42">
        <f t="shared" si="16"/>
        <v>0.99658720000000012</v>
      </c>
      <c r="J32" s="42">
        <f t="shared" si="16"/>
        <v>0.90408220000000006</v>
      </c>
      <c r="K32" s="42">
        <f t="shared" si="16"/>
        <v>0.90778239999999999</v>
      </c>
      <c r="L32" s="43">
        <f t="shared" si="17"/>
        <v>0.93615060000000005</v>
      </c>
      <c r="M32" s="42">
        <f t="shared" si="20"/>
        <v>3.0237172678013433E-2</v>
      </c>
      <c r="N32" s="42">
        <f t="shared" si="18"/>
        <v>-3.4186368857861684E-3</v>
      </c>
      <c r="O32" s="42">
        <f t="shared" si="18"/>
        <v>-0.10083499352023011</v>
      </c>
      <c r="P32" s="42">
        <f t="shared" si="18"/>
        <v>-9.6750576678005434E-2</v>
      </c>
      <c r="Q32" s="43">
        <f t="shared" si="19"/>
        <v>-6.700140236134057E-2</v>
      </c>
      <c r="R32" s="42">
        <f t="shared" si="21"/>
        <v>3.1813239719623944E-2</v>
      </c>
      <c r="S32" s="42">
        <f t="shared" si="22"/>
        <v>1.5034395863904901E-2</v>
      </c>
      <c r="T32" s="42">
        <f t="shared" si="23"/>
        <v>1.4179541803587605E-2</v>
      </c>
      <c r="U32" s="42">
        <f t="shared" si="24"/>
        <v>1.3490495947329265E-2</v>
      </c>
      <c r="V32" s="43">
        <f t="shared" si="25"/>
        <v>1.4234811204940592E-2</v>
      </c>
      <c r="W32" s="42">
        <f t="shared" si="26"/>
        <v>4.4654143822083755E-4</v>
      </c>
      <c r="X32" s="42">
        <f t="shared" si="27"/>
        <v>1.0400979648634547E-2</v>
      </c>
      <c r="Y32" s="42">
        <f t="shared" si="28"/>
        <v>9.4355421812489133E-3</v>
      </c>
      <c r="Z32" s="42">
        <f t="shared" si="29"/>
        <v>9.474159679944338E-3</v>
      </c>
      <c r="AA32" s="43">
        <f t="shared" si="30"/>
        <v>9.7702271699425993E-3</v>
      </c>
      <c r="AB32" s="46">
        <f t="shared" si="31"/>
        <v>3.1557320589333909E-4</v>
      </c>
    </row>
    <row r="33" spans="2:28" s="5" customFormat="1" ht="13" x14ac:dyDescent="0.15">
      <c r="B33" s="47" t="s">
        <v>28</v>
      </c>
      <c r="C33" s="152">
        <v>0.48749999999999999</v>
      </c>
      <c r="D33" s="93">
        <f>3/60+24+D32</f>
        <v>119.86666666666666</v>
      </c>
      <c r="E33" s="44">
        <v>6</v>
      </c>
      <c r="F33" s="147">
        <v>1.038</v>
      </c>
      <c r="G33" s="148">
        <v>0.96499999999999997</v>
      </c>
      <c r="H33" s="148">
        <v>0.98899999999999999</v>
      </c>
      <c r="I33" s="42">
        <f t="shared" si="16"/>
        <v>1.2802692</v>
      </c>
      <c r="J33" s="42">
        <f t="shared" si="16"/>
        <v>1.190231</v>
      </c>
      <c r="K33" s="42">
        <f t="shared" si="16"/>
        <v>1.2198325999999999</v>
      </c>
      <c r="L33" s="43">
        <f t="shared" si="17"/>
        <v>1.2301109333333333</v>
      </c>
      <c r="M33" s="42">
        <f t="shared" si="20"/>
        <v>2.6494983593712808E-2</v>
      </c>
      <c r="N33" s="42">
        <f t="shared" si="18"/>
        <v>0.24707036831895227</v>
      </c>
      <c r="O33" s="42">
        <f t="shared" si="18"/>
        <v>0.17414740593210429</v>
      </c>
      <c r="P33" s="42">
        <f t="shared" si="18"/>
        <v>0.19871363621583041</v>
      </c>
      <c r="Q33" s="43">
        <f t="shared" si="19"/>
        <v>0.2066438034889623</v>
      </c>
      <c r="R33" s="42">
        <f t="shared" si="21"/>
        <v>2.142121437230941E-2</v>
      </c>
      <c r="S33" s="42">
        <f t="shared" si="22"/>
        <v>1.0415343251756278E-2</v>
      </c>
      <c r="T33" s="42">
        <f t="shared" si="23"/>
        <v>1.1433779603007668E-2</v>
      </c>
      <c r="U33" s="42">
        <f t="shared" si="24"/>
        <v>1.2285414257539953E-2</v>
      </c>
      <c r="V33" s="43">
        <f t="shared" si="25"/>
        <v>1.1378179037434632E-2</v>
      </c>
      <c r="W33" s="42">
        <f t="shared" si="26"/>
        <v>5.4055834061866761E-4</v>
      </c>
      <c r="X33" s="42">
        <f t="shared" si="27"/>
        <v>1.0680777530589545E-2</v>
      </c>
      <c r="Y33" s="42">
        <f t="shared" si="28"/>
        <v>9.9296245828698563E-3</v>
      </c>
      <c r="Z33" s="42">
        <f t="shared" si="29"/>
        <v>1.0176578976640711E-2</v>
      </c>
      <c r="AA33" s="43">
        <f t="shared" si="30"/>
        <v>1.0262327030033372E-2</v>
      </c>
      <c r="AB33" s="46">
        <f t="shared" si="31"/>
        <v>2.2103712675511266E-4</v>
      </c>
    </row>
    <row r="34" spans="2:28" s="5" customFormat="1" ht="13" x14ac:dyDescent="0.15">
      <c r="B34" s="47" t="s">
        <v>29</v>
      </c>
      <c r="C34" s="152">
        <v>0.52361111111111114</v>
      </c>
      <c r="D34" s="93">
        <f>52/60+24+D33</f>
        <v>144.73333333333332</v>
      </c>
      <c r="E34" s="44">
        <v>7</v>
      </c>
      <c r="F34" s="147">
        <v>1.2629999999999999</v>
      </c>
      <c r="G34" s="148">
        <v>1.2410000000000001</v>
      </c>
      <c r="H34" s="148">
        <v>1.264</v>
      </c>
      <c r="I34" s="42">
        <f t="shared" si="16"/>
        <v>1.5577842</v>
      </c>
      <c r="J34" s="42">
        <f t="shared" si="16"/>
        <v>1.5306494000000002</v>
      </c>
      <c r="K34" s="42">
        <f t="shared" si="16"/>
        <v>1.5590176</v>
      </c>
      <c r="L34" s="43">
        <f t="shared" si="17"/>
        <v>1.5491504</v>
      </c>
      <c r="M34" s="42">
        <f t="shared" si="20"/>
        <v>9.2573496862402398E-3</v>
      </c>
      <c r="N34" s="42">
        <f t="shared" si="18"/>
        <v>0.4432644269436094</v>
      </c>
      <c r="O34" s="42">
        <f t="shared" si="18"/>
        <v>0.42569208979772566</v>
      </c>
      <c r="P34" s="42">
        <f t="shared" si="18"/>
        <v>0.44405587929992107</v>
      </c>
      <c r="Q34" s="43">
        <f t="shared" si="19"/>
        <v>0.43767079868041875</v>
      </c>
      <c r="R34" s="42">
        <f t="shared" si="21"/>
        <v>5.9937105669279119E-3</v>
      </c>
      <c r="S34" s="42">
        <f t="shared" si="22"/>
        <v>7.8898414996510929E-3</v>
      </c>
      <c r="T34" s="42">
        <f t="shared" si="23"/>
        <v>1.0115737957062523E-2</v>
      </c>
      <c r="U34" s="42">
        <f t="shared" si="24"/>
        <v>9.866310043596142E-3</v>
      </c>
      <c r="V34" s="43">
        <f t="shared" si="25"/>
        <v>9.2906298334365853E-3</v>
      </c>
      <c r="W34" s="42">
        <f t="shared" si="26"/>
        <v>7.0408558619346857E-4</v>
      </c>
      <c r="X34" s="42">
        <f t="shared" si="27"/>
        <v>1.0763133578995856E-2</v>
      </c>
      <c r="Y34" s="42">
        <f t="shared" si="28"/>
        <v>1.0575652233993553E-2</v>
      </c>
      <c r="Z34" s="42">
        <f t="shared" si="29"/>
        <v>1.0771655458314142E-2</v>
      </c>
      <c r="AA34" s="43">
        <f t="shared" si="30"/>
        <v>1.070348042376785E-2</v>
      </c>
      <c r="AB34" s="46">
        <f t="shared" si="31"/>
        <v>6.3961421139384521E-5</v>
      </c>
    </row>
    <row r="35" spans="2:28" s="5" customFormat="1" ht="13" x14ac:dyDescent="0.15">
      <c r="B35" s="47" t="s">
        <v>30</v>
      </c>
      <c r="C35" s="152">
        <v>0.50555555555555554</v>
      </c>
      <c r="D35" s="93">
        <f>10+34/60+13+24+D34</f>
        <v>192.29999999999998</v>
      </c>
      <c r="E35" s="44">
        <v>9</v>
      </c>
      <c r="F35" s="147">
        <v>1.5660000000000001</v>
      </c>
      <c r="G35" s="148">
        <f>2*0.849</f>
        <v>1.698</v>
      </c>
      <c r="H35" s="148">
        <f>2*0.814</f>
        <v>1.6279999999999999</v>
      </c>
      <c r="I35" s="42">
        <f t="shared" si="16"/>
        <v>1.9315044000000001</v>
      </c>
      <c r="J35" s="42">
        <f t="shared" si="16"/>
        <v>2.0943132000000002</v>
      </c>
      <c r="K35" s="42">
        <f t="shared" si="16"/>
        <v>2.0079751999999997</v>
      </c>
      <c r="L35" s="43">
        <f t="shared" si="17"/>
        <v>2.0112642666666667</v>
      </c>
      <c r="M35" s="42">
        <f t="shared" si="20"/>
        <v>4.7027615323386826E-2</v>
      </c>
      <c r="N35" s="42">
        <f t="shared" si="18"/>
        <v>0.65829918114386676</v>
      </c>
      <c r="O35" s="42">
        <f t="shared" si="18"/>
        <v>0.73922567146441109</v>
      </c>
      <c r="P35" s="42">
        <f t="shared" si="18"/>
        <v>0.6971268511556038</v>
      </c>
      <c r="Q35" s="43">
        <f t="shared" si="19"/>
        <v>0.69821723458796059</v>
      </c>
      <c r="R35" s="42">
        <f t="shared" si="21"/>
        <v>2.3367826249799512E-2</v>
      </c>
      <c r="S35" s="42">
        <f t="shared" si="22"/>
        <v>4.5207026110775901E-3</v>
      </c>
      <c r="T35" s="42">
        <f t="shared" si="23"/>
        <v>6.5914558163984328E-3</v>
      </c>
      <c r="U35" s="42">
        <f t="shared" si="24"/>
        <v>5.3203427860339754E-3</v>
      </c>
      <c r="V35" s="43">
        <f t="shared" si="25"/>
        <v>5.4775004045033333E-3</v>
      </c>
      <c r="W35" s="42">
        <f t="shared" si="26"/>
        <v>6.0291751705598344E-4</v>
      </c>
      <c r="X35" s="42">
        <f t="shared" si="27"/>
        <v>1.0044224648985961E-2</v>
      </c>
      <c r="Y35" s="42">
        <f t="shared" si="28"/>
        <v>1.0890864274570984E-2</v>
      </c>
      <c r="Z35" s="42">
        <f t="shared" si="29"/>
        <v>1.0441888715548622E-2</v>
      </c>
      <c r="AA35" s="43">
        <f t="shared" si="30"/>
        <v>1.0458992546368522E-2</v>
      </c>
      <c r="AB35" s="46">
        <f t="shared" si="31"/>
        <v>2.4455338181688383E-4</v>
      </c>
    </row>
    <row r="36" spans="2:28" s="5" customFormat="1" ht="13" x14ac:dyDescent="0.15">
      <c r="B36" s="47" t="s">
        <v>31</v>
      </c>
      <c r="C36" s="152">
        <v>0.54652777777777783</v>
      </c>
      <c r="D36" s="93">
        <f>59/60+24+D35</f>
        <v>217.2833333333333</v>
      </c>
      <c r="E36" s="44">
        <v>10</v>
      </c>
      <c r="F36" s="41">
        <f>1.804</f>
        <v>1.804</v>
      </c>
      <c r="G36" s="42">
        <f>2*0.939</f>
        <v>1.8779999999999999</v>
      </c>
      <c r="H36" s="42">
        <f>2*0.944</f>
        <v>1.8879999999999999</v>
      </c>
      <c r="I36" s="42">
        <f t="shared" si="16"/>
        <v>2.2250536000000003</v>
      </c>
      <c r="J36" s="42">
        <f t="shared" si="16"/>
        <v>2.3163252000000001</v>
      </c>
      <c r="K36" s="42">
        <f t="shared" si="16"/>
        <v>2.3286592000000002</v>
      </c>
      <c r="L36" s="43">
        <f t="shared" si="17"/>
        <v>2.2900126666666671</v>
      </c>
      <c r="M36" s="42">
        <f t="shared" si="20"/>
        <v>3.2674108738945593E-2</v>
      </c>
      <c r="N36" s="42">
        <f t="shared" si="18"/>
        <v>0.7997810052156874</v>
      </c>
      <c r="O36" s="42">
        <f t="shared" si="18"/>
        <v>0.83998196436132655</v>
      </c>
      <c r="P36" s="42">
        <f t="shared" si="18"/>
        <v>0.84529265129856435</v>
      </c>
      <c r="Q36" s="43">
        <f t="shared" si="19"/>
        <v>0.8283518736251928</v>
      </c>
      <c r="R36" s="42">
        <f t="shared" si="21"/>
        <v>1.4367460227788936E-2</v>
      </c>
      <c r="S36" s="42">
        <f t="shared" si="22"/>
        <v>5.6630483284251121E-3</v>
      </c>
      <c r="T36" s="42">
        <f t="shared" si="23"/>
        <v>4.0329403427718019E-3</v>
      </c>
      <c r="U36" s="42">
        <f t="shared" si="24"/>
        <v>5.9305857295381169E-3</v>
      </c>
      <c r="V36" s="43">
        <f t="shared" si="25"/>
        <v>5.2088581335783431E-3</v>
      </c>
      <c r="W36" s="42">
        <f t="shared" si="26"/>
        <v>5.9300957083341084E-4</v>
      </c>
      <c r="X36" s="42">
        <f t="shared" si="27"/>
        <v>1.0240332591853958E-2</v>
      </c>
      <c r="Y36" s="42">
        <f t="shared" si="28"/>
        <v>1.0660390580655061E-2</v>
      </c>
      <c r="Z36" s="42">
        <f t="shared" si="29"/>
        <v>1.0717155173736292E-2</v>
      </c>
      <c r="AA36" s="43">
        <f t="shared" si="30"/>
        <v>1.0539292782081771E-2</v>
      </c>
      <c r="AB36" s="46">
        <f t="shared" si="31"/>
        <v>1.5037558674056413E-4</v>
      </c>
    </row>
    <row r="37" spans="2:28" s="5" customFormat="1" ht="13" x14ac:dyDescent="0.15">
      <c r="B37" s="47" t="s">
        <v>38</v>
      </c>
      <c r="C37" s="152">
        <v>0.53749999999999998</v>
      </c>
      <c r="D37" s="93">
        <f>10+47/60+D36+13</f>
        <v>241.06666666666663</v>
      </c>
      <c r="E37" s="44">
        <v>11</v>
      </c>
      <c r="F37" s="41">
        <f>0.5*4</f>
        <v>2</v>
      </c>
      <c r="G37" s="42">
        <f>0.499*4</f>
        <v>1.996</v>
      </c>
      <c r="H37" s="42">
        <f>0.502*4</f>
        <v>2.008</v>
      </c>
      <c r="I37" s="42">
        <f t="shared" si="16"/>
        <v>2.4668000000000001</v>
      </c>
      <c r="J37" s="42">
        <f t="shared" si="16"/>
        <v>2.4618663999999999</v>
      </c>
      <c r="K37" s="42">
        <f t="shared" si="16"/>
        <v>2.4766672000000001</v>
      </c>
      <c r="L37" s="43">
        <f t="shared" si="17"/>
        <v>2.4684445333333334</v>
      </c>
      <c r="M37" s="42">
        <f t="shared" si="20"/>
        <v>4.3510262227561287E-3</v>
      </c>
      <c r="N37" s="42">
        <f t="shared" si="18"/>
        <v>0.90292176413520076</v>
      </c>
      <c r="O37" s="42">
        <f t="shared" si="18"/>
        <v>0.90091976146452757</v>
      </c>
      <c r="P37" s="42">
        <f t="shared" si="18"/>
        <v>0.90691378540473822</v>
      </c>
      <c r="Q37" s="43">
        <f t="shared" si="19"/>
        <v>0.90358510366815548</v>
      </c>
      <c r="R37" s="42">
        <f t="shared" si="21"/>
        <v>1.7618262542922207E-3</v>
      </c>
      <c r="S37" s="42">
        <f t="shared" si="22"/>
        <v>4.3366822250671348E-3</v>
      </c>
      <c r="T37" s="42">
        <f t="shared" si="23"/>
        <v>2.562205904829756E-3</v>
      </c>
      <c r="U37" s="42">
        <f t="shared" si="24"/>
        <v>2.5909376638895811E-3</v>
      </c>
      <c r="V37" s="43">
        <f t="shared" si="25"/>
        <v>3.1632752645954902E-3</v>
      </c>
      <c r="W37" s="42">
        <f t="shared" si="26"/>
        <v>5.8676210388229893E-4</v>
      </c>
      <c r="X37" s="42">
        <f t="shared" si="27"/>
        <v>1.0232853982300887E-2</v>
      </c>
      <c r="Y37" s="42">
        <f t="shared" si="28"/>
        <v>1.0212388274336284E-2</v>
      </c>
      <c r="Z37" s="42">
        <f t="shared" si="29"/>
        <v>1.027378539823009E-2</v>
      </c>
      <c r="AA37" s="43">
        <f t="shared" si="30"/>
        <v>1.0239675884955753E-2</v>
      </c>
      <c r="AB37" s="46">
        <f t="shared" si="31"/>
        <v>1.8049057893070274E-5</v>
      </c>
    </row>
    <row r="38" spans="2:28" s="5" customFormat="1" ht="13" x14ac:dyDescent="0.15">
      <c r="B38" s="47" t="s">
        <v>39</v>
      </c>
      <c r="C38" s="152">
        <v>0.53749999999999998</v>
      </c>
      <c r="D38" s="93">
        <f>D37+24</f>
        <v>265.06666666666661</v>
      </c>
      <c r="E38" s="44">
        <v>12</v>
      </c>
      <c r="F38" s="41">
        <f>0.549*4</f>
        <v>2.1960000000000002</v>
      </c>
      <c r="G38" s="42">
        <f>0.542*4</f>
        <v>2.1680000000000001</v>
      </c>
      <c r="H38" s="42">
        <f>0.543*4</f>
        <v>2.1720000000000002</v>
      </c>
      <c r="I38" s="42">
        <f t="shared" si="16"/>
        <v>2.7085464000000004</v>
      </c>
      <c r="J38" s="42">
        <f t="shared" si="16"/>
        <v>2.6740112000000003</v>
      </c>
      <c r="K38" s="42">
        <f t="shared" si="16"/>
        <v>2.6789448000000005</v>
      </c>
      <c r="L38" s="43">
        <f t="shared" si="17"/>
        <v>2.6871674666666667</v>
      </c>
      <c r="M38" s="42">
        <f t="shared" si="20"/>
        <v>1.0783926234498791E-2</v>
      </c>
      <c r="N38" s="42">
        <f t="shared" si="18"/>
        <v>0.9964121072225397</v>
      </c>
      <c r="O38" s="42">
        <f t="shared" si="18"/>
        <v>0.98357966715265521</v>
      </c>
      <c r="P38" s="42">
        <f t="shared" si="18"/>
        <v>0.98542298564694453</v>
      </c>
      <c r="Q38" s="43">
        <f t="shared" si="19"/>
        <v>0.98847158667404644</v>
      </c>
      <c r="R38" s="42">
        <f t="shared" si="21"/>
        <v>4.0057606728156536E-3</v>
      </c>
      <c r="S38" s="42">
        <f t="shared" si="22"/>
        <v>3.8954309619724605E-3</v>
      </c>
      <c r="T38" s="42">
        <f t="shared" si="23"/>
        <v>3.4441627370053224E-3</v>
      </c>
      <c r="U38" s="42">
        <f t="shared" si="24"/>
        <v>3.2712166767586001E-3</v>
      </c>
      <c r="V38" s="43">
        <f t="shared" si="25"/>
        <v>3.5369367919121275E-3</v>
      </c>
      <c r="W38" s="42">
        <f t="shared" si="26"/>
        <v>1.8607000243111988E-4</v>
      </c>
      <c r="X38" s="42">
        <f t="shared" si="27"/>
        <v>1.0218359154929581E-2</v>
      </c>
      <c r="Y38" s="42">
        <f t="shared" si="28"/>
        <v>1.0088070422535214E-2</v>
      </c>
      <c r="Z38" s="42">
        <f t="shared" si="29"/>
        <v>1.0106683098591553E-2</v>
      </c>
      <c r="AA38" s="43">
        <f t="shared" si="30"/>
        <v>1.0137704225352116E-2</v>
      </c>
      <c r="AB38" s="46">
        <f t="shared" si="31"/>
        <v>4.0683826337394842E-5</v>
      </c>
    </row>
    <row r="39" spans="2:28" s="5" customFormat="1" ht="13" x14ac:dyDescent="0.15">
      <c r="B39" s="47" t="s">
        <v>40</v>
      </c>
      <c r="C39" s="152">
        <v>0.53749999999999998</v>
      </c>
      <c r="D39" s="93">
        <f>D38+24</f>
        <v>289.06666666666661</v>
      </c>
      <c r="E39" s="44">
        <v>13</v>
      </c>
      <c r="F39" s="41">
        <f>0.588*4</f>
        <v>2.3519999999999999</v>
      </c>
      <c r="G39" s="42">
        <f>0.589*4</f>
        <v>2.3559999999999999</v>
      </c>
      <c r="H39" s="42">
        <f>0.595*4</f>
        <v>2.38</v>
      </c>
      <c r="I39" s="42">
        <f t="shared" si="16"/>
        <v>2.9009567999999999</v>
      </c>
      <c r="J39" s="42">
        <f t="shared" si="16"/>
        <v>2.9058904000000001</v>
      </c>
      <c r="K39" s="42">
        <f t="shared" si="16"/>
        <v>2.935492</v>
      </c>
      <c r="L39" s="43">
        <f t="shared" si="17"/>
        <v>2.9141130666666668</v>
      </c>
      <c r="M39" s="42">
        <f t="shared" si="20"/>
        <v>1.0783926234498791E-2</v>
      </c>
      <c r="N39" s="42">
        <f t="shared" si="18"/>
        <v>1.0650406136116359</v>
      </c>
      <c r="O39" s="42">
        <f t="shared" si="18"/>
        <v>1.0667398493645956</v>
      </c>
      <c r="P39" s="42">
        <f t="shared" si="18"/>
        <v>1.0768750712586388</v>
      </c>
      <c r="Q39" s="43">
        <f t="shared" si="19"/>
        <v>1.0695518447449568</v>
      </c>
      <c r="R39" s="42">
        <f t="shared" si="21"/>
        <v>3.6943238201352191E-3</v>
      </c>
      <c r="S39" s="42">
        <f t="shared" si="22"/>
        <v>2.8595210995456762E-3</v>
      </c>
      <c r="T39" s="42">
        <f t="shared" si="23"/>
        <v>3.4650075921641849E-3</v>
      </c>
      <c r="U39" s="42">
        <f t="shared" si="24"/>
        <v>3.8105035671539278E-3</v>
      </c>
      <c r="V39" s="43">
        <f t="shared" si="25"/>
        <v>3.3783440862879296E-3</v>
      </c>
      <c r="W39" s="42">
        <f t="shared" si="26"/>
        <v>2.7792375205119515E-4</v>
      </c>
      <c r="X39" s="42">
        <f t="shared" si="27"/>
        <v>1.0035597785977861E-2</v>
      </c>
      <c r="Y39" s="42">
        <f t="shared" si="28"/>
        <v>1.0052665129151294E-2</v>
      </c>
      <c r="Z39" s="42">
        <f t="shared" si="29"/>
        <v>1.0155069188191883E-2</v>
      </c>
      <c r="AA39" s="43">
        <f t="shared" si="30"/>
        <v>1.0081110701107012E-2</v>
      </c>
      <c r="AB39" s="46">
        <f t="shared" si="31"/>
        <v>3.7306017877647765E-5</v>
      </c>
    </row>
    <row r="40" spans="2:28" s="5" customFormat="1" ht="13" x14ac:dyDescent="0.15">
      <c r="B40" s="47" t="s">
        <v>32</v>
      </c>
      <c r="C40" s="152">
        <v>0.53749999999999998</v>
      </c>
      <c r="D40" s="93">
        <f>10+47/60+D39+13</f>
        <v>312.84999999999997</v>
      </c>
      <c r="E40" s="44">
        <v>14</v>
      </c>
      <c r="F40" s="41">
        <f>4*0.685</f>
        <v>2.74</v>
      </c>
      <c r="G40" s="42">
        <f>4*0.642</f>
        <v>2.5680000000000001</v>
      </c>
      <c r="H40" s="42">
        <f>4*0.645</f>
        <v>2.58</v>
      </c>
      <c r="I40" s="42">
        <f t="shared" si="16"/>
        <v>3.3795160000000002</v>
      </c>
      <c r="J40" s="42">
        <f t="shared" si="16"/>
        <v>3.1673712000000003</v>
      </c>
      <c r="K40" s="42">
        <f t="shared" si="16"/>
        <v>3.182172</v>
      </c>
      <c r="L40" s="43">
        <f t="shared" si="17"/>
        <v>3.2430197333333335</v>
      </c>
      <c r="M40" s="42">
        <f t="shared" si="20"/>
        <v>6.8381744714539464E-2</v>
      </c>
      <c r="N40" s="42">
        <f t="shared" si="18"/>
        <v>1.2177325039752342</v>
      </c>
      <c r="O40" s="42">
        <f t="shared" si="18"/>
        <v>1.1529019694029703</v>
      </c>
      <c r="P40" s="42">
        <f t="shared" si="18"/>
        <v>1.1575639825087813</v>
      </c>
      <c r="Q40" s="43">
        <f t="shared" si="19"/>
        <v>1.1760661519623286</v>
      </c>
      <c r="R40" s="42">
        <f t="shared" si="21"/>
        <v>2.0876599811728697E-2</v>
      </c>
      <c r="S40" s="42">
        <f t="shared" si="22"/>
        <v>6.42012152895297E-3</v>
      </c>
      <c r="T40" s="42">
        <f t="shared" si="23"/>
        <v>3.6227941151383831E-3</v>
      </c>
      <c r="U40" s="42">
        <f t="shared" si="24"/>
        <v>3.3926662053318482E-3</v>
      </c>
      <c r="V40" s="43">
        <f t="shared" si="25"/>
        <v>4.4785272831410665E-3</v>
      </c>
      <c r="W40" s="42">
        <f t="shared" si="26"/>
        <v>9.7306746515771799E-4</v>
      </c>
      <c r="X40" s="42">
        <f t="shared" si="27"/>
        <v>1.0802352565127059E-2</v>
      </c>
      <c r="Y40" s="42">
        <f t="shared" si="28"/>
        <v>1.0124248681476747E-2</v>
      </c>
      <c r="Z40" s="42">
        <f t="shared" si="29"/>
        <v>1.0171558254754676E-2</v>
      </c>
      <c r="AA40" s="43">
        <f t="shared" si="30"/>
        <v>1.0366053167119494E-2</v>
      </c>
      <c r="AB40" s="46">
        <f t="shared" si="31"/>
        <v>2.1857677709617856E-4</v>
      </c>
    </row>
    <row r="41" spans="2:28" s="5" customFormat="1" ht="13" x14ac:dyDescent="0.15">
      <c r="B41" s="47" t="s">
        <v>34</v>
      </c>
      <c r="C41" s="152">
        <v>0.53749999999999998</v>
      </c>
      <c r="D41" s="93">
        <f>D40+24</f>
        <v>336.84999999999997</v>
      </c>
      <c r="E41" s="44">
        <v>15</v>
      </c>
      <c r="F41" s="41">
        <f>0.727*4</f>
        <v>2.9079999999999999</v>
      </c>
      <c r="G41" s="42">
        <f>0.761*4</f>
        <v>3.044</v>
      </c>
      <c r="H41" s="42">
        <f>0.722*4</f>
        <v>2.8879999999999999</v>
      </c>
      <c r="I41" s="42">
        <f t="shared" si="16"/>
        <v>3.5867271999999999</v>
      </c>
      <c r="J41" s="42">
        <f t="shared" si="16"/>
        <v>3.7544696000000002</v>
      </c>
      <c r="K41" s="42">
        <f t="shared" si="16"/>
        <v>3.5620592000000002</v>
      </c>
      <c r="L41" s="43">
        <f t="shared" si="17"/>
        <v>3.6344186666666669</v>
      </c>
      <c r="M41" s="42">
        <f t="shared" si="20"/>
        <v>6.0446388096266339E-2</v>
      </c>
      <c r="N41" s="42">
        <f t="shared" si="18"/>
        <v>1.2772401432465283</v>
      </c>
      <c r="O41" s="42">
        <f t="shared" si="18"/>
        <v>1.3229470235746947</v>
      </c>
      <c r="P41" s="42">
        <f t="shared" si="18"/>
        <v>1.2703388046058353</v>
      </c>
      <c r="Q41" s="43">
        <f t="shared" si="19"/>
        <v>1.2901753238090194</v>
      </c>
      <c r="R41" s="42">
        <f t="shared" si="21"/>
        <v>1.6506517378569514E-2</v>
      </c>
      <c r="S41" s="42">
        <f t="shared" si="22"/>
        <v>2.4794849696372543E-3</v>
      </c>
      <c r="T41" s="42">
        <f t="shared" si="23"/>
        <v>7.0852105904885181E-3</v>
      </c>
      <c r="U41" s="42">
        <f t="shared" si="24"/>
        <v>4.6989509207105802E-3</v>
      </c>
      <c r="V41" s="43">
        <f t="shared" si="25"/>
        <v>4.7545488269454504E-3</v>
      </c>
      <c r="W41" s="42">
        <f t="shared" si="26"/>
        <v>1.3298490477023732E-3</v>
      </c>
      <c r="X41" s="42">
        <f t="shared" si="27"/>
        <v>1.0647846816090248E-2</v>
      </c>
      <c r="Y41" s="42">
        <f t="shared" si="28"/>
        <v>1.1145820394834497E-2</v>
      </c>
      <c r="Z41" s="42">
        <f t="shared" si="29"/>
        <v>1.0574615407451389E-2</v>
      </c>
      <c r="AA41" s="43">
        <f t="shared" si="30"/>
        <v>1.0789427539458711E-2</v>
      </c>
      <c r="AB41" s="46">
        <f t="shared" si="31"/>
        <v>1.7944600889495722E-4</v>
      </c>
    </row>
    <row r="42" spans="2:28" s="5" customFormat="1" ht="13" x14ac:dyDescent="0.15">
      <c r="B42" s="47" t="s">
        <v>35</v>
      </c>
      <c r="C42" s="152">
        <v>0.53749999999999998</v>
      </c>
      <c r="D42" s="93">
        <f>D41+24</f>
        <v>360.84999999999997</v>
      </c>
      <c r="E42" s="44">
        <v>16</v>
      </c>
      <c r="F42" s="41">
        <f>0.767*4</f>
        <v>3.0680000000000001</v>
      </c>
      <c r="G42" s="42">
        <f>0.786*4</f>
        <v>3.1440000000000001</v>
      </c>
      <c r="H42" s="42">
        <f>0.852*4</f>
        <v>3.4079999999999999</v>
      </c>
      <c r="I42" s="42">
        <f t="shared" si="16"/>
        <v>3.7840712000000001</v>
      </c>
      <c r="J42" s="42">
        <f t="shared" si="16"/>
        <v>3.8778096000000004</v>
      </c>
      <c r="K42" s="42">
        <f t="shared" si="16"/>
        <v>4.2034272000000001</v>
      </c>
      <c r="L42" s="43">
        <f t="shared" si="17"/>
        <v>3.9551026666666669</v>
      </c>
      <c r="M42" s="42">
        <f t="shared" si="20"/>
        <v>0.1270767842684799</v>
      </c>
      <c r="N42" s="42">
        <f t="shared" si="18"/>
        <v>1.3308004670802651</v>
      </c>
      <c r="O42" s="42">
        <f t="shared" si="18"/>
        <v>1.3552704581422157</v>
      </c>
      <c r="P42" s="42">
        <f t="shared" si="18"/>
        <v>1.4359001925423247</v>
      </c>
      <c r="Q42" s="43">
        <f t="shared" si="19"/>
        <v>1.3739903725882685</v>
      </c>
      <c r="R42" s="42">
        <f t="shared" si="21"/>
        <v>3.1750666505868962E-2</v>
      </c>
      <c r="S42" s="42">
        <f t="shared" si="22"/>
        <v>2.2316801597390321E-3</v>
      </c>
      <c r="T42" s="42">
        <f t="shared" si="23"/>
        <v>1.3468097736467066E-3</v>
      </c>
      <c r="U42" s="42">
        <f t="shared" si="24"/>
        <v>6.8983911640203939E-3</v>
      </c>
      <c r="V42" s="43">
        <f t="shared" si="25"/>
        <v>3.4922936991353772E-3</v>
      </c>
      <c r="W42" s="42">
        <f t="shared" si="26"/>
        <v>1.7220988991409965E-3</v>
      </c>
      <c r="X42" s="42">
        <f t="shared" si="27"/>
        <v>1.0486548981571291E-2</v>
      </c>
      <c r="Y42" s="42">
        <f t="shared" si="28"/>
        <v>1.074632007759457E-2</v>
      </c>
      <c r="Z42" s="42">
        <f t="shared" si="29"/>
        <v>1.1648682832201747E-2</v>
      </c>
      <c r="AA42" s="43">
        <f t="shared" si="30"/>
        <v>1.0960517297122536E-2</v>
      </c>
      <c r="AB42" s="46">
        <f t="shared" si="31"/>
        <v>3.5215957951636388E-4</v>
      </c>
    </row>
    <row r="43" spans="2:28" s="5" customFormat="1" ht="13" x14ac:dyDescent="0.15">
      <c r="B43" s="47" t="s">
        <v>36</v>
      </c>
      <c r="C43" s="152">
        <v>0.53749999999999998</v>
      </c>
      <c r="D43" s="93">
        <f>D42+24</f>
        <v>384.84999999999997</v>
      </c>
      <c r="E43" s="44">
        <v>17</v>
      </c>
      <c r="F43" s="41">
        <f>0.789*4</f>
        <v>3.1560000000000001</v>
      </c>
      <c r="G43" s="42">
        <f>0.865*4</f>
        <v>3.46</v>
      </c>
      <c r="H43" s="42">
        <f>0.944*4</f>
        <v>3.7759999999999998</v>
      </c>
      <c r="I43" s="42">
        <f t="shared" si="16"/>
        <v>3.8926104000000001</v>
      </c>
      <c r="J43" s="42">
        <f t="shared" si="16"/>
        <v>4.2675640000000001</v>
      </c>
      <c r="K43" s="42">
        <f t="shared" si="16"/>
        <v>4.6573184000000003</v>
      </c>
      <c r="L43" s="43">
        <f t="shared" si="17"/>
        <v>4.2724976000000003</v>
      </c>
      <c r="M43" s="42">
        <f t="shared" si="20"/>
        <v>0.22076596705011703</v>
      </c>
      <c r="N43" s="42">
        <f t="shared" si="18"/>
        <v>1.3590799865588832</v>
      </c>
      <c r="O43" s="42">
        <f t="shared" si="18"/>
        <v>1.4510431726448882</v>
      </c>
      <c r="P43" s="42">
        <f t="shared" si="18"/>
        <v>1.5384398318585097</v>
      </c>
      <c r="Q43" s="43">
        <f t="shared" si="19"/>
        <v>1.4495209970207605</v>
      </c>
      <c r="R43" s="42">
        <f t="shared" si="21"/>
        <v>5.1782320954966571E-2</v>
      </c>
      <c r="S43" s="42">
        <f t="shared" si="22"/>
        <v>1.178313311609086E-3</v>
      </c>
      <c r="T43" s="42">
        <f t="shared" si="23"/>
        <v>3.9905297709446896E-3</v>
      </c>
      <c r="U43" s="42">
        <f t="shared" si="24"/>
        <v>4.2724849715077102E-3</v>
      </c>
      <c r="V43" s="43">
        <f t="shared" si="25"/>
        <v>3.1471093513538288E-3</v>
      </c>
      <c r="W43" s="42">
        <f t="shared" si="26"/>
        <v>9.8775723541888395E-4</v>
      </c>
      <c r="X43" s="42">
        <f t="shared" si="27"/>
        <v>1.0114617123554633E-2</v>
      </c>
      <c r="Y43" s="42">
        <f t="shared" si="28"/>
        <v>1.1088902169676498E-2</v>
      </c>
      <c r="Z43" s="42">
        <f t="shared" si="29"/>
        <v>1.2101645836040018E-2</v>
      </c>
      <c r="AA43" s="43">
        <f t="shared" si="30"/>
        <v>1.1101721709757048E-2</v>
      </c>
      <c r="AB43" s="46">
        <f t="shared" si="31"/>
        <v>5.7364159295859982E-4</v>
      </c>
    </row>
    <row r="44" spans="2:28" s="5" customFormat="1" ht="13" x14ac:dyDescent="0.15">
      <c r="B44" s="47" t="s">
        <v>37</v>
      </c>
      <c r="C44" s="152">
        <v>0.53888888888888886</v>
      </c>
      <c r="D44" s="93">
        <f>D43+24</f>
        <v>408.84999999999997</v>
      </c>
      <c r="E44" s="44">
        <v>18</v>
      </c>
      <c r="F44" s="41">
        <f>4*0.799</f>
        <v>3.1960000000000002</v>
      </c>
      <c r="G44" s="42">
        <f>0.879*4</f>
        <v>3.516</v>
      </c>
      <c r="H44" s="42">
        <f>0.944*4</f>
        <v>3.7759999999999998</v>
      </c>
      <c r="I44" s="42">
        <f t="shared" si="16"/>
        <v>3.9419464000000004</v>
      </c>
      <c r="J44" s="42">
        <f t="shared" si="16"/>
        <v>4.3366344000000003</v>
      </c>
      <c r="K44" s="42">
        <f t="shared" si="16"/>
        <v>4.6573184000000003</v>
      </c>
      <c r="L44" s="43">
        <f t="shared" si="17"/>
        <v>4.3119664000000002</v>
      </c>
      <c r="M44" s="42">
        <f t="shared" si="20"/>
        <v>0.20687811005839485</v>
      </c>
      <c r="N44" s="42">
        <f t="shared" si="18"/>
        <v>1.3716746114792837</v>
      </c>
      <c r="O44" s="42">
        <f t="shared" si="18"/>
        <v>1.4670985633981861</v>
      </c>
      <c r="P44" s="42">
        <f t="shared" si="18"/>
        <v>1.5384398318585097</v>
      </c>
      <c r="Q44" s="43">
        <f t="shared" si="19"/>
        <v>1.4590710022453264</v>
      </c>
      <c r="R44" s="42">
        <f t="shared" si="21"/>
        <v>4.8308008258052246E-2</v>
      </c>
      <c r="S44" s="42">
        <f t="shared" si="22"/>
        <v>5.2477603835002218E-4</v>
      </c>
      <c r="T44" s="42">
        <f t="shared" si="23"/>
        <v>6.689746147207446E-4</v>
      </c>
      <c r="U44" s="42">
        <f t="shared" si="24"/>
        <v>0</v>
      </c>
      <c r="V44" s="43">
        <f t="shared" si="25"/>
        <v>3.9791688435692222E-4</v>
      </c>
      <c r="W44" s="42">
        <f t="shared" si="26"/>
        <v>2.0326640360134607E-4</v>
      </c>
      <c r="X44" s="42">
        <f t="shared" si="27"/>
        <v>9.6415467775467795E-3</v>
      </c>
      <c r="Y44" s="42">
        <f t="shared" si="28"/>
        <v>1.0606908157025806E-2</v>
      </c>
      <c r="Z44" s="42">
        <f t="shared" si="29"/>
        <v>1.1391264277852515E-2</v>
      </c>
      <c r="AA44" s="43">
        <f t="shared" si="30"/>
        <v>1.0546573070808368E-2</v>
      </c>
      <c r="AB44" s="46">
        <f t="shared" si="31"/>
        <v>5.0600002460167513E-4</v>
      </c>
    </row>
    <row r="45" spans="2:28" s="5" customFormat="1" thickBot="1" x14ac:dyDescent="0.2">
      <c r="B45" s="47" t="s">
        <v>33</v>
      </c>
      <c r="C45" s="152">
        <v>0.54583333333333328</v>
      </c>
      <c r="D45" s="93">
        <f>10/60+24+D44</f>
        <v>433.01666666666665</v>
      </c>
      <c r="E45" s="44">
        <v>19</v>
      </c>
      <c r="F45" s="41">
        <f>4*0.804</f>
        <v>3.2160000000000002</v>
      </c>
      <c r="G45" s="42">
        <f>4*0.894</f>
        <v>3.5760000000000001</v>
      </c>
      <c r="H45" s="42">
        <f>4*0.962</f>
        <v>3.8479999999999999</v>
      </c>
      <c r="I45" s="42">
        <f t="shared" si="16"/>
        <v>3.9666144000000005</v>
      </c>
      <c r="J45" s="42">
        <f t="shared" si="16"/>
        <v>4.4106383999999998</v>
      </c>
      <c r="K45" s="42">
        <f t="shared" si="16"/>
        <v>4.7461232000000004</v>
      </c>
      <c r="L45" s="43">
        <f t="shared" si="17"/>
        <v>4.3744586666666665</v>
      </c>
      <c r="M45" s="42">
        <f t="shared" si="20"/>
        <v>0.22575076385800139</v>
      </c>
      <c r="N45" s="42">
        <f t="shared" si="18"/>
        <v>1.3779129348919754</v>
      </c>
      <c r="O45" s="42">
        <f t="shared" si="18"/>
        <v>1.484019440886523</v>
      </c>
      <c r="P45" s="42">
        <f t="shared" si="18"/>
        <v>1.5573281163787156</v>
      </c>
      <c r="Q45" s="43">
        <f t="shared" si="19"/>
        <v>1.4730868307190714</v>
      </c>
      <c r="R45" s="42">
        <f t="shared" si="21"/>
        <v>5.208036517660336E-2</v>
      </c>
      <c r="S45" s="42">
        <f t="shared" si="22"/>
        <v>2.5813752052517377E-4</v>
      </c>
      <c r="T45" s="42">
        <f t="shared" si="23"/>
        <v>7.0017424089669985E-4</v>
      </c>
      <c r="U45" s="42">
        <f t="shared" si="24"/>
        <v>7.8158418704300033E-4</v>
      </c>
      <c r="V45" s="43">
        <f t="shared" si="25"/>
        <v>5.79965316154958E-4</v>
      </c>
      <c r="W45" s="42">
        <f t="shared" si="26"/>
        <v>1.6262097277906735E-4</v>
      </c>
      <c r="X45" s="42">
        <f t="shared" si="27"/>
        <v>9.1604196913128849E-3</v>
      </c>
      <c r="Y45" s="42">
        <f t="shared" si="28"/>
        <v>1.0185839806012086E-2</v>
      </c>
      <c r="Z45" s="42">
        <f t="shared" si="29"/>
        <v>1.0960601670451485E-2</v>
      </c>
      <c r="AA45" s="43">
        <f t="shared" si="30"/>
        <v>1.0102287055925486E-2</v>
      </c>
      <c r="AB45" s="46">
        <f t="shared" si="31"/>
        <v>5.2134428357184372E-4</v>
      </c>
    </row>
    <row r="46" spans="2:28" ht="15" thickBot="1" x14ac:dyDescent="0.2">
      <c r="B46" s="171" t="s">
        <v>74</v>
      </c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3"/>
    </row>
    <row r="47" spans="2:28" ht="60" x14ac:dyDescent="0.15">
      <c r="B47" s="23" t="s">
        <v>0</v>
      </c>
      <c r="C47" s="24" t="s">
        <v>1</v>
      </c>
      <c r="D47" s="25" t="s">
        <v>2</v>
      </c>
      <c r="E47" s="26" t="s">
        <v>3</v>
      </c>
      <c r="F47" s="174" t="s">
        <v>61</v>
      </c>
      <c r="G47" s="175"/>
      <c r="H47" s="176"/>
      <c r="I47" s="177" t="s">
        <v>13</v>
      </c>
      <c r="J47" s="175"/>
      <c r="K47" s="176"/>
      <c r="L47" s="27" t="s">
        <v>4</v>
      </c>
      <c r="M47" s="28" t="s">
        <v>70</v>
      </c>
      <c r="N47" s="177" t="s">
        <v>63</v>
      </c>
      <c r="O47" s="175"/>
      <c r="P47" s="176"/>
      <c r="Q47" s="28" t="s">
        <v>5</v>
      </c>
      <c r="R47" s="28" t="s">
        <v>62</v>
      </c>
      <c r="S47" s="178" t="s">
        <v>6</v>
      </c>
      <c r="T47" s="179"/>
      <c r="U47" s="179"/>
      <c r="V47" s="27" t="s">
        <v>64</v>
      </c>
      <c r="W47" s="27" t="s">
        <v>62</v>
      </c>
      <c r="X47" s="177" t="s">
        <v>65</v>
      </c>
      <c r="Y47" s="175"/>
      <c r="Z47" s="176"/>
      <c r="AA47" s="27" t="s">
        <v>66</v>
      </c>
      <c r="AB47" s="29" t="s">
        <v>62</v>
      </c>
    </row>
    <row r="48" spans="2:28" x14ac:dyDescent="0.15">
      <c r="B48" s="30"/>
      <c r="C48" s="31"/>
      <c r="D48" s="32"/>
      <c r="E48" s="33"/>
      <c r="F48" s="168" t="s">
        <v>16</v>
      </c>
      <c r="G48" s="169"/>
      <c r="H48" s="170"/>
      <c r="I48" s="180" t="s">
        <v>7</v>
      </c>
      <c r="J48" s="169"/>
      <c r="K48" s="170"/>
      <c r="L48" s="36" t="s">
        <v>7</v>
      </c>
      <c r="M48" s="36"/>
      <c r="N48" s="180" t="s">
        <v>7</v>
      </c>
      <c r="O48" s="169"/>
      <c r="P48" s="170"/>
      <c r="Q48" s="35"/>
      <c r="R48" s="35"/>
      <c r="S48" s="181" t="s">
        <v>67</v>
      </c>
      <c r="T48" s="182"/>
      <c r="U48" s="182"/>
      <c r="V48" s="36" t="s">
        <v>67</v>
      </c>
      <c r="W48" s="32"/>
      <c r="X48" s="183" t="s">
        <v>68</v>
      </c>
      <c r="Y48" s="184"/>
      <c r="Z48" s="185"/>
      <c r="AA48" s="38" t="s">
        <v>68</v>
      </c>
      <c r="AB48" s="39"/>
    </row>
    <row r="49" spans="1:28" s="5" customFormat="1" ht="13" x14ac:dyDescent="0.15">
      <c r="B49" s="167" t="s">
        <v>8</v>
      </c>
      <c r="C49" s="152">
        <v>0.4465277777777778</v>
      </c>
      <c r="D49" s="93">
        <v>0</v>
      </c>
      <c r="E49" s="186">
        <v>1</v>
      </c>
      <c r="F49" s="41">
        <v>0.109</v>
      </c>
      <c r="G49" s="42">
        <v>0.10299999999999999</v>
      </c>
      <c r="H49" s="42">
        <v>0.10199999999999999</v>
      </c>
      <c r="I49" s="42">
        <f t="shared" ref="I49:K67" si="32">1.2334*F49</f>
        <v>0.13444059999999999</v>
      </c>
      <c r="J49" s="42">
        <f t="shared" si="32"/>
        <v>0.12704019999999999</v>
      </c>
      <c r="K49" s="42">
        <f t="shared" si="32"/>
        <v>0.1258068</v>
      </c>
      <c r="L49" s="43">
        <f t="shared" ref="L49:L67" si="33">AVERAGE(I49:K49)</f>
        <v>0.12909586666666664</v>
      </c>
      <c r="M49" s="150">
        <f t="shared" ref="M49:M67" si="34">STDEV(I49:K49)/SQRT(3)</f>
        <v>2.6959815586246956E-3</v>
      </c>
      <c r="N49" s="42">
        <f t="shared" ref="N49:P67" si="35">LN(I49)</f>
        <v>-2.0066328131777382</v>
      </c>
      <c r="O49" s="42">
        <f t="shared" si="35"/>
        <v>-2.0632517071772458</v>
      </c>
      <c r="P49" s="42">
        <f t="shared" si="35"/>
        <v>-2.0730078821226106</v>
      </c>
      <c r="Q49" s="43">
        <f t="shared" ref="Q49:Q67" si="36">AVERAGE(N49:P49)</f>
        <v>-2.0476308008258646</v>
      </c>
      <c r="R49" s="42">
        <f>STDEV(N49:P49)/SQRT(3)</f>
        <v>2.0691560121525388E-2</v>
      </c>
      <c r="S49" s="42"/>
      <c r="V49" s="151"/>
      <c r="AA49" s="151"/>
      <c r="AB49" s="44"/>
    </row>
    <row r="50" spans="1:28" s="5" customFormat="1" ht="13" x14ac:dyDescent="0.15">
      <c r="B50" s="167"/>
      <c r="C50" s="152">
        <v>0.66527777777777775</v>
      </c>
      <c r="D50" s="93">
        <f>5+15/60+D49</f>
        <v>5.25</v>
      </c>
      <c r="E50" s="186"/>
      <c r="F50" s="147">
        <v>0.13</v>
      </c>
      <c r="G50" s="148">
        <v>0.13400000000000001</v>
      </c>
      <c r="H50" s="148">
        <v>0.13400000000000001</v>
      </c>
      <c r="I50" s="42">
        <f t="shared" si="32"/>
        <v>0.16034200000000001</v>
      </c>
      <c r="J50" s="42">
        <f t="shared" si="32"/>
        <v>0.16527560000000002</v>
      </c>
      <c r="K50" s="42">
        <f t="shared" si="32"/>
        <v>0.16527560000000002</v>
      </c>
      <c r="L50" s="43">
        <f t="shared" si="33"/>
        <v>0.16363106666666669</v>
      </c>
      <c r="M50" s="150">
        <f t="shared" si="34"/>
        <v>1.6445333333333367E-3</v>
      </c>
      <c r="N50" s="42">
        <f t="shared" si="35"/>
        <v>-1.8304462449512993</v>
      </c>
      <c r="O50" s="42">
        <f t="shared" si="35"/>
        <v>-1.8001408954559701</v>
      </c>
      <c r="P50" s="42">
        <f t="shared" si="35"/>
        <v>-1.8001408954559701</v>
      </c>
      <c r="Q50" s="43">
        <f t="shared" si="36"/>
        <v>-1.8102426786210799</v>
      </c>
      <c r="R50" s="42">
        <f t="shared" ref="R50:R67" si="37">STDEV(N50:P50)/SQRT(3)</f>
        <v>1.0101783165109717E-2</v>
      </c>
      <c r="S50" s="42">
        <f>(N50-N49)/(D50-D49)</f>
        <v>3.3559346328845517E-2</v>
      </c>
      <c r="T50" s="42">
        <f>(O50-O49)/(D50-D49)</f>
        <v>5.0116345089766798E-2</v>
      </c>
      <c r="U50" s="42">
        <f>(P50-P49)/(D50-D49)</f>
        <v>5.1974664126979132E-2</v>
      </c>
      <c r="V50" s="43">
        <f>AVERAGE(S50:U50)</f>
        <v>4.5216785181863811E-2</v>
      </c>
      <c r="W50" s="42">
        <f>STDEV(S50:U50)/SQRT(3)</f>
        <v>5.8533536788725462E-3</v>
      </c>
      <c r="X50" s="42">
        <f>I50/D50</f>
        <v>3.0541333333333337E-2</v>
      </c>
      <c r="Y50" s="42">
        <f>J50/D50</f>
        <v>3.1481066666666668E-2</v>
      </c>
      <c r="Z50" s="42">
        <f>K50/D50</f>
        <v>3.1481066666666668E-2</v>
      </c>
      <c r="AA50" s="43">
        <f>AVERAGE(X50:Z50)</f>
        <v>3.1167822222222225E-2</v>
      </c>
      <c r="AB50" s="46">
        <f>STDEV(X50:Z50)/SQRT(3)</f>
        <v>3.1324444444444382E-4</v>
      </c>
    </row>
    <row r="51" spans="1:28" s="5" customFormat="1" ht="13" x14ac:dyDescent="0.15">
      <c r="B51" s="167"/>
      <c r="C51" s="152">
        <v>0.8666666666666667</v>
      </c>
      <c r="D51" s="93">
        <f>4+50/60+D50</f>
        <v>10.083333333333332</v>
      </c>
      <c r="E51" s="186"/>
      <c r="F51" s="147">
        <v>0.14699999999999999</v>
      </c>
      <c r="G51" s="148">
        <v>0.14299999999999999</v>
      </c>
      <c r="H51" s="148">
        <v>0.159</v>
      </c>
      <c r="I51" s="42">
        <f t="shared" si="32"/>
        <v>0.18130979999999999</v>
      </c>
      <c r="J51" s="42">
        <f t="shared" si="32"/>
        <v>0.17637619999999998</v>
      </c>
      <c r="K51" s="42">
        <f t="shared" si="32"/>
        <v>0.19611060000000002</v>
      </c>
      <c r="L51" s="43">
        <f t="shared" si="33"/>
        <v>0.18459886666666667</v>
      </c>
      <c r="M51" s="150">
        <f t="shared" si="34"/>
        <v>5.9294492575430579E-3</v>
      </c>
      <c r="N51" s="42">
        <f t="shared" si="35"/>
        <v>-1.7075481086281454</v>
      </c>
      <c r="O51" s="42">
        <f t="shared" si="35"/>
        <v>-1.7351360651469745</v>
      </c>
      <c r="P51" s="42">
        <f t="shared" si="35"/>
        <v>-1.6290764931866499</v>
      </c>
      <c r="Q51" s="43">
        <f t="shared" si="36"/>
        <v>-1.6905868889872566</v>
      </c>
      <c r="R51" s="42">
        <f t="shared" si="37"/>
        <v>3.176958938923443E-2</v>
      </c>
      <c r="S51" s="42">
        <f t="shared" ref="S51:S67" si="38">(N51-N50)/(D51-D50)</f>
        <v>2.5427200618583556E-2</v>
      </c>
      <c r="T51" s="42">
        <f t="shared" ref="T51:T67" si="39">(O51-O50)/(D51-D50)</f>
        <v>1.3449275236343925E-2</v>
      </c>
      <c r="U51" s="42">
        <f t="shared" ref="U51:U67" si="40">(P51-P50)/(D51-D50)</f>
        <v>3.5392634952273148E-2</v>
      </c>
      <c r="V51" s="43">
        <f t="shared" ref="V51:V67" si="41">AVERAGE(S51:U51)</f>
        <v>2.475637026906688E-2</v>
      </c>
      <c r="W51" s="42">
        <f t="shared" ref="W51:W67" si="42">STDEV(S51:U51)/SQRT(3)</f>
        <v>6.3433763071947882E-3</v>
      </c>
      <c r="X51" s="42">
        <f t="shared" ref="X51:X67" si="43">I51/D51</f>
        <v>1.7981137190082645E-2</v>
      </c>
      <c r="Y51" s="42">
        <f t="shared" ref="Y51:Y67" si="44">J51/D51</f>
        <v>1.7491854545454547E-2</v>
      </c>
      <c r="Z51" s="42">
        <f t="shared" ref="Z51:Z67" si="45">K51/D51</f>
        <v>1.9448985123966946E-2</v>
      </c>
      <c r="AA51" s="43">
        <f t="shared" ref="AA51:AA67" si="46">AVERAGE(X51:Z51)</f>
        <v>1.8307325619834714E-2</v>
      </c>
      <c r="AB51" s="46">
        <f t="shared" ref="AB51:AB67" si="47">STDEV(X51:Z51)/SQRT(3)</f>
        <v>5.8804455446707991E-4</v>
      </c>
    </row>
    <row r="52" spans="1:28" s="5" customFormat="1" ht="13" x14ac:dyDescent="0.15">
      <c r="B52" s="47" t="s">
        <v>9</v>
      </c>
      <c r="C52" s="152">
        <v>0.49374999999999997</v>
      </c>
      <c r="D52" s="93">
        <f>1+8/60+24+D49</f>
        <v>25.133333333333333</v>
      </c>
      <c r="E52" s="44">
        <v>2</v>
      </c>
      <c r="F52" s="147">
        <v>0.215</v>
      </c>
      <c r="G52" s="148">
        <v>0.224</v>
      </c>
      <c r="H52" s="148">
        <v>0.223</v>
      </c>
      <c r="I52" s="42">
        <f t="shared" si="32"/>
        <v>0.265181</v>
      </c>
      <c r="J52" s="42">
        <f t="shared" si="32"/>
        <v>0.27628160000000002</v>
      </c>
      <c r="K52" s="42">
        <f t="shared" si="32"/>
        <v>0.27504820000000002</v>
      </c>
      <c r="L52" s="43">
        <f t="shared" si="33"/>
        <v>0.27217026666666672</v>
      </c>
      <c r="M52" s="150">
        <f t="shared" si="34"/>
        <v>3.5127247398248872E-3</v>
      </c>
      <c r="N52" s="42">
        <f t="shared" si="35"/>
        <v>-1.3273426672792188</v>
      </c>
      <c r="O52" s="42">
        <f t="shared" si="35"/>
        <v>-1.2863346435518417</v>
      </c>
      <c r="P52" s="42">
        <f t="shared" si="35"/>
        <v>-1.2908089239467628</v>
      </c>
      <c r="Q52" s="43">
        <f t="shared" si="36"/>
        <v>-1.3014954115926078</v>
      </c>
      <c r="R52" s="42">
        <f t="shared" si="37"/>
        <v>1.2988010704233839E-2</v>
      </c>
      <c r="S52" s="42">
        <f t="shared" si="38"/>
        <v>2.5262820023184494E-2</v>
      </c>
      <c r="T52" s="42">
        <f t="shared" si="39"/>
        <v>2.9820692464792877E-2</v>
      </c>
      <c r="U52" s="42">
        <f t="shared" si="40"/>
        <v>2.2476250447833027E-2</v>
      </c>
      <c r="V52" s="43">
        <f t="shared" si="41"/>
        <v>2.5853254311936798E-2</v>
      </c>
      <c r="W52" s="42">
        <f t="shared" si="42"/>
        <v>2.1406125775987701E-3</v>
      </c>
      <c r="X52" s="42">
        <f t="shared" si="43"/>
        <v>1.0550968169761274E-2</v>
      </c>
      <c r="Y52" s="42">
        <f t="shared" si="44"/>
        <v>1.0992636604774536E-2</v>
      </c>
      <c r="Z52" s="42">
        <f t="shared" si="45"/>
        <v>1.0943562334217508E-2</v>
      </c>
      <c r="AA52" s="43">
        <f t="shared" si="46"/>
        <v>1.0829055702917775E-2</v>
      </c>
      <c r="AB52" s="46">
        <f t="shared" si="47"/>
        <v>1.3976358381266122E-4</v>
      </c>
    </row>
    <row r="53" spans="1:28" s="5" customFormat="1" ht="13" x14ac:dyDescent="0.15">
      <c r="B53" s="47" t="s">
        <v>10</v>
      </c>
      <c r="C53" s="152">
        <v>0.50138888888888888</v>
      </c>
      <c r="D53" s="93">
        <f>11/60+24+D52</f>
        <v>49.316666666666663</v>
      </c>
      <c r="E53" s="44">
        <v>3</v>
      </c>
      <c r="F53" s="147">
        <v>0.30399999999999999</v>
      </c>
      <c r="G53" s="148">
        <v>0.33100000000000002</v>
      </c>
      <c r="H53" s="148">
        <v>0.30499999999999999</v>
      </c>
      <c r="I53" s="42">
        <f t="shared" si="32"/>
        <v>0.3749536</v>
      </c>
      <c r="J53" s="42">
        <f t="shared" si="32"/>
        <v>0.40825540000000005</v>
      </c>
      <c r="K53" s="42">
        <f t="shared" si="32"/>
        <v>0.37618699999999999</v>
      </c>
      <c r="L53" s="43">
        <f t="shared" si="33"/>
        <v>0.38646533333333338</v>
      </c>
      <c r="M53" s="150">
        <f t="shared" si="34"/>
        <v>1.0900849705310965E-2</v>
      </c>
      <c r="N53" s="42">
        <f t="shared" si="35"/>
        <v>-0.98095299400065994</v>
      </c>
      <c r="O53" s="42">
        <f t="shared" si="35"/>
        <v>-0.89586232002981869</v>
      </c>
      <c r="P53" s="42">
        <f t="shared" si="35"/>
        <v>-0.97766891879947004</v>
      </c>
      <c r="Q53" s="43">
        <f t="shared" si="36"/>
        <v>-0.95149474427664948</v>
      </c>
      <c r="R53" s="42">
        <f t="shared" si="37"/>
        <v>2.7832362806430332E-2</v>
      </c>
      <c r="S53" s="42">
        <f t="shared" si="38"/>
        <v>1.4323487523579278E-2</v>
      </c>
      <c r="T53" s="42">
        <f t="shared" si="39"/>
        <v>1.614634004915326E-2</v>
      </c>
      <c r="U53" s="42">
        <f t="shared" si="40"/>
        <v>1.2948587394098945E-2</v>
      </c>
      <c r="V53" s="43">
        <f t="shared" si="41"/>
        <v>1.4472804988943828E-2</v>
      </c>
      <c r="W53" s="42">
        <f t="shared" si="42"/>
        <v>9.26125853546896E-4</v>
      </c>
      <c r="X53" s="42">
        <f t="shared" si="43"/>
        <v>7.602979384927341E-3</v>
      </c>
      <c r="Y53" s="42">
        <f t="shared" si="44"/>
        <v>8.2782440013518099E-3</v>
      </c>
      <c r="Z53" s="42">
        <f t="shared" si="45"/>
        <v>7.6279891855356545E-3</v>
      </c>
      <c r="AA53" s="43">
        <f t="shared" si="46"/>
        <v>7.8364041906049346E-3</v>
      </c>
      <c r="AB53" s="46">
        <f t="shared" si="47"/>
        <v>2.2103784464976616E-4</v>
      </c>
    </row>
    <row r="54" spans="1:28" s="5" customFormat="1" ht="13" x14ac:dyDescent="0.15">
      <c r="B54" s="47" t="s">
        <v>27</v>
      </c>
      <c r="C54" s="152">
        <v>0.47013888888888888</v>
      </c>
      <c r="D54" s="93">
        <f>11+15/60+12+24+D53</f>
        <v>96.566666666666663</v>
      </c>
      <c r="E54" s="44">
        <v>5</v>
      </c>
      <c r="F54" s="147">
        <v>0.67800000000000005</v>
      </c>
      <c r="G54" s="148">
        <v>0.61599999999999999</v>
      </c>
      <c r="H54" s="148">
        <v>0.58099999999999996</v>
      </c>
      <c r="I54" s="42">
        <f t="shared" si="32"/>
        <v>0.83624520000000013</v>
      </c>
      <c r="J54" s="42">
        <f t="shared" si="32"/>
        <v>0.75977440000000007</v>
      </c>
      <c r="K54" s="42">
        <f t="shared" si="32"/>
        <v>0.71660539999999995</v>
      </c>
      <c r="L54" s="43">
        <f t="shared" si="33"/>
        <v>0.77087500000000009</v>
      </c>
      <c r="M54" s="150">
        <f t="shared" si="34"/>
        <v>3.4980174986602587E-2</v>
      </c>
      <c r="N54" s="42">
        <f t="shared" si="35"/>
        <v>-0.17883340746648593</v>
      </c>
      <c r="O54" s="42">
        <f t="shared" si="35"/>
        <v>-0.27473373187336181</v>
      </c>
      <c r="P54" s="42">
        <f t="shared" si="35"/>
        <v>-0.33322993855497052</v>
      </c>
      <c r="Q54" s="43">
        <f t="shared" si="36"/>
        <v>-0.2622656926316061</v>
      </c>
      <c r="R54" s="42">
        <f t="shared" si="37"/>
        <v>4.5004300553539003E-2</v>
      </c>
      <c r="S54" s="42">
        <f t="shared" si="38"/>
        <v>1.6976075905485166E-2</v>
      </c>
      <c r="T54" s="42">
        <f t="shared" si="39"/>
        <v>1.3145578585321839E-2</v>
      </c>
      <c r="U54" s="42">
        <f t="shared" si="40"/>
        <v>1.3638920216814805E-2</v>
      </c>
      <c r="V54" s="43">
        <f t="shared" si="41"/>
        <v>1.4586858235873934E-2</v>
      </c>
      <c r="W54" s="42">
        <f t="shared" si="42"/>
        <v>1.2030679249219363E-3</v>
      </c>
      <c r="X54" s="42">
        <f t="shared" si="43"/>
        <v>8.6597707973765977E-3</v>
      </c>
      <c r="Y54" s="42">
        <f t="shared" si="44"/>
        <v>7.8678743527787372E-3</v>
      </c>
      <c r="Z54" s="42">
        <f t="shared" si="45"/>
        <v>7.4208360372799449E-3</v>
      </c>
      <c r="AA54" s="43">
        <f t="shared" si="46"/>
        <v>7.9828270624784248E-3</v>
      </c>
      <c r="AB54" s="46">
        <f t="shared" si="47"/>
        <v>3.6223860876702683E-4</v>
      </c>
    </row>
    <row r="55" spans="1:28" s="5" customFormat="1" ht="13" x14ac:dyDescent="0.15">
      <c r="B55" s="47" t="s">
        <v>28</v>
      </c>
      <c r="C55" s="152">
        <v>0.47222222222222227</v>
      </c>
      <c r="D55" s="93">
        <f>3/60+24+D54</f>
        <v>120.61666666666666</v>
      </c>
      <c r="E55" s="44">
        <v>6</v>
      </c>
      <c r="F55" s="147">
        <v>0.871</v>
      </c>
      <c r="G55" s="148">
        <v>0.77400000000000002</v>
      </c>
      <c r="H55" s="148">
        <v>0.73399999999999999</v>
      </c>
      <c r="I55" s="42">
        <f t="shared" si="32"/>
        <v>1.0742914000000001</v>
      </c>
      <c r="J55" s="42">
        <f t="shared" si="32"/>
        <v>0.95465160000000004</v>
      </c>
      <c r="K55" s="42">
        <f t="shared" si="32"/>
        <v>0.9053156</v>
      </c>
      <c r="L55" s="43">
        <f t="shared" si="33"/>
        <v>0.97808619999999991</v>
      </c>
      <c r="M55" s="150">
        <f t="shared" si="34"/>
        <v>5.0166690822629881E-2</v>
      </c>
      <c r="N55" s="42">
        <f t="shared" si="35"/>
        <v>7.1661281445621242E-2</v>
      </c>
      <c r="O55" s="42">
        <f t="shared" si="35"/>
        <v>-4.64088218171545E-2</v>
      </c>
      <c r="P55" s="42">
        <f t="shared" si="35"/>
        <v>-9.947166679236609E-2</v>
      </c>
      <c r="Q55" s="43">
        <f t="shared" si="36"/>
        <v>-2.4739735721299783E-2</v>
      </c>
      <c r="R55" s="42">
        <f t="shared" si="37"/>
        <v>5.0575960898199407E-2</v>
      </c>
      <c r="S55" s="42">
        <f t="shared" si="38"/>
        <v>1.0415579580544999E-2</v>
      </c>
      <c r="T55" s="42">
        <f t="shared" si="39"/>
        <v>9.4937592538963545E-3</v>
      </c>
      <c r="U55" s="42">
        <f t="shared" si="40"/>
        <v>9.7196786595677535E-3</v>
      </c>
      <c r="V55" s="43">
        <f t="shared" si="41"/>
        <v>9.8763391646697028E-3</v>
      </c>
      <c r="W55" s="42">
        <f t="shared" si="42"/>
        <v>2.7739566449973675E-4</v>
      </c>
      <c r="X55" s="42">
        <f t="shared" si="43"/>
        <v>8.9066580074616576E-3</v>
      </c>
      <c r="Y55" s="42">
        <f t="shared" si="44"/>
        <v>7.9147569434848703E-3</v>
      </c>
      <c r="Z55" s="42">
        <f t="shared" si="45"/>
        <v>7.5057255768965041E-3</v>
      </c>
      <c r="AA55" s="43">
        <f t="shared" si="46"/>
        <v>8.1090468426143446E-3</v>
      </c>
      <c r="AB55" s="46">
        <f t="shared" si="47"/>
        <v>4.1591839841892983E-4</v>
      </c>
    </row>
    <row r="56" spans="1:28" s="5" customFormat="1" ht="13" x14ac:dyDescent="0.15">
      <c r="B56" s="47" t="s">
        <v>29</v>
      </c>
      <c r="C56" s="152">
        <v>0.50486111111111109</v>
      </c>
      <c r="D56" s="93">
        <f>47/60+24+D55</f>
        <v>145.4</v>
      </c>
      <c r="E56" s="44">
        <v>7</v>
      </c>
      <c r="F56" s="147">
        <v>0.93600000000000005</v>
      </c>
      <c r="G56" s="148">
        <v>0.96</v>
      </c>
      <c r="H56" s="148">
        <v>0.874</v>
      </c>
      <c r="I56" s="42">
        <f t="shared" si="32"/>
        <v>1.1544624000000001</v>
      </c>
      <c r="J56" s="42">
        <f t="shared" si="32"/>
        <v>1.184064</v>
      </c>
      <c r="K56" s="42">
        <f t="shared" si="32"/>
        <v>1.0779916</v>
      </c>
      <c r="L56" s="43">
        <f t="shared" si="33"/>
        <v>1.1388393333333333</v>
      </c>
      <c r="M56" s="150">
        <f t="shared" si="34"/>
        <v>3.1601153299066646E-2</v>
      </c>
      <c r="N56" s="42">
        <f t="shared" si="35"/>
        <v>0.14363478107071048</v>
      </c>
      <c r="O56" s="42">
        <f t="shared" si="35"/>
        <v>0.16895258905500027</v>
      </c>
      <c r="P56" s="42">
        <f t="shared" si="35"/>
        <v>7.5099680248653836E-2</v>
      </c>
      <c r="Q56" s="43">
        <f t="shared" si="36"/>
        <v>0.12922901679145485</v>
      </c>
      <c r="R56" s="42">
        <f t="shared" si="37"/>
        <v>2.8034125967025782E-2</v>
      </c>
      <c r="S56" s="42">
        <f t="shared" si="38"/>
        <v>2.9041089290553815E-3</v>
      </c>
      <c r="T56" s="42">
        <f t="shared" si="39"/>
        <v>8.6897677554332742E-3</v>
      </c>
      <c r="U56" s="42">
        <f t="shared" si="40"/>
        <v>7.0439010238474717E-3</v>
      </c>
      <c r="V56" s="43">
        <f t="shared" si="41"/>
        <v>6.2125925694453757E-3</v>
      </c>
      <c r="W56" s="42">
        <f t="shared" si="42"/>
        <v>1.7211204997114927E-3</v>
      </c>
      <c r="X56" s="42">
        <f t="shared" si="43"/>
        <v>7.9399064649243473E-3</v>
      </c>
      <c r="Y56" s="42">
        <f t="shared" si="44"/>
        <v>8.1434938101788163E-3</v>
      </c>
      <c r="Z56" s="42">
        <f t="shared" si="45"/>
        <v>7.4139724896836318E-3</v>
      </c>
      <c r="AA56" s="43">
        <f t="shared" si="46"/>
        <v>7.8324575882622646E-3</v>
      </c>
      <c r="AB56" s="46">
        <f t="shared" si="47"/>
        <v>2.1733943121778965E-4</v>
      </c>
    </row>
    <row r="57" spans="1:28" s="5" customFormat="1" ht="13" x14ac:dyDescent="0.15">
      <c r="B57" s="47" t="s">
        <v>30</v>
      </c>
      <c r="C57" s="152">
        <v>0.48888888888888887</v>
      </c>
      <c r="D57" s="93">
        <f>11+37/60+D56+12+24</f>
        <v>193.01666666666668</v>
      </c>
      <c r="E57" s="44">
        <v>9</v>
      </c>
      <c r="F57" s="147">
        <v>1.208</v>
      </c>
      <c r="G57" s="148">
        <v>1.288</v>
      </c>
      <c r="H57" s="148">
        <f>2*0.672</f>
        <v>1.3440000000000001</v>
      </c>
      <c r="I57" s="42">
        <f t="shared" si="32"/>
        <v>1.4899472</v>
      </c>
      <c r="J57" s="42">
        <f t="shared" si="32"/>
        <v>1.5886192000000001</v>
      </c>
      <c r="K57" s="42">
        <f t="shared" si="32"/>
        <v>1.6576896000000001</v>
      </c>
      <c r="L57" s="43">
        <f t="shared" si="33"/>
        <v>1.5787519999999999</v>
      </c>
      <c r="M57" s="150">
        <f t="shared" si="34"/>
        <v>4.8673741779046903E-2</v>
      </c>
      <c r="N57" s="42">
        <f t="shared" si="35"/>
        <v>0.39874068308787863</v>
      </c>
      <c r="O57" s="42">
        <f t="shared" si="35"/>
        <v>0.46286521125741731</v>
      </c>
      <c r="P57" s="42">
        <f t="shared" si="35"/>
        <v>0.50542482567621327</v>
      </c>
      <c r="Q57" s="43">
        <f t="shared" si="36"/>
        <v>0.45567690667383642</v>
      </c>
      <c r="R57" s="42">
        <f t="shared" si="37"/>
        <v>3.1006076619708906E-2</v>
      </c>
      <c r="S57" s="42">
        <f t="shared" si="38"/>
        <v>5.3574918169513779E-3</v>
      </c>
      <c r="T57" s="42">
        <f t="shared" si="39"/>
        <v>6.1724736899352534E-3</v>
      </c>
      <c r="U57" s="42">
        <f t="shared" si="40"/>
        <v>9.0372799179746464E-3</v>
      </c>
      <c r="V57" s="43">
        <f t="shared" si="41"/>
        <v>6.8557484749537587E-3</v>
      </c>
      <c r="W57" s="42">
        <f t="shared" si="42"/>
        <v>1.1158492193526378E-3</v>
      </c>
      <c r="X57" s="42">
        <f t="shared" si="43"/>
        <v>7.7192670753820913E-3</v>
      </c>
      <c r="Y57" s="42">
        <f t="shared" si="44"/>
        <v>8.2304768154736214E-3</v>
      </c>
      <c r="Z57" s="42">
        <f t="shared" si="45"/>
        <v>8.5883236335376912E-3</v>
      </c>
      <c r="AA57" s="43">
        <f t="shared" si="46"/>
        <v>8.1793558414644668E-3</v>
      </c>
      <c r="AB57" s="46">
        <f t="shared" si="47"/>
        <v>2.5217377659466484E-4</v>
      </c>
    </row>
    <row r="58" spans="1:28" s="5" customFormat="1" ht="13" x14ac:dyDescent="0.15">
      <c r="B58" s="47" t="s">
        <v>31</v>
      </c>
      <c r="C58" s="152">
        <v>0.52847222222222223</v>
      </c>
      <c r="D58" s="93">
        <f>57/60+24+D57</f>
        <v>217.96666666666667</v>
      </c>
      <c r="E58" s="44">
        <v>10</v>
      </c>
      <c r="F58" s="41">
        <f>2*0.717</f>
        <v>1.4339999999999999</v>
      </c>
      <c r="G58" s="42">
        <f>2*0.724</f>
        <v>1.448</v>
      </c>
      <c r="H58" s="42">
        <f>2*0.707</f>
        <v>1.4139999999999999</v>
      </c>
      <c r="I58" s="42">
        <f t="shared" si="32"/>
        <v>1.7686956</v>
      </c>
      <c r="J58" s="42">
        <f t="shared" si="32"/>
        <v>1.7859632000000001</v>
      </c>
      <c r="K58" s="42">
        <f t="shared" si="32"/>
        <v>1.7440275999999999</v>
      </c>
      <c r="L58" s="43">
        <f t="shared" si="33"/>
        <v>1.7662288000000002</v>
      </c>
      <c r="M58" s="150">
        <f t="shared" si="34"/>
        <v>1.2168435444761776E-2</v>
      </c>
      <c r="N58" s="42">
        <f t="shared" si="35"/>
        <v>0.57024232575268408</v>
      </c>
      <c r="O58" s="42">
        <f t="shared" si="35"/>
        <v>0.57995787753878003</v>
      </c>
      <c r="P58" s="42">
        <f t="shared" si="35"/>
        <v>0.5561971510496363</v>
      </c>
      <c r="Q58" s="43">
        <f t="shared" si="36"/>
        <v>0.5687991181137001</v>
      </c>
      <c r="R58" s="42">
        <f t="shared" si="37"/>
        <v>6.8969840519821999E-3</v>
      </c>
      <c r="S58" s="42">
        <f t="shared" si="38"/>
        <v>6.8738133332587386E-3</v>
      </c>
      <c r="T58" s="42">
        <f t="shared" si="39"/>
        <v>4.693092836928368E-3</v>
      </c>
      <c r="U58" s="42">
        <f t="shared" si="40"/>
        <v>2.0349629408185589E-3</v>
      </c>
      <c r="V58" s="43">
        <f t="shared" si="41"/>
        <v>4.5339563703352221E-3</v>
      </c>
      <c r="W58" s="42">
        <f t="shared" si="42"/>
        <v>1.3991201510657131E-3</v>
      </c>
      <c r="X58" s="42">
        <f t="shared" si="43"/>
        <v>8.1145233216088093E-3</v>
      </c>
      <c r="Y58" s="42">
        <f t="shared" si="44"/>
        <v>8.1937446092674726E-3</v>
      </c>
      <c r="Z58" s="42">
        <f t="shared" si="45"/>
        <v>8.001350053525003E-3</v>
      </c>
      <c r="AA58" s="43">
        <f t="shared" si="46"/>
        <v>8.1032059948004265E-3</v>
      </c>
      <c r="AB58" s="46">
        <f t="shared" si="47"/>
        <v>5.5827047460292762E-5</v>
      </c>
    </row>
    <row r="59" spans="1:28" s="5" customFormat="1" ht="13" x14ac:dyDescent="0.15">
      <c r="B59" s="47" t="s">
        <v>38</v>
      </c>
      <c r="C59" s="152">
        <v>0.52847222222222223</v>
      </c>
      <c r="D59" s="93">
        <f>D58+24</f>
        <v>241.96666666666667</v>
      </c>
      <c r="E59" s="44">
        <v>11</v>
      </c>
      <c r="F59" s="41">
        <f>2*0.821</f>
        <v>1.6419999999999999</v>
      </c>
      <c r="G59" s="42">
        <f>2*0.833</f>
        <v>1.6659999999999999</v>
      </c>
      <c r="H59" s="42">
        <f>0.824*2</f>
        <v>1.6479999999999999</v>
      </c>
      <c r="I59" s="42">
        <f t="shared" si="32"/>
        <v>2.0252428</v>
      </c>
      <c r="J59" s="42">
        <f t="shared" si="32"/>
        <v>2.0548443999999999</v>
      </c>
      <c r="K59" s="42">
        <f t="shared" si="32"/>
        <v>2.0326431999999999</v>
      </c>
      <c r="L59" s="43">
        <f t="shared" si="33"/>
        <v>2.0375767999999996</v>
      </c>
      <c r="M59" s="150">
        <f t="shared" si="34"/>
        <v>8.8941738863145478E-3</v>
      </c>
      <c r="N59" s="42">
        <f t="shared" si="35"/>
        <v>0.70568959460549185</v>
      </c>
      <c r="O59" s="42">
        <f t="shared" si="35"/>
        <v>0.72020012731990624</v>
      </c>
      <c r="P59" s="42">
        <f t="shared" si="35"/>
        <v>0.70933701506253533</v>
      </c>
      <c r="Q59" s="43">
        <f t="shared" si="36"/>
        <v>0.71174224566264443</v>
      </c>
      <c r="R59" s="42">
        <f t="shared" si="37"/>
        <v>4.3580477507632765E-3</v>
      </c>
      <c r="S59" s="42">
        <f t="shared" si="38"/>
        <v>5.6436362022003238E-3</v>
      </c>
      <c r="T59" s="42">
        <f t="shared" si="39"/>
        <v>5.8434270742135919E-3</v>
      </c>
      <c r="U59" s="42">
        <f t="shared" si="40"/>
        <v>6.3808276672041265E-3</v>
      </c>
      <c r="V59" s="43">
        <f t="shared" si="41"/>
        <v>5.9559636478726807E-3</v>
      </c>
      <c r="W59" s="42">
        <f t="shared" si="42"/>
        <v>2.2012206789779839E-4</v>
      </c>
      <c r="X59" s="42">
        <f t="shared" si="43"/>
        <v>8.3699247830279645E-3</v>
      </c>
      <c r="Y59" s="42">
        <f t="shared" si="44"/>
        <v>8.4922622950819662E-3</v>
      </c>
      <c r="Z59" s="42">
        <f t="shared" si="45"/>
        <v>8.4005091610414653E-3</v>
      </c>
      <c r="AA59" s="43">
        <f t="shared" si="46"/>
        <v>8.4208987463837981E-3</v>
      </c>
      <c r="AB59" s="46">
        <f t="shared" si="47"/>
        <v>3.6757847718616401E-5</v>
      </c>
    </row>
    <row r="60" spans="1:28" s="5" customFormat="1" ht="13" x14ac:dyDescent="0.15">
      <c r="A60" s="44"/>
      <c r="B60" s="47" t="s">
        <v>39</v>
      </c>
      <c r="C60" s="152">
        <v>0.52847222222222223</v>
      </c>
      <c r="D60" s="93">
        <f>D59+24</f>
        <v>265.9666666666667</v>
      </c>
      <c r="E60" s="44">
        <v>12</v>
      </c>
      <c r="F60" s="41">
        <f>2*0.899</f>
        <v>1.798</v>
      </c>
      <c r="G60" s="42">
        <f>0.902*2</f>
        <v>1.804</v>
      </c>
      <c r="H60" s="42">
        <f>2*0.913</f>
        <v>1.8260000000000001</v>
      </c>
      <c r="I60" s="42">
        <f t="shared" si="32"/>
        <v>2.2176532</v>
      </c>
      <c r="J60" s="42">
        <f t="shared" si="32"/>
        <v>2.2250536000000003</v>
      </c>
      <c r="K60" s="42">
        <f t="shared" si="32"/>
        <v>2.2521884000000001</v>
      </c>
      <c r="L60" s="43">
        <f t="shared" si="33"/>
        <v>2.2316317333333333</v>
      </c>
      <c r="M60" s="150">
        <f t="shared" si="34"/>
        <v>1.0497998037297927E-2</v>
      </c>
      <c r="N60" s="42">
        <f t="shared" si="35"/>
        <v>0.79644951962468391</v>
      </c>
      <c r="O60" s="42">
        <f t="shared" si="35"/>
        <v>0.7997810052156874</v>
      </c>
      <c r="P60" s="42">
        <f t="shared" si="35"/>
        <v>0.81190236574803221</v>
      </c>
      <c r="Q60" s="43">
        <f t="shared" si="36"/>
        <v>0.80271096352946791</v>
      </c>
      <c r="R60" s="42">
        <f t="shared" si="37"/>
        <v>4.6952495538341178E-3</v>
      </c>
      <c r="S60" s="42">
        <f t="shared" si="38"/>
        <v>3.7816635424663312E-3</v>
      </c>
      <c r="T60" s="42">
        <f t="shared" si="39"/>
        <v>3.3158699123242113E-3</v>
      </c>
      <c r="U60" s="42">
        <f t="shared" si="40"/>
        <v>4.2735562785623646E-3</v>
      </c>
      <c r="V60" s="43">
        <f t="shared" si="41"/>
        <v>3.7903632444509692E-3</v>
      </c>
      <c r="W60" s="42">
        <f t="shared" si="42"/>
        <v>2.7649445903464066E-4</v>
      </c>
      <c r="X60" s="42">
        <f t="shared" si="43"/>
        <v>8.3380869783180843E-3</v>
      </c>
      <c r="Y60" s="42">
        <f t="shared" si="44"/>
        <v>8.365911517734052E-3</v>
      </c>
      <c r="Z60" s="42">
        <f t="shared" si="45"/>
        <v>8.4679348289259295E-3</v>
      </c>
      <c r="AA60" s="43">
        <f t="shared" si="46"/>
        <v>8.3906444416593558E-3</v>
      </c>
      <c r="AB60" s="46">
        <f t="shared" si="47"/>
        <v>3.9471104288624661E-5</v>
      </c>
    </row>
    <row r="61" spans="1:28" s="5" customFormat="1" ht="13" x14ac:dyDescent="0.15">
      <c r="B61" s="47" t="s">
        <v>40</v>
      </c>
      <c r="C61" s="152">
        <v>0.52847222222222223</v>
      </c>
      <c r="D61" s="93">
        <f>D60+24</f>
        <v>289.9666666666667</v>
      </c>
      <c r="E61" s="44">
        <v>13</v>
      </c>
      <c r="F61" s="41">
        <f>2*0.902</f>
        <v>1.804</v>
      </c>
      <c r="G61" s="42">
        <f>4*0.499</f>
        <v>1.996</v>
      </c>
      <c r="H61" s="42">
        <f>4*0.501</f>
        <v>2.004</v>
      </c>
      <c r="I61" s="42">
        <f t="shared" si="32"/>
        <v>2.2250536000000003</v>
      </c>
      <c r="J61" s="42">
        <f t="shared" si="32"/>
        <v>2.4618663999999999</v>
      </c>
      <c r="K61" s="42">
        <f t="shared" si="32"/>
        <v>2.4717336000000003</v>
      </c>
      <c r="L61" s="43">
        <f t="shared" si="33"/>
        <v>2.3862178666666671</v>
      </c>
      <c r="M61" s="150">
        <f t="shared" si="34"/>
        <v>8.0632460474702336E-2</v>
      </c>
      <c r="N61" s="42">
        <f t="shared" si="35"/>
        <v>0.7997810052156874</v>
      </c>
      <c r="O61" s="42">
        <f t="shared" si="35"/>
        <v>0.90091976146452757</v>
      </c>
      <c r="P61" s="42">
        <f t="shared" si="35"/>
        <v>0.90491976679787389</v>
      </c>
      <c r="Q61" s="43">
        <f t="shared" si="36"/>
        <v>0.86854017782602966</v>
      </c>
      <c r="R61" s="42">
        <f t="shared" si="37"/>
        <v>3.439897224342043E-2</v>
      </c>
      <c r="S61" s="42">
        <f t="shared" si="38"/>
        <v>1.3881189962514548E-4</v>
      </c>
      <c r="T61" s="42">
        <f t="shared" si="39"/>
        <v>4.2141148437016733E-3</v>
      </c>
      <c r="U61" s="42">
        <f t="shared" si="40"/>
        <v>3.8757250437434034E-3</v>
      </c>
      <c r="V61" s="43">
        <f t="shared" si="41"/>
        <v>2.742883929023407E-3</v>
      </c>
      <c r="W61" s="42">
        <f t="shared" si="42"/>
        <v>1.3056952509295243E-3</v>
      </c>
      <c r="X61" s="42">
        <f t="shared" si="43"/>
        <v>7.6734806299574663E-3</v>
      </c>
      <c r="Y61" s="42">
        <f t="shared" si="44"/>
        <v>8.4901703644097003E-3</v>
      </c>
      <c r="Z61" s="42">
        <f t="shared" si="45"/>
        <v>8.5241991033452123E-3</v>
      </c>
      <c r="AA61" s="43">
        <f t="shared" si="46"/>
        <v>8.2292833659041251E-3</v>
      </c>
      <c r="AB61" s="46">
        <f t="shared" si="47"/>
        <v>2.7807492978975399E-4</v>
      </c>
    </row>
    <row r="62" spans="1:28" s="5" customFormat="1" ht="15" customHeight="1" x14ac:dyDescent="0.15">
      <c r="B62" s="47" t="s">
        <v>32</v>
      </c>
      <c r="C62" s="152">
        <v>0.51527777777777783</v>
      </c>
      <c r="D62" s="93">
        <f>10+41/60+13+D61</f>
        <v>313.65000000000003</v>
      </c>
      <c r="E62" s="44">
        <v>14</v>
      </c>
      <c r="F62" s="41">
        <f>2*0.997</f>
        <v>1.994</v>
      </c>
      <c r="G62" s="42">
        <f>4*0.541</f>
        <v>2.1640000000000001</v>
      </c>
      <c r="H62" s="42">
        <f>2*1.097</f>
        <v>2.194</v>
      </c>
      <c r="I62" s="42">
        <f t="shared" si="32"/>
        <v>2.4593996000000002</v>
      </c>
      <c r="J62" s="42">
        <f t="shared" si="32"/>
        <v>2.6690776000000005</v>
      </c>
      <c r="K62" s="42">
        <f t="shared" si="32"/>
        <v>2.7060796000000003</v>
      </c>
      <c r="L62" s="43">
        <f t="shared" si="33"/>
        <v>2.611518933333334</v>
      </c>
      <c r="M62" s="150">
        <f t="shared" si="34"/>
        <v>7.6806045077483662E-2</v>
      </c>
      <c r="N62" s="42">
        <f t="shared" si="35"/>
        <v>0.89991725511490206</v>
      </c>
      <c r="O62" s="42">
        <f t="shared" si="35"/>
        <v>0.98173294455949067</v>
      </c>
      <c r="P62" s="42">
        <f t="shared" si="35"/>
        <v>0.99550094542829404</v>
      </c>
      <c r="Q62" s="43">
        <f t="shared" si="36"/>
        <v>0.95905038170089563</v>
      </c>
      <c r="R62" s="42">
        <f t="shared" si="37"/>
        <v>2.9832501609582313E-2</v>
      </c>
      <c r="S62" s="42">
        <f t="shared" si="38"/>
        <v>4.2281315932110337E-3</v>
      </c>
      <c r="T62" s="42">
        <f t="shared" si="39"/>
        <v>3.4122385543263797E-3</v>
      </c>
      <c r="U62" s="42">
        <f t="shared" si="40"/>
        <v>3.8246803081106316E-3</v>
      </c>
      <c r="V62" s="43">
        <f t="shared" si="41"/>
        <v>3.8216834852160147E-3</v>
      </c>
      <c r="W62" s="42">
        <f t="shared" si="42"/>
        <v>2.3553279915665331E-4</v>
      </c>
      <c r="X62" s="42">
        <f t="shared" si="43"/>
        <v>7.8412230192890162E-3</v>
      </c>
      <c r="Y62" s="42">
        <f t="shared" si="44"/>
        <v>8.5097325043838688E-3</v>
      </c>
      <c r="Z62" s="42">
        <f t="shared" si="45"/>
        <v>8.6277047664594288E-3</v>
      </c>
      <c r="AA62" s="43">
        <f t="shared" si="46"/>
        <v>8.3262200967107718E-3</v>
      </c>
      <c r="AB62" s="46">
        <f t="shared" si="47"/>
        <v>2.4487819249954942E-4</v>
      </c>
    </row>
    <row r="63" spans="1:28" s="5" customFormat="1" ht="13" x14ac:dyDescent="0.15">
      <c r="B63" s="47" t="s">
        <v>34</v>
      </c>
      <c r="C63" s="152">
        <v>0.56666666666666665</v>
      </c>
      <c r="D63" s="93">
        <f>D62+24</f>
        <v>337.65000000000003</v>
      </c>
      <c r="E63" s="44">
        <v>15</v>
      </c>
      <c r="F63" s="41">
        <f>4*0.678</f>
        <v>2.7120000000000002</v>
      </c>
      <c r="G63" s="42">
        <f>0.598*4</f>
        <v>2.3919999999999999</v>
      </c>
      <c r="H63" s="42">
        <f>4*0.556</f>
        <v>2.2240000000000002</v>
      </c>
      <c r="I63" s="42">
        <f t="shared" si="32"/>
        <v>3.3449808000000005</v>
      </c>
      <c r="J63" s="42">
        <f t="shared" si="32"/>
        <v>2.9502928000000002</v>
      </c>
      <c r="K63" s="42">
        <f t="shared" si="32"/>
        <v>2.7430816000000005</v>
      </c>
      <c r="L63" s="43">
        <f t="shared" si="33"/>
        <v>3.0127850666666673</v>
      </c>
      <c r="M63" s="150">
        <f t="shared" si="34"/>
        <v>0.17654048099044536</v>
      </c>
      <c r="N63" s="42">
        <f t="shared" si="35"/>
        <v>1.2074609536534047</v>
      </c>
      <c r="O63" s="42">
        <f t="shared" si="35"/>
        <v>1.0819044196636407</v>
      </c>
      <c r="P63" s="42">
        <f t="shared" si="35"/>
        <v>1.0090819599635914</v>
      </c>
      <c r="Q63" s="43">
        <f t="shared" si="36"/>
        <v>1.0994824444268789</v>
      </c>
      <c r="R63" s="42">
        <f t="shared" si="37"/>
        <v>5.7937600054652205E-2</v>
      </c>
      <c r="S63" s="42">
        <f t="shared" si="38"/>
        <v>1.2814320772437609E-2</v>
      </c>
      <c r="T63" s="42">
        <f t="shared" si="39"/>
        <v>4.1738114626729177E-3</v>
      </c>
      <c r="U63" s="42">
        <f t="shared" si="40"/>
        <v>5.6587560563739015E-4</v>
      </c>
      <c r="V63" s="43">
        <f t="shared" si="41"/>
        <v>5.8513359469159728E-3</v>
      </c>
      <c r="W63" s="42">
        <f t="shared" si="42"/>
        <v>3.6339449889183379E-3</v>
      </c>
      <c r="X63" s="42">
        <f t="shared" si="43"/>
        <v>9.9066512661039538E-3</v>
      </c>
      <c r="Y63" s="42">
        <f t="shared" si="44"/>
        <v>8.7377248630238404E-3</v>
      </c>
      <c r="Z63" s="42">
        <f t="shared" si="45"/>
        <v>8.1240385014067825E-3</v>
      </c>
      <c r="AA63" s="43">
        <f t="shared" si="46"/>
        <v>8.9228048768448601E-3</v>
      </c>
      <c r="AB63" s="46">
        <f t="shared" si="47"/>
        <v>5.2285052862563399E-4</v>
      </c>
    </row>
    <row r="64" spans="1:28" s="5" customFormat="1" ht="13" x14ac:dyDescent="0.15">
      <c r="B64" s="47" t="s">
        <v>35</v>
      </c>
      <c r="C64" s="152">
        <v>0.50902777777777775</v>
      </c>
      <c r="D64" s="93">
        <f>D63+24</f>
        <v>361.65000000000003</v>
      </c>
      <c r="E64" s="44">
        <v>16</v>
      </c>
      <c r="F64" s="41">
        <f>4*0.678</f>
        <v>2.7120000000000002</v>
      </c>
      <c r="G64" s="42">
        <f>4*0.648</f>
        <v>2.5920000000000001</v>
      </c>
      <c r="H64" s="42">
        <f>4*0.605</f>
        <v>2.42</v>
      </c>
      <c r="I64" s="42">
        <f t="shared" si="32"/>
        <v>3.3449808000000005</v>
      </c>
      <c r="J64" s="42">
        <f t="shared" si="32"/>
        <v>3.1969728000000002</v>
      </c>
      <c r="K64" s="42">
        <f t="shared" si="32"/>
        <v>2.9848280000000003</v>
      </c>
      <c r="L64" s="43">
        <f t="shared" si="33"/>
        <v>3.175593866666667</v>
      </c>
      <c r="M64" s="150">
        <f t="shared" si="34"/>
        <v>0.10451523641685517</v>
      </c>
      <c r="N64" s="42">
        <f t="shared" si="35"/>
        <v>1.2074609536534047</v>
      </c>
      <c r="O64" s="42">
        <f t="shared" si="35"/>
        <v>1.1622043620652838</v>
      </c>
      <c r="P64" s="42">
        <f t="shared" si="35"/>
        <v>1.0935421237438505</v>
      </c>
      <c r="Q64" s="43">
        <f t="shared" si="36"/>
        <v>1.1544024798208463</v>
      </c>
      <c r="R64" s="42">
        <f t="shared" si="37"/>
        <v>3.3116093655036948E-2</v>
      </c>
      <c r="S64" s="42">
        <f t="shared" si="38"/>
        <v>0</v>
      </c>
      <c r="T64" s="42">
        <f t="shared" si="39"/>
        <v>3.3458309334017944E-3</v>
      </c>
      <c r="U64" s="42">
        <f t="shared" si="40"/>
        <v>3.5191734908441297E-3</v>
      </c>
      <c r="V64" s="43">
        <f t="shared" si="41"/>
        <v>2.2883348080819745E-3</v>
      </c>
      <c r="W64" s="42">
        <f t="shared" si="42"/>
        <v>1.1452611137443489E-3</v>
      </c>
      <c r="X64" s="42">
        <f t="shared" si="43"/>
        <v>9.2492210700953967E-3</v>
      </c>
      <c r="Y64" s="42">
        <f t="shared" si="44"/>
        <v>8.8399635006221489E-3</v>
      </c>
      <c r="Z64" s="42">
        <f t="shared" si="45"/>
        <v>8.2533609843771609E-3</v>
      </c>
      <c r="AA64" s="43">
        <f t="shared" si="46"/>
        <v>8.7808485183649022E-3</v>
      </c>
      <c r="AB64" s="46">
        <f t="shared" si="47"/>
        <v>2.889955382741741E-4</v>
      </c>
    </row>
    <row r="65" spans="1:28" s="5" customFormat="1" ht="13" x14ac:dyDescent="0.15">
      <c r="B65" s="47" t="s">
        <v>36</v>
      </c>
      <c r="C65" s="152">
        <v>0.4916666666666667</v>
      </c>
      <c r="D65" s="93">
        <f>D64+24</f>
        <v>385.65000000000003</v>
      </c>
      <c r="E65" s="44">
        <v>17</v>
      </c>
      <c r="F65" s="41">
        <f>4*0.708</f>
        <v>2.8319999999999999</v>
      </c>
      <c r="G65" s="42">
        <f>4*0.688</f>
        <v>2.7519999999999998</v>
      </c>
      <c r="H65" s="42">
        <f>4*0.646</f>
        <v>2.5840000000000001</v>
      </c>
      <c r="I65" s="42">
        <f t="shared" si="32"/>
        <v>3.4929888</v>
      </c>
      <c r="J65" s="42">
        <f t="shared" si="32"/>
        <v>3.3943167999999999</v>
      </c>
      <c r="K65" s="42">
        <f t="shared" si="32"/>
        <v>3.1871056000000002</v>
      </c>
      <c r="L65" s="43">
        <f t="shared" si="33"/>
        <v>3.3581370666666666</v>
      </c>
      <c r="M65" s="150">
        <f t="shared" si="34"/>
        <v>9.013483018717626E-2</v>
      </c>
      <c r="N65" s="42">
        <f t="shared" si="35"/>
        <v>1.2507577594067287</v>
      </c>
      <c r="O65" s="42">
        <f t="shared" si="35"/>
        <v>1.2221025036463526</v>
      </c>
      <c r="P65" s="42">
        <f t="shared" si="35"/>
        <v>1.1591131694956109</v>
      </c>
      <c r="Q65" s="43">
        <f t="shared" si="36"/>
        <v>1.210657810849564</v>
      </c>
      <c r="R65" s="42">
        <f t="shared" si="37"/>
        <v>2.7067313990025474E-2</v>
      </c>
      <c r="S65" s="42">
        <f t="shared" si="38"/>
        <v>1.8040335730551693E-3</v>
      </c>
      <c r="T65" s="42">
        <f t="shared" si="39"/>
        <v>2.495755899211203E-3</v>
      </c>
      <c r="U65" s="42">
        <f t="shared" si="40"/>
        <v>2.7321269063233511E-3</v>
      </c>
      <c r="V65" s="43">
        <f t="shared" si="41"/>
        <v>2.3439721261965742E-3</v>
      </c>
      <c r="W65" s="42">
        <f t="shared" si="42"/>
        <v>2.7845888034389585E-4</v>
      </c>
      <c r="X65" s="42">
        <f t="shared" si="43"/>
        <v>9.0574064566316601E-3</v>
      </c>
      <c r="Y65" s="42">
        <f t="shared" si="44"/>
        <v>8.8015475171787875E-3</v>
      </c>
      <c r="Z65" s="42">
        <f t="shared" si="45"/>
        <v>8.2642437443277584E-3</v>
      </c>
      <c r="AA65" s="43">
        <f t="shared" si="46"/>
        <v>8.7077325727127342E-3</v>
      </c>
      <c r="AB65" s="46">
        <f t="shared" si="47"/>
        <v>2.3372184671898404E-4</v>
      </c>
    </row>
    <row r="66" spans="1:28" s="5" customFormat="1" ht="13" x14ac:dyDescent="0.15">
      <c r="B66" s="47" t="s">
        <v>37</v>
      </c>
      <c r="C66" s="152">
        <v>0.5180555555555556</v>
      </c>
      <c r="D66" s="93">
        <f>D65+24</f>
        <v>409.65000000000003</v>
      </c>
      <c r="E66" s="44">
        <v>18</v>
      </c>
      <c r="F66" s="41">
        <f>4*0.722</f>
        <v>2.8879999999999999</v>
      </c>
      <c r="G66" s="42">
        <f>4*0.697</f>
        <v>2.7879999999999998</v>
      </c>
      <c r="H66" s="42">
        <f>4*0.646</f>
        <v>2.5840000000000001</v>
      </c>
      <c r="I66" s="42">
        <f t="shared" si="32"/>
        <v>3.5620592000000002</v>
      </c>
      <c r="J66" s="42">
        <f t="shared" si="32"/>
        <v>3.4387192</v>
      </c>
      <c r="K66" s="42">
        <f t="shared" si="32"/>
        <v>3.1871056000000002</v>
      </c>
      <c r="L66" s="43">
        <f t="shared" si="33"/>
        <v>3.3959613333333336</v>
      </c>
      <c r="M66" s="150">
        <f t="shared" si="34"/>
        <v>0.1103309066847746</v>
      </c>
      <c r="N66" s="42">
        <f t="shared" si="35"/>
        <v>1.2703388046058353</v>
      </c>
      <c r="O66" s="42">
        <f t="shared" si="35"/>
        <v>1.2350990764735328</v>
      </c>
      <c r="P66" s="42">
        <f t="shared" si="35"/>
        <v>1.1591131694956109</v>
      </c>
      <c r="Q66" s="43">
        <f t="shared" si="36"/>
        <v>1.2215170168583265</v>
      </c>
      <c r="R66" s="42">
        <f t="shared" si="37"/>
        <v>3.2818387802985578E-2</v>
      </c>
      <c r="S66" s="42">
        <f t="shared" si="38"/>
        <v>8.1587688329610531E-4</v>
      </c>
      <c r="T66" s="42">
        <f t="shared" si="39"/>
        <v>5.4152386779917261E-4</v>
      </c>
      <c r="U66" s="42">
        <f t="shared" si="40"/>
        <v>0</v>
      </c>
      <c r="V66" s="43">
        <f t="shared" si="41"/>
        <v>4.5246691703175929E-4</v>
      </c>
      <c r="W66" s="42">
        <f t="shared" si="42"/>
        <v>2.3969572902204841E-4</v>
      </c>
      <c r="X66" s="42">
        <f t="shared" si="43"/>
        <v>8.6953721469547173E-3</v>
      </c>
      <c r="Y66" s="42">
        <f t="shared" si="44"/>
        <v>8.3942858537776142E-3</v>
      </c>
      <c r="Z66" s="42">
        <f t="shared" si="45"/>
        <v>7.7800698156963262E-3</v>
      </c>
      <c r="AA66" s="43">
        <f t="shared" si="46"/>
        <v>8.2899092721428862E-3</v>
      </c>
      <c r="AB66" s="46">
        <f t="shared" si="47"/>
        <v>2.6932968798919709E-4</v>
      </c>
    </row>
    <row r="67" spans="1:28" s="5" customFormat="1" thickBot="1" x14ac:dyDescent="0.2">
      <c r="A67" s="56"/>
      <c r="B67" s="61" t="s">
        <v>33</v>
      </c>
      <c r="C67" s="153">
        <v>0.52500000000000002</v>
      </c>
      <c r="D67" s="154">
        <f>24+10/60+D66</f>
        <v>433.81666666666672</v>
      </c>
      <c r="E67" s="56">
        <v>19</v>
      </c>
      <c r="F67" s="57">
        <f>4*0.745</f>
        <v>2.98</v>
      </c>
      <c r="G67" s="49">
        <f>4*0.687</f>
        <v>2.7480000000000002</v>
      </c>
      <c r="H67" s="49">
        <f>4*0.646</f>
        <v>2.5840000000000001</v>
      </c>
      <c r="I67" s="49">
        <f t="shared" si="32"/>
        <v>3.675532</v>
      </c>
      <c r="J67" s="49">
        <f t="shared" si="32"/>
        <v>3.3893832000000006</v>
      </c>
      <c r="K67" s="49">
        <f t="shared" si="32"/>
        <v>3.1871056000000002</v>
      </c>
      <c r="L67" s="50">
        <f t="shared" si="33"/>
        <v>3.4173402666666668</v>
      </c>
      <c r="M67" s="58">
        <f t="shared" si="34"/>
        <v>0.14168778497891443</v>
      </c>
      <c r="N67" s="49">
        <f t="shared" si="35"/>
        <v>1.3016978840925684</v>
      </c>
      <c r="O67" s="49">
        <f t="shared" si="35"/>
        <v>1.2206479579353584</v>
      </c>
      <c r="P67" s="49">
        <f t="shared" si="35"/>
        <v>1.1591131694956109</v>
      </c>
      <c r="Q67" s="50">
        <f t="shared" si="36"/>
        <v>1.2271530038411793</v>
      </c>
      <c r="R67" s="49">
        <f t="shared" si="37"/>
        <v>4.1288969171969649E-2</v>
      </c>
      <c r="S67" s="49">
        <f t="shared" si="38"/>
        <v>1.2976170822096449E-3</v>
      </c>
      <c r="T67" s="49">
        <f t="shared" si="39"/>
        <v>-5.979773188210083E-4</v>
      </c>
      <c r="U67" s="49">
        <f t="shared" si="40"/>
        <v>0</v>
      </c>
      <c r="V67" s="50">
        <f t="shared" si="41"/>
        <v>2.3321325446287887E-4</v>
      </c>
      <c r="W67" s="49">
        <f t="shared" si="42"/>
        <v>5.5949705088515758E-4</v>
      </c>
      <c r="X67" s="49">
        <f t="shared" si="43"/>
        <v>8.4725467747512381E-3</v>
      </c>
      <c r="Y67" s="49">
        <f t="shared" si="44"/>
        <v>7.8129391063813444E-3</v>
      </c>
      <c r="Z67" s="49">
        <f t="shared" si="45"/>
        <v>7.3466647201198658E-3</v>
      </c>
      <c r="AA67" s="50">
        <f t="shared" si="46"/>
        <v>7.8773835337508161E-3</v>
      </c>
      <c r="AB67" s="51">
        <f t="shared" si="47"/>
        <v>3.2660751848841163E-4</v>
      </c>
    </row>
    <row r="68" spans="1:28" x14ac:dyDescent="0.15">
      <c r="C68" s="155"/>
      <c r="D68" s="155"/>
    </row>
    <row r="84" spans="1:4" x14ac:dyDescent="0.15">
      <c r="A84" s="59" t="s">
        <v>60</v>
      </c>
      <c r="B84" s="59" t="s">
        <v>69</v>
      </c>
      <c r="C84" s="59" t="s">
        <v>71</v>
      </c>
      <c r="D84" s="59"/>
    </row>
  </sheetData>
  <mergeCells count="40">
    <mergeCell ref="B27:B29"/>
    <mergeCell ref="E27:E29"/>
    <mergeCell ref="B49:B51"/>
    <mergeCell ref="E49:E51"/>
    <mergeCell ref="A1:AB1"/>
    <mergeCell ref="B2:AB2"/>
    <mergeCell ref="F3:H3"/>
    <mergeCell ref="I3:K3"/>
    <mergeCell ref="N3:P3"/>
    <mergeCell ref="S3:U3"/>
    <mergeCell ref="X3:Z3"/>
    <mergeCell ref="F4:H4"/>
    <mergeCell ref="I4:K4"/>
    <mergeCell ref="N4:P4"/>
    <mergeCell ref="S4:U4"/>
    <mergeCell ref="X4:Z4"/>
    <mergeCell ref="S26:U26"/>
    <mergeCell ref="X26:Z26"/>
    <mergeCell ref="B24:AB24"/>
    <mergeCell ref="F25:H25"/>
    <mergeCell ref="I25:K25"/>
    <mergeCell ref="N25:P25"/>
    <mergeCell ref="S25:U25"/>
    <mergeCell ref="X25:Z25"/>
    <mergeCell ref="B5:B7"/>
    <mergeCell ref="F48:H48"/>
    <mergeCell ref="B46:AB46"/>
    <mergeCell ref="F47:H47"/>
    <mergeCell ref="I47:K47"/>
    <mergeCell ref="N47:P47"/>
    <mergeCell ref="S47:U47"/>
    <mergeCell ref="X47:Z47"/>
    <mergeCell ref="F26:H26"/>
    <mergeCell ref="I26:K26"/>
    <mergeCell ref="N26:P26"/>
    <mergeCell ref="I48:K48"/>
    <mergeCell ref="N48:P48"/>
    <mergeCell ref="S48:U48"/>
    <mergeCell ref="X48:Z48"/>
    <mergeCell ref="E5:E7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271E6-4204-5540-A075-6ACE37A08ED9}">
  <dimension ref="A1:AD84"/>
  <sheetViews>
    <sheetView zoomScaleNormal="100" workbookViewId="0">
      <selection sqref="A1:AB1"/>
    </sheetView>
  </sheetViews>
  <sheetFormatPr baseColWidth="10" defaultColWidth="8.83203125" defaultRowHeight="14" x14ac:dyDescent="0.15"/>
  <cols>
    <col min="1" max="1" width="74.5" style="3" customWidth="1"/>
    <col min="2" max="2" width="12" style="3" bestFit="1" customWidth="1"/>
    <col min="3" max="3" width="12" style="3" customWidth="1"/>
    <col min="4" max="11" width="8.83203125" style="3"/>
    <col min="12" max="12" width="13.33203125" style="3" customWidth="1"/>
    <col min="13" max="13" width="10.33203125" style="3" customWidth="1"/>
    <col min="14" max="16" width="8.83203125" style="3"/>
    <col min="17" max="17" width="13.1640625" style="3" customWidth="1"/>
    <col min="18" max="18" width="10.5" style="3" customWidth="1"/>
    <col min="19" max="19" width="8.5" style="3" customWidth="1"/>
    <col min="20" max="20" width="9.1640625" style="3" bestFit="1" customWidth="1"/>
    <col min="21" max="21" width="9.33203125" style="3" bestFit="1" customWidth="1"/>
    <col min="22" max="26" width="9" style="3" bestFit="1" customWidth="1"/>
    <col min="27" max="27" width="10.33203125" style="3" customWidth="1"/>
    <col min="28" max="28" width="8.83203125" style="3" customWidth="1"/>
    <col min="29" max="29" width="12.1640625" style="3" customWidth="1"/>
    <col min="30" max="16384" width="8.83203125" style="3"/>
  </cols>
  <sheetData>
    <row r="1" spans="1:28" ht="17" customHeight="1" thickBot="1" x14ac:dyDescent="0.2">
      <c r="A1" s="187" t="s">
        <v>75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188"/>
      <c r="W1" s="188"/>
      <c r="X1" s="188"/>
      <c r="Y1" s="188"/>
      <c r="Z1" s="188"/>
      <c r="AA1" s="188"/>
      <c r="AB1" s="189"/>
    </row>
    <row r="2" spans="1:28" ht="15" customHeight="1" thickBot="1" x14ac:dyDescent="0.2">
      <c r="A2" s="22"/>
      <c r="B2" s="190" t="s">
        <v>72</v>
      </c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2"/>
    </row>
    <row r="3" spans="1:28" ht="45" customHeight="1" x14ac:dyDescent="0.15">
      <c r="A3" s="22"/>
      <c r="B3" s="23" t="s">
        <v>0</v>
      </c>
      <c r="C3" s="24" t="s">
        <v>1</v>
      </c>
      <c r="D3" s="25" t="s">
        <v>2</v>
      </c>
      <c r="E3" s="26" t="s">
        <v>3</v>
      </c>
      <c r="F3" s="174" t="s">
        <v>61</v>
      </c>
      <c r="G3" s="175"/>
      <c r="H3" s="176"/>
      <c r="I3" s="177" t="s">
        <v>13</v>
      </c>
      <c r="J3" s="175"/>
      <c r="K3" s="176"/>
      <c r="L3" s="27" t="s">
        <v>4</v>
      </c>
      <c r="M3" s="28" t="s">
        <v>62</v>
      </c>
      <c r="N3" s="177" t="s">
        <v>63</v>
      </c>
      <c r="O3" s="175"/>
      <c r="P3" s="176"/>
      <c r="Q3" s="28" t="s">
        <v>5</v>
      </c>
      <c r="R3" s="28" t="s">
        <v>62</v>
      </c>
      <c r="S3" s="177" t="s">
        <v>6</v>
      </c>
      <c r="T3" s="175"/>
      <c r="U3" s="176"/>
      <c r="V3" s="27" t="s">
        <v>64</v>
      </c>
      <c r="W3" s="27" t="s">
        <v>62</v>
      </c>
      <c r="X3" s="177" t="s">
        <v>65</v>
      </c>
      <c r="Y3" s="175"/>
      <c r="Z3" s="176"/>
      <c r="AA3" s="27" t="s">
        <v>66</v>
      </c>
      <c r="AB3" s="29" t="s">
        <v>62</v>
      </c>
    </row>
    <row r="4" spans="1:28" ht="15" customHeight="1" x14ac:dyDescent="0.15">
      <c r="A4" s="22"/>
      <c r="B4" s="30"/>
      <c r="C4" s="31"/>
      <c r="D4" s="32"/>
      <c r="E4" s="33"/>
      <c r="F4" s="168" t="s">
        <v>16</v>
      </c>
      <c r="G4" s="169"/>
      <c r="H4" s="170"/>
      <c r="I4" s="180" t="s">
        <v>7</v>
      </c>
      <c r="J4" s="169"/>
      <c r="K4" s="170"/>
      <c r="L4" s="36" t="s">
        <v>7</v>
      </c>
      <c r="M4" s="37"/>
      <c r="N4" s="180" t="s">
        <v>7</v>
      </c>
      <c r="O4" s="169"/>
      <c r="P4" s="170"/>
      <c r="Q4" s="35" t="s">
        <v>7</v>
      </c>
      <c r="R4" s="35"/>
      <c r="S4" s="183" t="s">
        <v>67</v>
      </c>
      <c r="T4" s="184"/>
      <c r="U4" s="185"/>
      <c r="V4" s="36" t="s">
        <v>67</v>
      </c>
      <c r="W4" s="32"/>
      <c r="X4" s="183" t="s">
        <v>68</v>
      </c>
      <c r="Y4" s="184"/>
      <c r="Z4" s="185"/>
      <c r="AA4" s="38" t="s">
        <v>68</v>
      </c>
      <c r="AB4" s="39"/>
    </row>
    <row r="5" spans="1:28" s="5" customFormat="1" ht="13" x14ac:dyDescent="0.15">
      <c r="A5" s="40"/>
      <c r="B5" s="167" t="s">
        <v>8</v>
      </c>
      <c r="C5" s="152">
        <v>0.55138888888888882</v>
      </c>
      <c r="D5" s="93">
        <v>0</v>
      </c>
      <c r="E5" s="186">
        <v>1</v>
      </c>
      <c r="F5" s="41">
        <v>0.1</v>
      </c>
      <c r="G5" s="42">
        <v>0.115</v>
      </c>
      <c r="H5" s="42">
        <v>9.5000000000000001E-2</v>
      </c>
      <c r="I5" s="42">
        <f>1.2596*F5</f>
        <v>0.12596000000000002</v>
      </c>
      <c r="J5" s="42">
        <f>1.2596*G5</f>
        <v>0.14485400000000001</v>
      </c>
      <c r="K5" s="42">
        <f t="shared" ref="J5:K20" si="0">1.2596*H5</f>
        <v>0.119662</v>
      </c>
      <c r="L5" s="43">
        <f t="shared" ref="L5:L23" si="1">AVERAGE(I5:K5)</f>
        <v>0.13015866666666667</v>
      </c>
      <c r="M5" s="42">
        <f t="shared" ref="M5:M23" si="2">STDEV(I5:K5)/SQRT(3)</f>
        <v>7.56925397762407E-3</v>
      </c>
      <c r="N5" s="42">
        <f t="shared" ref="N5:P23" si="3">LN(I5)</f>
        <v>-2.0717908827493132</v>
      </c>
      <c r="O5" s="42">
        <f t="shared" si="3"/>
        <v>-1.9320289403741544</v>
      </c>
      <c r="P5" s="42">
        <f t="shared" si="3"/>
        <v>-2.1230841771368638</v>
      </c>
      <c r="Q5" s="43">
        <f t="shared" ref="Q5:Q23" si="4">AVERAGE(N5:P5)</f>
        <v>-2.0423013334201108</v>
      </c>
      <c r="R5" s="42">
        <f>STDEV(N5:P5)/SQRT(3)</f>
        <v>5.7089844436476758E-2</v>
      </c>
      <c r="AB5" s="44"/>
    </row>
    <row r="6" spans="1:28" s="5" customFormat="1" ht="13" x14ac:dyDescent="0.15">
      <c r="A6" s="40"/>
      <c r="B6" s="167"/>
      <c r="C6" s="152">
        <v>0.69305555555555554</v>
      </c>
      <c r="D6" s="93">
        <f>3+24/60+D5</f>
        <v>3.4</v>
      </c>
      <c r="E6" s="186"/>
      <c r="F6" s="147">
        <v>0.126</v>
      </c>
      <c r="G6" s="148">
        <v>0.125</v>
      </c>
      <c r="H6" s="148">
        <v>0.13400000000000001</v>
      </c>
      <c r="I6" s="42">
        <f t="shared" ref="I6:K23" si="5">1.2596*F6</f>
        <v>0.15870960000000001</v>
      </c>
      <c r="J6" s="42">
        <f t="shared" si="0"/>
        <v>0.15745000000000001</v>
      </c>
      <c r="K6" s="42">
        <f t="shared" si="0"/>
        <v>0.16878640000000003</v>
      </c>
      <c r="L6" s="43">
        <f t="shared" si="1"/>
        <v>0.16164866666666666</v>
      </c>
      <c r="M6" s="42">
        <f t="shared" si="2"/>
        <v>3.5873423725339957E-3</v>
      </c>
      <c r="N6" s="42">
        <f t="shared" si="3"/>
        <v>-1.8406791617859264</v>
      </c>
      <c r="O6" s="42">
        <f t="shared" si="3"/>
        <v>-1.8486473314351033</v>
      </c>
      <c r="P6" s="42">
        <f t="shared" si="3"/>
        <v>-1.779121268786493</v>
      </c>
      <c r="Q6" s="43">
        <f t="shared" si="4"/>
        <v>-1.8228159206691743</v>
      </c>
      <c r="R6" s="42">
        <f t="shared" ref="R6:R23" si="6">STDEV(N6:P6)/SQRT(3)</f>
        <v>2.1968082030156381E-2</v>
      </c>
      <c r="S6" s="42">
        <f>(N6-N5)/(D6-D5)</f>
        <v>6.7974035577466715E-2</v>
      </c>
      <c r="T6" s="42">
        <f>(O6-O5)/(D6-D5)</f>
        <v>2.452400262913268E-2</v>
      </c>
      <c r="U6" s="42">
        <f>(P6-P5)/(D6-D5)</f>
        <v>0.10116556127952082</v>
      </c>
      <c r="V6" s="43">
        <f>AVERAGE(S6:U6)</f>
        <v>6.4554533162040073E-2</v>
      </c>
      <c r="W6" s="42">
        <f>STDEV(S6:U6)/SQRT(3)</f>
        <v>2.2190477504754558E-2</v>
      </c>
      <c r="X6" s="42">
        <f>(I6/D6)</f>
        <v>4.6679294117647062E-2</v>
      </c>
      <c r="Y6" s="42">
        <f>J6/D6</f>
        <v>4.630882352941177E-2</v>
      </c>
      <c r="Z6" s="42">
        <f>K6/D6</f>
        <v>4.9643058823529422E-2</v>
      </c>
      <c r="AA6" s="43">
        <f>AVERAGE(X6:Z6)</f>
        <v>4.7543725490196087E-2</v>
      </c>
      <c r="AB6" s="46">
        <f>STDEV(X6:Z6)/SQRT(3)</f>
        <v>1.0551006978041157E-3</v>
      </c>
    </row>
    <row r="7" spans="1:28" s="5" customFormat="1" ht="13" x14ac:dyDescent="0.15">
      <c r="A7" s="40"/>
      <c r="B7" s="167"/>
      <c r="C7" s="152">
        <v>0.89583333333333337</v>
      </c>
      <c r="D7" s="93">
        <f>4+52/60+D6</f>
        <v>8.2666666666666675</v>
      </c>
      <c r="E7" s="186"/>
      <c r="F7" s="147">
        <v>0.14099999999999999</v>
      </c>
      <c r="G7" s="148">
        <v>0.14399999999999999</v>
      </c>
      <c r="H7" s="148">
        <v>0.14599999999999999</v>
      </c>
      <c r="I7" s="42">
        <f t="shared" si="5"/>
        <v>0.1776036</v>
      </c>
      <c r="J7" s="42">
        <f t="shared" si="0"/>
        <v>0.1813824</v>
      </c>
      <c r="K7" s="42">
        <f t="shared" si="0"/>
        <v>0.1839016</v>
      </c>
      <c r="L7" s="43">
        <f t="shared" si="1"/>
        <v>0.18096253333333334</v>
      </c>
      <c r="M7" s="42">
        <f t="shared" si="2"/>
        <v>1.8301563697612773E-3</v>
      </c>
      <c r="N7" s="42">
        <f t="shared" si="3"/>
        <v>-1.7282011783592361</v>
      </c>
      <c r="O7" s="42">
        <f t="shared" si="3"/>
        <v>-1.7071477691614039</v>
      </c>
      <c r="P7" s="42">
        <f t="shared" si="3"/>
        <v>-1.693354447029068</v>
      </c>
      <c r="Q7" s="43">
        <f t="shared" si="4"/>
        <v>-1.709567798183236</v>
      </c>
      <c r="R7" s="42">
        <f t="shared" si="6"/>
        <v>1.0131898085569697E-2</v>
      </c>
      <c r="S7" s="42">
        <f t="shared" ref="S7:S23" si="7">(N7-N6)/(D7-D6)</f>
        <v>2.3111914402744568E-2</v>
      </c>
      <c r="T7" s="42">
        <f t="shared" ref="T7:T23" si="8">(O7-O6)/(D7-D6)</f>
        <v>2.9075252521993028E-2</v>
      </c>
      <c r="U7" s="42">
        <f t="shared" ref="U7:U23" si="9">(P7-P6)/(D7-D6)</f>
        <v>1.7623319539196918E-2</v>
      </c>
      <c r="V7" s="43">
        <f t="shared" ref="V7:V23" si="10">AVERAGE(S7:U7)</f>
        <v>2.3270162154644839E-2</v>
      </c>
      <c r="W7" s="42">
        <f t="shared" ref="W7:W23" si="11">STDEV(S7:U7)/SQRT(3)</f>
        <v>3.3068350439581528E-3</v>
      </c>
      <c r="X7" s="42">
        <f t="shared" ref="X7:X23" si="12">(I7/D7)</f>
        <v>2.1484306451612901E-2</v>
      </c>
      <c r="Y7" s="42">
        <f t="shared" ref="Y7:Y23" si="13">J7/D7</f>
        <v>2.1941419354838707E-2</v>
      </c>
      <c r="Z7" s="42">
        <f t="shared" ref="Z7:Z23" si="14">K7/D7</f>
        <v>2.2246161290322579E-2</v>
      </c>
      <c r="AA7" s="43">
        <f t="shared" ref="AA7:AA23" si="15">AVERAGE(X7:Z7)</f>
        <v>2.1890629032258063E-2</v>
      </c>
      <c r="AB7" s="46">
        <f t="shared" ref="AB7:AB23" si="16">STDEV(X7:Z7)/SQRT(3)</f>
        <v>2.213898834388642E-4</v>
      </c>
    </row>
    <row r="8" spans="1:28" s="5" customFormat="1" ht="13" x14ac:dyDescent="0.15">
      <c r="A8" s="40"/>
      <c r="B8" s="47" t="s">
        <v>9</v>
      </c>
      <c r="C8" s="152">
        <v>0.51041666666666663</v>
      </c>
      <c r="D8" s="93">
        <f>10+1/60+13+D5</f>
        <v>23.016666666666666</v>
      </c>
      <c r="E8" s="44">
        <v>2</v>
      </c>
      <c r="F8" s="147">
        <v>0.16800000000000001</v>
      </c>
      <c r="G8" s="148">
        <v>0.14399999999999999</v>
      </c>
      <c r="H8" s="148">
        <v>0.159</v>
      </c>
      <c r="I8" s="42">
        <f t="shared" si="5"/>
        <v>0.21161280000000002</v>
      </c>
      <c r="J8" s="42">
        <f t="shared" si="0"/>
        <v>0.1813824</v>
      </c>
      <c r="K8" s="42">
        <f t="shared" si="0"/>
        <v>0.20027640000000002</v>
      </c>
      <c r="L8" s="43">
        <f t="shared" si="1"/>
        <v>0.19775719999999999</v>
      </c>
      <c r="M8" s="42">
        <f t="shared" si="2"/>
        <v>8.8172000000000077E-3</v>
      </c>
      <c r="N8" s="42">
        <f t="shared" si="3"/>
        <v>-1.5529970893341456</v>
      </c>
      <c r="O8" s="42">
        <f t="shared" si="3"/>
        <v>-1.7071477691614039</v>
      </c>
      <c r="P8" s="42">
        <f t="shared" si="3"/>
        <v>-1.6080568665171728</v>
      </c>
      <c r="Q8" s="43">
        <f t="shared" si="4"/>
        <v>-1.6227339083375742</v>
      </c>
      <c r="R8" s="42">
        <f t="shared" si="6"/>
        <v>4.510051622117655E-2</v>
      </c>
      <c r="S8" s="42">
        <f t="shared" si="7"/>
        <v>1.1878243323734954E-2</v>
      </c>
      <c r="T8" s="42">
        <f t="shared" si="8"/>
        <v>0</v>
      </c>
      <c r="U8" s="42">
        <f t="shared" si="9"/>
        <v>5.7828868143657754E-3</v>
      </c>
      <c r="V8" s="43">
        <f t="shared" si="10"/>
        <v>5.8870433793669101E-3</v>
      </c>
      <c r="W8" s="42">
        <f t="shared" si="11"/>
        <v>3.4293489448673363E-3</v>
      </c>
      <c r="X8" s="42">
        <f t="shared" si="12"/>
        <v>9.1938942795076039E-3</v>
      </c>
      <c r="Y8" s="42">
        <f t="shared" si="13"/>
        <v>7.8804808110065176E-3</v>
      </c>
      <c r="Z8" s="42">
        <f t="shared" si="14"/>
        <v>8.7013642288196972E-3</v>
      </c>
      <c r="AA8" s="43">
        <f t="shared" si="15"/>
        <v>8.5919131064446045E-3</v>
      </c>
      <c r="AB8" s="46">
        <f t="shared" si="16"/>
        <v>3.8307892831281688E-4</v>
      </c>
    </row>
    <row r="9" spans="1:28" s="5" customFormat="1" ht="13" x14ac:dyDescent="0.15">
      <c r="A9" s="40"/>
      <c r="B9" s="47" t="s">
        <v>10</v>
      </c>
      <c r="C9" s="152">
        <v>0.53541666666666665</v>
      </c>
      <c r="D9" s="93">
        <f>36/60+24+D8</f>
        <v>47.616666666666667</v>
      </c>
      <c r="E9" s="44">
        <v>3</v>
      </c>
      <c r="F9" s="41">
        <v>0.22700000000000001</v>
      </c>
      <c r="G9" s="42">
        <v>0.23100000000000001</v>
      </c>
      <c r="H9" s="42">
        <v>0.26</v>
      </c>
      <c r="I9" s="42">
        <f t="shared" si="5"/>
        <v>0.28592919999999999</v>
      </c>
      <c r="J9" s="42">
        <f t="shared" si="0"/>
        <v>0.29096760000000005</v>
      </c>
      <c r="K9" s="42">
        <f t="shared" si="0"/>
        <v>0.32749600000000001</v>
      </c>
      <c r="L9" s="43">
        <f t="shared" si="1"/>
        <v>0.3014642666666667</v>
      </c>
      <c r="M9" s="42">
        <f t="shared" si="2"/>
        <v>1.3096879067082269E-2</v>
      </c>
      <c r="N9" s="42">
        <f t="shared" si="3"/>
        <v>-1.2520110512560019</v>
      </c>
      <c r="O9" s="42">
        <f t="shared" si="3"/>
        <v>-1.2345433582156109</v>
      </c>
      <c r="P9" s="42">
        <f t="shared" si="3"/>
        <v>-1.1162794377218768</v>
      </c>
      <c r="Q9" s="43">
        <f t="shared" si="4"/>
        <v>-1.2009446157311634</v>
      </c>
      <c r="R9" s="42">
        <f t="shared" si="6"/>
        <v>4.2631851748610256E-2</v>
      </c>
      <c r="S9" s="42">
        <f t="shared" si="7"/>
        <v>1.2235204799924541E-2</v>
      </c>
      <c r="T9" s="42">
        <f t="shared" si="8"/>
        <v>1.9211561420560689E-2</v>
      </c>
      <c r="U9" s="42">
        <f t="shared" si="9"/>
        <v>1.9990952390052684E-2</v>
      </c>
      <c r="V9" s="43">
        <f t="shared" si="10"/>
        <v>1.7145906203512636E-2</v>
      </c>
      <c r="W9" s="42">
        <f t="shared" si="11"/>
        <v>2.4656374278762727E-3</v>
      </c>
      <c r="X9" s="42">
        <f t="shared" si="12"/>
        <v>6.0048134406720331E-3</v>
      </c>
      <c r="Y9" s="42">
        <f t="shared" si="13"/>
        <v>6.1106251312565635E-3</v>
      </c>
      <c r="Z9" s="42">
        <f t="shared" si="14"/>
        <v>6.8777598879944E-3</v>
      </c>
      <c r="AA9" s="43">
        <f t="shared" si="15"/>
        <v>6.3310661533076658E-3</v>
      </c>
      <c r="AB9" s="46">
        <f t="shared" si="16"/>
        <v>2.750482128193688E-4</v>
      </c>
    </row>
    <row r="10" spans="1:28" s="5" customFormat="1" ht="13" x14ac:dyDescent="0.15">
      <c r="A10" s="40"/>
      <c r="B10" s="47" t="s">
        <v>27</v>
      </c>
      <c r="C10" s="152">
        <v>0.50277777777777777</v>
      </c>
      <c r="D10" s="93">
        <f>10+13/60+13+24+D9</f>
        <v>94.833333333333343</v>
      </c>
      <c r="E10" s="44">
        <v>5</v>
      </c>
      <c r="F10" s="147">
        <v>0.54</v>
      </c>
      <c r="G10" s="148">
        <v>0.59699999999999998</v>
      </c>
      <c r="H10" s="148">
        <v>0.60199999999999998</v>
      </c>
      <c r="I10" s="42">
        <f t="shared" si="5"/>
        <v>0.68018400000000012</v>
      </c>
      <c r="J10" s="42">
        <f t="shared" si="0"/>
        <v>0.75198120000000002</v>
      </c>
      <c r="K10" s="42">
        <f t="shared" si="0"/>
        <v>0.75827920000000004</v>
      </c>
      <c r="L10" s="43">
        <f t="shared" si="1"/>
        <v>0.73014813333333339</v>
      </c>
      <c r="M10" s="42">
        <f t="shared" si="2"/>
        <v>2.5048134766307642E-2</v>
      </c>
      <c r="N10" s="42">
        <f t="shared" si="3"/>
        <v>-0.38539192917908427</v>
      </c>
      <c r="O10" s="42">
        <f t="shared" si="3"/>
        <v>-0.28504395534480242</v>
      </c>
      <c r="P10" s="42">
        <f t="shared" si="3"/>
        <v>-0.27670362342858346</v>
      </c>
      <c r="Q10" s="43">
        <f t="shared" si="4"/>
        <v>-0.31571316931749005</v>
      </c>
      <c r="R10" s="42">
        <f t="shared" si="6"/>
        <v>3.4922473499670093E-2</v>
      </c>
      <c r="S10" s="42">
        <f t="shared" si="7"/>
        <v>1.8354093655000018E-2</v>
      </c>
      <c r="T10" s="42">
        <f t="shared" si="8"/>
        <v>2.010941199161613E-2</v>
      </c>
      <c r="U10" s="42">
        <f t="shared" si="9"/>
        <v>1.7781344460853367E-2</v>
      </c>
      <c r="V10" s="43">
        <f t="shared" si="10"/>
        <v>1.8748283369156505E-2</v>
      </c>
      <c r="W10" s="42">
        <f t="shared" si="11"/>
        <v>7.0036032512034766E-4</v>
      </c>
      <c r="X10" s="42">
        <f t="shared" si="12"/>
        <v>7.1724147627416522E-3</v>
      </c>
      <c r="Y10" s="42">
        <f t="shared" si="13"/>
        <v>7.929502987697715E-3</v>
      </c>
      <c r="Z10" s="42">
        <f t="shared" si="14"/>
        <v>7.995914235500879E-3</v>
      </c>
      <c r="AA10" s="43">
        <f t="shared" si="15"/>
        <v>7.6992773286467487E-3</v>
      </c>
      <c r="AB10" s="46">
        <f t="shared" si="16"/>
        <v>2.6412795887143414E-4</v>
      </c>
    </row>
    <row r="11" spans="1:28" s="5" customFormat="1" ht="13" x14ac:dyDescent="0.15">
      <c r="A11" s="40"/>
      <c r="B11" s="47" t="s">
        <v>28</v>
      </c>
      <c r="C11" s="152">
        <v>0.50347222222222221</v>
      </c>
      <c r="D11" s="93">
        <f>1/60+24+D10</f>
        <v>118.85000000000001</v>
      </c>
      <c r="E11" s="44">
        <v>6</v>
      </c>
      <c r="F11" s="147">
        <v>0.77200000000000002</v>
      </c>
      <c r="G11" s="148">
        <v>0.79</v>
      </c>
      <c r="H11" s="148">
        <v>0.77800000000000002</v>
      </c>
      <c r="I11" s="42">
        <f t="shared" si="5"/>
        <v>0.97241120000000003</v>
      </c>
      <c r="J11" s="42">
        <f t="shared" si="0"/>
        <v>0.99508400000000008</v>
      </c>
      <c r="K11" s="42">
        <f t="shared" si="0"/>
        <v>0.97996880000000008</v>
      </c>
      <c r="L11" s="43">
        <f t="shared" si="1"/>
        <v>0.98248800000000003</v>
      </c>
      <c r="M11" s="42">
        <f t="shared" si="2"/>
        <v>6.6651767028339283E-3</v>
      </c>
      <c r="N11" s="42">
        <f t="shared" si="3"/>
        <v>-2.797651871262832E-2</v>
      </c>
      <c r="O11" s="42">
        <f t="shared" si="3"/>
        <v>-4.9281232763372642E-3</v>
      </c>
      <c r="P11" s="42">
        <f t="shared" si="3"/>
        <v>-2.0234544559012836E-2</v>
      </c>
      <c r="Q11" s="43">
        <f t="shared" si="4"/>
        <v>-1.7713062182659473E-2</v>
      </c>
      <c r="R11" s="42">
        <f t="shared" si="6"/>
        <v>6.7718913674493725E-3</v>
      </c>
      <c r="S11" s="42">
        <f t="shared" si="7"/>
        <v>1.4881974065223706E-2</v>
      </c>
      <c r="T11" s="42">
        <f t="shared" si="8"/>
        <v>1.166339342408599E-2</v>
      </c>
      <c r="U11" s="42">
        <f t="shared" si="9"/>
        <v>1.0678795789156306E-2</v>
      </c>
      <c r="V11" s="43">
        <f t="shared" si="10"/>
        <v>1.2408054426155335E-2</v>
      </c>
      <c r="W11" s="42">
        <f t="shared" si="11"/>
        <v>1.2691948774851219E-3</v>
      </c>
      <c r="X11" s="42">
        <f t="shared" si="12"/>
        <v>8.1818359276398817E-3</v>
      </c>
      <c r="Y11" s="42">
        <f t="shared" si="13"/>
        <v>8.3726041228439213E-3</v>
      </c>
      <c r="Z11" s="42">
        <f t="shared" si="14"/>
        <v>8.2454253260412294E-3</v>
      </c>
      <c r="AA11" s="43">
        <f t="shared" si="15"/>
        <v>8.2666217921750097E-3</v>
      </c>
      <c r="AB11" s="46">
        <f t="shared" si="16"/>
        <v>5.6080578063390312E-5</v>
      </c>
    </row>
    <row r="12" spans="1:28" s="5" customFormat="1" ht="13" x14ac:dyDescent="0.15">
      <c r="A12" s="40"/>
      <c r="B12" s="47" t="s">
        <v>29</v>
      </c>
      <c r="C12" s="152">
        <v>0.54375000000000007</v>
      </c>
      <c r="D12" s="93">
        <f>58/60+24+D11</f>
        <v>143.81666666666666</v>
      </c>
      <c r="E12" s="44">
        <v>7</v>
      </c>
      <c r="F12" s="41">
        <v>1.022</v>
      </c>
      <c r="G12" s="42">
        <v>0.98899999999999999</v>
      </c>
      <c r="H12" s="42">
        <v>0.98099999999999998</v>
      </c>
      <c r="I12" s="42">
        <f t="shared" si="5"/>
        <v>1.2873112</v>
      </c>
      <c r="J12" s="42">
        <f t="shared" si="0"/>
        <v>1.2457444</v>
      </c>
      <c r="K12" s="42">
        <f t="shared" si="0"/>
        <v>1.2356676</v>
      </c>
      <c r="L12" s="43">
        <f t="shared" si="1"/>
        <v>1.2562410666666668</v>
      </c>
      <c r="M12" s="42">
        <f t="shared" si="2"/>
        <v>1.5805066314037133E-2</v>
      </c>
      <c r="N12" s="42">
        <f t="shared" si="3"/>
        <v>0.25255570202624522</v>
      </c>
      <c r="O12" s="42">
        <f t="shared" si="3"/>
        <v>0.21973326288530756</v>
      </c>
      <c r="P12" s="42">
        <f t="shared" si="3"/>
        <v>0.21161139082795855</v>
      </c>
      <c r="Q12" s="43">
        <f t="shared" si="4"/>
        <v>0.22796678524650379</v>
      </c>
      <c r="R12" s="42">
        <f t="shared" si="6"/>
        <v>1.2516020703213069E-2</v>
      </c>
      <c r="S12" s="42">
        <f t="shared" si="7"/>
        <v>1.1236270523586394E-2</v>
      </c>
      <c r="T12" s="42">
        <f t="shared" si="8"/>
        <v>8.9984533843115461E-3</v>
      </c>
      <c r="U12" s="42">
        <f t="shared" si="9"/>
        <v>9.2862190408666816E-3</v>
      </c>
      <c r="V12" s="43">
        <f t="shared" si="10"/>
        <v>9.840314316254874E-3</v>
      </c>
      <c r="W12" s="42">
        <f t="shared" si="11"/>
        <v>7.0290411101934906E-4</v>
      </c>
      <c r="X12" s="42">
        <f t="shared" si="12"/>
        <v>8.9510571329238613E-3</v>
      </c>
      <c r="Y12" s="42">
        <f t="shared" si="13"/>
        <v>8.6620308262834629E-3</v>
      </c>
      <c r="Z12" s="42">
        <f t="shared" si="14"/>
        <v>8.5919638428554879E-3</v>
      </c>
      <c r="AA12" s="43">
        <f t="shared" si="15"/>
        <v>8.7350172673542701E-3</v>
      </c>
      <c r="AB12" s="46">
        <f t="shared" si="16"/>
        <v>1.0989732052870855E-4</v>
      </c>
    </row>
    <row r="13" spans="1:28" s="5" customFormat="1" ht="13" x14ac:dyDescent="0.15">
      <c r="A13" s="40"/>
      <c r="B13" s="47" t="s">
        <v>30</v>
      </c>
      <c r="C13" s="152">
        <v>0.52430555555555558</v>
      </c>
      <c r="D13" s="93">
        <f>10+32/60+13+24+D12</f>
        <v>191.35</v>
      </c>
      <c r="E13" s="44">
        <v>9</v>
      </c>
      <c r="F13" s="41">
        <f>2*0.692</f>
        <v>1.3839999999999999</v>
      </c>
      <c r="G13" s="42">
        <f>2*0.733</f>
        <v>1.466</v>
      </c>
      <c r="H13" s="42">
        <f>2*0.68</f>
        <v>1.36</v>
      </c>
      <c r="I13" s="42">
        <f t="shared" si="5"/>
        <v>1.7432863999999999</v>
      </c>
      <c r="J13" s="42">
        <f t="shared" si="0"/>
        <v>1.8465736000000001</v>
      </c>
      <c r="K13" s="42">
        <f t="shared" si="0"/>
        <v>1.7130560000000001</v>
      </c>
      <c r="L13" s="43">
        <f t="shared" si="1"/>
        <v>1.7676386666666666</v>
      </c>
      <c r="M13" s="42">
        <f t="shared" si="2"/>
        <v>4.0420753936121073E-2</v>
      </c>
      <c r="N13" s="42">
        <f t="shared" si="3"/>
        <v>0.55577206744021035</v>
      </c>
      <c r="O13" s="42">
        <f t="shared" si="3"/>
        <v>0.61333181370919232</v>
      </c>
      <c r="P13" s="42">
        <f t="shared" si="3"/>
        <v>0.53827890999269323</v>
      </c>
      <c r="Q13" s="43">
        <f t="shared" si="4"/>
        <v>0.56912759704736526</v>
      </c>
      <c r="R13" s="42">
        <f t="shared" si="6"/>
        <v>2.267165791162478E-2</v>
      </c>
      <c r="S13" s="42">
        <f t="shared" si="7"/>
        <v>6.3790259203498978E-3</v>
      </c>
      <c r="T13" s="42">
        <f t="shared" si="8"/>
        <v>8.2804744212598477E-3</v>
      </c>
      <c r="U13" s="42">
        <f t="shared" si="9"/>
        <v>6.872388201221628E-3</v>
      </c>
      <c r="V13" s="43">
        <f t="shared" si="10"/>
        <v>7.1772961809437917E-3</v>
      </c>
      <c r="W13" s="42">
        <f t="shared" si="11"/>
        <v>5.6967922479142074E-4</v>
      </c>
      <c r="X13" s="42">
        <f t="shared" si="12"/>
        <v>9.1104593676509006E-3</v>
      </c>
      <c r="Y13" s="42">
        <f t="shared" si="13"/>
        <v>9.6502409197805079E-3</v>
      </c>
      <c r="Z13" s="42">
        <f t="shared" si="14"/>
        <v>8.9524745231251649E-3</v>
      </c>
      <c r="AA13" s="43">
        <f t="shared" si="15"/>
        <v>9.2377249368521906E-3</v>
      </c>
      <c r="AB13" s="46">
        <f t="shared" si="16"/>
        <v>2.1123989514565484E-4</v>
      </c>
    </row>
    <row r="14" spans="1:28" s="5" customFormat="1" ht="13" x14ac:dyDescent="0.15">
      <c r="A14" s="40"/>
      <c r="B14" s="47" t="s">
        <v>31</v>
      </c>
      <c r="C14" s="152">
        <v>0.56319444444444444</v>
      </c>
      <c r="D14" s="93">
        <f>56/60+24+D13</f>
        <v>216.28333333333333</v>
      </c>
      <c r="E14" s="44">
        <v>10</v>
      </c>
      <c r="F14" s="41">
        <f>2*0.761</f>
        <v>1.522</v>
      </c>
      <c r="G14" s="42">
        <f>2*0.819</f>
        <v>1.6379999999999999</v>
      </c>
      <c r="H14" s="42">
        <f>2*0.824</f>
        <v>1.6479999999999999</v>
      </c>
      <c r="I14" s="42">
        <f t="shared" si="5"/>
        <v>1.9171112000000001</v>
      </c>
      <c r="J14" s="42">
        <f t="shared" si="0"/>
        <v>2.0632248</v>
      </c>
      <c r="K14" s="42">
        <f t="shared" si="0"/>
        <v>2.0758207999999998</v>
      </c>
      <c r="L14" s="43">
        <f t="shared" si="1"/>
        <v>2.0187189333333335</v>
      </c>
      <c r="M14" s="42">
        <f t="shared" si="2"/>
        <v>5.0933824415782578E-2</v>
      </c>
      <c r="N14" s="42">
        <f t="shared" si="3"/>
        <v>0.65081946968422666</v>
      </c>
      <c r="O14" s="42">
        <f t="shared" si="3"/>
        <v>0.72427019567561024</v>
      </c>
      <c r="P14" s="42">
        <f t="shared" si="3"/>
        <v>0.73035664173201242</v>
      </c>
      <c r="Q14" s="43">
        <f t="shared" si="4"/>
        <v>0.70181543569728311</v>
      </c>
      <c r="R14" s="42">
        <f t="shared" si="6"/>
        <v>2.5558446865977465E-2</v>
      </c>
      <c r="S14" s="42">
        <f t="shared" si="7"/>
        <v>3.8120615873268567E-3</v>
      </c>
      <c r="T14" s="42">
        <f t="shared" si="8"/>
        <v>4.4494003462467076E-3</v>
      </c>
      <c r="U14" s="42">
        <f t="shared" si="9"/>
        <v>7.703652342486063E-3</v>
      </c>
      <c r="V14" s="43">
        <f t="shared" si="10"/>
        <v>5.3217047586865416E-3</v>
      </c>
      <c r="W14" s="42">
        <f t="shared" si="11"/>
        <v>1.2051010873756131E-3</v>
      </c>
      <c r="X14" s="42">
        <f t="shared" si="12"/>
        <v>8.8638878014949529E-3</v>
      </c>
      <c r="Y14" s="42">
        <f t="shared" si="13"/>
        <v>9.5394534946443704E-3</v>
      </c>
      <c r="Z14" s="42">
        <f t="shared" si="14"/>
        <v>9.5976919164675965E-3</v>
      </c>
      <c r="AA14" s="43">
        <f t="shared" si="15"/>
        <v>9.3336777375356405E-3</v>
      </c>
      <c r="AB14" s="46">
        <f t="shared" si="16"/>
        <v>2.3549583609054156E-4</v>
      </c>
    </row>
    <row r="15" spans="1:28" s="5" customFormat="1" ht="13" x14ac:dyDescent="0.15">
      <c r="A15" s="40"/>
      <c r="B15" s="47" t="s">
        <v>38</v>
      </c>
      <c r="C15" s="152">
        <v>0.55902777777777779</v>
      </c>
      <c r="D15" s="93">
        <f>54/60+23+D14</f>
        <v>240.18333333333334</v>
      </c>
      <c r="E15" s="44">
        <v>11</v>
      </c>
      <c r="F15" s="41">
        <f>0.857*2</f>
        <v>1.714</v>
      </c>
      <c r="G15" s="42">
        <f>0.913*2</f>
        <v>1.8260000000000001</v>
      </c>
      <c r="H15" s="42">
        <f>0.931*2</f>
        <v>1.8620000000000001</v>
      </c>
      <c r="I15" s="42">
        <f t="shared" si="5"/>
        <v>2.1589543999999998</v>
      </c>
      <c r="J15" s="42">
        <f t="shared" si="0"/>
        <v>2.3000296000000002</v>
      </c>
      <c r="K15" s="42">
        <f t="shared" si="0"/>
        <v>2.3453752000000003</v>
      </c>
      <c r="L15" s="43">
        <f t="shared" si="1"/>
        <v>2.2681197333333336</v>
      </c>
      <c r="M15" s="42">
        <f t="shared" si="2"/>
        <v>5.613037906271845E-2</v>
      </c>
      <c r="N15" s="42">
        <f t="shared" si="3"/>
        <v>0.76962403042032046</v>
      </c>
      <c r="O15" s="42">
        <f t="shared" si="3"/>
        <v>0.8329219924175093</v>
      </c>
      <c r="P15" s="42">
        <f t="shared" si="3"/>
        <v>0.85244538909960799</v>
      </c>
      <c r="Q15" s="43">
        <f t="shared" si="4"/>
        <v>0.81833047064581255</v>
      </c>
      <c r="R15" s="42">
        <f t="shared" si="6"/>
        <v>2.4996858096443666E-2</v>
      </c>
      <c r="S15" s="42">
        <f t="shared" si="7"/>
        <v>4.9709021228491121E-3</v>
      </c>
      <c r="T15" s="42">
        <f t="shared" si="8"/>
        <v>4.5461002820878262E-3</v>
      </c>
      <c r="U15" s="42">
        <f t="shared" si="9"/>
        <v>5.1083157894391438E-3</v>
      </c>
      <c r="V15" s="43">
        <f t="shared" si="10"/>
        <v>4.8751060647920274E-3</v>
      </c>
      <c r="W15" s="42">
        <f t="shared" si="11"/>
        <v>1.6921803758369669E-4</v>
      </c>
      <c r="X15" s="42">
        <f t="shared" si="12"/>
        <v>8.9887769065297336E-3</v>
      </c>
      <c r="Y15" s="42">
        <f t="shared" si="13"/>
        <v>9.5761415585316773E-3</v>
      </c>
      <c r="Z15" s="42">
        <f t="shared" si="14"/>
        <v>9.7649373395323029E-3</v>
      </c>
      <c r="AA15" s="43">
        <f t="shared" si="15"/>
        <v>9.4432852681979058E-3</v>
      </c>
      <c r="AB15" s="46">
        <f t="shared" si="16"/>
        <v>2.3369806007654604E-4</v>
      </c>
    </row>
    <row r="16" spans="1:28" s="5" customFormat="1" ht="13" x14ac:dyDescent="0.15">
      <c r="A16" s="40"/>
      <c r="B16" s="47" t="s">
        <v>39</v>
      </c>
      <c r="C16" s="152">
        <v>0.55902777777777779</v>
      </c>
      <c r="D16" s="93">
        <f>24+D15</f>
        <v>264.18333333333334</v>
      </c>
      <c r="E16" s="44">
        <v>12</v>
      </c>
      <c r="F16" s="41">
        <f>0.951*2</f>
        <v>1.9019999999999999</v>
      </c>
      <c r="G16" s="42">
        <f>0.5*4</f>
        <v>2</v>
      </c>
      <c r="H16" s="42">
        <f>0.502*4</f>
        <v>2.008</v>
      </c>
      <c r="I16" s="42">
        <f t="shared" si="5"/>
        <v>2.3957592000000001</v>
      </c>
      <c r="J16" s="42">
        <f t="shared" si="0"/>
        <v>2.5192000000000001</v>
      </c>
      <c r="K16" s="42">
        <f t="shared" si="0"/>
        <v>2.5292768000000003</v>
      </c>
      <c r="L16" s="43">
        <f t="shared" si="1"/>
        <v>2.4814120000000002</v>
      </c>
      <c r="M16" s="42">
        <f t="shared" si="2"/>
        <v>4.2925078471836693E-2</v>
      </c>
      <c r="N16" s="42">
        <f t="shared" si="3"/>
        <v>0.87370017436793113</v>
      </c>
      <c r="O16" s="42">
        <f t="shared" si="3"/>
        <v>0.92394139080467785</v>
      </c>
      <c r="P16" s="42">
        <f t="shared" si="3"/>
        <v>0.92793341207421542</v>
      </c>
      <c r="Q16" s="43">
        <f t="shared" si="4"/>
        <v>0.90852499241560813</v>
      </c>
      <c r="R16" s="42">
        <f t="shared" si="6"/>
        <v>1.7450501640301232E-2</v>
      </c>
      <c r="S16" s="42">
        <f t="shared" si="7"/>
        <v>4.3365059978171111E-3</v>
      </c>
      <c r="T16" s="42">
        <f t="shared" si="8"/>
        <v>3.7924749327986895E-3</v>
      </c>
      <c r="U16" s="42">
        <f t="shared" si="9"/>
        <v>3.1453342906086431E-3</v>
      </c>
      <c r="V16" s="43">
        <f t="shared" si="10"/>
        <v>3.7581050737414811E-3</v>
      </c>
      <c r="W16" s="42">
        <f t="shared" si="11"/>
        <v>3.4429080461251222E-4</v>
      </c>
      <c r="X16" s="42">
        <f t="shared" si="12"/>
        <v>9.0685478518705443E-3</v>
      </c>
      <c r="Y16" s="42">
        <f t="shared" si="13"/>
        <v>9.5358021575925808E-3</v>
      </c>
      <c r="Z16" s="42">
        <f t="shared" si="14"/>
        <v>9.5739453662229516E-3</v>
      </c>
      <c r="AA16" s="43">
        <f t="shared" si="15"/>
        <v>9.3927651252286911E-3</v>
      </c>
      <c r="AB16" s="46">
        <f t="shared" si="16"/>
        <v>1.6248215937860074E-4</v>
      </c>
    </row>
    <row r="17" spans="1:30" s="5" customFormat="1" ht="13" x14ac:dyDescent="0.15">
      <c r="A17" s="40"/>
      <c r="B17" s="47" t="s">
        <v>40</v>
      </c>
      <c r="C17" s="152">
        <v>0.55902777777777779</v>
      </c>
      <c r="D17" s="93">
        <f>24+D16</f>
        <v>288.18333333333334</v>
      </c>
      <c r="E17" s="44">
        <v>13</v>
      </c>
      <c r="F17" s="41">
        <f>0.534*4</f>
        <v>2.1360000000000001</v>
      </c>
      <c r="G17" s="42">
        <f>0.563*4</f>
        <v>2.2519999999999998</v>
      </c>
      <c r="H17" s="42">
        <f>0.583*4</f>
        <v>2.3319999999999999</v>
      </c>
      <c r="I17" s="42">
        <f t="shared" si="5"/>
        <v>2.6905056000000003</v>
      </c>
      <c r="J17" s="42">
        <f t="shared" si="0"/>
        <v>2.8366191999999999</v>
      </c>
      <c r="K17" s="42">
        <f t="shared" si="0"/>
        <v>2.9373871999999999</v>
      </c>
      <c r="L17" s="43">
        <f t="shared" si="1"/>
        <v>2.8215039999999996</v>
      </c>
      <c r="M17" s="42">
        <f t="shared" si="2"/>
        <v>7.1668177638149241E-2</v>
      </c>
      <c r="N17" s="42">
        <f t="shared" si="3"/>
        <v>0.98972913134268103</v>
      </c>
      <c r="O17" s="42">
        <f t="shared" si="3"/>
        <v>1.0426129205221764</v>
      </c>
      <c r="P17" s="42">
        <f t="shared" si="3"/>
        <v>1.0775204787329784</v>
      </c>
      <c r="Q17" s="43">
        <f t="shared" si="4"/>
        <v>1.0366208435326119</v>
      </c>
      <c r="R17" s="42">
        <f t="shared" si="6"/>
        <v>2.5519658495217756E-2</v>
      </c>
      <c r="S17" s="42">
        <f t="shared" si="7"/>
        <v>4.8345398739479128E-3</v>
      </c>
      <c r="T17" s="42">
        <f t="shared" si="8"/>
        <v>4.9446470715624373E-3</v>
      </c>
      <c r="U17" s="42">
        <f t="shared" si="9"/>
        <v>6.2327944441151239E-3</v>
      </c>
      <c r="V17" s="43">
        <f t="shared" si="10"/>
        <v>5.3373271298751577E-3</v>
      </c>
      <c r="W17" s="42">
        <f t="shared" si="11"/>
        <v>4.488604764273394E-4</v>
      </c>
      <c r="X17" s="42">
        <f t="shared" si="12"/>
        <v>9.3360902203458457E-3</v>
      </c>
      <c r="Y17" s="42">
        <f t="shared" si="13"/>
        <v>9.8431063559076964E-3</v>
      </c>
      <c r="Z17" s="42">
        <f t="shared" si="14"/>
        <v>1.0192772656295182E-2</v>
      </c>
      <c r="AA17" s="43">
        <f t="shared" si="15"/>
        <v>9.7906564108495731E-3</v>
      </c>
      <c r="AB17" s="46">
        <f t="shared" si="16"/>
        <v>2.4868952971424183E-4</v>
      </c>
    </row>
    <row r="18" spans="1:30" s="5" customFormat="1" ht="13" x14ac:dyDescent="0.15">
      <c r="A18" s="40"/>
      <c r="B18" s="47" t="s">
        <v>32</v>
      </c>
      <c r="C18" s="152">
        <v>0.55902777777777779</v>
      </c>
      <c r="D18" s="93">
        <f>54/60+23+D17</f>
        <v>312.08333333333331</v>
      </c>
      <c r="E18" s="44">
        <v>14</v>
      </c>
      <c r="F18" s="41">
        <f>4*0.582</f>
        <v>2.3279999999999998</v>
      </c>
      <c r="G18" s="42">
        <f>4*0.614</f>
        <v>2.456</v>
      </c>
      <c r="H18" s="42">
        <f>4*0.612</f>
        <v>2.448</v>
      </c>
      <c r="I18" s="42">
        <f t="shared" si="5"/>
        <v>2.9323487999999998</v>
      </c>
      <c r="J18" s="42">
        <f t="shared" si="0"/>
        <v>3.0935776000000001</v>
      </c>
      <c r="K18" s="42">
        <f t="shared" si="0"/>
        <v>3.0835007999999999</v>
      </c>
      <c r="L18" s="43">
        <f t="shared" si="1"/>
        <v>3.036475733333333</v>
      </c>
      <c r="M18" s="42">
        <f t="shared" si="2"/>
        <v>5.2144667859757771E-2</v>
      </c>
      <c r="N18" s="42">
        <f t="shared" si="3"/>
        <v>1.0758037401139238</v>
      </c>
      <c r="O18" s="42">
        <f t="shared" si="3"/>
        <v>1.1293282205296287</v>
      </c>
      <c r="P18" s="42">
        <f t="shared" si="3"/>
        <v>1.1260655748948121</v>
      </c>
      <c r="Q18" s="43">
        <f t="shared" si="4"/>
        <v>1.110399178512788</v>
      </c>
      <c r="R18" s="42">
        <f t="shared" si="6"/>
        <v>1.7323341504473216E-2</v>
      </c>
      <c r="S18" s="42">
        <f t="shared" si="7"/>
        <v>3.6014480657423774E-3</v>
      </c>
      <c r="T18" s="42">
        <f t="shared" si="8"/>
        <v>3.6282552304373389E-3</v>
      </c>
      <c r="U18" s="42">
        <f t="shared" si="9"/>
        <v>2.0311755716248417E-3</v>
      </c>
      <c r="V18" s="43">
        <f t="shared" si="10"/>
        <v>3.0869596226015192E-3</v>
      </c>
      <c r="W18" s="42">
        <f t="shared" si="11"/>
        <v>5.2794874364288076E-4</v>
      </c>
      <c r="X18" s="42">
        <f t="shared" si="12"/>
        <v>9.3960442189586109E-3</v>
      </c>
      <c r="Y18" s="42">
        <f t="shared" si="13"/>
        <v>9.9126652069425909E-3</v>
      </c>
      <c r="Z18" s="42">
        <f t="shared" si="14"/>
        <v>9.8803763951935911E-3</v>
      </c>
      <c r="AA18" s="43">
        <f t="shared" si="15"/>
        <v>9.7296952736982637E-3</v>
      </c>
      <c r="AB18" s="46">
        <f t="shared" si="16"/>
        <v>1.6708571810870309E-4</v>
      </c>
    </row>
    <row r="19" spans="1:30" s="5" customFormat="1" ht="13" x14ac:dyDescent="0.15">
      <c r="A19" s="40"/>
      <c r="B19" s="47" t="s">
        <v>34</v>
      </c>
      <c r="C19" s="152">
        <v>0.55902777777777779</v>
      </c>
      <c r="D19" s="93">
        <f>24+D18</f>
        <v>336.08333333333331</v>
      </c>
      <c r="E19" s="44">
        <v>15</v>
      </c>
      <c r="F19" s="41">
        <f>0.654*4</f>
        <v>2.6160000000000001</v>
      </c>
      <c r="G19" s="42">
        <f>0.634*4</f>
        <v>2.536</v>
      </c>
      <c r="H19" s="42">
        <f>0.633*4</f>
        <v>2.532</v>
      </c>
      <c r="I19" s="42">
        <f t="shared" si="5"/>
        <v>3.2951136000000001</v>
      </c>
      <c r="J19" s="42">
        <f t="shared" si="0"/>
        <v>3.1943456000000001</v>
      </c>
      <c r="K19" s="42">
        <f t="shared" si="0"/>
        <v>3.1893072</v>
      </c>
      <c r="L19" s="43">
        <f t="shared" si="1"/>
        <v>3.2262554666666667</v>
      </c>
      <c r="M19" s="42">
        <f t="shared" si="2"/>
        <v>3.4459774923105806E-2</v>
      </c>
      <c r="N19" s="42">
        <f t="shared" si="3"/>
        <v>1.1924406438396848</v>
      </c>
      <c r="O19" s="42">
        <f t="shared" si="3"/>
        <v>1.1613822468197121</v>
      </c>
      <c r="P19" s="42">
        <f t="shared" si="3"/>
        <v>1.1598037145266622</v>
      </c>
      <c r="Q19" s="43">
        <f t="shared" si="4"/>
        <v>1.171208868395353</v>
      </c>
      <c r="R19" s="42">
        <f t="shared" si="6"/>
        <v>1.0625663233244126E-2</v>
      </c>
      <c r="S19" s="42">
        <f t="shared" si="7"/>
        <v>4.8598709885733782E-3</v>
      </c>
      <c r="T19" s="42">
        <f t="shared" si="8"/>
        <v>1.3355844287534779E-3</v>
      </c>
      <c r="U19" s="42">
        <f t="shared" si="9"/>
        <v>1.4057558179937553E-3</v>
      </c>
      <c r="V19" s="43">
        <f t="shared" si="10"/>
        <v>2.5337370784402039E-3</v>
      </c>
      <c r="W19" s="42">
        <f t="shared" si="11"/>
        <v>1.1632433439698626E-3</v>
      </c>
      <c r="X19" s="42">
        <f t="shared" si="12"/>
        <v>9.8044540540540553E-3</v>
      </c>
      <c r="Y19" s="42">
        <f t="shared" si="13"/>
        <v>9.5046236548475098E-3</v>
      </c>
      <c r="Z19" s="42">
        <f t="shared" si="14"/>
        <v>9.4896321348871809E-3</v>
      </c>
      <c r="AA19" s="43">
        <f t="shared" si="15"/>
        <v>9.5995699479295826E-3</v>
      </c>
      <c r="AB19" s="46">
        <f t="shared" si="16"/>
        <v>1.025334240211431E-4</v>
      </c>
    </row>
    <row r="20" spans="1:30" s="5" customFormat="1" ht="13" x14ac:dyDescent="0.15">
      <c r="A20" s="40"/>
      <c r="B20" s="47" t="s">
        <v>35</v>
      </c>
      <c r="C20" s="152">
        <v>0.55902777777777779</v>
      </c>
      <c r="D20" s="93">
        <f>24+D19</f>
        <v>360.08333333333331</v>
      </c>
      <c r="E20" s="44">
        <v>16</v>
      </c>
      <c r="F20" s="41">
        <f>0.723*4</f>
        <v>2.8919999999999999</v>
      </c>
      <c r="G20" s="42">
        <f>0.669*4</f>
        <v>2.6760000000000002</v>
      </c>
      <c r="H20" s="42">
        <f>0.67*4</f>
        <v>2.68</v>
      </c>
      <c r="I20" s="42">
        <f t="shared" si="5"/>
        <v>3.6427632000000001</v>
      </c>
      <c r="J20" s="42">
        <f t="shared" si="0"/>
        <v>3.3706896000000004</v>
      </c>
      <c r="K20" s="42">
        <f t="shared" si="0"/>
        <v>3.3757280000000005</v>
      </c>
      <c r="L20" s="43">
        <f t="shared" si="1"/>
        <v>3.4630602666666674</v>
      </c>
      <c r="M20" s="42">
        <f t="shared" si="2"/>
        <v>8.9863237858227779E-2</v>
      </c>
      <c r="N20" s="42">
        <f t="shared" si="3"/>
        <v>1.2927425145412508</v>
      </c>
      <c r="O20" s="42">
        <f t="shared" si="3"/>
        <v>1.2151173525107146</v>
      </c>
      <c r="P20" s="42">
        <f t="shared" si="3"/>
        <v>1.2166110047674981</v>
      </c>
      <c r="Q20" s="43">
        <f t="shared" si="4"/>
        <v>1.2414902906064877</v>
      </c>
      <c r="R20" s="42">
        <f t="shared" si="6"/>
        <v>2.562973919076799E-2</v>
      </c>
      <c r="S20" s="42">
        <f t="shared" si="7"/>
        <v>4.1792446125652472E-3</v>
      </c>
      <c r="T20" s="42">
        <f t="shared" si="8"/>
        <v>2.2389627371251033E-3</v>
      </c>
      <c r="U20" s="42">
        <f t="shared" si="9"/>
        <v>2.3669704267014944E-3</v>
      </c>
      <c r="V20" s="43">
        <f t="shared" si="10"/>
        <v>2.9283925921306151E-3</v>
      </c>
      <c r="W20" s="42">
        <f t="shared" si="11"/>
        <v>6.2651671297652355E-4</v>
      </c>
      <c r="X20" s="42">
        <f t="shared" si="12"/>
        <v>1.0116444897014581E-2</v>
      </c>
      <c r="Y20" s="42">
        <f t="shared" si="13"/>
        <v>9.3608598009719997E-3</v>
      </c>
      <c r="Z20" s="42">
        <f t="shared" si="14"/>
        <v>9.3748521175653805E-3</v>
      </c>
      <c r="AA20" s="43">
        <f t="shared" si="15"/>
        <v>9.6173856051839871E-3</v>
      </c>
      <c r="AB20" s="46">
        <f t="shared" si="16"/>
        <v>2.495623361024608E-4</v>
      </c>
      <c r="AD20" s="60"/>
    </row>
    <row r="21" spans="1:30" s="5" customFormat="1" ht="13" x14ac:dyDescent="0.15">
      <c r="A21" s="40"/>
      <c r="B21" s="47" t="s">
        <v>36</v>
      </c>
      <c r="C21" s="152">
        <v>0.55902777777777779</v>
      </c>
      <c r="D21" s="93">
        <f>24+D20</f>
        <v>384.08333333333331</v>
      </c>
      <c r="E21" s="44">
        <v>17</v>
      </c>
      <c r="F21" s="41">
        <f>0.799*4</f>
        <v>3.1960000000000002</v>
      </c>
      <c r="G21" s="42">
        <f>0.699*4</f>
        <v>2.7959999999999998</v>
      </c>
      <c r="H21" s="42">
        <f>0.7*4</f>
        <v>2.8</v>
      </c>
      <c r="I21" s="42">
        <f t="shared" si="5"/>
        <v>4.0256816000000004</v>
      </c>
      <c r="J21" s="42">
        <f t="shared" si="5"/>
        <v>3.5218416000000001</v>
      </c>
      <c r="K21" s="42">
        <f t="shared" si="5"/>
        <v>3.5268799999999998</v>
      </c>
      <c r="L21" s="43">
        <f t="shared" si="1"/>
        <v>3.6914677333333334</v>
      </c>
      <c r="M21" s="42">
        <f t="shared" si="2"/>
        <v>0.16711326286170258</v>
      </c>
      <c r="N21" s="42">
        <f t="shared" si="3"/>
        <v>1.3926942381487608</v>
      </c>
      <c r="O21" s="42">
        <f t="shared" si="3"/>
        <v>1.2589840346162964</v>
      </c>
      <c r="P21" s="42">
        <f t="shared" si="3"/>
        <v>1.2604136274258908</v>
      </c>
      <c r="Q21" s="43">
        <f t="shared" si="4"/>
        <v>1.3040306333969827</v>
      </c>
      <c r="R21" s="42">
        <f t="shared" si="6"/>
        <v>4.4333723204745483E-2</v>
      </c>
      <c r="S21" s="42">
        <f t="shared" si="7"/>
        <v>4.1646551503129181E-3</v>
      </c>
      <c r="T21" s="42">
        <f t="shared" si="8"/>
        <v>1.8277784210659065E-3</v>
      </c>
      <c r="U21" s="42">
        <f t="shared" si="9"/>
        <v>1.8251092774330309E-3</v>
      </c>
      <c r="V21" s="43">
        <f t="shared" si="10"/>
        <v>2.6058476162706188E-3</v>
      </c>
      <c r="W21" s="42">
        <f t="shared" si="11"/>
        <v>7.7940414788525247E-4</v>
      </c>
      <c r="X21" s="42">
        <f t="shared" si="12"/>
        <v>1.0481271251898461E-2</v>
      </c>
      <c r="Y21" s="42">
        <f t="shared" si="13"/>
        <v>9.1694725970926459E-3</v>
      </c>
      <c r="Z21" s="42">
        <f t="shared" si="14"/>
        <v>9.1825905836407026E-3</v>
      </c>
      <c r="AA21" s="43">
        <f t="shared" si="15"/>
        <v>9.6111114775439353E-3</v>
      </c>
      <c r="AB21" s="46">
        <f t="shared" si="16"/>
        <v>4.3509636674776095E-4</v>
      </c>
    </row>
    <row r="22" spans="1:30" s="5" customFormat="1" ht="13" x14ac:dyDescent="0.15">
      <c r="A22" s="40"/>
      <c r="B22" s="47" t="s">
        <v>37</v>
      </c>
      <c r="C22" s="152">
        <v>0.54583333333333328</v>
      </c>
      <c r="D22" s="93">
        <f>24+D21</f>
        <v>408.08333333333331</v>
      </c>
      <c r="E22" s="44">
        <v>18</v>
      </c>
      <c r="F22" s="41">
        <f>0.803*4</f>
        <v>3.2120000000000002</v>
      </c>
      <c r="G22" s="42">
        <f>0.7*4</f>
        <v>2.8</v>
      </c>
      <c r="H22" s="42">
        <f>0.734*4</f>
        <v>2.9359999999999999</v>
      </c>
      <c r="I22" s="42">
        <f t="shared" si="5"/>
        <v>4.0458352</v>
      </c>
      <c r="J22" s="42">
        <f t="shared" si="5"/>
        <v>3.5268799999999998</v>
      </c>
      <c r="K22" s="42">
        <f t="shared" si="5"/>
        <v>3.6981856</v>
      </c>
      <c r="L22" s="43">
        <f t="shared" si="1"/>
        <v>3.7569669333333331</v>
      </c>
      <c r="M22" s="42">
        <f t="shared" si="2"/>
        <v>0.15266527520809853</v>
      </c>
      <c r="N22" s="42">
        <f t="shared" si="3"/>
        <v>1.3976880063292478</v>
      </c>
      <c r="O22" s="42">
        <f t="shared" si="3"/>
        <v>1.2604136274258908</v>
      </c>
      <c r="P22" s="42">
        <f t="shared" si="3"/>
        <v>1.3078423209970016</v>
      </c>
      <c r="Q22" s="43">
        <f t="shared" si="4"/>
        <v>1.3219813182507132</v>
      </c>
      <c r="R22" s="42">
        <f t="shared" si="6"/>
        <v>4.0253352689893891E-2</v>
      </c>
      <c r="S22" s="42">
        <f t="shared" si="7"/>
        <v>2.0807367418695932E-4</v>
      </c>
      <c r="T22" s="42">
        <f t="shared" si="8"/>
        <v>5.9566367066434443E-5</v>
      </c>
      <c r="U22" s="42">
        <f t="shared" si="9"/>
        <v>1.9761955654629495E-3</v>
      </c>
      <c r="V22" s="43">
        <f t="shared" si="10"/>
        <v>7.4794520223878114E-4</v>
      </c>
      <c r="W22" s="42">
        <f t="shared" si="11"/>
        <v>6.1561969351683172E-4</v>
      </c>
      <c r="X22" s="42">
        <f t="shared" si="12"/>
        <v>9.9142377782315706E-3</v>
      </c>
      <c r="Y22" s="42">
        <f t="shared" si="13"/>
        <v>8.6425484990810698E-3</v>
      </c>
      <c r="Z22" s="42">
        <f t="shared" si="14"/>
        <v>9.0623294261792942E-3</v>
      </c>
      <c r="AA22" s="43">
        <f t="shared" si="15"/>
        <v>9.2063719011639782E-3</v>
      </c>
      <c r="AB22" s="46">
        <f t="shared" si="16"/>
        <v>3.7410318613379255E-4</v>
      </c>
    </row>
    <row r="23" spans="1:30" s="5" customFormat="1" thickBot="1" x14ac:dyDescent="0.2">
      <c r="A23" s="40"/>
      <c r="B23" s="47" t="s">
        <v>33</v>
      </c>
      <c r="C23" s="152">
        <v>0.56666666666666665</v>
      </c>
      <c r="D23" s="93">
        <f>10/60+24+D22</f>
        <v>432.25</v>
      </c>
      <c r="E23" s="44">
        <v>19</v>
      </c>
      <c r="F23" s="41">
        <f>8*0.402</f>
        <v>3.2160000000000002</v>
      </c>
      <c r="G23" s="42">
        <f>8*0.351</f>
        <v>2.8079999999999998</v>
      </c>
      <c r="H23" s="42">
        <f>4*0.713</f>
        <v>2.8519999999999999</v>
      </c>
      <c r="I23" s="42">
        <f t="shared" si="5"/>
        <v>4.0508736000000001</v>
      </c>
      <c r="J23" s="42">
        <f t="shared" si="5"/>
        <v>3.5369568</v>
      </c>
      <c r="K23" s="42">
        <f t="shared" si="5"/>
        <v>3.5923791999999999</v>
      </c>
      <c r="L23" s="43">
        <f t="shared" si="1"/>
        <v>3.7267365333333333</v>
      </c>
      <c r="M23" s="42">
        <f t="shared" si="2"/>
        <v>0.16285631611525275</v>
      </c>
      <c r="N23" s="42">
        <f t="shared" si="3"/>
        <v>1.3989325615614525</v>
      </c>
      <c r="O23" s="42">
        <f t="shared" si="3"/>
        <v>1.2632666964082973</v>
      </c>
      <c r="P23" s="42">
        <f t="shared" si="3"/>
        <v>1.2788147127967819</v>
      </c>
      <c r="Q23" s="43">
        <f t="shared" si="4"/>
        <v>1.313671323588844</v>
      </c>
      <c r="R23" s="42">
        <f t="shared" si="6"/>
        <v>4.286624246370134E-2</v>
      </c>
      <c r="S23" s="42">
        <f t="shared" si="7"/>
        <v>5.1498837194676391E-5</v>
      </c>
      <c r="T23" s="42">
        <f t="shared" si="8"/>
        <v>1.1805802685819775E-4</v>
      </c>
      <c r="U23" s="42">
        <f t="shared" si="9"/>
        <v>-1.2011424082849504E-3</v>
      </c>
      <c r="V23" s="43">
        <f t="shared" si="10"/>
        <v>-3.4386184807735877E-4</v>
      </c>
      <c r="W23" s="42">
        <f t="shared" si="11"/>
        <v>4.2907070148346873E-4</v>
      </c>
      <c r="X23" s="42">
        <f t="shared" si="12"/>
        <v>9.371598843262002E-3</v>
      </c>
      <c r="Y23" s="42">
        <f t="shared" si="13"/>
        <v>8.1826646616541352E-3</v>
      </c>
      <c r="Z23" s="42">
        <f t="shared" si="14"/>
        <v>8.3108830537883174E-3</v>
      </c>
      <c r="AA23" s="43">
        <f t="shared" si="15"/>
        <v>8.6217155195681527E-3</v>
      </c>
      <c r="AB23" s="46">
        <f t="shared" si="16"/>
        <v>3.7676417840428638E-4</v>
      </c>
    </row>
    <row r="24" spans="1:30" ht="15" thickBot="1" x14ac:dyDescent="0.2">
      <c r="B24" s="171" t="s">
        <v>73</v>
      </c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2"/>
      <c r="Z24" s="172"/>
      <c r="AA24" s="172"/>
      <c r="AB24" s="173"/>
    </row>
    <row r="25" spans="1:30" ht="60" x14ac:dyDescent="0.15">
      <c r="B25" s="23" t="s">
        <v>0</v>
      </c>
      <c r="C25" s="24" t="s">
        <v>1</v>
      </c>
      <c r="D25" s="25" t="s">
        <v>2</v>
      </c>
      <c r="E25" s="26" t="s">
        <v>3</v>
      </c>
      <c r="F25" s="174" t="s">
        <v>61</v>
      </c>
      <c r="G25" s="175"/>
      <c r="H25" s="176"/>
      <c r="I25" s="177" t="s">
        <v>13</v>
      </c>
      <c r="J25" s="175"/>
      <c r="K25" s="176"/>
      <c r="L25" s="27" t="s">
        <v>4</v>
      </c>
      <c r="M25" s="28" t="s">
        <v>70</v>
      </c>
      <c r="N25" s="177" t="s">
        <v>63</v>
      </c>
      <c r="O25" s="175"/>
      <c r="P25" s="176"/>
      <c r="Q25" s="28" t="s">
        <v>5</v>
      </c>
      <c r="R25" s="28" t="s">
        <v>62</v>
      </c>
      <c r="S25" s="178" t="s">
        <v>6</v>
      </c>
      <c r="T25" s="179"/>
      <c r="U25" s="179"/>
      <c r="V25" s="27" t="s">
        <v>64</v>
      </c>
      <c r="W25" s="27" t="s">
        <v>62</v>
      </c>
      <c r="X25" s="177" t="s">
        <v>65</v>
      </c>
      <c r="Y25" s="175"/>
      <c r="Z25" s="176"/>
      <c r="AA25" s="27" t="s">
        <v>66</v>
      </c>
      <c r="AB25" s="29" t="s">
        <v>62</v>
      </c>
    </row>
    <row r="26" spans="1:30" ht="15" customHeight="1" x14ac:dyDescent="0.15">
      <c r="B26" s="30"/>
      <c r="C26" s="31"/>
      <c r="D26" s="32"/>
      <c r="E26" s="33"/>
      <c r="F26" s="168" t="s">
        <v>16</v>
      </c>
      <c r="G26" s="169"/>
      <c r="H26" s="170"/>
      <c r="I26" s="180" t="s">
        <v>7</v>
      </c>
      <c r="J26" s="169"/>
      <c r="K26" s="170"/>
      <c r="L26" s="36" t="s">
        <v>7</v>
      </c>
      <c r="M26" s="36"/>
      <c r="N26" s="180" t="s">
        <v>7</v>
      </c>
      <c r="O26" s="169"/>
      <c r="P26" s="170"/>
      <c r="Q26" s="35"/>
      <c r="R26" s="35"/>
      <c r="S26" s="181" t="s">
        <v>67</v>
      </c>
      <c r="T26" s="182"/>
      <c r="U26" s="182"/>
      <c r="V26" s="36" t="s">
        <v>67</v>
      </c>
      <c r="W26" s="32"/>
      <c r="X26" s="183" t="s">
        <v>68</v>
      </c>
      <c r="Y26" s="184"/>
      <c r="Z26" s="185"/>
      <c r="AA26" s="38" t="s">
        <v>68</v>
      </c>
      <c r="AB26" s="39"/>
    </row>
    <row r="27" spans="1:30" s="5" customFormat="1" ht="13" x14ac:dyDescent="0.15">
      <c r="B27" s="167" t="s">
        <v>8</v>
      </c>
      <c r="C27" s="152">
        <v>0.49305555555555558</v>
      </c>
      <c r="D27" s="93">
        <v>0</v>
      </c>
      <c r="E27" s="186">
        <v>1</v>
      </c>
      <c r="F27" s="41">
        <v>9.5000000000000001E-2</v>
      </c>
      <c r="G27" s="42">
        <v>0.111</v>
      </c>
      <c r="H27" s="42">
        <v>9.8000000000000004E-2</v>
      </c>
      <c r="I27" s="42">
        <f>1.2596*F27</f>
        <v>0.119662</v>
      </c>
      <c r="J27" s="42">
        <f>1.2596*G27</f>
        <v>0.13981560000000001</v>
      </c>
      <c r="K27" s="42">
        <f t="shared" ref="J27:K42" si="17">1.2596*H27</f>
        <v>0.1234408</v>
      </c>
      <c r="L27" s="43">
        <f t="shared" ref="L27:L45" si="18">AVERAGE(I27:K27)</f>
        <v>0.12763946666666667</v>
      </c>
      <c r="M27" s="42">
        <f>STDEV(I27:K27)/SQRT(3)</f>
        <v>6.185022219667268E-3</v>
      </c>
      <c r="N27" s="42">
        <f t="shared" ref="N27:P45" si="19">LN(I27)</f>
        <v>-2.1230841771368638</v>
      </c>
      <c r="O27" s="42">
        <f t="shared" si="19"/>
        <v>-1.9674308674250702</v>
      </c>
      <c r="P27" s="42">
        <f t="shared" si="19"/>
        <v>-2.0919935900668327</v>
      </c>
      <c r="Q27" s="43">
        <f t="shared" ref="Q27:Q45" si="20">AVERAGE(N27:P27)</f>
        <v>-2.0608362115429224</v>
      </c>
      <c r="R27" s="42">
        <f>STDEV(N27:P27)/SQRT(3)</f>
        <v>4.7557245797111236E-2</v>
      </c>
      <c r="S27" s="42"/>
      <c r="T27" s="42"/>
      <c r="U27" s="52"/>
      <c r="V27" s="53"/>
      <c r="W27" s="52"/>
      <c r="X27" s="52"/>
      <c r="Y27" s="52"/>
      <c r="Z27" s="52"/>
      <c r="AA27" s="53"/>
      <c r="AB27" s="54"/>
      <c r="AC27" s="55"/>
    </row>
    <row r="28" spans="1:30" s="5" customFormat="1" ht="13" x14ac:dyDescent="0.15">
      <c r="B28" s="167"/>
      <c r="C28" s="152">
        <v>0.6791666666666667</v>
      </c>
      <c r="D28" s="93">
        <f>4+28/60+D27</f>
        <v>4.4666666666666668</v>
      </c>
      <c r="E28" s="186"/>
      <c r="F28" s="147">
        <v>0.156</v>
      </c>
      <c r="G28" s="148">
        <v>0.13200000000000001</v>
      </c>
      <c r="H28" s="148">
        <v>0.14499999999999999</v>
      </c>
      <c r="I28" s="42">
        <f t="shared" ref="I28:K45" si="21">1.2596*F28</f>
        <v>0.19649759999999999</v>
      </c>
      <c r="J28" s="42">
        <f t="shared" si="17"/>
        <v>0.1662672</v>
      </c>
      <c r="K28" s="42">
        <f t="shared" si="17"/>
        <v>0.182642</v>
      </c>
      <c r="L28" s="43">
        <f t="shared" si="18"/>
        <v>0.18180226666666666</v>
      </c>
      <c r="M28" s="42">
        <f t="shared" ref="M28:M45" si="22">STDEV(I28:K28)/SQRT(3)</f>
        <v>8.7368593726680609E-3</v>
      </c>
      <c r="N28" s="42">
        <f t="shared" si="19"/>
        <v>-1.6271050614878675</v>
      </c>
      <c r="O28" s="42">
        <f t="shared" si="19"/>
        <v>-1.7941591461510336</v>
      </c>
      <c r="P28" s="42">
        <f t="shared" si="19"/>
        <v>-1.7002273263168302</v>
      </c>
      <c r="Q28" s="43">
        <f t="shared" si="20"/>
        <v>-1.7071638446519104</v>
      </c>
      <c r="R28" s="42">
        <f t="shared" ref="R28:R45" si="23">STDEV(N28:P28)/SQRT(3)</f>
        <v>4.8348916794559604E-2</v>
      </c>
      <c r="S28" s="42">
        <f>(N28-N27)/(D28-D27)</f>
        <v>0.11104010051843201</v>
      </c>
      <c r="T28" s="42">
        <f>(O28-O27)/(D28-D27)</f>
        <v>3.8792176404635073E-2</v>
      </c>
      <c r="U28" s="42">
        <f>(P28-P27)/(D28-D27)</f>
        <v>8.7708865018657295E-2</v>
      </c>
      <c r="V28" s="43">
        <f>AVERAGE(S28:U28)</f>
        <v>7.9180380647241463E-2</v>
      </c>
      <c r="W28" s="42">
        <f>STDEV(S28:U28)/SQRT(3)</f>
        <v>2.1287648366626086E-2</v>
      </c>
      <c r="X28" s="42">
        <f>I28/D28</f>
        <v>4.3991999999999996E-2</v>
      </c>
      <c r="Y28" s="42">
        <f>J28/D28</f>
        <v>3.7224E-2</v>
      </c>
      <c r="Z28" s="42">
        <f>K28/D28</f>
        <v>4.0889999999999996E-2</v>
      </c>
      <c r="AA28" s="43">
        <f>AVERAGE(X28:Z28)</f>
        <v>4.0701999999999995E-2</v>
      </c>
      <c r="AB28" s="46">
        <f>STDEV(X28:Z28)/SQRT(3)</f>
        <v>1.9560132923883713E-3</v>
      </c>
    </row>
    <row r="29" spans="1:30" s="5" customFormat="1" ht="13" x14ac:dyDescent="0.15">
      <c r="B29" s="167"/>
      <c r="C29" s="152">
        <v>0.88194444444444453</v>
      </c>
      <c r="D29" s="93">
        <f>9+20/60+D27</f>
        <v>9.3333333333333339</v>
      </c>
      <c r="E29" s="186"/>
      <c r="F29" s="147">
        <v>0.16400000000000001</v>
      </c>
      <c r="G29" s="148">
        <v>0.14799999999999999</v>
      </c>
      <c r="H29" s="148">
        <v>0.154</v>
      </c>
      <c r="I29" s="42">
        <f t="shared" si="21"/>
        <v>0.20657440000000002</v>
      </c>
      <c r="J29" s="42">
        <f t="shared" si="17"/>
        <v>0.1864208</v>
      </c>
      <c r="K29" s="42">
        <f t="shared" si="17"/>
        <v>0.1939784</v>
      </c>
      <c r="L29" s="43">
        <f t="shared" si="18"/>
        <v>0.19565786666666665</v>
      </c>
      <c r="M29" s="42">
        <f t="shared" si="22"/>
        <v>5.8781333333333408E-3</v>
      </c>
      <c r="N29" s="42">
        <f t="shared" si="19"/>
        <v>-1.5770946409132061</v>
      </c>
      <c r="O29" s="42">
        <f t="shared" si="19"/>
        <v>-1.6797487949732894</v>
      </c>
      <c r="P29" s="42">
        <f t="shared" si="19"/>
        <v>-1.6400084663237753</v>
      </c>
      <c r="Q29" s="43">
        <f t="shared" si="20"/>
        <v>-1.6322839674034235</v>
      </c>
      <c r="R29" s="42">
        <f t="shared" si="23"/>
        <v>2.9884331173853852E-2</v>
      </c>
      <c r="S29" s="42">
        <f t="shared" ref="S29:S45" si="24">(N29-N28)/(D29-D28)</f>
        <v>1.0276113816711252E-2</v>
      </c>
      <c r="T29" s="42">
        <f t="shared" ref="T29:T45" si="25">(O29-O28)/(D29-D28)</f>
        <v>2.3508976269399476E-2</v>
      </c>
      <c r="U29" s="42">
        <f t="shared" ref="U29:U45" si="26">(P29-P28)/(D29-D28)</f>
        <v>1.2373738354737302E-2</v>
      </c>
      <c r="V29" s="43">
        <f t="shared" ref="V29:V45" si="27">AVERAGE(S29:U29)</f>
        <v>1.5386276146949344E-2</v>
      </c>
      <c r="W29" s="42">
        <f t="shared" ref="W29:W45" si="28">STDEV(S29:U29)/SQRT(3)</f>
        <v>4.1062432195812428E-3</v>
      </c>
      <c r="X29" s="42">
        <f t="shared" ref="X29:X45" si="29">I29/D29</f>
        <v>2.213297142857143E-2</v>
      </c>
      <c r="Y29" s="42">
        <f t="shared" ref="Y29:Y45" si="30">J29/D29</f>
        <v>1.9973657142857142E-2</v>
      </c>
      <c r="Z29" s="42">
        <f t="shared" ref="Z29:Z45" si="31">K29/D29</f>
        <v>2.0783399999999997E-2</v>
      </c>
      <c r="AA29" s="43">
        <f t="shared" ref="AA29:AA45" si="32">AVERAGE(X29:Z29)</f>
        <v>2.0963342857142856E-2</v>
      </c>
      <c r="AB29" s="46">
        <f t="shared" ref="AB29:AB45" si="33">STDEV(X29:Z29)/SQRT(3)</f>
        <v>6.2980000000000078E-4</v>
      </c>
    </row>
    <row r="30" spans="1:30" s="5" customFormat="1" ht="15" customHeight="1" x14ac:dyDescent="0.15">
      <c r="B30" s="47" t="s">
        <v>9</v>
      </c>
      <c r="C30" s="152">
        <v>0.49513888888888885</v>
      </c>
      <c r="D30" s="93">
        <f>3/60+24+D27</f>
        <v>24.05</v>
      </c>
      <c r="E30" s="44">
        <v>2</v>
      </c>
      <c r="F30" s="147">
        <v>0.222</v>
      </c>
      <c r="G30" s="148">
        <v>0.19</v>
      </c>
      <c r="H30" s="148">
        <v>0.20699999999999999</v>
      </c>
      <c r="I30" s="42">
        <f t="shared" si="21"/>
        <v>0.27963120000000002</v>
      </c>
      <c r="J30" s="42">
        <f t="shared" si="17"/>
        <v>0.23932400000000001</v>
      </c>
      <c r="K30" s="42">
        <f t="shared" si="17"/>
        <v>0.2607372</v>
      </c>
      <c r="L30" s="43">
        <f t="shared" si="18"/>
        <v>0.25989746666666669</v>
      </c>
      <c r="M30" s="42">
        <f t="shared" si="22"/>
        <v>1.1643259237477761E-2</v>
      </c>
      <c r="N30" s="42">
        <f t="shared" si="19"/>
        <v>-1.2742836868651251</v>
      </c>
      <c r="O30" s="42">
        <f t="shared" si="19"/>
        <v>-1.4299369965769184</v>
      </c>
      <c r="P30" s="42">
        <f t="shared" si="19"/>
        <v>-1.3442422754720353</v>
      </c>
      <c r="Q30" s="43">
        <f t="shared" si="20"/>
        <v>-1.3494876529713598</v>
      </c>
      <c r="R30" s="42">
        <f t="shared" si="23"/>
        <v>4.5009716339518217E-2</v>
      </c>
      <c r="S30" s="42">
        <f t="shared" si="24"/>
        <v>2.0576055767706523E-2</v>
      </c>
      <c r="T30" s="42">
        <f t="shared" si="25"/>
        <v>1.6974754137918754E-2</v>
      </c>
      <c r="U30" s="42">
        <f t="shared" si="26"/>
        <v>2.0097362911783007E-2</v>
      </c>
      <c r="V30" s="43">
        <f t="shared" si="27"/>
        <v>1.921605760580276E-2</v>
      </c>
      <c r="W30" s="42">
        <f t="shared" si="28"/>
        <v>1.129139442073728E-3</v>
      </c>
      <c r="X30" s="42">
        <f t="shared" si="29"/>
        <v>1.1627076923076924E-2</v>
      </c>
      <c r="Y30" s="42">
        <f t="shared" si="30"/>
        <v>9.9511018711018716E-3</v>
      </c>
      <c r="Z30" s="42">
        <f t="shared" si="31"/>
        <v>1.0841463617463618E-2</v>
      </c>
      <c r="AA30" s="43">
        <f t="shared" si="32"/>
        <v>1.080654747054747E-2</v>
      </c>
      <c r="AB30" s="46">
        <f t="shared" si="33"/>
        <v>4.8412720322152847E-4</v>
      </c>
    </row>
    <row r="31" spans="1:30" s="5" customFormat="1" ht="13" x14ac:dyDescent="0.15">
      <c r="B31" s="47" t="s">
        <v>10</v>
      </c>
      <c r="C31" s="152">
        <v>0.51597222222222217</v>
      </c>
      <c r="D31" s="93">
        <f>30/60+24+D30</f>
        <v>48.55</v>
      </c>
      <c r="E31" s="44">
        <v>3</v>
      </c>
      <c r="F31" s="41">
        <v>0.40699999999999997</v>
      </c>
      <c r="G31" s="42">
        <v>0.36899999999999999</v>
      </c>
      <c r="H31" s="42">
        <v>0.43099999999999999</v>
      </c>
      <c r="I31" s="42">
        <f t="shared" si="21"/>
        <v>0.51265720000000004</v>
      </c>
      <c r="J31" s="42">
        <f t="shared" si="17"/>
        <v>0.46479239999999999</v>
      </c>
      <c r="K31" s="42">
        <f t="shared" si="17"/>
        <v>0.54288760000000003</v>
      </c>
      <c r="L31" s="43">
        <f t="shared" si="18"/>
        <v>0.50677906666666672</v>
      </c>
      <c r="M31" s="42">
        <f t="shared" si="22"/>
        <v>2.2734917376679532E-2</v>
      </c>
      <c r="N31" s="42">
        <f t="shared" si="19"/>
        <v>-0.66814788329480945</v>
      </c>
      <c r="O31" s="42">
        <f t="shared" si="19"/>
        <v>-0.7661644246968774</v>
      </c>
      <c r="P31" s="42">
        <f t="shared" si="19"/>
        <v>-0.61085297863365673</v>
      </c>
      <c r="Q31" s="43">
        <f t="shared" si="20"/>
        <v>-0.68172176220844793</v>
      </c>
      <c r="R31" s="42">
        <f t="shared" si="23"/>
        <v>4.5345337728494806E-2</v>
      </c>
      <c r="S31" s="42">
        <f t="shared" si="24"/>
        <v>2.4740236880421047E-2</v>
      </c>
      <c r="T31" s="42">
        <f t="shared" si="25"/>
        <v>2.7092758035920046E-2</v>
      </c>
      <c r="U31" s="42">
        <f t="shared" si="26"/>
        <v>2.9934257013811378E-2</v>
      </c>
      <c r="V31" s="43">
        <f t="shared" si="27"/>
        <v>2.7255750643384157E-2</v>
      </c>
      <c r="W31" s="42">
        <f t="shared" si="28"/>
        <v>1.5015976191024001E-3</v>
      </c>
      <c r="X31" s="42">
        <f t="shared" si="29"/>
        <v>1.055936560247168E-2</v>
      </c>
      <c r="Y31" s="42">
        <f t="shared" si="30"/>
        <v>9.573478887744593E-3</v>
      </c>
      <c r="Z31" s="42">
        <f t="shared" si="31"/>
        <v>1.1182030895983523E-2</v>
      </c>
      <c r="AA31" s="43">
        <f t="shared" si="32"/>
        <v>1.0438291795399934E-2</v>
      </c>
      <c r="AB31" s="46">
        <f t="shared" si="33"/>
        <v>4.6827842176476892E-4</v>
      </c>
    </row>
    <row r="32" spans="1:30" s="5" customFormat="1" ht="15" customHeight="1" x14ac:dyDescent="0.15">
      <c r="B32" s="47" t="s">
        <v>27</v>
      </c>
      <c r="C32" s="152">
        <v>0.48541666666666666</v>
      </c>
      <c r="D32" s="93">
        <f>11+16/60+12+24+D31</f>
        <v>95.816666666666663</v>
      </c>
      <c r="E32" s="44">
        <v>5</v>
      </c>
      <c r="F32" s="147">
        <v>0.72599999999999998</v>
      </c>
      <c r="G32" s="148">
        <v>0.70799999999999996</v>
      </c>
      <c r="H32" s="148">
        <v>0.74399999999999999</v>
      </c>
      <c r="I32" s="42">
        <f t="shared" si="21"/>
        <v>0.91446959999999999</v>
      </c>
      <c r="J32" s="42">
        <f t="shared" si="17"/>
        <v>0.89179679999999995</v>
      </c>
      <c r="K32" s="42">
        <f t="shared" si="17"/>
        <v>0.93714240000000004</v>
      </c>
      <c r="L32" s="43">
        <f t="shared" si="18"/>
        <v>0.91446959999999999</v>
      </c>
      <c r="M32" s="42">
        <f t="shared" si="22"/>
        <v>1.3090147183282577E-2</v>
      </c>
      <c r="N32" s="42">
        <f t="shared" si="19"/>
        <v>-8.9411053912608437E-2</v>
      </c>
      <c r="O32" s="42">
        <f t="shared" si="19"/>
        <v>-0.11451697504368483</v>
      </c>
      <c r="P32" s="42">
        <f t="shared" si="19"/>
        <v>-6.4920033904312613E-2</v>
      </c>
      <c r="Q32" s="43">
        <f t="shared" si="20"/>
        <v>-8.9616020953535283E-2</v>
      </c>
      <c r="R32" s="42">
        <f t="shared" si="23"/>
        <v>1.431777044109279E-2</v>
      </c>
      <c r="S32" s="42">
        <f t="shared" si="24"/>
        <v>1.2244079606111447E-2</v>
      </c>
      <c r="T32" s="42">
        <f t="shared" si="25"/>
        <v>1.3786617411562606E-2</v>
      </c>
      <c r="U32" s="42">
        <f t="shared" si="26"/>
        <v>1.1550062300338735E-2</v>
      </c>
      <c r="V32" s="43">
        <f t="shared" si="27"/>
        <v>1.252691977267093E-2</v>
      </c>
      <c r="W32" s="42">
        <f t="shared" si="28"/>
        <v>6.6094468029983492E-4</v>
      </c>
      <c r="X32" s="42">
        <f t="shared" si="29"/>
        <v>9.5439512958775449E-3</v>
      </c>
      <c r="Y32" s="42">
        <f t="shared" si="30"/>
        <v>9.3073244042442167E-3</v>
      </c>
      <c r="Z32" s="42">
        <f t="shared" si="31"/>
        <v>9.780578187510873E-3</v>
      </c>
      <c r="AA32" s="43">
        <f t="shared" si="32"/>
        <v>9.5439512958775449E-3</v>
      </c>
      <c r="AB32" s="46">
        <f t="shared" si="33"/>
        <v>1.3661659958200641E-4</v>
      </c>
    </row>
    <row r="33" spans="2:28" s="5" customFormat="1" ht="13" x14ac:dyDescent="0.15">
      <c r="B33" s="47" t="s">
        <v>28</v>
      </c>
      <c r="C33" s="152">
        <v>0.48749999999999999</v>
      </c>
      <c r="D33" s="93">
        <f>3/60+24+D32</f>
        <v>119.86666666666666</v>
      </c>
      <c r="E33" s="44">
        <v>6</v>
      </c>
      <c r="F33" s="147">
        <v>0.94199999999999995</v>
      </c>
      <c r="G33" s="148">
        <v>0.92700000000000005</v>
      </c>
      <c r="H33" s="148">
        <v>1.0449999999999999</v>
      </c>
      <c r="I33" s="42">
        <f t="shared" si="21"/>
        <v>1.1865432</v>
      </c>
      <c r="J33" s="42">
        <f t="shared" si="17"/>
        <v>1.1676492000000001</v>
      </c>
      <c r="K33" s="42">
        <f t="shared" si="17"/>
        <v>1.316282</v>
      </c>
      <c r="L33" s="43">
        <f t="shared" si="18"/>
        <v>1.2234914666666665</v>
      </c>
      <c r="M33" s="42">
        <f t="shared" si="22"/>
        <v>4.6714766103140327E-2</v>
      </c>
      <c r="N33" s="42">
        <f t="shared" si="19"/>
        <v>0.17104420583895855</v>
      </c>
      <c r="O33" s="42">
        <f t="shared" si="19"/>
        <v>0.15499249682845068</v>
      </c>
      <c r="P33" s="42">
        <f t="shared" si="19"/>
        <v>0.2748110956615068</v>
      </c>
      <c r="Q33" s="43">
        <f t="shared" si="20"/>
        <v>0.200282599442972</v>
      </c>
      <c r="R33" s="42">
        <f t="shared" si="23"/>
        <v>3.7551240112618671E-2</v>
      </c>
      <c r="S33" s="42">
        <f t="shared" si="24"/>
        <v>1.0829740530210685E-2</v>
      </c>
      <c r="T33" s="42">
        <f t="shared" si="25"/>
        <v>1.1206215046658441E-2</v>
      </c>
      <c r="U33" s="42">
        <f t="shared" si="26"/>
        <v>1.4126034493381266E-2</v>
      </c>
      <c r="V33" s="43">
        <f t="shared" si="27"/>
        <v>1.2053996690083465E-2</v>
      </c>
      <c r="W33" s="42">
        <f t="shared" si="28"/>
        <v>1.0417035341377166E-3</v>
      </c>
      <c r="X33" s="42">
        <f t="shared" si="29"/>
        <v>9.8988587319243614E-3</v>
      </c>
      <c r="Y33" s="42">
        <f t="shared" si="30"/>
        <v>9.7412335928809806E-3</v>
      </c>
      <c r="Z33" s="42">
        <f t="shared" si="31"/>
        <v>1.0981218020022247E-2</v>
      </c>
      <c r="AA33" s="43">
        <f t="shared" si="32"/>
        <v>1.0207103448275863E-2</v>
      </c>
      <c r="AB33" s="46">
        <f t="shared" si="33"/>
        <v>3.8972274279594249E-4</v>
      </c>
    </row>
    <row r="34" spans="2:28" s="5" customFormat="1" ht="13" x14ac:dyDescent="0.15">
      <c r="B34" s="47" t="s">
        <v>29</v>
      </c>
      <c r="C34" s="152">
        <v>0.52361111111111114</v>
      </c>
      <c r="D34" s="93">
        <f>52/60+24+D33</f>
        <v>144.73333333333332</v>
      </c>
      <c r="E34" s="44">
        <v>7</v>
      </c>
      <c r="F34" s="41">
        <v>1.194</v>
      </c>
      <c r="G34" s="42">
        <v>1.1080000000000001</v>
      </c>
      <c r="H34" s="42">
        <v>1.286</v>
      </c>
      <c r="I34" s="42">
        <f t="shared" si="21"/>
        <v>1.5039624</v>
      </c>
      <c r="J34" s="42">
        <f t="shared" si="17"/>
        <v>1.3956368000000001</v>
      </c>
      <c r="K34" s="42">
        <f t="shared" si="17"/>
        <v>1.6198456000000001</v>
      </c>
      <c r="L34" s="43">
        <f t="shared" si="18"/>
        <v>1.5064816000000001</v>
      </c>
      <c r="M34" s="42">
        <f t="shared" si="22"/>
        <v>6.4735761049155308E-2</v>
      </c>
      <c r="N34" s="42">
        <f t="shared" si="19"/>
        <v>0.40810322521514292</v>
      </c>
      <c r="O34" s="42">
        <f t="shared" si="19"/>
        <v>0.33335079856982469</v>
      </c>
      <c r="P34" s="42">
        <f t="shared" si="19"/>
        <v>0.48233083606016025</v>
      </c>
      <c r="Q34" s="43">
        <f t="shared" si="20"/>
        <v>0.4079282866150426</v>
      </c>
      <c r="R34" s="42">
        <f t="shared" si="23"/>
        <v>4.3006921323940447E-2</v>
      </c>
      <c r="S34" s="42">
        <f t="shared" si="24"/>
        <v>9.5332045325543339E-3</v>
      </c>
      <c r="T34" s="42">
        <f t="shared" si="25"/>
        <v>7.1725858609131658E-3</v>
      </c>
      <c r="U34" s="42">
        <f t="shared" si="26"/>
        <v>8.3452978712595244E-3</v>
      </c>
      <c r="V34" s="43">
        <f t="shared" si="27"/>
        <v>8.3503627549090086E-3</v>
      </c>
      <c r="W34" s="42">
        <f t="shared" si="28"/>
        <v>6.8145661833311528E-4</v>
      </c>
      <c r="X34" s="42">
        <f t="shared" si="29"/>
        <v>1.0391264854905574E-2</v>
      </c>
      <c r="Y34" s="42">
        <f t="shared" si="30"/>
        <v>9.6428152924919412E-3</v>
      </c>
      <c r="Z34" s="42">
        <f t="shared" si="31"/>
        <v>1.1191931828650394E-2</v>
      </c>
      <c r="AA34" s="43">
        <f t="shared" si="32"/>
        <v>1.0408670658682636E-2</v>
      </c>
      <c r="AB34" s="46">
        <f t="shared" si="33"/>
        <v>4.4727610121479949E-4</v>
      </c>
    </row>
    <row r="35" spans="2:28" s="5" customFormat="1" ht="13" x14ac:dyDescent="0.15">
      <c r="B35" s="47" t="s">
        <v>30</v>
      </c>
      <c r="C35" s="152">
        <v>0.50555555555555554</v>
      </c>
      <c r="D35" s="93">
        <f>10+34/60+13+24+D34</f>
        <v>192.29999999999998</v>
      </c>
      <c r="E35" s="44">
        <v>9</v>
      </c>
      <c r="F35" s="41">
        <f>2*0.819</f>
        <v>1.6379999999999999</v>
      </c>
      <c r="G35" s="42">
        <v>1.4379999999999999</v>
      </c>
      <c r="H35" s="42">
        <v>1.5840000000000001</v>
      </c>
      <c r="I35" s="42">
        <f t="shared" si="21"/>
        <v>2.0632248</v>
      </c>
      <c r="J35" s="42">
        <f t="shared" si="17"/>
        <v>1.8113048</v>
      </c>
      <c r="K35" s="42">
        <f t="shared" si="17"/>
        <v>1.9952064000000003</v>
      </c>
      <c r="L35" s="43">
        <f t="shared" si="18"/>
        <v>1.9565786666666665</v>
      </c>
      <c r="M35" s="42">
        <f t="shared" si="22"/>
        <v>7.5244042813707918E-2</v>
      </c>
      <c r="N35" s="42">
        <f t="shared" si="19"/>
        <v>0.72427019567561024</v>
      </c>
      <c r="O35" s="42">
        <f t="shared" si="19"/>
        <v>0.59404746954358745</v>
      </c>
      <c r="P35" s="42">
        <f t="shared" si="19"/>
        <v>0.6907475036369668</v>
      </c>
      <c r="Q35" s="43">
        <f t="shared" si="20"/>
        <v>0.66968838961872146</v>
      </c>
      <c r="R35" s="42">
        <f t="shared" si="23"/>
        <v>3.9038887931305305E-2</v>
      </c>
      <c r="S35" s="42">
        <f t="shared" si="24"/>
        <v>6.6468178793370851E-3</v>
      </c>
      <c r="T35" s="42">
        <f t="shared" si="25"/>
        <v>5.4806588151456786E-3</v>
      </c>
      <c r="U35" s="42">
        <f t="shared" si="26"/>
        <v>4.3815697458333544E-3</v>
      </c>
      <c r="V35" s="43">
        <f t="shared" si="27"/>
        <v>5.503015480105373E-3</v>
      </c>
      <c r="W35" s="42">
        <f t="shared" si="28"/>
        <v>6.5401634585501097E-4</v>
      </c>
      <c r="X35" s="42">
        <f t="shared" si="29"/>
        <v>1.0729198127925117E-2</v>
      </c>
      <c r="Y35" s="42">
        <f t="shared" si="30"/>
        <v>9.4191617264690591E-3</v>
      </c>
      <c r="Z35" s="42">
        <f t="shared" si="31"/>
        <v>1.0375488299531983E-2</v>
      </c>
      <c r="AA35" s="43">
        <f t="shared" si="32"/>
        <v>1.017461605130872E-2</v>
      </c>
      <c r="AB35" s="46">
        <f t="shared" si="33"/>
        <v>3.9128467401824209E-4</v>
      </c>
    </row>
    <row r="36" spans="2:28" s="5" customFormat="1" ht="13" x14ac:dyDescent="0.15">
      <c r="B36" s="47" t="s">
        <v>31</v>
      </c>
      <c r="C36" s="152">
        <v>0.54652777777777783</v>
      </c>
      <c r="D36" s="93">
        <f>59/60+24+D35</f>
        <v>217.2833333333333</v>
      </c>
      <c r="E36" s="44">
        <v>10</v>
      </c>
      <c r="F36" s="41">
        <f>2*0.935</f>
        <v>1.87</v>
      </c>
      <c r="G36" s="42">
        <f>2*0.918</f>
        <v>1.8360000000000001</v>
      </c>
      <c r="H36" s="42">
        <f>0.937*2</f>
        <v>1.8740000000000001</v>
      </c>
      <c r="I36" s="42">
        <f t="shared" si="21"/>
        <v>2.3554520000000001</v>
      </c>
      <c r="J36" s="42">
        <f t="shared" si="17"/>
        <v>2.3126256000000001</v>
      </c>
      <c r="K36" s="42">
        <f t="shared" si="17"/>
        <v>2.3604904000000002</v>
      </c>
      <c r="L36" s="43">
        <f t="shared" si="18"/>
        <v>2.3428559999999998</v>
      </c>
      <c r="M36" s="42">
        <f t="shared" si="22"/>
        <v>1.5185016537802468E-2</v>
      </c>
      <c r="N36" s="42">
        <f t="shared" si="19"/>
        <v>0.85673264111122782</v>
      </c>
      <c r="O36" s="42">
        <f t="shared" si="19"/>
        <v>0.83838350244303128</v>
      </c>
      <c r="P36" s="42">
        <f t="shared" si="19"/>
        <v>0.85886939406096308</v>
      </c>
      <c r="Q36" s="43">
        <f t="shared" si="20"/>
        <v>0.85132851253840747</v>
      </c>
      <c r="R36" s="42">
        <f t="shared" si="23"/>
        <v>6.5018303338135151E-3</v>
      </c>
      <c r="S36" s="42">
        <f t="shared" si="24"/>
        <v>5.3020325057618811E-3</v>
      </c>
      <c r="T36" s="42">
        <f t="shared" si="25"/>
        <v>9.7799612901712067E-3</v>
      </c>
      <c r="U36" s="42">
        <f t="shared" si="26"/>
        <v>6.7293618581986542E-3</v>
      </c>
      <c r="V36" s="43">
        <f t="shared" si="27"/>
        <v>7.2704518847105807E-3</v>
      </c>
      <c r="W36" s="42">
        <f t="shared" si="28"/>
        <v>1.3206747470079331E-3</v>
      </c>
      <c r="X36" s="42">
        <f t="shared" si="29"/>
        <v>1.0840463296770731E-2</v>
      </c>
      <c r="Y36" s="42">
        <f t="shared" si="30"/>
        <v>1.0643363964102173E-2</v>
      </c>
      <c r="Z36" s="42">
        <f t="shared" si="31"/>
        <v>1.0863651453555268E-2</v>
      </c>
      <c r="AA36" s="43">
        <f t="shared" si="32"/>
        <v>1.078249290480939E-2</v>
      </c>
      <c r="AB36" s="46">
        <f t="shared" si="33"/>
        <v>6.9885786014278376E-5</v>
      </c>
    </row>
    <row r="37" spans="2:28" s="5" customFormat="1" ht="13" x14ac:dyDescent="0.15">
      <c r="B37" s="47" t="s">
        <v>38</v>
      </c>
      <c r="C37" s="152">
        <v>0.53749999999999998</v>
      </c>
      <c r="D37" s="93">
        <f>10+47/60+D36+13</f>
        <v>241.06666666666663</v>
      </c>
      <c r="E37" s="44">
        <v>11</v>
      </c>
      <c r="F37" s="41">
        <f>0.493*4</f>
        <v>1.972</v>
      </c>
      <c r="G37" s="42">
        <f>0.472*4</f>
        <v>1.8879999999999999</v>
      </c>
      <c r="H37" s="42">
        <f>0.499*4</f>
        <v>1.996</v>
      </c>
      <c r="I37" s="42">
        <f t="shared" si="21"/>
        <v>2.4839312000000002</v>
      </c>
      <c r="J37" s="42">
        <f t="shared" si="17"/>
        <v>2.3781248000000001</v>
      </c>
      <c r="K37" s="42">
        <f t="shared" si="17"/>
        <v>2.5141616</v>
      </c>
      <c r="L37" s="43">
        <f t="shared" si="18"/>
        <v>2.4587392000000001</v>
      </c>
      <c r="M37" s="42">
        <f t="shared" si="22"/>
        <v>4.1241081405802127E-2</v>
      </c>
      <c r="N37" s="42">
        <f t="shared" si="19"/>
        <v>0.9098424664251763</v>
      </c>
      <c r="O37" s="42">
        <f t="shared" si="19"/>
        <v>0.86631227796804156</v>
      </c>
      <c r="P37" s="42">
        <f t="shared" si="19"/>
        <v>0.92193938813400478</v>
      </c>
      <c r="Q37" s="43">
        <f t="shared" si="20"/>
        <v>0.89936471084240743</v>
      </c>
      <c r="R37" s="42">
        <f t="shared" si="23"/>
        <v>1.6891135425554177E-2</v>
      </c>
      <c r="S37" s="42">
        <f t="shared" si="24"/>
        <v>2.2330690391288779E-3</v>
      </c>
      <c r="T37" s="42">
        <f t="shared" si="25"/>
        <v>1.1743003023830529E-3</v>
      </c>
      <c r="U37" s="42">
        <f t="shared" si="26"/>
        <v>2.6518567935406466E-3</v>
      </c>
      <c r="V37" s="43">
        <f t="shared" si="27"/>
        <v>2.0197420450175259E-3</v>
      </c>
      <c r="W37" s="42">
        <f t="shared" si="28"/>
        <v>4.3966828441182931E-4</v>
      </c>
      <c r="X37" s="42">
        <f t="shared" si="29"/>
        <v>1.0303918141592922E-2</v>
      </c>
      <c r="Y37" s="42">
        <f t="shared" si="30"/>
        <v>9.8650088495575248E-3</v>
      </c>
      <c r="Z37" s="42">
        <f t="shared" si="31"/>
        <v>1.0429320796460178E-2</v>
      </c>
      <c r="AA37" s="43">
        <f t="shared" si="32"/>
        <v>1.0199415929203542E-2</v>
      </c>
      <c r="AB37" s="46">
        <f t="shared" si="33"/>
        <v>1.7107749476964336E-4</v>
      </c>
    </row>
    <row r="38" spans="2:28" s="5" customFormat="1" ht="13" x14ac:dyDescent="0.15">
      <c r="B38" s="47" t="s">
        <v>39</v>
      </c>
      <c r="C38" s="152">
        <v>0.53749999999999998</v>
      </c>
      <c r="D38" s="93">
        <f>D37+24</f>
        <v>265.06666666666661</v>
      </c>
      <c r="E38" s="44">
        <v>12</v>
      </c>
      <c r="F38" s="41">
        <f>0.543*4</f>
        <v>2.1720000000000002</v>
      </c>
      <c r="G38" s="42">
        <f>0.499*4</f>
        <v>1.996</v>
      </c>
      <c r="H38" s="42">
        <f>0.543*4</f>
        <v>2.1720000000000002</v>
      </c>
      <c r="I38" s="42">
        <f t="shared" si="21"/>
        <v>2.7358512000000004</v>
      </c>
      <c r="J38" s="42">
        <f t="shared" si="17"/>
        <v>2.5141616</v>
      </c>
      <c r="K38" s="42">
        <f t="shared" si="17"/>
        <v>2.7358512000000004</v>
      </c>
      <c r="L38" s="43">
        <f t="shared" si="18"/>
        <v>2.6619546666666669</v>
      </c>
      <c r="M38" s="42">
        <f t="shared" si="22"/>
        <v>7.3896533333333458E-2</v>
      </c>
      <c r="N38" s="42">
        <f t="shared" si="19"/>
        <v>1.0064426123164216</v>
      </c>
      <c r="O38" s="42">
        <f t="shared" si="19"/>
        <v>0.92193938813400478</v>
      </c>
      <c r="P38" s="42">
        <f t="shared" si="19"/>
        <v>1.0064426123164216</v>
      </c>
      <c r="Q38" s="43">
        <f t="shared" si="20"/>
        <v>0.9782748709222826</v>
      </c>
      <c r="R38" s="42">
        <f t="shared" si="23"/>
        <v>2.816774139413895E-2</v>
      </c>
      <c r="S38" s="42">
        <f t="shared" si="24"/>
        <v>4.0250060788018932E-3</v>
      </c>
      <c r="T38" s="42">
        <f t="shared" si="25"/>
        <v>2.3177962569151372E-3</v>
      </c>
      <c r="U38" s="42">
        <f t="shared" si="26"/>
        <v>3.5209676742673727E-3</v>
      </c>
      <c r="V38" s="43">
        <f t="shared" si="27"/>
        <v>3.2879233366614677E-3</v>
      </c>
      <c r="W38" s="42">
        <f t="shared" si="28"/>
        <v>5.0641668990871001E-4</v>
      </c>
      <c r="X38" s="42">
        <f t="shared" si="29"/>
        <v>1.0321370221327971E-2</v>
      </c>
      <c r="Y38" s="42">
        <f t="shared" si="30"/>
        <v>9.4850160965794794E-3</v>
      </c>
      <c r="Z38" s="42">
        <f t="shared" si="31"/>
        <v>1.0321370221327971E-2</v>
      </c>
      <c r="AA38" s="43">
        <f t="shared" si="32"/>
        <v>1.0042585513078475E-2</v>
      </c>
      <c r="AB38" s="46">
        <f t="shared" si="33"/>
        <v>2.7878470824949737E-4</v>
      </c>
    </row>
    <row r="39" spans="2:28" s="5" customFormat="1" ht="13" x14ac:dyDescent="0.15">
      <c r="B39" s="47" t="s">
        <v>40</v>
      </c>
      <c r="C39" s="152">
        <v>0.53749999999999998</v>
      </c>
      <c r="D39" s="93">
        <f>D38+24</f>
        <v>289.06666666666661</v>
      </c>
      <c r="E39" s="44">
        <v>13</v>
      </c>
      <c r="F39" s="41">
        <f>0.566*4</f>
        <v>2.2639999999999998</v>
      </c>
      <c r="G39" s="42">
        <f>0.565*4</f>
        <v>2.2599999999999998</v>
      </c>
      <c r="H39" s="42">
        <f>0.569*4</f>
        <v>2.2759999999999998</v>
      </c>
      <c r="I39" s="42">
        <f t="shared" si="21"/>
        <v>2.8517343999999998</v>
      </c>
      <c r="J39" s="42">
        <f t="shared" si="17"/>
        <v>2.8466959999999997</v>
      </c>
      <c r="K39" s="42">
        <f t="shared" si="17"/>
        <v>2.8668495999999997</v>
      </c>
      <c r="L39" s="43">
        <f t="shared" si="18"/>
        <v>2.855093333333333</v>
      </c>
      <c r="M39" s="42">
        <f t="shared" si="22"/>
        <v>6.0554031820992437E-3</v>
      </c>
      <c r="N39" s="42">
        <f t="shared" si="19"/>
        <v>1.0479273705856689</v>
      </c>
      <c r="O39" s="42">
        <f t="shared" si="19"/>
        <v>1.0461590235289269</v>
      </c>
      <c r="P39" s="42">
        <f t="shared" si="19"/>
        <v>1.0532137265088168</v>
      </c>
      <c r="Q39" s="43">
        <f t="shared" si="20"/>
        <v>1.0491000402078043</v>
      </c>
      <c r="R39" s="42">
        <f t="shared" si="23"/>
        <v>2.1192431090388815E-3</v>
      </c>
      <c r="S39" s="42">
        <f t="shared" si="24"/>
        <v>1.7285315945519686E-3</v>
      </c>
      <c r="T39" s="42">
        <f t="shared" si="25"/>
        <v>5.1758181414550868E-3</v>
      </c>
      <c r="U39" s="42">
        <f t="shared" si="26"/>
        <v>1.948796424683134E-3</v>
      </c>
      <c r="V39" s="43">
        <f t="shared" si="27"/>
        <v>2.951048720230063E-3</v>
      </c>
      <c r="W39" s="42">
        <f t="shared" si="28"/>
        <v>1.1142005178694458E-3</v>
      </c>
      <c r="X39" s="42">
        <f t="shared" si="29"/>
        <v>9.8653173431734326E-3</v>
      </c>
      <c r="Y39" s="42">
        <f t="shared" si="30"/>
        <v>9.84788745387454E-3</v>
      </c>
      <c r="Z39" s="42">
        <f t="shared" si="31"/>
        <v>9.917607011070112E-3</v>
      </c>
      <c r="AA39" s="43">
        <f t="shared" si="32"/>
        <v>9.8769372693726949E-3</v>
      </c>
      <c r="AB39" s="46">
        <f t="shared" si="33"/>
        <v>2.0948119864273306E-5</v>
      </c>
    </row>
    <row r="40" spans="2:28" s="5" customFormat="1" ht="13" x14ac:dyDescent="0.15">
      <c r="B40" s="47" t="s">
        <v>32</v>
      </c>
      <c r="C40" s="152">
        <v>0.53749999999999998</v>
      </c>
      <c r="D40" s="93">
        <f>10+47/60+D39+13</f>
        <v>312.84999999999997</v>
      </c>
      <c r="E40" s="44">
        <v>14</v>
      </c>
      <c r="F40" s="41">
        <f>4*0.621</f>
        <v>2.484</v>
      </c>
      <c r="G40" s="42">
        <f>4*0.581</f>
        <v>2.3239999999999998</v>
      </c>
      <c r="H40" s="42">
        <f>4*0.605</f>
        <v>2.42</v>
      </c>
      <c r="I40" s="42">
        <f t="shared" si="21"/>
        <v>3.1288464</v>
      </c>
      <c r="J40" s="42">
        <f t="shared" si="17"/>
        <v>2.9273104000000001</v>
      </c>
      <c r="K40" s="42">
        <f t="shared" si="17"/>
        <v>3.0482320000000001</v>
      </c>
      <c r="L40" s="43">
        <f t="shared" si="18"/>
        <v>3.034796266666667</v>
      </c>
      <c r="M40" s="42">
        <f t="shared" si="22"/>
        <v>5.8565003832360858E-2</v>
      </c>
      <c r="N40" s="42">
        <f t="shared" si="19"/>
        <v>1.1406643743159648</v>
      </c>
      <c r="O40" s="42">
        <f t="shared" si="19"/>
        <v>1.0740840492343973</v>
      </c>
      <c r="P40" s="42">
        <f t="shared" si="19"/>
        <v>1.1145617504133276</v>
      </c>
      <c r="Q40" s="43">
        <f t="shared" si="20"/>
        <v>1.1097700579878966</v>
      </c>
      <c r="R40" s="42">
        <f t="shared" si="23"/>
        <v>1.9368833721701405E-2</v>
      </c>
      <c r="S40" s="42">
        <f t="shared" si="24"/>
        <v>3.8992433243291865E-3</v>
      </c>
      <c r="T40" s="42">
        <f t="shared" si="25"/>
        <v>1.1741426365299383E-3</v>
      </c>
      <c r="U40" s="42">
        <f t="shared" si="26"/>
        <v>2.5794544038336667E-3</v>
      </c>
      <c r="V40" s="43">
        <f t="shared" si="27"/>
        <v>2.5509467882309303E-3</v>
      </c>
      <c r="W40" s="42">
        <f t="shared" si="28"/>
        <v>7.8679793101988163E-4</v>
      </c>
      <c r="X40" s="42">
        <f t="shared" si="29"/>
        <v>1.0001107239891322E-2</v>
      </c>
      <c r="Y40" s="42">
        <f t="shared" si="30"/>
        <v>9.3569135368387416E-3</v>
      </c>
      <c r="Z40" s="42">
        <f t="shared" si="31"/>
        <v>9.7434297586702912E-3</v>
      </c>
      <c r="AA40" s="43">
        <f t="shared" si="32"/>
        <v>9.700483511800119E-3</v>
      </c>
      <c r="AB40" s="46">
        <f t="shared" si="33"/>
        <v>1.8719835011143002E-4</v>
      </c>
    </row>
    <row r="41" spans="2:28" s="5" customFormat="1" ht="13" x14ac:dyDescent="0.15">
      <c r="B41" s="47" t="s">
        <v>34</v>
      </c>
      <c r="C41" s="152">
        <v>0.53749999999999998</v>
      </c>
      <c r="D41" s="93">
        <f>D40+24</f>
        <v>336.84999999999997</v>
      </c>
      <c r="E41" s="44">
        <v>15</v>
      </c>
      <c r="F41" s="41">
        <f>0.673*4</f>
        <v>2.6920000000000002</v>
      </c>
      <c r="G41" s="42">
        <f>0.663*4</f>
        <v>2.6520000000000001</v>
      </c>
      <c r="H41" s="42">
        <f>0.674*4</f>
        <v>2.6960000000000002</v>
      </c>
      <c r="I41" s="42">
        <f t="shared" si="21"/>
        <v>3.3908432000000004</v>
      </c>
      <c r="J41" s="42">
        <f t="shared" si="17"/>
        <v>3.3404592000000002</v>
      </c>
      <c r="K41" s="42">
        <f t="shared" si="17"/>
        <v>3.3958816000000005</v>
      </c>
      <c r="L41" s="43">
        <f t="shared" si="18"/>
        <v>3.3757280000000005</v>
      </c>
      <c r="M41" s="42">
        <f t="shared" si="22"/>
        <v>1.7694279289457836E-2</v>
      </c>
      <c r="N41" s="42">
        <f t="shared" si="19"/>
        <v>1.2210786220272141</v>
      </c>
      <c r="O41" s="42">
        <f t="shared" si="19"/>
        <v>1.2061082825683487</v>
      </c>
      <c r="P41" s="42">
        <f t="shared" si="19"/>
        <v>1.2225634032947932</v>
      </c>
      <c r="Q41" s="43">
        <f t="shared" si="20"/>
        <v>1.216583435963452</v>
      </c>
      <c r="R41" s="42">
        <f t="shared" si="23"/>
        <v>5.2550855635706707E-3</v>
      </c>
      <c r="S41" s="42">
        <f t="shared" si="24"/>
        <v>3.3505936546353865E-3</v>
      </c>
      <c r="T41" s="42">
        <f t="shared" si="25"/>
        <v>5.5010097222479752E-3</v>
      </c>
      <c r="U41" s="42">
        <f t="shared" si="26"/>
        <v>4.5000688700610652E-3</v>
      </c>
      <c r="V41" s="43">
        <f t="shared" si="27"/>
        <v>4.4505574156481417E-3</v>
      </c>
      <c r="W41" s="42">
        <f t="shared" si="28"/>
        <v>6.2126506797291166E-4</v>
      </c>
      <c r="X41" s="42">
        <f t="shared" si="29"/>
        <v>1.0066329820394836E-2</v>
      </c>
      <c r="Y41" s="42">
        <f t="shared" si="30"/>
        <v>9.916755826035328E-3</v>
      </c>
      <c r="Z41" s="42">
        <f t="shared" si="31"/>
        <v>1.0081287219830789E-2</v>
      </c>
      <c r="AA41" s="43">
        <f t="shared" si="32"/>
        <v>1.0021457622086984E-2</v>
      </c>
      <c r="AB41" s="46">
        <f t="shared" si="33"/>
        <v>5.2528660500097828E-5</v>
      </c>
    </row>
    <row r="42" spans="2:28" s="5" customFormat="1" ht="13" x14ac:dyDescent="0.15">
      <c r="B42" s="47" t="s">
        <v>35</v>
      </c>
      <c r="C42" s="152">
        <v>0.53749999999999998</v>
      </c>
      <c r="D42" s="93">
        <f>D41+24</f>
        <v>360.84999999999997</v>
      </c>
      <c r="E42" s="44">
        <v>16</v>
      </c>
      <c r="F42" s="41">
        <f>0.736*4</f>
        <v>2.944</v>
      </c>
      <c r="G42" s="42">
        <f>0.695*4</f>
        <v>2.78</v>
      </c>
      <c r="H42" s="42">
        <f>0.704*4</f>
        <v>2.8159999999999998</v>
      </c>
      <c r="I42" s="42">
        <f t="shared" si="21"/>
        <v>3.7082624000000002</v>
      </c>
      <c r="J42" s="42">
        <f t="shared" si="17"/>
        <v>3.5016879999999997</v>
      </c>
      <c r="K42" s="42">
        <f t="shared" si="17"/>
        <v>3.5470335999999998</v>
      </c>
      <c r="L42" s="43">
        <f t="shared" si="18"/>
        <v>3.5856613333333329</v>
      </c>
      <c r="M42" s="42">
        <f t="shared" si="22"/>
        <v>6.2682592003132184E-2</v>
      </c>
      <c r="N42" s="42">
        <f t="shared" si="19"/>
        <v>1.3105634111113624</v>
      </c>
      <c r="O42" s="42">
        <f t="shared" si="19"/>
        <v>1.2532451379472782</v>
      </c>
      <c r="P42" s="42">
        <f t="shared" si="19"/>
        <v>1.2661116485405284</v>
      </c>
      <c r="Q42" s="43">
        <f t="shared" si="20"/>
        <v>1.2766400658663897</v>
      </c>
      <c r="R42" s="42">
        <f t="shared" si="23"/>
        <v>1.7363580546350135E-2</v>
      </c>
      <c r="S42" s="42">
        <f t="shared" si="24"/>
        <v>3.728532878506182E-3</v>
      </c>
      <c r="T42" s="42">
        <f t="shared" si="25"/>
        <v>1.9640356407887305E-3</v>
      </c>
      <c r="U42" s="42">
        <f t="shared" si="26"/>
        <v>1.8145102185722999E-3</v>
      </c>
      <c r="V42" s="43">
        <f t="shared" si="27"/>
        <v>2.5023595792890711E-3</v>
      </c>
      <c r="W42" s="42">
        <f t="shared" si="28"/>
        <v>6.1460425824454493E-4</v>
      </c>
      <c r="X42" s="42">
        <f t="shared" si="29"/>
        <v>1.0276465013163366E-2</v>
      </c>
      <c r="Y42" s="42">
        <f t="shared" si="30"/>
        <v>9.7039988915061659E-3</v>
      </c>
      <c r="Z42" s="42">
        <f t="shared" si="31"/>
        <v>9.8296621865040876E-3</v>
      </c>
      <c r="AA42" s="43">
        <f t="shared" si="32"/>
        <v>9.9367086970578722E-3</v>
      </c>
      <c r="AB42" s="46">
        <f t="shared" si="33"/>
        <v>1.7370816683700231E-4</v>
      </c>
    </row>
    <row r="43" spans="2:28" s="5" customFormat="1" ht="13" x14ac:dyDescent="0.15">
      <c r="B43" s="47" t="s">
        <v>36</v>
      </c>
      <c r="C43" s="152">
        <v>0.53749999999999998</v>
      </c>
      <c r="D43" s="93">
        <f>D42+24</f>
        <v>384.84999999999997</v>
      </c>
      <c r="E43" s="44">
        <v>17</v>
      </c>
      <c r="F43" s="41">
        <f>0.783*4</f>
        <v>3.1320000000000001</v>
      </c>
      <c r="G43" s="42">
        <f>0.725*4</f>
        <v>2.9</v>
      </c>
      <c r="H43" s="42">
        <f>0.798*4</f>
        <v>3.1920000000000002</v>
      </c>
      <c r="I43" s="42">
        <f t="shared" si="21"/>
        <v>3.9450672000000004</v>
      </c>
      <c r="J43" s="42">
        <f t="shared" si="21"/>
        <v>3.6528399999999999</v>
      </c>
      <c r="K43" s="42">
        <f t="shared" si="21"/>
        <v>4.0206432000000003</v>
      </c>
      <c r="L43" s="43">
        <f t="shared" si="18"/>
        <v>3.8728501333333334</v>
      </c>
      <c r="M43" s="42">
        <f t="shared" si="22"/>
        <v>0.11214763635644674</v>
      </c>
      <c r="N43" s="42">
        <f t="shared" si="19"/>
        <v>1.3724659883732893</v>
      </c>
      <c r="O43" s="42">
        <f t="shared" si="19"/>
        <v>1.2955049472371609</v>
      </c>
      <c r="P43" s="42">
        <f t="shared" si="19"/>
        <v>1.3914418898322949</v>
      </c>
      <c r="Q43" s="43">
        <f t="shared" si="20"/>
        <v>1.353137608480915</v>
      </c>
      <c r="R43" s="42">
        <f t="shared" si="23"/>
        <v>2.9332370858680235E-2</v>
      </c>
      <c r="S43" s="42">
        <f t="shared" si="24"/>
        <v>2.5792740525802846E-3</v>
      </c>
      <c r="T43" s="42">
        <f t="shared" si="25"/>
        <v>1.7608253870784463E-3</v>
      </c>
      <c r="U43" s="42">
        <f t="shared" si="26"/>
        <v>5.2220933871569382E-3</v>
      </c>
      <c r="V43" s="43">
        <f t="shared" si="27"/>
        <v>3.1873976089385561E-3</v>
      </c>
      <c r="W43" s="42">
        <f t="shared" si="28"/>
        <v>1.0444224459703738E-3</v>
      </c>
      <c r="X43" s="42">
        <f t="shared" si="29"/>
        <v>1.025092165778875E-2</v>
      </c>
      <c r="Y43" s="42">
        <f t="shared" si="30"/>
        <v>9.4915941275821748E-3</v>
      </c>
      <c r="Z43" s="42">
        <f t="shared" si="31"/>
        <v>1.0447299467324934E-2</v>
      </c>
      <c r="AA43" s="43">
        <f t="shared" si="32"/>
        <v>1.006327175089862E-2</v>
      </c>
      <c r="AB43" s="46">
        <f t="shared" si="33"/>
        <v>2.9140609680770911E-4</v>
      </c>
    </row>
    <row r="44" spans="2:28" s="5" customFormat="1" ht="13" x14ac:dyDescent="0.15">
      <c r="B44" s="47" t="s">
        <v>37</v>
      </c>
      <c r="C44" s="152">
        <v>0.53888888888888886</v>
      </c>
      <c r="D44" s="93">
        <f>D43+24</f>
        <v>408.84999999999997</v>
      </c>
      <c r="E44" s="44">
        <v>18</v>
      </c>
      <c r="F44" s="41">
        <f>0.799*4</f>
        <v>3.1960000000000002</v>
      </c>
      <c r="G44" s="42">
        <f>0.735*4</f>
        <v>2.94</v>
      </c>
      <c r="H44" s="42">
        <f>0.801*4</f>
        <v>3.2040000000000002</v>
      </c>
      <c r="I44" s="42">
        <f t="shared" si="21"/>
        <v>4.0256816000000004</v>
      </c>
      <c r="J44" s="42">
        <f t="shared" si="21"/>
        <v>3.7032240000000001</v>
      </c>
      <c r="K44" s="42">
        <f t="shared" si="21"/>
        <v>4.0357584000000006</v>
      </c>
      <c r="L44" s="43">
        <f t="shared" si="18"/>
        <v>3.9215546666666672</v>
      </c>
      <c r="M44" s="42">
        <f t="shared" si="22"/>
        <v>0.10920408337892473</v>
      </c>
      <c r="N44" s="42">
        <f t="shared" si="19"/>
        <v>1.3926942381487608</v>
      </c>
      <c r="O44" s="42">
        <f t="shared" si="19"/>
        <v>1.3092037915953227</v>
      </c>
      <c r="P44" s="42">
        <f t="shared" si="19"/>
        <v>1.3951942394508454</v>
      </c>
      <c r="Q44" s="43">
        <f t="shared" si="20"/>
        <v>1.3656974230649765</v>
      </c>
      <c r="R44" s="42">
        <f t="shared" si="23"/>
        <v>2.8256033568657989E-2</v>
      </c>
      <c r="S44" s="42">
        <f t="shared" si="24"/>
        <v>8.4284374064464795E-4</v>
      </c>
      <c r="T44" s="42">
        <f t="shared" si="25"/>
        <v>5.7078518159007585E-4</v>
      </c>
      <c r="U44" s="42">
        <f t="shared" si="26"/>
        <v>1.5634790077293884E-4</v>
      </c>
      <c r="V44" s="43">
        <f t="shared" si="27"/>
        <v>5.2332560766922087E-4</v>
      </c>
      <c r="W44" s="42">
        <f t="shared" si="28"/>
        <v>1.9958994873477695E-4</v>
      </c>
      <c r="X44" s="42">
        <f t="shared" si="29"/>
        <v>9.8463534303534321E-3</v>
      </c>
      <c r="Y44" s="42">
        <f t="shared" si="30"/>
        <v>9.057659288247524E-3</v>
      </c>
      <c r="Z44" s="42">
        <f t="shared" si="31"/>
        <v>9.871000122294242E-3</v>
      </c>
      <c r="AA44" s="43">
        <f t="shared" si="32"/>
        <v>9.5916709469650654E-3</v>
      </c>
      <c r="AB44" s="46">
        <f t="shared" si="33"/>
        <v>2.6710060750623649E-4</v>
      </c>
    </row>
    <row r="45" spans="2:28" s="5" customFormat="1" thickBot="1" x14ac:dyDescent="0.2">
      <c r="B45" s="47" t="s">
        <v>33</v>
      </c>
      <c r="C45" s="152">
        <v>0.54583333333333328</v>
      </c>
      <c r="D45" s="93">
        <f>10/60+24+D44</f>
        <v>433.01666666666665</v>
      </c>
      <c r="E45" s="44">
        <v>19</v>
      </c>
      <c r="F45" s="41">
        <f>4*0.805</f>
        <v>3.22</v>
      </c>
      <c r="G45" s="42">
        <f>4*0.735</f>
        <v>2.94</v>
      </c>
      <c r="H45" s="42">
        <f>4*0.831</f>
        <v>3.3239999999999998</v>
      </c>
      <c r="I45" s="42">
        <f t="shared" si="21"/>
        <v>4.0559120000000002</v>
      </c>
      <c r="J45" s="42">
        <f t="shared" si="21"/>
        <v>3.7032240000000001</v>
      </c>
      <c r="K45" s="42">
        <f t="shared" si="21"/>
        <v>4.1869104000000004</v>
      </c>
      <c r="L45" s="43">
        <f t="shared" si="18"/>
        <v>3.9820154666666667</v>
      </c>
      <c r="M45" s="42">
        <f t="shared" si="22"/>
        <v>0.14443413333333341</v>
      </c>
      <c r="N45" s="42">
        <f t="shared" si="19"/>
        <v>1.4001755698010494</v>
      </c>
      <c r="O45" s="42">
        <f t="shared" si="19"/>
        <v>1.3092037915953227</v>
      </c>
      <c r="P45" s="42">
        <f t="shared" si="19"/>
        <v>1.4319630872379343</v>
      </c>
      <c r="Q45" s="43">
        <f t="shared" si="20"/>
        <v>1.3804474828781022</v>
      </c>
      <c r="R45" s="42">
        <f t="shared" si="23"/>
        <v>3.6784775958255016E-2</v>
      </c>
      <c r="S45" s="42">
        <f t="shared" si="24"/>
        <v>3.0957234423263115E-4</v>
      </c>
      <c r="T45" s="42">
        <f t="shared" si="25"/>
        <v>0</v>
      </c>
      <c r="U45" s="42">
        <f t="shared" si="26"/>
        <v>1.5214695636036769E-3</v>
      </c>
      <c r="V45" s="43">
        <f t="shared" si="27"/>
        <v>6.1034730261210271E-4</v>
      </c>
      <c r="W45" s="42">
        <f t="shared" si="28"/>
        <v>4.6424368239615296E-4</v>
      </c>
      <c r="X45" s="42">
        <f t="shared" si="29"/>
        <v>9.3666417766829612E-3</v>
      </c>
      <c r="Y45" s="42">
        <f t="shared" si="30"/>
        <v>8.5521511874061817E-3</v>
      </c>
      <c r="Z45" s="42">
        <f t="shared" si="31"/>
        <v>9.6691668527000511E-3</v>
      </c>
      <c r="AA45" s="43">
        <f t="shared" si="32"/>
        <v>9.1959866055963974E-3</v>
      </c>
      <c r="AB45" s="46">
        <f t="shared" si="33"/>
        <v>3.3355328894191932E-4</v>
      </c>
    </row>
    <row r="46" spans="2:28" ht="15" thickBot="1" x14ac:dyDescent="0.2">
      <c r="B46" s="171" t="s">
        <v>74</v>
      </c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  <c r="O46" s="172"/>
      <c r="P46" s="172"/>
      <c r="Q46" s="172"/>
      <c r="R46" s="172"/>
      <c r="S46" s="172"/>
      <c r="T46" s="172"/>
      <c r="U46" s="172"/>
      <c r="V46" s="172"/>
      <c r="W46" s="172"/>
      <c r="X46" s="172"/>
      <c r="Y46" s="172"/>
      <c r="Z46" s="172"/>
      <c r="AA46" s="172"/>
      <c r="AB46" s="173"/>
    </row>
    <row r="47" spans="2:28" ht="60" x14ac:dyDescent="0.15">
      <c r="B47" s="23" t="s">
        <v>0</v>
      </c>
      <c r="C47" s="24" t="s">
        <v>1</v>
      </c>
      <c r="D47" s="25" t="s">
        <v>2</v>
      </c>
      <c r="E47" s="26" t="s">
        <v>3</v>
      </c>
      <c r="F47" s="174" t="s">
        <v>61</v>
      </c>
      <c r="G47" s="175"/>
      <c r="H47" s="176"/>
      <c r="I47" s="177" t="s">
        <v>13</v>
      </c>
      <c r="J47" s="175"/>
      <c r="K47" s="176"/>
      <c r="L47" s="27" t="s">
        <v>4</v>
      </c>
      <c r="M47" s="28" t="s">
        <v>70</v>
      </c>
      <c r="N47" s="177" t="s">
        <v>63</v>
      </c>
      <c r="O47" s="175"/>
      <c r="P47" s="176"/>
      <c r="Q47" s="28" t="s">
        <v>5</v>
      </c>
      <c r="R47" s="28" t="s">
        <v>62</v>
      </c>
      <c r="S47" s="178" t="s">
        <v>6</v>
      </c>
      <c r="T47" s="179"/>
      <c r="U47" s="179"/>
      <c r="V47" s="27" t="s">
        <v>64</v>
      </c>
      <c r="W47" s="27" t="s">
        <v>62</v>
      </c>
      <c r="X47" s="177" t="s">
        <v>65</v>
      </c>
      <c r="Y47" s="175"/>
      <c r="Z47" s="176"/>
      <c r="AA47" s="27" t="s">
        <v>66</v>
      </c>
      <c r="AB47" s="29" t="s">
        <v>62</v>
      </c>
    </row>
    <row r="48" spans="2:28" x14ac:dyDescent="0.15">
      <c r="B48" s="30"/>
      <c r="C48" s="31"/>
      <c r="D48" s="32"/>
      <c r="E48" s="33"/>
      <c r="F48" s="168" t="s">
        <v>16</v>
      </c>
      <c r="G48" s="169"/>
      <c r="H48" s="170"/>
      <c r="I48" s="180" t="s">
        <v>7</v>
      </c>
      <c r="J48" s="169"/>
      <c r="K48" s="170"/>
      <c r="L48" s="36" t="s">
        <v>7</v>
      </c>
      <c r="M48" s="36"/>
      <c r="N48" s="180" t="s">
        <v>7</v>
      </c>
      <c r="O48" s="169"/>
      <c r="P48" s="170"/>
      <c r="Q48" s="35"/>
      <c r="R48" s="35"/>
      <c r="S48" s="181" t="s">
        <v>67</v>
      </c>
      <c r="T48" s="182"/>
      <c r="U48" s="182"/>
      <c r="V48" s="36" t="s">
        <v>67</v>
      </c>
      <c r="W48" s="32"/>
      <c r="X48" s="183" t="s">
        <v>68</v>
      </c>
      <c r="Y48" s="184"/>
      <c r="Z48" s="185"/>
      <c r="AA48" s="38" t="s">
        <v>68</v>
      </c>
      <c r="AB48" s="39"/>
    </row>
    <row r="49" spans="1:28" s="5" customFormat="1" ht="13" x14ac:dyDescent="0.15">
      <c r="B49" s="167" t="s">
        <v>8</v>
      </c>
      <c r="C49" s="152">
        <v>0.4465277777777778</v>
      </c>
      <c r="D49" s="93">
        <v>0</v>
      </c>
      <c r="E49" s="186">
        <v>1</v>
      </c>
      <c r="F49" s="41">
        <v>0.1</v>
      </c>
      <c r="G49" s="42">
        <v>0.104</v>
      </c>
      <c r="H49" s="42">
        <v>0.10299999999999999</v>
      </c>
      <c r="I49" s="42">
        <f>1.2596*F49</f>
        <v>0.12596000000000002</v>
      </c>
      <c r="J49" s="42">
        <f>1.2596*G49</f>
        <v>0.13099839999999999</v>
      </c>
      <c r="K49" s="42">
        <f t="shared" ref="J49:K64" si="34">1.2596*H49</f>
        <v>0.12973879999999999</v>
      </c>
      <c r="L49" s="43">
        <f t="shared" ref="L49:L67" si="35">AVERAGE(I49:K49)</f>
        <v>0.12889906666666667</v>
      </c>
      <c r="M49" s="150">
        <f t="shared" ref="M49:M67" si="36">STDEV(I49:K49)/SQRT(3)</f>
        <v>1.5138507955248042E-3</v>
      </c>
      <c r="N49" s="42">
        <f t="shared" ref="N49:P67" si="37">LN(I49)</f>
        <v>-2.0717908827493132</v>
      </c>
      <c r="O49" s="42">
        <f t="shared" si="37"/>
        <v>-2.0325701695960321</v>
      </c>
      <c r="P49" s="42">
        <f t="shared" si="37"/>
        <v>-2.0422320805077687</v>
      </c>
      <c r="Q49" s="43">
        <f t="shared" ref="Q49:Q67" si="38">AVERAGE(N49:P49)</f>
        <v>-2.0488643776177047</v>
      </c>
      <c r="R49" s="42">
        <f>STDEV(N49:P49)/SQRT(3)</f>
        <v>1.1797691988673583E-2</v>
      </c>
      <c r="S49" s="42"/>
      <c r="V49" s="151"/>
      <c r="AA49" s="151"/>
      <c r="AB49" s="44"/>
    </row>
    <row r="50" spans="1:28" s="5" customFormat="1" ht="13" x14ac:dyDescent="0.15">
      <c r="B50" s="167"/>
      <c r="C50" s="152">
        <v>0.66527777777777775</v>
      </c>
      <c r="D50" s="93">
        <f>5+15/60+D49</f>
        <v>5.25</v>
      </c>
      <c r="E50" s="186"/>
      <c r="F50" s="147">
        <v>0.129</v>
      </c>
      <c r="G50" s="148">
        <v>0.123</v>
      </c>
      <c r="H50" s="148">
        <v>0.13400000000000001</v>
      </c>
      <c r="I50" s="42">
        <f t="shared" ref="I50:K67" si="39">1.2596*F50</f>
        <v>0.16248840000000001</v>
      </c>
      <c r="J50" s="42">
        <f t="shared" si="34"/>
        <v>0.15493080000000001</v>
      </c>
      <c r="K50" s="42">
        <f t="shared" si="34"/>
        <v>0.16878640000000003</v>
      </c>
      <c r="L50" s="43">
        <f t="shared" si="35"/>
        <v>0.16206853333333335</v>
      </c>
      <c r="M50" s="150">
        <f t="shared" si="36"/>
        <v>4.0052727270159559E-3</v>
      </c>
      <c r="N50" s="42">
        <f t="shared" si="37"/>
        <v>-1.8171486643757324</v>
      </c>
      <c r="O50" s="42">
        <f t="shared" si="37"/>
        <v>-1.8647767133649871</v>
      </c>
      <c r="P50" s="42">
        <f t="shared" si="37"/>
        <v>-1.779121268786493</v>
      </c>
      <c r="Q50" s="43">
        <f t="shared" si="38"/>
        <v>-1.8203488821757372</v>
      </c>
      <c r="R50" s="42">
        <f t="shared" ref="R50:R67" si="40">STDEV(N50:P50)/SQRT(3)</f>
        <v>2.4778316071116625E-2</v>
      </c>
      <c r="S50" s="42">
        <f>(N50-N49)/(D50-D49)</f>
        <v>4.8503279690205868E-2</v>
      </c>
      <c r="T50" s="42">
        <f>(O50-O49)/(D50-D49)</f>
        <v>3.1960658329722863E-2</v>
      </c>
      <c r="U50" s="42">
        <f>(P50-P49)/(D50-D49)</f>
        <v>5.0116345089766798E-2</v>
      </c>
      <c r="V50" s="43">
        <f>AVERAGE(S50:U50)</f>
        <v>4.3526761036565186E-2</v>
      </c>
      <c r="W50" s="42">
        <f>STDEV(S50:U50)/SQRT(3)</f>
        <v>5.8017682323217397E-3</v>
      </c>
      <c r="X50" s="42">
        <f>I50/D50</f>
        <v>3.095017142857143E-2</v>
      </c>
      <c r="Y50" s="42">
        <f>J50/D50</f>
        <v>2.9510628571428572E-2</v>
      </c>
      <c r="Z50" s="42">
        <f>K50/D50</f>
        <v>3.214979047619048E-2</v>
      </c>
      <c r="AA50" s="43">
        <f>AVERAGE(X50:Z50)</f>
        <v>3.0870196825396826E-2</v>
      </c>
      <c r="AB50" s="46">
        <f>STDEV(X50:Z50)/SQRT(3)</f>
        <v>7.6290909086018199E-4</v>
      </c>
    </row>
    <row r="51" spans="1:28" s="5" customFormat="1" ht="13" x14ac:dyDescent="0.15">
      <c r="B51" s="167"/>
      <c r="C51" s="152">
        <v>0.8666666666666667</v>
      </c>
      <c r="D51" s="93">
        <f>4+50/60+D50</f>
        <v>10.083333333333332</v>
      </c>
      <c r="E51" s="186"/>
      <c r="F51" s="147">
        <v>0.14199999999999999</v>
      </c>
      <c r="G51" s="148">
        <v>0.14199999999999999</v>
      </c>
      <c r="H51" s="148">
        <v>0.16500000000000001</v>
      </c>
      <c r="I51" s="42">
        <f t="shared" si="39"/>
        <v>0.1788632</v>
      </c>
      <c r="J51" s="42">
        <f t="shared" si="34"/>
        <v>0.1788632</v>
      </c>
      <c r="K51" s="42">
        <f t="shared" si="34"/>
        <v>0.20783400000000002</v>
      </c>
      <c r="L51" s="43">
        <f t="shared" si="35"/>
        <v>0.18852013333333337</v>
      </c>
      <c r="M51" s="150">
        <f t="shared" si="36"/>
        <v>9.6569333333333413E-3</v>
      </c>
      <c r="N51" s="42">
        <f t="shared" si="37"/>
        <v>-1.7211340111361437</v>
      </c>
      <c r="O51" s="42">
        <f t="shared" si="37"/>
        <v>-1.7211340111361437</v>
      </c>
      <c r="P51" s="42">
        <f t="shared" si="37"/>
        <v>-1.5710155948368238</v>
      </c>
      <c r="Q51" s="43">
        <f t="shared" si="38"/>
        <v>-1.6710945390363705</v>
      </c>
      <c r="R51" s="42">
        <f t="shared" si="40"/>
        <v>5.0039472099773295E-2</v>
      </c>
      <c r="S51" s="42">
        <f t="shared" ref="S51:S67" si="41">(N51-N50)/(D51-D50)</f>
        <v>1.9865100670259733E-2</v>
      </c>
      <c r="T51" s="42">
        <f t="shared" ref="T51:T67" si="42">(O51-O50)/(D51-D50)</f>
        <v>2.9719179771484836E-2</v>
      </c>
      <c r="U51" s="42">
        <f t="shared" ref="U51:U67" si="43">(P51-P50)/(D51-D50)</f>
        <v>4.3056346334414318E-2</v>
      </c>
      <c r="V51" s="43">
        <f t="shared" ref="V51:V67" si="44">AVERAGE(S51:U51)</f>
        <v>3.0880208925386298E-2</v>
      </c>
      <c r="W51" s="42">
        <f t="shared" ref="W51:W67" si="45">STDEV(S51:U51)/SQRT(3)</f>
        <v>6.7198576469532654E-3</v>
      </c>
      <c r="X51" s="42">
        <f t="shared" ref="X51:X67" si="46">I51/D51</f>
        <v>1.7738499173553721E-2</v>
      </c>
      <c r="Y51" s="42">
        <f t="shared" ref="Y51:Y67" si="47">J51/D51</f>
        <v>1.7738499173553721E-2</v>
      </c>
      <c r="Z51" s="42">
        <f t="shared" ref="Z51:Z67" si="48">K51/D51</f>
        <v>2.0611636363636367E-2</v>
      </c>
      <c r="AA51" s="43">
        <f t="shared" ref="AA51:AA67" si="49">AVERAGE(X51:Z51)</f>
        <v>1.8696211570247936E-2</v>
      </c>
      <c r="AB51" s="46">
        <f t="shared" ref="AB51:AB67" si="50">STDEV(X51:Z51)/SQRT(3)</f>
        <v>9.5771239669421523E-4</v>
      </c>
    </row>
    <row r="52" spans="1:28" s="5" customFormat="1" ht="13" x14ac:dyDescent="0.15">
      <c r="B52" s="47" t="s">
        <v>9</v>
      </c>
      <c r="C52" s="152">
        <v>0.49374999999999997</v>
      </c>
      <c r="D52" s="93">
        <f>1+8/60+24+D49</f>
        <v>25.133333333333333</v>
      </c>
      <c r="E52" s="44">
        <v>2</v>
      </c>
      <c r="F52" s="147">
        <v>0.245</v>
      </c>
      <c r="G52" s="148">
        <v>0.22700000000000001</v>
      </c>
      <c r="H52" s="148">
        <v>0.22</v>
      </c>
      <c r="I52" s="42">
        <f t="shared" si="39"/>
        <v>0.30860199999999999</v>
      </c>
      <c r="J52" s="42">
        <f t="shared" si="34"/>
        <v>0.28592919999999999</v>
      </c>
      <c r="K52" s="42">
        <f t="shared" si="34"/>
        <v>0.27711200000000002</v>
      </c>
      <c r="L52" s="43">
        <f t="shared" si="35"/>
        <v>0.29054773333333334</v>
      </c>
      <c r="M52" s="150">
        <f t="shared" si="36"/>
        <v>9.3791108784954096E-3</v>
      </c>
      <c r="N52" s="42">
        <f t="shared" si="37"/>
        <v>-1.1757028581926776</v>
      </c>
      <c r="O52" s="42">
        <f t="shared" si="37"/>
        <v>-1.2520110512560019</v>
      </c>
      <c r="P52" s="42">
        <f t="shared" si="37"/>
        <v>-1.2833335223850428</v>
      </c>
      <c r="Q52" s="43">
        <f t="shared" si="38"/>
        <v>-1.2370158106112408</v>
      </c>
      <c r="R52" s="42">
        <f t="shared" si="40"/>
        <v>3.1962128110823829E-2</v>
      </c>
      <c r="S52" s="42">
        <f t="shared" si="41"/>
        <v>3.624127262082831E-2</v>
      </c>
      <c r="T52" s="42">
        <f t="shared" si="42"/>
        <v>3.1170960789378196E-2</v>
      </c>
      <c r="U52" s="42">
        <f t="shared" si="43"/>
        <v>1.9115087870550232E-2</v>
      </c>
      <c r="V52" s="43">
        <f t="shared" si="44"/>
        <v>2.8842440426918914E-2</v>
      </c>
      <c r="W52" s="42">
        <f t="shared" si="45"/>
        <v>5.0791421957503526E-3</v>
      </c>
      <c r="X52" s="42">
        <f t="shared" si="46"/>
        <v>1.2278594164456234E-2</v>
      </c>
      <c r="Y52" s="42">
        <f t="shared" si="47"/>
        <v>1.1376493368700264E-2</v>
      </c>
      <c r="Z52" s="42">
        <f t="shared" si="48"/>
        <v>1.1025676392572946E-2</v>
      </c>
      <c r="AA52" s="43">
        <f t="shared" si="49"/>
        <v>1.1560254641909814E-2</v>
      </c>
      <c r="AB52" s="46">
        <f t="shared" si="50"/>
        <v>3.7317417288443283E-4</v>
      </c>
    </row>
    <row r="53" spans="1:28" s="5" customFormat="1" ht="13" x14ac:dyDescent="0.15">
      <c r="B53" s="47" t="s">
        <v>10</v>
      </c>
      <c r="C53" s="152">
        <v>0.50138888888888888</v>
      </c>
      <c r="D53" s="93">
        <f>11/60+24+D52</f>
        <v>49.316666666666663</v>
      </c>
      <c r="E53" s="44">
        <v>3</v>
      </c>
      <c r="F53" s="41">
        <v>0.35499999999999998</v>
      </c>
      <c r="G53" s="42">
        <v>0.36599999999999999</v>
      </c>
      <c r="H53" s="42">
        <v>0.32900000000000001</v>
      </c>
      <c r="I53" s="42">
        <f t="shared" si="39"/>
        <v>0.447158</v>
      </c>
      <c r="J53" s="42">
        <f t="shared" si="34"/>
        <v>0.46101360000000002</v>
      </c>
      <c r="K53" s="42">
        <f t="shared" si="34"/>
        <v>0.41440840000000001</v>
      </c>
      <c r="L53" s="43">
        <f t="shared" si="35"/>
        <v>0.44085999999999997</v>
      </c>
      <c r="M53" s="150">
        <f t="shared" si="36"/>
        <v>1.3817377582353805E-2</v>
      </c>
      <c r="N53" s="42">
        <f t="shared" si="37"/>
        <v>-0.80484327926198873</v>
      </c>
      <c r="O53" s="42">
        <f t="shared" si="37"/>
        <v>-0.77432773533603827</v>
      </c>
      <c r="P53" s="42">
        <f t="shared" si="37"/>
        <v>-0.88090331797203258</v>
      </c>
      <c r="Q53" s="43">
        <f t="shared" si="38"/>
        <v>-0.82002477752335323</v>
      </c>
      <c r="R53" s="42">
        <f t="shared" si="40"/>
        <v>3.1688310781975912E-2</v>
      </c>
      <c r="S53" s="42">
        <f t="shared" si="41"/>
        <v>1.5335337516086379E-2</v>
      </c>
      <c r="T53" s="42">
        <f t="shared" si="42"/>
        <v>1.9752583704478167E-2</v>
      </c>
      <c r="U53" s="42">
        <f t="shared" si="43"/>
        <v>1.6640807901296083E-2</v>
      </c>
      <c r="V53" s="43">
        <f t="shared" si="44"/>
        <v>1.7242909707286879E-2</v>
      </c>
      <c r="W53" s="42">
        <f t="shared" si="45"/>
        <v>1.310204934453446E-3</v>
      </c>
      <c r="X53" s="42">
        <f t="shared" si="46"/>
        <v>9.0670767151064553E-3</v>
      </c>
      <c r="Y53" s="42">
        <f t="shared" si="47"/>
        <v>9.34802838796891E-3</v>
      </c>
      <c r="Z53" s="42">
        <f t="shared" si="48"/>
        <v>8.4030091247042932E-3</v>
      </c>
      <c r="AA53" s="43">
        <f t="shared" si="49"/>
        <v>8.9393714092598862E-3</v>
      </c>
      <c r="AB53" s="46">
        <f t="shared" si="50"/>
        <v>2.8017663228835013E-4</v>
      </c>
    </row>
    <row r="54" spans="1:28" s="5" customFormat="1" ht="13" x14ac:dyDescent="0.15">
      <c r="B54" s="47" t="s">
        <v>27</v>
      </c>
      <c r="C54" s="152">
        <v>0.47013888888888888</v>
      </c>
      <c r="D54" s="93">
        <f>11+15/60+12+24+D53</f>
        <v>96.566666666666663</v>
      </c>
      <c r="E54" s="44">
        <v>5</v>
      </c>
      <c r="F54" s="147">
        <v>0.68400000000000005</v>
      </c>
      <c r="G54" s="148">
        <v>0.65400000000000003</v>
      </c>
      <c r="H54" s="148">
        <v>0.71199999999999997</v>
      </c>
      <c r="I54" s="42">
        <f t="shared" si="39"/>
        <v>0.86156640000000007</v>
      </c>
      <c r="J54" s="42">
        <f t="shared" si="34"/>
        <v>0.82377840000000002</v>
      </c>
      <c r="K54" s="42">
        <f t="shared" si="34"/>
        <v>0.89683519999999994</v>
      </c>
      <c r="L54" s="43">
        <f t="shared" si="35"/>
        <v>0.86072666666666675</v>
      </c>
      <c r="M54" s="150">
        <f t="shared" si="36"/>
        <v>2.109386064406206E-2</v>
      </c>
      <c r="N54" s="42">
        <f t="shared" si="37"/>
        <v>-0.14900315111485399</v>
      </c>
      <c r="O54" s="42">
        <f t="shared" si="37"/>
        <v>-0.19385371728020578</v>
      </c>
      <c r="P54" s="42">
        <f t="shared" si="37"/>
        <v>-0.10888315732542882</v>
      </c>
      <c r="Q54" s="43">
        <f t="shared" si="38"/>
        <v>-0.15058000857349621</v>
      </c>
      <c r="R54" s="42">
        <f t="shared" si="40"/>
        <v>2.4541555739471352E-2</v>
      </c>
      <c r="S54" s="42">
        <f t="shared" si="41"/>
        <v>1.3880214352320312E-2</v>
      </c>
      <c r="T54" s="42">
        <f t="shared" si="42"/>
        <v>1.2285164403298044E-2</v>
      </c>
      <c r="U54" s="42">
        <f t="shared" si="43"/>
        <v>1.6339051018975741E-2</v>
      </c>
      <c r="V54" s="43">
        <f t="shared" si="44"/>
        <v>1.4168143258198032E-2</v>
      </c>
      <c r="W54" s="42">
        <f t="shared" si="45"/>
        <v>1.1790782366355298E-3</v>
      </c>
      <c r="X54" s="42">
        <f t="shared" si="46"/>
        <v>8.9219855022437018E-3</v>
      </c>
      <c r="Y54" s="42">
        <f t="shared" si="47"/>
        <v>8.5306703486365213E-3</v>
      </c>
      <c r="Z54" s="42">
        <f t="shared" si="48"/>
        <v>9.2872129789437347E-3</v>
      </c>
      <c r="AA54" s="43">
        <f t="shared" si="49"/>
        <v>8.9132896099413193E-3</v>
      </c>
      <c r="AB54" s="46">
        <f t="shared" si="50"/>
        <v>2.1843832216840236E-4</v>
      </c>
    </row>
    <row r="55" spans="1:28" s="5" customFormat="1" ht="13" x14ac:dyDescent="0.15">
      <c r="B55" s="47" t="s">
        <v>28</v>
      </c>
      <c r="C55" s="152">
        <v>0.47222222222222227</v>
      </c>
      <c r="D55" s="93">
        <f>3/60+24+D54</f>
        <v>120.61666666666666</v>
      </c>
      <c r="E55" s="44">
        <v>6</v>
      </c>
      <c r="F55" s="147">
        <v>0.84</v>
      </c>
      <c r="G55" s="148">
        <v>0.94</v>
      </c>
      <c r="H55" s="148">
        <v>0.83499999999999996</v>
      </c>
      <c r="I55" s="42">
        <f t="shared" si="39"/>
        <v>1.0580640000000001</v>
      </c>
      <c r="J55" s="42">
        <f t="shared" si="34"/>
        <v>1.184024</v>
      </c>
      <c r="K55" s="42">
        <f t="shared" si="34"/>
        <v>1.051766</v>
      </c>
      <c r="L55" s="43">
        <f t="shared" si="35"/>
        <v>1.0979513333333333</v>
      </c>
      <c r="M55" s="150">
        <f t="shared" si="36"/>
        <v>4.3074718653882224E-2</v>
      </c>
      <c r="N55" s="42">
        <f t="shared" si="37"/>
        <v>5.6440823099954886E-2</v>
      </c>
      <c r="O55" s="42">
        <f t="shared" si="37"/>
        <v>0.16891880652664504</v>
      </c>
      <c r="P55" s="42">
        <f t="shared" si="37"/>
        <v>5.0470656113450939E-2</v>
      </c>
      <c r="Q55" s="43">
        <f t="shared" si="38"/>
        <v>9.1943428580016959E-2</v>
      </c>
      <c r="R55" s="42">
        <f t="shared" si="40"/>
        <v>3.8526256548754571E-2</v>
      </c>
      <c r="S55" s="42">
        <f t="shared" si="41"/>
        <v>8.5423689902207438E-3</v>
      </c>
      <c r="T55" s="42">
        <f t="shared" si="42"/>
        <v>1.5084096623985483E-2</v>
      </c>
      <c r="U55" s="42">
        <f t="shared" si="43"/>
        <v>6.6259381887268098E-3</v>
      </c>
      <c r="V55" s="43">
        <f t="shared" si="44"/>
        <v>1.0084134600977679E-2</v>
      </c>
      <c r="W55" s="42">
        <f t="shared" si="45"/>
        <v>2.5604616724247795E-3</v>
      </c>
      <c r="X55" s="42">
        <f t="shared" si="46"/>
        <v>8.7721210446317557E-3</v>
      </c>
      <c r="Y55" s="42">
        <f t="shared" si="47"/>
        <v>9.8164211689926763E-3</v>
      </c>
      <c r="Z55" s="42">
        <f t="shared" si="48"/>
        <v>8.7199060384137075E-3</v>
      </c>
      <c r="AA55" s="43">
        <f t="shared" si="49"/>
        <v>9.1028160840127131E-3</v>
      </c>
      <c r="AB55" s="46">
        <f t="shared" si="50"/>
        <v>3.5712078474961056E-4</v>
      </c>
    </row>
    <row r="56" spans="1:28" s="5" customFormat="1" ht="13" x14ac:dyDescent="0.15">
      <c r="B56" s="47" t="s">
        <v>29</v>
      </c>
      <c r="C56" s="152">
        <v>0.50486111111111109</v>
      </c>
      <c r="D56" s="93">
        <f>47/60+24+D55</f>
        <v>145.4</v>
      </c>
      <c r="E56" s="44">
        <v>7</v>
      </c>
      <c r="F56" s="41">
        <v>1.042</v>
      </c>
      <c r="G56" s="42">
        <v>1.169</v>
      </c>
      <c r="H56" s="42">
        <v>1.0429999999999999</v>
      </c>
      <c r="I56" s="42">
        <f t="shared" si="39"/>
        <v>1.3125032000000001</v>
      </c>
      <c r="J56" s="42">
        <f t="shared" si="34"/>
        <v>1.4724724</v>
      </c>
      <c r="K56" s="42">
        <f t="shared" si="34"/>
        <v>1.3137627999999999</v>
      </c>
      <c r="L56" s="43">
        <f t="shared" si="35"/>
        <v>1.3662461333333333</v>
      </c>
      <c r="M56" s="150">
        <f t="shared" si="36"/>
        <v>5.3114377982781451E-2</v>
      </c>
      <c r="N56" s="42">
        <f t="shared" si="37"/>
        <v>0.27193615357590778</v>
      </c>
      <c r="O56" s="42">
        <f t="shared" si="37"/>
        <v>0.38694289273466392</v>
      </c>
      <c r="P56" s="42">
        <f t="shared" si="37"/>
        <v>0.27289538626336785</v>
      </c>
      <c r="Q56" s="43">
        <f t="shared" si="38"/>
        <v>0.3105914775246465</v>
      </c>
      <c r="R56" s="42">
        <f t="shared" si="40"/>
        <v>3.8176711859747317E-2</v>
      </c>
      <c r="S56" s="42">
        <f t="shared" si="41"/>
        <v>8.695171370919413E-3</v>
      </c>
      <c r="T56" s="42">
        <f t="shared" si="42"/>
        <v>8.7972058994493126E-3</v>
      </c>
      <c r="U56" s="42">
        <f t="shared" si="43"/>
        <v>8.9747705507700112E-3</v>
      </c>
      <c r="V56" s="43">
        <f t="shared" si="44"/>
        <v>8.822382607046245E-3</v>
      </c>
      <c r="W56" s="42">
        <f t="shared" si="45"/>
        <v>8.1689096166191557E-5</v>
      </c>
      <c r="X56" s="42">
        <f t="shared" si="46"/>
        <v>9.0268445667125181E-3</v>
      </c>
      <c r="Y56" s="42">
        <f t="shared" si="47"/>
        <v>1.0127045392022008E-2</v>
      </c>
      <c r="Z56" s="42">
        <f t="shared" si="48"/>
        <v>9.0355075653370011E-3</v>
      </c>
      <c r="AA56" s="43">
        <f t="shared" si="49"/>
        <v>9.3964658413571763E-3</v>
      </c>
      <c r="AB56" s="46">
        <f t="shared" si="50"/>
        <v>3.6529833550743754E-4</v>
      </c>
    </row>
    <row r="57" spans="1:28" s="5" customFormat="1" ht="13" x14ac:dyDescent="0.15">
      <c r="B57" s="47" t="s">
        <v>30</v>
      </c>
      <c r="C57" s="152">
        <v>0.48888888888888887</v>
      </c>
      <c r="D57" s="93">
        <f>11+37/60+12+24+D56</f>
        <v>193.01666666666668</v>
      </c>
      <c r="E57" s="44">
        <v>9</v>
      </c>
      <c r="F57" s="41">
        <f>2*0.805</f>
        <v>1.61</v>
      </c>
      <c r="G57" s="42">
        <f>2*0.886</f>
        <v>1.772</v>
      </c>
      <c r="H57" s="42">
        <f>2*0.824</f>
        <v>1.6479999999999999</v>
      </c>
      <c r="I57" s="42">
        <f t="shared" si="39"/>
        <v>2.0279560000000001</v>
      </c>
      <c r="J57" s="42">
        <f t="shared" si="34"/>
        <v>2.2320112000000001</v>
      </c>
      <c r="K57" s="42">
        <f t="shared" si="34"/>
        <v>2.0758207999999998</v>
      </c>
      <c r="L57" s="43">
        <f t="shared" si="35"/>
        <v>2.1119293333333333</v>
      </c>
      <c r="M57" s="150">
        <f t="shared" si="36"/>
        <v>6.1610336785243393E-2</v>
      </c>
      <c r="N57" s="42">
        <f t="shared" si="37"/>
        <v>0.70702838924110423</v>
      </c>
      <c r="O57" s="42">
        <f t="shared" si="37"/>
        <v>0.80290306242762177</v>
      </c>
      <c r="P57" s="42">
        <f t="shared" si="37"/>
        <v>0.73035664173201242</v>
      </c>
      <c r="Q57" s="43">
        <f t="shared" si="38"/>
        <v>0.74676269780024607</v>
      </c>
      <c r="R57" s="42">
        <f t="shared" si="40"/>
        <v>2.8866689259657682E-2</v>
      </c>
      <c r="S57" s="42">
        <f t="shared" si="41"/>
        <v>9.137393818660057E-3</v>
      </c>
      <c r="T57" s="42">
        <f t="shared" si="42"/>
        <v>8.7356003435692924E-3</v>
      </c>
      <c r="U57" s="42">
        <f t="shared" si="43"/>
        <v>9.6071667231776934E-3</v>
      </c>
      <c r="V57" s="43">
        <f t="shared" si="44"/>
        <v>9.1600536284690143E-3</v>
      </c>
      <c r="W57" s="42">
        <f t="shared" si="45"/>
        <v>2.5185451405613618E-4</v>
      </c>
      <c r="X57" s="42">
        <f t="shared" si="46"/>
        <v>1.0506636732579224E-2</v>
      </c>
      <c r="Y57" s="42">
        <f t="shared" si="47"/>
        <v>1.156382626716173E-2</v>
      </c>
      <c r="Z57" s="42">
        <f t="shared" si="48"/>
        <v>1.0754619462913392E-2</v>
      </c>
      <c r="AA57" s="43">
        <f t="shared" si="49"/>
        <v>1.0941694154218118E-2</v>
      </c>
      <c r="AB57" s="46">
        <f t="shared" si="50"/>
        <v>3.1919697842281325E-4</v>
      </c>
    </row>
    <row r="58" spans="1:28" s="5" customFormat="1" ht="13" x14ac:dyDescent="0.15">
      <c r="B58" s="47" t="s">
        <v>31</v>
      </c>
      <c r="C58" s="152">
        <v>0.52847222222222223</v>
      </c>
      <c r="D58" s="93">
        <f>57/60+24+D57</f>
        <v>217.96666666666667</v>
      </c>
      <c r="E58" s="44">
        <v>10</v>
      </c>
      <c r="F58" s="41">
        <f>2*0.859</f>
        <v>1.718</v>
      </c>
      <c r="G58" s="42">
        <f>2*0.948</f>
        <v>1.8959999999999999</v>
      </c>
      <c r="H58" s="42">
        <f>2*0.851</f>
        <v>1.702</v>
      </c>
      <c r="I58" s="42">
        <f t="shared" si="39"/>
        <v>2.1639927999999999</v>
      </c>
      <c r="J58" s="42">
        <f t="shared" si="34"/>
        <v>2.3882015999999999</v>
      </c>
      <c r="K58" s="42">
        <f t="shared" si="34"/>
        <v>2.1438391999999999</v>
      </c>
      <c r="L58" s="43">
        <f t="shared" si="35"/>
        <v>2.2320112000000001</v>
      </c>
      <c r="M58" s="150">
        <f t="shared" si="36"/>
        <v>7.8311605541281901E-2</v>
      </c>
      <c r="N58" s="42">
        <f t="shared" si="37"/>
        <v>0.77195503380679609</v>
      </c>
      <c r="O58" s="42">
        <f t="shared" si="37"/>
        <v>0.87054061407756256</v>
      </c>
      <c r="P58" s="42">
        <f t="shared" si="37"/>
        <v>0.76259824039591495</v>
      </c>
      <c r="Q58" s="43">
        <f t="shared" si="38"/>
        <v>0.8016979627600912</v>
      </c>
      <c r="R58" s="42">
        <f t="shared" si="40"/>
        <v>3.4527140899335423E-2</v>
      </c>
      <c r="S58" s="42">
        <f t="shared" si="41"/>
        <v>2.6022703232742241E-3</v>
      </c>
      <c r="T58" s="42">
        <f t="shared" si="42"/>
        <v>2.7109239138252833E-3</v>
      </c>
      <c r="U58" s="42">
        <f t="shared" si="43"/>
        <v>1.2922484434429876E-3</v>
      </c>
      <c r="V58" s="43">
        <f t="shared" si="44"/>
        <v>2.2018142268474981E-3</v>
      </c>
      <c r="W58" s="42">
        <f t="shared" si="45"/>
        <v>4.5586322380004342E-4</v>
      </c>
      <c r="X58" s="42">
        <f t="shared" si="46"/>
        <v>9.9280905337207521E-3</v>
      </c>
      <c r="Y58" s="42">
        <f t="shared" si="47"/>
        <v>1.0956728551766324E-2</v>
      </c>
      <c r="Z58" s="42">
        <f t="shared" si="48"/>
        <v>9.8356286894020484E-3</v>
      </c>
      <c r="AA58" s="43">
        <f t="shared" si="49"/>
        <v>1.0240149258296374E-2</v>
      </c>
      <c r="AB58" s="46">
        <f t="shared" si="50"/>
        <v>3.5928248451421569E-4</v>
      </c>
    </row>
    <row r="59" spans="1:28" s="5" customFormat="1" ht="13" x14ac:dyDescent="0.15">
      <c r="B59" s="47" t="s">
        <v>38</v>
      </c>
      <c r="C59" s="152">
        <v>0.52847222222222223</v>
      </c>
      <c r="D59" s="93">
        <f>D58+24</f>
        <v>241.96666666666667</v>
      </c>
      <c r="E59" s="44">
        <v>11</v>
      </c>
      <c r="F59" s="41">
        <f>2*0.984</f>
        <v>1.968</v>
      </c>
      <c r="G59" s="42">
        <f>2*1.012</f>
        <v>2.024</v>
      </c>
      <c r="H59" s="42">
        <f>0.994*2</f>
        <v>1.988</v>
      </c>
      <c r="I59" s="42">
        <f t="shared" si="39"/>
        <v>2.4788928000000001</v>
      </c>
      <c r="J59" s="42">
        <f t="shared" si="34"/>
        <v>2.5494304000000003</v>
      </c>
      <c r="K59" s="42">
        <f t="shared" si="34"/>
        <v>2.5040848000000002</v>
      </c>
      <c r="L59" s="43">
        <f t="shared" si="35"/>
        <v>2.5108026666666672</v>
      </c>
      <c r="M59" s="150">
        <f t="shared" si="36"/>
        <v>2.0637631912385525E-2</v>
      </c>
      <c r="N59" s="42">
        <f t="shared" si="37"/>
        <v>0.9078120088747943</v>
      </c>
      <c r="O59" s="42">
        <f t="shared" si="37"/>
        <v>0.93586996166995173</v>
      </c>
      <c r="P59" s="42">
        <f t="shared" si="37"/>
        <v>0.9179233184791149</v>
      </c>
      <c r="Q59" s="43">
        <f t="shared" si="38"/>
        <v>0.92053509634128705</v>
      </c>
      <c r="R59" s="42">
        <f t="shared" si="40"/>
        <v>8.204230950447049E-3</v>
      </c>
      <c r="S59" s="42">
        <f t="shared" si="41"/>
        <v>5.6607072944999254E-3</v>
      </c>
      <c r="T59" s="42">
        <f t="shared" si="42"/>
        <v>2.7220561496828824E-3</v>
      </c>
      <c r="U59" s="42">
        <f t="shared" si="43"/>
        <v>6.4718782534666647E-3</v>
      </c>
      <c r="V59" s="43">
        <f t="shared" si="44"/>
        <v>4.9515472325498246E-3</v>
      </c>
      <c r="W59" s="42">
        <f t="shared" si="45"/>
        <v>1.1390745435959787E-3</v>
      </c>
      <c r="X59" s="42">
        <f t="shared" si="46"/>
        <v>1.0244769803003168E-2</v>
      </c>
      <c r="Y59" s="42">
        <f t="shared" si="47"/>
        <v>1.0536287642926023E-2</v>
      </c>
      <c r="Z59" s="42">
        <f t="shared" si="48"/>
        <v>1.0348883317261331E-2</v>
      </c>
      <c r="AA59" s="43">
        <f t="shared" si="49"/>
        <v>1.0376646921063508E-2</v>
      </c>
      <c r="AB59" s="46">
        <f t="shared" si="50"/>
        <v>8.5291218814101841E-5</v>
      </c>
    </row>
    <row r="60" spans="1:28" s="5" customFormat="1" ht="13" x14ac:dyDescent="0.15">
      <c r="A60" s="44"/>
      <c r="B60" s="47" t="s">
        <v>39</v>
      </c>
      <c r="C60" s="152">
        <v>0.52847222222222223</v>
      </c>
      <c r="D60" s="93">
        <f>D59+24</f>
        <v>265.9666666666667</v>
      </c>
      <c r="E60" s="44">
        <v>12</v>
      </c>
      <c r="F60" s="41">
        <f>4*0.539</f>
        <v>2.1560000000000001</v>
      </c>
      <c r="G60" s="42">
        <f>4*0.556</f>
        <v>2.2240000000000002</v>
      </c>
      <c r="H60" s="42">
        <f>0.549*4</f>
        <v>2.1960000000000002</v>
      </c>
      <c r="I60" s="42">
        <f t="shared" si="39"/>
        <v>2.7156976000000004</v>
      </c>
      <c r="J60" s="42">
        <f t="shared" si="34"/>
        <v>2.8013504000000005</v>
      </c>
      <c r="K60" s="42">
        <f t="shared" si="34"/>
        <v>2.7660816000000001</v>
      </c>
      <c r="L60" s="43">
        <f t="shared" si="35"/>
        <v>2.7610432</v>
      </c>
      <c r="M60" s="150">
        <f t="shared" si="36"/>
        <v>2.4853837013494195E-2</v>
      </c>
      <c r="N60" s="42">
        <f t="shared" si="37"/>
        <v>0.99904886329148335</v>
      </c>
      <c r="O60" s="42">
        <f t="shared" si="37"/>
        <v>1.0301015866330687</v>
      </c>
      <c r="P60" s="42">
        <f t="shared" si="37"/>
        <v>1.0174317338920167</v>
      </c>
      <c r="Q60" s="43">
        <f t="shared" si="38"/>
        <v>1.015527394605523</v>
      </c>
      <c r="R60" s="42">
        <f t="shared" si="40"/>
        <v>9.0145768586370346E-3</v>
      </c>
      <c r="S60" s="42">
        <f t="shared" si="41"/>
        <v>3.8015356006953728E-3</v>
      </c>
      <c r="T60" s="42">
        <f t="shared" si="42"/>
        <v>3.9263177067965366E-3</v>
      </c>
      <c r="U60" s="42">
        <f t="shared" si="43"/>
        <v>4.1461839755375695E-3</v>
      </c>
      <c r="V60" s="43">
        <f t="shared" si="44"/>
        <v>3.9580124276764926E-3</v>
      </c>
      <c r="W60" s="42">
        <f t="shared" si="45"/>
        <v>1.0074562367515125E-4</v>
      </c>
      <c r="X60" s="42">
        <f t="shared" si="46"/>
        <v>1.0210669006141121E-2</v>
      </c>
      <c r="Y60" s="42">
        <f t="shared" si="47"/>
        <v>1.0532712369971175E-2</v>
      </c>
      <c r="Z60" s="42">
        <f t="shared" si="48"/>
        <v>1.0400106278982328E-2</v>
      </c>
      <c r="AA60" s="43">
        <f t="shared" si="49"/>
        <v>1.0381162551698207E-2</v>
      </c>
      <c r="AB60" s="46">
        <f t="shared" si="50"/>
        <v>9.3447187668232247E-5</v>
      </c>
    </row>
    <row r="61" spans="1:28" s="5" customFormat="1" ht="13" x14ac:dyDescent="0.15">
      <c r="B61" s="47" t="s">
        <v>40</v>
      </c>
      <c r="C61" s="152">
        <v>0.52847222222222223</v>
      </c>
      <c r="D61" s="93">
        <f>D60+24</f>
        <v>289.9666666666667</v>
      </c>
      <c r="E61" s="44">
        <v>13</v>
      </c>
      <c r="F61" s="41">
        <f>0.558*4</f>
        <v>2.2320000000000002</v>
      </c>
      <c r="G61" s="42">
        <f>0.602*4</f>
        <v>2.4079999999999999</v>
      </c>
      <c r="H61" s="42">
        <f>0.578*4</f>
        <v>2.3119999999999998</v>
      </c>
      <c r="I61" s="42">
        <f t="shared" si="39"/>
        <v>2.8114272000000002</v>
      </c>
      <c r="J61" s="42">
        <f t="shared" si="34"/>
        <v>3.0331168000000002</v>
      </c>
      <c r="K61" s="42">
        <f t="shared" si="34"/>
        <v>2.9121951999999998</v>
      </c>
      <c r="L61" s="43">
        <f t="shared" si="35"/>
        <v>2.9189130666666667</v>
      </c>
      <c r="M61" s="150">
        <f t="shared" si="36"/>
        <v>6.4084363632255184E-2</v>
      </c>
      <c r="N61" s="42">
        <f t="shared" si="37"/>
        <v>1.0336922547637972</v>
      </c>
      <c r="O61" s="42">
        <f t="shared" si="37"/>
        <v>1.1095907376913072</v>
      </c>
      <c r="P61" s="42">
        <f t="shared" si="37"/>
        <v>1.0689071610548635</v>
      </c>
      <c r="Q61" s="43">
        <f t="shared" si="38"/>
        <v>1.0707300511699893</v>
      </c>
      <c r="R61" s="42">
        <f t="shared" si="40"/>
        <v>2.1928954405482943E-2</v>
      </c>
      <c r="S61" s="42">
        <f t="shared" si="41"/>
        <v>1.4434746446797448E-3</v>
      </c>
      <c r="T61" s="42">
        <f t="shared" si="42"/>
        <v>3.3120479607599376E-3</v>
      </c>
      <c r="U61" s="42">
        <f t="shared" si="43"/>
        <v>2.1448094651186169E-3</v>
      </c>
      <c r="V61" s="43">
        <f t="shared" si="44"/>
        <v>2.3001106901860999E-3</v>
      </c>
      <c r="W61" s="42">
        <f t="shared" si="45"/>
        <v>5.4497107332173388E-4</v>
      </c>
      <c r="X61" s="42">
        <f t="shared" si="46"/>
        <v>9.6956909989653981E-3</v>
      </c>
      <c r="Y61" s="42">
        <f t="shared" si="47"/>
        <v>1.0460225773077364E-2</v>
      </c>
      <c r="Z61" s="42">
        <f t="shared" si="48"/>
        <v>1.0043206805379927E-2</v>
      </c>
      <c r="AA61" s="43">
        <f t="shared" si="49"/>
        <v>1.0066374525807562E-2</v>
      </c>
      <c r="AB61" s="46">
        <f t="shared" si="50"/>
        <v>2.2100596723389519E-4</v>
      </c>
    </row>
    <row r="62" spans="1:28" s="5" customFormat="1" ht="15" customHeight="1" x14ac:dyDescent="0.15">
      <c r="B62" s="47" t="s">
        <v>32</v>
      </c>
      <c r="C62" s="152">
        <v>0.51527777777777783</v>
      </c>
      <c r="D62" s="93">
        <f>10+41/60+13+D61</f>
        <v>313.65000000000003</v>
      </c>
      <c r="E62" s="44">
        <v>14</v>
      </c>
      <c r="F62" s="41">
        <f>0.634*4</f>
        <v>2.536</v>
      </c>
      <c r="G62" s="42">
        <f>0.622*4</f>
        <v>2.488</v>
      </c>
      <c r="H62" s="42">
        <f>4*0.6</f>
        <v>2.4</v>
      </c>
      <c r="I62" s="42">
        <f t="shared" si="39"/>
        <v>3.1943456000000001</v>
      </c>
      <c r="J62" s="42">
        <f t="shared" si="34"/>
        <v>3.1338848000000001</v>
      </c>
      <c r="K62" s="42">
        <f t="shared" si="34"/>
        <v>3.0230399999999999</v>
      </c>
      <c r="L62" s="43">
        <f t="shared" si="35"/>
        <v>3.1170901333333334</v>
      </c>
      <c r="M62" s="150">
        <f t="shared" si="36"/>
        <v>5.0159571267350864E-2</v>
      </c>
      <c r="N62" s="42">
        <f t="shared" si="37"/>
        <v>1.1613822468197121</v>
      </c>
      <c r="O62" s="42">
        <f t="shared" si="37"/>
        <v>1.1422733851216655</v>
      </c>
      <c r="P62" s="42">
        <f t="shared" si="37"/>
        <v>1.1062629475986325</v>
      </c>
      <c r="Q62" s="43">
        <f t="shared" si="38"/>
        <v>1.1366395265133367</v>
      </c>
      <c r="R62" s="42">
        <f t="shared" si="40"/>
        <v>1.6158997068400287E-2</v>
      </c>
      <c r="S62" s="42">
        <f t="shared" si="41"/>
        <v>5.3915549073574199E-3</v>
      </c>
      <c r="T62" s="42">
        <f t="shared" si="42"/>
        <v>1.3799851131748757E-3</v>
      </c>
      <c r="U62" s="42">
        <f t="shared" si="43"/>
        <v>1.5773027393568906E-3</v>
      </c>
      <c r="V62" s="43">
        <f t="shared" si="44"/>
        <v>2.7829475866297288E-3</v>
      </c>
      <c r="W62" s="42">
        <f t="shared" si="45"/>
        <v>1.3055468428613997E-3</v>
      </c>
      <c r="X62" s="42">
        <f t="shared" si="46"/>
        <v>1.0184427227801688E-2</v>
      </c>
      <c r="Y62" s="42">
        <f t="shared" si="47"/>
        <v>9.99166204367926E-3</v>
      </c>
      <c r="Z62" s="42">
        <f t="shared" si="48"/>
        <v>9.638259206121472E-3</v>
      </c>
      <c r="AA62" s="43">
        <f t="shared" si="49"/>
        <v>9.9381161592008074E-3</v>
      </c>
      <c r="AB62" s="46">
        <f t="shared" si="50"/>
        <v>1.5992211467352391E-4</v>
      </c>
    </row>
    <row r="63" spans="1:28" s="5" customFormat="1" ht="13" x14ac:dyDescent="0.15">
      <c r="B63" s="47" t="s">
        <v>34</v>
      </c>
      <c r="C63" s="152">
        <v>0.56666666666666665</v>
      </c>
      <c r="D63" s="93">
        <f>D62+24</f>
        <v>337.65000000000003</v>
      </c>
      <c r="E63" s="44">
        <v>15</v>
      </c>
      <c r="F63" s="41">
        <f>0.699*4</f>
        <v>2.7959999999999998</v>
      </c>
      <c r="G63" s="42">
        <f>0.659*4</f>
        <v>2.6360000000000001</v>
      </c>
      <c r="H63" s="42">
        <f>0.679*4</f>
        <v>2.7160000000000002</v>
      </c>
      <c r="I63" s="42">
        <f t="shared" si="39"/>
        <v>3.5218416000000001</v>
      </c>
      <c r="J63" s="42">
        <f t="shared" si="34"/>
        <v>3.3203056000000002</v>
      </c>
      <c r="K63" s="42">
        <f t="shared" si="34"/>
        <v>3.4210736000000006</v>
      </c>
      <c r="L63" s="43">
        <f t="shared" si="35"/>
        <v>3.4210736000000002</v>
      </c>
      <c r="M63" s="150">
        <f t="shared" si="36"/>
        <v>5.8178431925700193E-2</v>
      </c>
      <c r="N63" s="42">
        <f t="shared" si="37"/>
        <v>1.2589840346162964</v>
      </c>
      <c r="O63" s="42">
        <f t="shared" si="37"/>
        <v>1.2000568268849934</v>
      </c>
      <c r="P63" s="42">
        <f t="shared" si="37"/>
        <v>1.2299544199411825</v>
      </c>
      <c r="Q63" s="43">
        <f t="shared" si="38"/>
        <v>1.2296650938141573</v>
      </c>
      <c r="R63" s="42">
        <f t="shared" si="40"/>
        <v>1.70114347323388E-2</v>
      </c>
      <c r="S63" s="42">
        <f t="shared" si="41"/>
        <v>4.0667411581910102E-3</v>
      </c>
      <c r="T63" s="42">
        <f t="shared" si="42"/>
        <v>2.4076434068053265E-3</v>
      </c>
      <c r="U63" s="42">
        <f t="shared" si="43"/>
        <v>5.1538113476062479E-3</v>
      </c>
      <c r="V63" s="43">
        <f t="shared" si="44"/>
        <v>3.8760653042008617E-3</v>
      </c>
      <c r="W63" s="42">
        <f t="shared" si="45"/>
        <v>7.9846259581394885E-4</v>
      </c>
      <c r="X63" s="42">
        <f t="shared" si="46"/>
        <v>1.0430450466459351E-2</v>
      </c>
      <c r="Y63" s="42">
        <f t="shared" si="47"/>
        <v>9.8335720420553822E-3</v>
      </c>
      <c r="Z63" s="42">
        <f t="shared" si="48"/>
        <v>1.0132011254257368E-2</v>
      </c>
      <c r="AA63" s="43">
        <f t="shared" si="49"/>
        <v>1.0132011254257367E-2</v>
      </c>
      <c r="AB63" s="46">
        <f t="shared" si="50"/>
        <v>1.7230395950155558E-4</v>
      </c>
    </row>
    <row r="64" spans="1:28" s="5" customFormat="1" ht="13" x14ac:dyDescent="0.15">
      <c r="B64" s="47" t="s">
        <v>35</v>
      </c>
      <c r="C64" s="152">
        <v>0.50902777777777775</v>
      </c>
      <c r="D64" s="93">
        <f>D63+24</f>
        <v>361.65000000000003</v>
      </c>
      <c r="E64" s="44">
        <v>16</v>
      </c>
      <c r="F64" s="41">
        <f>4*0.735</f>
        <v>2.94</v>
      </c>
      <c r="G64" s="42">
        <f>0.693*4</f>
        <v>2.7719999999999998</v>
      </c>
      <c r="H64" s="42">
        <f>0.701*4</f>
        <v>2.8039999999999998</v>
      </c>
      <c r="I64" s="42">
        <f t="shared" si="39"/>
        <v>3.7032240000000001</v>
      </c>
      <c r="J64" s="42">
        <f t="shared" si="34"/>
        <v>3.4916111999999999</v>
      </c>
      <c r="K64" s="42">
        <f t="shared" si="34"/>
        <v>3.5319183999999999</v>
      </c>
      <c r="L64" s="43">
        <f t="shared" si="35"/>
        <v>3.5755845333333336</v>
      </c>
      <c r="M64" s="150">
        <f t="shared" si="36"/>
        <v>6.4871777842071807E-2</v>
      </c>
      <c r="N64" s="42">
        <f t="shared" si="37"/>
        <v>1.3092037915953227</v>
      </c>
      <c r="O64" s="42">
        <f t="shared" si="37"/>
        <v>1.2503632915723892</v>
      </c>
      <c r="P64" s="42">
        <f t="shared" si="37"/>
        <v>1.2618411794170761</v>
      </c>
      <c r="Q64" s="43">
        <f t="shared" si="38"/>
        <v>1.2738027541949295</v>
      </c>
      <c r="R64" s="42">
        <f t="shared" si="40"/>
        <v>1.8007966423334621E-2</v>
      </c>
      <c r="S64" s="42">
        <f t="shared" si="41"/>
        <v>2.0924898741260987E-3</v>
      </c>
      <c r="T64" s="42">
        <f t="shared" si="42"/>
        <v>2.0961026953081607E-3</v>
      </c>
      <c r="U64" s="42">
        <f t="shared" si="43"/>
        <v>1.3286149781622329E-3</v>
      </c>
      <c r="V64" s="43">
        <f t="shared" si="44"/>
        <v>1.8390691825321643E-3</v>
      </c>
      <c r="W64" s="42">
        <f t="shared" si="45"/>
        <v>2.5522923303599582E-4</v>
      </c>
      <c r="X64" s="42">
        <f t="shared" si="46"/>
        <v>1.0239800912484446E-2</v>
      </c>
      <c r="Y64" s="42">
        <f t="shared" si="47"/>
        <v>9.6546694317710489E-3</v>
      </c>
      <c r="Z64" s="42">
        <f t="shared" si="48"/>
        <v>9.766123047145029E-3</v>
      </c>
      <c r="AA64" s="43">
        <f t="shared" si="49"/>
        <v>9.8868644638001758E-3</v>
      </c>
      <c r="AB64" s="46">
        <f t="shared" si="50"/>
        <v>1.7937723722403367E-4</v>
      </c>
    </row>
    <row r="65" spans="1:28" s="5" customFormat="1" ht="13" x14ac:dyDescent="0.15">
      <c r="B65" s="47" t="s">
        <v>36</v>
      </c>
      <c r="C65" s="152">
        <v>0.4916666666666667</v>
      </c>
      <c r="D65" s="93">
        <f>D64+24</f>
        <v>385.65000000000003</v>
      </c>
      <c r="E65" s="44">
        <v>17</v>
      </c>
      <c r="F65" s="41">
        <f>4*0.799</f>
        <v>3.1960000000000002</v>
      </c>
      <c r="G65" s="42">
        <f>0.703*4</f>
        <v>2.8119999999999998</v>
      </c>
      <c r="H65" s="42">
        <f>0.737*4</f>
        <v>2.948</v>
      </c>
      <c r="I65" s="42">
        <f t="shared" si="39"/>
        <v>4.0256816000000004</v>
      </c>
      <c r="J65" s="42">
        <f t="shared" si="39"/>
        <v>3.5419952000000001</v>
      </c>
      <c r="K65" s="42">
        <f t="shared" si="39"/>
        <v>3.7133008000000003</v>
      </c>
      <c r="L65" s="43">
        <f t="shared" si="35"/>
        <v>3.7603258666666672</v>
      </c>
      <c r="M65" s="150">
        <f t="shared" si="36"/>
        <v>0.14159408068782797</v>
      </c>
      <c r="N65" s="42">
        <f t="shared" si="37"/>
        <v>1.3926942381487608</v>
      </c>
      <c r="O65" s="42">
        <f t="shared" si="37"/>
        <v>1.264690184193151</v>
      </c>
      <c r="P65" s="42">
        <f t="shared" si="37"/>
        <v>1.3119211845718228</v>
      </c>
      <c r="Q65" s="43">
        <f t="shared" si="38"/>
        <v>1.3231018689712448</v>
      </c>
      <c r="R65" s="42">
        <f t="shared" si="40"/>
        <v>3.7372071724739733E-2</v>
      </c>
      <c r="S65" s="42">
        <f t="shared" si="41"/>
        <v>3.478768606393253E-3</v>
      </c>
      <c r="T65" s="42">
        <f t="shared" si="42"/>
        <v>5.9695385919840882E-4</v>
      </c>
      <c r="U65" s="42">
        <f t="shared" si="43"/>
        <v>2.0866668814477816E-3</v>
      </c>
      <c r="V65" s="43">
        <f t="shared" si="44"/>
        <v>2.054129782346481E-3</v>
      </c>
      <c r="W65" s="42">
        <f t="shared" si="45"/>
        <v>8.3206731626731347E-4</v>
      </c>
      <c r="X65" s="42">
        <f t="shared" si="46"/>
        <v>1.0438692078309348E-2</v>
      </c>
      <c r="Y65" s="42">
        <f t="shared" si="47"/>
        <v>9.1844812653960849E-3</v>
      </c>
      <c r="Z65" s="42">
        <f t="shared" si="48"/>
        <v>9.6286809283028657E-3</v>
      </c>
      <c r="AA65" s="43">
        <f t="shared" si="49"/>
        <v>9.7506180906694329E-3</v>
      </c>
      <c r="AB65" s="46">
        <f t="shared" si="50"/>
        <v>3.6715695757248245E-4</v>
      </c>
    </row>
    <row r="66" spans="1:28" s="5" customFormat="1" ht="13" x14ac:dyDescent="0.15">
      <c r="B66" s="47" t="s">
        <v>37</v>
      </c>
      <c r="C66" s="152">
        <v>0.5180555555555556</v>
      </c>
      <c r="D66" s="93">
        <f>D65+24</f>
        <v>409.65000000000003</v>
      </c>
      <c r="E66" s="44">
        <v>18</v>
      </c>
      <c r="F66" s="41">
        <f>0.813*4</f>
        <v>3.2519999999999998</v>
      </c>
      <c r="G66" s="42">
        <f>4*0.721</f>
        <v>2.8839999999999999</v>
      </c>
      <c r="H66" s="42">
        <f>4*0.737</f>
        <v>2.948</v>
      </c>
      <c r="I66" s="42">
        <f t="shared" si="39"/>
        <v>4.0962192000000002</v>
      </c>
      <c r="J66" s="42">
        <f t="shared" si="39"/>
        <v>3.6326863999999999</v>
      </c>
      <c r="K66" s="42">
        <f t="shared" si="39"/>
        <v>3.7133008000000003</v>
      </c>
      <c r="L66" s="43">
        <f t="shared" si="35"/>
        <v>3.8140687999999998</v>
      </c>
      <c r="M66" s="150">
        <f t="shared" si="36"/>
        <v>0.14298170808062599</v>
      </c>
      <c r="N66" s="42">
        <f t="shared" si="37"/>
        <v>1.4100644019302968</v>
      </c>
      <c r="O66" s="42">
        <f t="shared" si="37"/>
        <v>1.2899724296674351</v>
      </c>
      <c r="P66" s="42">
        <f t="shared" si="37"/>
        <v>1.3119211845718228</v>
      </c>
      <c r="Q66" s="43">
        <f t="shared" si="38"/>
        <v>1.3373193387231848</v>
      </c>
      <c r="R66" s="42">
        <f t="shared" si="40"/>
        <v>3.6920275036074916E-2</v>
      </c>
      <c r="S66" s="42">
        <f t="shared" si="41"/>
        <v>7.2375682423066656E-4</v>
      </c>
      <c r="T66" s="42">
        <f t="shared" si="42"/>
        <v>1.0534268947618348E-3</v>
      </c>
      <c r="U66" s="42">
        <f t="shared" si="43"/>
        <v>0</v>
      </c>
      <c r="V66" s="43">
        <f t="shared" si="44"/>
        <v>5.9239457299750046E-4</v>
      </c>
      <c r="W66" s="42">
        <f t="shared" si="45"/>
        <v>3.111104232897995E-4</v>
      </c>
      <c r="X66" s="42">
        <f t="shared" si="46"/>
        <v>9.9993145367997058E-3</v>
      </c>
      <c r="Y66" s="42">
        <f t="shared" si="47"/>
        <v>8.8677807884779674E-3</v>
      </c>
      <c r="Z66" s="42">
        <f t="shared" si="48"/>
        <v>9.0645692664469667E-3</v>
      </c>
      <c r="AA66" s="43">
        <f t="shared" si="49"/>
        <v>9.3105548639082127E-3</v>
      </c>
      <c r="AB66" s="46">
        <f t="shared" si="50"/>
        <v>3.4903382907512735E-4</v>
      </c>
    </row>
    <row r="67" spans="1:28" s="5" customFormat="1" thickBot="1" x14ac:dyDescent="0.2">
      <c r="A67" s="56"/>
      <c r="B67" s="61" t="s">
        <v>33</v>
      </c>
      <c r="C67" s="153">
        <v>0.52500000000000002</v>
      </c>
      <c r="D67" s="154">
        <f>24+10/60+D66</f>
        <v>433.81666666666672</v>
      </c>
      <c r="E67" s="56">
        <v>19</v>
      </c>
      <c r="F67" s="57">
        <f>4*0.815</f>
        <v>3.26</v>
      </c>
      <c r="G67" s="49">
        <f>4*0.737</f>
        <v>2.948</v>
      </c>
      <c r="H67" s="49">
        <f>4*0.726</f>
        <v>2.9039999999999999</v>
      </c>
      <c r="I67" s="49">
        <f t="shared" si="39"/>
        <v>4.1062959999999995</v>
      </c>
      <c r="J67" s="49">
        <f t="shared" si="39"/>
        <v>3.7133008000000003</v>
      </c>
      <c r="K67" s="49">
        <f t="shared" si="39"/>
        <v>3.6578784</v>
      </c>
      <c r="L67" s="50">
        <f t="shared" si="35"/>
        <v>3.8258250666666664</v>
      </c>
      <c r="M67" s="58">
        <f t="shared" si="36"/>
        <v>0.14114516043078154</v>
      </c>
      <c r="N67" s="49">
        <f t="shared" si="37"/>
        <v>1.4125214056233486</v>
      </c>
      <c r="O67" s="49">
        <f t="shared" si="37"/>
        <v>1.3119211845718228</v>
      </c>
      <c r="P67" s="49">
        <f t="shared" si="37"/>
        <v>1.2968833072072823</v>
      </c>
      <c r="Q67" s="50">
        <f t="shared" si="38"/>
        <v>1.340441965800818</v>
      </c>
      <c r="R67" s="49">
        <f t="shared" si="40"/>
        <v>3.6300223473853477E-2</v>
      </c>
      <c r="S67" s="49">
        <f t="shared" si="41"/>
        <v>1.0166911833317768E-4</v>
      </c>
      <c r="T67" s="49">
        <f t="shared" si="42"/>
        <v>9.0822434087121635E-4</v>
      </c>
      <c r="U67" s="49">
        <f t="shared" si="43"/>
        <v>-6.2225699439478056E-4</v>
      </c>
      <c r="V67" s="50">
        <f t="shared" si="44"/>
        <v>1.2921215493653785E-4</v>
      </c>
      <c r="W67" s="49">
        <f t="shared" si="45"/>
        <v>4.4202648621562564E-4</v>
      </c>
      <c r="X67" s="49">
        <f t="shared" si="46"/>
        <v>9.4655100080679212E-3</v>
      </c>
      <c r="Y67" s="49">
        <f t="shared" si="47"/>
        <v>8.5596084367436324E-3</v>
      </c>
      <c r="Z67" s="49">
        <f t="shared" si="48"/>
        <v>8.4318530869414866E-3</v>
      </c>
      <c r="AA67" s="50">
        <f t="shared" si="49"/>
        <v>8.8189905105843461E-3</v>
      </c>
      <c r="AB67" s="51">
        <f t="shared" si="50"/>
        <v>3.2535670313292423E-4</v>
      </c>
    </row>
    <row r="68" spans="1:28" s="5" customFormat="1" ht="13" x14ac:dyDescent="0.15"/>
    <row r="84" spans="1:4" x14ac:dyDescent="0.15">
      <c r="A84" s="59" t="s">
        <v>60</v>
      </c>
      <c r="B84" s="59" t="s">
        <v>69</v>
      </c>
      <c r="C84" s="59" t="s">
        <v>71</v>
      </c>
      <c r="D84" s="59"/>
    </row>
  </sheetData>
  <mergeCells count="40">
    <mergeCell ref="B27:B29"/>
    <mergeCell ref="E27:E29"/>
    <mergeCell ref="B49:B51"/>
    <mergeCell ref="E49:E51"/>
    <mergeCell ref="A1:AB1"/>
    <mergeCell ref="B2:AB2"/>
    <mergeCell ref="F3:H3"/>
    <mergeCell ref="I3:K3"/>
    <mergeCell ref="N3:P3"/>
    <mergeCell ref="S3:U3"/>
    <mergeCell ref="X3:Z3"/>
    <mergeCell ref="F4:H4"/>
    <mergeCell ref="I4:K4"/>
    <mergeCell ref="N4:P4"/>
    <mergeCell ref="S4:U4"/>
    <mergeCell ref="X4:Z4"/>
    <mergeCell ref="S26:U26"/>
    <mergeCell ref="X26:Z26"/>
    <mergeCell ref="B24:AB24"/>
    <mergeCell ref="F25:H25"/>
    <mergeCell ref="I25:K25"/>
    <mergeCell ref="N25:P25"/>
    <mergeCell ref="S25:U25"/>
    <mergeCell ref="X25:Z25"/>
    <mergeCell ref="B5:B7"/>
    <mergeCell ref="F48:H48"/>
    <mergeCell ref="B46:AB46"/>
    <mergeCell ref="F47:H47"/>
    <mergeCell ref="I47:K47"/>
    <mergeCell ref="N47:P47"/>
    <mergeCell ref="S47:U47"/>
    <mergeCell ref="X47:Z47"/>
    <mergeCell ref="F26:H26"/>
    <mergeCell ref="I26:K26"/>
    <mergeCell ref="N26:P26"/>
    <mergeCell ref="I48:K48"/>
    <mergeCell ref="N48:P48"/>
    <mergeCell ref="S48:U48"/>
    <mergeCell ref="X48:Z48"/>
    <mergeCell ref="E5:E7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C50BE-54B4-4445-944E-543A156DEC00}">
  <dimension ref="A1:AL136"/>
  <sheetViews>
    <sheetView zoomScaleNormal="100" workbookViewId="0">
      <selection activeCell="A2" sqref="A2"/>
    </sheetView>
  </sheetViews>
  <sheetFormatPr baseColWidth="10" defaultColWidth="9.1640625" defaultRowHeight="13" x14ac:dyDescent="0.2"/>
  <cols>
    <col min="1" max="1" width="85.6640625" style="62" customWidth="1"/>
    <col min="2" max="2" width="10.1640625" style="62" bestFit="1" customWidth="1"/>
    <col min="3" max="3" width="8.5" style="62" customWidth="1"/>
    <col min="4" max="4" width="9.33203125" style="62" customWidth="1"/>
    <col min="5" max="5" width="9.6640625" style="62" customWidth="1"/>
    <col min="6" max="7" width="10" style="62" bestFit="1" customWidth="1"/>
    <col min="8" max="11" width="9.1640625" style="62" bestFit="1" customWidth="1"/>
    <col min="12" max="13" width="5.6640625" style="62" bestFit="1" customWidth="1"/>
    <col min="14" max="14" width="7.6640625" style="62" bestFit="1" customWidth="1"/>
    <col min="15" max="15" width="9.1640625" style="62"/>
    <col min="16" max="16" width="11.6640625" style="62" bestFit="1" customWidth="1"/>
    <col min="17" max="17" width="9.1640625" style="62" bestFit="1" customWidth="1"/>
    <col min="18" max="18" width="11.6640625" style="62" bestFit="1" customWidth="1"/>
    <col min="19" max="19" width="9.1640625" style="62"/>
    <col min="20" max="21" width="9.5" style="62" bestFit="1" customWidth="1"/>
    <col min="22" max="23" width="9" style="62" bestFit="1" customWidth="1"/>
    <col min="24" max="25" width="8.33203125" style="62" bestFit="1" customWidth="1"/>
    <col min="26" max="27" width="10.5" style="62" bestFit="1" customWidth="1"/>
    <col min="28" max="28" width="8.33203125" style="62" bestFit="1" customWidth="1"/>
    <col min="29" max="30" width="9.1640625" style="62"/>
    <col min="31" max="31" width="11.83203125" style="62" customWidth="1"/>
    <col min="32" max="32" width="9.1640625" style="62"/>
    <col min="33" max="33" width="9.6640625" style="62" bestFit="1" customWidth="1"/>
    <col min="34" max="16384" width="9.1640625" style="62"/>
  </cols>
  <sheetData>
    <row r="1" spans="1:34" ht="17" thickBot="1" x14ac:dyDescent="0.25">
      <c r="A1" s="225" t="s">
        <v>76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7"/>
    </row>
    <row r="2" spans="1:34" ht="15" thickBot="1" x14ac:dyDescent="0.25">
      <c r="A2" s="63"/>
      <c r="B2" s="228" t="s">
        <v>72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30"/>
    </row>
    <row r="3" spans="1:34" ht="47" customHeight="1" x14ac:dyDescent="0.2">
      <c r="A3" s="64"/>
      <c r="B3" s="65" t="s">
        <v>0</v>
      </c>
      <c r="C3" s="66" t="s">
        <v>1</v>
      </c>
      <c r="D3" s="67" t="s">
        <v>2</v>
      </c>
      <c r="E3" s="68"/>
      <c r="F3" s="66" t="s">
        <v>11</v>
      </c>
      <c r="G3" s="66" t="s">
        <v>12</v>
      </c>
      <c r="H3" s="214" t="s">
        <v>77</v>
      </c>
      <c r="I3" s="215"/>
      <c r="J3" s="216" t="s">
        <v>78</v>
      </c>
      <c r="K3" s="217"/>
      <c r="L3" s="218" t="s">
        <v>79</v>
      </c>
      <c r="M3" s="219"/>
      <c r="N3" s="69" t="s">
        <v>80</v>
      </c>
      <c r="O3" s="70" t="s">
        <v>81</v>
      </c>
      <c r="P3" s="69" t="s">
        <v>13</v>
      </c>
      <c r="Q3" s="69" t="s">
        <v>14</v>
      </c>
      <c r="R3" s="69" t="s">
        <v>82</v>
      </c>
      <c r="S3" s="69" t="s">
        <v>83</v>
      </c>
      <c r="T3" s="69" t="s">
        <v>84</v>
      </c>
      <c r="U3" s="71" t="s">
        <v>62</v>
      </c>
      <c r="V3" s="70" t="s">
        <v>85</v>
      </c>
      <c r="W3" s="69" t="s">
        <v>86</v>
      </c>
      <c r="X3" s="69" t="s">
        <v>84</v>
      </c>
      <c r="Y3" s="72" t="s">
        <v>62</v>
      </c>
      <c r="Z3" s="72" t="s">
        <v>87</v>
      </c>
      <c r="AA3" s="69" t="s">
        <v>88</v>
      </c>
      <c r="AB3" s="73" t="s">
        <v>62</v>
      </c>
      <c r="AD3" s="231" t="s">
        <v>106</v>
      </c>
      <c r="AE3" s="231"/>
      <c r="AF3" s="231"/>
      <c r="AG3" s="231"/>
      <c r="AH3" s="231"/>
    </row>
    <row r="4" spans="1:34" ht="37" customHeight="1" x14ac:dyDescent="0.2">
      <c r="A4" s="64"/>
      <c r="B4" s="74"/>
      <c r="C4" s="75"/>
      <c r="D4" s="76"/>
      <c r="E4" s="77"/>
      <c r="F4" s="75" t="s">
        <v>16</v>
      </c>
      <c r="G4" s="75" t="s">
        <v>16</v>
      </c>
      <c r="H4" s="78" t="s">
        <v>89</v>
      </c>
      <c r="I4" s="75" t="s">
        <v>90</v>
      </c>
      <c r="J4" s="76" t="s">
        <v>89</v>
      </c>
      <c r="K4" s="79" t="s">
        <v>90</v>
      </c>
      <c r="L4" s="222" t="s">
        <v>17</v>
      </c>
      <c r="M4" s="221"/>
      <c r="N4" s="80" t="s">
        <v>17</v>
      </c>
      <c r="O4" s="80" t="s">
        <v>16</v>
      </c>
      <c r="P4" s="80" t="s">
        <v>18</v>
      </c>
      <c r="Q4" s="80" t="s">
        <v>19</v>
      </c>
      <c r="R4" s="81" t="s">
        <v>91</v>
      </c>
      <c r="S4" s="81" t="s">
        <v>91</v>
      </c>
      <c r="T4" s="80"/>
      <c r="U4" s="76"/>
      <c r="V4" s="81" t="s">
        <v>92</v>
      </c>
      <c r="W4" s="81" t="s">
        <v>92</v>
      </c>
      <c r="X4" s="80"/>
      <c r="Y4" s="80"/>
      <c r="Z4" s="81" t="s">
        <v>93</v>
      </c>
      <c r="AA4" s="81" t="s">
        <v>93</v>
      </c>
      <c r="AB4" s="82"/>
      <c r="AD4" s="62" t="s">
        <v>2</v>
      </c>
      <c r="AE4" s="83" t="str">
        <f>S3</f>
        <v>Average specific CPC conc.</v>
      </c>
      <c r="AF4" s="62" t="s">
        <v>15</v>
      </c>
      <c r="AG4" s="83" t="str">
        <f>W3</f>
        <v>Average total CPC</v>
      </c>
      <c r="AH4" s="62" t="s">
        <v>15</v>
      </c>
    </row>
    <row r="5" spans="1:34" x14ac:dyDescent="0.2">
      <c r="A5" s="64"/>
      <c r="B5" s="194" t="s">
        <v>9</v>
      </c>
      <c r="C5" s="197">
        <v>0.51041666666666663</v>
      </c>
      <c r="D5" s="200">
        <v>23.016666666666666</v>
      </c>
      <c r="E5" s="85" t="s">
        <v>94</v>
      </c>
      <c r="F5" s="203">
        <v>4.6699999999999998E-2</v>
      </c>
      <c r="G5" s="206">
        <v>4.65E-2</v>
      </c>
      <c r="H5" s="86">
        <f>0.1397-F5</f>
        <v>9.2999999999999999E-2</v>
      </c>
      <c r="I5" s="88">
        <f>0.1501-F5</f>
        <v>0.10340000000000002</v>
      </c>
      <c r="J5" s="88">
        <f>0.0932-G5</f>
        <v>4.6700000000000005E-2</v>
      </c>
      <c r="K5" s="88">
        <f>0.1033-G5</f>
        <v>5.6800000000000003E-2</v>
      </c>
      <c r="L5" s="88">
        <f>(H5-(0.605*J5))/6.17</f>
        <v>1.0493760129659644E-2</v>
      </c>
      <c r="M5" s="88">
        <f>(I5-(0.605*K5))/6.17</f>
        <v>1.1188978930307944E-2</v>
      </c>
      <c r="N5" s="88">
        <f>AVERAGE(L5:M5)</f>
        <v>1.0841369529983793E-2</v>
      </c>
      <c r="O5" s="88">
        <f>'Growth curves CeBER'!F8</f>
        <v>0.157</v>
      </c>
      <c r="P5" s="88">
        <f>1.2334*O5</f>
        <v>0.1936438</v>
      </c>
      <c r="Q5" s="89">
        <f>P5*1/1000</f>
        <v>1.9364380000000002E-4</v>
      </c>
      <c r="R5" s="90">
        <f>(N5*0.5)/Q5</f>
        <v>27.993071634578005</v>
      </c>
      <c r="S5" s="91"/>
      <c r="V5" s="92">
        <f>R5*P5</f>
        <v>5.4206847649918961</v>
      </c>
      <c r="W5" s="91"/>
      <c r="AA5" s="91"/>
      <c r="AB5" s="84"/>
      <c r="AD5" s="93">
        <f>D5</f>
        <v>23.016666666666666</v>
      </c>
      <c r="AE5" s="92">
        <f>S7</f>
        <v>27.002338913901081</v>
      </c>
      <c r="AF5" s="92">
        <f>U7</f>
        <v>1.7794193814270156</v>
      </c>
      <c r="AG5" s="92">
        <v>6.8447659176029978</v>
      </c>
      <c r="AH5" s="92">
        <f>Y7</f>
        <v>0.20782760641244066</v>
      </c>
    </row>
    <row r="6" spans="1:34" ht="15" customHeight="1" x14ac:dyDescent="0.2">
      <c r="A6" s="64"/>
      <c r="B6" s="194"/>
      <c r="C6" s="197"/>
      <c r="D6" s="200"/>
      <c r="E6" s="85" t="s">
        <v>95</v>
      </c>
      <c r="F6" s="203"/>
      <c r="G6" s="206"/>
      <c r="H6" s="86">
        <f>0.1488-F5</f>
        <v>0.1021</v>
      </c>
      <c r="I6" s="88">
        <f>0.1424-F5</f>
        <v>9.5700000000000007E-2</v>
      </c>
      <c r="J6" s="88">
        <f>0.0997-G5</f>
        <v>5.3199999999999997E-2</v>
      </c>
      <c r="K6" s="88">
        <f>0.0934-G5</f>
        <v>4.6899999999999997E-2</v>
      </c>
      <c r="L6" s="88">
        <f t="shared" ref="L6:L46" si="0">(H6-(0.605*J6))/6.17</f>
        <v>1.1331280388978932E-2</v>
      </c>
      <c r="M6" s="88">
        <f t="shared" ref="M6:M46" si="1">(I6-(0.605*K6))/6.17</f>
        <v>1.0911750405186387E-2</v>
      </c>
      <c r="N6" s="88">
        <f t="shared" ref="N6:N46" si="2">AVERAGE(L6:M6)</f>
        <v>1.112151539708266E-2</v>
      </c>
      <c r="O6" s="88">
        <f>'Growth curves CeBER'!G8</f>
        <v>0.153</v>
      </c>
      <c r="P6" s="88">
        <f t="shared" ref="P6:P46" si="3">1.2334*O6</f>
        <v>0.18871019999999999</v>
      </c>
      <c r="Q6" s="89">
        <f>P6*1/1000</f>
        <v>1.8871019999999999E-4</v>
      </c>
      <c r="R6" s="90">
        <f t="shared" ref="R6:R46" si="4">(N6*0.5)/Q6</f>
        <v>29.467181416485865</v>
      </c>
      <c r="S6" s="91"/>
      <c r="V6" s="92">
        <f t="shared" ref="V6:V46" si="5">R6*P6</f>
        <v>5.5607576985413303</v>
      </c>
      <c r="W6" s="91"/>
      <c r="AA6" s="91"/>
      <c r="AB6" s="84"/>
      <c r="AD6" s="93">
        <f>D8</f>
        <v>94.833333333333343</v>
      </c>
      <c r="AE6" s="92">
        <f>S10</f>
        <v>28.103251648738141</v>
      </c>
      <c r="AF6" s="92">
        <f>U10</f>
        <v>2.3608858746901622</v>
      </c>
      <c r="AG6" s="92">
        <v>27.482322097378276</v>
      </c>
      <c r="AH6" s="92">
        <f>Y10</f>
        <v>1.8422265762569885</v>
      </c>
    </row>
    <row r="7" spans="1:34" ht="15" customHeight="1" x14ac:dyDescent="0.2">
      <c r="A7" s="64"/>
      <c r="B7" s="208"/>
      <c r="C7" s="209"/>
      <c r="D7" s="210"/>
      <c r="E7" s="95" t="s">
        <v>96</v>
      </c>
      <c r="F7" s="203"/>
      <c r="G7" s="206"/>
      <c r="H7" s="96">
        <f>0.1385-F5</f>
        <v>9.180000000000002E-2</v>
      </c>
      <c r="I7" s="98">
        <f>0.17-F5</f>
        <v>0.12330000000000002</v>
      </c>
      <c r="J7" s="98">
        <f>0.1092-G5</f>
        <v>6.2700000000000006E-2</v>
      </c>
      <c r="K7" s="98">
        <f>0.1403-G5</f>
        <v>9.3800000000000008E-2</v>
      </c>
      <c r="L7" s="88">
        <f t="shared" si="0"/>
        <v>8.7303889789303105E-3</v>
      </c>
      <c r="M7" s="88">
        <f t="shared" si="1"/>
        <v>1.0786223662884932E-2</v>
      </c>
      <c r="N7" s="98">
        <f t="shared" si="2"/>
        <v>9.7583063209076212E-3</v>
      </c>
      <c r="O7" s="98">
        <f>'Growth curves CeBER'!H8</f>
        <v>0.16800000000000001</v>
      </c>
      <c r="P7" s="98">
        <f t="shared" si="3"/>
        <v>0.20721120000000001</v>
      </c>
      <c r="Q7" s="99">
        <f>P7*1/1000</f>
        <v>2.0721120000000002E-4</v>
      </c>
      <c r="R7" s="100">
        <f t="shared" si="4"/>
        <v>23.546763690639359</v>
      </c>
      <c r="S7" s="101">
        <f>AVERAGE(R5:R7)</f>
        <v>27.002338913901081</v>
      </c>
      <c r="T7" s="102">
        <f>STDEV(R5:R7)</f>
        <v>3.0820447766043744</v>
      </c>
      <c r="U7" s="102">
        <f>T7/SQRT(3)</f>
        <v>1.7794193814270156</v>
      </c>
      <c r="V7" s="102">
        <f t="shared" si="5"/>
        <v>4.8791531604538108</v>
      </c>
      <c r="W7" s="101">
        <f>AVERAGE(V5:V7)</f>
        <v>5.2868652079956791</v>
      </c>
      <c r="X7" s="102">
        <f>STDEV(V5:V7)</f>
        <v>0.35996797352177462</v>
      </c>
      <c r="Y7" s="102">
        <f>X7/SQRT(3)</f>
        <v>0.20782760641244066</v>
      </c>
      <c r="Z7" s="103"/>
      <c r="AA7" s="104"/>
      <c r="AB7" s="94"/>
      <c r="AD7" s="93">
        <f>D11</f>
        <v>118.85000000000001</v>
      </c>
      <c r="AE7" s="92">
        <f>S13</f>
        <v>32.72584404002189</v>
      </c>
      <c r="AF7" s="92">
        <f>U13</f>
        <v>3.3912662358056846</v>
      </c>
      <c r="AG7" s="92">
        <v>40.68523096129838</v>
      </c>
      <c r="AH7" s="92">
        <f>Y13</f>
        <v>2.3926757974532884</v>
      </c>
    </row>
    <row r="8" spans="1:34" x14ac:dyDescent="0.2">
      <c r="A8" s="64"/>
      <c r="B8" s="193" t="s">
        <v>27</v>
      </c>
      <c r="C8" s="196">
        <v>0.50277777777777777</v>
      </c>
      <c r="D8" s="199">
        <v>94.833333333333343</v>
      </c>
      <c r="E8" s="85" t="s">
        <v>94</v>
      </c>
      <c r="F8" s="203">
        <f>(0.0532+0.0381+0.0347)/3</f>
        <v>4.2000000000000003E-2</v>
      </c>
      <c r="G8" s="206">
        <f>(0.0532+0.039+0.0341)/3</f>
        <v>4.2099999999999999E-2</v>
      </c>
      <c r="H8" s="86">
        <f>0.25-F8</f>
        <v>0.20799999999999999</v>
      </c>
      <c r="I8" s="88">
        <f>0.2444-F8</f>
        <v>0.2024</v>
      </c>
      <c r="J8" s="88">
        <f>0.1499-G8</f>
        <v>0.10780000000000001</v>
      </c>
      <c r="K8" s="88">
        <f>0.1471-G8</f>
        <v>0.10500000000000001</v>
      </c>
      <c r="L8" s="88">
        <f t="shared" si="0"/>
        <v>2.3141166936790924E-2</v>
      </c>
      <c r="M8" s="88">
        <f t="shared" si="1"/>
        <v>2.2508103727714748E-2</v>
      </c>
      <c r="N8" s="88">
        <f t="shared" si="2"/>
        <v>2.2824635332252836E-2</v>
      </c>
      <c r="O8" s="88">
        <f>'Growth curves CeBER'!F10</f>
        <v>0.61599999999999999</v>
      </c>
      <c r="P8" s="88">
        <f t="shared" si="3"/>
        <v>0.75977440000000007</v>
      </c>
      <c r="Q8" s="89">
        <f>P8*0.5/1000</f>
        <v>3.7988720000000004E-4</v>
      </c>
      <c r="R8" s="90">
        <f t="shared" si="4"/>
        <v>30.041332443226349</v>
      </c>
      <c r="S8" s="108"/>
      <c r="T8" s="92"/>
      <c r="U8" s="92"/>
      <c r="V8" s="92">
        <f t="shared" si="5"/>
        <v>22.824635332252836</v>
      </c>
      <c r="W8" s="108"/>
      <c r="X8" s="92"/>
      <c r="Y8" s="92"/>
      <c r="Z8" s="92">
        <f>(V8-$V$5)/(D8-$D$5)</f>
        <v>0.24233860153995271</v>
      </c>
      <c r="AA8" s="108"/>
      <c r="AB8" s="84"/>
      <c r="AD8" s="93">
        <f>D14</f>
        <v>191.35</v>
      </c>
      <c r="AE8" s="92">
        <f>S16</f>
        <v>33.504249006691488</v>
      </c>
      <c r="AF8" s="92">
        <f>U16</f>
        <v>0.27279088894574538</v>
      </c>
      <c r="AG8" s="92">
        <v>76.191229333333325</v>
      </c>
      <c r="AH8" s="92">
        <f>Y16</f>
        <v>2.2991157395070361</v>
      </c>
    </row>
    <row r="9" spans="1:34" x14ac:dyDescent="0.2">
      <c r="A9" s="64"/>
      <c r="B9" s="194"/>
      <c r="C9" s="197"/>
      <c r="D9" s="200"/>
      <c r="E9" s="85" t="s">
        <v>95</v>
      </c>
      <c r="F9" s="203"/>
      <c r="G9" s="206"/>
      <c r="H9" s="86">
        <f>0.275-F8</f>
        <v>0.23300000000000001</v>
      </c>
      <c r="I9" s="88">
        <f>0.2534-F8</f>
        <v>0.2114</v>
      </c>
      <c r="J9" s="88">
        <f>0.1781-G8</f>
        <v>0.13600000000000001</v>
      </c>
      <c r="K9" s="88">
        <f>0.1546-G8</f>
        <v>0.11249999999999999</v>
      </c>
      <c r="L9" s="88">
        <f t="shared" si="0"/>
        <v>2.4427876823338739E-2</v>
      </c>
      <c r="M9" s="88">
        <f t="shared" si="1"/>
        <v>2.3231361426256078E-2</v>
      </c>
      <c r="N9" s="88">
        <f t="shared" si="2"/>
        <v>2.3829619124797408E-2</v>
      </c>
      <c r="O9" s="88">
        <f>'Growth curves CeBER'!G10</f>
        <v>0.626</v>
      </c>
      <c r="P9" s="88">
        <f t="shared" si="3"/>
        <v>0.77210840000000003</v>
      </c>
      <c r="Q9" s="89">
        <f>P9*0.5/1000</f>
        <v>3.860542E-4</v>
      </c>
      <c r="R9" s="90">
        <f t="shared" si="4"/>
        <v>30.863048666220195</v>
      </c>
      <c r="S9" s="91"/>
      <c r="T9" s="92"/>
      <c r="U9" s="92"/>
      <c r="V9" s="92">
        <f t="shared" si="5"/>
        <v>23.829619124797411</v>
      </c>
      <c r="W9" s="108"/>
      <c r="X9" s="92"/>
      <c r="Y9" s="92"/>
      <c r="Z9" s="92">
        <f>(V9-$V$6)/(D8-$D$5)</f>
        <v>0.25438191821196676</v>
      </c>
      <c r="AA9" s="108"/>
      <c r="AB9" s="84"/>
      <c r="AD9" s="93">
        <f>D17</f>
        <v>216.28333333333333</v>
      </c>
      <c r="AE9" s="92">
        <f>S19</f>
        <v>44.581292492005446</v>
      </c>
      <c r="AF9" s="92">
        <f>U19</f>
        <v>0.67299164434664083</v>
      </c>
      <c r="AG9" s="92">
        <v>114.25179757802748</v>
      </c>
      <c r="AH9" s="92">
        <f>Y19</f>
        <v>1.2784951248130196</v>
      </c>
    </row>
    <row r="10" spans="1:34" x14ac:dyDescent="0.2">
      <c r="A10" s="64"/>
      <c r="B10" s="208"/>
      <c r="C10" s="209"/>
      <c r="D10" s="210"/>
      <c r="E10" s="95" t="s">
        <v>96</v>
      </c>
      <c r="F10" s="204"/>
      <c r="G10" s="207"/>
      <c r="H10" s="86">
        <f>0.2051-F8</f>
        <v>0.16309999999999999</v>
      </c>
      <c r="I10" s="88">
        <f>0.2097-F8</f>
        <v>0.16769999999999999</v>
      </c>
      <c r="J10" s="88">
        <f>0.1311-G8</f>
        <v>8.8999999999999996E-2</v>
      </c>
      <c r="K10" s="88">
        <f>0.1354-G8</f>
        <v>9.3299999999999994E-2</v>
      </c>
      <c r="L10" s="88">
        <f t="shared" si="0"/>
        <v>1.7707455429497566E-2</v>
      </c>
      <c r="M10" s="88">
        <f t="shared" si="1"/>
        <v>1.8031361426256078E-2</v>
      </c>
      <c r="N10" s="98">
        <f t="shared" si="2"/>
        <v>1.7869408427876821E-2</v>
      </c>
      <c r="O10" s="98">
        <f>'Growth curves CeBER'!H10</f>
        <v>0.61899999999999999</v>
      </c>
      <c r="P10" s="98">
        <f t="shared" si="3"/>
        <v>0.7634746</v>
      </c>
      <c r="Q10" s="99">
        <f>P10*0.5/1000</f>
        <v>3.8173729999999999E-4</v>
      </c>
      <c r="R10" s="100">
        <f t="shared" si="4"/>
        <v>23.405373836767879</v>
      </c>
      <c r="S10" s="101">
        <f>AVERAGE(R8:R10)</f>
        <v>28.103251648738141</v>
      </c>
      <c r="T10" s="102">
        <f>STDEV(R8:R10)</f>
        <v>4.0891742858350506</v>
      </c>
      <c r="U10" s="102">
        <f>T10/SQRT(3)</f>
        <v>2.3608858746901622</v>
      </c>
      <c r="V10" s="102">
        <f t="shared" si="5"/>
        <v>17.86940842787682</v>
      </c>
      <c r="W10" s="101">
        <f>AVERAGE(V8:V10)</f>
        <v>21.507887628309021</v>
      </c>
      <c r="X10" s="102">
        <f>STDEV(V8:V10)</f>
        <v>3.1908300291307645</v>
      </c>
      <c r="Y10" s="102">
        <f>X10/SQRT(3)</f>
        <v>1.8422265762569885</v>
      </c>
      <c r="Z10" s="102">
        <f>(V10-$V$7)/(D8-$D$5)</f>
        <v>0.18088078812842434</v>
      </c>
      <c r="AA10" s="101">
        <f>AVERAGE(Z8:Z10)</f>
        <v>0.22586710262678125</v>
      </c>
      <c r="AB10" s="109">
        <f>STDEV(Z8:Z10)/SQRT(3)</f>
        <v>2.2760248521083191E-2</v>
      </c>
      <c r="AD10" s="93">
        <f>D20</f>
        <v>240.18333333333334</v>
      </c>
      <c r="AE10" s="92">
        <f>S22</f>
        <v>41.279532491973576</v>
      </c>
      <c r="AF10" s="92">
        <f>U22</f>
        <v>5.805122827976807</v>
      </c>
      <c r="AG10" s="92">
        <v>121.91632334581773</v>
      </c>
      <c r="AH10" s="92">
        <f>Y22</f>
        <v>14.691006555952923</v>
      </c>
    </row>
    <row r="11" spans="1:34" x14ac:dyDescent="0.2">
      <c r="A11" s="64"/>
      <c r="B11" s="193" t="s">
        <v>28</v>
      </c>
      <c r="C11" s="196">
        <v>0.50347222222222221</v>
      </c>
      <c r="D11" s="199">
        <v>118.85000000000001</v>
      </c>
      <c r="E11" s="85" t="s">
        <v>94</v>
      </c>
      <c r="F11" s="202">
        <v>4.5199999999999997E-2</v>
      </c>
      <c r="G11" s="205">
        <v>4.4499999999999998E-2</v>
      </c>
      <c r="H11" s="106">
        <f>0.2008-F11</f>
        <v>0.15560000000000002</v>
      </c>
      <c r="I11" s="110">
        <f>0.1997-F11</f>
        <v>0.1545</v>
      </c>
      <c r="J11" s="110">
        <f>0.125-G11</f>
        <v>8.0500000000000002E-2</v>
      </c>
      <c r="K11" s="110">
        <f>0.1246-G11</f>
        <v>8.0100000000000005E-2</v>
      </c>
      <c r="L11" s="88">
        <f t="shared" si="0"/>
        <v>1.7325364667747166E-2</v>
      </c>
      <c r="M11" s="88">
        <f t="shared" si="1"/>
        <v>1.7186304700162074E-2</v>
      </c>
      <c r="N11" s="110">
        <f t="shared" si="2"/>
        <v>1.725583468395462E-2</v>
      </c>
      <c r="O11" s="88">
        <f>'Growth curves CeBER'!F11</f>
        <v>0.752</v>
      </c>
      <c r="P11" s="110">
        <f t="shared" si="3"/>
        <v>0.92751680000000003</v>
      </c>
      <c r="Q11" s="111">
        <f>P11*0.25/1000</f>
        <v>2.3187920000000001E-4</v>
      </c>
      <c r="R11" s="112">
        <f t="shared" si="4"/>
        <v>37.20867305897773</v>
      </c>
      <c r="S11" s="113"/>
      <c r="T11" s="114"/>
      <c r="U11" s="114"/>
      <c r="V11" s="92">
        <f t="shared" si="5"/>
        <v>34.511669367909235</v>
      </c>
      <c r="W11" s="108"/>
      <c r="X11" s="92"/>
      <c r="Y11" s="92"/>
      <c r="Z11" s="92">
        <f t="shared" ref="Z11:Z44" si="6">(V11-$V$5)/(D11-$D$5)</f>
        <v>0.30355810020435481</v>
      </c>
      <c r="AA11" s="108"/>
      <c r="AB11" s="115"/>
      <c r="AD11" s="93">
        <f>D23</f>
        <v>264.18333333333334</v>
      </c>
      <c r="AE11" s="92">
        <f>S25</f>
        <v>47.727512437453832</v>
      </c>
      <c r="AF11" s="92">
        <f>U25</f>
        <v>10.417619752756714</v>
      </c>
      <c r="AG11" s="92">
        <v>146.32727840199752</v>
      </c>
      <c r="AH11" s="92">
        <f>Y25</f>
        <v>25.733485635858475</v>
      </c>
    </row>
    <row r="12" spans="1:34" x14ac:dyDescent="0.2">
      <c r="A12" s="64"/>
      <c r="B12" s="194"/>
      <c r="C12" s="197"/>
      <c r="D12" s="200"/>
      <c r="E12" s="85" t="s">
        <v>95</v>
      </c>
      <c r="F12" s="203"/>
      <c r="G12" s="206"/>
      <c r="H12" s="86">
        <f>0.2006-F11</f>
        <v>0.15540000000000001</v>
      </c>
      <c r="I12" s="88">
        <f>0.2022-F11</f>
        <v>0.157</v>
      </c>
      <c r="J12" s="88">
        <f>0.1271-G11</f>
        <v>8.2599999999999993E-2</v>
      </c>
      <c r="K12" s="88">
        <f>0.1289-G11</f>
        <v>8.4399999999999989E-2</v>
      </c>
      <c r="L12" s="88">
        <f t="shared" si="0"/>
        <v>1.7087034035656406E-2</v>
      </c>
      <c r="M12" s="88">
        <f t="shared" si="1"/>
        <v>1.7169854132901136E-2</v>
      </c>
      <c r="N12" s="88">
        <f t="shared" si="2"/>
        <v>1.7128444084278771E-2</v>
      </c>
      <c r="O12" s="88">
        <f>'Growth curves CeBER'!G11</f>
        <v>0.79600000000000004</v>
      </c>
      <c r="P12" s="88">
        <f t="shared" si="3"/>
        <v>0.98178640000000006</v>
      </c>
      <c r="Q12" s="89">
        <f>P12*0.25/1000</f>
        <v>2.4544660000000001E-4</v>
      </c>
      <c r="R12" s="90">
        <f t="shared" si="4"/>
        <v>34.892404466549486</v>
      </c>
      <c r="S12" s="91"/>
      <c r="T12" s="92"/>
      <c r="U12" s="92"/>
      <c r="V12" s="92">
        <f t="shared" si="5"/>
        <v>34.256888168557545</v>
      </c>
      <c r="W12" s="108"/>
      <c r="X12" s="92"/>
      <c r="Y12" s="92"/>
      <c r="Z12" s="92">
        <f>(V12-$V$6)/(D11-$D$5)</f>
        <v>0.29943788316538655</v>
      </c>
      <c r="AA12" s="108"/>
      <c r="AB12" s="115"/>
      <c r="AD12" s="93">
        <f>D26</f>
        <v>288.18333333333334</v>
      </c>
      <c r="AE12" s="92">
        <f>S28</f>
        <v>36.839127316938495</v>
      </c>
      <c r="AF12" s="92">
        <f>U28</f>
        <v>1.1168300475684985</v>
      </c>
      <c r="AG12" s="92">
        <v>140.26860174781527</v>
      </c>
      <c r="AH12" s="92">
        <f>Y28</f>
        <v>0.9946557064259981</v>
      </c>
    </row>
    <row r="13" spans="1:34" x14ac:dyDescent="0.2">
      <c r="A13" s="64"/>
      <c r="B13" s="208"/>
      <c r="C13" s="209"/>
      <c r="D13" s="210"/>
      <c r="E13" s="95" t="s">
        <v>96</v>
      </c>
      <c r="F13" s="204"/>
      <c r="G13" s="207"/>
      <c r="H13" s="96">
        <f>0.1671-F11</f>
        <v>0.12190000000000001</v>
      </c>
      <c r="I13" s="98">
        <f>0.1682-F11</f>
        <v>0.123</v>
      </c>
      <c r="J13" s="98">
        <f>0.1074-G11</f>
        <v>6.2899999999999998E-2</v>
      </c>
      <c r="K13" s="98">
        <f>0.1089-G11</f>
        <v>6.4399999999999999E-2</v>
      </c>
      <c r="L13" s="88">
        <f t="shared" si="0"/>
        <v>1.3589222042139387E-2</v>
      </c>
      <c r="M13" s="88">
        <f t="shared" si="1"/>
        <v>1.3620421393841167E-2</v>
      </c>
      <c r="N13" s="98">
        <f t="shared" si="2"/>
        <v>1.3604821717990278E-2</v>
      </c>
      <c r="O13" s="98">
        <f>'Growth curves CeBER'!H11</f>
        <v>0.84599999999999997</v>
      </c>
      <c r="P13" s="98">
        <f t="shared" si="3"/>
        <v>1.0434564</v>
      </c>
      <c r="Q13" s="99">
        <f>P13*0.25/1000</f>
        <v>2.6086410000000001E-4</v>
      </c>
      <c r="R13" s="100">
        <f t="shared" si="4"/>
        <v>26.076454594538454</v>
      </c>
      <c r="S13" s="101">
        <f>AVERAGE(R11:R13)</f>
        <v>32.72584404002189</v>
      </c>
      <c r="T13" s="102">
        <f>STDEV(R11:R13)</f>
        <v>5.8738454224083023</v>
      </c>
      <c r="U13" s="102">
        <f>T13/SQRT(3)</f>
        <v>3.3912662358056846</v>
      </c>
      <c r="V13" s="102">
        <f t="shared" si="5"/>
        <v>27.209643435980553</v>
      </c>
      <c r="W13" s="101">
        <f>AVERAGE(V11:V13)</f>
        <v>31.992733657482443</v>
      </c>
      <c r="X13" s="102">
        <f>STDEV(V11:V13)</f>
        <v>4.1442360472294757</v>
      </c>
      <c r="Y13" s="102">
        <f>X13/SQRT(3)</f>
        <v>2.3926757974532884</v>
      </c>
      <c r="Z13" s="102">
        <f>(V13-$V$7)/(D11-$D$5)</f>
        <v>0.2330138115707138</v>
      </c>
      <c r="AA13" s="101">
        <f>AVERAGE(Z11:Z13)</f>
        <v>0.27866993164681836</v>
      </c>
      <c r="AB13" s="109">
        <f>STDEV(Z11:Z13)/SQRT(3)</f>
        <v>2.285902463955115E-2</v>
      </c>
      <c r="AD13" s="93">
        <f>D29</f>
        <v>312.08333333333331</v>
      </c>
      <c r="AE13" s="92">
        <f>S31</f>
        <v>57.611946410054067</v>
      </c>
      <c r="AF13" s="92">
        <f>U31</f>
        <v>6.5579076688958233</v>
      </c>
      <c r="AG13" s="92">
        <v>160.90347160216399</v>
      </c>
      <c r="AH13" s="92">
        <f>Y31</f>
        <v>23.293751455618086</v>
      </c>
    </row>
    <row r="14" spans="1:34" x14ac:dyDescent="0.2">
      <c r="A14" s="64"/>
      <c r="B14" s="193" t="s">
        <v>30</v>
      </c>
      <c r="C14" s="196">
        <v>0.52430555555555558</v>
      </c>
      <c r="D14" s="199">
        <v>191.35</v>
      </c>
      <c r="E14" s="85" t="s">
        <v>94</v>
      </c>
      <c r="F14" s="202">
        <v>3.6400000000000002E-2</v>
      </c>
      <c r="G14" s="205">
        <v>3.5099999999999999E-2</v>
      </c>
      <c r="H14" s="106">
        <f>0.1645-F14</f>
        <v>0.12809999999999999</v>
      </c>
      <c r="I14" s="110">
        <f>0.1607-F14</f>
        <v>0.12430000000000001</v>
      </c>
      <c r="J14" s="110">
        <f>0.1181-G14</f>
        <v>8.299999999999999E-2</v>
      </c>
      <c r="K14" s="110">
        <f>0.1153-G14</f>
        <v>8.0199999999999994E-2</v>
      </c>
      <c r="L14" s="88">
        <f t="shared" si="0"/>
        <v>1.262317666126418E-2</v>
      </c>
      <c r="M14" s="88">
        <f t="shared" si="1"/>
        <v>1.2281847649918964E-2</v>
      </c>
      <c r="N14" s="110">
        <f t="shared" si="2"/>
        <v>1.2452512155591573E-2</v>
      </c>
      <c r="O14" s="110">
        <f>'Growth curves CeBER'!F13</f>
        <v>1.472</v>
      </c>
      <c r="P14" s="110">
        <f t="shared" si="3"/>
        <v>1.8155648</v>
      </c>
      <c r="Q14" s="111">
        <f t="shared" ref="Q14:Q22" si="7">O14*0.125/1000</f>
        <v>1.84E-4</v>
      </c>
      <c r="R14" s="112">
        <f t="shared" si="4"/>
        <v>33.838348248890142</v>
      </c>
      <c r="S14" s="113"/>
      <c r="T14" s="114"/>
      <c r="U14" s="114"/>
      <c r="V14" s="92">
        <f t="shared" si="5"/>
        <v>61.435713970826583</v>
      </c>
      <c r="W14" s="108"/>
      <c r="X14" s="92"/>
      <c r="Y14" s="92"/>
      <c r="Z14" s="92">
        <f t="shared" si="6"/>
        <v>0.33276254973763186</v>
      </c>
      <c r="AA14" s="108"/>
      <c r="AB14" s="115"/>
      <c r="AD14" s="93">
        <f>D32</f>
        <v>336.08333333333331</v>
      </c>
      <c r="AE14" s="92">
        <f>S34</f>
        <v>51.858920057621425</v>
      </c>
      <c r="AF14" s="92">
        <f>U34</f>
        <v>10.75099838527583</v>
      </c>
      <c r="AG14" s="92">
        <v>170.405930087391</v>
      </c>
      <c r="AH14" s="92">
        <f>Y34</f>
        <v>35.412494804015239</v>
      </c>
    </row>
    <row r="15" spans="1:34" x14ac:dyDescent="0.2">
      <c r="A15" s="64"/>
      <c r="B15" s="194"/>
      <c r="C15" s="197"/>
      <c r="D15" s="200"/>
      <c r="E15" s="85" t="s">
        <v>95</v>
      </c>
      <c r="F15" s="203"/>
      <c r="G15" s="206"/>
      <c r="H15" s="86">
        <f>0.1437-F14</f>
        <v>0.10729999999999999</v>
      </c>
      <c r="I15" s="88">
        <f>0.1391-F14</f>
        <v>0.1027</v>
      </c>
      <c r="J15" s="88">
        <f>0.0951-G14</f>
        <v>6.0000000000000005E-2</v>
      </c>
      <c r="K15" s="88">
        <f>0.0915-G14</f>
        <v>5.6399999999999999E-2</v>
      </c>
      <c r="L15" s="88">
        <f t="shared" si="0"/>
        <v>1.1507293354943273E-2</v>
      </c>
      <c r="M15" s="88">
        <f t="shared" si="1"/>
        <v>1.1114748784440843E-2</v>
      </c>
      <c r="N15" s="88">
        <f t="shared" si="2"/>
        <v>1.1311021069692059E-2</v>
      </c>
      <c r="O15" s="88">
        <f>'Growth curves CeBER'!G13</f>
        <v>1.3640000000000001</v>
      </c>
      <c r="P15" s="88">
        <f t="shared" si="3"/>
        <v>1.6823576000000002</v>
      </c>
      <c r="Q15" s="89">
        <f t="shared" si="7"/>
        <v>1.7050000000000002E-4</v>
      </c>
      <c r="R15" s="90">
        <f t="shared" si="4"/>
        <v>33.170149764492834</v>
      </c>
      <c r="S15" s="91"/>
      <c r="T15" s="92"/>
      <c r="U15" s="92"/>
      <c r="V15" s="92">
        <f t="shared" si="5"/>
        <v>55.804053549432737</v>
      </c>
      <c r="W15" s="108"/>
      <c r="X15" s="92"/>
      <c r="Y15" s="92"/>
      <c r="Z15" s="92">
        <f>(V15-$V$6)/(D14-$D$5)</f>
        <v>0.29847502485678068</v>
      </c>
      <c r="AA15" s="108"/>
      <c r="AB15" s="115"/>
      <c r="AD15" s="93">
        <f>D35</f>
        <v>360.08333333333331</v>
      </c>
      <c r="AE15" s="92">
        <f>S37</f>
        <v>44.661674077402751</v>
      </c>
      <c r="AF15" s="92">
        <f>U37</f>
        <v>4.7460893422753854</v>
      </c>
      <c r="AG15" s="92">
        <v>188.96947565543101</v>
      </c>
      <c r="AH15" s="92">
        <f>Y37</f>
        <v>15.066973191303507</v>
      </c>
    </row>
    <row r="16" spans="1:34" x14ac:dyDescent="0.2">
      <c r="A16" s="64"/>
      <c r="B16" s="208"/>
      <c r="C16" s="209"/>
      <c r="D16" s="210"/>
      <c r="E16" s="95" t="s">
        <v>96</v>
      </c>
      <c r="F16" s="204"/>
      <c r="G16" s="207"/>
      <c r="H16" s="96"/>
      <c r="I16" s="98"/>
      <c r="J16" s="98"/>
      <c r="K16" s="98"/>
      <c r="L16" s="88">
        <f t="shared" si="0"/>
        <v>0</v>
      </c>
      <c r="M16" s="88">
        <f t="shared" si="1"/>
        <v>0</v>
      </c>
      <c r="N16" s="98">
        <f t="shared" si="2"/>
        <v>0</v>
      </c>
      <c r="O16" s="98">
        <f>'Growth curves CeBER'!H13</f>
        <v>1.3660000000000001</v>
      </c>
      <c r="P16" s="98">
        <f t="shared" si="3"/>
        <v>1.6848244000000001</v>
      </c>
      <c r="Q16" s="99">
        <f t="shared" si="7"/>
        <v>1.7075E-4</v>
      </c>
      <c r="R16" s="100"/>
      <c r="S16" s="101">
        <f>AVERAGE(R14:R16)</f>
        <v>33.504249006691488</v>
      </c>
      <c r="T16" s="102">
        <f>STDEV(R14:R16)</f>
        <v>0.4724876794959102</v>
      </c>
      <c r="U16" s="102">
        <f>T16/SQRT(3)</f>
        <v>0.27279088894574538</v>
      </c>
      <c r="V16" s="102"/>
      <c r="W16" s="101">
        <f>AVERAGE(V14:V16)</f>
        <v>58.61988376012966</v>
      </c>
      <c r="X16" s="102">
        <f>STDEV(V14:V16)</f>
        <v>3.9821852733074783</v>
      </c>
      <c r="Y16" s="102">
        <f>X16/SQRT(3)</f>
        <v>2.2991157395070361</v>
      </c>
      <c r="Z16" s="102">
        <f>(V16-$V$7)/(D14-$D$5)</f>
        <v>-2.8985068279923632E-2</v>
      </c>
      <c r="AA16" s="101">
        <f>AVERAGE(Z14:Z16)</f>
        <v>0.20075083543816297</v>
      </c>
      <c r="AB16" s="109">
        <f>STDEV(Z14:Z16)/SQRT(3)</f>
        <v>0.11529360734444939</v>
      </c>
      <c r="AD16" s="93">
        <f>D38</f>
        <v>384.08333333333331</v>
      </c>
      <c r="AE16" s="92">
        <f>S40</f>
        <v>46.860442785168175</v>
      </c>
      <c r="AF16" s="92">
        <f>U40</f>
        <v>4.5397687937179061</v>
      </c>
      <c r="AG16" s="92">
        <v>198.96947565543073</v>
      </c>
      <c r="AH16" s="92">
        <f>Y40</f>
        <v>15.377628432676286</v>
      </c>
    </row>
    <row r="17" spans="1:34" x14ac:dyDescent="0.2">
      <c r="A17" s="64"/>
      <c r="B17" s="193" t="s">
        <v>31</v>
      </c>
      <c r="C17" s="196">
        <v>0.56319444444444444</v>
      </c>
      <c r="D17" s="199">
        <v>216.28333333333333</v>
      </c>
      <c r="E17" s="85" t="s">
        <v>94</v>
      </c>
      <c r="F17" s="202">
        <f>(0.0517+0.038+0.0419)/3</f>
        <v>4.3866666666666665E-2</v>
      </c>
      <c r="G17" s="205">
        <f>(0.0509+0.0369+0.0407)/3</f>
        <v>4.2833333333333334E-2</v>
      </c>
      <c r="H17" s="86">
        <f>0.2101-F17</f>
        <v>0.16623333333333334</v>
      </c>
      <c r="I17" s="88">
        <f>0.2086-F17</f>
        <v>0.16473333333333334</v>
      </c>
      <c r="J17" s="88">
        <f>0.1332-G17</f>
        <v>9.0366666666666678E-2</v>
      </c>
      <c r="K17" s="88">
        <f>0.132-G17</f>
        <v>8.9166666666666672E-2</v>
      </c>
      <c r="L17" s="88">
        <f t="shared" si="0"/>
        <v>1.8081280388978931E-2</v>
      </c>
      <c r="M17" s="88">
        <f t="shared" si="1"/>
        <v>1.7955834683954622E-2</v>
      </c>
      <c r="N17" s="110">
        <f t="shared" si="2"/>
        <v>1.8018557536466778E-2</v>
      </c>
      <c r="O17" s="110">
        <f>'Growth curves CeBER'!F14</f>
        <v>1.5720000000000001</v>
      </c>
      <c r="P17" s="110">
        <f t="shared" si="3"/>
        <v>1.9389048000000002</v>
      </c>
      <c r="Q17" s="111">
        <f t="shared" si="7"/>
        <v>1.9650000000000001E-4</v>
      </c>
      <c r="R17" s="112">
        <f t="shared" si="4"/>
        <v>45.848746912129208</v>
      </c>
      <c r="S17" s="116"/>
      <c r="T17" s="117"/>
      <c r="U17" s="117"/>
      <c r="V17" s="92">
        <f t="shared" si="5"/>
        <v>88.896355461912506</v>
      </c>
      <c r="W17" s="108"/>
      <c r="X17" s="92"/>
      <c r="Y17" s="92"/>
      <c r="Z17" s="92">
        <f>(V17-$V$5)/(D17-$D$5)</f>
        <v>0.43191964831107599</v>
      </c>
      <c r="AA17" s="108"/>
      <c r="AB17" s="115"/>
      <c r="AD17" s="93">
        <f>D41</f>
        <v>408.08333333333331</v>
      </c>
      <c r="AE17" s="92">
        <f>S43</f>
        <v>51.047603167388047</v>
      </c>
      <c r="AF17" s="92">
        <f>U43</f>
        <v>1.6605797703528733</v>
      </c>
      <c r="AG17" s="92">
        <v>200.17421972534328</v>
      </c>
      <c r="AH17" s="92">
        <f>Y43</f>
        <v>0.78521001905803545</v>
      </c>
    </row>
    <row r="18" spans="1:34" ht="15" customHeight="1" x14ac:dyDescent="0.2">
      <c r="A18" s="64"/>
      <c r="B18" s="194"/>
      <c r="C18" s="197"/>
      <c r="D18" s="200"/>
      <c r="E18" s="85" t="s">
        <v>95</v>
      </c>
      <c r="F18" s="203"/>
      <c r="G18" s="206"/>
      <c r="H18" s="86">
        <f>0.2096-F17</f>
        <v>0.16573333333333334</v>
      </c>
      <c r="I18" s="88">
        <f>0.206-F17</f>
        <v>0.16213333333333332</v>
      </c>
      <c r="J18" s="88">
        <f>0.1354-G17</f>
        <v>9.2566666666666658E-2</v>
      </c>
      <c r="K18" s="88">
        <f>0.1324-G17</f>
        <v>8.9566666666666656E-2</v>
      </c>
      <c r="L18" s="88">
        <f t="shared" si="0"/>
        <v>1.7784521880064831E-2</v>
      </c>
      <c r="M18" s="88">
        <f t="shared" si="1"/>
        <v>1.7495218800648298E-2</v>
      </c>
      <c r="N18" s="88">
        <f t="shared" si="2"/>
        <v>1.7639870340356564E-2</v>
      </c>
      <c r="O18" s="88">
        <f>'Growth curves CeBER'!G14</f>
        <v>1.62</v>
      </c>
      <c r="P18" s="88">
        <f t="shared" si="3"/>
        <v>1.9981080000000002</v>
      </c>
      <c r="Q18" s="89">
        <f t="shared" si="7"/>
        <v>2.0250000000000002E-4</v>
      </c>
      <c r="R18" s="90">
        <f t="shared" si="4"/>
        <v>43.555235408287807</v>
      </c>
      <c r="S18" s="91"/>
      <c r="V18" s="92">
        <f t="shared" si="5"/>
        <v>87.028064311183144</v>
      </c>
      <c r="W18" s="108"/>
      <c r="X18" s="92"/>
      <c r="Y18" s="92"/>
      <c r="Z18" s="92">
        <f>(V18-$V$6)/(D17-$D$5)</f>
        <v>0.42152797488431432</v>
      </c>
      <c r="AA18" s="108"/>
      <c r="AB18" s="115"/>
      <c r="AD18" s="93">
        <f>D44</f>
        <v>432.25</v>
      </c>
      <c r="AE18" s="92">
        <f>S46</f>
        <v>48.744017274964115</v>
      </c>
      <c r="AF18" s="92">
        <f>U46</f>
        <v>3.5176053748476233</v>
      </c>
      <c r="AG18" s="92">
        <v>205.02143154390345</v>
      </c>
      <c r="AH18" s="92">
        <f>Y46</f>
        <v>6.545657339241588</v>
      </c>
    </row>
    <row r="19" spans="1:34" ht="15" customHeight="1" x14ac:dyDescent="0.2">
      <c r="A19" s="64"/>
      <c r="B19" s="208"/>
      <c r="C19" s="209"/>
      <c r="D19" s="210"/>
      <c r="E19" s="95" t="s">
        <v>96</v>
      </c>
      <c r="F19" s="204"/>
      <c r="G19" s="207"/>
      <c r="H19" s="86">
        <f>0.2155-F17</f>
        <v>0.17163333333333333</v>
      </c>
      <c r="I19" s="88">
        <f>0.2239-F17</f>
        <v>0.18003333333333332</v>
      </c>
      <c r="J19" s="88">
        <f>0.1402-G17</f>
        <v>9.7366666666666657E-2</v>
      </c>
      <c r="K19" s="88">
        <f>0.1487-G17</f>
        <v>0.10586666666666666</v>
      </c>
      <c r="L19" s="88">
        <f t="shared" si="0"/>
        <v>1.8270097244732577E-2</v>
      </c>
      <c r="M19" s="88">
        <f t="shared" si="1"/>
        <v>1.879805510534846E-2</v>
      </c>
      <c r="N19" s="98">
        <f t="shared" si="2"/>
        <v>1.853407617504052E-2</v>
      </c>
      <c r="O19" s="98">
        <f>'Growth curves CeBER'!H14</f>
        <v>1.6719999999999999</v>
      </c>
      <c r="P19" s="98">
        <f t="shared" si="3"/>
        <v>2.0622448000000002</v>
      </c>
      <c r="Q19" s="99">
        <f t="shared" si="7"/>
        <v>2.0899999999999998E-4</v>
      </c>
      <c r="R19" s="100">
        <f t="shared" si="4"/>
        <v>44.339895155599336</v>
      </c>
      <c r="S19" s="101">
        <f>AVERAGE(R17:R19)</f>
        <v>44.581292492005446</v>
      </c>
      <c r="T19" s="102">
        <f>STDEV(R17:R19)</f>
        <v>1.1656557210777059</v>
      </c>
      <c r="U19" s="102">
        <f>T19/SQRT(3)</f>
        <v>0.67299164434664083</v>
      </c>
      <c r="V19" s="102">
        <f t="shared" si="5"/>
        <v>91.43971821717993</v>
      </c>
      <c r="W19" s="101">
        <f>AVERAGE(V17:V19)</f>
        <v>89.12137933009187</v>
      </c>
      <c r="X19" s="102">
        <f>STDEV(V17:V19)</f>
        <v>2.214418513405263</v>
      </c>
      <c r="Y19" s="102">
        <f>X19/SQRT(3)</f>
        <v>1.2784951248130196</v>
      </c>
      <c r="Z19" s="102">
        <f>(V19-$V$7)/(D17-$D$5)</f>
        <v>0.44788150253566467</v>
      </c>
      <c r="AA19" s="101">
        <f>AVERAGE(Z17:Z19)</f>
        <v>0.43377637524368495</v>
      </c>
      <c r="AB19" s="109">
        <f>STDEV(Z17:Z19)/SQRT(3)</f>
        <v>7.6640433430909165E-3</v>
      </c>
      <c r="AD19" s="93"/>
      <c r="AE19" s="92"/>
      <c r="AF19" s="92"/>
      <c r="AH19" s="92"/>
    </row>
    <row r="20" spans="1:34" x14ac:dyDescent="0.2">
      <c r="A20" s="64"/>
      <c r="B20" s="193" t="s">
        <v>38</v>
      </c>
      <c r="C20" s="196">
        <v>0.55902777777777779</v>
      </c>
      <c r="D20" s="199">
        <v>240.18333333333334</v>
      </c>
      <c r="E20" s="85" t="s">
        <v>94</v>
      </c>
      <c r="F20" s="202">
        <f>0.0468</f>
        <v>4.6800000000000001E-2</v>
      </c>
      <c r="G20" s="205">
        <v>4.5199999999999997E-2</v>
      </c>
      <c r="H20" s="86">
        <f>0.2649-F20</f>
        <v>0.21810000000000002</v>
      </c>
      <c r="I20" s="88">
        <f>0.2626-F20</f>
        <v>0.21579999999999999</v>
      </c>
      <c r="J20" s="88">
        <f>0.2411-G20</f>
        <v>0.19590000000000002</v>
      </c>
      <c r="K20" s="88">
        <f>0.2416-G20</f>
        <v>0.19640000000000002</v>
      </c>
      <c r="L20" s="88">
        <f t="shared" si="0"/>
        <v>1.6139465153970828E-2</v>
      </c>
      <c r="M20" s="88">
        <f t="shared" si="1"/>
        <v>1.5717666126418148E-2</v>
      </c>
      <c r="N20" s="88">
        <f t="shared" si="2"/>
        <v>1.5928565640194486E-2</v>
      </c>
      <c r="O20" s="110">
        <f>'Growth curves CeBER'!F15</f>
        <v>1.734</v>
      </c>
      <c r="P20" s="88">
        <f t="shared" si="3"/>
        <v>2.1387156000000003</v>
      </c>
      <c r="Q20" s="89">
        <f t="shared" si="7"/>
        <v>2.1675000000000001E-4</v>
      </c>
      <c r="R20" s="90">
        <f t="shared" si="4"/>
        <v>36.744096055811966</v>
      </c>
      <c r="S20" s="91"/>
      <c r="V20" s="92">
        <f t="shared" si="5"/>
        <v>78.585171442463533</v>
      </c>
      <c r="W20" s="108"/>
      <c r="X20" s="92"/>
      <c r="Y20" s="92"/>
      <c r="Z20" s="92">
        <f>(V20-$V$5)/(D17-$D$5)</f>
        <v>0.37856754058712477</v>
      </c>
      <c r="AA20" s="108"/>
      <c r="AB20" s="115"/>
      <c r="AD20" s="93"/>
      <c r="AE20" s="92"/>
      <c r="AF20" s="92"/>
      <c r="AH20" s="92"/>
    </row>
    <row r="21" spans="1:34" x14ac:dyDescent="0.2">
      <c r="A21" s="64"/>
      <c r="B21" s="194"/>
      <c r="C21" s="197"/>
      <c r="D21" s="200"/>
      <c r="E21" s="85" t="s">
        <v>95</v>
      </c>
      <c r="F21" s="203"/>
      <c r="G21" s="206"/>
      <c r="H21" s="86">
        <f>0.2587-F20</f>
        <v>0.21189999999999998</v>
      </c>
      <c r="I21" s="88">
        <f>0.2413-F20</f>
        <v>0.19449999999999998</v>
      </c>
      <c r="J21" s="88">
        <f>0.2229-G20</f>
        <v>0.1777</v>
      </c>
      <c r="K21" s="88">
        <f>0.214-G20</f>
        <v>0.16880000000000001</v>
      </c>
      <c r="L21" s="88">
        <f t="shared" si="0"/>
        <v>1.6919205834683954E-2</v>
      </c>
      <c r="M21" s="88">
        <f t="shared" si="1"/>
        <v>1.4971799027552669E-2</v>
      </c>
      <c r="N21" s="88">
        <f t="shared" si="2"/>
        <v>1.5945502431118311E-2</v>
      </c>
      <c r="O21" s="88">
        <f>'Growth curves CeBER'!G15</f>
        <v>1.86</v>
      </c>
      <c r="P21" s="88">
        <f t="shared" si="3"/>
        <v>2.2941240000000001</v>
      </c>
      <c r="Q21" s="89">
        <f t="shared" si="7"/>
        <v>2.3250000000000001E-4</v>
      </c>
      <c r="R21" s="90">
        <f t="shared" si="4"/>
        <v>34.291403077673785</v>
      </c>
      <c r="S21" s="91"/>
      <c r="V21" s="92">
        <f t="shared" si="5"/>
        <v>78.668730794165299</v>
      </c>
      <c r="W21" s="108"/>
      <c r="X21" s="92"/>
      <c r="Y21" s="92"/>
      <c r="Z21" s="92">
        <f>(V21-$V$6)/(D17-$D$5)</f>
        <v>0.37827512812499475</v>
      </c>
      <c r="AA21" s="108"/>
      <c r="AB21" s="115"/>
      <c r="AD21" s="93"/>
      <c r="AE21" s="92"/>
      <c r="AF21" s="92"/>
      <c r="AG21" s="92"/>
      <c r="AH21" s="92"/>
    </row>
    <row r="22" spans="1:34" x14ac:dyDescent="0.2">
      <c r="A22" s="64"/>
      <c r="B22" s="208"/>
      <c r="C22" s="209"/>
      <c r="D22" s="210"/>
      <c r="E22" s="95" t="s">
        <v>96</v>
      </c>
      <c r="F22" s="204"/>
      <c r="G22" s="207"/>
      <c r="H22" s="96">
        <f>0.2797-F20</f>
        <v>0.2329</v>
      </c>
      <c r="I22" s="98">
        <f>0.3242-F20</f>
        <v>0.27739999999999998</v>
      </c>
      <c r="J22" s="98">
        <f>0.2121-G20</f>
        <v>0.16690000000000002</v>
      </c>
      <c r="K22" s="98">
        <f>0.2145-G20</f>
        <v>0.16930000000000001</v>
      </c>
      <c r="L22" s="88">
        <f t="shared" si="0"/>
        <v>2.1381766612641812E-2</v>
      </c>
      <c r="M22" s="88">
        <f t="shared" si="1"/>
        <v>2.8358752025931924E-2</v>
      </c>
      <c r="N22" s="98">
        <f t="shared" si="2"/>
        <v>2.4870259319286867E-2</v>
      </c>
      <c r="O22" s="98">
        <f>'Growth curves CeBER'!H15</f>
        <v>1.8839999999999999</v>
      </c>
      <c r="P22" s="98">
        <f t="shared" si="3"/>
        <v>2.3237255999999999</v>
      </c>
      <c r="Q22" s="99">
        <f t="shared" si="7"/>
        <v>2.3549999999999998E-4</v>
      </c>
      <c r="R22" s="100">
        <f t="shared" si="4"/>
        <v>52.803098342434964</v>
      </c>
      <c r="S22" s="101">
        <f>AVERAGE(R20:R22)</f>
        <v>41.279532491973576</v>
      </c>
      <c r="T22" s="102">
        <f>STDEV(R20:R22)</f>
        <v>10.054767682233752</v>
      </c>
      <c r="U22" s="102">
        <f>T22/SQRT(3)</f>
        <v>5.805122827976807</v>
      </c>
      <c r="V22" s="102">
        <f t="shared" si="5"/>
        <v>122.6999113776337</v>
      </c>
      <c r="W22" s="101">
        <f>AVERAGE(V20:V22)</f>
        <v>93.317937871420853</v>
      </c>
      <c r="X22" s="102">
        <f>STDEV(V20:V22)</f>
        <v>25.445569769237927</v>
      </c>
      <c r="Y22" s="102">
        <f>X22/SQRT(3)</f>
        <v>14.691006555952923</v>
      </c>
      <c r="Z22" s="102">
        <f>(V22-$V$7)/(D17-$D$5)</f>
        <v>0.60962793144453209</v>
      </c>
      <c r="AA22" s="101">
        <f>AVERAGE(Z20:Z22)</f>
        <v>0.45549020005221719</v>
      </c>
      <c r="AB22" s="109">
        <f>STDEV(Z20:Z22)/SQRT(3)</f>
        <v>7.7068911923764874E-2</v>
      </c>
      <c r="AD22" s="93"/>
      <c r="AE22" s="92"/>
      <c r="AF22" s="92"/>
      <c r="AG22" s="92"/>
      <c r="AH22" s="92"/>
    </row>
    <row r="23" spans="1:34" x14ac:dyDescent="0.2">
      <c r="A23" s="64"/>
      <c r="B23" s="193" t="s">
        <v>39</v>
      </c>
      <c r="C23" s="196">
        <v>0.55902777777777779</v>
      </c>
      <c r="D23" s="199">
        <v>264.18333333333334</v>
      </c>
      <c r="E23" s="85" t="s">
        <v>94</v>
      </c>
      <c r="F23" s="202">
        <v>4.4299999999999999E-2</v>
      </c>
      <c r="G23" s="205">
        <v>4.3999999999999997E-2</v>
      </c>
      <c r="H23" s="106">
        <f>0.2281-F23</f>
        <v>0.18379999999999999</v>
      </c>
      <c r="I23" s="110">
        <f>0.2269-F23</f>
        <v>0.18259999999999998</v>
      </c>
      <c r="J23" s="110">
        <f>0.1523-G23</f>
        <v>0.10829999999999999</v>
      </c>
      <c r="K23" s="110">
        <f>0.1521-G23</f>
        <v>0.10810000000000002</v>
      </c>
      <c r="L23" s="88">
        <f t="shared" si="0"/>
        <v>1.916993517017828E-2</v>
      </c>
      <c r="M23" s="88">
        <f t="shared" si="1"/>
        <v>1.8995056726093997E-2</v>
      </c>
      <c r="N23" s="110">
        <f t="shared" si="2"/>
        <v>1.9082495948136137E-2</v>
      </c>
      <c r="O23" s="110">
        <f>'Growth curves CeBER'!F16</f>
        <v>1.9139999999999999</v>
      </c>
      <c r="P23" s="110">
        <f t="shared" si="3"/>
        <v>2.3607276000000001</v>
      </c>
      <c r="Q23" s="111">
        <f>O23*0.1/1000</f>
        <v>1.9140000000000002E-4</v>
      </c>
      <c r="R23" s="112">
        <f t="shared" si="4"/>
        <v>49.849780428777784</v>
      </c>
      <c r="S23" s="116"/>
      <c r="T23" s="117"/>
      <c r="U23" s="117"/>
      <c r="V23" s="92">
        <f t="shared" si="5"/>
        <v>117.68175251215555</v>
      </c>
      <c r="W23" s="108"/>
      <c r="X23" s="92"/>
      <c r="Y23" s="92"/>
      <c r="Z23" s="92">
        <f t="shared" si="6"/>
        <v>0.46549164235174978</v>
      </c>
      <c r="AA23" s="108"/>
      <c r="AB23" s="115"/>
      <c r="AC23" s="92"/>
      <c r="AD23" s="92"/>
      <c r="AE23" s="92"/>
    </row>
    <row r="24" spans="1:34" x14ac:dyDescent="0.2">
      <c r="A24" s="64"/>
      <c r="B24" s="194"/>
      <c r="C24" s="197"/>
      <c r="D24" s="200"/>
      <c r="E24" s="85" t="s">
        <v>95</v>
      </c>
      <c r="F24" s="203"/>
      <c r="G24" s="206"/>
      <c r="H24" s="86">
        <f>0.3365-F23</f>
        <v>0.29220000000000002</v>
      </c>
      <c r="I24" s="88">
        <f>0.311-F23</f>
        <v>0.26669999999999999</v>
      </c>
      <c r="J24" s="88">
        <f>0.2532-G23</f>
        <v>0.2092</v>
      </c>
      <c r="K24" s="88">
        <f>0.2272-G23</f>
        <v>0.18320000000000003</v>
      </c>
      <c r="L24" s="88">
        <f t="shared" si="0"/>
        <v>2.6845056726094007E-2</v>
      </c>
      <c r="M24" s="88">
        <f t="shared" si="1"/>
        <v>2.5261588330632086E-2</v>
      </c>
      <c r="N24" s="88">
        <f t="shared" si="2"/>
        <v>2.6053322528363045E-2</v>
      </c>
      <c r="O24" s="88">
        <f>'Growth curves CeBER'!G16</f>
        <v>2.016</v>
      </c>
      <c r="P24" s="88">
        <f t="shared" si="3"/>
        <v>2.4865344</v>
      </c>
      <c r="Q24" s="89">
        <f>O24*0.1/1000</f>
        <v>2.0159999999999999E-4</v>
      </c>
      <c r="R24" s="90">
        <f t="shared" si="4"/>
        <v>64.616375318360724</v>
      </c>
      <c r="S24" s="91"/>
      <c r="V24" s="92">
        <f t="shared" si="5"/>
        <v>160.6708400324149</v>
      </c>
      <c r="W24" s="108"/>
      <c r="X24" s="92"/>
      <c r="Y24" s="92"/>
      <c r="Z24" s="92">
        <f>(V24-$V$7)/(D23-$D$5)</f>
        <v>0.64599179076141422</v>
      </c>
      <c r="AA24" s="108"/>
      <c r="AB24" s="115"/>
      <c r="AC24" s="92"/>
      <c r="AD24" s="92"/>
      <c r="AE24" s="92"/>
    </row>
    <row r="25" spans="1:34" x14ac:dyDescent="0.2">
      <c r="A25" s="64"/>
      <c r="B25" s="208"/>
      <c r="C25" s="209"/>
      <c r="D25" s="210"/>
      <c r="E25" s="95" t="s">
        <v>96</v>
      </c>
      <c r="F25" s="204"/>
      <c r="G25" s="207"/>
      <c r="H25" s="96">
        <f>0.1544-F23</f>
        <v>0.1101</v>
      </c>
      <c r="I25" s="98">
        <f>0.1522-F23</f>
        <v>0.1079</v>
      </c>
      <c r="J25" s="98">
        <f>0.108-G23</f>
        <v>6.4000000000000001E-2</v>
      </c>
      <c r="K25" s="98">
        <f>0.1037-G23</f>
        <v>5.9700000000000003E-2</v>
      </c>
      <c r="L25" s="88">
        <f t="shared" si="0"/>
        <v>1.1568881685575365E-2</v>
      </c>
      <c r="M25" s="88">
        <f t="shared" si="1"/>
        <v>1.1633954619124797E-2</v>
      </c>
      <c r="N25" s="98">
        <f t="shared" si="2"/>
        <v>1.1601418152350081E-2</v>
      </c>
      <c r="O25" s="98">
        <f>'Growth curves CeBER'!H16</f>
        <v>2.02</v>
      </c>
      <c r="P25" s="98">
        <f t="shared" si="3"/>
        <v>2.4914680000000002</v>
      </c>
      <c r="Q25" s="99">
        <f>O25*0.1/1000</f>
        <v>2.02E-4</v>
      </c>
      <c r="R25" s="100">
        <f t="shared" si="4"/>
        <v>28.716381565222971</v>
      </c>
      <c r="S25" s="101">
        <f>AVERAGE(R23:R25)</f>
        <v>47.727512437453832</v>
      </c>
      <c r="T25" s="102">
        <f>STDEV(R23:R25)</f>
        <v>18.043846705707754</v>
      </c>
      <c r="U25" s="102">
        <f>T25/SQRT(3)</f>
        <v>10.417619752756714</v>
      </c>
      <c r="V25" s="102">
        <f t="shared" si="5"/>
        <v>71.545945745542951</v>
      </c>
      <c r="W25" s="101">
        <f>AVERAGE(V23:V25)</f>
        <v>116.63284609670448</v>
      </c>
      <c r="X25" s="102">
        <f>STDEV(V23:V25)</f>
        <v>44.571704577150776</v>
      </c>
      <c r="Y25" s="102">
        <f>X25/SQRT(3)</f>
        <v>25.733485635858475</v>
      </c>
      <c r="Z25" s="102">
        <f>(V25-$V$7)/(D23-$D$5)</f>
        <v>0.27643452350417058</v>
      </c>
      <c r="AA25" s="101">
        <f>AVERAGE(Z23:Z25)</f>
        <v>0.46263931887244486</v>
      </c>
      <c r="AB25" s="109">
        <f>STDEV(Z23:Z25)/SQRT(3)</f>
        <v>0.10669152615146067</v>
      </c>
    </row>
    <row r="26" spans="1:34" x14ac:dyDescent="0.2">
      <c r="A26" s="64"/>
      <c r="B26" s="193" t="s">
        <v>40</v>
      </c>
      <c r="C26" s="196">
        <v>0.55902777777777779</v>
      </c>
      <c r="D26" s="199">
        <v>288.18333333333334</v>
      </c>
      <c r="E26" s="85" t="s">
        <v>94</v>
      </c>
      <c r="F26" s="202">
        <v>4.9299999999999997E-2</v>
      </c>
      <c r="G26" s="205">
        <v>4.8399999999999999E-2</v>
      </c>
      <c r="H26" s="106">
        <f>0.2359-F26</f>
        <v>0.18659999999999999</v>
      </c>
      <c r="I26" s="110">
        <f>0.2268-F26</f>
        <v>0.17749999999999999</v>
      </c>
      <c r="J26" s="110">
        <f>0.1506-G26</f>
        <v>0.10220000000000001</v>
      </c>
      <c r="K26" s="110">
        <f>0.1451-G26</f>
        <v>9.6700000000000008E-2</v>
      </c>
      <c r="L26" s="88">
        <f t="shared" si="0"/>
        <v>2.022188006482982E-2</v>
      </c>
      <c r="M26" s="88">
        <f t="shared" si="1"/>
        <v>1.9286304700162075E-2</v>
      </c>
      <c r="N26" s="110">
        <f t="shared" si="2"/>
        <v>1.9754092382495946E-2</v>
      </c>
      <c r="O26" s="110">
        <f>'Growth curves CeBER'!F17</f>
        <v>2.2959999999999998</v>
      </c>
      <c r="P26" s="110">
        <f t="shared" si="3"/>
        <v>2.8318863999999997</v>
      </c>
      <c r="Q26" s="111">
        <f>P26*0.1/1000</f>
        <v>2.8318864000000002E-4</v>
      </c>
      <c r="R26" s="112">
        <f t="shared" si="4"/>
        <v>34.877974594065542</v>
      </c>
      <c r="S26" s="116"/>
      <c r="T26" s="117"/>
      <c r="U26" s="117"/>
      <c r="V26" s="92">
        <f t="shared" si="5"/>
        <v>98.770461912479718</v>
      </c>
      <c r="W26" s="108"/>
      <c r="X26" s="92"/>
      <c r="Y26" s="92"/>
      <c r="Z26" s="92">
        <f t="shared" si="6"/>
        <v>0.35204189999052604</v>
      </c>
      <c r="AA26" s="108"/>
      <c r="AB26" s="115"/>
    </row>
    <row r="27" spans="1:34" x14ac:dyDescent="0.2">
      <c r="A27" s="64"/>
      <c r="B27" s="194"/>
      <c r="C27" s="197"/>
      <c r="D27" s="200"/>
      <c r="E27" s="85" t="s">
        <v>95</v>
      </c>
      <c r="F27" s="203"/>
      <c r="G27" s="206"/>
      <c r="H27" s="86">
        <f>0.2428-F26</f>
        <v>0.19350000000000001</v>
      </c>
      <c r="I27" s="88">
        <f>0.2299-F26</f>
        <v>0.18059999999999998</v>
      </c>
      <c r="J27" s="88">
        <f>0.1558-G26</f>
        <v>0.1074</v>
      </c>
      <c r="K27" s="88">
        <f>0.1445-G26</f>
        <v>9.6099999999999991E-2</v>
      </c>
      <c r="L27" s="88">
        <f t="shared" si="0"/>
        <v>2.0830307941653161E-2</v>
      </c>
      <c r="M27" s="88">
        <f t="shared" si="1"/>
        <v>1.9847568881685575E-2</v>
      </c>
      <c r="N27" s="88">
        <f t="shared" si="2"/>
        <v>2.0338938411669366E-2</v>
      </c>
      <c r="O27" s="88">
        <f>'Growth curves CeBER'!G17</f>
        <v>2.1280000000000001</v>
      </c>
      <c r="P27" s="88">
        <f t="shared" si="3"/>
        <v>2.6246752000000004</v>
      </c>
      <c r="Q27" s="89">
        <f>P27*0.1/1000</f>
        <v>2.6246752000000004E-4</v>
      </c>
      <c r="R27" s="90">
        <f t="shared" si="4"/>
        <v>38.745629195698889</v>
      </c>
      <c r="S27" s="91"/>
      <c r="V27" s="92">
        <f t="shared" si="5"/>
        <v>101.69469205834683</v>
      </c>
      <c r="W27" s="108"/>
      <c r="X27" s="92"/>
      <c r="Y27" s="92"/>
      <c r="Z27" s="92">
        <f>(V27-$V$6)/(D26-$D$5)</f>
        <v>0.36254155006840538</v>
      </c>
      <c r="AA27" s="108"/>
      <c r="AB27" s="115"/>
    </row>
    <row r="28" spans="1:34" x14ac:dyDescent="0.2">
      <c r="A28" s="64"/>
      <c r="B28" s="208"/>
      <c r="C28" s="209"/>
      <c r="D28" s="210"/>
      <c r="E28" s="95" t="s">
        <v>96</v>
      </c>
      <c r="F28" s="204"/>
      <c r="G28" s="207"/>
      <c r="H28" s="96">
        <f>0.2417-F26</f>
        <v>0.19240000000000002</v>
      </c>
      <c r="I28" s="98">
        <f>0.2457-F26</f>
        <v>0.19640000000000002</v>
      </c>
      <c r="J28" s="98">
        <f>0.168-G26</f>
        <v>0.11960000000000001</v>
      </c>
      <c r="K28" s="98">
        <f>0.169-G26</f>
        <v>0.12060000000000001</v>
      </c>
      <c r="L28" s="88">
        <f t="shared" si="0"/>
        <v>1.9455753646677475E-2</v>
      </c>
      <c r="M28" s="88">
        <f t="shared" si="1"/>
        <v>2.0005996758508917E-2</v>
      </c>
      <c r="N28" s="98">
        <f t="shared" si="2"/>
        <v>1.9730875202593194E-2</v>
      </c>
      <c r="O28" s="98">
        <f>'Growth curves CeBER'!H17</f>
        <v>2.1680000000000001</v>
      </c>
      <c r="P28" s="98">
        <f t="shared" si="3"/>
        <v>2.6740112000000003</v>
      </c>
      <c r="Q28" s="99">
        <f>P28*0.1/1000</f>
        <v>2.6740112000000007E-4</v>
      </c>
      <c r="R28" s="100">
        <f t="shared" si="4"/>
        <v>36.89377816105106</v>
      </c>
      <c r="S28" s="101">
        <f>AVERAGE(R26:R28)</f>
        <v>36.839127316938495</v>
      </c>
      <c r="T28" s="102">
        <f>STDEV(R26:R28)</f>
        <v>1.9344063858082052</v>
      </c>
      <c r="U28" s="102">
        <f>T28/SQRT(3)</f>
        <v>1.1168300475684985</v>
      </c>
      <c r="V28" s="102">
        <f t="shared" si="5"/>
        <v>98.65437601296594</v>
      </c>
      <c r="W28" s="101">
        <f>AVERAGE(V26:V28)</f>
        <v>99.706509994597511</v>
      </c>
      <c r="X28" s="102">
        <f>STDEV(V26:V28)</f>
        <v>1.722794219568142</v>
      </c>
      <c r="Y28" s="102">
        <f>X28/SQRT(3)</f>
        <v>0.9946557064259981</v>
      </c>
      <c r="Z28" s="102">
        <f>(V28-$V$7)/(D26-$D$5)</f>
        <v>0.35364634639539455</v>
      </c>
      <c r="AA28" s="101">
        <f>AVERAGE(Z26:Z28)</f>
        <v>0.35607659881810866</v>
      </c>
      <c r="AB28" s="109">
        <f>STDEV(Z26:Z28)/SQRT(3)</f>
        <v>3.2654891449857225E-3</v>
      </c>
    </row>
    <row r="29" spans="1:34" x14ac:dyDescent="0.2">
      <c r="A29" s="64"/>
      <c r="B29" s="193" t="s">
        <v>32</v>
      </c>
      <c r="C29" s="196">
        <v>0.55902777777777779</v>
      </c>
      <c r="D29" s="199">
        <v>312.08333333333331</v>
      </c>
      <c r="E29" s="85" t="s">
        <v>94</v>
      </c>
      <c r="F29" s="202">
        <f>(0.0534+0.0426)/2</f>
        <v>4.8000000000000001E-2</v>
      </c>
      <c r="G29" s="205">
        <f>(0.0518+0.0414)/2</f>
        <v>4.6600000000000003E-2</v>
      </c>
      <c r="H29" s="106">
        <f>0.2977-F29</f>
        <v>0.24970000000000003</v>
      </c>
      <c r="I29" s="110">
        <f>0.2671-F29</f>
        <v>0.21910000000000002</v>
      </c>
      <c r="J29" s="110">
        <f>0.1351-G29</f>
        <v>8.8499999999999995E-2</v>
      </c>
      <c r="K29" s="110">
        <f>0.1354-G29</f>
        <v>8.879999999999999E-2</v>
      </c>
      <c r="L29" s="88">
        <f t="shared" si="0"/>
        <v>3.1792139384116701E-2</v>
      </c>
      <c r="M29" s="88">
        <f t="shared" si="1"/>
        <v>2.6803241491085903E-2</v>
      </c>
      <c r="N29" s="110">
        <f t="shared" si="2"/>
        <v>2.9297690437601304E-2</v>
      </c>
      <c r="O29" s="110">
        <f>'Growth curves CeBER'!F18</f>
        <v>2.48</v>
      </c>
      <c r="P29" s="110">
        <f t="shared" si="3"/>
        <v>3.0588320000000002</v>
      </c>
      <c r="Q29" s="111">
        <f t="shared" ref="Q29:Q34" si="8">P29*0.075/1000</f>
        <v>2.2941240000000002E-4</v>
      </c>
      <c r="R29" s="112">
        <f t="shared" si="4"/>
        <v>63.853763871528528</v>
      </c>
      <c r="S29" s="116"/>
      <c r="T29" s="117"/>
      <c r="U29" s="117"/>
      <c r="V29" s="92">
        <f t="shared" si="5"/>
        <v>195.31793625067536</v>
      </c>
      <c r="W29" s="108"/>
      <c r="X29" s="92"/>
      <c r="Y29" s="92"/>
      <c r="Z29" s="92">
        <f t="shared" si="6"/>
        <v>0.65693237368202306</v>
      </c>
      <c r="AA29" s="108"/>
      <c r="AB29" s="115"/>
    </row>
    <row r="30" spans="1:34" x14ac:dyDescent="0.2">
      <c r="A30" s="64"/>
      <c r="B30" s="194"/>
      <c r="C30" s="197"/>
      <c r="D30" s="200"/>
      <c r="E30" s="85" t="s">
        <v>95</v>
      </c>
      <c r="F30" s="203"/>
      <c r="G30" s="206"/>
      <c r="H30" s="86">
        <f>0.274-F29</f>
        <v>0.22600000000000003</v>
      </c>
      <c r="I30" s="88">
        <f>0.2489-F29</f>
        <v>0.20090000000000002</v>
      </c>
      <c r="J30" s="88">
        <f>0.1038-G29</f>
        <v>5.7200000000000001E-2</v>
      </c>
      <c r="K30" s="88">
        <f>0.1198-G29</f>
        <v>7.3200000000000001E-2</v>
      </c>
      <c r="L30" s="88">
        <f t="shared" si="0"/>
        <v>3.1020097244732585E-2</v>
      </c>
      <c r="M30" s="88">
        <f t="shared" si="1"/>
        <v>2.5383144246353326E-2</v>
      </c>
      <c r="N30" s="88">
        <f t="shared" si="2"/>
        <v>2.8201620745542957E-2</v>
      </c>
      <c r="O30" s="88">
        <f>'Growth curves CeBER'!G18</f>
        <v>2.3639999999999999</v>
      </c>
      <c r="P30" s="88">
        <f t="shared" si="3"/>
        <v>2.9157576000000001</v>
      </c>
      <c r="Q30" s="89">
        <f t="shared" si="8"/>
        <v>2.1868182000000001E-4</v>
      </c>
      <c r="R30" s="90">
        <f t="shared" si="4"/>
        <v>64.480944839271402</v>
      </c>
      <c r="S30" s="91"/>
      <c r="V30" s="92">
        <f t="shared" si="5"/>
        <v>188.01080497028636</v>
      </c>
      <c r="W30" s="108"/>
      <c r="X30" s="92"/>
      <c r="Y30" s="92"/>
      <c r="Z30" s="92">
        <f>(V30-$V$6)/(D29-$D$5)</f>
        <v>0.63116944397513275</v>
      </c>
      <c r="AA30" s="108"/>
      <c r="AB30" s="115"/>
    </row>
    <row r="31" spans="1:34" x14ac:dyDescent="0.2">
      <c r="A31" s="64"/>
      <c r="B31" s="208"/>
      <c r="C31" s="209"/>
      <c r="D31" s="210"/>
      <c r="E31" s="95" t="s">
        <v>96</v>
      </c>
      <c r="F31" s="204"/>
      <c r="G31" s="207"/>
      <c r="H31" s="86">
        <f>0.2723-F29</f>
        <v>0.2243</v>
      </c>
      <c r="I31" s="88">
        <f>0.145-F29</f>
        <v>9.6999999999999989E-2</v>
      </c>
      <c r="J31" s="88">
        <f>0.1143-G29</f>
        <v>6.7699999999999996E-2</v>
      </c>
      <c r="K31" s="88">
        <f>0.1365-G29</f>
        <v>8.9900000000000008E-2</v>
      </c>
      <c r="L31" s="88">
        <f t="shared" si="0"/>
        <v>2.9714991896272285E-2</v>
      </c>
      <c r="M31" s="88">
        <f t="shared" si="1"/>
        <v>6.9060777957860595E-3</v>
      </c>
      <c r="N31" s="98">
        <f t="shared" si="2"/>
        <v>1.8310534846029174E-2</v>
      </c>
      <c r="O31" s="98">
        <f>'Growth curves CeBER'!H18</f>
        <v>2.2240000000000002</v>
      </c>
      <c r="P31" s="98">
        <f t="shared" si="3"/>
        <v>2.7430816000000005</v>
      </c>
      <c r="Q31" s="99">
        <f t="shared" si="8"/>
        <v>2.0573112000000002E-4</v>
      </c>
      <c r="R31" s="100">
        <f t="shared" si="4"/>
        <v>44.501130519362292</v>
      </c>
      <c r="S31" s="101">
        <f>AVERAGE(R29:R31)</f>
        <v>57.611946410054067</v>
      </c>
      <c r="T31" s="102">
        <f>STDEV(R29:R31)</f>
        <v>11.358629273873143</v>
      </c>
      <c r="U31" s="102">
        <f>T31/SQRT(3)</f>
        <v>6.5579076688958233</v>
      </c>
      <c r="V31" s="102">
        <f t="shared" si="5"/>
        <v>122.07023230686117</v>
      </c>
      <c r="W31" s="101">
        <f>AVERAGE(V29:V31)</f>
        <v>168.4663245092743</v>
      </c>
      <c r="X31" s="102">
        <f>STDEV(V29:V31)</f>
        <v>40.345961020012012</v>
      </c>
      <c r="Y31" s="102">
        <f>X31/SQRT(3)</f>
        <v>23.293751455618086</v>
      </c>
      <c r="Z31" s="102">
        <f>(V31-$V$7)/(D29-$D$5)</f>
        <v>0.40541194354153837</v>
      </c>
      <c r="AA31" s="101">
        <f>AVERAGE(Z29:Z31)</f>
        <v>0.56450458706623141</v>
      </c>
      <c r="AB31" s="109">
        <f>STDEV(Z29:Z31)/SQRT(3)</f>
        <v>7.9893228863124346E-2</v>
      </c>
    </row>
    <row r="32" spans="1:34" x14ac:dyDescent="0.2">
      <c r="A32" s="64"/>
      <c r="B32" s="193" t="s">
        <v>34</v>
      </c>
      <c r="C32" s="196">
        <v>0.55902777777777779</v>
      </c>
      <c r="D32" s="199">
        <v>336.08333333333331</v>
      </c>
      <c r="E32" s="85" t="s">
        <v>94</v>
      </c>
      <c r="F32" s="202">
        <f>(0.0523+0.0363+0.0414)/3</f>
        <v>4.3333333333333335E-2</v>
      </c>
      <c r="G32" s="205">
        <f>(0.0511+0.0355+0.0401)/3</f>
        <v>4.2233333333333324E-2</v>
      </c>
      <c r="H32" s="106">
        <f>0.3993-F32</f>
        <v>0.35596666666666665</v>
      </c>
      <c r="I32" s="110">
        <f>0.3267-F32</f>
        <v>0.28336666666666666</v>
      </c>
      <c r="J32" s="110">
        <f>0.1943-G32</f>
        <v>0.15206666666666668</v>
      </c>
      <c r="K32" s="110">
        <f>0.2171-G32</f>
        <v>0.17486666666666667</v>
      </c>
      <c r="L32" s="88">
        <f t="shared" si="0"/>
        <v>4.2782225823878979E-2</v>
      </c>
      <c r="M32" s="88">
        <f t="shared" si="1"/>
        <v>2.8779956780118854E-2</v>
      </c>
      <c r="N32" s="110">
        <f t="shared" si="2"/>
        <v>3.5781091301998913E-2</v>
      </c>
      <c r="O32" s="110">
        <f>'Growth curves CeBER'!F19</f>
        <v>2.6480000000000001</v>
      </c>
      <c r="P32" s="110">
        <f t="shared" si="3"/>
        <v>3.2660432000000004</v>
      </c>
      <c r="Q32" s="111">
        <f t="shared" si="8"/>
        <v>2.4495324000000003E-4</v>
      </c>
      <c r="R32" s="112">
        <f t="shared" si="4"/>
        <v>73.036574862204134</v>
      </c>
      <c r="S32" s="116"/>
      <c r="T32" s="117"/>
      <c r="U32" s="117"/>
      <c r="V32" s="92">
        <f t="shared" si="5"/>
        <v>238.54060867999277</v>
      </c>
      <c r="W32" s="108"/>
      <c r="X32" s="92"/>
      <c r="Y32" s="92"/>
      <c r="Z32" s="92">
        <f t="shared" si="6"/>
        <v>0.74463348780345251</v>
      </c>
      <c r="AA32" s="108"/>
      <c r="AB32" s="115"/>
    </row>
    <row r="33" spans="1:38" x14ac:dyDescent="0.2">
      <c r="A33" s="64"/>
      <c r="B33" s="194"/>
      <c r="C33" s="197"/>
      <c r="D33" s="200"/>
      <c r="E33" s="85" t="s">
        <v>95</v>
      </c>
      <c r="F33" s="203"/>
      <c r="G33" s="206"/>
      <c r="H33" s="86">
        <f>0.2414-F32</f>
        <v>0.19806666666666667</v>
      </c>
      <c r="I33" s="88">
        <f>0.2131-F32</f>
        <v>0.16976666666666668</v>
      </c>
      <c r="J33" s="88">
        <f>0.1275-G32</f>
        <v>8.5266666666666685E-2</v>
      </c>
      <c r="K33" s="88">
        <f>0.1338-G32</f>
        <v>9.1566666666666685E-2</v>
      </c>
      <c r="L33" s="88">
        <f t="shared" si="0"/>
        <v>2.3740734737979469E-2</v>
      </c>
      <c r="M33" s="88">
        <f t="shared" si="1"/>
        <v>1.8536277687736358E-2</v>
      </c>
      <c r="N33" s="88">
        <f t="shared" si="2"/>
        <v>2.1138506212857913E-2</v>
      </c>
      <c r="O33" s="88">
        <f>'Growth curves CeBER'!G19</f>
        <v>2.5680000000000001</v>
      </c>
      <c r="P33" s="88">
        <f t="shared" si="3"/>
        <v>3.1673712000000003</v>
      </c>
      <c r="Q33" s="89">
        <f t="shared" si="8"/>
        <v>2.3755284000000001E-4</v>
      </c>
      <c r="R33" s="90">
        <f t="shared" si="4"/>
        <v>44.492219526522838</v>
      </c>
      <c r="S33" s="91"/>
      <c r="V33" s="92">
        <f t="shared" si="5"/>
        <v>140.92337475238608</v>
      </c>
      <c r="W33" s="108"/>
      <c r="X33" s="92"/>
      <c r="Y33" s="92"/>
      <c r="Z33" s="92">
        <f>(V33-$V$6)/(D32-$D$5)</f>
        <v>0.43237633215665916</v>
      </c>
      <c r="AA33" s="108"/>
      <c r="AB33" s="115"/>
    </row>
    <row r="34" spans="1:38" x14ac:dyDescent="0.2">
      <c r="A34" s="64"/>
      <c r="B34" s="208"/>
      <c r="C34" s="209"/>
      <c r="D34" s="210"/>
      <c r="E34" s="95" t="s">
        <v>96</v>
      </c>
      <c r="F34" s="204"/>
      <c r="G34" s="207"/>
      <c r="H34" s="96">
        <f>0.2193-F32</f>
        <v>0.17596666666666666</v>
      </c>
      <c r="I34" s="98">
        <f>0.2243-F32</f>
        <v>0.18096666666666666</v>
      </c>
      <c r="J34" s="98">
        <f>0.1455-G32</f>
        <v>0.10326666666666667</v>
      </c>
      <c r="K34" s="98">
        <f>0.1453-G32</f>
        <v>0.1030666666666667</v>
      </c>
      <c r="L34" s="88">
        <f t="shared" si="0"/>
        <v>1.8393895191788221E-2</v>
      </c>
      <c r="M34" s="88">
        <f t="shared" si="1"/>
        <v>1.9223878984332792E-2</v>
      </c>
      <c r="N34" s="98">
        <f t="shared" si="2"/>
        <v>1.8808887088060507E-2</v>
      </c>
      <c r="O34" s="98">
        <f>'Growth curves CeBER'!H19</f>
        <v>2.6720000000000002</v>
      </c>
      <c r="P34" s="98">
        <f t="shared" si="3"/>
        <v>3.2956448000000003</v>
      </c>
      <c r="Q34" s="99">
        <f t="shared" si="8"/>
        <v>2.4717336000000003E-4</v>
      </c>
      <c r="R34" s="100">
        <f t="shared" si="4"/>
        <v>38.047965784137304</v>
      </c>
      <c r="S34" s="101">
        <f>AVERAGE(R32:R34)</f>
        <v>51.858920057621425</v>
      </c>
      <c r="T34" s="102">
        <f>STDEV(R32:R34)</f>
        <v>18.621275435388696</v>
      </c>
      <c r="U34" s="102">
        <f>T34/SQRT(3)</f>
        <v>10.75099838527583</v>
      </c>
      <c r="V34" s="102">
        <f t="shared" si="5"/>
        <v>125.39258058707004</v>
      </c>
      <c r="W34" s="101">
        <f>AVERAGE(V32:V34)</f>
        <v>168.28552133981631</v>
      </c>
      <c r="X34" s="102">
        <f>STDEV(V32:V34)</f>
        <v>61.336240223323259</v>
      </c>
      <c r="Y34" s="102">
        <f>X34/SQRT(3)</f>
        <v>35.412494804015239</v>
      </c>
      <c r="Z34" s="102">
        <f>(V34-$V$7)/(D32-$D$5)</f>
        <v>0.38494493428433635</v>
      </c>
      <c r="AA34" s="101">
        <f>AVERAGE(Z32:Z34)</f>
        <v>0.52065158474814932</v>
      </c>
      <c r="AB34" s="109">
        <f>STDEV(Z32:Z34)/SQRT(3)</f>
        <v>0.11282487026100388</v>
      </c>
    </row>
    <row r="35" spans="1:38" x14ac:dyDescent="0.2">
      <c r="A35" s="64"/>
      <c r="B35" s="193" t="s">
        <v>35</v>
      </c>
      <c r="C35" s="196">
        <v>0.55902777777777779</v>
      </c>
      <c r="D35" s="199">
        <v>360.08333333333331</v>
      </c>
      <c r="E35" s="85" t="s">
        <v>94</v>
      </c>
      <c r="F35" s="202">
        <f>(0.0531+0.05)/2</f>
        <v>5.1549999999999999E-2</v>
      </c>
      <c r="G35" s="205">
        <f>(0.0524+0.0491)/2</f>
        <v>5.0750000000000003E-2</v>
      </c>
      <c r="H35" s="106">
        <f>0.3443-F35</f>
        <v>0.29275000000000001</v>
      </c>
      <c r="I35" s="110">
        <f>0.336-F35</f>
        <v>0.28445000000000004</v>
      </c>
      <c r="J35" s="110">
        <f>0.2435-G35</f>
        <v>0.19274999999999998</v>
      </c>
      <c r="K35" s="110">
        <f>0.241-G35</f>
        <v>0.19024999999999997</v>
      </c>
      <c r="L35" s="88">
        <f t="shared" si="0"/>
        <v>2.8547204213938415E-2</v>
      </c>
      <c r="M35" s="88">
        <f t="shared" si="1"/>
        <v>2.7447123176661273E-2</v>
      </c>
      <c r="N35" s="110">
        <f t="shared" si="2"/>
        <v>2.7997163695299844E-2</v>
      </c>
      <c r="O35" s="110">
        <f>'Growth curves CeBER'!F20</f>
        <v>2.8119999999999998</v>
      </c>
      <c r="P35" s="110">
        <f t="shared" si="3"/>
        <v>3.4683207999999999</v>
      </c>
      <c r="Q35" s="111">
        <f t="shared" ref="Q35:Q37" si="9">P35*0.075/1000</f>
        <v>2.6012406000000001E-4</v>
      </c>
      <c r="R35" s="112">
        <f t="shared" si="4"/>
        <v>53.815021369610797</v>
      </c>
      <c r="S35" s="116"/>
      <c r="T35" s="117"/>
      <c r="U35" s="117"/>
      <c r="V35" s="92">
        <f t="shared" si="5"/>
        <v>186.64775796866562</v>
      </c>
      <c r="W35" s="108"/>
      <c r="X35" s="92"/>
      <c r="Y35" s="92"/>
      <c r="Z35" s="92">
        <f t="shared" si="6"/>
        <v>0.53765943395077254</v>
      </c>
      <c r="AA35" s="108"/>
      <c r="AB35" s="115"/>
    </row>
    <row r="36" spans="1:38" x14ac:dyDescent="0.2">
      <c r="A36" s="64"/>
      <c r="B36" s="194"/>
      <c r="C36" s="197"/>
      <c r="D36" s="200"/>
      <c r="E36" s="85" t="s">
        <v>95</v>
      </c>
      <c r="F36" s="203"/>
      <c r="G36" s="206"/>
      <c r="H36" s="86">
        <f>0.2412-F35</f>
        <v>0.18964999999999999</v>
      </c>
      <c r="I36" s="88">
        <f>0.2571-F35</f>
        <v>0.20555000000000001</v>
      </c>
      <c r="J36" s="88">
        <f>0.153-G35</f>
        <v>0.10224999999999999</v>
      </c>
      <c r="K36" s="88">
        <f>0.1622-G35</f>
        <v>0.11145000000000001</v>
      </c>
      <c r="L36" s="88">
        <f t="shared" si="0"/>
        <v>2.0711304700162077E-2</v>
      </c>
      <c r="M36" s="88">
        <f t="shared" si="1"/>
        <v>2.2386183144246355E-2</v>
      </c>
      <c r="N36" s="88">
        <f t="shared" si="2"/>
        <v>2.1548743922204218E-2</v>
      </c>
      <c r="O36" s="88">
        <f>'Growth curves CeBER'!G20</f>
        <v>2.7559999999999998</v>
      </c>
      <c r="P36" s="88">
        <f t="shared" si="3"/>
        <v>3.3992503999999997</v>
      </c>
      <c r="Q36" s="89">
        <f t="shared" si="9"/>
        <v>2.5494377999999996E-4</v>
      </c>
      <c r="R36" s="90">
        <f t="shared" si="4"/>
        <v>42.261756537469203</v>
      </c>
      <c r="S36" s="91"/>
      <c r="V36" s="92">
        <f t="shared" si="5"/>
        <v>143.65829281469479</v>
      </c>
      <c r="W36" s="108"/>
      <c r="X36" s="92"/>
      <c r="Y36" s="92"/>
      <c r="Z36" s="92">
        <f>(V36-$V$6)/(D35-$D$5)</f>
        <v>0.40970392142846163</v>
      </c>
      <c r="AA36" s="108"/>
      <c r="AB36" s="115"/>
    </row>
    <row r="37" spans="1:38" x14ac:dyDescent="0.2">
      <c r="A37" s="64"/>
      <c r="B37" s="208"/>
      <c r="C37" s="209"/>
      <c r="D37" s="210"/>
      <c r="E37" s="95" t="s">
        <v>96</v>
      </c>
      <c r="F37" s="204"/>
      <c r="G37" s="207"/>
      <c r="H37" s="96">
        <f>0.245-F35</f>
        <v>0.19345000000000001</v>
      </c>
      <c r="I37" s="98">
        <f>0.265-F35</f>
        <v>0.21345000000000003</v>
      </c>
      <c r="J37" s="98">
        <f>0.1662-G35</f>
        <v>0.11544999999999998</v>
      </c>
      <c r="K37" s="98">
        <f>0.181-G35</f>
        <v>0.13024999999999998</v>
      </c>
      <c r="L37" s="88">
        <f t="shared" si="0"/>
        <v>2.0032860615883309E-2</v>
      </c>
      <c r="M37" s="88">
        <f t="shared" si="1"/>
        <v>2.1823136142625616E-2</v>
      </c>
      <c r="N37" s="98">
        <f t="shared" si="2"/>
        <v>2.0927998379254464E-2</v>
      </c>
      <c r="O37" s="98">
        <f>'Growth curves CeBER'!H20</f>
        <v>2.984</v>
      </c>
      <c r="P37" s="98">
        <f t="shared" si="3"/>
        <v>3.6804656000000002</v>
      </c>
      <c r="Q37" s="99">
        <f t="shared" si="9"/>
        <v>2.7603491999999999E-4</v>
      </c>
      <c r="R37" s="100">
        <f t="shared" si="4"/>
        <v>37.908244325128258</v>
      </c>
      <c r="S37" s="101">
        <f>AVERAGE(R35:R37)</f>
        <v>44.661674077402751</v>
      </c>
      <c r="T37" s="102">
        <f>STDEV(R35:R37)</f>
        <v>8.2204678780821219</v>
      </c>
      <c r="U37" s="102">
        <f>T37/SQRT(3)</f>
        <v>4.7460893422753854</v>
      </c>
      <c r="V37" s="102">
        <f t="shared" si="5"/>
        <v>139.51998919502978</v>
      </c>
      <c r="W37" s="101">
        <f>AVERAGE(V35:V37)</f>
        <v>156.60867999279674</v>
      </c>
      <c r="X37" s="102">
        <f>STDEV(V35:V37)</f>
        <v>26.096763083615862</v>
      </c>
      <c r="Y37" s="102">
        <f>X37/SQRT(3)</f>
        <v>15.066973191303507</v>
      </c>
      <c r="Z37" s="102">
        <f>(V37-$V$7)/(D35-$D$5)</f>
        <v>0.39944868285574353</v>
      </c>
      <c r="AA37" s="101">
        <f>AVERAGE(Z35:Z37)</f>
        <v>0.44893734607832592</v>
      </c>
      <c r="AB37" s="109">
        <f>STDEV(Z35:Z37)/SQRT(3)</f>
        <v>4.4459716361669899E-2</v>
      </c>
    </row>
    <row r="38" spans="1:38" x14ac:dyDescent="0.2">
      <c r="A38" s="64"/>
      <c r="B38" s="193" t="s">
        <v>36</v>
      </c>
      <c r="C38" s="196">
        <v>0.55902777777777779</v>
      </c>
      <c r="D38" s="199">
        <v>384.08333333333331</v>
      </c>
      <c r="E38" s="85" t="s">
        <v>94</v>
      </c>
      <c r="F38" s="202">
        <f>(0.0536+0.0321+0.0389)/3</f>
        <v>4.1533333333333332E-2</v>
      </c>
      <c r="G38" s="205">
        <f>(0.0523+0.0316+0.0377)/3</f>
        <v>4.0533333333333331E-2</v>
      </c>
      <c r="H38" s="106">
        <f>0.3603-F38</f>
        <v>0.3187666666666667</v>
      </c>
      <c r="I38" s="110">
        <f>0.2887-F38</f>
        <v>0.24716666666666667</v>
      </c>
      <c r="J38" s="110">
        <f>0.1885-G38</f>
        <v>0.14796666666666666</v>
      </c>
      <c r="K38" s="110">
        <f>0.2007-G38</f>
        <v>0.16016666666666665</v>
      </c>
      <c r="L38" s="88">
        <f t="shared" si="0"/>
        <v>3.7155078336034583E-2</v>
      </c>
      <c r="M38" s="88">
        <f t="shared" si="1"/>
        <v>2.4354267963263104E-2</v>
      </c>
      <c r="N38" s="110">
        <f t="shared" si="2"/>
        <v>3.0754673149648845E-2</v>
      </c>
      <c r="O38" s="110">
        <f>'Growth curves CeBER'!F21</f>
        <v>3.1560000000000001</v>
      </c>
      <c r="P38" s="110">
        <f t="shared" si="3"/>
        <v>3.8926104000000001</v>
      </c>
      <c r="Q38" s="111">
        <f t="shared" ref="Q38:Q46" si="10">P38*0.075/1000</f>
        <v>2.9194577999999997E-4</v>
      </c>
      <c r="R38" s="112">
        <f t="shared" si="4"/>
        <v>52.671891934264039</v>
      </c>
      <c r="S38" s="116"/>
      <c r="T38" s="117"/>
      <c r="U38" s="117"/>
      <c r="V38" s="92">
        <f t="shared" si="5"/>
        <v>205.03115433099231</v>
      </c>
      <c r="W38" s="108"/>
      <c r="X38" s="92"/>
      <c r="Y38" s="92"/>
      <c r="Z38" s="92">
        <f t="shared" si="6"/>
        <v>0.55283549547452104</v>
      </c>
      <c r="AA38" s="108"/>
      <c r="AB38" s="115"/>
    </row>
    <row r="39" spans="1:38" x14ac:dyDescent="0.2">
      <c r="A39" s="64"/>
      <c r="B39" s="194"/>
      <c r="C39" s="197"/>
      <c r="D39" s="200"/>
      <c r="E39" s="85" t="s">
        <v>95</v>
      </c>
      <c r="F39" s="203"/>
      <c r="G39" s="206"/>
      <c r="H39" s="86">
        <f>0.3116-F38</f>
        <v>0.27006666666666668</v>
      </c>
      <c r="I39" s="88">
        <f>0.2401-F38</f>
        <v>0.19856666666666667</v>
      </c>
      <c r="J39" s="88">
        <f>0.1438-G38</f>
        <v>0.10326666666666667</v>
      </c>
      <c r="K39" s="88">
        <f>0.1504-G38</f>
        <v>0.10986666666666667</v>
      </c>
      <c r="L39" s="88">
        <f t="shared" si="0"/>
        <v>3.3645110750945437E-2</v>
      </c>
      <c r="M39" s="88">
        <f t="shared" si="1"/>
        <v>2.1409616423554836E-2</v>
      </c>
      <c r="N39" s="88">
        <f t="shared" si="2"/>
        <v>2.7527363587250137E-2</v>
      </c>
      <c r="O39" s="88">
        <f>'Growth curves CeBER'!G21</f>
        <v>2.976</v>
      </c>
      <c r="P39" s="88">
        <f t="shared" si="3"/>
        <v>3.6705984000000003</v>
      </c>
      <c r="Q39" s="89">
        <f t="shared" si="10"/>
        <v>2.7529488000000005E-4</v>
      </c>
      <c r="R39" s="90">
        <f t="shared" si="4"/>
        <v>49.996141568724653</v>
      </c>
      <c r="S39" s="91"/>
      <c r="V39" s="92">
        <f t="shared" si="5"/>
        <v>183.51575724833421</v>
      </c>
      <c r="W39" s="108"/>
      <c r="X39" s="92"/>
      <c r="Y39" s="92"/>
      <c r="Z39" s="92">
        <f>(V39-$V$6)/(D38-$D$5)</f>
        <v>0.49285911987571884</v>
      </c>
      <c r="AA39" s="108"/>
      <c r="AB39" s="115"/>
    </row>
    <row r="40" spans="1:38" x14ac:dyDescent="0.2">
      <c r="A40" s="64"/>
      <c r="B40" s="208"/>
      <c r="C40" s="209"/>
      <c r="D40" s="210"/>
      <c r="E40" s="95" t="s">
        <v>96</v>
      </c>
      <c r="F40" s="204"/>
      <c r="G40" s="207"/>
      <c r="H40" s="96">
        <f>0.2801-F38</f>
        <v>0.23856666666666668</v>
      </c>
      <c r="I40" s="98">
        <f>0.1849-F38</f>
        <v>0.14336666666666667</v>
      </c>
      <c r="J40" s="98">
        <f>0.1227-G38</f>
        <v>8.2166666666666666E-2</v>
      </c>
      <c r="K40" s="98">
        <f>0.1244-G38</f>
        <v>8.3866666666666673E-2</v>
      </c>
      <c r="L40" s="88">
        <f t="shared" si="0"/>
        <v>3.0608725013506213E-2</v>
      </c>
      <c r="M40" s="88">
        <f t="shared" si="1"/>
        <v>1.5012533765532146E-2</v>
      </c>
      <c r="N40" s="98">
        <f t="shared" si="2"/>
        <v>2.281062938951918E-2</v>
      </c>
      <c r="O40" s="98">
        <f>'Growth curves CeBER'!H21</f>
        <v>3.2519999999999998</v>
      </c>
      <c r="P40" s="98">
        <f t="shared" si="3"/>
        <v>4.0110168000000002</v>
      </c>
      <c r="Q40" s="99">
        <f t="shared" si="10"/>
        <v>3.0082626000000001E-4</v>
      </c>
      <c r="R40" s="100">
        <f t="shared" si="4"/>
        <v>37.913294852515833</v>
      </c>
      <c r="S40" s="101">
        <f>AVERAGE(R38:R40)</f>
        <v>46.860442785168175</v>
      </c>
      <c r="T40" s="102">
        <f>STDEV(R38:R40)</f>
        <v>7.8631102053350874</v>
      </c>
      <c r="U40" s="102">
        <f>T40/SQRT(3)</f>
        <v>4.5397687937179061</v>
      </c>
      <c r="V40" s="102">
        <f t="shared" si="5"/>
        <v>152.07086259679454</v>
      </c>
      <c r="W40" s="101">
        <f>AVERAGE(V38:V40)</f>
        <v>180.20592472537371</v>
      </c>
      <c r="X40" s="102">
        <f>STDEV(V38:V40)</f>
        <v>26.634833745311088</v>
      </c>
      <c r="Y40" s="102">
        <f>X40/SQRT(3)</f>
        <v>15.377628432676286</v>
      </c>
      <c r="Z40" s="102">
        <f>(V40-$V$7)/(D38-$D$5)</f>
        <v>0.40765798403713271</v>
      </c>
      <c r="AA40" s="101">
        <f>AVERAGE(Z38:Z40)</f>
        <v>0.48445086646245744</v>
      </c>
      <c r="AB40" s="109">
        <f>STDEV(Z38:Z40)/SQRT(3)</f>
        <v>4.2119478870171832E-2</v>
      </c>
    </row>
    <row r="41" spans="1:38" x14ac:dyDescent="0.2">
      <c r="A41" s="64"/>
      <c r="B41" s="193" t="s">
        <v>37</v>
      </c>
      <c r="C41" s="196">
        <v>0.54583333333333328</v>
      </c>
      <c r="D41" s="199">
        <v>408.08333333333331</v>
      </c>
      <c r="E41" s="85" t="s">
        <v>94</v>
      </c>
      <c r="F41" s="202">
        <f>(0.0517+0.0474)/2</f>
        <v>4.9549999999999997E-2</v>
      </c>
      <c r="G41" s="205">
        <f>(0.0508+0.0471)/2</f>
        <v>4.895E-2</v>
      </c>
      <c r="H41" s="106">
        <f>0.275-F41</f>
        <v>0.22545000000000004</v>
      </c>
      <c r="I41" s="110">
        <f>0.2762-F41</f>
        <v>0.22665000000000002</v>
      </c>
      <c r="J41" s="110">
        <f>0.117-G41</f>
        <v>6.8049999999999999E-2</v>
      </c>
      <c r="K41" s="110">
        <f>0.1159-G41</f>
        <v>6.695000000000001E-2</v>
      </c>
      <c r="L41" s="88">
        <f t="shared" si="0"/>
        <v>2.9867058346839555E-2</v>
      </c>
      <c r="M41" s="88">
        <f t="shared" si="1"/>
        <v>3.0169408427876826E-2</v>
      </c>
      <c r="N41" s="110">
        <f t="shared" si="2"/>
        <v>3.0018233387358192E-2</v>
      </c>
      <c r="O41" s="110">
        <f>'Growth curves CeBER'!F22</f>
        <v>3.2240000000000002</v>
      </c>
      <c r="P41" s="110">
        <f t="shared" si="3"/>
        <v>3.9764816000000005</v>
      </c>
      <c r="Q41" s="111">
        <f t="shared" si="10"/>
        <v>2.9823612000000007E-4</v>
      </c>
      <c r="R41" s="112">
        <f t="shared" si="4"/>
        <v>50.32628741843574</v>
      </c>
      <c r="S41" s="116"/>
      <c r="T41" s="117"/>
      <c r="U41" s="117"/>
      <c r="V41" s="92">
        <f t="shared" si="5"/>
        <v>200.12155591572125</v>
      </c>
      <c r="W41" s="108"/>
      <c r="X41" s="92"/>
      <c r="Y41" s="92"/>
      <c r="Z41" s="92">
        <f t="shared" si="6"/>
        <v>0.50562899363935943</v>
      </c>
      <c r="AA41" s="108"/>
      <c r="AB41" s="115"/>
    </row>
    <row r="42" spans="1:38" x14ac:dyDescent="0.2">
      <c r="A42" s="64"/>
      <c r="B42" s="194"/>
      <c r="C42" s="197"/>
      <c r="D42" s="200"/>
      <c r="E42" s="85" t="s">
        <v>95</v>
      </c>
      <c r="F42" s="203"/>
      <c r="G42" s="206"/>
      <c r="H42" s="86">
        <f>0.3869-F41</f>
        <v>0.33735000000000004</v>
      </c>
      <c r="I42" s="88">
        <f>0.3904-F41</f>
        <v>0.34085000000000004</v>
      </c>
      <c r="J42" s="88">
        <f>0.3048-G41</f>
        <v>0.25585000000000002</v>
      </c>
      <c r="K42" s="88">
        <f>0.3036-G41</f>
        <v>0.25464999999999999</v>
      </c>
      <c r="L42" s="88">
        <f t="shared" si="0"/>
        <v>2.9588452188006487E-2</v>
      </c>
      <c r="M42" s="88">
        <f t="shared" si="1"/>
        <v>3.0273379254457059E-2</v>
      </c>
      <c r="N42" s="88">
        <f t="shared" si="2"/>
        <v>2.9930915721231771E-2</v>
      </c>
      <c r="O42" s="88">
        <f>'Growth curves CeBER'!G22</f>
        <v>2.984</v>
      </c>
      <c r="P42" s="88">
        <f t="shared" si="3"/>
        <v>3.6804656000000002</v>
      </c>
      <c r="Q42" s="89">
        <f t="shared" si="10"/>
        <v>2.7603491999999999E-4</v>
      </c>
      <c r="R42" s="90">
        <f t="shared" si="4"/>
        <v>54.215813928961907</v>
      </c>
      <c r="S42" s="91"/>
      <c r="V42" s="92">
        <f t="shared" si="5"/>
        <v>199.53943814154516</v>
      </c>
      <c r="W42" s="108"/>
      <c r="X42" s="92"/>
      <c r="Y42" s="92"/>
      <c r="Z42" s="92">
        <f>(V42-$V$6)/(D41-$D$5)</f>
        <v>0.50375349838037697</v>
      </c>
      <c r="AA42" s="108"/>
      <c r="AB42" s="115"/>
    </row>
    <row r="43" spans="1:38" x14ac:dyDescent="0.2">
      <c r="A43" s="64"/>
      <c r="B43" s="208"/>
      <c r="C43" s="209"/>
      <c r="D43" s="210"/>
      <c r="E43" s="95" t="s">
        <v>96</v>
      </c>
      <c r="F43" s="204"/>
      <c r="G43" s="207"/>
      <c r="H43" s="96">
        <f>0.2873-F41</f>
        <v>0.23775000000000002</v>
      </c>
      <c r="I43" s="98">
        <f>0.2966-F41</f>
        <v>0.24704999999999999</v>
      </c>
      <c r="J43" s="98">
        <f>0.1525-G41</f>
        <v>0.10355</v>
      </c>
      <c r="K43" s="98">
        <f>0.1283-G41</f>
        <v>7.9350000000000004E-2</v>
      </c>
      <c r="L43" s="88">
        <f t="shared" si="0"/>
        <v>2.837961912479741E-2</v>
      </c>
      <c r="M43" s="88">
        <f t="shared" si="1"/>
        <v>3.2259846029173422E-2</v>
      </c>
      <c r="N43" s="98">
        <f t="shared" si="2"/>
        <v>3.0319732576985416E-2</v>
      </c>
      <c r="O43" s="98">
        <f>'Growth curves CeBER'!H22</f>
        <v>3.3719999999999999</v>
      </c>
      <c r="P43" s="98">
        <f t="shared" si="3"/>
        <v>4.1590248000000001</v>
      </c>
      <c r="Q43" s="99">
        <f t="shared" si="10"/>
        <v>3.1192685999999995E-4</v>
      </c>
      <c r="R43" s="100">
        <f t="shared" si="4"/>
        <v>48.600708154766508</v>
      </c>
      <c r="S43" s="101">
        <f>AVERAGE(R41:R43)</f>
        <v>51.047603167388047</v>
      </c>
      <c r="T43" s="102">
        <f>STDEV(R41:R43)</f>
        <v>2.8762085322722348</v>
      </c>
      <c r="U43" s="102">
        <f>T43/SQRT(3)</f>
        <v>1.6605797703528733</v>
      </c>
      <c r="V43" s="102">
        <f t="shared" si="5"/>
        <v>202.13155051323614</v>
      </c>
      <c r="W43" s="101">
        <f>AVERAGE(V41:V43)</f>
        <v>200.59751485683418</v>
      </c>
      <c r="X43" s="102">
        <f>STDEV(V41:V43)</f>
        <v>1.3600236476206438</v>
      </c>
      <c r="Y43" s="102">
        <f>X43/SQRT(3)</f>
        <v>0.78521001905803545</v>
      </c>
      <c r="Z43" s="102">
        <f>(V43-$V$7)/(D41-$D$5)</f>
        <v>0.51225518703111761</v>
      </c>
      <c r="AA43" s="101">
        <f>AVERAGE(Z41:Z43)</f>
        <v>0.507212559683618</v>
      </c>
      <c r="AB43" s="109">
        <f>STDEV(Z41:Z43)/SQRT(3)</f>
        <v>2.5787877346361539E-3</v>
      </c>
    </row>
    <row r="44" spans="1:38" x14ac:dyDescent="0.2">
      <c r="A44" s="64"/>
      <c r="B44" s="193" t="s">
        <v>33</v>
      </c>
      <c r="C44" s="196">
        <v>0.56666666666666665</v>
      </c>
      <c r="D44" s="199">
        <v>432.25</v>
      </c>
      <c r="E44" s="85" t="s">
        <v>94</v>
      </c>
      <c r="F44" s="202">
        <v>4.19E-2</v>
      </c>
      <c r="G44" s="205">
        <v>3.9899999999999998E-2</v>
      </c>
      <c r="H44" s="106">
        <f>0.3427-F44</f>
        <v>0.30080000000000001</v>
      </c>
      <c r="I44" s="110">
        <f>0.2318-F44</f>
        <v>0.18990000000000001</v>
      </c>
      <c r="J44" s="110">
        <f>0.1523-G44</f>
        <v>0.1124</v>
      </c>
      <c r="K44" s="110">
        <f>0.1449-G44</f>
        <v>0.10500000000000001</v>
      </c>
      <c r="L44" s="88">
        <f t="shared" si="0"/>
        <v>3.7730632090761752E-2</v>
      </c>
      <c r="M44" s="88">
        <f t="shared" si="1"/>
        <v>2.0482171799027556E-2</v>
      </c>
      <c r="N44" s="110">
        <f t="shared" si="2"/>
        <v>2.9106401944894653E-2</v>
      </c>
      <c r="O44" s="110">
        <f>'Growth curves CeBER'!F23</f>
        <v>3.3039999999999998</v>
      </c>
      <c r="P44" s="110">
        <f t="shared" si="3"/>
        <v>4.0751536000000002</v>
      </c>
      <c r="Q44" s="111">
        <f t="shared" si="10"/>
        <v>3.0563652000000001E-4</v>
      </c>
      <c r="R44" s="112">
        <f t="shared" si="4"/>
        <v>47.616040689271443</v>
      </c>
      <c r="S44" s="116"/>
      <c r="T44" s="117"/>
      <c r="U44" s="117"/>
      <c r="V44" s="92">
        <f t="shared" si="5"/>
        <v>194.04267963263101</v>
      </c>
      <c r="W44" s="108"/>
      <c r="X44" s="92"/>
      <c r="Y44" s="92"/>
      <c r="Z44" s="92">
        <f t="shared" si="6"/>
        <v>0.46091552056928997</v>
      </c>
      <c r="AA44" s="108"/>
      <c r="AB44" s="115"/>
    </row>
    <row r="45" spans="1:38" x14ac:dyDescent="0.2">
      <c r="A45" s="64"/>
      <c r="B45" s="194"/>
      <c r="C45" s="197"/>
      <c r="D45" s="200"/>
      <c r="E45" s="85" t="s">
        <v>95</v>
      </c>
      <c r="F45" s="203"/>
      <c r="G45" s="206"/>
      <c r="H45" s="86">
        <f>0.3502-F44</f>
        <v>0.30830000000000002</v>
      </c>
      <c r="I45" s="88">
        <f>0.2493-F44</f>
        <v>0.2074</v>
      </c>
      <c r="J45" s="88">
        <f>0.15-G44</f>
        <v>0.1101</v>
      </c>
      <c r="K45" s="88">
        <f>0.1509-G44</f>
        <v>0.11100000000000002</v>
      </c>
      <c r="L45" s="88">
        <f t="shared" si="0"/>
        <v>3.917171799027553E-2</v>
      </c>
      <c r="M45" s="88">
        <f t="shared" si="1"/>
        <v>2.2730145867098869E-2</v>
      </c>
      <c r="N45" s="88">
        <f t="shared" si="2"/>
        <v>3.0950931928687198E-2</v>
      </c>
      <c r="O45" s="88">
        <f>'Growth curves CeBER'!G23</f>
        <v>3.024</v>
      </c>
      <c r="P45" s="88">
        <f t="shared" si="3"/>
        <v>3.7298016000000001</v>
      </c>
      <c r="Q45" s="89">
        <f t="shared" si="10"/>
        <v>2.7973511999999999E-4</v>
      </c>
      <c r="R45" s="90">
        <f t="shared" si="4"/>
        <v>55.321855776791985</v>
      </c>
      <c r="S45" s="91"/>
      <c r="V45" s="92">
        <f t="shared" si="5"/>
        <v>206.33954619124799</v>
      </c>
      <c r="W45" s="108"/>
      <c r="X45" s="92"/>
      <c r="Y45" s="92"/>
      <c r="Z45" s="92">
        <f>(V45-$V$6)/(D44-$D$5)</f>
        <v>0.49062178502738452</v>
      </c>
      <c r="AA45" s="108"/>
      <c r="AB45" s="115"/>
    </row>
    <row r="46" spans="1:38" ht="14" thickBot="1" x14ac:dyDescent="0.25">
      <c r="A46" s="64"/>
      <c r="B46" s="195"/>
      <c r="C46" s="198"/>
      <c r="D46" s="201"/>
      <c r="E46" s="95" t="s">
        <v>96</v>
      </c>
      <c r="F46" s="223"/>
      <c r="G46" s="224"/>
      <c r="H46" s="86">
        <f>0.2995-F44</f>
        <v>0.2576</v>
      </c>
      <c r="I46" s="88">
        <f>0.3403-F44</f>
        <v>0.2984</v>
      </c>
      <c r="J46" s="88">
        <f>0.1979-G44</f>
        <v>0.158</v>
      </c>
      <c r="K46" s="88">
        <f>0.2389-G44</f>
        <v>0.19900000000000001</v>
      </c>
      <c r="L46" s="88">
        <f t="shared" si="0"/>
        <v>2.6257698541329009E-2</v>
      </c>
      <c r="M46" s="88">
        <f t="shared" si="1"/>
        <v>2.8850081037277146E-2</v>
      </c>
      <c r="N46" s="98">
        <f t="shared" si="2"/>
        <v>2.7553889789303079E-2</v>
      </c>
      <c r="O46" s="98">
        <f>'Growth curves CeBER'!H23</f>
        <v>3.44</v>
      </c>
      <c r="P46" s="98">
        <f t="shared" si="3"/>
        <v>4.242896</v>
      </c>
      <c r="Q46" s="99">
        <f t="shared" si="10"/>
        <v>3.1821719999999999E-4</v>
      </c>
      <c r="R46" s="100">
        <f t="shared" si="4"/>
        <v>43.294155358828938</v>
      </c>
      <c r="S46" s="101">
        <f>AVERAGE(R44:R46)</f>
        <v>48.744017274964115</v>
      </c>
      <c r="T46" s="102">
        <f>STDEV(R44:R46)</f>
        <v>6.0926712302134485</v>
      </c>
      <c r="U46" s="102">
        <f>T46/SQRT(3)</f>
        <v>3.5176053748476233</v>
      </c>
      <c r="V46" s="102">
        <f t="shared" si="5"/>
        <v>183.69259859535387</v>
      </c>
      <c r="W46" s="101">
        <f>AVERAGE(V44:V46)</f>
        <v>194.69160813974429</v>
      </c>
      <c r="X46" s="102">
        <f>STDEV(V44:V46)</f>
        <v>11.337411080502541</v>
      </c>
      <c r="Y46" s="102">
        <f>X46/SQRT(3)</f>
        <v>6.545657339241588</v>
      </c>
      <c r="Z46" s="102">
        <f>(V46-$V$7)/(D44-$D$5)</f>
        <v>0.43694741085338457</v>
      </c>
      <c r="AA46" s="101">
        <f>AVERAGE(Z44:Z46)</f>
        <v>0.46282823881668639</v>
      </c>
      <c r="AB46" s="109">
        <f>STDEV(Z44:Z46)/SQRT(3)</f>
        <v>1.5523943646971933E-2</v>
      </c>
    </row>
    <row r="47" spans="1:38" ht="15" thickBot="1" x14ac:dyDescent="0.25">
      <c r="B47" s="211" t="s">
        <v>73</v>
      </c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3"/>
      <c r="AD47" s="231" t="s">
        <v>106</v>
      </c>
      <c r="AE47" s="231"/>
      <c r="AF47" s="231"/>
      <c r="AG47" s="231"/>
      <c r="AH47" s="231"/>
    </row>
    <row r="48" spans="1:38" ht="45" customHeight="1" x14ac:dyDescent="0.15">
      <c r="B48" s="65" t="s">
        <v>0</v>
      </c>
      <c r="C48" s="66" t="s">
        <v>1</v>
      </c>
      <c r="D48" s="67" t="s">
        <v>2</v>
      </c>
      <c r="E48" s="68"/>
      <c r="F48" s="66" t="s">
        <v>11</v>
      </c>
      <c r="G48" s="66" t="s">
        <v>12</v>
      </c>
      <c r="H48" s="214" t="s">
        <v>77</v>
      </c>
      <c r="I48" s="215"/>
      <c r="J48" s="216" t="s">
        <v>78</v>
      </c>
      <c r="K48" s="217"/>
      <c r="L48" s="218" t="s">
        <v>79</v>
      </c>
      <c r="M48" s="219"/>
      <c r="N48" s="69" t="s">
        <v>80</v>
      </c>
      <c r="O48" s="70" t="s">
        <v>81</v>
      </c>
      <c r="P48" s="69" t="s">
        <v>13</v>
      </c>
      <c r="Q48" s="69" t="s">
        <v>14</v>
      </c>
      <c r="R48" s="69" t="s">
        <v>82</v>
      </c>
      <c r="S48" s="69" t="s">
        <v>83</v>
      </c>
      <c r="T48" s="69" t="s">
        <v>84</v>
      </c>
      <c r="U48" s="71" t="s">
        <v>62</v>
      </c>
      <c r="V48" s="70" t="s">
        <v>85</v>
      </c>
      <c r="W48" s="69" t="s">
        <v>86</v>
      </c>
      <c r="X48" s="69" t="s">
        <v>84</v>
      </c>
      <c r="Y48" s="72" t="s">
        <v>62</v>
      </c>
      <c r="Z48" s="72" t="s">
        <v>87</v>
      </c>
      <c r="AA48" s="69" t="s">
        <v>88</v>
      </c>
      <c r="AB48" s="73" t="s">
        <v>62</v>
      </c>
      <c r="AD48" s="62" t="s">
        <v>2</v>
      </c>
      <c r="AE48" s="83" t="str">
        <f>S48</f>
        <v>Average specific CPC conc.</v>
      </c>
      <c r="AF48" s="62" t="s">
        <v>15</v>
      </c>
      <c r="AG48" s="83" t="str">
        <f>W48</f>
        <v>Average total CPC</v>
      </c>
      <c r="AH48" s="62" t="s">
        <v>15</v>
      </c>
      <c r="AJ48" s="5"/>
      <c r="AK48" s="5"/>
      <c r="AL48" s="5"/>
    </row>
    <row r="49" spans="2:38" ht="25" customHeight="1" x14ac:dyDescent="0.15">
      <c r="B49" s="74"/>
      <c r="C49" s="75"/>
      <c r="D49" s="76"/>
      <c r="E49" s="77"/>
      <c r="F49" s="75" t="s">
        <v>16</v>
      </c>
      <c r="G49" s="75" t="s">
        <v>16</v>
      </c>
      <c r="H49" s="78" t="s">
        <v>89</v>
      </c>
      <c r="I49" s="75" t="s">
        <v>90</v>
      </c>
      <c r="J49" s="76" t="s">
        <v>89</v>
      </c>
      <c r="K49" s="79" t="s">
        <v>90</v>
      </c>
      <c r="L49" s="222" t="s">
        <v>17</v>
      </c>
      <c r="M49" s="221"/>
      <c r="N49" s="80" t="s">
        <v>17</v>
      </c>
      <c r="O49" s="80" t="s">
        <v>16</v>
      </c>
      <c r="P49" s="80" t="s">
        <v>18</v>
      </c>
      <c r="Q49" s="80" t="s">
        <v>19</v>
      </c>
      <c r="R49" s="81" t="s">
        <v>91</v>
      </c>
      <c r="S49" s="81" t="s">
        <v>91</v>
      </c>
      <c r="T49" s="80"/>
      <c r="U49" s="76"/>
      <c r="V49" s="81" t="s">
        <v>92</v>
      </c>
      <c r="W49" s="81" t="s">
        <v>92</v>
      </c>
      <c r="X49" s="80"/>
      <c r="Y49" s="80"/>
      <c r="Z49" s="81" t="s">
        <v>93</v>
      </c>
      <c r="AA49" s="81" t="s">
        <v>93</v>
      </c>
      <c r="AB49" s="82"/>
      <c r="AD49" s="93">
        <f>D50</f>
        <v>23.016666666666666</v>
      </c>
      <c r="AE49" s="92">
        <v>24.599267732136301</v>
      </c>
      <c r="AF49" s="92">
        <f>U52</f>
        <v>1.0557897512106924</v>
      </c>
      <c r="AG49" s="92">
        <v>6.7874812734082424</v>
      </c>
      <c r="AH49" s="92">
        <f>Y52</f>
        <v>0.39672933823117207</v>
      </c>
      <c r="AJ49" s="156"/>
      <c r="AK49" s="5"/>
      <c r="AL49" s="5"/>
    </row>
    <row r="50" spans="2:38" x14ac:dyDescent="0.15">
      <c r="B50" s="194" t="s">
        <v>9</v>
      </c>
      <c r="C50" s="197">
        <v>0.51041666666666663</v>
      </c>
      <c r="D50" s="200">
        <v>23.016666666666666</v>
      </c>
      <c r="E50" s="85" t="s">
        <v>94</v>
      </c>
      <c r="F50" s="203">
        <v>4.6699999999999998E-2</v>
      </c>
      <c r="G50" s="206">
        <v>4.65E-2</v>
      </c>
      <c r="H50" s="86">
        <f>0.1376-F50</f>
        <v>9.0900000000000009E-2</v>
      </c>
      <c r="I50" s="88">
        <f>0.147-F50</f>
        <v>0.1003</v>
      </c>
      <c r="J50" s="88">
        <f>0.0814-G50</f>
        <v>3.49E-2</v>
      </c>
      <c r="K50" s="88">
        <f>0.0926-G50</f>
        <v>4.6100000000000002E-2</v>
      </c>
      <c r="L50" s="88">
        <f>(H50-(0.605*J50))/6.17</f>
        <v>1.1310453808752025E-2</v>
      </c>
      <c r="M50" s="88">
        <f>(I50-(0.605*K50))/6.17</f>
        <v>1.1735737439222042E-2</v>
      </c>
      <c r="N50" s="88">
        <f>AVERAGE(L50:M50)</f>
        <v>1.1523095623987033E-2</v>
      </c>
      <c r="O50" s="62">
        <f>'Growth curves CeBER'!F30</f>
        <v>0.22800000000000001</v>
      </c>
      <c r="P50" s="88">
        <f>1.2334*O50</f>
        <v>0.2812152</v>
      </c>
      <c r="Q50" s="89">
        <f>P50*1/1000</f>
        <v>2.8121519999999998E-4</v>
      </c>
      <c r="R50" s="90">
        <f>(N50*0.5)/Q50</f>
        <v>20.488038384815319</v>
      </c>
      <c r="S50" s="91"/>
      <c r="V50" s="92">
        <f>R50*P50</f>
        <v>5.7615478119935171</v>
      </c>
      <c r="W50" s="91"/>
      <c r="AA50" s="91"/>
      <c r="AB50" s="84"/>
      <c r="AD50" s="93">
        <f>D53</f>
        <v>94.833333333333343</v>
      </c>
      <c r="AE50" s="92">
        <v>38.267700120630103</v>
      </c>
      <c r="AF50" s="92">
        <f>U55</f>
        <v>1.9228410830644018</v>
      </c>
      <c r="AG50" s="92">
        <v>35.971960049937579</v>
      </c>
      <c r="AH50" s="92">
        <f>Y55</f>
        <v>2.6698711825649006</v>
      </c>
      <c r="AJ50" s="156"/>
      <c r="AK50" s="5"/>
      <c r="AL50" s="5"/>
    </row>
    <row r="51" spans="2:38" ht="15" customHeight="1" x14ac:dyDescent="0.15">
      <c r="B51" s="194"/>
      <c r="C51" s="197"/>
      <c r="D51" s="200"/>
      <c r="E51" s="85" t="s">
        <v>95</v>
      </c>
      <c r="F51" s="203"/>
      <c r="G51" s="206"/>
      <c r="H51" s="86">
        <f>0.1365-F50</f>
        <v>8.9800000000000019E-2</v>
      </c>
      <c r="I51" s="88">
        <f>0.1371-F50</f>
        <v>9.0400000000000008E-2</v>
      </c>
      <c r="J51" s="88">
        <f>0.1018-G50</f>
        <v>5.5300000000000002E-2</v>
      </c>
      <c r="K51" s="88">
        <f>0.1023-G50</f>
        <v>5.5800000000000002E-2</v>
      </c>
      <c r="L51" s="88">
        <f t="shared" ref="L51:L91" si="11">(H51-(0.605*J51))/6.17</f>
        <v>9.1318476499189661E-3</v>
      </c>
      <c r="M51" s="88">
        <f t="shared" ref="M51:M91" si="12">(I51-(0.605*K51))/6.17</f>
        <v>9.18006482982172E-3</v>
      </c>
      <c r="N51" s="88">
        <f t="shared" ref="N51:N91" si="13">AVERAGE(L51:M51)</f>
        <v>9.1559562398703422E-3</v>
      </c>
      <c r="O51" s="62">
        <f>'Growth curves CeBER'!G30</f>
        <v>0.214</v>
      </c>
      <c r="P51" s="88">
        <f t="shared" ref="P51:P91" si="14">1.2334*O51</f>
        <v>0.2639476</v>
      </c>
      <c r="Q51" s="89">
        <f>P51*1/1000</f>
        <v>2.6394759999999999E-4</v>
      </c>
      <c r="R51" s="90">
        <f t="shared" ref="R51:R91" si="15">(N51*0.5)/Q51</f>
        <v>17.344268786437805</v>
      </c>
      <c r="S51" s="91"/>
      <c r="V51" s="92">
        <f t="shared" ref="V51:V91" si="16">R51*P51</f>
        <v>4.577978119935171</v>
      </c>
      <c r="W51" s="91"/>
      <c r="AA51" s="91"/>
      <c r="AB51" s="84"/>
      <c r="AD51" s="93">
        <f>D56</f>
        <v>118.85000000000001</v>
      </c>
      <c r="AE51" s="92">
        <v>33.906319219158654</v>
      </c>
      <c r="AF51" s="92">
        <f>U58</f>
        <v>2.4416931353359042</v>
      </c>
      <c r="AG51" s="92">
        <v>41.576079900124846</v>
      </c>
      <c r="AH51" s="92">
        <f>Y58</f>
        <v>2.4418990276413455</v>
      </c>
      <c r="AJ51" s="156"/>
      <c r="AK51" s="5"/>
      <c r="AL51" s="5"/>
    </row>
    <row r="52" spans="2:38" ht="15" customHeight="1" x14ac:dyDescent="0.15">
      <c r="B52" s="208"/>
      <c r="C52" s="209"/>
      <c r="D52" s="210"/>
      <c r="E52" s="95" t="s">
        <v>96</v>
      </c>
      <c r="F52" s="203"/>
      <c r="G52" s="206"/>
      <c r="H52" s="96">
        <f>0.1448-F50</f>
        <v>9.8100000000000021E-2</v>
      </c>
      <c r="I52" s="98">
        <f>0.1469-F50</f>
        <v>0.10020000000000001</v>
      </c>
      <c r="J52" s="98">
        <f>0.0908-G50</f>
        <v>4.4300000000000006E-2</v>
      </c>
      <c r="K52" s="98">
        <f>0.0944-G50</f>
        <v>4.7899999999999998E-2</v>
      </c>
      <c r="L52" s="88">
        <f t="shared" si="11"/>
        <v>1.1555672609400327E-2</v>
      </c>
      <c r="M52" s="88">
        <f t="shared" si="12"/>
        <v>1.154303079416532E-2</v>
      </c>
      <c r="N52" s="98">
        <f t="shared" si="13"/>
        <v>1.1549351701782822E-2</v>
      </c>
      <c r="O52" s="103">
        <f>'Growth curves CeBER'!H30</f>
        <v>0.22800000000000001</v>
      </c>
      <c r="P52" s="98">
        <f t="shared" si="14"/>
        <v>0.2812152</v>
      </c>
      <c r="Q52" s="99">
        <f>P52*1/1000</f>
        <v>2.8121519999999998E-4</v>
      </c>
      <c r="R52" s="100">
        <f t="shared" si="15"/>
        <v>20.534721632726153</v>
      </c>
      <c r="S52" s="101">
        <f>AVERAGE(R50:R52)</f>
        <v>19.455676267993091</v>
      </c>
      <c r="T52" s="102">
        <f>STDEV(R50:R52)</f>
        <v>1.8286814912074236</v>
      </c>
      <c r="U52" s="102">
        <f>T52/SQRT(3)</f>
        <v>1.0557897512106924</v>
      </c>
      <c r="V52" s="102">
        <f t="shared" si="16"/>
        <v>5.7746758508914118</v>
      </c>
      <c r="W52" s="101">
        <f>AVERAGE(V50:V52)</f>
        <v>5.3714005942733669</v>
      </c>
      <c r="X52" s="102">
        <f>STDEV(V50:V52)</f>
        <v>0.68715537066956778</v>
      </c>
      <c r="Y52" s="102">
        <f>X52/SQRT(3)</f>
        <v>0.39672933823117207</v>
      </c>
      <c r="Z52" s="103"/>
      <c r="AA52" s="104"/>
      <c r="AB52" s="94"/>
      <c r="AD52" s="93">
        <f>D59</f>
        <v>191.35</v>
      </c>
      <c r="AE52" s="92">
        <v>40.923899702764828</v>
      </c>
      <c r="AF52" s="92">
        <f>U61</f>
        <v>10.695257860719474</v>
      </c>
      <c r="AG52" s="92">
        <v>81.840617086142331</v>
      </c>
      <c r="AH52" s="92">
        <f>Y61</f>
        <v>21.101292281740111</v>
      </c>
      <c r="AJ52" s="156"/>
      <c r="AK52" s="5"/>
      <c r="AL52" s="5"/>
    </row>
    <row r="53" spans="2:38" x14ac:dyDescent="0.15">
      <c r="B53" s="193" t="s">
        <v>27</v>
      </c>
      <c r="C53" s="196">
        <v>0.50277777777777777</v>
      </c>
      <c r="D53" s="199">
        <v>94.833333333333343</v>
      </c>
      <c r="E53" s="85" t="s">
        <v>94</v>
      </c>
      <c r="F53" s="203">
        <f>(0.0532+0.0381+0.0347)/3</f>
        <v>4.2000000000000003E-2</v>
      </c>
      <c r="G53" s="206">
        <f>(0.0532+0.039+0.0341)/3</f>
        <v>4.2099999999999999E-2</v>
      </c>
      <c r="H53" s="86">
        <f>0.3563-F53</f>
        <v>0.31430000000000002</v>
      </c>
      <c r="I53" s="88">
        <f>0.3641-F53</f>
        <v>0.3221</v>
      </c>
      <c r="J53" s="88">
        <f>0.2251-G53</f>
        <v>0.183</v>
      </c>
      <c r="K53" s="88">
        <f>0.2349-G53</f>
        <v>0.1928</v>
      </c>
      <c r="L53" s="88">
        <f t="shared" si="11"/>
        <v>3.2995948136142629E-2</v>
      </c>
      <c r="M53" s="88">
        <f t="shared" si="12"/>
        <v>3.3299189627228526E-2</v>
      </c>
      <c r="N53" s="88">
        <f t="shared" si="13"/>
        <v>3.3147568881685574E-2</v>
      </c>
      <c r="O53" s="88">
        <f>'Growth curves CeBER'!F32</f>
        <v>0.80800000000000005</v>
      </c>
      <c r="P53" s="88">
        <f t="shared" si="14"/>
        <v>0.99658720000000012</v>
      </c>
      <c r="Q53" s="89">
        <f>P53*0.5/1000</f>
        <v>4.9829360000000001E-4</v>
      </c>
      <c r="R53" s="90">
        <f t="shared" si="15"/>
        <v>33.261082303370515</v>
      </c>
      <c r="S53" s="108"/>
      <c r="T53" s="92"/>
      <c r="U53" s="92"/>
      <c r="V53" s="92">
        <f t="shared" si="16"/>
        <v>33.147568881685572</v>
      </c>
      <c r="W53" s="108"/>
      <c r="X53" s="92"/>
      <c r="Y53" s="92"/>
      <c r="Z53" s="92">
        <f>(V53-$V$50)/(D53-$D$50)</f>
        <v>0.38133238899547994</v>
      </c>
      <c r="AA53" s="108"/>
      <c r="AB53" s="84"/>
      <c r="AD53" s="93">
        <f>D62</f>
        <v>216.28333333333333</v>
      </c>
      <c r="AE53" s="92">
        <v>66.019578083441658</v>
      </c>
      <c r="AF53" s="92">
        <f>U64</f>
        <v>5.1678226665333025</v>
      </c>
      <c r="AG53" s="92">
        <v>115.755848898876</v>
      </c>
      <c r="AH53" s="92">
        <f>Y64</f>
        <v>10.033524525088577</v>
      </c>
      <c r="AJ53" s="156"/>
      <c r="AK53" s="5"/>
      <c r="AL53" s="5"/>
    </row>
    <row r="54" spans="2:38" x14ac:dyDescent="0.15">
      <c r="B54" s="194"/>
      <c r="C54" s="197"/>
      <c r="D54" s="200"/>
      <c r="E54" s="85" t="s">
        <v>95</v>
      </c>
      <c r="F54" s="203"/>
      <c r="G54" s="206"/>
      <c r="H54" s="86">
        <f>0.2282-F53</f>
        <v>0.18619999999999998</v>
      </c>
      <c r="I54" s="88">
        <f>0.2758-F53</f>
        <v>0.23379999999999998</v>
      </c>
      <c r="J54" s="88">
        <f>0.1198-G53</f>
        <v>7.7700000000000005E-2</v>
      </c>
      <c r="K54" s="88">
        <f>0.1681-G53</f>
        <v>0.126</v>
      </c>
      <c r="L54" s="88">
        <f t="shared" si="11"/>
        <v>2.2559400324149104E-2</v>
      </c>
      <c r="M54" s="88">
        <f t="shared" si="12"/>
        <v>2.5538087520259319E-2</v>
      </c>
      <c r="N54" s="88">
        <f t="shared" si="13"/>
        <v>2.4048743922204213E-2</v>
      </c>
      <c r="O54" s="88">
        <f>'Growth curves CeBER'!G32</f>
        <v>0.73299999999999998</v>
      </c>
      <c r="P54" s="88">
        <f t="shared" si="14"/>
        <v>0.90408220000000006</v>
      </c>
      <c r="Q54" s="89">
        <f>P54*0.5/1000</f>
        <v>4.5204110000000001E-4</v>
      </c>
      <c r="R54" s="90">
        <f t="shared" si="15"/>
        <v>26.600174101651611</v>
      </c>
      <c r="S54" s="91"/>
      <c r="T54" s="92"/>
      <c r="U54" s="92"/>
      <c r="V54" s="92">
        <f t="shared" si="16"/>
        <v>24.048743922204213</v>
      </c>
      <c r="W54" s="108"/>
      <c r="X54" s="92"/>
      <c r="Y54" s="92"/>
      <c r="Z54" s="92">
        <f>(V54-$V$51)/(D53-$D$50)</f>
        <v>0.27111764867397131</v>
      </c>
      <c r="AA54" s="108"/>
      <c r="AB54" s="84"/>
      <c r="AD54" s="93">
        <f>D65</f>
        <v>240.18333333333334</v>
      </c>
      <c r="AE54" s="92">
        <v>70.674350000000004</v>
      </c>
      <c r="AF54" s="92">
        <f>U67</f>
        <v>6.8958446136979257</v>
      </c>
      <c r="AG54" s="92">
        <v>125.7547</v>
      </c>
      <c r="AH54" s="92">
        <f>Y67</f>
        <v>16.819386436899809</v>
      </c>
      <c r="AJ54" s="156"/>
      <c r="AK54" s="5"/>
      <c r="AL54" s="5"/>
    </row>
    <row r="55" spans="2:38" x14ac:dyDescent="0.15">
      <c r="B55" s="208"/>
      <c r="C55" s="209"/>
      <c r="D55" s="210"/>
      <c r="E55" s="95" t="s">
        <v>96</v>
      </c>
      <c r="F55" s="204"/>
      <c r="G55" s="207"/>
      <c r="H55" s="86">
        <f>0.2939-F53</f>
        <v>0.25190000000000001</v>
      </c>
      <c r="I55" s="88">
        <f>0.2899-F53</f>
        <v>0.24789999999999998</v>
      </c>
      <c r="J55" s="88">
        <f>0.1795-G53</f>
        <v>0.13739999999999999</v>
      </c>
      <c r="K55" s="88">
        <f>0.1768-G53</f>
        <v>0.13470000000000001</v>
      </c>
      <c r="L55" s="88">
        <f t="shared" si="11"/>
        <v>2.7353808752025935E-2</v>
      </c>
      <c r="M55" s="88">
        <f t="shared" si="12"/>
        <v>2.6970259319286864E-2</v>
      </c>
      <c r="N55" s="98">
        <f t="shared" si="13"/>
        <v>2.71620340356564E-2</v>
      </c>
      <c r="O55" s="98">
        <f>'Growth curves CeBER'!H32</f>
        <v>0.73599999999999999</v>
      </c>
      <c r="P55" s="98">
        <f t="shared" si="14"/>
        <v>0.90778239999999999</v>
      </c>
      <c r="Q55" s="99">
        <f>P55*0.5/1000</f>
        <v>4.5389120000000001E-4</v>
      </c>
      <c r="R55" s="100">
        <f t="shared" si="15"/>
        <v>29.921304968741847</v>
      </c>
      <c r="S55" s="101">
        <f>AVERAGE(R53:R55)</f>
        <v>29.927520457921322</v>
      </c>
      <c r="T55" s="102">
        <f>STDEV(R53:R55)</f>
        <v>3.3304584507483117</v>
      </c>
      <c r="U55" s="102">
        <f>T55/SQRT(3)</f>
        <v>1.9228410830644018</v>
      </c>
      <c r="V55" s="102">
        <f t="shared" si="16"/>
        <v>27.162034035656397</v>
      </c>
      <c r="W55" s="101">
        <f t="shared" ref="W55:W91" si="17">AVERAGE(V53:V55)</f>
        <v>28.119448946515394</v>
      </c>
      <c r="X55" s="102">
        <f t="shared" ref="X55:X91" si="18">STDEV(V53:V55)</f>
        <v>4.6243525378664092</v>
      </c>
      <c r="Y55" s="102">
        <f t="shared" ref="Y55:Y91" si="19">X55/SQRT(3)</f>
        <v>2.6698711825649006</v>
      </c>
      <c r="Z55" s="102">
        <f>(V55-$V$52)/(D53-$D$50)</f>
        <v>0.29780494107354349</v>
      </c>
      <c r="AA55" s="101">
        <f>AVERAGE(Z53:Z55)</f>
        <v>0.31675165958099827</v>
      </c>
      <c r="AB55" s="109">
        <f>STDEV(Z53:Z55)/SQRT(3)</f>
        <v>3.3196665759706076E-2</v>
      </c>
      <c r="AD55" s="93">
        <f>D68</f>
        <v>264.18333333333334</v>
      </c>
      <c r="AE55" s="92">
        <v>65.876450000000006</v>
      </c>
      <c r="AF55" s="92">
        <f>U70</f>
        <v>1.1295258419896488</v>
      </c>
      <c r="AG55" s="92">
        <v>138.75643500000001</v>
      </c>
      <c r="AH55" s="92">
        <f>Y70</f>
        <v>3.2573279190712938</v>
      </c>
      <c r="AJ55" s="156"/>
      <c r="AK55" s="5"/>
      <c r="AL55" s="5"/>
    </row>
    <row r="56" spans="2:38" x14ac:dyDescent="0.15">
      <c r="B56" s="193" t="s">
        <v>28</v>
      </c>
      <c r="C56" s="196">
        <v>0.50347222222222221</v>
      </c>
      <c r="D56" s="199">
        <v>118.85000000000001</v>
      </c>
      <c r="E56" s="85" t="s">
        <v>94</v>
      </c>
      <c r="F56" s="202">
        <v>4.5199999999999997E-2</v>
      </c>
      <c r="G56" s="205">
        <v>4.4499999999999998E-2</v>
      </c>
      <c r="H56" s="106">
        <f>0.1833-F56</f>
        <v>0.1381</v>
      </c>
      <c r="I56" s="110">
        <f>0.1814-F56</f>
        <v>0.13620000000000002</v>
      </c>
      <c r="J56" s="110">
        <f>0.1152-G56</f>
        <v>7.0699999999999999E-2</v>
      </c>
      <c r="K56" s="110">
        <f>0.1143-G56</f>
        <v>6.9800000000000001E-2</v>
      </c>
      <c r="L56" s="88">
        <f t="shared" si="11"/>
        <v>1.5450000000000002E-2</v>
      </c>
      <c r="M56" s="88">
        <f t="shared" si="12"/>
        <v>1.5230307941653162E-2</v>
      </c>
      <c r="N56" s="88">
        <f t="shared" si="13"/>
        <v>1.5340153970826581E-2</v>
      </c>
      <c r="O56" s="88">
        <f>'Growth curves CeBER'!F33</f>
        <v>1.038</v>
      </c>
      <c r="P56" s="88">
        <f t="shared" si="14"/>
        <v>1.2802692</v>
      </c>
      <c r="Q56" s="111">
        <f>P56*0.25/1000</f>
        <v>3.2006729999999999E-4</v>
      </c>
      <c r="R56" s="90">
        <f t="shared" si="15"/>
        <v>23.963950661043132</v>
      </c>
      <c r="S56" s="108"/>
      <c r="T56" s="92"/>
      <c r="U56" s="92"/>
      <c r="V56" s="92">
        <f t="shared" si="16"/>
        <v>30.680307941653162</v>
      </c>
      <c r="W56" s="108"/>
      <c r="X56" s="92"/>
      <c r="Y56" s="92"/>
      <c r="Z56" s="92">
        <f t="shared" ref="Z56:Z89" si="20">(V56-$V$50)/(D56-$D$50)</f>
        <v>0.26002184483123103</v>
      </c>
      <c r="AA56" s="108"/>
      <c r="AB56" s="115"/>
      <c r="AD56" s="93">
        <f>D71</f>
        <v>288.18333333333334</v>
      </c>
      <c r="AE56" s="92">
        <v>74.976740000000007</v>
      </c>
      <c r="AF56" s="92">
        <f>U73</f>
        <v>1.7884877103181731</v>
      </c>
      <c r="AG56" s="92">
        <v>142.68566999999999</v>
      </c>
      <c r="AH56" s="92">
        <f>Y73</f>
        <v>4.8913780134035667</v>
      </c>
      <c r="AJ56" s="156"/>
      <c r="AK56" s="5"/>
      <c r="AL56" s="5"/>
    </row>
    <row r="57" spans="2:38" x14ac:dyDescent="0.15">
      <c r="B57" s="194"/>
      <c r="C57" s="197"/>
      <c r="D57" s="200"/>
      <c r="E57" s="85" t="s">
        <v>95</v>
      </c>
      <c r="F57" s="203"/>
      <c r="G57" s="206"/>
      <c r="H57" s="86">
        <f>0.2171-F56</f>
        <v>0.1719</v>
      </c>
      <c r="I57" s="88">
        <f>0.2154-F56</f>
        <v>0.17020000000000002</v>
      </c>
      <c r="J57" s="88">
        <f>0.1372-G56</f>
        <v>9.2699999999999991E-2</v>
      </c>
      <c r="K57" s="88">
        <f>0.1354-G56</f>
        <v>9.0899999999999995E-2</v>
      </c>
      <c r="L57" s="88">
        <f t="shared" si="11"/>
        <v>1.8770907617504051E-2</v>
      </c>
      <c r="M57" s="88">
        <f t="shared" si="12"/>
        <v>1.8671880064829824E-2</v>
      </c>
      <c r="N57" s="88">
        <f t="shared" si="13"/>
        <v>1.8721393841166938E-2</v>
      </c>
      <c r="O57" s="88">
        <f>'Growth curves CeBER'!G33</f>
        <v>0.96499999999999997</v>
      </c>
      <c r="P57" s="88">
        <f t="shared" si="14"/>
        <v>1.190231</v>
      </c>
      <c r="Q57" s="89">
        <f>P57*0.25/1000</f>
        <v>2.9755775000000004E-4</v>
      </c>
      <c r="R57" s="90">
        <f t="shared" si="15"/>
        <v>31.458420829514498</v>
      </c>
      <c r="S57" s="91"/>
      <c r="T57" s="92"/>
      <c r="U57" s="92"/>
      <c r="V57" s="92">
        <f t="shared" si="16"/>
        <v>37.442787682333872</v>
      </c>
      <c r="W57" s="108"/>
      <c r="X57" s="92"/>
      <c r="Y57" s="92"/>
      <c r="Z57" s="92">
        <f>(V57-$V$51)/(D56-$D$50)</f>
        <v>0.34293714325981256</v>
      </c>
      <c r="AA57" s="108"/>
      <c r="AB57" s="115"/>
      <c r="AD57" s="93">
        <f>D74</f>
        <v>312.08333333333331</v>
      </c>
      <c r="AE57" s="92">
        <v>81.373105770724621</v>
      </c>
      <c r="AF57" s="92">
        <f>U76</f>
        <v>2.4394472788188888</v>
      </c>
      <c r="AG57" s="92">
        <v>157.785764</v>
      </c>
      <c r="AH57" s="92">
        <f>Y76</f>
        <v>9.4272513399590796</v>
      </c>
      <c r="AJ57" s="156"/>
      <c r="AK57" s="5"/>
      <c r="AL57" s="5"/>
    </row>
    <row r="58" spans="2:38" x14ac:dyDescent="0.15">
      <c r="B58" s="208"/>
      <c r="C58" s="209"/>
      <c r="D58" s="210"/>
      <c r="E58" s="95" t="s">
        <v>96</v>
      </c>
      <c r="F58" s="204"/>
      <c r="G58" s="207"/>
      <c r="H58" s="96">
        <f>0.1888-F56</f>
        <v>0.14360000000000001</v>
      </c>
      <c r="I58" s="98">
        <f>0.1782-F56</f>
        <v>0.13300000000000001</v>
      </c>
      <c r="J58" s="98">
        <f>0.1278-G56</f>
        <v>8.3299999999999999E-2</v>
      </c>
      <c r="K58" s="98">
        <f>0.1159-G56</f>
        <v>7.1400000000000005E-2</v>
      </c>
      <c r="L58" s="88">
        <f t="shared" si="11"/>
        <v>1.5105915721231768E-2</v>
      </c>
      <c r="M58" s="88">
        <f t="shared" si="12"/>
        <v>1.4554781199351703E-2</v>
      </c>
      <c r="N58" s="98">
        <f t="shared" si="13"/>
        <v>1.4830348460291735E-2</v>
      </c>
      <c r="O58" s="98">
        <f>'Growth curves CeBER'!H33</f>
        <v>0.98899999999999999</v>
      </c>
      <c r="P58" s="98">
        <f t="shared" si="14"/>
        <v>1.2198325999999999</v>
      </c>
      <c r="Q58" s="99">
        <f>P58*0.25/1000</f>
        <v>3.0495814999999997E-4</v>
      </c>
      <c r="R58" s="100">
        <f t="shared" si="15"/>
        <v>24.315383045660095</v>
      </c>
      <c r="S58" s="101">
        <f>AVERAGE(R56:R58)</f>
        <v>26.579251512072574</v>
      </c>
      <c r="T58" s="102">
        <f>STDEV(R56:R58)</f>
        <v>4.2291365668939367</v>
      </c>
      <c r="U58" s="102">
        <f>T58/SQRT(3)</f>
        <v>2.4416931353359042</v>
      </c>
      <c r="V58" s="102">
        <f t="shared" si="16"/>
        <v>29.660696920583472</v>
      </c>
      <c r="W58" s="101">
        <f t="shared" si="17"/>
        <v>32.594597514856837</v>
      </c>
      <c r="X58" s="102">
        <f t="shared" si="18"/>
        <v>4.2294931828278486</v>
      </c>
      <c r="Y58" s="102">
        <f t="shared" si="19"/>
        <v>2.4418990276413455</v>
      </c>
      <c r="Z58" s="102">
        <f>(V58-$V$52)/(D56-$D$50)</f>
        <v>0.24924543724896059</v>
      </c>
      <c r="AA58" s="101">
        <f t="shared" ref="AA58:AA91" si="21">AVERAGE(Z56:Z58)</f>
        <v>0.28406814178000134</v>
      </c>
      <c r="AB58" s="109">
        <f t="shared" ref="AB58:AB91" si="22">STDEV(Z56:Z58)/SQRT(3)</f>
        <v>2.9598436003260623E-2</v>
      </c>
      <c r="AD58" s="93">
        <f>D77</f>
        <v>336.08333333333331</v>
      </c>
      <c r="AE58" s="92">
        <v>73.78546</v>
      </c>
      <c r="AF58" s="92">
        <f>U79</f>
        <v>1.2051112526818624</v>
      </c>
      <c r="AG58" s="92">
        <v>165.8646</v>
      </c>
      <c r="AH58" s="92">
        <f>Y79</f>
        <v>2.8801290046601142</v>
      </c>
      <c r="AJ58" s="45"/>
      <c r="AK58" s="5"/>
      <c r="AL58" s="5"/>
    </row>
    <row r="59" spans="2:38" x14ac:dyDescent="0.15">
      <c r="B59" s="193" t="s">
        <v>30</v>
      </c>
      <c r="C59" s="196">
        <v>0.52430555555555558</v>
      </c>
      <c r="D59" s="199">
        <v>191.35</v>
      </c>
      <c r="E59" s="85" t="s">
        <v>94</v>
      </c>
      <c r="F59" s="202">
        <v>3.6400000000000002E-2</v>
      </c>
      <c r="G59" s="205">
        <v>3.5099999999999999E-2</v>
      </c>
      <c r="H59" s="106">
        <f>0.1854-F59</f>
        <v>0.14900000000000002</v>
      </c>
      <c r="I59" s="110">
        <f>0.182-F59</f>
        <v>0.14560000000000001</v>
      </c>
      <c r="J59" s="110">
        <f>0.1372-G59</f>
        <v>0.1021</v>
      </c>
      <c r="K59" s="110">
        <f>0.1355-G59</f>
        <v>0.10040000000000002</v>
      </c>
      <c r="L59" s="88">
        <f t="shared" si="11"/>
        <v>1.4137682333873584E-2</v>
      </c>
      <c r="M59" s="88">
        <f t="shared" si="12"/>
        <v>1.3753322528363046E-2</v>
      </c>
      <c r="N59" s="88">
        <f t="shared" si="13"/>
        <v>1.3945502431118315E-2</v>
      </c>
      <c r="O59" s="88">
        <f>'Growth curves CeBER'!F35</f>
        <v>1.5660000000000001</v>
      </c>
      <c r="P59" s="88">
        <f t="shared" si="14"/>
        <v>1.9315044000000001</v>
      </c>
      <c r="Q59" s="111">
        <f t="shared" ref="Q59:Q67" si="23">O59*0.125/1000</f>
        <v>1.9575000000000001E-4</v>
      </c>
      <c r="R59" s="90">
        <f t="shared" si="15"/>
        <v>35.620695864925452</v>
      </c>
      <c r="S59" s="108"/>
      <c r="T59" s="92"/>
      <c r="U59" s="92"/>
      <c r="V59" s="92">
        <f t="shared" si="16"/>
        <v>68.801530794165316</v>
      </c>
      <c r="W59" s="108"/>
      <c r="X59" s="92"/>
      <c r="Y59" s="92"/>
      <c r="Z59" s="92">
        <f t="shared" si="20"/>
        <v>0.37449494840894143</v>
      </c>
      <c r="AA59" s="108"/>
      <c r="AB59" s="115"/>
      <c r="AD59" s="93">
        <f>D80</f>
        <v>360.08333333333331</v>
      </c>
      <c r="AE59" s="92">
        <v>69.756349999999998</v>
      </c>
      <c r="AF59" s="92">
        <f>U82</f>
        <v>2.911478304052832</v>
      </c>
      <c r="AG59" s="92">
        <v>175.8758</v>
      </c>
      <c r="AH59" s="92">
        <f>Y82</f>
        <v>9.6147745632688366</v>
      </c>
      <c r="AJ59" s="45"/>
      <c r="AK59" s="5"/>
      <c r="AL59" s="5"/>
    </row>
    <row r="60" spans="2:38" x14ac:dyDescent="0.15">
      <c r="B60" s="194"/>
      <c r="C60" s="197"/>
      <c r="D60" s="200"/>
      <c r="E60" s="85" t="s">
        <v>95</v>
      </c>
      <c r="F60" s="203"/>
      <c r="G60" s="206"/>
      <c r="H60" s="86">
        <f>0.1514-F59</f>
        <v>0.115</v>
      </c>
      <c r="I60" s="88">
        <f>0.1357-F59</f>
        <v>9.9299999999999986E-2</v>
      </c>
      <c r="J60" s="88">
        <f>0.105-G59</f>
        <v>6.989999999999999E-2</v>
      </c>
      <c r="K60" s="88">
        <f>0.0888-G59</f>
        <v>5.3700000000000005E-2</v>
      </c>
      <c r="L60" s="88">
        <f t="shared" si="11"/>
        <v>1.1784521880064831E-2</v>
      </c>
      <c r="M60" s="88">
        <f t="shared" si="12"/>
        <v>1.0828444084278766E-2</v>
      </c>
      <c r="N60" s="88">
        <f t="shared" si="13"/>
        <v>1.1306482982171798E-2</v>
      </c>
      <c r="O60" s="88">
        <f>'Growth curves CeBER'!G35</f>
        <v>1.698</v>
      </c>
      <c r="P60" s="88">
        <f t="shared" si="14"/>
        <v>2.0943132000000002</v>
      </c>
      <c r="Q60" s="89">
        <f t="shared" si="23"/>
        <v>2.1224999999999998E-4</v>
      </c>
      <c r="R60" s="90">
        <f t="shared" si="15"/>
        <v>26.634824457412954</v>
      </c>
      <c r="S60" s="91"/>
      <c r="T60" s="92"/>
      <c r="U60" s="92"/>
      <c r="V60" s="92">
        <f t="shared" si="16"/>
        <v>55.781664440842789</v>
      </c>
      <c r="W60" s="108"/>
      <c r="X60" s="92"/>
      <c r="Y60" s="92"/>
      <c r="Z60" s="92">
        <f>(V60-$V$51)/(D59-$D$50)</f>
        <v>0.30418031477766905</v>
      </c>
      <c r="AA60" s="108"/>
      <c r="AB60" s="115"/>
      <c r="AD60" s="93">
        <f>D83</f>
        <v>384.08333333333331</v>
      </c>
      <c r="AE60" s="92">
        <v>66.986649999999997</v>
      </c>
      <c r="AF60" s="92">
        <f>U85</f>
        <v>0.54525044876056339</v>
      </c>
      <c r="AG60" s="92">
        <v>182.67468</v>
      </c>
      <c r="AH60" s="92">
        <f>Y85</f>
        <v>5.6874784480996192</v>
      </c>
      <c r="AJ60" s="45"/>
      <c r="AK60" s="5"/>
      <c r="AL60" s="5"/>
    </row>
    <row r="61" spans="2:38" x14ac:dyDescent="0.15">
      <c r="B61" s="208"/>
      <c r="C61" s="209"/>
      <c r="D61" s="210"/>
      <c r="E61" s="95" t="s">
        <v>96</v>
      </c>
      <c r="F61" s="204"/>
      <c r="G61" s="207"/>
      <c r="H61" s="96"/>
      <c r="I61" s="98"/>
      <c r="J61" s="98"/>
      <c r="K61" s="98"/>
      <c r="L61" s="88">
        <f t="shared" si="11"/>
        <v>0</v>
      </c>
      <c r="M61" s="88">
        <f t="shared" si="12"/>
        <v>0</v>
      </c>
      <c r="N61" s="98">
        <f t="shared" si="13"/>
        <v>0</v>
      </c>
      <c r="O61" s="98">
        <f>'Growth curves CeBER'!H35</f>
        <v>1.6279999999999999</v>
      </c>
      <c r="P61" s="98">
        <f t="shared" si="14"/>
        <v>2.0079751999999997</v>
      </c>
      <c r="Q61" s="99">
        <f t="shared" si="23"/>
        <v>2.0349999999999999E-4</v>
      </c>
      <c r="R61" s="100">
        <f t="shared" si="15"/>
        <v>0</v>
      </c>
      <c r="S61" s="101">
        <f>AVERAGE(R59:R61)</f>
        <v>20.751840107446135</v>
      </c>
      <c r="T61" s="102">
        <f>STDEV(R59:R61)</f>
        <v>18.524730014816548</v>
      </c>
      <c r="U61" s="102">
        <f>T61/SQRT(3)</f>
        <v>10.695257860719474</v>
      </c>
      <c r="V61" s="102">
        <f t="shared" si="16"/>
        <v>0</v>
      </c>
      <c r="W61" s="101">
        <f t="shared" si="17"/>
        <v>41.527731745002704</v>
      </c>
      <c r="X61" s="102">
        <f t="shared" si="18"/>
        <v>36.548510337334875</v>
      </c>
      <c r="Y61" s="102">
        <f t="shared" si="19"/>
        <v>21.101292281740111</v>
      </c>
      <c r="Z61" s="102">
        <f>(V61-$V$52)/(D59-$D$50)</f>
        <v>-3.4305005054800469E-2</v>
      </c>
      <c r="AA61" s="101">
        <f t="shared" si="21"/>
        <v>0.21479008604393665</v>
      </c>
      <c r="AB61" s="109">
        <f t="shared" si="22"/>
        <v>0.12619074217600268</v>
      </c>
      <c r="AD61" s="93">
        <f>D86</f>
        <v>408.08333333333331</v>
      </c>
      <c r="AE61" s="92">
        <v>67.787858</v>
      </c>
      <c r="AF61" s="92">
        <f>U88</f>
        <v>1.1480940435926448</v>
      </c>
      <c r="AG61" s="92">
        <v>185.47835823</v>
      </c>
      <c r="AH61" s="92">
        <f>Y88</f>
        <v>4.2526625159870859</v>
      </c>
      <c r="AJ61" s="149"/>
      <c r="AK61" s="5"/>
      <c r="AL61" s="5"/>
    </row>
    <row r="62" spans="2:38" x14ac:dyDescent="0.15">
      <c r="B62" s="193" t="s">
        <v>31</v>
      </c>
      <c r="C62" s="196">
        <v>0.56319444444444444</v>
      </c>
      <c r="D62" s="199">
        <v>216.28333333333333</v>
      </c>
      <c r="E62" s="85" t="s">
        <v>94</v>
      </c>
      <c r="F62" s="202">
        <f>(0.0517+0.038+0.0419)/3</f>
        <v>4.3866666666666665E-2</v>
      </c>
      <c r="G62" s="205">
        <f>(0.0509+0.0369+0.0407)/3</f>
        <v>4.2833333333333334E-2</v>
      </c>
      <c r="H62" s="86">
        <f>0.3168-F62</f>
        <v>0.27293333333333336</v>
      </c>
      <c r="I62" s="88">
        <f>0.3012-F62</f>
        <v>0.25733333333333336</v>
      </c>
      <c r="J62" s="88">
        <f>0.2069-G62</f>
        <v>0.16406666666666667</v>
      </c>
      <c r="K62" s="88">
        <f>0.19-G62</f>
        <v>0.14716666666666667</v>
      </c>
      <c r="L62" s="88">
        <f t="shared" si="11"/>
        <v>2.8147974068071315E-2</v>
      </c>
      <c r="M62" s="88">
        <f t="shared" si="12"/>
        <v>2.7276742301458677E-2</v>
      </c>
      <c r="N62" s="88">
        <f t="shared" si="13"/>
        <v>2.7712358184764994E-2</v>
      </c>
      <c r="O62" s="88">
        <f>'Growth curves CeBER'!F36</f>
        <v>1.804</v>
      </c>
      <c r="P62" s="88">
        <f t="shared" si="14"/>
        <v>2.2250536000000003</v>
      </c>
      <c r="Q62" s="111">
        <f t="shared" si="23"/>
        <v>2.2550000000000001E-4</v>
      </c>
      <c r="R62" s="90">
        <f t="shared" si="15"/>
        <v>61.446470476197327</v>
      </c>
      <c r="S62" s="91"/>
      <c r="V62" s="92">
        <f t="shared" si="16"/>
        <v>136.72169034035659</v>
      </c>
      <c r="W62" s="108"/>
      <c r="X62" s="92"/>
      <c r="Y62" s="92"/>
      <c r="Z62" s="92">
        <f t="shared" si="20"/>
        <v>0.67761370745962268</v>
      </c>
      <c r="AA62" s="108"/>
      <c r="AB62" s="115"/>
      <c r="AD62" s="93">
        <f>D89</f>
        <v>432.25</v>
      </c>
      <c r="AE62" s="92">
        <v>57.303737867560869</v>
      </c>
      <c r="AF62" s="92">
        <f>U91</f>
        <v>2.2787448454906198</v>
      </c>
      <c r="AG62" s="92">
        <v>200.32721598002499</v>
      </c>
      <c r="AH62" s="92">
        <f>Y91</f>
        <v>10.156080641452581</v>
      </c>
      <c r="AJ62" s="45"/>
      <c r="AK62" s="5"/>
      <c r="AL62" s="5"/>
    </row>
    <row r="63" spans="2:38" ht="15" customHeight="1" x14ac:dyDescent="0.2">
      <c r="B63" s="194"/>
      <c r="C63" s="197"/>
      <c r="D63" s="200"/>
      <c r="E63" s="85" t="s">
        <v>95</v>
      </c>
      <c r="F63" s="203"/>
      <c r="G63" s="206"/>
      <c r="H63" s="86">
        <f>0.2426-F62</f>
        <v>0.19873333333333335</v>
      </c>
      <c r="I63" s="88">
        <f>0.244-F62</f>
        <v>0.20013333333333333</v>
      </c>
      <c r="J63" s="88">
        <f>0.1553-G62</f>
        <v>0.11246666666666666</v>
      </c>
      <c r="K63" s="88">
        <f>0.1568-G62</f>
        <v>0.11396666666666666</v>
      </c>
      <c r="L63" s="88">
        <f t="shared" si="11"/>
        <v>2.1181685575364668E-2</v>
      </c>
      <c r="M63" s="88">
        <f t="shared" si="12"/>
        <v>2.1261507293354943E-2</v>
      </c>
      <c r="N63" s="88">
        <f t="shared" si="13"/>
        <v>2.1221596434359807E-2</v>
      </c>
      <c r="O63" s="88">
        <f>'Growth curves CeBER'!G36</f>
        <v>1.8779999999999999</v>
      </c>
      <c r="P63" s="88">
        <f t="shared" si="14"/>
        <v>2.3163252000000001</v>
      </c>
      <c r="Q63" s="89">
        <f t="shared" si="23"/>
        <v>2.3474999999999999E-4</v>
      </c>
      <c r="R63" s="90">
        <f t="shared" si="15"/>
        <v>45.200418390542723</v>
      </c>
      <c r="S63" s="91"/>
      <c r="V63" s="92">
        <f t="shared" si="16"/>
        <v>104.69886816855755</v>
      </c>
      <c r="W63" s="108"/>
      <c r="X63" s="92"/>
      <c r="Y63" s="92"/>
      <c r="Z63" s="92">
        <f>(V63-$V$51)/(D62-$D$50)</f>
        <v>0.51804530897872914</v>
      </c>
      <c r="AA63" s="108"/>
      <c r="AB63" s="115"/>
      <c r="AD63" s="93"/>
      <c r="AE63" s="92"/>
      <c r="AF63" s="92"/>
      <c r="AG63" s="92"/>
      <c r="AH63" s="92"/>
    </row>
    <row r="64" spans="2:38" ht="15" customHeight="1" x14ac:dyDescent="0.2">
      <c r="B64" s="208"/>
      <c r="C64" s="209"/>
      <c r="D64" s="210"/>
      <c r="E64" s="95" t="s">
        <v>96</v>
      </c>
      <c r="F64" s="204"/>
      <c r="G64" s="207"/>
      <c r="H64" s="86">
        <f>0.2479-F62</f>
        <v>0.20403333333333334</v>
      </c>
      <c r="I64" s="88">
        <f>0.2643-F62</f>
        <v>0.22043333333333331</v>
      </c>
      <c r="J64" s="88">
        <f>0.1617-G62</f>
        <v>0.11886666666666668</v>
      </c>
      <c r="K64" s="88">
        <f>0.1749-G62</f>
        <v>0.13206666666666667</v>
      </c>
      <c r="L64" s="88">
        <f t="shared" si="11"/>
        <v>2.1413128038897895E-2</v>
      </c>
      <c r="M64" s="88">
        <f t="shared" si="12"/>
        <v>2.2776823338735812E-2</v>
      </c>
      <c r="N64" s="98">
        <f t="shared" si="13"/>
        <v>2.2094975688816854E-2</v>
      </c>
      <c r="O64" s="98">
        <f>'Growth curves CeBER'!H36</f>
        <v>1.8879999999999999</v>
      </c>
      <c r="P64" s="98">
        <f t="shared" si="14"/>
        <v>2.3286592000000002</v>
      </c>
      <c r="Q64" s="99">
        <f t="shared" si="23"/>
        <v>2.3599999999999999E-4</v>
      </c>
      <c r="R64" s="100">
        <f t="shared" si="15"/>
        <v>46.811389171222146</v>
      </c>
      <c r="S64" s="101">
        <f>AVERAGE(R62:R64)</f>
        <v>51.152759345987398</v>
      </c>
      <c r="T64" s="102">
        <f>STDEV(R62:R64)</f>
        <v>8.9509314229417551</v>
      </c>
      <c r="U64" s="102">
        <f>T64/SQRT(3)</f>
        <v>5.1678226665333025</v>
      </c>
      <c r="V64" s="102">
        <f t="shared" si="16"/>
        <v>109.00777205834683</v>
      </c>
      <c r="W64" s="101">
        <f t="shared" si="17"/>
        <v>116.80944352242034</v>
      </c>
      <c r="X64" s="102">
        <f t="shared" si="18"/>
        <v>17.378574256441805</v>
      </c>
      <c r="Y64" s="102">
        <f t="shared" si="19"/>
        <v>10.033524525088577</v>
      </c>
      <c r="Z64" s="102">
        <f>(V64-$V$52)/(D62-$D$50)</f>
        <v>0.53414847985920366</v>
      </c>
      <c r="AA64" s="101">
        <f t="shared" si="21"/>
        <v>0.5766024987658519</v>
      </c>
      <c r="AB64" s="109">
        <f t="shared" si="22"/>
        <v>5.0719083323188932E-2</v>
      </c>
      <c r="AD64" s="93"/>
      <c r="AE64" s="92"/>
      <c r="AF64" s="92"/>
      <c r="AG64" s="92"/>
      <c r="AH64" s="92"/>
    </row>
    <row r="65" spans="2:34" x14ac:dyDescent="0.2">
      <c r="B65" s="193" t="s">
        <v>38</v>
      </c>
      <c r="C65" s="196">
        <v>0.55902777777777779</v>
      </c>
      <c r="D65" s="199">
        <v>240.18333333333334</v>
      </c>
      <c r="E65" s="85" t="s">
        <v>94</v>
      </c>
      <c r="F65" s="202">
        <f>0.0468</f>
        <v>4.6800000000000001E-2</v>
      </c>
      <c r="G65" s="205">
        <v>4.5199999999999997E-2</v>
      </c>
      <c r="H65" s="86">
        <f>0.3454-F65</f>
        <v>0.29859999999999998</v>
      </c>
      <c r="I65" s="88">
        <f>0.3381-F65</f>
        <v>0.2913</v>
      </c>
      <c r="J65" s="88">
        <f>0.2274-G65</f>
        <v>0.1822</v>
      </c>
      <c r="K65" s="88">
        <f>0.2219-G65</f>
        <v>0.1767</v>
      </c>
      <c r="L65" s="88">
        <f t="shared" si="11"/>
        <v>3.0529821717990274E-2</v>
      </c>
      <c r="M65" s="88">
        <f t="shared" si="12"/>
        <v>2.9885980551053487E-2</v>
      </c>
      <c r="N65" s="88">
        <f t="shared" si="13"/>
        <v>3.0207901134521882E-2</v>
      </c>
      <c r="O65" s="88">
        <f>'Growth curves CeBER'!F37</f>
        <v>2</v>
      </c>
      <c r="P65" s="88">
        <f t="shared" si="14"/>
        <v>2.4668000000000001</v>
      </c>
      <c r="Q65" s="89">
        <f t="shared" si="23"/>
        <v>2.5000000000000001E-4</v>
      </c>
      <c r="R65" s="90">
        <f t="shared" si="15"/>
        <v>60.415802269043766</v>
      </c>
      <c r="S65" s="91"/>
      <c r="V65" s="92">
        <f t="shared" si="16"/>
        <v>149.03370103727715</v>
      </c>
      <c r="W65" s="108"/>
      <c r="X65" s="92"/>
      <c r="Y65" s="92"/>
      <c r="Z65" s="92">
        <f t="shared" si="20"/>
        <v>0.65973362958687776</v>
      </c>
      <c r="AA65" s="108"/>
      <c r="AB65" s="115"/>
      <c r="AD65" s="93"/>
      <c r="AE65" s="92"/>
      <c r="AF65" s="92"/>
      <c r="AG65" s="92"/>
      <c r="AH65" s="92"/>
    </row>
    <row r="66" spans="2:34" x14ac:dyDescent="0.2">
      <c r="B66" s="194"/>
      <c r="C66" s="197"/>
      <c r="D66" s="200"/>
      <c r="E66" s="85" t="s">
        <v>95</v>
      </c>
      <c r="F66" s="203"/>
      <c r="G66" s="206"/>
      <c r="H66" s="86">
        <f>0.348-F65</f>
        <v>0.30119999999999997</v>
      </c>
      <c r="I66" s="88">
        <f>0.3357-F65</f>
        <v>0.28889999999999999</v>
      </c>
      <c r="J66" s="88">
        <f>0.2213-G65</f>
        <v>0.17610000000000001</v>
      </c>
      <c r="K66" s="88">
        <f>0.2107-G65</f>
        <v>0.16550000000000001</v>
      </c>
      <c r="L66" s="88">
        <f t="shared" si="11"/>
        <v>3.1549351701782816E-2</v>
      </c>
      <c r="M66" s="88">
        <f t="shared" si="12"/>
        <v>3.0595218800648295E-2</v>
      </c>
      <c r="N66" s="88">
        <f t="shared" si="13"/>
        <v>3.1072285251215553E-2</v>
      </c>
      <c r="O66" s="88">
        <f>'Growth curves CeBER'!G37</f>
        <v>1.996</v>
      </c>
      <c r="P66" s="88">
        <f t="shared" si="14"/>
        <v>2.4618663999999999</v>
      </c>
      <c r="Q66" s="89">
        <f t="shared" si="23"/>
        <v>2.4949999999999999E-4</v>
      </c>
      <c r="R66" s="90">
        <f t="shared" si="15"/>
        <v>62.26910871987085</v>
      </c>
      <c r="S66" s="91"/>
      <c r="V66" s="92">
        <f t="shared" si="16"/>
        <v>153.29822651539706</v>
      </c>
      <c r="W66" s="108"/>
      <c r="X66" s="92"/>
      <c r="Y66" s="92"/>
      <c r="Z66" s="92">
        <f>(V66-$V$51)/(D65-$D$50)</f>
        <v>0.68482079076958646</v>
      </c>
      <c r="AA66" s="108"/>
      <c r="AB66" s="115"/>
    </row>
    <row r="67" spans="2:34" x14ac:dyDescent="0.2">
      <c r="B67" s="208"/>
      <c r="C67" s="209"/>
      <c r="D67" s="210"/>
      <c r="E67" s="95" t="s">
        <v>96</v>
      </c>
      <c r="F67" s="204"/>
      <c r="G67" s="207"/>
      <c r="H67" s="96">
        <f>0.253-F65</f>
        <v>0.20619999999999999</v>
      </c>
      <c r="I67" s="98">
        <f>0.2658-F65</f>
        <v>0.21899999999999997</v>
      </c>
      <c r="J67" s="98">
        <f>0.1816-G65</f>
        <v>0.13640000000000002</v>
      </c>
      <c r="K67" s="98">
        <f>0.1947-G65</f>
        <v>0.14950000000000002</v>
      </c>
      <c r="L67" s="88">
        <f t="shared" si="11"/>
        <v>2.0045056726093999E-2</v>
      </c>
      <c r="M67" s="88">
        <f t="shared" si="12"/>
        <v>2.0835089141004855E-2</v>
      </c>
      <c r="N67" s="98">
        <f t="shared" si="13"/>
        <v>2.0440072933549429E-2</v>
      </c>
      <c r="O67" s="98">
        <f>'Growth curves CeBER'!H37</f>
        <v>2.008</v>
      </c>
      <c r="P67" s="98">
        <f t="shared" si="14"/>
        <v>2.4766672000000001</v>
      </c>
      <c r="Q67" s="99">
        <f t="shared" si="23"/>
        <v>2.5099999999999998E-4</v>
      </c>
      <c r="R67" s="100">
        <f t="shared" si="15"/>
        <v>40.717276760058624</v>
      </c>
      <c r="S67" s="101">
        <f>AVERAGE(R65:R67)</f>
        <v>54.467395916324413</v>
      </c>
      <c r="T67" s="102">
        <f>STDEV(R65:R67)</f>
        <v>11.943953232024985</v>
      </c>
      <c r="U67" s="102">
        <f>T67/SQRT(3)</f>
        <v>6.8958446136979257</v>
      </c>
      <c r="V67" s="102">
        <f t="shared" si="16"/>
        <v>100.84314382495947</v>
      </c>
      <c r="W67" s="101">
        <f t="shared" si="17"/>
        <v>134.39169045921122</v>
      </c>
      <c r="X67" s="102">
        <f t="shared" si="18"/>
        <v>29.132031860845331</v>
      </c>
      <c r="Y67" s="102">
        <f t="shared" si="19"/>
        <v>16.819386436899809</v>
      </c>
      <c r="Z67" s="102">
        <f>(V67-$V$52)/(D65-$D$50)</f>
        <v>0.43776731223669091</v>
      </c>
      <c r="AA67" s="101">
        <f t="shared" si="21"/>
        <v>0.59410724419771843</v>
      </c>
      <c r="AB67" s="109">
        <f t="shared" si="22"/>
        <v>7.8504717816268554E-2</v>
      </c>
      <c r="AD67" s="93"/>
      <c r="AE67" s="92"/>
      <c r="AF67" s="92"/>
      <c r="AG67" s="92"/>
      <c r="AH67" s="92"/>
    </row>
    <row r="68" spans="2:34" x14ac:dyDescent="0.2">
      <c r="B68" s="193" t="s">
        <v>39</v>
      </c>
      <c r="C68" s="196">
        <v>0.55902777777777779</v>
      </c>
      <c r="D68" s="199">
        <v>264.18333333333334</v>
      </c>
      <c r="E68" s="85" t="s">
        <v>94</v>
      </c>
      <c r="F68" s="202">
        <v>4.4299999999999999E-2</v>
      </c>
      <c r="G68" s="205">
        <v>4.3999999999999997E-2</v>
      </c>
      <c r="H68" s="86">
        <f>0.1914-F68</f>
        <v>0.14709999999999998</v>
      </c>
      <c r="I68" s="88">
        <f>0.1981-F68</f>
        <v>0.15379999999999999</v>
      </c>
      <c r="J68" s="88">
        <f>0.1297-G68</f>
        <v>8.5700000000000012E-2</v>
      </c>
      <c r="K68" s="88">
        <f>0.1362-G68</f>
        <v>9.219999999999999E-2</v>
      </c>
      <c r="L68" s="88">
        <f t="shared" si="11"/>
        <v>1.5437844408427872E-2</v>
      </c>
      <c r="M68" s="88">
        <f t="shared" si="12"/>
        <v>1.588638573743922E-2</v>
      </c>
      <c r="N68" s="88">
        <f t="shared" si="13"/>
        <v>1.5662115072933545E-2</v>
      </c>
      <c r="O68" s="88">
        <f>'Growth curves CeBER'!F38</f>
        <v>2.1960000000000002</v>
      </c>
      <c r="P68" s="88">
        <f t="shared" si="14"/>
        <v>2.7085464000000004</v>
      </c>
      <c r="Q68" s="111">
        <f>O68*0.1/1000</f>
        <v>2.1960000000000003E-4</v>
      </c>
      <c r="R68" s="90">
        <f t="shared" si="15"/>
        <v>35.660553444748508</v>
      </c>
      <c r="S68" s="91"/>
      <c r="V68" s="92">
        <f t="shared" si="16"/>
        <v>96.588263654781187</v>
      </c>
      <c r="W68" s="108"/>
      <c r="X68" s="92"/>
      <c r="Y68" s="92"/>
      <c r="Z68" s="92">
        <f t="shared" si="20"/>
        <v>0.37661388739234686</v>
      </c>
      <c r="AA68" s="108"/>
      <c r="AB68" s="115"/>
      <c r="AE68" s="92"/>
      <c r="AF68" s="92"/>
      <c r="AG68" s="92"/>
      <c r="AH68" s="92"/>
    </row>
    <row r="69" spans="2:34" x14ac:dyDescent="0.2">
      <c r="B69" s="194"/>
      <c r="C69" s="197"/>
      <c r="D69" s="200"/>
      <c r="E69" s="85" t="s">
        <v>95</v>
      </c>
      <c r="F69" s="203"/>
      <c r="G69" s="206"/>
      <c r="H69" s="86">
        <f>0.1917-F68</f>
        <v>0.1474</v>
      </c>
      <c r="I69" s="88">
        <f>0.1813-F68</f>
        <v>0.13699999999999998</v>
      </c>
      <c r="J69" s="88">
        <f>0.13-G68</f>
        <v>8.6000000000000007E-2</v>
      </c>
      <c r="K69" s="88">
        <f>0.1197-G68</f>
        <v>7.5700000000000003E-2</v>
      </c>
      <c r="L69" s="88">
        <f t="shared" si="11"/>
        <v>1.5457050243111833E-2</v>
      </c>
      <c r="M69" s="88">
        <f t="shared" si="12"/>
        <v>1.4781442463533224E-2</v>
      </c>
      <c r="N69" s="88">
        <f t="shared" si="13"/>
        <v>1.5119246353322529E-2</v>
      </c>
      <c r="O69" s="88">
        <f>'Growth curves CeBER'!G38</f>
        <v>2.1680000000000001</v>
      </c>
      <c r="P69" s="88">
        <f t="shared" si="14"/>
        <v>2.6740112000000003</v>
      </c>
      <c r="Q69" s="89">
        <f>O69*0.1/1000</f>
        <v>2.1680000000000001E-4</v>
      </c>
      <c r="R69" s="90">
        <f t="shared" si="15"/>
        <v>34.869110593456014</v>
      </c>
      <c r="S69" s="91"/>
      <c r="V69" s="92">
        <f t="shared" si="16"/>
        <v>93.240392260940041</v>
      </c>
      <c r="W69" s="108"/>
      <c r="X69" s="92"/>
      <c r="Y69" s="92"/>
      <c r="Z69" s="92">
        <f>(V69-$V$51)/(D68-$D$50)</f>
        <v>0.36763958869801605</v>
      </c>
      <c r="AA69" s="108"/>
      <c r="AB69" s="115"/>
      <c r="AE69" s="92"/>
      <c r="AF69" s="92"/>
      <c r="AG69" s="92"/>
      <c r="AH69" s="92"/>
    </row>
    <row r="70" spans="2:34" x14ac:dyDescent="0.2">
      <c r="B70" s="208"/>
      <c r="C70" s="209"/>
      <c r="D70" s="210"/>
      <c r="E70" s="95" t="s">
        <v>96</v>
      </c>
      <c r="F70" s="204"/>
      <c r="G70" s="207"/>
      <c r="H70" s="96">
        <f>0.1811-F68</f>
        <v>0.1368</v>
      </c>
      <c r="I70" s="98">
        <f>0.177-F68</f>
        <v>0.13269999999999998</v>
      </c>
      <c r="J70" s="98">
        <f>0.1276-G68</f>
        <v>8.3599999999999994E-2</v>
      </c>
      <c r="K70" s="98">
        <f>0.1228-G68</f>
        <v>7.8800000000000009E-2</v>
      </c>
      <c r="L70" s="88">
        <f t="shared" si="11"/>
        <v>1.3974392220421395E-2</v>
      </c>
      <c r="M70" s="88">
        <f t="shared" si="12"/>
        <v>1.3780551053484601E-2</v>
      </c>
      <c r="N70" s="98">
        <f t="shared" si="13"/>
        <v>1.3877471636952998E-2</v>
      </c>
      <c r="O70" s="98">
        <f>'Growth curves CeBER'!H38</f>
        <v>2.1720000000000002</v>
      </c>
      <c r="P70" s="98">
        <f t="shared" si="14"/>
        <v>2.6789448000000005</v>
      </c>
      <c r="Q70" s="99">
        <f>O70*0.1/1000</f>
        <v>2.1720000000000002E-4</v>
      </c>
      <c r="R70" s="100">
        <f t="shared" si="15"/>
        <v>31.946297506797873</v>
      </c>
      <c r="S70" s="101">
        <f>AVERAGE(R68:R70)</f>
        <v>34.158653848334133</v>
      </c>
      <c r="T70" s="102">
        <f>STDEV(R68:R70)</f>
        <v>1.956396146788087</v>
      </c>
      <c r="U70" s="102">
        <f>T70/SQRT(3)</f>
        <v>1.1295258419896488</v>
      </c>
      <c r="V70" s="102">
        <f t="shared" si="16"/>
        <v>85.582367585089145</v>
      </c>
      <c r="W70" s="101">
        <f t="shared" si="17"/>
        <v>91.803674500270134</v>
      </c>
      <c r="X70" s="102">
        <f t="shared" si="18"/>
        <v>5.6418574527440848</v>
      </c>
      <c r="Y70" s="102">
        <f t="shared" si="19"/>
        <v>3.2573279190712938</v>
      </c>
      <c r="Z70" s="102">
        <f>(V70-$V$52)/(D68-$D$50)</f>
        <v>0.3309233935073852</v>
      </c>
      <c r="AA70" s="101">
        <f t="shared" si="21"/>
        <v>0.35839228986591604</v>
      </c>
      <c r="AB70" s="109">
        <f t="shared" si="22"/>
        <v>1.3976643727191785E-2</v>
      </c>
    </row>
    <row r="71" spans="2:34" x14ac:dyDescent="0.2">
      <c r="B71" s="193" t="s">
        <v>40</v>
      </c>
      <c r="C71" s="196">
        <v>0.55902777777777779</v>
      </c>
      <c r="D71" s="199">
        <v>288.18333333333334</v>
      </c>
      <c r="E71" s="85" t="s">
        <v>94</v>
      </c>
      <c r="F71" s="202">
        <v>4.9299999999999997E-2</v>
      </c>
      <c r="G71" s="205">
        <v>4.8399999999999999E-2</v>
      </c>
      <c r="H71" s="86">
        <f>0.2535-F71</f>
        <v>0.20419999999999999</v>
      </c>
      <c r="I71" s="88">
        <f>0.232-F71</f>
        <v>0.18270000000000003</v>
      </c>
      <c r="J71" s="88">
        <f>0.1741-G71</f>
        <v>0.12570000000000001</v>
      </c>
      <c r="K71" s="88">
        <f>0.1559-G71</f>
        <v>0.10750000000000001</v>
      </c>
      <c r="L71" s="88">
        <f t="shared" si="11"/>
        <v>2.0770097244732572E-2</v>
      </c>
      <c r="M71" s="88">
        <f t="shared" si="12"/>
        <v>1.9070097244732579E-2</v>
      </c>
      <c r="N71" s="88">
        <f t="shared" si="13"/>
        <v>1.9920097244732576E-2</v>
      </c>
      <c r="O71" s="88">
        <f>'Growth curves CeBER'!F39</f>
        <v>2.3519999999999999</v>
      </c>
      <c r="P71" s="88">
        <f t="shared" si="14"/>
        <v>2.9009567999999999</v>
      </c>
      <c r="Q71" s="111">
        <f>P71*0.1/1000</f>
        <v>2.9009568000000003E-4</v>
      </c>
      <c r="R71" s="90">
        <f t="shared" si="15"/>
        <v>34.333667507100714</v>
      </c>
      <c r="S71" s="91"/>
      <c r="V71" s="92">
        <f t="shared" si="16"/>
        <v>99.600486223662855</v>
      </c>
      <c r="W71" s="108"/>
      <c r="X71" s="92"/>
      <c r="Y71" s="92"/>
      <c r="Z71" s="92">
        <f t="shared" si="20"/>
        <v>0.35388663134507603</v>
      </c>
      <c r="AA71" s="108"/>
      <c r="AB71" s="115"/>
    </row>
    <row r="72" spans="2:34" x14ac:dyDescent="0.2">
      <c r="B72" s="194"/>
      <c r="C72" s="197"/>
      <c r="D72" s="200"/>
      <c r="E72" s="85" t="s">
        <v>95</v>
      </c>
      <c r="F72" s="203"/>
      <c r="G72" s="206"/>
      <c r="H72" s="86">
        <f>0.2374-F71</f>
        <v>0.18809999999999999</v>
      </c>
      <c r="I72" s="88">
        <f>0.2347-F71</f>
        <v>0.18540000000000001</v>
      </c>
      <c r="J72" s="88">
        <f>0.1675-G71</f>
        <v>0.11910000000000001</v>
      </c>
      <c r="K72" s="88">
        <f>0.1637-G71</f>
        <v>0.11530000000000001</v>
      </c>
      <c r="L72" s="88">
        <f t="shared" si="11"/>
        <v>1.8807860615883302E-2</v>
      </c>
      <c r="M72" s="88">
        <f t="shared" si="12"/>
        <v>1.8742868719611019E-2</v>
      </c>
      <c r="N72" s="88">
        <f t="shared" si="13"/>
        <v>1.8775364667747159E-2</v>
      </c>
      <c r="O72" s="88">
        <f>'Growth curves CeBER'!G39</f>
        <v>2.3559999999999999</v>
      </c>
      <c r="P72" s="88">
        <f t="shared" si="14"/>
        <v>2.9058904000000001</v>
      </c>
      <c r="Q72" s="89">
        <f>P72*0.1/1000</f>
        <v>2.9058904000000001E-4</v>
      </c>
      <c r="R72" s="90">
        <f t="shared" si="15"/>
        <v>32.305699946128662</v>
      </c>
      <c r="S72" s="91"/>
      <c r="V72" s="92">
        <f t="shared" si="16"/>
        <v>93.876823338735804</v>
      </c>
      <c r="W72" s="108"/>
      <c r="X72" s="92"/>
      <c r="Y72" s="92"/>
      <c r="Z72" s="92">
        <f>(V72-$V$51)/(D71-$D$50)</f>
        <v>0.33676497254104576</v>
      </c>
      <c r="AA72" s="108"/>
      <c r="AB72" s="115"/>
    </row>
    <row r="73" spans="2:34" x14ac:dyDescent="0.2">
      <c r="B73" s="208"/>
      <c r="C73" s="209"/>
      <c r="D73" s="210"/>
      <c r="E73" s="95" t="s">
        <v>96</v>
      </c>
      <c r="F73" s="204"/>
      <c r="G73" s="207"/>
      <c r="H73" s="96">
        <f>0.2054-F71</f>
        <v>0.15610000000000002</v>
      </c>
      <c r="I73" s="98">
        <f>0.2087-F71</f>
        <v>0.15939999999999999</v>
      </c>
      <c r="J73" s="98">
        <f>0.1386-G71</f>
        <v>9.0200000000000002E-2</v>
      </c>
      <c r="K73" s="98">
        <f>0.1414-G71</f>
        <v>9.2999999999999999E-2</v>
      </c>
      <c r="L73" s="88">
        <f t="shared" si="11"/>
        <v>1.6455267423014588E-2</v>
      </c>
      <c r="M73" s="88">
        <f t="shared" si="12"/>
        <v>1.6715559157212317E-2</v>
      </c>
      <c r="N73" s="98">
        <f t="shared" si="13"/>
        <v>1.6585413290113454E-2</v>
      </c>
      <c r="O73" s="98">
        <f>'Growth curves CeBER'!H39</f>
        <v>2.38</v>
      </c>
      <c r="P73" s="98">
        <f t="shared" si="14"/>
        <v>2.935492</v>
      </c>
      <c r="Q73" s="99">
        <f>P73*0.1/1000</f>
        <v>2.935492E-4</v>
      </c>
      <c r="R73" s="100">
        <f t="shared" si="15"/>
        <v>28.249801549643898</v>
      </c>
      <c r="S73" s="101">
        <f>AVERAGE(R71:R73)</f>
        <v>31.629723000957757</v>
      </c>
      <c r="T73" s="102">
        <f>STDEV(R71:R73)</f>
        <v>3.0977515829836038</v>
      </c>
      <c r="U73" s="102">
        <f>T73/SQRT(3)</f>
        <v>1.7884877103181731</v>
      </c>
      <c r="V73" s="102">
        <f t="shared" si="16"/>
        <v>82.927066450567267</v>
      </c>
      <c r="W73" s="101">
        <f t="shared" si="17"/>
        <v>92.13479200432198</v>
      </c>
      <c r="X73" s="102">
        <f t="shared" si="18"/>
        <v>8.4721152382402973</v>
      </c>
      <c r="Y73" s="102">
        <f t="shared" si="19"/>
        <v>4.8913780134035667</v>
      </c>
      <c r="Z73" s="102">
        <f>(V73-$V$52)/(D71-$D$50)</f>
        <v>0.29095810408425837</v>
      </c>
      <c r="AA73" s="101">
        <f t="shared" si="21"/>
        <v>0.32720323599012674</v>
      </c>
      <c r="AB73" s="109">
        <f t="shared" si="22"/>
        <v>1.8784479322087103E-2</v>
      </c>
    </row>
    <row r="74" spans="2:34" x14ac:dyDescent="0.2">
      <c r="B74" s="193" t="s">
        <v>32</v>
      </c>
      <c r="C74" s="196">
        <v>0.55902777777777779</v>
      </c>
      <c r="D74" s="199">
        <v>312.08333333333331</v>
      </c>
      <c r="E74" s="85" t="s">
        <v>94</v>
      </c>
      <c r="F74" s="202">
        <f>(0.0534+0.0426)/2</f>
        <v>4.8000000000000001E-2</v>
      </c>
      <c r="G74" s="205">
        <f>(0.0518+0.0414)/2</f>
        <v>4.6600000000000003E-2</v>
      </c>
      <c r="H74" s="106">
        <f>0.2416-F74</f>
        <v>0.19359999999999999</v>
      </c>
      <c r="I74" s="110">
        <f>0.2427-F74</f>
        <v>0.19469999999999998</v>
      </c>
      <c r="J74" s="110">
        <f>0.1509-G74</f>
        <v>0.1043</v>
      </c>
      <c r="K74" s="110">
        <f>0.1539-G74</f>
        <v>0.10730000000000001</v>
      </c>
      <c r="L74" s="88">
        <f t="shared" si="11"/>
        <v>2.1150486223662883E-2</v>
      </c>
      <c r="M74" s="88">
        <f t="shared" si="12"/>
        <v>2.1034602917341976E-2</v>
      </c>
      <c r="N74" s="88">
        <f t="shared" si="13"/>
        <v>2.1092544570502428E-2</v>
      </c>
      <c r="O74" s="88">
        <f>'Growth curves CeBER'!F40</f>
        <v>2.74</v>
      </c>
      <c r="P74" s="88">
        <f t="shared" si="14"/>
        <v>3.3795160000000002</v>
      </c>
      <c r="Q74" s="111">
        <f t="shared" ref="Q74:Q79" si="24">P74*0.075/1000</f>
        <v>2.5346370000000002E-4</v>
      </c>
      <c r="R74" s="90">
        <f t="shared" si="15"/>
        <v>41.608610168837643</v>
      </c>
      <c r="S74" s="91"/>
      <c r="V74" s="92">
        <f t="shared" si="16"/>
        <v>140.61696380334953</v>
      </c>
      <c r="W74" s="108"/>
      <c r="X74" s="92"/>
      <c r="Y74" s="92"/>
      <c r="Z74" s="92">
        <f t="shared" si="20"/>
        <v>0.46652011989629616</v>
      </c>
      <c r="AA74" s="108"/>
      <c r="AB74" s="115"/>
    </row>
    <row r="75" spans="2:34" x14ac:dyDescent="0.2">
      <c r="B75" s="194"/>
      <c r="C75" s="197"/>
      <c r="D75" s="200"/>
      <c r="E75" s="85" t="s">
        <v>95</v>
      </c>
      <c r="F75" s="203"/>
      <c r="G75" s="206"/>
      <c r="H75" s="86">
        <f>0.2305-F74</f>
        <v>0.1825</v>
      </c>
      <c r="I75" s="88">
        <f>0.2293-F74</f>
        <v>0.18130000000000002</v>
      </c>
      <c r="J75" s="88">
        <f>0.1475-G74</f>
        <v>0.10089999999999999</v>
      </c>
      <c r="K75" s="88">
        <f>0.1456-G74</f>
        <v>9.9000000000000005E-2</v>
      </c>
      <c r="L75" s="88">
        <f t="shared" si="11"/>
        <v>1.968484602917342E-2</v>
      </c>
      <c r="M75" s="88">
        <f t="shared" si="12"/>
        <v>1.9676661264181525E-2</v>
      </c>
      <c r="N75" s="88">
        <f t="shared" si="13"/>
        <v>1.9680753646677471E-2</v>
      </c>
      <c r="O75" s="88">
        <f>'Growth curves CeBER'!G40</f>
        <v>2.5680000000000001</v>
      </c>
      <c r="P75" s="88">
        <f t="shared" si="14"/>
        <v>3.1673712000000003</v>
      </c>
      <c r="Q75" s="89">
        <f t="shared" si="24"/>
        <v>2.3755284000000001E-4</v>
      </c>
      <c r="R75" s="90">
        <f t="shared" si="15"/>
        <v>41.423949397274036</v>
      </c>
      <c r="S75" s="91"/>
      <c r="V75" s="92">
        <f t="shared" si="16"/>
        <v>131.20502431118317</v>
      </c>
      <c r="W75" s="108"/>
      <c r="X75" s="92"/>
      <c r="Y75" s="92"/>
      <c r="Z75" s="92">
        <f>(V75-$V$51)/(D74-$D$50)</f>
        <v>0.43805481846603322</v>
      </c>
      <c r="AA75" s="108"/>
      <c r="AB75" s="115"/>
    </row>
    <row r="76" spans="2:34" x14ac:dyDescent="0.2">
      <c r="B76" s="208"/>
      <c r="C76" s="209"/>
      <c r="D76" s="210"/>
      <c r="E76" s="95" t="s">
        <v>96</v>
      </c>
      <c r="F76" s="204"/>
      <c r="G76" s="207"/>
      <c r="H76" s="86">
        <f>0.1966-F74</f>
        <v>0.14860000000000001</v>
      </c>
      <c r="I76" s="88">
        <f>0.2118-F74</f>
        <v>0.1638</v>
      </c>
      <c r="J76" s="88">
        <f>0.1312-G74</f>
        <v>8.4600000000000009E-2</v>
      </c>
      <c r="K76" s="88">
        <f>0.1454-G74</f>
        <v>9.8799999999999999E-2</v>
      </c>
      <c r="L76" s="88">
        <f t="shared" si="11"/>
        <v>1.5788816855753649E-2</v>
      </c>
      <c r="M76" s="88">
        <f t="shared" si="12"/>
        <v>1.6859967585089144E-2</v>
      </c>
      <c r="N76" s="98">
        <f t="shared" si="13"/>
        <v>1.6324392220421396E-2</v>
      </c>
      <c r="O76" s="98">
        <f>'Growth curves CeBER'!H40</f>
        <v>2.58</v>
      </c>
      <c r="P76" s="98">
        <f t="shared" si="14"/>
        <v>3.182172</v>
      </c>
      <c r="Q76" s="99">
        <f t="shared" si="24"/>
        <v>2.3866289999999998E-4</v>
      </c>
      <c r="R76" s="100">
        <f t="shared" si="15"/>
        <v>34.19968545681251</v>
      </c>
      <c r="S76" s="101">
        <f>AVERAGE(R74:R76)</f>
        <v>39.077415007641399</v>
      </c>
      <c r="T76" s="102">
        <f>STDEV(R74:R76)</f>
        <v>4.2252466292999564</v>
      </c>
      <c r="U76" s="102">
        <f>T76/SQRT(3)</f>
        <v>2.4394472788188888</v>
      </c>
      <c r="V76" s="102">
        <f t="shared" si="16"/>
        <v>108.82928146947597</v>
      </c>
      <c r="W76" s="101">
        <f t="shared" si="17"/>
        <v>126.88375652800289</v>
      </c>
      <c r="X76" s="102">
        <f t="shared" si="18"/>
        <v>16.328478296530903</v>
      </c>
      <c r="Y76" s="102">
        <f t="shared" si="19"/>
        <v>9.4272513399590796</v>
      </c>
      <c r="Z76" s="102">
        <f>(V76-$V$52)/(D74-$D$50)</f>
        <v>0.3565080913927049</v>
      </c>
      <c r="AA76" s="101">
        <f t="shared" si="21"/>
        <v>0.42036100991834474</v>
      </c>
      <c r="AB76" s="109">
        <f t="shared" si="22"/>
        <v>3.296697716180283E-2</v>
      </c>
    </row>
    <row r="77" spans="2:34" x14ac:dyDescent="0.2">
      <c r="B77" s="193" t="s">
        <v>34</v>
      </c>
      <c r="C77" s="196">
        <v>0.55902777777777779</v>
      </c>
      <c r="D77" s="199">
        <v>336.08333333333331</v>
      </c>
      <c r="E77" s="85" t="s">
        <v>94</v>
      </c>
      <c r="F77" s="202">
        <f>(0.0523+0.0363+0.0414)/3</f>
        <v>4.3333333333333335E-2</v>
      </c>
      <c r="G77" s="205">
        <f>(0.0511+0.0355+0.0401)/3</f>
        <v>4.2233333333333324E-2</v>
      </c>
      <c r="H77" s="86">
        <f>0.2565-F77</f>
        <v>0.21316666666666667</v>
      </c>
      <c r="I77" s="88">
        <f>0.2374-F77</f>
        <v>0.19406666666666667</v>
      </c>
      <c r="J77" s="88">
        <f>0.1808-G77</f>
        <v>0.13856666666666667</v>
      </c>
      <c r="K77" s="88">
        <f>0.1651-G77</f>
        <v>0.12286666666666668</v>
      </c>
      <c r="L77" s="88">
        <f t="shared" si="11"/>
        <v>2.0961723392760673E-2</v>
      </c>
      <c r="M77" s="88">
        <f t="shared" si="12"/>
        <v>1.9405564559697462E-2</v>
      </c>
      <c r="N77" s="88">
        <f t="shared" si="13"/>
        <v>2.0183643976229067E-2</v>
      </c>
      <c r="O77" s="88">
        <f>'Growth curves CeBER'!F41</f>
        <v>2.9079999999999999</v>
      </c>
      <c r="P77" s="88">
        <f t="shared" si="14"/>
        <v>3.5867271999999999</v>
      </c>
      <c r="Q77" s="111">
        <f t="shared" si="24"/>
        <v>2.6900453999999994E-4</v>
      </c>
      <c r="R77" s="90">
        <f t="shared" si="15"/>
        <v>37.515433710206288</v>
      </c>
      <c r="S77" s="91"/>
      <c r="V77" s="92">
        <f t="shared" si="16"/>
        <v>134.55762650819381</v>
      </c>
      <c r="W77" s="108"/>
      <c r="X77" s="92"/>
      <c r="Y77" s="92"/>
      <c r="Z77" s="92">
        <f t="shared" si="20"/>
        <v>0.41140144387627858</v>
      </c>
      <c r="AA77" s="108"/>
      <c r="AB77" s="115"/>
    </row>
    <row r="78" spans="2:34" x14ac:dyDescent="0.2">
      <c r="B78" s="194"/>
      <c r="C78" s="197"/>
      <c r="D78" s="200"/>
      <c r="E78" s="85" t="s">
        <v>95</v>
      </c>
      <c r="F78" s="203"/>
      <c r="G78" s="206"/>
      <c r="H78" s="86">
        <f>0.2529-F77</f>
        <v>0.20956666666666668</v>
      </c>
      <c r="I78" s="88">
        <f>0.2256-F77</f>
        <v>0.18226666666666666</v>
      </c>
      <c r="J78" s="88">
        <f>0.1686-G77</f>
        <v>0.12636666666666668</v>
      </c>
      <c r="K78" s="88">
        <f>0.1454-G77</f>
        <v>0.10316666666666668</v>
      </c>
      <c r="L78" s="88">
        <f t="shared" si="11"/>
        <v>2.1574527282549976E-2</v>
      </c>
      <c r="M78" s="88">
        <f t="shared" si="12"/>
        <v>1.9424770394381414E-2</v>
      </c>
      <c r="N78" s="88">
        <f t="shared" si="13"/>
        <v>2.0499648838465695E-2</v>
      </c>
      <c r="O78" s="88">
        <f>'Growth curves CeBER'!G41</f>
        <v>3.044</v>
      </c>
      <c r="P78" s="88">
        <f t="shared" si="14"/>
        <v>3.7544696000000002</v>
      </c>
      <c r="Q78" s="89">
        <f t="shared" si="24"/>
        <v>2.8158522000000004E-4</v>
      </c>
      <c r="R78" s="90">
        <f t="shared" si="15"/>
        <v>36.400434721796998</v>
      </c>
      <c r="S78" s="91"/>
      <c r="V78" s="92">
        <f t="shared" si="16"/>
        <v>136.66432558977129</v>
      </c>
      <c r="W78" s="108"/>
      <c r="X78" s="92"/>
      <c r="Y78" s="92"/>
      <c r="Z78" s="92">
        <f>(V78-$V$51)/(D77-$D$50)</f>
        <v>0.42191124617707448</v>
      </c>
      <c r="AA78" s="108"/>
      <c r="AB78" s="115"/>
    </row>
    <row r="79" spans="2:34" x14ac:dyDescent="0.2">
      <c r="B79" s="208"/>
      <c r="C79" s="209"/>
      <c r="D79" s="210"/>
      <c r="E79" s="95" t="s">
        <v>96</v>
      </c>
      <c r="F79" s="204"/>
      <c r="G79" s="207"/>
      <c r="H79" s="96">
        <f>0.2622-F77</f>
        <v>0.21886666666666665</v>
      </c>
      <c r="I79" s="98">
        <f>0.2756-F77</f>
        <v>0.23226666666666668</v>
      </c>
      <c r="J79" s="98">
        <f>0.1902-G77</f>
        <v>0.14796666666666669</v>
      </c>
      <c r="K79" s="98">
        <f>0.1992-G77</f>
        <v>0.15696666666666667</v>
      </c>
      <c r="L79" s="88">
        <f t="shared" si="11"/>
        <v>2.0963830361966498E-2</v>
      </c>
      <c r="M79" s="88">
        <f t="shared" si="12"/>
        <v>2.2253133441383039E-2</v>
      </c>
      <c r="N79" s="98">
        <f t="shared" si="13"/>
        <v>2.1608481901674768E-2</v>
      </c>
      <c r="O79" s="98">
        <f>'Growth curves CeBER'!H41</f>
        <v>2.8879999999999999</v>
      </c>
      <c r="P79" s="98">
        <f t="shared" si="14"/>
        <v>3.5620592000000002</v>
      </c>
      <c r="Q79" s="99">
        <f t="shared" si="24"/>
        <v>2.6715444E-4</v>
      </c>
      <c r="R79" s="100">
        <f t="shared" si="15"/>
        <v>40.441929210824213</v>
      </c>
      <c r="S79" s="101">
        <f>AVERAGE(R77:R79)</f>
        <v>38.1192658809425</v>
      </c>
      <c r="T79" s="102">
        <f>STDEV(R77:R79)</f>
        <v>2.0873139184179608</v>
      </c>
      <c r="U79" s="102">
        <f>T79/SQRT(3)</f>
        <v>1.2051112526818624</v>
      </c>
      <c r="V79" s="102">
        <f t="shared" si="16"/>
        <v>144.05654601116512</v>
      </c>
      <c r="W79" s="101">
        <f t="shared" si="17"/>
        <v>138.42616603637671</v>
      </c>
      <c r="X79" s="102">
        <f t="shared" si="18"/>
        <v>4.9885297684240975</v>
      </c>
      <c r="Y79" s="102">
        <f t="shared" si="19"/>
        <v>2.8801290046601142</v>
      </c>
      <c r="Z79" s="102">
        <f>(V79-$V$52)/(D77-$D$50)</f>
        <v>0.44170103330581467</v>
      </c>
      <c r="AA79" s="101">
        <f t="shared" si="21"/>
        <v>0.42500457445305589</v>
      </c>
      <c r="AB79" s="109">
        <f t="shared" si="22"/>
        <v>8.882431907363611E-3</v>
      </c>
    </row>
    <row r="80" spans="2:34" x14ac:dyDescent="0.2">
      <c r="B80" s="193" t="s">
        <v>35</v>
      </c>
      <c r="C80" s="196">
        <v>0.55902777777777779</v>
      </c>
      <c r="D80" s="199">
        <v>360.08333333333331</v>
      </c>
      <c r="E80" s="85" t="s">
        <v>94</v>
      </c>
      <c r="F80" s="202">
        <f>(0.0531+0.05)/2</f>
        <v>5.1549999999999999E-2</v>
      </c>
      <c r="G80" s="205">
        <f>(0.0524+0.0491)/2</f>
        <v>5.0750000000000003E-2</v>
      </c>
      <c r="H80" s="86">
        <f>0.2648-F80</f>
        <v>0.21325</v>
      </c>
      <c r="I80" s="88">
        <f>0.2523-F80</f>
        <v>0.20075000000000004</v>
      </c>
      <c r="J80" s="88">
        <f>0.182-G80</f>
        <v>0.13124999999999998</v>
      </c>
      <c r="K80" s="88">
        <f>0.1766-G80</f>
        <v>0.12585000000000002</v>
      </c>
      <c r="L80" s="88">
        <f t="shared" si="11"/>
        <v>2.1692666126418153E-2</v>
      </c>
      <c r="M80" s="88">
        <f t="shared" si="12"/>
        <v>2.0196231766612647E-2</v>
      </c>
      <c r="N80" s="88">
        <f t="shared" si="13"/>
        <v>2.0944448946515398E-2</v>
      </c>
      <c r="O80" s="88">
        <f>'Growth curves CeBER'!F42</f>
        <v>3.0680000000000001</v>
      </c>
      <c r="P80" s="88">
        <f t="shared" si="14"/>
        <v>3.7840712000000001</v>
      </c>
      <c r="Q80" s="111">
        <f t="shared" ref="Q80:Q82" si="25">P80*0.075/1000</f>
        <v>2.8380534000000003E-4</v>
      </c>
      <c r="R80" s="90">
        <f t="shared" si="15"/>
        <v>36.899321461878408</v>
      </c>
      <c r="S80" s="91"/>
      <c r="V80" s="92">
        <f t="shared" si="16"/>
        <v>139.62965964343599</v>
      </c>
      <c r="W80" s="108"/>
      <c r="X80" s="92"/>
      <c r="Y80" s="92"/>
      <c r="Z80" s="92">
        <f t="shared" si="20"/>
        <v>0.39715618620878895</v>
      </c>
      <c r="AA80" s="108"/>
      <c r="AB80" s="115"/>
    </row>
    <row r="81" spans="2:34" x14ac:dyDescent="0.2">
      <c r="B81" s="194"/>
      <c r="C81" s="197"/>
      <c r="D81" s="200"/>
      <c r="E81" s="85" t="s">
        <v>95</v>
      </c>
      <c r="F81" s="203"/>
      <c r="G81" s="206"/>
      <c r="H81" s="86">
        <f>0.206-F80</f>
        <v>0.15444999999999998</v>
      </c>
      <c r="I81" s="88">
        <f>0.197-F80</f>
        <v>0.14545000000000002</v>
      </c>
      <c r="J81" s="88">
        <f>0.1396-G80</f>
        <v>8.8849999999999998E-2</v>
      </c>
      <c r="K81" s="88">
        <f>0.1323-G80</f>
        <v>8.1549999999999997E-2</v>
      </c>
      <c r="L81" s="88">
        <f t="shared" si="11"/>
        <v>1.6320218800648295E-2</v>
      </c>
      <c r="M81" s="88">
        <f t="shared" si="12"/>
        <v>1.5577350081037281E-2</v>
      </c>
      <c r="N81" s="88">
        <f t="shared" si="13"/>
        <v>1.5948784440842786E-2</v>
      </c>
      <c r="O81" s="88">
        <f>'Growth curves CeBER'!G42</f>
        <v>3.1440000000000001</v>
      </c>
      <c r="P81" s="88">
        <f t="shared" si="14"/>
        <v>3.8778096000000004</v>
      </c>
      <c r="Q81" s="89">
        <f t="shared" si="25"/>
        <v>2.9083572000000003E-4</v>
      </c>
      <c r="R81" s="90">
        <f t="shared" si="15"/>
        <v>27.418888644150698</v>
      </c>
      <c r="S81" s="91"/>
      <c r="V81" s="92">
        <f t="shared" si="16"/>
        <v>106.32522960561857</v>
      </c>
      <c r="W81" s="108"/>
      <c r="X81" s="92"/>
      <c r="Y81" s="92"/>
      <c r="Z81" s="92">
        <f>(V81-$V$51)/(D80-$D$50)</f>
        <v>0.30186091223996264</v>
      </c>
      <c r="AA81" s="108"/>
      <c r="AB81" s="115"/>
    </row>
    <row r="82" spans="2:34" x14ac:dyDescent="0.2">
      <c r="B82" s="208"/>
      <c r="C82" s="209"/>
      <c r="D82" s="210"/>
      <c r="E82" s="95" t="s">
        <v>96</v>
      </c>
      <c r="F82" s="204"/>
      <c r="G82" s="207"/>
      <c r="H82" s="96">
        <f>0.2175-F80</f>
        <v>0.16594999999999999</v>
      </c>
      <c r="I82" s="98">
        <f>0.2375-F80</f>
        <v>0.18595</v>
      </c>
      <c r="J82" s="98">
        <f>0.1459-G80</f>
        <v>9.5149999999999998E-2</v>
      </c>
      <c r="K82" s="98">
        <f>0.162-G80</f>
        <v>0.11125</v>
      </c>
      <c r="L82" s="88">
        <f t="shared" si="11"/>
        <v>1.7566329011345218E-2</v>
      </c>
      <c r="M82" s="88">
        <f t="shared" si="12"/>
        <v>1.9229132901134524E-2</v>
      </c>
      <c r="N82" s="98">
        <f t="shared" si="13"/>
        <v>1.8397730956239873E-2</v>
      </c>
      <c r="O82" s="98">
        <f>'Growth curves CeBER'!H42</f>
        <v>3.4079999999999999</v>
      </c>
      <c r="P82" s="98">
        <f t="shared" si="14"/>
        <v>4.2034272000000001</v>
      </c>
      <c r="Q82" s="99">
        <f t="shared" si="25"/>
        <v>3.1525704E-4</v>
      </c>
      <c r="R82" s="100">
        <f t="shared" si="15"/>
        <v>29.178937536557271</v>
      </c>
      <c r="S82" s="101">
        <f>AVERAGE(R80:R82)</f>
        <v>31.165715880862127</v>
      </c>
      <c r="T82" s="102">
        <f>STDEV(R80:R82)</f>
        <v>5.0428283477539724</v>
      </c>
      <c r="U82" s="102">
        <f>T82/SQRT(3)</f>
        <v>2.911478304052832</v>
      </c>
      <c r="V82" s="102">
        <f t="shared" si="16"/>
        <v>122.65153970826583</v>
      </c>
      <c r="W82" s="101">
        <f t="shared" si="17"/>
        <v>122.86880965244013</v>
      </c>
      <c r="X82" s="102">
        <f t="shared" si="18"/>
        <v>16.653278046902486</v>
      </c>
      <c r="Y82" s="102">
        <f t="shared" si="19"/>
        <v>9.6147745632688366</v>
      </c>
      <c r="Z82" s="102">
        <f>(V82-$V$52)/(D80-$D$50)</f>
        <v>0.3467470248933181</v>
      </c>
      <c r="AA82" s="101">
        <f t="shared" si="21"/>
        <v>0.34858804111402319</v>
      </c>
      <c r="AB82" s="109">
        <f t="shared" si="22"/>
        <v>2.7524772573944645E-2</v>
      </c>
    </row>
    <row r="83" spans="2:34" x14ac:dyDescent="0.2">
      <c r="B83" s="193" t="s">
        <v>36</v>
      </c>
      <c r="C83" s="196">
        <v>0.55902777777777779</v>
      </c>
      <c r="D83" s="199">
        <v>384.08333333333331</v>
      </c>
      <c r="E83" s="85" t="s">
        <v>94</v>
      </c>
      <c r="F83" s="202">
        <f>(0.0536+0.0321+0.0389)/3</f>
        <v>4.1533333333333332E-2</v>
      </c>
      <c r="G83" s="205">
        <f>(0.0523+0.0316+0.0377)/3</f>
        <v>4.0533333333333331E-2</v>
      </c>
      <c r="H83" s="86">
        <f>0.1472-F83</f>
        <v>0.10566666666666666</v>
      </c>
      <c r="I83" s="88">
        <f>0.1522-F83</f>
        <v>0.11066666666666666</v>
      </c>
      <c r="J83" s="88">
        <f>0.1021-G83</f>
        <v>6.1566666666666665E-2</v>
      </c>
      <c r="K83" s="88">
        <f>0.1093-G83</f>
        <v>6.876666666666667E-2</v>
      </c>
      <c r="L83" s="88">
        <f t="shared" si="11"/>
        <v>1.1088951917882223E-2</v>
      </c>
      <c r="M83" s="88">
        <f t="shared" si="12"/>
        <v>1.1193327930848188E-2</v>
      </c>
      <c r="N83" s="88">
        <f t="shared" si="13"/>
        <v>1.1141139924365205E-2</v>
      </c>
      <c r="O83" s="88">
        <f>'Growth curves CeBER'!F43</f>
        <v>3.1560000000000001</v>
      </c>
      <c r="P83" s="88">
        <f t="shared" si="14"/>
        <v>3.8926104000000001</v>
      </c>
      <c r="Q83" s="111">
        <f t="shared" ref="Q83:Q91" si="26">P83*0.075/1000</f>
        <v>2.9194577999999997E-4</v>
      </c>
      <c r="R83" s="90">
        <f t="shared" si="15"/>
        <v>19.080837415024813</v>
      </c>
      <c r="S83" s="91"/>
      <c r="V83" s="92">
        <f t="shared" si="16"/>
        <v>74.274266162434714</v>
      </c>
      <c r="W83" s="108"/>
      <c r="X83" s="92"/>
      <c r="Y83" s="92"/>
      <c r="Z83" s="92">
        <f t="shared" si="20"/>
        <v>0.18975088169435336</v>
      </c>
      <c r="AA83" s="108"/>
      <c r="AB83" s="115"/>
    </row>
    <row r="84" spans="2:34" x14ac:dyDescent="0.2">
      <c r="B84" s="194"/>
      <c r="C84" s="197"/>
      <c r="D84" s="200"/>
      <c r="E84" s="85" t="s">
        <v>95</v>
      </c>
      <c r="F84" s="203"/>
      <c r="G84" s="206"/>
      <c r="H84" s="86">
        <f>0.1861-F83</f>
        <v>0.14456666666666665</v>
      </c>
      <c r="I84" s="88">
        <f>0.1816-F83</f>
        <v>0.14006666666666667</v>
      </c>
      <c r="J84" s="88">
        <f>0.141-G83</f>
        <v>0.10046666666666665</v>
      </c>
      <c r="K84" s="88">
        <f>0.1368-G83</f>
        <v>9.6266666666666667E-2</v>
      </c>
      <c r="L84" s="88">
        <f t="shared" si="11"/>
        <v>1.3579308481901673E-2</v>
      </c>
      <c r="M84" s="88">
        <f t="shared" si="12"/>
        <v>1.3261804430037818E-2</v>
      </c>
      <c r="N84" s="88">
        <f t="shared" si="13"/>
        <v>1.3420556455969745E-2</v>
      </c>
      <c r="O84" s="88">
        <f>'Growth curves CeBER'!G43</f>
        <v>3.46</v>
      </c>
      <c r="P84" s="88">
        <f t="shared" si="14"/>
        <v>4.2675640000000001</v>
      </c>
      <c r="Q84" s="89">
        <f t="shared" si="26"/>
        <v>3.2006729999999999E-4</v>
      </c>
      <c r="R84" s="90">
        <f t="shared" si="15"/>
        <v>20.965210216679033</v>
      </c>
      <c r="S84" s="91"/>
      <c r="V84" s="92">
        <f t="shared" si="16"/>
        <v>89.470376373131643</v>
      </c>
      <c r="W84" s="108"/>
      <c r="X84" s="92"/>
      <c r="Y84" s="92"/>
      <c r="Z84" s="92">
        <f>(V84-$V$51)/(D83-$D$50)</f>
        <v>0.23511557861852792</v>
      </c>
      <c r="AA84" s="108"/>
      <c r="AB84" s="115"/>
    </row>
    <row r="85" spans="2:34" x14ac:dyDescent="0.2">
      <c r="B85" s="208"/>
      <c r="C85" s="209"/>
      <c r="D85" s="210"/>
      <c r="E85" s="95" t="s">
        <v>96</v>
      </c>
      <c r="F85" s="204"/>
      <c r="G85" s="207"/>
      <c r="H85" s="96">
        <f>0.2051-F83</f>
        <v>0.16356666666666667</v>
      </c>
      <c r="I85" s="98">
        <f>0.1883-F83</f>
        <v>0.14676666666666666</v>
      </c>
      <c r="J85" s="98">
        <f>0.1643-G83</f>
        <v>0.12376666666666666</v>
      </c>
      <c r="K85" s="98">
        <f>0.146-G83</f>
        <v>0.10546666666666665</v>
      </c>
      <c r="L85" s="88">
        <f t="shared" si="11"/>
        <v>1.437404105888709E-2</v>
      </c>
      <c r="M85" s="88">
        <f t="shared" si="12"/>
        <v>1.344559697460832E-2</v>
      </c>
      <c r="N85" s="98">
        <f t="shared" si="13"/>
        <v>1.3909819016747704E-2</v>
      </c>
      <c r="O85" s="98">
        <f>'Growth curves CeBER'!H43</f>
        <v>3.7759999999999998</v>
      </c>
      <c r="P85" s="98">
        <f t="shared" si="14"/>
        <v>4.6573184000000003</v>
      </c>
      <c r="Q85" s="99">
        <f t="shared" si="26"/>
        <v>3.4929888000000001E-4</v>
      </c>
      <c r="R85" s="100">
        <f t="shared" si="15"/>
        <v>19.911055851006026</v>
      </c>
      <c r="S85" s="101">
        <f>AVERAGE(R83:R85)</f>
        <v>19.98570116090329</v>
      </c>
      <c r="T85" s="102">
        <f>STDEV(R83:R85)</f>
        <v>0.94440148010302649</v>
      </c>
      <c r="U85" s="102">
        <f>T85/SQRT(3)</f>
        <v>0.54525044876056339</v>
      </c>
      <c r="V85" s="102">
        <f t="shared" si="16"/>
        <v>92.732126778318033</v>
      </c>
      <c r="W85" s="101">
        <f t="shared" si="17"/>
        <v>85.492256437961473</v>
      </c>
      <c r="X85" s="102">
        <f t="shared" si="18"/>
        <v>9.8510016390615291</v>
      </c>
      <c r="Y85" s="102">
        <f t="shared" si="19"/>
        <v>5.6874784480996192</v>
      </c>
      <c r="Z85" s="102">
        <f>(V85-$V$52)/(D83-$D$50)</f>
        <v>0.24083488993932778</v>
      </c>
      <c r="AA85" s="101">
        <f t="shared" si="21"/>
        <v>0.22190045008406969</v>
      </c>
      <c r="AB85" s="109">
        <f t="shared" si="22"/>
        <v>1.6159349112612048E-2</v>
      </c>
    </row>
    <row r="86" spans="2:34" x14ac:dyDescent="0.2">
      <c r="B86" s="193" t="s">
        <v>37</v>
      </c>
      <c r="C86" s="196">
        <v>0.54583333333333328</v>
      </c>
      <c r="D86" s="199">
        <v>408.08333333333331</v>
      </c>
      <c r="E86" s="85" t="s">
        <v>94</v>
      </c>
      <c r="F86" s="202">
        <f>(0.0517+0.0474)/2</f>
        <v>4.9549999999999997E-2</v>
      </c>
      <c r="G86" s="205">
        <f>(0.0508+0.0471)/2</f>
        <v>4.895E-2</v>
      </c>
      <c r="H86" s="86">
        <f>0.1726-F86</f>
        <v>0.12305000000000001</v>
      </c>
      <c r="I86" s="88">
        <f>0.1657-F86</f>
        <v>0.11614999999999999</v>
      </c>
      <c r="J86" s="88">
        <f>0.1199-G86</f>
        <v>7.0950000000000013E-2</v>
      </c>
      <c r="K86" s="88">
        <f>0.1146-G86</f>
        <v>6.5649999999999986E-2</v>
      </c>
      <c r="L86" s="88">
        <f t="shared" si="11"/>
        <v>1.2986264181523502E-2</v>
      </c>
      <c r="M86" s="88">
        <f t="shared" si="12"/>
        <v>1.2387641815235008E-2</v>
      </c>
      <c r="N86" s="88">
        <f t="shared" si="13"/>
        <v>1.2686952998379256E-2</v>
      </c>
      <c r="O86" s="88">
        <f>'Growth curves CeBER'!F44</f>
        <v>3.1960000000000002</v>
      </c>
      <c r="P86" s="88">
        <f t="shared" si="14"/>
        <v>3.9419464000000004</v>
      </c>
      <c r="Q86" s="111">
        <f t="shared" si="26"/>
        <v>2.9564598000000002E-4</v>
      </c>
      <c r="R86" s="90">
        <f t="shared" si="15"/>
        <v>21.456325904345555</v>
      </c>
      <c r="S86" s="91"/>
      <c r="V86" s="92">
        <f t="shared" si="16"/>
        <v>84.579686655861707</v>
      </c>
      <c r="W86" s="108"/>
      <c r="X86" s="92"/>
      <c r="Y86" s="92"/>
      <c r="Z86" s="92">
        <f t="shared" si="20"/>
        <v>0.2046869949200178</v>
      </c>
      <c r="AA86" s="108"/>
      <c r="AB86" s="115"/>
    </row>
    <row r="87" spans="2:34" x14ac:dyDescent="0.2">
      <c r="B87" s="194"/>
      <c r="C87" s="197"/>
      <c r="D87" s="200"/>
      <c r="E87" s="85" t="s">
        <v>95</v>
      </c>
      <c r="F87" s="203"/>
      <c r="G87" s="206"/>
      <c r="H87" s="86">
        <f>0.1843-F86</f>
        <v>0.13474999999999998</v>
      </c>
      <c r="I87" s="88">
        <f>0.2005-F86</f>
        <v>0.15095000000000003</v>
      </c>
      <c r="J87" s="88">
        <f>0.1244-G86</f>
        <v>7.5449999999999989E-2</v>
      </c>
      <c r="K87" s="88">
        <f>0.144-G86</f>
        <v>9.5049999999999996E-2</v>
      </c>
      <c r="L87" s="88">
        <f t="shared" si="11"/>
        <v>1.4441288492706643E-2</v>
      </c>
      <c r="M87" s="88">
        <f t="shared" si="12"/>
        <v>1.5145016207455436E-2</v>
      </c>
      <c r="N87" s="88">
        <f t="shared" si="13"/>
        <v>1.4793152350081039E-2</v>
      </c>
      <c r="O87" s="88">
        <f>'Growth curves CeBER'!G44</f>
        <v>3.516</v>
      </c>
      <c r="P87" s="88">
        <f t="shared" si="14"/>
        <v>4.3366344000000003</v>
      </c>
      <c r="Q87" s="89">
        <f t="shared" si="26"/>
        <v>3.2524758000000004E-4</v>
      </c>
      <c r="R87" s="90">
        <f t="shared" si="15"/>
        <v>22.741371895958515</v>
      </c>
      <c r="S87" s="91"/>
      <c r="V87" s="92">
        <f t="shared" si="16"/>
        <v>98.621015667206933</v>
      </c>
      <c r="W87" s="108"/>
      <c r="X87" s="92"/>
      <c r="Y87" s="92"/>
      <c r="Z87" s="92">
        <f>(V87-$V$51)/(D86-$D$50)</f>
        <v>0.24422533989076808</v>
      </c>
      <c r="AA87" s="108"/>
      <c r="AB87" s="115"/>
    </row>
    <row r="88" spans="2:34" x14ac:dyDescent="0.2">
      <c r="B88" s="208"/>
      <c r="C88" s="209"/>
      <c r="D88" s="210"/>
      <c r="E88" s="95" t="s">
        <v>96</v>
      </c>
      <c r="F88" s="204"/>
      <c r="G88" s="207"/>
      <c r="H88" s="96">
        <f>0.1668-F86</f>
        <v>0.11725000000000001</v>
      </c>
      <c r="I88" s="98">
        <f>0.1857-F86</f>
        <v>0.13614999999999999</v>
      </c>
      <c r="J88" s="98">
        <f>0.1154-G86</f>
        <v>6.6450000000000009E-2</v>
      </c>
      <c r="K88" s="98">
        <f>0.1329-G86</f>
        <v>8.3949999999999997E-2</v>
      </c>
      <c r="L88" s="88">
        <f t="shared" si="11"/>
        <v>1.2487479740680712E-2</v>
      </c>
      <c r="M88" s="88">
        <f t="shared" si="12"/>
        <v>1.3834724473257698E-2</v>
      </c>
      <c r="N88" s="98">
        <f t="shared" si="13"/>
        <v>1.3161102106969205E-2</v>
      </c>
      <c r="O88" s="98">
        <f>'Growth curves CeBER'!H44</f>
        <v>3.7759999999999998</v>
      </c>
      <c r="P88" s="98">
        <f t="shared" si="14"/>
        <v>4.6573184000000003</v>
      </c>
      <c r="Q88" s="99">
        <f t="shared" si="26"/>
        <v>3.4929888000000001E-4</v>
      </c>
      <c r="R88" s="100">
        <f t="shared" si="15"/>
        <v>18.839313351032224</v>
      </c>
      <c r="S88" s="101">
        <f>AVERAGE(R86:R88)</f>
        <v>21.012337050445431</v>
      </c>
      <c r="T88" s="102">
        <f>STDEV(R86:R88)</f>
        <v>1.9885572153696582</v>
      </c>
      <c r="U88" s="102">
        <f>T88/SQRT(3)</f>
        <v>1.1480940435926448</v>
      </c>
      <c r="V88" s="102">
        <f t="shared" si="16"/>
        <v>87.740680713128043</v>
      </c>
      <c r="W88" s="101">
        <f t="shared" si="17"/>
        <v>90.31379434539889</v>
      </c>
      <c r="X88" s="102">
        <f t="shared" si="18"/>
        <v>7.3658275451333255</v>
      </c>
      <c r="Y88" s="102">
        <f t="shared" si="19"/>
        <v>4.2526625159870859</v>
      </c>
      <c r="Z88" s="102">
        <f>(V88-$V$52)/(D86-$D$50)</f>
        <v>0.21286185473226271</v>
      </c>
      <c r="AA88" s="101">
        <f t="shared" si="21"/>
        <v>0.22059139651434953</v>
      </c>
      <c r="AB88" s="109">
        <f t="shared" si="22"/>
        <v>1.2050304876880131E-2</v>
      </c>
    </row>
    <row r="89" spans="2:34" x14ac:dyDescent="0.2">
      <c r="B89" s="193" t="s">
        <v>33</v>
      </c>
      <c r="C89" s="196">
        <v>0.56666666666666665</v>
      </c>
      <c r="D89" s="199">
        <v>432.25</v>
      </c>
      <c r="E89" s="85" t="s">
        <v>94</v>
      </c>
      <c r="F89" s="202">
        <v>4.19E-2</v>
      </c>
      <c r="G89" s="205">
        <v>3.9899999999999998E-2</v>
      </c>
      <c r="H89" s="106">
        <f>0.2524-F89</f>
        <v>0.21050000000000002</v>
      </c>
      <c r="I89" s="110">
        <f>0.2643-F89</f>
        <v>0.22239999999999999</v>
      </c>
      <c r="J89" s="110">
        <f>0.1572-G89</f>
        <v>0.11730000000000002</v>
      </c>
      <c r="K89" s="110">
        <f>0.1648-G89</f>
        <v>0.12490000000000001</v>
      </c>
      <c r="L89" s="88">
        <f t="shared" si="11"/>
        <v>2.2614829821717995E-2</v>
      </c>
      <c r="M89" s="88">
        <f t="shared" si="12"/>
        <v>2.3798298217179898E-2</v>
      </c>
      <c r="N89" s="88">
        <f t="shared" si="13"/>
        <v>2.3206564019448948E-2</v>
      </c>
      <c r="O89" s="88">
        <f>'Growth curves CeBER'!F45</f>
        <v>3.2160000000000002</v>
      </c>
      <c r="P89" s="88">
        <f t="shared" si="14"/>
        <v>3.9666144000000005</v>
      </c>
      <c r="Q89" s="111">
        <f t="shared" si="26"/>
        <v>2.9749608000000007E-4</v>
      </c>
      <c r="R89" s="90">
        <f t="shared" si="15"/>
        <v>39.003142527876236</v>
      </c>
      <c r="S89" s="91"/>
      <c r="V89" s="92">
        <f t="shared" si="16"/>
        <v>154.71042679632629</v>
      </c>
      <c r="W89" s="108"/>
      <c r="X89" s="92"/>
      <c r="Y89" s="92"/>
      <c r="Z89" s="92">
        <f t="shared" si="20"/>
        <v>0.36397054406858215</v>
      </c>
      <c r="AA89" s="108"/>
      <c r="AB89" s="115"/>
    </row>
    <row r="90" spans="2:34" x14ac:dyDescent="0.2">
      <c r="B90" s="194"/>
      <c r="C90" s="197"/>
      <c r="D90" s="200"/>
      <c r="E90" s="85" t="s">
        <v>95</v>
      </c>
      <c r="F90" s="203"/>
      <c r="G90" s="206"/>
      <c r="H90" s="86">
        <f>0.2305-F89</f>
        <v>0.18860000000000002</v>
      </c>
      <c r="I90" s="88">
        <f>0.2332-F89</f>
        <v>0.1913</v>
      </c>
      <c r="J90" s="88">
        <f>0.1415-G89</f>
        <v>0.1016</v>
      </c>
      <c r="K90" s="88">
        <f>0.1444-G89</f>
        <v>0.10450000000000001</v>
      </c>
      <c r="L90" s="88">
        <f t="shared" si="11"/>
        <v>2.0604862236628853E-2</v>
      </c>
      <c r="M90" s="88">
        <f t="shared" si="12"/>
        <v>2.075810372771475E-2</v>
      </c>
      <c r="N90" s="88">
        <f t="shared" si="13"/>
        <v>2.0681482982171803E-2</v>
      </c>
      <c r="O90" s="88">
        <f>'Growth curves CeBER'!G45</f>
        <v>3.5760000000000001</v>
      </c>
      <c r="P90" s="88">
        <f t="shared" si="14"/>
        <v>4.4106383999999998</v>
      </c>
      <c r="Q90" s="89">
        <f t="shared" si="26"/>
        <v>3.3079787999999998E-4</v>
      </c>
      <c r="R90" s="90">
        <f t="shared" si="15"/>
        <v>31.259999281391714</v>
      </c>
      <c r="S90" s="91"/>
      <c r="V90" s="92">
        <f t="shared" si="16"/>
        <v>137.87655321447869</v>
      </c>
      <c r="W90" s="108"/>
      <c r="X90" s="92"/>
      <c r="Y90" s="92"/>
      <c r="Z90" s="92">
        <f>(V90-$V$51)/(D89-$D$50)</f>
        <v>0.32572755989543906</v>
      </c>
      <c r="AA90" s="108"/>
      <c r="AB90" s="115"/>
    </row>
    <row r="91" spans="2:34" ht="14" thickBot="1" x14ac:dyDescent="0.25">
      <c r="B91" s="195"/>
      <c r="C91" s="198"/>
      <c r="D91" s="201"/>
      <c r="E91" s="95" t="s">
        <v>96</v>
      </c>
      <c r="F91" s="223"/>
      <c r="G91" s="224"/>
      <c r="H91" s="86">
        <f>0.2826-F89</f>
        <v>0.24070000000000003</v>
      </c>
      <c r="I91" s="88">
        <f>0.3162-F89</f>
        <v>0.27429999999999999</v>
      </c>
      <c r="J91" s="88">
        <f>0.1847-G89</f>
        <v>0.14480000000000001</v>
      </c>
      <c r="K91" s="88">
        <f>0.2169-G89</f>
        <v>0.17700000000000002</v>
      </c>
      <c r="L91" s="88">
        <f t="shared" si="11"/>
        <v>2.4812965964343601E-2</v>
      </c>
      <c r="M91" s="88">
        <f t="shared" si="12"/>
        <v>2.7101296596434357E-2</v>
      </c>
      <c r="N91" s="98">
        <f t="shared" si="13"/>
        <v>2.5957131280388977E-2</v>
      </c>
      <c r="O91" s="98">
        <f>'Growth curves CeBER'!H45</f>
        <v>3.8479999999999999</v>
      </c>
      <c r="P91" s="98">
        <f t="shared" si="14"/>
        <v>4.7461232000000004</v>
      </c>
      <c r="Q91" s="99">
        <f t="shared" si="26"/>
        <v>3.5595924E-4</v>
      </c>
      <c r="R91" s="100">
        <f t="shared" si="15"/>
        <v>36.460819615736028</v>
      </c>
      <c r="S91" s="101">
        <f>AVERAGE(R89:R91)</f>
        <v>35.574653808334659</v>
      </c>
      <c r="T91" s="102">
        <f>STDEV(R89:R91)</f>
        <v>3.9469018498754442</v>
      </c>
      <c r="U91" s="102">
        <f>T91/SQRT(3)</f>
        <v>2.2787448454906198</v>
      </c>
      <c r="V91" s="102">
        <f t="shared" si="16"/>
        <v>173.04754186925987</v>
      </c>
      <c r="W91" s="101">
        <f t="shared" si="17"/>
        <v>155.21150729335494</v>
      </c>
      <c r="X91" s="102">
        <f t="shared" si="18"/>
        <v>17.590847676762582</v>
      </c>
      <c r="Y91" s="102">
        <f t="shared" si="19"/>
        <v>10.156080641452581</v>
      </c>
      <c r="Z91" s="102">
        <f>(V91-$V$52)/(D89-$D$50)</f>
        <v>0.40874692356040188</v>
      </c>
      <c r="AA91" s="101">
        <f t="shared" si="21"/>
        <v>0.36614834250814104</v>
      </c>
      <c r="AB91" s="109">
        <f t="shared" si="22"/>
        <v>2.3990350771135371E-2</v>
      </c>
    </row>
    <row r="92" spans="2:34" ht="15" thickBot="1" x14ac:dyDescent="0.25">
      <c r="B92" s="211" t="s">
        <v>74</v>
      </c>
      <c r="C92" s="212"/>
      <c r="D92" s="212"/>
      <c r="E92" s="212"/>
      <c r="F92" s="212"/>
      <c r="G92" s="212"/>
      <c r="H92" s="212"/>
      <c r="I92" s="212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3"/>
      <c r="AD92" s="231" t="s">
        <v>106</v>
      </c>
      <c r="AE92" s="231"/>
      <c r="AF92" s="231"/>
      <c r="AG92" s="231"/>
      <c r="AH92" s="231"/>
    </row>
    <row r="93" spans="2:34" ht="45" customHeight="1" x14ac:dyDescent="0.2">
      <c r="B93" s="65" t="s">
        <v>0</v>
      </c>
      <c r="C93" s="66" t="s">
        <v>1</v>
      </c>
      <c r="D93" s="67" t="s">
        <v>2</v>
      </c>
      <c r="E93" s="68"/>
      <c r="F93" s="66" t="s">
        <v>11</v>
      </c>
      <c r="G93" s="66" t="s">
        <v>12</v>
      </c>
      <c r="H93" s="214" t="s">
        <v>77</v>
      </c>
      <c r="I93" s="215"/>
      <c r="J93" s="216" t="s">
        <v>97</v>
      </c>
      <c r="K93" s="217"/>
      <c r="L93" s="218" t="s">
        <v>79</v>
      </c>
      <c r="M93" s="219"/>
      <c r="N93" s="69" t="s">
        <v>80</v>
      </c>
      <c r="O93" s="70" t="s">
        <v>81</v>
      </c>
      <c r="P93" s="69" t="s">
        <v>13</v>
      </c>
      <c r="Q93" s="69" t="s">
        <v>14</v>
      </c>
      <c r="R93" s="69" t="s">
        <v>82</v>
      </c>
      <c r="S93" s="69" t="s">
        <v>83</v>
      </c>
      <c r="T93" s="69" t="s">
        <v>84</v>
      </c>
      <c r="U93" s="71" t="s">
        <v>62</v>
      </c>
      <c r="V93" s="70" t="s">
        <v>85</v>
      </c>
      <c r="W93" s="69" t="s">
        <v>86</v>
      </c>
      <c r="X93" s="69" t="s">
        <v>84</v>
      </c>
      <c r="Y93" s="72" t="s">
        <v>62</v>
      </c>
      <c r="Z93" s="72" t="s">
        <v>87</v>
      </c>
      <c r="AA93" s="69" t="s">
        <v>88</v>
      </c>
      <c r="AB93" s="73" t="s">
        <v>62</v>
      </c>
      <c r="AD93" s="62" t="s">
        <v>2</v>
      </c>
      <c r="AE93" s="83" t="str">
        <f>S93</f>
        <v>Average specific CPC conc.</v>
      </c>
      <c r="AF93" s="62" t="s">
        <v>15</v>
      </c>
      <c r="AG93" s="83" t="str">
        <f>W93</f>
        <v>Average total CPC</v>
      </c>
      <c r="AH93" s="62" t="s">
        <v>15</v>
      </c>
    </row>
    <row r="94" spans="2:34" ht="31" customHeight="1" x14ac:dyDescent="0.2">
      <c r="B94" s="74"/>
      <c r="C94" s="75"/>
      <c r="D94" s="76"/>
      <c r="E94" s="77"/>
      <c r="F94" s="75" t="s">
        <v>16</v>
      </c>
      <c r="G94" s="75" t="s">
        <v>16</v>
      </c>
      <c r="H94" s="78" t="s">
        <v>89</v>
      </c>
      <c r="I94" s="75" t="s">
        <v>90</v>
      </c>
      <c r="J94" s="220" t="s">
        <v>16</v>
      </c>
      <c r="K94" s="221"/>
      <c r="L94" s="222" t="s">
        <v>17</v>
      </c>
      <c r="M94" s="221"/>
      <c r="N94" s="80" t="s">
        <v>17</v>
      </c>
      <c r="O94" s="80" t="s">
        <v>16</v>
      </c>
      <c r="P94" s="80" t="s">
        <v>18</v>
      </c>
      <c r="Q94" s="80" t="s">
        <v>19</v>
      </c>
      <c r="R94" s="81" t="s">
        <v>91</v>
      </c>
      <c r="S94" s="81" t="s">
        <v>91</v>
      </c>
      <c r="T94" s="80"/>
      <c r="U94" s="76"/>
      <c r="V94" s="81" t="s">
        <v>92</v>
      </c>
      <c r="W94" s="81" t="s">
        <v>92</v>
      </c>
      <c r="X94" s="80"/>
      <c r="Y94" s="80"/>
      <c r="Z94" s="81" t="s">
        <v>93</v>
      </c>
      <c r="AA94" s="81" t="s">
        <v>93</v>
      </c>
      <c r="AB94" s="82"/>
      <c r="AD94" s="93">
        <f>D95</f>
        <v>23.016666666666666</v>
      </c>
      <c r="AE94" s="92">
        <v>28.836911195330014</v>
      </c>
      <c r="AF94" s="92">
        <f>U97</f>
        <v>1.0085976202878575</v>
      </c>
      <c r="AG94" s="92">
        <v>7.8401747815230971</v>
      </c>
      <c r="AH94" s="92">
        <f>Y97</f>
        <v>0.19129116415357325</v>
      </c>
    </row>
    <row r="95" spans="2:34" x14ac:dyDescent="0.2">
      <c r="B95" s="194" t="s">
        <v>9</v>
      </c>
      <c r="C95" s="197">
        <v>0.51041666666666663</v>
      </c>
      <c r="D95" s="200">
        <v>23.016666666666666</v>
      </c>
      <c r="E95" s="85" t="s">
        <v>94</v>
      </c>
      <c r="F95" s="203">
        <v>4.6699999999999998E-2</v>
      </c>
      <c r="G95" s="206">
        <v>4.65E-2</v>
      </c>
      <c r="H95" s="86">
        <f>0.1638-F95</f>
        <v>0.11710000000000001</v>
      </c>
      <c r="I95" s="88">
        <f>0.1597-F95</f>
        <v>0.11300000000000002</v>
      </c>
      <c r="J95" s="88">
        <f>0.105-G95</f>
        <v>5.8499999999999996E-2</v>
      </c>
      <c r="K95" s="88">
        <f>0.1005-G95</f>
        <v>5.4000000000000006E-2</v>
      </c>
      <c r="L95" s="88">
        <f>(H95-(0.605*J95))/6.17</f>
        <v>1.3242706645056728E-2</v>
      </c>
      <c r="M95" s="88">
        <f>(I95-(0.605*K95))/6.17</f>
        <v>1.3019448946515398E-2</v>
      </c>
      <c r="N95" s="88">
        <f>AVERAGE(L95:M95)</f>
        <v>1.3131077795786063E-2</v>
      </c>
      <c r="O95" s="62">
        <f>'Growth curves CeBER'!F52</f>
        <v>0.215</v>
      </c>
      <c r="P95" s="88">
        <f>1.2334*O95</f>
        <v>0.265181</v>
      </c>
      <c r="Q95" s="89">
        <f>P95*1/1000</f>
        <v>2.6518100000000002E-4</v>
      </c>
      <c r="R95" s="90">
        <f>(N95*0.5)/Q95</f>
        <v>24.758707818030068</v>
      </c>
      <c r="S95" s="91"/>
      <c r="V95" s="92">
        <f>R95*P95</f>
        <v>6.5655388978930311</v>
      </c>
      <c r="W95" s="91"/>
      <c r="AA95" s="91"/>
      <c r="AB95" s="84"/>
      <c r="AD95" s="93">
        <f>D98</f>
        <v>94.833333333333343</v>
      </c>
      <c r="AE95" s="92">
        <v>52.944830098891259</v>
      </c>
      <c r="AF95" s="92">
        <f>U100</f>
        <v>0.39055552584573217</v>
      </c>
      <c r="AG95" s="92">
        <v>40.773845193508123</v>
      </c>
      <c r="AH95" s="92">
        <f>Y100</f>
        <v>1.1866029151154596</v>
      </c>
    </row>
    <row r="96" spans="2:34" ht="15" customHeight="1" x14ac:dyDescent="0.2">
      <c r="B96" s="194"/>
      <c r="C96" s="197"/>
      <c r="D96" s="200"/>
      <c r="E96" s="85" t="s">
        <v>95</v>
      </c>
      <c r="F96" s="203"/>
      <c r="G96" s="206"/>
      <c r="H96" s="86">
        <f>0.1517-F95</f>
        <v>0.10500000000000001</v>
      </c>
      <c r="I96" s="88">
        <f>0.1582-F95</f>
        <v>0.11150000000000002</v>
      </c>
      <c r="J96" s="88">
        <f>0.1018-G95</f>
        <v>5.5300000000000002E-2</v>
      </c>
      <c r="K96" s="88">
        <f>0.1063-G95</f>
        <v>5.9800000000000006E-2</v>
      </c>
      <c r="L96" s="88">
        <f t="shared" ref="L96:L136" si="27">(H96-(0.605*J96))/6.17</f>
        <v>1.1595380875202595E-2</v>
      </c>
      <c r="M96" s="88">
        <f t="shared" ref="M96:M108" si="28">(I96-(0.605*K96))/6.17</f>
        <v>1.2207617504051867E-2</v>
      </c>
      <c r="N96" s="88">
        <f t="shared" ref="N96:N136" si="29">AVERAGE(L96:M96)</f>
        <v>1.190149918962723E-2</v>
      </c>
      <c r="O96" s="62">
        <f>'Growth curves CeBER'!G52</f>
        <v>0.224</v>
      </c>
      <c r="P96" s="88">
        <f t="shared" ref="P96:P136" si="30">1.2334*O96</f>
        <v>0.27628160000000002</v>
      </c>
      <c r="Q96" s="89">
        <f>P96*1/1000</f>
        <v>2.7628160000000001E-4</v>
      </c>
      <c r="R96" s="90">
        <f t="shared" ref="R96:R136" si="31">(N96*0.5)/Q96</f>
        <v>21.538711209192414</v>
      </c>
      <c r="S96" s="91"/>
      <c r="V96" s="92">
        <f t="shared" ref="V96:V136" si="32">R96*P96</f>
        <v>5.9507495948136153</v>
      </c>
      <c r="W96" s="91"/>
      <c r="AA96" s="91"/>
      <c r="AB96" s="84"/>
      <c r="AD96" s="93">
        <f>D101</f>
        <v>118.85000000000001</v>
      </c>
      <c r="AE96" s="92">
        <v>45.469272569482634</v>
      </c>
      <c r="AF96" s="92">
        <f>U103</f>
        <v>2.8376388751576562</v>
      </c>
      <c r="AG96" s="92">
        <v>44.808551810237219</v>
      </c>
      <c r="AH96" s="92">
        <f>Y103</f>
        <v>4.5645870382283098</v>
      </c>
    </row>
    <row r="97" spans="2:34" ht="15" customHeight="1" x14ac:dyDescent="0.2">
      <c r="B97" s="208"/>
      <c r="C97" s="209"/>
      <c r="D97" s="210"/>
      <c r="E97" s="95" t="s">
        <v>96</v>
      </c>
      <c r="F97" s="203"/>
      <c r="G97" s="206"/>
      <c r="H97" s="96">
        <f>0.1486-F95</f>
        <v>0.10190000000000002</v>
      </c>
      <c r="I97" s="98">
        <f>0.161-F95</f>
        <v>0.11430000000000001</v>
      </c>
      <c r="J97" s="98">
        <f>0.0959-G95</f>
        <v>4.9399999999999999E-2</v>
      </c>
      <c r="K97" s="98">
        <f>0.1079-G95</f>
        <v>6.1399999999999996E-2</v>
      </c>
      <c r="L97" s="88">
        <f t="shared" si="27"/>
        <v>1.1671474878444088E-2</v>
      </c>
      <c r="M97" s="88">
        <f t="shared" si="28"/>
        <v>1.2504538087520261E-2</v>
      </c>
      <c r="N97" s="98">
        <f>AVERAGE(L97:M97)</f>
        <v>1.2088006482982173E-2</v>
      </c>
      <c r="O97" s="98">
        <f>'Growth curves CeBER'!H52</f>
        <v>0.223</v>
      </c>
      <c r="P97" s="98">
        <f t="shared" si="30"/>
        <v>0.27504820000000002</v>
      </c>
      <c r="Q97" s="99">
        <f>P97*1/1000</f>
        <v>2.7504820000000003E-4</v>
      </c>
      <c r="R97" s="100">
        <f t="shared" si="31"/>
        <v>21.974342102551795</v>
      </c>
      <c r="S97" s="101">
        <f>AVERAGE(R95:R97)</f>
        <v>22.757253709924758</v>
      </c>
      <c r="T97" s="102">
        <f>STDEV(R95:R97)</f>
        <v>1.7469423227316312</v>
      </c>
      <c r="U97" s="102">
        <f>T97/SQRT(3)</f>
        <v>1.0085976202878575</v>
      </c>
      <c r="V97" s="102">
        <f t="shared" si="32"/>
        <v>6.0440032414910867</v>
      </c>
      <c r="W97" s="101">
        <f>AVERAGE(V95:V97)</f>
        <v>6.1867639113992441</v>
      </c>
      <c r="X97" s="102">
        <f>STDEV(V95:V97)</f>
        <v>0.33132601535298722</v>
      </c>
      <c r="Y97" s="102">
        <f>X97/SQRT(3)</f>
        <v>0.19129116415357325</v>
      </c>
      <c r="Z97" s="103"/>
      <c r="AA97" s="104"/>
      <c r="AB97" s="94"/>
      <c r="AD97" s="93">
        <f>D104</f>
        <v>191.35</v>
      </c>
      <c r="AE97" s="92">
        <v>51.655557501829065</v>
      </c>
      <c r="AF97" s="92">
        <f>U106</f>
        <v>13.289429898662245</v>
      </c>
      <c r="AG97" s="92">
        <v>79.381439220973789</v>
      </c>
      <c r="AH97" s="92">
        <f>Y106</f>
        <v>20.363063979985263</v>
      </c>
    </row>
    <row r="98" spans="2:34" x14ac:dyDescent="0.2">
      <c r="B98" s="193" t="s">
        <v>27</v>
      </c>
      <c r="C98" s="196">
        <v>0.50277777777777777</v>
      </c>
      <c r="D98" s="199">
        <v>94.833333333333343</v>
      </c>
      <c r="E98" s="85" t="s">
        <v>94</v>
      </c>
      <c r="F98" s="203">
        <f>(0.0532+0.0381+0.0347)/3</f>
        <v>4.2000000000000003E-2</v>
      </c>
      <c r="G98" s="206">
        <f>(0.0532+0.039+0.0341)/3</f>
        <v>4.2099999999999999E-2</v>
      </c>
      <c r="H98" s="86">
        <f>0.3483-F98</f>
        <v>0.30630000000000002</v>
      </c>
      <c r="I98" s="88">
        <f>0.3431-F98</f>
        <v>0.30110000000000003</v>
      </c>
      <c r="J98" s="88">
        <f>0.1931-G98</f>
        <v>0.151</v>
      </c>
      <c r="K98" s="88">
        <f>0.1915-G98</f>
        <v>0.14940000000000001</v>
      </c>
      <c r="L98" s="88">
        <f t="shared" si="27"/>
        <v>3.4837115072933557E-2</v>
      </c>
      <c r="M98" s="88">
        <f t="shared" si="28"/>
        <v>3.4151215559157219E-2</v>
      </c>
      <c r="N98" s="88">
        <f t="shared" si="29"/>
        <v>3.4494165316045391E-2</v>
      </c>
      <c r="O98" s="88">
        <f>'Growth curves CeBER'!F54</f>
        <v>0.67800000000000005</v>
      </c>
      <c r="P98" s="88">
        <f t="shared" si="30"/>
        <v>0.83624520000000013</v>
      </c>
      <c r="Q98" s="89">
        <f>P98*0.5/1000</f>
        <v>4.1812260000000009E-4</v>
      </c>
      <c r="R98" s="90">
        <f t="shared" si="31"/>
        <v>41.248864945407618</v>
      </c>
      <c r="S98" s="108"/>
      <c r="T98" s="92"/>
      <c r="U98" s="92"/>
      <c r="V98" s="92">
        <f t="shared" si="32"/>
        <v>34.49416531604539</v>
      </c>
      <c r="W98" s="108"/>
      <c r="X98" s="92"/>
      <c r="Y98" s="92"/>
      <c r="Z98" s="92">
        <f>(V98-$V$95)/(D98-$D$95)</f>
        <v>0.38888781273825512</v>
      </c>
      <c r="AA98" s="108"/>
      <c r="AB98" s="84"/>
      <c r="AD98" s="93">
        <f>D107</f>
        <v>216.28333333333333</v>
      </c>
      <c r="AE98" s="92">
        <v>69.882490444170983</v>
      </c>
      <c r="AF98" s="92">
        <f>U109</f>
        <v>4.6686315712112494</v>
      </c>
      <c r="AG98" s="92">
        <v>123.43171199001249</v>
      </c>
      <c r="AH98" s="92">
        <f>Y109</f>
        <v>8.3218048810455159</v>
      </c>
    </row>
    <row r="99" spans="2:34" x14ac:dyDescent="0.2">
      <c r="B99" s="194"/>
      <c r="C99" s="197"/>
      <c r="D99" s="200"/>
      <c r="E99" s="85" t="s">
        <v>95</v>
      </c>
      <c r="F99" s="203"/>
      <c r="G99" s="206"/>
      <c r="H99" s="86">
        <f>0.3204-F98</f>
        <v>0.27840000000000004</v>
      </c>
      <c r="I99" s="88">
        <f>0.3219-F98</f>
        <v>0.27990000000000004</v>
      </c>
      <c r="J99" s="88">
        <f>0.1812-G98</f>
        <v>0.1391</v>
      </c>
      <c r="K99" s="88">
        <f>0.1804-G98</f>
        <v>0.13830000000000001</v>
      </c>
      <c r="L99" s="88">
        <f t="shared" si="27"/>
        <v>3.148209076175041E-2</v>
      </c>
      <c r="M99" s="88">
        <f t="shared" si="28"/>
        <v>3.1803646677471639E-2</v>
      </c>
      <c r="N99" s="88">
        <f t="shared" si="29"/>
        <v>3.1642868719611028E-2</v>
      </c>
      <c r="O99" s="88">
        <f>'Growth curves CeBER'!G54</f>
        <v>0.61599999999999999</v>
      </c>
      <c r="P99" s="88">
        <f t="shared" si="30"/>
        <v>0.75977440000000007</v>
      </c>
      <c r="Q99" s="89">
        <f>P99*0.5/1000</f>
        <v>3.7988720000000004E-4</v>
      </c>
      <c r="R99" s="90">
        <f t="shared" si="31"/>
        <v>41.647716374243494</v>
      </c>
      <c r="S99" s="91"/>
      <c r="T99" s="92"/>
      <c r="U99" s="92"/>
      <c r="V99" s="92">
        <f t="shared" si="32"/>
        <v>31.64286871961103</v>
      </c>
      <c r="W99" s="108"/>
      <c r="X99" s="92"/>
      <c r="Y99" s="92"/>
      <c r="Z99" s="92">
        <f>(V99-$V$96)/(D98-$D$95)</f>
        <v>0.35774591494264207</v>
      </c>
      <c r="AA99" s="108"/>
      <c r="AB99" s="84"/>
      <c r="AD99" s="93">
        <f>D110</f>
        <v>240.18333333333334</v>
      </c>
      <c r="AE99" s="92">
        <v>74.382720000000006</v>
      </c>
      <c r="AF99" s="92">
        <f>U112</f>
        <v>4.8822910008452567</v>
      </c>
      <c r="AG99" s="92">
        <v>136.90957</v>
      </c>
      <c r="AH99" s="92">
        <f>Y112</f>
        <v>9.4228234377946674</v>
      </c>
    </row>
    <row r="100" spans="2:34" x14ac:dyDescent="0.2">
      <c r="B100" s="208"/>
      <c r="C100" s="209"/>
      <c r="D100" s="210"/>
      <c r="E100" s="95" t="s">
        <v>96</v>
      </c>
      <c r="F100" s="204"/>
      <c r="G100" s="207"/>
      <c r="H100" s="86">
        <f>0.3175-F98</f>
        <v>0.27550000000000002</v>
      </c>
      <c r="I100" s="88">
        <f>0.3191-F98</f>
        <v>0.27710000000000001</v>
      </c>
      <c r="J100" s="88">
        <f>0.1883-G98</f>
        <v>0.1462</v>
      </c>
      <c r="K100" s="88">
        <f>0.1871-G98</f>
        <v>0.14499999999999999</v>
      </c>
      <c r="L100" s="88">
        <f t="shared" si="27"/>
        <v>3.0315883306320911E-2</v>
      </c>
      <c r="M100" s="88">
        <f t="shared" si="28"/>
        <v>3.0692868719611025E-2</v>
      </c>
      <c r="N100" s="98">
        <f t="shared" si="29"/>
        <v>3.0504376012965968E-2</v>
      </c>
      <c r="O100" s="98">
        <f>'Growth curves CeBER'!H54</f>
        <v>0.58099999999999996</v>
      </c>
      <c r="P100" s="98">
        <f t="shared" si="30"/>
        <v>0.71660539999999995</v>
      </c>
      <c r="Q100" s="99">
        <f>P100*0.5/1000</f>
        <v>3.5830269999999998E-4</v>
      </c>
      <c r="R100" s="100">
        <f t="shared" si="31"/>
        <v>42.567884658650314</v>
      </c>
      <c r="S100" s="101">
        <f>AVERAGE(R98:R100)</f>
        <v>41.821488659433811</v>
      </c>
      <c r="T100" s="102">
        <f>STDEV(R98:R100)</f>
        <v>0.67646201394158789</v>
      </c>
      <c r="U100" s="102">
        <f>T100/SQRT(3)</f>
        <v>0.39055552584573217</v>
      </c>
      <c r="V100" s="102">
        <f t="shared" si="32"/>
        <v>30.50437601296597</v>
      </c>
      <c r="W100" s="101">
        <f t="shared" ref="W100:W136" si="33">AVERAGE(V98:V100)</f>
        <v>32.213803349540797</v>
      </c>
      <c r="X100" s="102">
        <f t="shared" ref="X100:X136" si="34">STDEV(V98:V100)</f>
        <v>2.0552565373893157</v>
      </c>
      <c r="Y100" s="102">
        <f t="shared" ref="Y100:Y136" si="35">X100/SQRT(3)</f>
        <v>1.1866029151154596</v>
      </c>
      <c r="Z100" s="102">
        <f>(V100-$V$97)/(D98-$D$95)</f>
        <v>0.3405946545111378</v>
      </c>
      <c r="AA100" s="101">
        <f>AVERAGE(Z98:Z100)</f>
        <v>0.36240946073067831</v>
      </c>
      <c r="AB100" s="109">
        <f>STDEV(Z98:Z100)/SQRT(3)</f>
        <v>1.413469463619195E-2</v>
      </c>
      <c r="AD100" s="93">
        <f>D113</f>
        <v>264.18333333333334</v>
      </c>
      <c r="AE100" s="92">
        <v>58.533200000000001</v>
      </c>
      <c r="AF100" s="92">
        <f>U115</f>
        <v>1.5137943809936367</v>
      </c>
      <c r="AG100" s="92">
        <v>149.67646999999999</v>
      </c>
      <c r="AH100" s="92">
        <f>Y115</f>
        <v>3.8399536400941763</v>
      </c>
    </row>
    <row r="101" spans="2:34" x14ac:dyDescent="0.2">
      <c r="B101" s="193" t="s">
        <v>28</v>
      </c>
      <c r="C101" s="196">
        <v>0.50347222222222221</v>
      </c>
      <c r="D101" s="199">
        <v>118.85000000000001</v>
      </c>
      <c r="E101" s="85" t="s">
        <v>94</v>
      </c>
      <c r="F101" s="202">
        <v>4.5199999999999997E-2</v>
      </c>
      <c r="G101" s="205">
        <v>4.4499999999999998E-2</v>
      </c>
      <c r="H101" s="106">
        <f>0.2434-F101</f>
        <v>0.19820000000000002</v>
      </c>
      <c r="I101" s="110">
        <f>0.2363-F101</f>
        <v>0.19110000000000002</v>
      </c>
      <c r="J101" s="110">
        <f>0.1471-G101</f>
        <v>0.10260000000000001</v>
      </c>
      <c r="K101" s="110">
        <f>0.141-G101</f>
        <v>9.6499999999999989E-2</v>
      </c>
      <c r="L101" s="88">
        <f t="shared" si="27"/>
        <v>2.2062722852512155E-2</v>
      </c>
      <c r="M101" s="88">
        <f t="shared" si="28"/>
        <v>2.1510129659643443E-2</v>
      </c>
      <c r="N101" s="88">
        <f t="shared" si="29"/>
        <v>2.1786426256077799E-2</v>
      </c>
      <c r="O101" s="88">
        <f>'Growth curves CeBER'!F55</f>
        <v>0.871</v>
      </c>
      <c r="P101" s="88">
        <f t="shared" si="30"/>
        <v>1.0742914000000001</v>
      </c>
      <c r="Q101" s="111">
        <f>P101*0.25/1000</f>
        <v>2.6857285000000004E-4</v>
      </c>
      <c r="R101" s="90">
        <f t="shared" si="31"/>
        <v>40.559621451084496</v>
      </c>
      <c r="S101" s="108"/>
      <c r="T101" s="92"/>
      <c r="U101" s="92"/>
      <c r="V101" s="92">
        <f t="shared" si="32"/>
        <v>43.572852512155599</v>
      </c>
      <c r="W101" s="108"/>
      <c r="X101" s="92"/>
      <c r="Y101" s="92"/>
      <c r="Z101" s="92">
        <f>(V101-$V$95)/(D101-$D$95)</f>
        <v>0.38616327249665289</v>
      </c>
      <c r="AA101" s="108"/>
      <c r="AB101" s="115"/>
      <c r="AD101" s="93">
        <f>D116</f>
        <v>288.18333333333334</v>
      </c>
      <c r="AE101" s="92">
        <v>74.384730000000005</v>
      </c>
      <c r="AF101" s="92">
        <f>U118</f>
        <v>1.4164271257057817</v>
      </c>
      <c r="AG101" s="92">
        <v>158.7865674</v>
      </c>
      <c r="AH101" s="92">
        <f>Y118</f>
        <v>1.3597392271261028</v>
      </c>
    </row>
    <row r="102" spans="2:34" x14ac:dyDescent="0.2">
      <c r="B102" s="194"/>
      <c r="C102" s="197"/>
      <c r="D102" s="200"/>
      <c r="E102" s="85" t="s">
        <v>95</v>
      </c>
      <c r="F102" s="203"/>
      <c r="G102" s="206"/>
      <c r="H102" s="86">
        <f>0.1957-F101</f>
        <v>0.15050000000000002</v>
      </c>
      <c r="I102" s="88">
        <f>0.1983-F101</f>
        <v>0.15310000000000001</v>
      </c>
      <c r="J102" s="88">
        <f>0.1185-G101</f>
        <v>7.3999999999999996E-2</v>
      </c>
      <c r="K102" s="88">
        <f>0.1213-G101</f>
        <v>7.6800000000000007E-2</v>
      </c>
      <c r="L102" s="88">
        <f t="shared" si="27"/>
        <v>1.7136142625607784E-2</v>
      </c>
      <c r="M102" s="88">
        <f t="shared" si="28"/>
        <v>1.7282982171799029E-2</v>
      </c>
      <c r="N102" s="88">
        <f t="shared" si="29"/>
        <v>1.7209562398703408E-2</v>
      </c>
      <c r="O102" s="88">
        <f>'Growth curves CeBER'!G55</f>
        <v>0.77400000000000002</v>
      </c>
      <c r="P102" s="88">
        <f t="shared" si="30"/>
        <v>0.95465160000000004</v>
      </c>
      <c r="Q102" s="89">
        <f>P102*0.25/1000</f>
        <v>2.3866290000000001E-4</v>
      </c>
      <c r="R102" s="90">
        <f t="shared" si="31"/>
        <v>36.054121521827248</v>
      </c>
      <c r="S102" s="91"/>
      <c r="T102" s="92"/>
      <c r="U102" s="92"/>
      <c r="V102" s="92">
        <f t="shared" si="32"/>
        <v>34.419124797406816</v>
      </c>
      <c r="W102" s="108"/>
      <c r="X102" s="92"/>
      <c r="Y102" s="92"/>
      <c r="Z102" s="92">
        <f>(V102-$V$96)/(D101-$D$95)</f>
        <v>0.29706130646184209</v>
      </c>
      <c r="AA102" s="108"/>
      <c r="AB102" s="115"/>
      <c r="AD102" s="93">
        <f>D119</f>
        <v>312.08333333333331</v>
      </c>
      <c r="AE102" s="92">
        <v>82.417356643109173</v>
      </c>
      <c r="AF102" s="92">
        <f>U121</f>
        <v>3.8119478493206183</v>
      </c>
      <c r="AG102" s="92">
        <v>168.50284268414484</v>
      </c>
      <c r="AH102" s="92">
        <f>Y121</f>
        <v>7.4934451719551278</v>
      </c>
    </row>
    <row r="103" spans="2:34" x14ac:dyDescent="0.2">
      <c r="B103" s="208"/>
      <c r="C103" s="209"/>
      <c r="D103" s="210"/>
      <c r="E103" s="95" t="s">
        <v>96</v>
      </c>
      <c r="F103" s="204"/>
      <c r="G103" s="207"/>
      <c r="H103" s="96">
        <f>0.1612-F101</f>
        <v>0.11600000000000002</v>
      </c>
      <c r="I103" s="98">
        <f>0.189-F101</f>
        <v>0.14380000000000001</v>
      </c>
      <c r="J103" s="98">
        <f>0.1035-G101</f>
        <v>5.8999999999999997E-2</v>
      </c>
      <c r="K103" s="98">
        <f>0.1311-G101</f>
        <v>8.6599999999999996E-2</v>
      </c>
      <c r="L103" s="88">
        <f t="shared" si="27"/>
        <v>1.3015397082658026E-2</v>
      </c>
      <c r="M103" s="88">
        <f t="shared" si="28"/>
        <v>1.4814748784440845E-2</v>
      </c>
      <c r="N103" s="98">
        <f t="shared" si="29"/>
        <v>1.3915072933549436E-2</v>
      </c>
      <c r="O103" s="98">
        <f>'Growth curves CeBER'!H55</f>
        <v>0.73399999999999999</v>
      </c>
      <c r="P103" s="98">
        <f t="shared" si="30"/>
        <v>0.9053156</v>
      </c>
      <c r="Q103" s="99">
        <f>P103*0.25/1000</f>
        <v>2.2632889999999999E-4</v>
      </c>
      <c r="R103" s="100">
        <f t="shared" si="31"/>
        <v>30.740822169748178</v>
      </c>
      <c r="S103" s="101">
        <f>AVERAGE(R101:R103)</f>
        <v>35.784855047553314</v>
      </c>
      <c r="T103" s="102">
        <f>STDEV(R101:R103)</f>
        <v>4.9149347053056589</v>
      </c>
      <c r="U103" s="102">
        <f>T103/SQRT(3)</f>
        <v>2.8376388751576562</v>
      </c>
      <c r="V103" s="102">
        <f t="shared" si="32"/>
        <v>27.830145867098874</v>
      </c>
      <c r="W103" s="101">
        <f t="shared" si="33"/>
        <v>35.2740410588871</v>
      </c>
      <c r="X103" s="102">
        <f t="shared" si="34"/>
        <v>7.9060966657817735</v>
      </c>
      <c r="Y103" s="102">
        <f t="shared" si="35"/>
        <v>4.5645870382283098</v>
      </c>
      <c r="Z103" s="102">
        <f>(V103-$V$97)/(D101-$D$95)</f>
        <v>0.22733366218025516</v>
      </c>
      <c r="AA103" s="101">
        <f t="shared" ref="AA103:AA136" si="36">AVERAGE(Z101:Z103)</f>
        <v>0.30351941371291674</v>
      </c>
      <c r="AB103" s="109">
        <f t="shared" ref="AB103:AB136" si="37">STDEV(Z101:Z103)/SQRT(3)</f>
        <v>4.5963723522884296E-2</v>
      </c>
      <c r="AD103" s="93">
        <f>D122</f>
        <v>336.08333333333331</v>
      </c>
      <c r="AE103" s="92">
        <v>78.475359999999995</v>
      </c>
      <c r="AF103" s="92">
        <f>U124</f>
        <v>2.0142388449098201</v>
      </c>
      <c r="AG103" s="92">
        <v>162.78899999999999</v>
      </c>
      <c r="AH103" s="92">
        <f>Y124</f>
        <v>11.898041383086543</v>
      </c>
    </row>
    <row r="104" spans="2:34" x14ac:dyDescent="0.2">
      <c r="B104" s="193" t="s">
        <v>30</v>
      </c>
      <c r="C104" s="196">
        <v>0.52430555555555558</v>
      </c>
      <c r="D104" s="199">
        <v>191.35</v>
      </c>
      <c r="E104" s="85" t="s">
        <v>94</v>
      </c>
      <c r="F104" s="202">
        <v>3.6400000000000002E-2</v>
      </c>
      <c r="G104" s="205">
        <v>3.5099999999999999E-2</v>
      </c>
      <c r="H104" s="106">
        <f>0.1605-F104</f>
        <v>0.1241</v>
      </c>
      <c r="I104" s="110">
        <f>0.16-F104</f>
        <v>0.1236</v>
      </c>
      <c r="J104" s="110">
        <f>0.1125-G104</f>
        <v>7.7399999999999997E-2</v>
      </c>
      <c r="K104" s="110">
        <f>0.1107-G104</f>
        <v>7.5600000000000001E-2</v>
      </c>
      <c r="L104" s="88">
        <f t="shared" si="27"/>
        <v>1.2523987034035658E-2</v>
      </c>
      <c r="M104" s="88">
        <f t="shared" si="28"/>
        <v>1.2619448946515397E-2</v>
      </c>
      <c r="N104" s="88">
        <f t="shared" si="29"/>
        <v>1.2571717990275528E-2</v>
      </c>
      <c r="O104" s="88">
        <f>'Growth curves CeBER'!F57</f>
        <v>1.208</v>
      </c>
      <c r="P104" s="88">
        <f t="shared" si="30"/>
        <v>1.4899472</v>
      </c>
      <c r="Q104" s="111">
        <f t="shared" ref="Q104:Q112" si="38">O104*0.125/1000</f>
        <v>1.5099999999999998E-4</v>
      </c>
      <c r="R104" s="90">
        <f t="shared" si="31"/>
        <v>41.628205265813008</v>
      </c>
      <c r="S104" s="108"/>
      <c r="T104" s="92"/>
      <c r="U104" s="92"/>
      <c r="V104" s="92">
        <f t="shared" si="32"/>
        <v>62.023827876823347</v>
      </c>
      <c r="W104" s="108"/>
      <c r="X104" s="92"/>
      <c r="Y104" s="92"/>
      <c r="Z104" s="92">
        <f>(V104-$V$95)/(D104-$D$95)</f>
        <v>0.32945518205305141</v>
      </c>
      <c r="AA104" s="108"/>
      <c r="AB104" s="115"/>
      <c r="AD104" s="93">
        <f>D125</f>
        <v>360.08333333333331</v>
      </c>
      <c r="AE104" s="92">
        <v>74.785245599999996</v>
      </c>
      <c r="AF104" s="92">
        <f>U127</f>
        <v>8.0433576938829852</v>
      </c>
      <c r="AG104" s="92">
        <v>192.57679999999999</v>
      </c>
      <c r="AH104" s="92">
        <f>Y127</f>
        <v>21.697039644221956</v>
      </c>
    </row>
    <row r="105" spans="2:34" x14ac:dyDescent="0.2">
      <c r="B105" s="194"/>
      <c r="C105" s="197"/>
      <c r="D105" s="200"/>
      <c r="E105" s="85" t="s">
        <v>95</v>
      </c>
      <c r="F105" s="203"/>
      <c r="G105" s="206"/>
      <c r="H105" s="86">
        <f>0.1601-F104</f>
        <v>0.12369999999999999</v>
      </c>
      <c r="I105" s="88">
        <f>0.1469-F104</f>
        <v>0.1105</v>
      </c>
      <c r="J105" s="88">
        <f>0.1111-G104</f>
        <v>7.6000000000000012E-2</v>
      </c>
      <c r="K105" s="88">
        <f>0.0977-G104</f>
        <v>6.2599999999999989E-2</v>
      </c>
      <c r="L105" s="88">
        <f t="shared" si="27"/>
        <v>1.2596434359805508E-2</v>
      </c>
      <c r="M105" s="88">
        <f t="shared" si="28"/>
        <v>1.1770988654781201E-2</v>
      </c>
      <c r="N105" s="88">
        <f t="shared" si="29"/>
        <v>1.2183711507293355E-2</v>
      </c>
      <c r="O105" s="88">
        <f>'Growth curves CeBER'!G57</f>
        <v>1.288</v>
      </c>
      <c r="P105" s="88">
        <f t="shared" si="30"/>
        <v>1.5886192000000001</v>
      </c>
      <c r="Q105" s="89">
        <f t="shared" si="38"/>
        <v>1.6100000000000001E-4</v>
      </c>
      <c r="R105" s="90">
        <f t="shared" si="31"/>
        <v>37.837613376687436</v>
      </c>
      <c r="S105" s="91"/>
      <c r="T105" s="92"/>
      <c r="U105" s="92"/>
      <c r="V105" s="92">
        <f t="shared" si="32"/>
        <v>60.109559092382497</v>
      </c>
      <c r="W105" s="108"/>
      <c r="X105" s="92"/>
      <c r="Y105" s="92"/>
      <c r="Z105" s="92">
        <f>(V105-$V$96)/(D104-$D$95)</f>
        <v>0.32173550196575579</v>
      </c>
      <c r="AA105" s="108"/>
      <c r="AB105" s="115"/>
      <c r="AD105" s="93">
        <f>D128</f>
        <v>384.08333333333331</v>
      </c>
      <c r="AE105" s="92">
        <v>79.364559999999997</v>
      </c>
      <c r="AF105" s="92">
        <f>U130</f>
        <v>2.433607294251229</v>
      </c>
      <c r="AG105" s="92">
        <v>187.7859</v>
      </c>
      <c r="AH105" s="92">
        <f>Y130</f>
        <v>8.9487967295856201</v>
      </c>
    </row>
    <row r="106" spans="2:34" x14ac:dyDescent="0.2">
      <c r="B106" s="208"/>
      <c r="C106" s="209"/>
      <c r="D106" s="210"/>
      <c r="E106" s="95" t="s">
        <v>96</v>
      </c>
      <c r="F106" s="204"/>
      <c r="G106" s="207"/>
      <c r="H106" s="96"/>
      <c r="I106" s="98"/>
      <c r="J106" s="98"/>
      <c r="K106" s="98"/>
      <c r="L106" s="88">
        <f t="shared" si="27"/>
        <v>0</v>
      </c>
      <c r="M106" s="88">
        <f t="shared" si="28"/>
        <v>0</v>
      </c>
      <c r="N106" s="98">
        <f t="shared" si="29"/>
        <v>0</v>
      </c>
      <c r="O106" s="98">
        <f>'Growth curves CeBER'!H57</f>
        <v>1.3440000000000001</v>
      </c>
      <c r="P106" s="98">
        <f t="shared" si="30"/>
        <v>1.6576896000000001</v>
      </c>
      <c r="Q106" s="99">
        <f t="shared" si="38"/>
        <v>1.6800000000000002E-4</v>
      </c>
      <c r="R106" s="100">
        <f t="shared" si="31"/>
        <v>0</v>
      </c>
      <c r="S106" s="101">
        <f>AVERAGE(R104:R106)</f>
        <v>26.488606214166811</v>
      </c>
      <c r="T106" s="102">
        <f>STDEV(R104:R106)</f>
        <v>23.017967788107924</v>
      </c>
      <c r="U106" s="102">
        <f>T106/SQRT(3)</f>
        <v>13.289429898662245</v>
      </c>
      <c r="V106" s="102">
        <f t="shared" si="32"/>
        <v>0</v>
      </c>
      <c r="W106" s="101">
        <f t="shared" si="33"/>
        <v>40.711128989735279</v>
      </c>
      <c r="X106" s="102">
        <f t="shared" si="34"/>
        <v>35.269861411110192</v>
      </c>
      <c r="Y106" s="102">
        <f t="shared" si="35"/>
        <v>20.363063979985263</v>
      </c>
      <c r="Z106" s="102">
        <f>(V106-$V$97)/(D104-$D$95)</f>
        <v>-3.5904969751432203E-2</v>
      </c>
      <c r="AA106" s="101">
        <f t="shared" si="36"/>
        <v>0.205095238089125</v>
      </c>
      <c r="AB106" s="109">
        <f t="shared" si="37"/>
        <v>0.12052070845509825</v>
      </c>
      <c r="AD106" s="93">
        <f>D131</f>
        <v>408.08333333333331</v>
      </c>
      <c r="AE106" s="92">
        <v>72.895629999999997</v>
      </c>
      <c r="AF106" s="92">
        <f>U133</f>
        <v>4.3029296334367295</v>
      </c>
      <c r="AG106" s="92">
        <v>199.8657</v>
      </c>
      <c r="AH106" s="92">
        <f>Y133</f>
        <v>12.838065267183874</v>
      </c>
    </row>
    <row r="107" spans="2:34" x14ac:dyDescent="0.2">
      <c r="B107" s="193" t="s">
        <v>31</v>
      </c>
      <c r="C107" s="196">
        <v>0.56319444444444444</v>
      </c>
      <c r="D107" s="199">
        <v>216.28333333333333</v>
      </c>
      <c r="E107" s="85" t="s">
        <v>94</v>
      </c>
      <c r="F107" s="202">
        <f>(0.0517+0.038+0.0419)/3</f>
        <v>4.3866666666666665E-2</v>
      </c>
      <c r="G107" s="205">
        <f>(0.0509+0.0369+0.0407)/3</f>
        <v>4.2833333333333334E-2</v>
      </c>
      <c r="H107" s="86">
        <f>0.2859-F107</f>
        <v>0.24203333333333332</v>
      </c>
      <c r="I107" s="88">
        <f>0.2406-F107</f>
        <v>0.19673333333333334</v>
      </c>
      <c r="J107" s="88">
        <f>0.1975-G107</f>
        <v>0.15466666666666667</v>
      </c>
      <c r="K107" s="88">
        <f>0.1501-G107</f>
        <v>0.10726666666666668</v>
      </c>
      <c r="L107" s="88">
        <f t="shared" si="27"/>
        <v>2.4061588330632089E-2</v>
      </c>
      <c r="M107" s="88">
        <f t="shared" si="28"/>
        <v>2.136742301458671E-2</v>
      </c>
      <c r="N107" s="88">
        <f t="shared" si="29"/>
        <v>2.2714505672609402E-2</v>
      </c>
      <c r="O107" s="88">
        <f>'Growth curves CeBER'!F58</f>
        <v>1.4339999999999999</v>
      </c>
      <c r="P107" s="88">
        <f t="shared" si="30"/>
        <v>1.7686956</v>
      </c>
      <c r="Q107" s="111">
        <f t="shared" si="38"/>
        <v>1.7924999999999999E-4</v>
      </c>
      <c r="R107" s="90">
        <f t="shared" si="31"/>
        <v>63.359848459161512</v>
      </c>
      <c r="S107" s="91"/>
      <c r="V107" s="92">
        <f t="shared" si="32"/>
        <v>112.06428518638575</v>
      </c>
      <c r="W107" s="108"/>
      <c r="X107" s="92"/>
      <c r="Y107" s="92"/>
      <c r="Z107" s="92">
        <f>(V107-$V$95)/(D107-$D$95)</f>
        <v>0.54587140197564354</v>
      </c>
      <c r="AA107" s="108"/>
      <c r="AB107" s="115"/>
      <c r="AD107" s="93">
        <f>D134</f>
        <v>432.25</v>
      </c>
      <c r="AE107" s="92">
        <v>68.158749348958693</v>
      </c>
      <c r="AF107" s="92">
        <f>U136</f>
        <v>5.278322863624819</v>
      </c>
      <c r="AG107" s="92">
        <v>212.04648356221392</v>
      </c>
      <c r="AH107" s="92">
        <f>Y136</f>
        <v>24.72395101391993</v>
      </c>
    </row>
    <row r="108" spans="2:34" ht="15" customHeight="1" x14ac:dyDescent="0.2">
      <c r="B108" s="194"/>
      <c r="C108" s="197"/>
      <c r="D108" s="200"/>
      <c r="E108" s="85" t="s">
        <v>95</v>
      </c>
      <c r="F108" s="203"/>
      <c r="G108" s="206"/>
      <c r="H108" s="86">
        <f>0.2089-F107</f>
        <v>0.16503333333333334</v>
      </c>
      <c r="I108" s="88">
        <f>0.2082-F107</f>
        <v>0.16433333333333333</v>
      </c>
      <c r="J108" s="88">
        <f>0.1348-G107</f>
        <v>9.1966666666666669E-2</v>
      </c>
      <c r="K108" s="88">
        <f>0.1328-G107</f>
        <v>8.9966666666666667E-2</v>
      </c>
      <c r="L108" s="88">
        <f t="shared" si="27"/>
        <v>1.7729902755267424E-2</v>
      </c>
      <c r="M108" s="88">
        <f t="shared" si="28"/>
        <v>1.7812560777957859E-2</v>
      </c>
      <c r="N108" s="88">
        <f t="shared" si="29"/>
        <v>1.777123176661264E-2</v>
      </c>
      <c r="O108" s="88">
        <f>'Growth curves CeBER'!G58</f>
        <v>1.448</v>
      </c>
      <c r="P108" s="88">
        <f t="shared" si="30"/>
        <v>1.7859632000000001</v>
      </c>
      <c r="Q108" s="89">
        <f t="shared" si="38"/>
        <v>1.8099999999999998E-4</v>
      </c>
      <c r="R108" s="90">
        <f t="shared" si="31"/>
        <v>49.091800460255918</v>
      </c>
      <c r="S108" s="91"/>
      <c r="V108" s="92">
        <f t="shared" si="32"/>
        <v>87.676149043760134</v>
      </c>
      <c r="W108" s="108"/>
      <c r="X108" s="92"/>
      <c r="Y108" s="92"/>
      <c r="Z108" s="92">
        <f>(V108-$V$96)/(D107-$D$95)</f>
        <v>0.42286339832155845</v>
      </c>
      <c r="AA108" s="108"/>
      <c r="AB108" s="115"/>
      <c r="AD108" s="93"/>
      <c r="AE108" s="92"/>
      <c r="AF108" s="92"/>
      <c r="AG108" s="92"/>
      <c r="AH108" s="92"/>
    </row>
    <row r="109" spans="2:34" ht="15" customHeight="1" x14ac:dyDescent="0.2">
      <c r="B109" s="208"/>
      <c r="C109" s="209"/>
      <c r="D109" s="210"/>
      <c r="E109" s="95" t="s">
        <v>96</v>
      </c>
      <c r="F109" s="204"/>
      <c r="G109" s="207"/>
      <c r="H109" s="86">
        <f>0.208-F107</f>
        <v>0.16413333333333333</v>
      </c>
      <c r="I109" s="88">
        <f>0.2121-F107</f>
        <v>0.16823333333333335</v>
      </c>
      <c r="J109" s="88">
        <f>0.1352-G107</f>
        <v>9.2366666666666652E-2</v>
      </c>
      <c r="K109" s="88">
        <f>0.1372-G107</f>
        <v>9.4366666666666654E-2</v>
      </c>
      <c r="L109" s="88">
        <f t="shared" si="27"/>
        <v>1.754481361426256E-2</v>
      </c>
      <c r="M109" s="88"/>
      <c r="N109" s="98">
        <f t="shared" si="29"/>
        <v>1.754481361426256E-2</v>
      </c>
      <c r="O109" s="98">
        <f>'Growth curves CeBER'!H58</f>
        <v>1.4139999999999999</v>
      </c>
      <c r="P109" s="98">
        <f t="shared" si="30"/>
        <v>1.7440275999999999</v>
      </c>
      <c r="Q109" s="99">
        <f t="shared" si="38"/>
        <v>1.7674999999999999E-4</v>
      </c>
      <c r="R109" s="100">
        <f t="shared" si="31"/>
        <v>49.631721681082212</v>
      </c>
      <c r="S109" s="101">
        <f>AVERAGE(R107:R109)</f>
        <v>54.02779020016655</v>
      </c>
      <c r="T109" s="102">
        <f>STDEV(R107:R109)</f>
        <v>8.0863070831580011</v>
      </c>
      <c r="U109" s="102">
        <f>T109/SQRT(3)</f>
        <v>4.6686315712112494</v>
      </c>
      <c r="V109" s="102">
        <f t="shared" si="32"/>
        <v>86.559092447325767</v>
      </c>
      <c r="W109" s="101">
        <f t="shared" si="33"/>
        <v>95.43317555915722</v>
      </c>
      <c r="X109" s="102">
        <f t="shared" si="34"/>
        <v>14.413788864645511</v>
      </c>
      <c r="Y109" s="102">
        <f t="shared" si="35"/>
        <v>8.3218048810455159</v>
      </c>
      <c r="Z109" s="102">
        <f>(V109-$V$97)/(D107-$D$95)</f>
        <v>0.41660101348310463</v>
      </c>
      <c r="AA109" s="101">
        <f t="shared" si="36"/>
        <v>0.46177860459343556</v>
      </c>
      <c r="AB109" s="109">
        <f t="shared" si="37"/>
        <v>4.208524402780614E-2</v>
      </c>
      <c r="AD109" s="93"/>
      <c r="AE109" s="92"/>
      <c r="AF109" s="92"/>
      <c r="AG109" s="92"/>
      <c r="AH109" s="92"/>
    </row>
    <row r="110" spans="2:34" x14ac:dyDescent="0.2">
      <c r="B110" s="193" t="s">
        <v>38</v>
      </c>
      <c r="C110" s="196">
        <v>0.55902777777777779</v>
      </c>
      <c r="D110" s="199">
        <v>240.18333333333334</v>
      </c>
      <c r="E110" s="85" t="s">
        <v>94</v>
      </c>
      <c r="F110" s="202">
        <f>0.0468</f>
        <v>4.6800000000000001E-2</v>
      </c>
      <c r="G110" s="205">
        <v>4.5199999999999997E-2</v>
      </c>
      <c r="H110" s="86">
        <f>0.3921-F110</f>
        <v>0.3453</v>
      </c>
      <c r="I110" s="88">
        <f>0.3652-F110</f>
        <v>0.31840000000000002</v>
      </c>
      <c r="J110" s="88">
        <f>0.2702-G110</f>
        <v>0.22500000000000001</v>
      </c>
      <c r="K110" s="88">
        <f>0.2409-G110</f>
        <v>0.19570000000000001</v>
      </c>
      <c r="L110" s="88">
        <f t="shared" si="27"/>
        <v>3.3901944894651537E-2</v>
      </c>
      <c r="M110" s="88">
        <f>(I110-(0.605*K110))/6.17</f>
        <v>3.2415153970826581E-2</v>
      </c>
      <c r="N110" s="88">
        <f t="shared" si="29"/>
        <v>3.3158549432739062E-2</v>
      </c>
      <c r="O110" s="88">
        <f>'Growth curves CeBER'!F59</f>
        <v>1.6419999999999999</v>
      </c>
      <c r="P110" s="88">
        <f t="shared" si="30"/>
        <v>2.0252428</v>
      </c>
      <c r="Q110" s="89">
        <f t="shared" si="38"/>
        <v>2.0524999999999997E-4</v>
      </c>
      <c r="R110" s="90">
        <f t="shared" si="31"/>
        <v>80.776003490229144</v>
      </c>
      <c r="S110" s="91"/>
      <c r="V110" s="92">
        <f t="shared" si="32"/>
        <v>163.59101948136146</v>
      </c>
      <c r="W110" s="108"/>
      <c r="X110" s="92"/>
      <c r="Y110" s="92"/>
      <c r="Z110" s="92">
        <f>(V110-$V$95)/(D110-$D$95)</f>
        <v>0.72306437720706873</v>
      </c>
      <c r="AA110" s="108"/>
      <c r="AB110" s="115"/>
      <c r="AD110" s="93"/>
      <c r="AE110" s="92"/>
      <c r="AF110" s="92"/>
      <c r="AG110" s="92"/>
      <c r="AH110" s="92"/>
    </row>
    <row r="111" spans="2:34" x14ac:dyDescent="0.2">
      <c r="B111" s="194"/>
      <c r="C111" s="197"/>
      <c r="D111" s="200"/>
      <c r="E111" s="85" t="s">
        <v>95</v>
      </c>
      <c r="F111" s="203"/>
      <c r="G111" s="206"/>
      <c r="H111" s="86">
        <f>0.3483-F110</f>
        <v>0.30149999999999999</v>
      </c>
      <c r="I111" s="88">
        <f>0.3492-F110</f>
        <v>0.3024</v>
      </c>
      <c r="J111" s="88">
        <f>0.2451-G110</f>
        <v>0.19990000000000002</v>
      </c>
      <c r="K111" s="88">
        <f>0.2453-G110</f>
        <v>0.2001</v>
      </c>
      <c r="L111" s="88">
        <f t="shared" si="27"/>
        <v>2.9264262560777955E-2</v>
      </c>
      <c r="M111" s="88">
        <f t="shared" ref="M111:M135" si="39">(I111-(0.605*K111))/6.17</f>
        <v>2.9390518638573743E-2</v>
      </c>
      <c r="N111" s="88">
        <f t="shared" si="29"/>
        <v>2.9327390599675849E-2</v>
      </c>
      <c r="O111" s="88">
        <f>'Growth curves CeBER'!G59</f>
        <v>1.6659999999999999</v>
      </c>
      <c r="P111" s="88">
        <f t="shared" si="30"/>
        <v>2.0548443999999999</v>
      </c>
      <c r="Q111" s="89">
        <f t="shared" si="38"/>
        <v>2.0824999999999999E-4</v>
      </c>
      <c r="R111" s="90">
        <f t="shared" si="31"/>
        <v>70.413903000422209</v>
      </c>
      <c r="S111" s="91"/>
      <c r="V111" s="92">
        <f t="shared" si="32"/>
        <v>144.68961426256078</v>
      </c>
      <c r="W111" s="108"/>
      <c r="X111" s="92"/>
      <c r="Y111" s="92"/>
      <c r="Z111" s="92">
        <f>(V111-$V$96)/(D110-$D$95)</f>
        <v>0.63885893170106145</v>
      </c>
      <c r="AA111" s="108"/>
      <c r="AB111" s="115"/>
      <c r="AD111" s="93"/>
      <c r="AE111" s="92"/>
      <c r="AF111" s="92"/>
      <c r="AG111" s="92"/>
      <c r="AH111" s="92"/>
    </row>
    <row r="112" spans="2:34" x14ac:dyDescent="0.2">
      <c r="B112" s="208"/>
      <c r="C112" s="209"/>
      <c r="D112" s="210"/>
      <c r="E112" s="95" t="s">
        <v>96</v>
      </c>
      <c r="F112" s="204"/>
      <c r="G112" s="207"/>
      <c r="H112" s="96">
        <f>0.3593-F110</f>
        <v>0.3125</v>
      </c>
      <c r="I112" s="98">
        <f>0.4844-F110</f>
        <v>0.43759999999999999</v>
      </c>
      <c r="J112" s="98">
        <f>0.2381-G110</f>
        <v>0.19290000000000002</v>
      </c>
      <c r="K112" s="98">
        <f>0.3596-G110</f>
        <v>0.31439999999999996</v>
      </c>
      <c r="L112" s="88">
        <f t="shared" si="27"/>
        <v>3.1733468395461914E-2</v>
      </c>
      <c r="M112" s="88">
        <f t="shared" si="39"/>
        <v>4.0095299837925452E-2</v>
      </c>
      <c r="N112" s="98">
        <f t="shared" si="29"/>
        <v>3.5914384116693683E-2</v>
      </c>
      <c r="O112" s="98">
        <f>'Growth curves CeBER'!H59</f>
        <v>1.6479999999999999</v>
      </c>
      <c r="P112" s="98">
        <f t="shared" si="30"/>
        <v>2.0326431999999999</v>
      </c>
      <c r="Q112" s="99">
        <f t="shared" si="38"/>
        <v>2.0599999999999999E-4</v>
      </c>
      <c r="R112" s="100">
        <f t="shared" si="31"/>
        <v>87.170835234693413</v>
      </c>
      <c r="S112" s="101">
        <f>AVERAGE(R110:R112)</f>
        <v>79.453580575114927</v>
      </c>
      <c r="T112" s="102">
        <f>STDEV(R110:R112)</f>
        <v>8.4563760708002889</v>
      </c>
      <c r="U112" s="102">
        <f>T112/SQRT(3)</f>
        <v>4.8822910008452567</v>
      </c>
      <c r="V112" s="102">
        <f t="shared" si="32"/>
        <v>177.18720547811995</v>
      </c>
      <c r="W112" s="101">
        <f t="shared" si="33"/>
        <v>161.82261307401407</v>
      </c>
      <c r="X112" s="102">
        <f t="shared" si="34"/>
        <v>16.320808945011198</v>
      </c>
      <c r="Y112" s="102">
        <f t="shared" si="35"/>
        <v>9.4228234377946674</v>
      </c>
      <c r="Z112" s="102">
        <f>(V112-$V$97)/(D110-$D$95)</f>
        <v>0.78807307246337155</v>
      </c>
      <c r="AA112" s="101">
        <f t="shared" si="36"/>
        <v>0.71666546045716728</v>
      </c>
      <c r="AB112" s="109">
        <f t="shared" si="37"/>
        <v>4.3193072563926078E-2</v>
      </c>
    </row>
    <row r="113" spans="2:34" x14ac:dyDescent="0.2">
      <c r="B113" s="193" t="s">
        <v>39</v>
      </c>
      <c r="C113" s="196">
        <v>0.55902777777777779</v>
      </c>
      <c r="D113" s="199">
        <v>264.18333333333334</v>
      </c>
      <c r="E113" s="85" t="s">
        <v>94</v>
      </c>
      <c r="F113" s="202">
        <v>4.4299999999999999E-2</v>
      </c>
      <c r="G113" s="205">
        <v>4.3999999999999997E-2</v>
      </c>
      <c r="H113" s="86">
        <f>0.2157-F113</f>
        <v>0.1714</v>
      </c>
      <c r="I113" s="88">
        <f>0.209-F113</f>
        <v>0.16469999999999999</v>
      </c>
      <c r="J113" s="88">
        <f>0.1458-G113</f>
        <v>0.10180000000000002</v>
      </c>
      <c r="K113" s="88">
        <f>0.1384-G113</f>
        <v>9.4399999999999998E-2</v>
      </c>
      <c r="L113" s="88">
        <f t="shared" si="27"/>
        <v>1.7797568881685575E-2</v>
      </c>
      <c r="M113" s="88">
        <f t="shared" si="39"/>
        <v>1.7437277147487842E-2</v>
      </c>
      <c r="N113" s="88">
        <f t="shared" si="29"/>
        <v>1.7617423014586707E-2</v>
      </c>
      <c r="O113" s="88">
        <f>'Growth curves CeBER'!F60</f>
        <v>1.798</v>
      </c>
      <c r="P113" s="88">
        <f t="shared" si="30"/>
        <v>2.2176532</v>
      </c>
      <c r="Q113" s="111">
        <f>O113*0.1/1000</f>
        <v>1.7980000000000001E-4</v>
      </c>
      <c r="R113" s="90">
        <f t="shared" si="31"/>
        <v>48.991721397627103</v>
      </c>
      <c r="S113" s="91"/>
      <c r="V113" s="92">
        <f t="shared" si="32"/>
        <v>108.64664773095622</v>
      </c>
      <c r="W113" s="108"/>
      <c r="X113" s="92"/>
      <c r="Y113" s="92"/>
      <c r="Z113" s="92">
        <f>(V113-$V$95)/(D113-$D$95)</f>
        <v>0.42328034070378651</v>
      </c>
      <c r="AA113" s="108"/>
      <c r="AB113" s="115"/>
      <c r="AE113" s="92"/>
      <c r="AF113" s="92"/>
      <c r="AG113" s="92"/>
      <c r="AH113" s="92"/>
    </row>
    <row r="114" spans="2:34" x14ac:dyDescent="0.2">
      <c r="B114" s="194"/>
      <c r="C114" s="197"/>
      <c r="D114" s="200"/>
      <c r="E114" s="85" t="s">
        <v>95</v>
      </c>
      <c r="F114" s="203"/>
      <c r="G114" s="206"/>
      <c r="H114" s="86">
        <f>0.229-F113</f>
        <v>0.1847</v>
      </c>
      <c r="I114" s="88">
        <f>0.2417-F113</f>
        <v>0.19739999999999999</v>
      </c>
      <c r="J114" s="88">
        <f>0.1606-G113</f>
        <v>0.1166</v>
      </c>
      <c r="K114" s="88">
        <f>0.1708-G113</f>
        <v>0.12680000000000002</v>
      </c>
      <c r="L114" s="88">
        <f t="shared" si="27"/>
        <v>1.850194489465154E-2</v>
      </c>
      <c r="M114" s="88">
        <f t="shared" si="39"/>
        <v>1.9560129659643433E-2</v>
      </c>
      <c r="N114" s="88">
        <f t="shared" si="29"/>
        <v>1.9031037277147486E-2</v>
      </c>
      <c r="O114" s="88">
        <f>'Growth curves CeBER'!G60</f>
        <v>1.804</v>
      </c>
      <c r="P114" s="88">
        <f t="shared" si="30"/>
        <v>2.2250536000000003</v>
      </c>
      <c r="Q114" s="89">
        <f>O114*0.1/1000</f>
        <v>1.8039999999999999E-4</v>
      </c>
      <c r="R114" s="90">
        <f t="shared" si="31"/>
        <v>52.746777375685937</v>
      </c>
      <c r="S114" s="91"/>
      <c r="V114" s="92">
        <f t="shared" si="32"/>
        <v>117.36440688816856</v>
      </c>
      <c r="W114" s="108"/>
      <c r="X114" s="92"/>
      <c r="Y114" s="92"/>
      <c r="Z114" s="92">
        <f>(V114-$V$96)/(D113-$D$95)</f>
        <v>0.46197784641335843</v>
      </c>
      <c r="AA114" s="108"/>
      <c r="AB114" s="115"/>
      <c r="AE114" s="92"/>
      <c r="AF114" s="92"/>
      <c r="AG114" s="92"/>
      <c r="AH114" s="92"/>
    </row>
    <row r="115" spans="2:34" x14ac:dyDescent="0.2">
      <c r="B115" s="208"/>
      <c r="C115" s="209"/>
      <c r="D115" s="210"/>
      <c r="E115" s="95" t="s">
        <v>96</v>
      </c>
      <c r="F115" s="204"/>
      <c r="G115" s="207"/>
      <c r="H115" s="96">
        <f>0.2533-F113</f>
        <v>0.20900000000000002</v>
      </c>
      <c r="I115" s="98">
        <f>0.2541-F113</f>
        <v>0.20979999999999999</v>
      </c>
      <c r="J115" s="98">
        <f>0.1885-G113</f>
        <v>0.14450000000000002</v>
      </c>
      <c r="K115" s="98">
        <f>0.1892-G113</f>
        <v>0.1452</v>
      </c>
      <c r="L115" s="88">
        <f t="shared" si="27"/>
        <v>1.9704619124797408E-2</v>
      </c>
      <c r="M115" s="88">
        <f t="shared" si="39"/>
        <v>1.9765640194489464E-2</v>
      </c>
      <c r="N115" s="98">
        <f t="shared" si="29"/>
        <v>1.9735129659643434E-2</v>
      </c>
      <c r="O115" s="98">
        <f>'Growth curves CeBER'!H60</f>
        <v>1.8260000000000001</v>
      </c>
      <c r="P115" s="98">
        <f t="shared" si="30"/>
        <v>2.2521884000000001</v>
      </c>
      <c r="Q115" s="99">
        <f>O115*0.1/1000</f>
        <v>1.8260000000000002E-4</v>
      </c>
      <c r="R115" s="100">
        <f t="shared" si="31"/>
        <v>54.039237841301841</v>
      </c>
      <c r="S115" s="101">
        <f>AVERAGE(R113:R115)</f>
        <v>51.925912204871622</v>
      </c>
      <c r="T115" s="102">
        <f>STDEV(R113:R115)</f>
        <v>2.621968780093257</v>
      </c>
      <c r="U115" s="102">
        <f>T115/SQRT(3)</f>
        <v>1.5137943809936367</v>
      </c>
      <c r="V115" s="102">
        <f t="shared" si="32"/>
        <v>121.70654461102104</v>
      </c>
      <c r="W115" s="101">
        <f t="shared" si="33"/>
        <v>115.9058664100486</v>
      </c>
      <c r="X115" s="102">
        <f t="shared" si="34"/>
        <v>6.6509948033521678</v>
      </c>
      <c r="Y115" s="102">
        <f t="shared" si="35"/>
        <v>3.8399536400941763</v>
      </c>
      <c r="Z115" s="102">
        <f>(V115-$V$97)/(D113-$D$95)</f>
        <v>0.4795958868121491</v>
      </c>
      <c r="AA115" s="101">
        <f t="shared" si="36"/>
        <v>0.45495135797643133</v>
      </c>
      <c r="AB115" s="109">
        <f t="shared" si="37"/>
        <v>1.6632186047805829E-2</v>
      </c>
    </row>
    <row r="116" spans="2:34" x14ac:dyDescent="0.2">
      <c r="B116" s="193" t="s">
        <v>40</v>
      </c>
      <c r="C116" s="196">
        <v>0.55902777777777779</v>
      </c>
      <c r="D116" s="199">
        <v>288.18333333333334</v>
      </c>
      <c r="E116" s="85" t="s">
        <v>94</v>
      </c>
      <c r="F116" s="202">
        <v>4.9299999999999997E-2</v>
      </c>
      <c r="G116" s="205">
        <v>4.8399999999999999E-2</v>
      </c>
      <c r="H116" s="86">
        <f>0.257-F116</f>
        <v>0.2077</v>
      </c>
      <c r="I116" s="88">
        <f>0.2498-F116</f>
        <v>0.20050000000000001</v>
      </c>
      <c r="J116" s="88">
        <f>0.1724-G116</f>
        <v>0.124</v>
      </c>
      <c r="K116" s="88">
        <f>0.1659-G116</f>
        <v>0.11749999999999999</v>
      </c>
      <c r="L116" s="88">
        <f t="shared" si="27"/>
        <v>2.1504051863857374E-2</v>
      </c>
      <c r="M116" s="88">
        <f t="shared" si="39"/>
        <v>2.0974473257698543E-2</v>
      </c>
      <c r="N116" s="88">
        <f t="shared" si="29"/>
        <v>2.1239262560777961E-2</v>
      </c>
      <c r="O116" s="88">
        <f>'Growth curves CeBER'!F61</f>
        <v>1.804</v>
      </c>
      <c r="P116" s="88">
        <f t="shared" si="30"/>
        <v>2.2250536000000003</v>
      </c>
      <c r="Q116" s="111">
        <f>P116*0.1/1000</f>
        <v>2.2250536000000004E-4</v>
      </c>
      <c r="R116" s="90">
        <f t="shared" si="31"/>
        <v>47.72753016102164</v>
      </c>
      <c r="S116" s="91"/>
      <c r="V116" s="92">
        <f t="shared" si="32"/>
        <v>106.1963128038898</v>
      </c>
      <c r="W116" s="108"/>
      <c r="X116" s="92"/>
      <c r="Y116" s="92"/>
      <c r="Z116" s="92">
        <f>(V116-$V$95)/(D116-$D$95)</f>
        <v>0.37572887708106883</v>
      </c>
      <c r="AA116" s="108"/>
      <c r="AB116" s="115"/>
    </row>
    <row r="117" spans="2:34" x14ac:dyDescent="0.2">
      <c r="B117" s="194"/>
      <c r="C117" s="197"/>
      <c r="D117" s="200"/>
      <c r="E117" s="85" t="s">
        <v>95</v>
      </c>
      <c r="F117" s="203"/>
      <c r="G117" s="206"/>
      <c r="H117" s="86">
        <f>0.259-F116</f>
        <v>0.2097</v>
      </c>
      <c r="I117" s="88">
        <f>0.2619-F116</f>
        <v>0.21260000000000001</v>
      </c>
      <c r="J117" s="88">
        <f>0.1715-G116</f>
        <v>0.12310000000000001</v>
      </c>
      <c r="K117" s="88">
        <f>0.174-G116</f>
        <v>0.12559999999999999</v>
      </c>
      <c r="L117" s="88">
        <f t="shared" si="27"/>
        <v>2.191645056726094E-2</v>
      </c>
      <c r="M117" s="88">
        <f t="shared" si="39"/>
        <v>2.2141329011345221E-2</v>
      </c>
      <c r="N117" s="88">
        <f t="shared" si="29"/>
        <v>2.2028889789303081E-2</v>
      </c>
      <c r="O117" s="88">
        <f>'Growth curves CeBER'!G61</f>
        <v>1.996</v>
      </c>
      <c r="P117" s="88">
        <f t="shared" si="30"/>
        <v>2.4618663999999999</v>
      </c>
      <c r="Q117" s="89">
        <f>P117*0.1/1000</f>
        <v>2.4618664000000001E-4</v>
      </c>
      <c r="R117" s="90">
        <f t="shared" si="31"/>
        <v>44.740221868463458</v>
      </c>
      <c r="S117" s="91"/>
      <c r="V117" s="92">
        <f t="shared" si="32"/>
        <v>110.1444489465154</v>
      </c>
      <c r="W117" s="108"/>
      <c r="X117" s="92"/>
      <c r="Y117" s="92"/>
      <c r="Z117" s="92">
        <f>(V117-$V$96)/(D116-$D$95)</f>
        <v>0.39293664117549382</v>
      </c>
      <c r="AA117" s="108"/>
      <c r="AB117" s="115"/>
    </row>
    <row r="118" spans="2:34" x14ac:dyDescent="0.2">
      <c r="B118" s="208"/>
      <c r="C118" s="209"/>
      <c r="D118" s="210"/>
      <c r="E118" s="95" t="s">
        <v>96</v>
      </c>
      <c r="F118" s="204"/>
      <c r="G118" s="207"/>
      <c r="H118" s="96">
        <f>0.2489-F116</f>
        <v>0.1996</v>
      </c>
      <c r="I118" s="98">
        <f>0.2571-F116</f>
        <v>0.20779999999999998</v>
      </c>
      <c r="J118" s="98">
        <f>0.1647-G116</f>
        <v>0.11630000000000001</v>
      </c>
      <c r="K118" s="98">
        <f>0.1733-G116</f>
        <v>0.12490000000000001</v>
      </c>
      <c r="L118" s="88">
        <f t="shared" si="27"/>
        <v>2.0946272285251213E-2</v>
      </c>
      <c r="M118" s="88">
        <f t="shared" si="39"/>
        <v>2.1432009724473254E-2</v>
      </c>
      <c r="N118" s="98">
        <f t="shared" si="29"/>
        <v>2.1189141004862234E-2</v>
      </c>
      <c r="O118" s="98">
        <f>'Growth curves CeBER'!H61</f>
        <v>2.004</v>
      </c>
      <c r="P118" s="98">
        <f t="shared" si="30"/>
        <v>2.4717336000000003</v>
      </c>
      <c r="Q118" s="99">
        <f>P118*0.1/1000</f>
        <v>2.4717336000000003E-4</v>
      </c>
      <c r="R118" s="100">
        <f t="shared" si="31"/>
        <v>42.862914119997058</v>
      </c>
      <c r="S118" s="101">
        <f>AVERAGE(R116:R118)</f>
        <v>45.110222049827392</v>
      </c>
      <c r="T118" s="102">
        <f>STDEV(R116:R118)</f>
        <v>2.4533237469411628</v>
      </c>
      <c r="U118" s="102">
        <f>T118/SQRT(3)</f>
        <v>1.4164271257057817</v>
      </c>
      <c r="V118" s="102">
        <f t="shared" si="32"/>
        <v>105.94570502431117</v>
      </c>
      <c r="W118" s="101">
        <f t="shared" si="33"/>
        <v>107.42882225823878</v>
      </c>
      <c r="X118" s="102">
        <f t="shared" si="34"/>
        <v>2.3551374264268472</v>
      </c>
      <c r="Y118" s="102">
        <f t="shared" si="35"/>
        <v>1.3597392271261028</v>
      </c>
      <c r="Z118" s="102">
        <f>(V118-$V$97)/(D116-$D$95)</f>
        <v>0.37675060383213105</v>
      </c>
      <c r="AA118" s="101">
        <f t="shared" si="36"/>
        <v>0.3818053740295646</v>
      </c>
      <c r="AB118" s="109">
        <f t="shared" si="37"/>
        <v>5.5734433579847208E-3</v>
      </c>
    </row>
    <row r="119" spans="2:34" x14ac:dyDescent="0.2">
      <c r="B119" s="193" t="s">
        <v>32</v>
      </c>
      <c r="C119" s="196">
        <v>0.55902777777777779</v>
      </c>
      <c r="D119" s="199">
        <v>312.08333333333331</v>
      </c>
      <c r="E119" s="85" t="s">
        <v>94</v>
      </c>
      <c r="F119" s="202">
        <f>(0.0534+0.0426)/2</f>
        <v>4.8000000000000001E-2</v>
      </c>
      <c r="G119" s="205">
        <f>(0.0518+0.0414)/2</f>
        <v>4.6600000000000003E-2</v>
      </c>
      <c r="H119" s="106">
        <f>0.2028-F119</f>
        <v>0.15479999999999999</v>
      </c>
      <c r="I119" s="110">
        <f>0.1998-F119</f>
        <v>0.15179999999999999</v>
      </c>
      <c r="J119" s="110">
        <f>0.1307-G119</f>
        <v>8.4100000000000008E-2</v>
      </c>
      <c r="K119" s="110">
        <f>0.1283-G119</f>
        <v>8.1699999999999995E-2</v>
      </c>
      <c r="L119" s="88">
        <f t="shared" si="27"/>
        <v>1.6842706645056726E-2</v>
      </c>
      <c r="M119" s="88">
        <f t="shared" si="39"/>
        <v>1.6591815235008106E-2</v>
      </c>
      <c r="N119" s="88">
        <f t="shared" si="29"/>
        <v>1.6717260940032418E-2</v>
      </c>
      <c r="O119" s="88">
        <f>'Growth curves CeBER'!F62</f>
        <v>1.994</v>
      </c>
      <c r="P119" s="88">
        <f t="shared" si="30"/>
        <v>2.4593996000000002</v>
      </c>
      <c r="Q119" s="111">
        <f t="shared" ref="Q119:Q124" si="40">P119*0.075/1000</f>
        <v>1.8445497000000002E-4</v>
      </c>
      <c r="R119" s="90">
        <f t="shared" si="31"/>
        <v>45.315290067902254</v>
      </c>
      <c r="S119" s="91"/>
      <c r="V119" s="92">
        <f t="shared" si="32"/>
        <v>111.44840626688278</v>
      </c>
      <c r="W119" s="108"/>
      <c r="X119" s="92"/>
      <c r="Y119" s="92"/>
      <c r="Z119" s="92">
        <f>(V119-$V$95)/(D119-$D$95)</f>
        <v>0.36283279763257525</v>
      </c>
      <c r="AA119" s="108"/>
      <c r="AB119" s="115"/>
    </row>
    <row r="120" spans="2:34" x14ac:dyDescent="0.2">
      <c r="B120" s="194"/>
      <c r="C120" s="197"/>
      <c r="D120" s="200"/>
      <c r="E120" s="85" t="s">
        <v>95</v>
      </c>
      <c r="F120" s="203"/>
      <c r="G120" s="206"/>
      <c r="H120" s="86">
        <f>0.173-F119</f>
        <v>0.12499999999999999</v>
      </c>
      <c r="I120" s="88">
        <f>0.161-F119</f>
        <v>0.113</v>
      </c>
      <c r="J120" s="88">
        <f>0.1175-G119</f>
        <v>7.0899999999999991E-2</v>
      </c>
      <c r="K120" s="88">
        <f>0.1065-G119</f>
        <v>5.9899999999999995E-2</v>
      </c>
      <c r="L120" s="88">
        <f t="shared" si="27"/>
        <v>1.3307212317666127E-2</v>
      </c>
      <c r="M120" s="88">
        <f t="shared" si="39"/>
        <v>1.2440923824959482E-2</v>
      </c>
      <c r="N120" s="88">
        <f t="shared" si="29"/>
        <v>1.2874068071312805E-2</v>
      </c>
      <c r="O120" s="88">
        <f>'Growth curves CeBER'!G62</f>
        <v>2.1640000000000001</v>
      </c>
      <c r="P120" s="88">
        <f t="shared" si="30"/>
        <v>2.6690776000000005</v>
      </c>
      <c r="Q120" s="89">
        <f t="shared" si="40"/>
        <v>2.0018082000000003E-4</v>
      </c>
      <c r="R120" s="90">
        <f t="shared" si="31"/>
        <v>32.15609785021563</v>
      </c>
      <c r="S120" s="91"/>
      <c r="V120" s="92">
        <f t="shared" si="32"/>
        <v>85.82712047541871</v>
      </c>
      <c r="W120" s="108"/>
      <c r="X120" s="92"/>
      <c r="Y120" s="92"/>
      <c r="Z120" s="92">
        <f>(V120-$V$96)/(D119-$D$95)</f>
        <v>0.2763250837659309</v>
      </c>
      <c r="AA120" s="108"/>
      <c r="AB120" s="115"/>
    </row>
    <row r="121" spans="2:34" x14ac:dyDescent="0.2">
      <c r="B121" s="208"/>
      <c r="C121" s="209"/>
      <c r="D121" s="210"/>
      <c r="E121" s="95" t="s">
        <v>96</v>
      </c>
      <c r="F121" s="204"/>
      <c r="G121" s="207"/>
      <c r="H121" s="86">
        <f>0.2034-F119</f>
        <v>0.15539999999999998</v>
      </c>
      <c r="I121" s="88">
        <f>0.1763-F119</f>
        <v>0.12830000000000003</v>
      </c>
      <c r="J121" s="88">
        <f>0.1369-G119</f>
        <v>9.0299999999999991E-2</v>
      </c>
      <c r="K121" s="88">
        <f>0.1124-G119</f>
        <v>6.5799999999999997E-2</v>
      </c>
      <c r="L121" s="88">
        <f t="shared" si="27"/>
        <v>1.6332009724473254E-2</v>
      </c>
      <c r="M121" s="88">
        <f t="shared" si="39"/>
        <v>1.4342139384116699E-2</v>
      </c>
      <c r="N121" s="98">
        <f t="shared" si="29"/>
        <v>1.5337074554294977E-2</v>
      </c>
      <c r="O121" s="98">
        <f>'Growth curves CeBER'!H62</f>
        <v>2.194</v>
      </c>
      <c r="P121" s="98">
        <f t="shared" si="30"/>
        <v>2.7060796000000003</v>
      </c>
      <c r="Q121" s="99">
        <f t="shared" si="40"/>
        <v>2.0295597000000002E-4</v>
      </c>
      <c r="R121" s="100">
        <f t="shared" si="31"/>
        <v>37.784240971810227</v>
      </c>
      <c r="S121" s="101">
        <f>AVERAGE(R119:R121)</f>
        <v>38.41854296330937</v>
      </c>
      <c r="T121" s="102">
        <f>STDEV(R119:R121)</f>
        <v>6.6024873508262214</v>
      </c>
      <c r="U121" s="102">
        <f>T121/SQRT(3)</f>
        <v>3.8119478493206183</v>
      </c>
      <c r="V121" s="102">
        <f t="shared" si="32"/>
        <v>102.24716369529985</v>
      </c>
      <c r="W121" s="101">
        <f t="shared" si="33"/>
        <v>99.840896812533785</v>
      </c>
      <c r="X121" s="102">
        <f t="shared" si="34"/>
        <v>12.979027761557983</v>
      </c>
      <c r="Y121" s="102">
        <f t="shared" si="35"/>
        <v>7.4934451719551278</v>
      </c>
      <c r="Z121" s="102">
        <f>(V121-$V$97)/(D119-$D$95)</f>
        <v>0.33280613625625727</v>
      </c>
      <c r="AA121" s="101">
        <f t="shared" si="36"/>
        <v>0.32398800588492116</v>
      </c>
      <c r="AB121" s="109">
        <f t="shared" si="37"/>
        <v>2.5358862402473068E-2</v>
      </c>
    </row>
    <row r="122" spans="2:34" x14ac:dyDescent="0.2">
      <c r="B122" s="193" t="s">
        <v>34</v>
      </c>
      <c r="C122" s="196">
        <v>0.55902777777777779</v>
      </c>
      <c r="D122" s="199">
        <v>336.08333333333331</v>
      </c>
      <c r="E122" s="85" t="s">
        <v>94</v>
      </c>
      <c r="F122" s="202">
        <f>(0.0523+0.0363+0.0414)/3</f>
        <v>4.3333333333333335E-2</v>
      </c>
      <c r="G122" s="205">
        <f>(0.0511+0.0355+0.0401)/3</f>
        <v>4.2233333333333324E-2</v>
      </c>
      <c r="H122" s="86">
        <f>0.3832-F122</f>
        <v>0.33986666666666665</v>
      </c>
      <c r="I122" s="88">
        <f>0.3333-F122</f>
        <v>0.28996666666666665</v>
      </c>
      <c r="J122" s="88">
        <f>0.2706-G122</f>
        <v>0.22836666666666669</v>
      </c>
      <c r="K122" s="88">
        <f>0.2261-G122</f>
        <v>0.18386666666666668</v>
      </c>
      <c r="L122" s="88">
        <f t="shared" si="27"/>
        <v>3.2691220961642349E-2</v>
      </c>
      <c r="M122" s="88">
        <f t="shared" si="39"/>
        <v>2.8967152890329546E-2</v>
      </c>
      <c r="N122" s="88">
        <f t="shared" si="29"/>
        <v>3.0829186925985949E-2</v>
      </c>
      <c r="O122" s="88">
        <f>'Growth curves CeBER'!F63</f>
        <v>2.7120000000000002</v>
      </c>
      <c r="P122" s="88">
        <f t="shared" si="30"/>
        <v>3.3449808000000005</v>
      </c>
      <c r="Q122" s="111">
        <f t="shared" si="40"/>
        <v>2.5087356000000007E-4</v>
      </c>
      <c r="R122" s="90">
        <f t="shared" si="31"/>
        <v>61.443674905370536</v>
      </c>
      <c r="S122" s="91"/>
      <c r="V122" s="92">
        <f t="shared" si="32"/>
        <v>205.52791283990629</v>
      </c>
      <c r="W122" s="108"/>
      <c r="X122" s="92"/>
      <c r="Y122" s="92"/>
      <c r="Z122" s="92">
        <f>(V122-$V$95)/(D122-$D$95)</f>
        <v>0.63552717400557901</v>
      </c>
      <c r="AA122" s="108"/>
      <c r="AB122" s="115"/>
    </row>
    <row r="123" spans="2:34" x14ac:dyDescent="0.2">
      <c r="B123" s="194"/>
      <c r="C123" s="197"/>
      <c r="D123" s="200"/>
      <c r="E123" s="85" t="s">
        <v>95</v>
      </c>
      <c r="F123" s="203"/>
      <c r="G123" s="206"/>
      <c r="H123" s="86">
        <f>0.3618-F122</f>
        <v>0.31846666666666668</v>
      </c>
      <c r="I123" s="88">
        <f>0.3322-F122</f>
        <v>0.28886666666666666</v>
      </c>
      <c r="J123" s="88">
        <f>0.2528-G122</f>
        <v>0.21056666666666671</v>
      </c>
      <c r="K123" s="88">
        <f>0.2297-G122</f>
        <v>0.18746666666666667</v>
      </c>
      <c r="L123" s="88">
        <f t="shared" si="27"/>
        <v>3.0968206374932469E-2</v>
      </c>
      <c r="M123" s="88">
        <f t="shared" si="39"/>
        <v>2.8435872501350625E-2</v>
      </c>
      <c r="N123" s="88">
        <f t="shared" si="29"/>
        <v>2.9702039438141547E-2</v>
      </c>
      <c r="O123" s="88">
        <f>'Growth curves CeBER'!G63</f>
        <v>2.3919999999999999</v>
      </c>
      <c r="P123" s="88">
        <f t="shared" si="30"/>
        <v>2.9502928000000002</v>
      </c>
      <c r="Q123" s="89">
        <f t="shared" si="40"/>
        <v>2.2127196000000003E-4</v>
      </c>
      <c r="R123" s="90">
        <f t="shared" si="31"/>
        <v>67.116591361466547</v>
      </c>
      <c r="S123" s="91"/>
      <c r="V123" s="92">
        <f t="shared" si="32"/>
        <v>198.01359625427696</v>
      </c>
      <c r="W123" s="108"/>
      <c r="X123" s="92"/>
      <c r="Y123" s="92"/>
      <c r="Z123" s="92">
        <f>(V123-$V$96)/(D122-$D$95)</f>
        <v>0.61348864989181218</v>
      </c>
      <c r="AA123" s="108"/>
      <c r="AB123" s="115"/>
    </row>
    <row r="124" spans="2:34" x14ac:dyDescent="0.2">
      <c r="B124" s="208"/>
      <c r="C124" s="209"/>
      <c r="D124" s="210"/>
      <c r="E124" s="95" t="s">
        <v>96</v>
      </c>
      <c r="F124" s="204"/>
      <c r="G124" s="207"/>
      <c r="H124" s="96">
        <f>0.2838-F122</f>
        <v>0.24046666666666666</v>
      </c>
      <c r="I124" s="98">
        <f>0.2854-F122</f>
        <v>0.24206666666666665</v>
      </c>
      <c r="J124" s="98">
        <f>0.1873-G122</f>
        <v>0.14506666666666668</v>
      </c>
      <c r="K124" s="98">
        <f>0.1848-G122</f>
        <v>0.14256666666666667</v>
      </c>
      <c r="L124" s="88">
        <f t="shared" si="27"/>
        <v>2.4749000540248513E-2</v>
      </c>
      <c r="M124" s="88">
        <f t="shared" si="39"/>
        <v>2.5253457590491624E-2</v>
      </c>
      <c r="N124" s="98">
        <f t="shared" si="29"/>
        <v>2.500122906537007E-2</v>
      </c>
      <c r="O124" s="98">
        <f>'Growth curves CeBER'!H63</f>
        <v>2.2240000000000002</v>
      </c>
      <c r="P124" s="98">
        <f t="shared" si="30"/>
        <v>2.7430816000000005</v>
      </c>
      <c r="Q124" s="99">
        <f t="shared" si="40"/>
        <v>2.0573112000000002E-4</v>
      </c>
      <c r="R124" s="100">
        <f t="shared" si="31"/>
        <v>60.761903851420406</v>
      </c>
      <c r="S124" s="101">
        <f>AVERAGE(R122:R124)</f>
        <v>63.107390039419165</v>
      </c>
      <c r="T124" s="102">
        <f>STDEV(R122:R124)</f>
        <v>3.4887640179626564</v>
      </c>
      <c r="U124" s="102">
        <f>T124/SQRT(3)</f>
        <v>2.0142388449098201</v>
      </c>
      <c r="V124" s="102">
        <f t="shared" si="32"/>
        <v>166.67486043580047</v>
      </c>
      <c r="W124" s="101">
        <f t="shared" si="33"/>
        <v>190.07212317666122</v>
      </c>
      <c r="X124" s="102">
        <f t="shared" si="34"/>
        <v>20.608012186062968</v>
      </c>
      <c r="Y124" s="102">
        <f t="shared" si="35"/>
        <v>11.898041383086543</v>
      </c>
      <c r="Z124" s="102">
        <f>(V124-$V$97)/(D122-$D$95)</f>
        <v>0.51308834282679749</v>
      </c>
      <c r="AA124" s="101">
        <f t="shared" si="36"/>
        <v>0.58736805557472949</v>
      </c>
      <c r="AB124" s="109">
        <f t="shared" si="37"/>
        <v>3.7680812671326273E-2</v>
      </c>
    </row>
    <row r="125" spans="2:34" x14ac:dyDescent="0.2">
      <c r="B125" s="193" t="s">
        <v>35</v>
      </c>
      <c r="C125" s="196">
        <v>0.55902777777777779</v>
      </c>
      <c r="D125" s="199">
        <v>360.08333333333331</v>
      </c>
      <c r="E125" s="85" t="s">
        <v>94</v>
      </c>
      <c r="F125" s="202">
        <f>(0.0531+0.05)/2</f>
        <v>5.1549999999999999E-2</v>
      </c>
      <c r="G125" s="205">
        <f>(0.0524+0.0491)/2</f>
        <v>5.0750000000000003E-2</v>
      </c>
      <c r="H125" s="86">
        <f>0.2954-F125</f>
        <v>0.24385000000000001</v>
      </c>
      <c r="I125" s="88">
        <f>0.2733-F125</f>
        <v>0.22175</v>
      </c>
      <c r="J125" s="88">
        <f>0.1969-G125</f>
        <v>0.14615</v>
      </c>
      <c r="K125" s="88">
        <f>0.1793-G125</f>
        <v>0.12855</v>
      </c>
      <c r="L125" s="88">
        <f t="shared" si="27"/>
        <v>2.5191126418152354E-2</v>
      </c>
      <c r="M125" s="88">
        <f t="shared" si="39"/>
        <v>2.3335048622366288E-2</v>
      </c>
      <c r="N125" s="88">
        <f t="shared" si="29"/>
        <v>2.4263087520259321E-2</v>
      </c>
      <c r="O125" s="88">
        <f>'Growth curves CeBER'!F64</f>
        <v>2.7120000000000002</v>
      </c>
      <c r="P125" s="88">
        <f t="shared" si="30"/>
        <v>3.3449808000000005</v>
      </c>
      <c r="Q125" s="111">
        <f t="shared" ref="Q125:Q127" si="41">P125*0.075/1000</f>
        <v>2.5087356000000007E-4</v>
      </c>
      <c r="R125" s="90">
        <f t="shared" si="31"/>
        <v>48.357203366228219</v>
      </c>
      <c r="S125" s="91"/>
      <c r="V125" s="92">
        <f t="shared" si="32"/>
        <v>161.75391680172879</v>
      </c>
      <c r="W125" s="108"/>
      <c r="X125" s="92"/>
      <c r="Y125" s="92"/>
      <c r="Z125" s="92">
        <f>(V125-$V$95)/(D125-$D$95)</f>
        <v>0.46040855786343682</v>
      </c>
      <c r="AA125" s="108"/>
      <c r="AB125" s="115"/>
    </row>
    <row r="126" spans="2:34" x14ac:dyDescent="0.2">
      <c r="B126" s="194"/>
      <c r="C126" s="197"/>
      <c r="D126" s="200"/>
      <c r="E126" s="85" t="s">
        <v>95</v>
      </c>
      <c r="F126" s="203"/>
      <c r="G126" s="206"/>
      <c r="H126" s="86">
        <f>0.2216-F125</f>
        <v>0.17004999999999998</v>
      </c>
      <c r="I126" s="88">
        <f>0.2106-F125</f>
        <v>0.15905000000000002</v>
      </c>
      <c r="J126" s="88">
        <f>0.1453-G125</f>
        <v>9.4550000000000009E-2</v>
      </c>
      <c r="K126" s="88">
        <f>0.1379-G125</f>
        <v>8.7149999999999991E-2</v>
      </c>
      <c r="L126" s="88">
        <f t="shared" si="27"/>
        <v>1.8289667747163691E-2</v>
      </c>
      <c r="M126" s="88">
        <f t="shared" si="39"/>
        <v>1.7232455429497574E-2</v>
      </c>
      <c r="N126" s="88">
        <f t="shared" si="29"/>
        <v>1.7761061588330632E-2</v>
      </c>
      <c r="O126" s="88">
        <f>'Growth curves CeBER'!G64</f>
        <v>2.5920000000000001</v>
      </c>
      <c r="P126" s="88">
        <f t="shared" si="30"/>
        <v>3.1969728000000002</v>
      </c>
      <c r="Q126" s="89">
        <f t="shared" si="41"/>
        <v>2.3977296000000001E-4</v>
      </c>
      <c r="R126" s="90">
        <f t="shared" si="31"/>
        <v>37.037248879795769</v>
      </c>
      <c r="S126" s="91"/>
      <c r="V126" s="92">
        <f t="shared" si="32"/>
        <v>118.40707725553754</v>
      </c>
      <c r="W126" s="108"/>
      <c r="X126" s="92"/>
      <c r="Y126" s="92"/>
      <c r="Z126" s="92">
        <f>(V126-$V$96)/(D125-$D$95)</f>
        <v>0.33363230120863507</v>
      </c>
      <c r="AA126" s="108"/>
      <c r="AB126" s="115"/>
    </row>
    <row r="127" spans="2:34" x14ac:dyDescent="0.2">
      <c r="B127" s="208"/>
      <c r="C127" s="209"/>
      <c r="D127" s="210"/>
      <c r="E127" s="95" t="s">
        <v>96</v>
      </c>
      <c r="F127" s="204"/>
      <c r="G127" s="207"/>
      <c r="H127" s="96">
        <f>0.3391-F125</f>
        <v>0.28755000000000003</v>
      </c>
      <c r="I127" s="98">
        <f>0.4028-F125</f>
        <v>0.35125000000000001</v>
      </c>
      <c r="J127" s="98">
        <f>0.2538-G125</f>
        <v>0.20305000000000001</v>
      </c>
      <c r="K127" s="98">
        <f>0.3123-G125</f>
        <v>0.26155</v>
      </c>
      <c r="L127" s="88">
        <f t="shared" si="27"/>
        <v>2.66944489465154E-2</v>
      </c>
      <c r="M127" s="88">
        <f t="shared" si="39"/>
        <v>3.1282374392220424E-2</v>
      </c>
      <c r="N127" s="98">
        <f t="shared" si="29"/>
        <v>2.8988411669367914E-2</v>
      </c>
      <c r="O127" s="98">
        <f>'Growth curves CeBER'!H64</f>
        <v>2.42</v>
      </c>
      <c r="P127" s="98">
        <f t="shared" si="30"/>
        <v>2.9848280000000003</v>
      </c>
      <c r="Q127" s="99">
        <f t="shared" si="41"/>
        <v>2.238621E-4</v>
      </c>
      <c r="R127" s="100">
        <f t="shared" si="31"/>
        <v>64.746135387294046</v>
      </c>
      <c r="S127" s="101">
        <f>AVERAGE(R125:R127)</f>
        <v>50.046862544439342</v>
      </c>
      <c r="T127" s="102">
        <f>STDEV(R125:R127)</f>
        <v>13.931504189255365</v>
      </c>
      <c r="U127" s="102">
        <f>T127/SQRT(3)</f>
        <v>8.0433576938829852</v>
      </c>
      <c r="V127" s="102">
        <f t="shared" si="32"/>
        <v>193.25607779578613</v>
      </c>
      <c r="W127" s="101">
        <f t="shared" si="33"/>
        <v>157.80569061768415</v>
      </c>
      <c r="X127" s="102">
        <f t="shared" si="34"/>
        <v>37.580375037628585</v>
      </c>
      <c r="Y127" s="102">
        <f t="shared" si="35"/>
        <v>21.697039644221956</v>
      </c>
      <c r="Z127" s="102">
        <f>(V127-$V$97)/(D125-$D$95)</f>
        <v>0.55541556928687219</v>
      </c>
      <c r="AA127" s="101">
        <f t="shared" si="36"/>
        <v>0.44981880945298136</v>
      </c>
      <c r="AB127" s="109">
        <f t="shared" si="37"/>
        <v>6.424189074223921E-2</v>
      </c>
    </row>
    <row r="128" spans="2:34" x14ac:dyDescent="0.2">
      <c r="B128" s="193" t="s">
        <v>36</v>
      </c>
      <c r="C128" s="196">
        <v>0.55902777777777779</v>
      </c>
      <c r="D128" s="199">
        <v>384.08333333333331</v>
      </c>
      <c r="E128" s="85" t="s">
        <v>94</v>
      </c>
      <c r="F128" s="202">
        <f>(0.0536+0.0321+0.0389)/3</f>
        <v>4.1533333333333332E-2</v>
      </c>
      <c r="G128" s="205">
        <f>(0.0523+0.0316+0.0377)/3</f>
        <v>4.0533333333333331E-2</v>
      </c>
      <c r="H128" s="86">
        <f>0.193-F128</f>
        <v>0.15146666666666667</v>
      </c>
      <c r="I128" s="88">
        <f>0.1756-F128</f>
        <v>0.13406666666666667</v>
      </c>
      <c r="J128" s="88">
        <f>0.1335-G128</f>
        <v>9.296666666666667E-2</v>
      </c>
      <c r="K128" s="88">
        <f>0.1204-G128</f>
        <v>7.9866666666666669E-2</v>
      </c>
      <c r="L128" s="88">
        <f t="shared" si="27"/>
        <v>1.543303619665046E-2</v>
      </c>
      <c r="M128" s="88">
        <f t="shared" si="39"/>
        <v>1.3897460831982714E-2</v>
      </c>
      <c r="N128" s="88">
        <f t="shared" si="29"/>
        <v>1.4665248514316588E-2</v>
      </c>
      <c r="O128" s="88">
        <f>'Growth curves CeBER'!F65</f>
        <v>2.8319999999999999</v>
      </c>
      <c r="P128" s="88">
        <f t="shared" si="30"/>
        <v>3.4929888</v>
      </c>
      <c r="Q128" s="111">
        <f t="shared" ref="Q128:Q136" si="42">P128*0.075/1000</f>
        <v>2.6197416000000001E-4</v>
      </c>
      <c r="R128" s="90">
        <f t="shared" si="31"/>
        <v>27.989876013566736</v>
      </c>
      <c r="S128" s="91"/>
      <c r="V128" s="92">
        <f t="shared" si="32"/>
        <v>97.768323428777251</v>
      </c>
      <c r="W128" s="108"/>
      <c r="X128" s="92"/>
      <c r="Y128" s="92"/>
      <c r="Z128" s="92">
        <f>(V128-$V$95)/(D128-$D$95)</f>
        <v>0.25259264548804711</v>
      </c>
      <c r="AA128" s="108"/>
      <c r="AB128" s="115"/>
    </row>
    <row r="129" spans="1:28" x14ac:dyDescent="0.2">
      <c r="B129" s="194"/>
      <c r="C129" s="197"/>
      <c r="D129" s="200"/>
      <c r="E129" s="85" t="s">
        <v>95</v>
      </c>
      <c r="F129" s="203"/>
      <c r="G129" s="206"/>
      <c r="H129" s="86">
        <f>0.2306-F128</f>
        <v>0.18906666666666666</v>
      </c>
      <c r="I129" s="88">
        <f>0.2167-F128</f>
        <v>0.17516666666666666</v>
      </c>
      <c r="J129" s="88">
        <f>0.1624-G128</f>
        <v>0.12186666666666665</v>
      </c>
      <c r="K129" s="88">
        <f>0.1508-G128</f>
        <v>0.11026666666666665</v>
      </c>
      <c r="L129" s="88">
        <f t="shared" si="27"/>
        <v>1.8693246893571044E-2</v>
      </c>
      <c r="M129" s="88">
        <f t="shared" si="39"/>
        <v>1.7577849810913024E-2</v>
      </c>
      <c r="N129" s="88">
        <f t="shared" si="29"/>
        <v>1.8135548352242035E-2</v>
      </c>
      <c r="O129" s="88">
        <f>'Growth curves CeBER'!G65</f>
        <v>2.7519999999999998</v>
      </c>
      <c r="P129" s="88">
        <f t="shared" si="30"/>
        <v>3.3943167999999999</v>
      </c>
      <c r="Q129" s="89">
        <f t="shared" si="42"/>
        <v>2.5457375999999996E-4</v>
      </c>
      <c r="R129" s="90">
        <f t="shared" si="31"/>
        <v>35.619437667578225</v>
      </c>
      <c r="S129" s="91"/>
      <c r="V129" s="92">
        <f t="shared" si="32"/>
        <v>120.90365568161359</v>
      </c>
      <c r="W129" s="108"/>
      <c r="X129" s="92"/>
      <c r="Y129" s="92"/>
      <c r="Z129" s="92">
        <f>(V129-$V$96)/(D128-$D$95)</f>
        <v>0.31837030858604126</v>
      </c>
      <c r="AA129" s="108"/>
      <c r="AB129" s="115"/>
    </row>
    <row r="130" spans="1:28" x14ac:dyDescent="0.2">
      <c r="B130" s="208"/>
      <c r="C130" s="209"/>
      <c r="D130" s="210"/>
      <c r="E130" s="95" t="s">
        <v>96</v>
      </c>
      <c r="F130" s="204"/>
      <c r="G130" s="207"/>
      <c r="H130" s="96">
        <f>0.1754-F128</f>
        <v>0.13386666666666666</v>
      </c>
      <c r="I130" s="98">
        <f>0.1747-F128</f>
        <v>0.13316666666666666</v>
      </c>
      <c r="J130" s="98">
        <f>0.1212-G128</f>
        <v>8.0666666666666664E-2</v>
      </c>
      <c r="K130" s="98">
        <f>0.1214-G128</f>
        <v>8.086666666666667E-2</v>
      </c>
      <c r="L130" s="88">
        <f t="shared" si="27"/>
        <v>1.3786601836844947E-2</v>
      </c>
      <c r="M130" s="88">
        <f t="shared" si="39"/>
        <v>1.3653538627768773E-2</v>
      </c>
      <c r="N130" s="98">
        <f t="shared" si="29"/>
        <v>1.3720070232306859E-2</v>
      </c>
      <c r="O130" s="98">
        <f>'Growth curves CeBER'!H65</f>
        <v>2.5840000000000001</v>
      </c>
      <c r="P130" s="98">
        <f t="shared" si="30"/>
        <v>3.1871056000000002</v>
      </c>
      <c r="Q130" s="99">
        <f t="shared" si="42"/>
        <v>2.3903292000000001E-4</v>
      </c>
      <c r="R130" s="100">
        <f t="shared" si="31"/>
        <v>28.699122765824175</v>
      </c>
      <c r="S130" s="101">
        <f>AVERAGE(R128:R130)</f>
        <v>30.769478815656381</v>
      </c>
      <c r="T130" s="102">
        <f>STDEV(R128:R130)</f>
        <v>4.2151314793133512</v>
      </c>
      <c r="U130" s="102">
        <f>T130/SQRT(3)</f>
        <v>2.433607294251229</v>
      </c>
      <c r="V130" s="102">
        <f t="shared" si="32"/>
        <v>91.467134882045727</v>
      </c>
      <c r="W130" s="101">
        <f t="shared" si="33"/>
        <v>103.37970466414554</v>
      </c>
      <c r="X130" s="102">
        <f t="shared" si="34"/>
        <v>15.4997706022485</v>
      </c>
      <c r="Y130" s="102">
        <f t="shared" si="35"/>
        <v>8.9487967295856201</v>
      </c>
      <c r="Z130" s="102">
        <f>(V130-$V$97)/(D128-$D$95)</f>
        <v>0.23658548275633673</v>
      </c>
      <c r="AA130" s="101">
        <f t="shared" si="36"/>
        <v>0.26918281227680835</v>
      </c>
      <c r="AB130" s="109">
        <f t="shared" si="37"/>
        <v>2.5024086127555616E-2</v>
      </c>
    </row>
    <row r="131" spans="1:28" x14ac:dyDescent="0.2">
      <c r="B131" s="193" t="s">
        <v>37</v>
      </c>
      <c r="C131" s="196">
        <v>0.54583333333333328</v>
      </c>
      <c r="D131" s="199">
        <v>408.08333333333331</v>
      </c>
      <c r="E131" s="85" t="s">
        <v>94</v>
      </c>
      <c r="F131" s="202">
        <f>(0.0517+0.0474)/2</f>
        <v>4.9549999999999997E-2</v>
      </c>
      <c r="G131" s="205">
        <f>(0.0508+0.0471)/2</f>
        <v>4.895E-2</v>
      </c>
      <c r="H131" s="86">
        <f>0.203-F131</f>
        <v>0.15345000000000003</v>
      </c>
      <c r="I131" s="88">
        <f>0.2239-F131</f>
        <v>0.17435</v>
      </c>
      <c r="J131" s="88">
        <f>0.1334-G131</f>
        <v>8.4449999999999997E-2</v>
      </c>
      <c r="K131" s="88">
        <f>0.1563-G131</f>
        <v>0.10735</v>
      </c>
      <c r="L131" s="88">
        <f t="shared" si="27"/>
        <v>1.6589586709886552E-2</v>
      </c>
      <c r="M131" s="88">
        <f t="shared" si="39"/>
        <v>1.7731482982171802E-2</v>
      </c>
      <c r="N131" s="88">
        <f t="shared" si="29"/>
        <v>1.7160534846029175E-2</v>
      </c>
      <c r="O131" s="88">
        <f>'Growth curves CeBER'!F66</f>
        <v>2.8879999999999999</v>
      </c>
      <c r="P131" s="88">
        <f t="shared" si="30"/>
        <v>3.5620592000000002</v>
      </c>
      <c r="Q131" s="111">
        <f t="shared" si="42"/>
        <v>2.6715444E-4</v>
      </c>
      <c r="R131" s="90">
        <f t="shared" si="31"/>
        <v>32.117255558300236</v>
      </c>
      <c r="S131" s="91"/>
      <c r="V131" s="92">
        <f t="shared" si="32"/>
        <v>114.4035656401945</v>
      </c>
      <c r="W131" s="108"/>
      <c r="X131" s="92"/>
      <c r="Y131" s="92"/>
      <c r="Z131" s="92">
        <f>(V131-$V$95)/(D131-$D$95)</f>
        <v>0.28005027720473025</v>
      </c>
      <c r="AA131" s="108"/>
      <c r="AB131" s="115"/>
    </row>
    <row r="132" spans="1:28" x14ac:dyDescent="0.2">
      <c r="B132" s="194"/>
      <c r="C132" s="197"/>
      <c r="D132" s="200"/>
      <c r="E132" s="85" t="s">
        <v>95</v>
      </c>
      <c r="F132" s="203"/>
      <c r="G132" s="206"/>
      <c r="H132" s="86">
        <f>0.3104-F131</f>
        <v>0.26085000000000003</v>
      </c>
      <c r="I132" s="88">
        <f>0.3083-F131</f>
        <v>0.25875000000000004</v>
      </c>
      <c r="J132" s="88">
        <f>0.2379-G131</f>
        <v>0.18895000000000001</v>
      </c>
      <c r="K132" s="88">
        <f>0.2329-G131</f>
        <v>0.18395</v>
      </c>
      <c r="L132" s="88">
        <f t="shared" si="27"/>
        <v>2.3749635332252838E-2</v>
      </c>
      <c r="M132" s="88">
        <f t="shared" si="39"/>
        <v>2.3899554294975697E-2</v>
      </c>
      <c r="N132" s="88">
        <f t="shared" si="29"/>
        <v>2.3824594813614267E-2</v>
      </c>
      <c r="O132" s="88">
        <f>'Growth curves CeBER'!G66</f>
        <v>2.7879999999999998</v>
      </c>
      <c r="P132" s="88">
        <f t="shared" si="30"/>
        <v>3.4387192</v>
      </c>
      <c r="Q132" s="89">
        <f t="shared" si="42"/>
        <v>2.5790394000000001E-4</v>
      </c>
      <c r="R132" s="90">
        <f t="shared" si="31"/>
        <v>46.188892681543109</v>
      </c>
      <c r="S132" s="91"/>
      <c r="V132" s="92">
        <f t="shared" si="32"/>
        <v>158.83063209076178</v>
      </c>
      <c r="W132" s="108"/>
      <c r="X132" s="92"/>
      <c r="Y132" s="92"/>
      <c r="Z132" s="92">
        <f>(V132-$V$96)/(D131-$D$95)</f>
        <v>0.39702185551233071</v>
      </c>
      <c r="AA132" s="108"/>
      <c r="AB132" s="115"/>
    </row>
    <row r="133" spans="1:28" x14ac:dyDescent="0.2">
      <c r="B133" s="208"/>
      <c r="C133" s="209"/>
      <c r="D133" s="210"/>
      <c r="E133" s="95" t="s">
        <v>96</v>
      </c>
      <c r="F133" s="204"/>
      <c r="G133" s="207"/>
      <c r="H133" s="96">
        <f>0.2664-F131</f>
        <v>0.21685000000000004</v>
      </c>
      <c r="I133" s="98">
        <f>0.283-F131</f>
        <v>0.23344999999999999</v>
      </c>
      <c r="J133" s="98">
        <f>0.2016-G131</f>
        <v>0.15265000000000001</v>
      </c>
      <c r="K133" s="98">
        <f>0.2173-G131</f>
        <v>0.16835</v>
      </c>
      <c r="L133" s="88">
        <f t="shared" si="27"/>
        <v>2.0177755267423023E-2</v>
      </c>
      <c r="M133" s="88">
        <f t="shared" si="39"/>
        <v>2.1328727714748783E-2</v>
      </c>
      <c r="N133" s="98">
        <f t="shared" si="29"/>
        <v>2.0753241491085903E-2</v>
      </c>
      <c r="O133" s="98">
        <f>'Growth curves CeBER'!H66</f>
        <v>2.5840000000000001</v>
      </c>
      <c r="P133" s="98">
        <f t="shared" si="30"/>
        <v>3.1871056000000002</v>
      </c>
      <c r="Q133" s="99">
        <f t="shared" si="42"/>
        <v>2.3903292000000001E-4</v>
      </c>
      <c r="R133" s="100">
        <f t="shared" si="31"/>
        <v>43.410843768059024</v>
      </c>
      <c r="S133" s="101">
        <f>AVERAGE(R131:R133)</f>
        <v>40.57233066930079</v>
      </c>
      <c r="T133" s="102">
        <f>STDEV(R131:R133)</f>
        <v>7.4528927465061399</v>
      </c>
      <c r="U133" s="102">
        <f>T133/SQRT(3)</f>
        <v>4.3029296334367295</v>
      </c>
      <c r="V133" s="102">
        <f t="shared" si="32"/>
        <v>138.35494327390603</v>
      </c>
      <c r="W133" s="101">
        <f t="shared" si="33"/>
        <v>137.19638033495411</v>
      </c>
      <c r="X133" s="102">
        <f t="shared" si="34"/>
        <v>22.23618131364778</v>
      </c>
      <c r="Y133" s="102">
        <f t="shared" si="35"/>
        <v>12.838065267183874</v>
      </c>
      <c r="Z133" s="102">
        <f>(V133-$V$97)/(D131-$D$95)</f>
        <v>0.34360528055509421</v>
      </c>
      <c r="AA133" s="101">
        <f t="shared" si="36"/>
        <v>0.34022580442405176</v>
      </c>
      <c r="AB133" s="109">
        <f t="shared" si="37"/>
        <v>3.3809038126576769E-2</v>
      </c>
    </row>
    <row r="134" spans="1:28" x14ac:dyDescent="0.2">
      <c r="B134" s="193" t="s">
        <v>33</v>
      </c>
      <c r="C134" s="196">
        <v>0.56666666666666665</v>
      </c>
      <c r="D134" s="199">
        <v>432.25</v>
      </c>
      <c r="E134" s="85" t="s">
        <v>94</v>
      </c>
      <c r="F134" s="202">
        <v>4.19E-2</v>
      </c>
      <c r="G134" s="205">
        <v>3.9899999999999998E-2</v>
      </c>
      <c r="H134" s="106">
        <f>0.3577-F134</f>
        <v>0.31580000000000003</v>
      </c>
      <c r="I134" s="110">
        <f>0.3402-F134</f>
        <v>0.29830000000000001</v>
      </c>
      <c r="J134" s="110">
        <f>0.2419-G134</f>
        <v>0.20200000000000001</v>
      </c>
      <c r="K134" s="110">
        <f>0.2206-G134</f>
        <v>0.1807</v>
      </c>
      <c r="L134" s="88">
        <f t="shared" si="27"/>
        <v>3.1376012965964352E-2</v>
      </c>
      <c r="M134" s="88">
        <f t="shared" si="39"/>
        <v>3.0628282009724478E-2</v>
      </c>
      <c r="N134" s="88">
        <f t="shared" si="29"/>
        <v>3.1002147487844415E-2</v>
      </c>
      <c r="O134" s="88">
        <f>'Growth curves CeBER'!F67</f>
        <v>2.98</v>
      </c>
      <c r="P134" s="88">
        <f t="shared" si="30"/>
        <v>3.675532</v>
      </c>
      <c r="Q134" s="111">
        <f t="shared" si="42"/>
        <v>2.7566489999999999E-4</v>
      </c>
      <c r="R134" s="90">
        <f t="shared" si="31"/>
        <v>56.231583142874584</v>
      </c>
      <c r="S134" s="91"/>
      <c r="V134" s="92">
        <f t="shared" si="32"/>
        <v>206.6809832522961</v>
      </c>
      <c r="W134" s="108"/>
      <c r="X134" s="92"/>
      <c r="Y134" s="92"/>
      <c r="Z134" s="92">
        <f>(V134-$V$95)/(D134-$D$95)</f>
        <v>0.48900084146225398</v>
      </c>
      <c r="AA134" s="108"/>
      <c r="AB134" s="115"/>
    </row>
    <row r="135" spans="1:28" x14ac:dyDescent="0.2">
      <c r="B135" s="194"/>
      <c r="C135" s="197"/>
      <c r="D135" s="200"/>
      <c r="E135" s="85" t="s">
        <v>95</v>
      </c>
      <c r="F135" s="203"/>
      <c r="G135" s="206"/>
      <c r="H135" s="86">
        <f>0.266-F134</f>
        <v>0.22410000000000002</v>
      </c>
      <c r="I135" s="88">
        <f>0.2664-F134</f>
        <v>0.22450000000000003</v>
      </c>
      <c r="J135" s="88">
        <f>0.1628-G134</f>
        <v>0.12290000000000001</v>
      </c>
      <c r="K135" s="88">
        <f>0.1603-G134</f>
        <v>0.12040000000000001</v>
      </c>
      <c r="L135" s="88">
        <f t="shared" si="27"/>
        <v>2.4269935170178288E-2</v>
      </c>
      <c r="M135" s="88">
        <f t="shared" si="39"/>
        <v>2.4579902755267426E-2</v>
      </c>
      <c r="N135" s="88">
        <f t="shared" si="29"/>
        <v>2.4424918962722857E-2</v>
      </c>
      <c r="O135" s="88">
        <f>'Growth curves CeBER'!G67</f>
        <v>2.7480000000000002</v>
      </c>
      <c r="P135" s="88">
        <f t="shared" si="30"/>
        <v>3.3893832000000006</v>
      </c>
      <c r="Q135" s="89">
        <f t="shared" si="42"/>
        <v>2.5420374000000002E-4</v>
      </c>
      <c r="R135" s="90">
        <f t="shared" si="31"/>
        <v>48.042013391940763</v>
      </c>
      <c r="S135" s="91"/>
      <c r="V135" s="92">
        <f t="shared" si="32"/>
        <v>162.83279308481906</v>
      </c>
      <c r="W135" s="108"/>
      <c r="X135" s="92"/>
      <c r="Y135" s="92"/>
      <c r="Z135" s="92">
        <f>(V135-$V$96)/(D134-$D$95)</f>
        <v>0.38335597496946838</v>
      </c>
      <c r="AA135" s="108"/>
      <c r="AB135" s="115"/>
    </row>
    <row r="136" spans="1:28" ht="14" thickBot="1" x14ac:dyDescent="0.25">
      <c r="A136" s="126"/>
      <c r="B136" s="195"/>
      <c r="C136" s="198"/>
      <c r="D136" s="201"/>
      <c r="E136" s="127" t="s">
        <v>96</v>
      </c>
      <c r="F136" s="223"/>
      <c r="G136" s="224"/>
      <c r="H136" s="118">
        <f>0.2149-F134</f>
        <v>0.17300000000000001</v>
      </c>
      <c r="I136" s="120">
        <f>0.2272-F134</f>
        <v>0.18530000000000002</v>
      </c>
      <c r="J136" s="120">
        <f>0.1449-G134</f>
        <v>0.10500000000000001</v>
      </c>
      <c r="K136" s="120">
        <f>0.1568-G134</f>
        <v>0.1169</v>
      </c>
      <c r="L136" s="120">
        <f t="shared" si="27"/>
        <v>1.7743111831442466E-2</v>
      </c>
      <c r="M136" s="120">
        <f>(I136-(0.605*K136))/6.17</f>
        <v>1.8569773095623993E-2</v>
      </c>
      <c r="N136" s="120">
        <f t="shared" si="29"/>
        <v>1.8156442463533227E-2</v>
      </c>
      <c r="O136" s="120">
        <f>'Growth curves CeBER'!H67</f>
        <v>2.5840000000000001</v>
      </c>
      <c r="P136" s="120">
        <f t="shared" si="30"/>
        <v>3.1871056000000002</v>
      </c>
      <c r="Q136" s="121">
        <f t="shared" si="42"/>
        <v>2.3903292000000001E-4</v>
      </c>
      <c r="R136" s="122">
        <f t="shared" si="31"/>
        <v>37.978958010330182</v>
      </c>
      <c r="S136" s="123">
        <f>AVERAGE(R134:R136)</f>
        <v>47.417518181715174</v>
      </c>
      <c r="T136" s="124">
        <f>STDEV(R134:R136)</f>
        <v>9.1423233785506355</v>
      </c>
      <c r="U136" s="124">
        <f>T136/SQRT(3)</f>
        <v>5.278322863624819</v>
      </c>
      <c r="V136" s="124">
        <f t="shared" si="32"/>
        <v>121.04294975688819</v>
      </c>
      <c r="W136" s="123">
        <f t="shared" si="33"/>
        <v>163.51890869800113</v>
      </c>
      <c r="X136" s="124">
        <f t="shared" si="34"/>
        <v>42.823139319953377</v>
      </c>
      <c r="Y136" s="124">
        <f t="shared" si="35"/>
        <v>24.72395101391993</v>
      </c>
      <c r="Z136" s="124">
        <f>(V136-$V$97)/(D134-$D$95)</f>
        <v>0.2810107025708164</v>
      </c>
      <c r="AA136" s="123">
        <f t="shared" si="36"/>
        <v>0.3844558396675129</v>
      </c>
      <c r="AB136" s="125">
        <f t="shared" si="37"/>
        <v>6.0044099753945784E-2</v>
      </c>
    </row>
  </sheetData>
  <mergeCells count="230">
    <mergeCell ref="F101:F103"/>
    <mergeCell ref="G101:G103"/>
    <mergeCell ref="F119:F121"/>
    <mergeCell ref="G119:G121"/>
    <mergeCell ref="F134:F136"/>
    <mergeCell ref="G134:G136"/>
    <mergeCell ref="B107:B109"/>
    <mergeCell ref="C107:C109"/>
    <mergeCell ref="D107:D109"/>
    <mergeCell ref="F107:F109"/>
    <mergeCell ref="G107:G109"/>
    <mergeCell ref="B110:B112"/>
    <mergeCell ref="C110:C112"/>
    <mergeCell ref="D110:D112"/>
    <mergeCell ref="F110:F112"/>
    <mergeCell ref="G110:G112"/>
    <mergeCell ref="B113:B115"/>
    <mergeCell ref="C113:C115"/>
    <mergeCell ref="D113:D115"/>
    <mergeCell ref="F113:F115"/>
    <mergeCell ref="G113:G115"/>
    <mergeCell ref="A1:AB1"/>
    <mergeCell ref="B2:AB2"/>
    <mergeCell ref="H3:I3"/>
    <mergeCell ref="J3:K3"/>
    <mergeCell ref="L3:M3"/>
    <mergeCell ref="L4:M4"/>
    <mergeCell ref="AD3:AH3"/>
    <mergeCell ref="AD47:AH47"/>
    <mergeCell ref="AD92:AH92"/>
    <mergeCell ref="F50:F52"/>
    <mergeCell ref="G50:G52"/>
    <mergeCell ref="B5:B7"/>
    <mergeCell ref="C5:C7"/>
    <mergeCell ref="D5:D7"/>
    <mergeCell ref="F5:F7"/>
    <mergeCell ref="G5:G7"/>
    <mergeCell ref="B8:B10"/>
    <mergeCell ref="C8:C10"/>
    <mergeCell ref="D8:D10"/>
    <mergeCell ref="F8:F10"/>
    <mergeCell ref="G8:G10"/>
    <mergeCell ref="B11:B13"/>
    <mergeCell ref="C11:C13"/>
    <mergeCell ref="D11:D13"/>
    <mergeCell ref="F11:F13"/>
    <mergeCell ref="G11:G13"/>
    <mergeCell ref="B14:B16"/>
    <mergeCell ref="C14:C16"/>
    <mergeCell ref="D14:D16"/>
    <mergeCell ref="F14:F16"/>
    <mergeCell ref="G14:G16"/>
    <mergeCell ref="B17:B19"/>
    <mergeCell ref="C17:C19"/>
    <mergeCell ref="D17:D19"/>
    <mergeCell ref="F17:F19"/>
    <mergeCell ref="G17:G19"/>
    <mergeCell ref="B20:B22"/>
    <mergeCell ref="C20:C22"/>
    <mergeCell ref="D20:D22"/>
    <mergeCell ref="F20:F22"/>
    <mergeCell ref="G20:G22"/>
    <mergeCell ref="B23:B25"/>
    <mergeCell ref="C23:C25"/>
    <mergeCell ref="D23:D25"/>
    <mergeCell ref="F23:F25"/>
    <mergeCell ref="G23:G25"/>
    <mergeCell ref="B26:B28"/>
    <mergeCell ref="C26:C28"/>
    <mergeCell ref="D26:D28"/>
    <mergeCell ref="F26:F28"/>
    <mergeCell ref="G26:G28"/>
    <mergeCell ref="B29:B31"/>
    <mergeCell ref="C29:C31"/>
    <mergeCell ref="D29:D31"/>
    <mergeCell ref="F29:F31"/>
    <mergeCell ref="G29:G31"/>
    <mergeCell ref="B32:B34"/>
    <mergeCell ref="C32:C34"/>
    <mergeCell ref="D32:D34"/>
    <mergeCell ref="F32:F34"/>
    <mergeCell ref="G32:G34"/>
    <mergeCell ref="B35:B37"/>
    <mergeCell ref="C35:C37"/>
    <mergeCell ref="D35:D37"/>
    <mergeCell ref="F35:F37"/>
    <mergeCell ref="G35:G37"/>
    <mergeCell ref="B38:B40"/>
    <mergeCell ref="C38:C40"/>
    <mergeCell ref="D38:D40"/>
    <mergeCell ref="F38:F40"/>
    <mergeCell ref="G38:G40"/>
    <mergeCell ref="B41:B43"/>
    <mergeCell ref="C41:C43"/>
    <mergeCell ref="D41:D43"/>
    <mergeCell ref="F41:F43"/>
    <mergeCell ref="G41:G43"/>
    <mergeCell ref="B44:B46"/>
    <mergeCell ref="C44:C46"/>
    <mergeCell ref="D44:D46"/>
    <mergeCell ref="F44:F46"/>
    <mergeCell ref="G44:G46"/>
    <mergeCell ref="B53:B55"/>
    <mergeCell ref="C53:C55"/>
    <mergeCell ref="D53:D55"/>
    <mergeCell ref="B47:AB47"/>
    <mergeCell ref="B50:B52"/>
    <mergeCell ref="C50:C52"/>
    <mergeCell ref="D50:D52"/>
    <mergeCell ref="H48:I48"/>
    <mergeCell ref="J48:K48"/>
    <mergeCell ref="L48:M48"/>
    <mergeCell ref="L49:M49"/>
    <mergeCell ref="F53:F55"/>
    <mergeCell ref="G53:G55"/>
    <mergeCell ref="B56:B58"/>
    <mergeCell ref="C56:C58"/>
    <mergeCell ref="D56:D58"/>
    <mergeCell ref="F56:F58"/>
    <mergeCell ref="G56:G58"/>
    <mergeCell ref="B59:B61"/>
    <mergeCell ref="C59:C61"/>
    <mergeCell ref="D59:D61"/>
    <mergeCell ref="F59:F61"/>
    <mergeCell ref="G59:G61"/>
    <mergeCell ref="B62:B64"/>
    <mergeCell ref="C62:C64"/>
    <mergeCell ref="D62:D64"/>
    <mergeCell ref="F62:F64"/>
    <mergeCell ref="G62:G64"/>
    <mergeCell ref="B65:B67"/>
    <mergeCell ref="C65:C67"/>
    <mergeCell ref="D65:D67"/>
    <mergeCell ref="F65:F67"/>
    <mergeCell ref="G65:G67"/>
    <mergeCell ref="B68:B70"/>
    <mergeCell ref="C68:C70"/>
    <mergeCell ref="D68:D70"/>
    <mergeCell ref="F68:F70"/>
    <mergeCell ref="G68:G70"/>
    <mergeCell ref="B71:B73"/>
    <mergeCell ref="C71:C73"/>
    <mergeCell ref="D71:D73"/>
    <mergeCell ref="F71:F73"/>
    <mergeCell ref="G71:G73"/>
    <mergeCell ref="B74:B76"/>
    <mergeCell ref="C74:C76"/>
    <mergeCell ref="D74:D76"/>
    <mergeCell ref="F74:F76"/>
    <mergeCell ref="G74:G76"/>
    <mergeCell ref="B77:B79"/>
    <mergeCell ref="C77:C79"/>
    <mergeCell ref="D77:D79"/>
    <mergeCell ref="F77:F79"/>
    <mergeCell ref="G77:G79"/>
    <mergeCell ref="B80:B82"/>
    <mergeCell ref="C80:C82"/>
    <mergeCell ref="D80:D82"/>
    <mergeCell ref="F80:F82"/>
    <mergeCell ref="G80:G82"/>
    <mergeCell ref="B83:B85"/>
    <mergeCell ref="C83:C85"/>
    <mergeCell ref="D83:D85"/>
    <mergeCell ref="F83:F85"/>
    <mergeCell ref="G83:G85"/>
    <mergeCell ref="B86:B88"/>
    <mergeCell ref="C86:C88"/>
    <mergeCell ref="D86:D88"/>
    <mergeCell ref="F86:F88"/>
    <mergeCell ref="G86:G88"/>
    <mergeCell ref="B89:B91"/>
    <mergeCell ref="C89:C91"/>
    <mergeCell ref="D89:D91"/>
    <mergeCell ref="F89:F91"/>
    <mergeCell ref="G89:G91"/>
    <mergeCell ref="B92:AB92"/>
    <mergeCell ref="H93:I93"/>
    <mergeCell ref="J93:K93"/>
    <mergeCell ref="L93:M93"/>
    <mergeCell ref="J94:K94"/>
    <mergeCell ref="L94:M94"/>
    <mergeCell ref="B104:B106"/>
    <mergeCell ref="C104:C106"/>
    <mergeCell ref="D104:D106"/>
    <mergeCell ref="F104:F106"/>
    <mergeCell ref="G104:G106"/>
    <mergeCell ref="B95:B97"/>
    <mergeCell ref="C95:C97"/>
    <mergeCell ref="D95:D97"/>
    <mergeCell ref="F95:F97"/>
    <mergeCell ref="G95:G97"/>
    <mergeCell ref="B98:B100"/>
    <mergeCell ref="C98:C100"/>
    <mergeCell ref="D98:D100"/>
    <mergeCell ref="F98:F100"/>
    <mergeCell ref="G98:G100"/>
    <mergeCell ref="B101:B103"/>
    <mergeCell ref="C101:C103"/>
    <mergeCell ref="D101:D103"/>
    <mergeCell ref="B116:B118"/>
    <mergeCell ref="C116:C118"/>
    <mergeCell ref="D116:D118"/>
    <mergeCell ref="F116:F118"/>
    <mergeCell ref="G116:G118"/>
    <mergeCell ref="B119:B121"/>
    <mergeCell ref="C119:C121"/>
    <mergeCell ref="D119:D121"/>
    <mergeCell ref="B122:B124"/>
    <mergeCell ref="C122:C124"/>
    <mergeCell ref="D122:D124"/>
    <mergeCell ref="F122:F124"/>
    <mergeCell ref="G122:G124"/>
    <mergeCell ref="B134:B136"/>
    <mergeCell ref="C134:C136"/>
    <mergeCell ref="D134:D136"/>
    <mergeCell ref="F125:F127"/>
    <mergeCell ref="G125:G127"/>
    <mergeCell ref="F131:F133"/>
    <mergeCell ref="G131:G133"/>
    <mergeCell ref="B125:B127"/>
    <mergeCell ref="C125:C127"/>
    <mergeCell ref="D125:D127"/>
    <mergeCell ref="B128:B130"/>
    <mergeCell ref="C128:C130"/>
    <mergeCell ref="D128:D130"/>
    <mergeCell ref="F128:F130"/>
    <mergeCell ref="G128:G130"/>
    <mergeCell ref="B131:B133"/>
    <mergeCell ref="C131:C133"/>
    <mergeCell ref="D131:D13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C51CC-C46C-3E4B-893C-61C793A4C4E8}">
  <dimension ref="A1:AH136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85.6640625" style="62" customWidth="1"/>
    <col min="2" max="2" width="9.83203125" style="62" customWidth="1"/>
    <col min="3" max="3" width="9.5" style="62" customWidth="1"/>
    <col min="4" max="4" width="8.5" style="62" customWidth="1"/>
    <col min="5" max="7" width="11.5" style="62" customWidth="1"/>
    <col min="8" max="8" width="9.83203125" style="62" customWidth="1"/>
    <col min="9" max="11" width="9.6640625" style="62" customWidth="1"/>
    <col min="12" max="15" width="9.1640625" style="62"/>
    <col min="16" max="16" width="12.1640625" style="62" customWidth="1"/>
    <col min="17" max="17" width="11.83203125" style="62" customWidth="1"/>
    <col min="18" max="18" width="11.6640625" style="62" bestFit="1" customWidth="1"/>
    <col min="19" max="19" width="9.1640625" style="62"/>
    <col min="20" max="21" width="9.5" style="62" bestFit="1" customWidth="1"/>
    <col min="22" max="25" width="9.5" style="62" customWidth="1"/>
    <col min="26" max="26" width="9.6640625" style="62" customWidth="1"/>
    <col min="27" max="27" width="9.5" style="62" customWidth="1"/>
    <col min="28" max="30" width="9.1640625" style="62"/>
    <col min="31" max="31" width="11.83203125" style="62" customWidth="1"/>
    <col min="32" max="16384" width="9.1640625" style="62"/>
  </cols>
  <sheetData>
    <row r="1" spans="1:34" ht="17" thickBot="1" x14ac:dyDescent="0.25">
      <c r="A1" s="225" t="s">
        <v>98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7"/>
    </row>
    <row r="2" spans="1:34" ht="15" thickBot="1" x14ac:dyDescent="0.25">
      <c r="A2" s="63"/>
      <c r="B2" s="228" t="s">
        <v>72</v>
      </c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30"/>
    </row>
    <row r="3" spans="1:34" ht="47" customHeight="1" x14ac:dyDescent="0.2">
      <c r="A3" s="64"/>
      <c r="B3" s="65" t="s">
        <v>0</v>
      </c>
      <c r="C3" s="66" t="s">
        <v>1</v>
      </c>
      <c r="D3" s="67" t="s">
        <v>2</v>
      </c>
      <c r="E3" s="68"/>
      <c r="F3" s="66" t="s">
        <v>11</v>
      </c>
      <c r="G3" s="66" t="s">
        <v>12</v>
      </c>
      <c r="H3" s="214" t="s">
        <v>77</v>
      </c>
      <c r="I3" s="215"/>
      <c r="J3" s="216" t="s">
        <v>78</v>
      </c>
      <c r="K3" s="217"/>
      <c r="L3" s="218" t="s">
        <v>79</v>
      </c>
      <c r="M3" s="219"/>
      <c r="N3" s="69" t="s">
        <v>80</v>
      </c>
      <c r="O3" s="70" t="s">
        <v>81</v>
      </c>
      <c r="P3" s="69" t="s">
        <v>13</v>
      </c>
      <c r="Q3" s="69" t="s">
        <v>14</v>
      </c>
      <c r="R3" s="69" t="s">
        <v>82</v>
      </c>
      <c r="S3" s="69" t="s">
        <v>83</v>
      </c>
      <c r="T3" s="69" t="s">
        <v>84</v>
      </c>
      <c r="U3" s="71" t="s">
        <v>62</v>
      </c>
      <c r="V3" s="70" t="s">
        <v>85</v>
      </c>
      <c r="W3" s="69" t="s">
        <v>86</v>
      </c>
      <c r="X3" s="69" t="s">
        <v>84</v>
      </c>
      <c r="Y3" s="72" t="s">
        <v>62</v>
      </c>
      <c r="Z3" s="72" t="s">
        <v>87</v>
      </c>
      <c r="AA3" s="69" t="s">
        <v>88</v>
      </c>
      <c r="AB3" s="73" t="s">
        <v>62</v>
      </c>
      <c r="AD3" s="231" t="s">
        <v>106</v>
      </c>
      <c r="AE3" s="231"/>
      <c r="AF3" s="231"/>
      <c r="AG3" s="231"/>
      <c r="AH3" s="231"/>
    </row>
    <row r="4" spans="1:34" ht="37" customHeight="1" x14ac:dyDescent="0.2">
      <c r="A4" s="64"/>
      <c r="B4" s="74"/>
      <c r="C4" s="75"/>
      <c r="D4" s="76"/>
      <c r="E4" s="77"/>
      <c r="F4" s="75" t="s">
        <v>16</v>
      </c>
      <c r="G4" s="75" t="s">
        <v>16</v>
      </c>
      <c r="H4" s="78" t="s">
        <v>89</v>
      </c>
      <c r="I4" s="75" t="s">
        <v>90</v>
      </c>
      <c r="J4" s="76" t="s">
        <v>89</v>
      </c>
      <c r="K4" s="79" t="s">
        <v>90</v>
      </c>
      <c r="L4" s="222" t="s">
        <v>17</v>
      </c>
      <c r="M4" s="221"/>
      <c r="N4" s="80" t="s">
        <v>17</v>
      </c>
      <c r="O4" s="80" t="s">
        <v>16</v>
      </c>
      <c r="P4" s="80" t="s">
        <v>18</v>
      </c>
      <c r="Q4" s="80" t="s">
        <v>19</v>
      </c>
      <c r="R4" s="81" t="s">
        <v>91</v>
      </c>
      <c r="S4" s="81" t="s">
        <v>91</v>
      </c>
      <c r="T4" s="80"/>
      <c r="U4" s="76"/>
      <c r="V4" s="81" t="s">
        <v>92</v>
      </c>
      <c r="W4" s="81" t="s">
        <v>92</v>
      </c>
      <c r="X4" s="80"/>
      <c r="Y4" s="80"/>
      <c r="Z4" s="81" t="s">
        <v>93</v>
      </c>
      <c r="AA4" s="81" t="s">
        <v>93</v>
      </c>
      <c r="AB4" s="82"/>
      <c r="AD4" s="62" t="s">
        <v>2</v>
      </c>
      <c r="AE4" s="83" t="str">
        <f>S3</f>
        <v>Average specific CPC conc.</v>
      </c>
      <c r="AF4" s="62" t="s">
        <v>15</v>
      </c>
      <c r="AG4" s="83" t="str">
        <f>W3</f>
        <v>Average total CPC</v>
      </c>
      <c r="AH4" s="62" t="s">
        <v>15</v>
      </c>
    </row>
    <row r="5" spans="1:34" x14ac:dyDescent="0.2">
      <c r="A5" s="64"/>
      <c r="B5" s="194" t="s">
        <v>9</v>
      </c>
      <c r="C5" s="197">
        <v>0.51041666666666663</v>
      </c>
      <c r="D5" s="200">
        <v>23.016666666666666</v>
      </c>
      <c r="E5" s="85" t="s">
        <v>94</v>
      </c>
      <c r="F5" s="203">
        <v>4.6699999999999998E-2</v>
      </c>
      <c r="G5" s="206">
        <v>4.65E-2</v>
      </c>
      <c r="H5" s="86">
        <f>0.1344-F5</f>
        <v>8.77E-2</v>
      </c>
      <c r="I5" s="88">
        <f>0.149-F5</f>
        <v>0.1023</v>
      </c>
      <c r="J5" s="88">
        <f>0.0897-G5</f>
        <v>4.3200000000000002E-2</v>
      </c>
      <c r="K5" s="88">
        <f>0.1019-G5</f>
        <v>5.5400000000000005E-2</v>
      </c>
      <c r="L5" s="88">
        <f>(H5-(0.605*J5))/6.17</f>
        <v>9.9779578606158832E-3</v>
      </c>
      <c r="M5" s="88">
        <f>(I5-(0.605*K5))/6.17</f>
        <v>1.1147974068071312E-2</v>
      </c>
      <c r="N5" s="88">
        <f>AVERAGE(L5:M5)</f>
        <v>1.0562965964343599E-2</v>
      </c>
      <c r="O5" s="62">
        <f>'Growth curves UTEX #1926'!F8</f>
        <v>0.16800000000000001</v>
      </c>
      <c r="P5" s="88">
        <f>1.2596*O5</f>
        <v>0.21161280000000002</v>
      </c>
      <c r="Q5" s="89">
        <f>P5*1/1000</f>
        <v>2.1161280000000002E-4</v>
      </c>
      <c r="R5" s="90">
        <f>(N5*0.5)/Q5</f>
        <v>24.958239681965356</v>
      </c>
      <c r="S5" s="91"/>
      <c r="V5" s="92">
        <f>R5*P5</f>
        <v>5.2814829821717986</v>
      </c>
      <c r="W5" s="91"/>
      <c r="AA5" s="91"/>
      <c r="AB5" s="84"/>
      <c r="AD5" s="93">
        <f>D5</f>
        <v>23.016666666666666</v>
      </c>
      <c r="AE5" s="92">
        <f>S7</f>
        <v>25.076869209081522</v>
      </c>
      <c r="AF5" s="92">
        <f>U7</f>
        <v>0.33798682719056711</v>
      </c>
      <c r="AG5" s="92">
        <f>W7</f>
        <v>4.9546799027552675</v>
      </c>
      <c r="AH5" s="92">
        <f>Y7</f>
        <v>0.17921289979218891</v>
      </c>
    </row>
    <row r="6" spans="1:34" ht="15" customHeight="1" x14ac:dyDescent="0.2">
      <c r="A6" s="64"/>
      <c r="B6" s="194"/>
      <c r="C6" s="197"/>
      <c r="D6" s="200"/>
      <c r="E6" s="85" t="s">
        <v>95</v>
      </c>
      <c r="F6" s="203"/>
      <c r="G6" s="206"/>
      <c r="H6" s="86">
        <f>0.1264-F5</f>
        <v>7.9700000000000021E-2</v>
      </c>
      <c r="I6" s="88">
        <f>0.1302-F5</f>
        <v>8.3500000000000019E-2</v>
      </c>
      <c r="J6" s="88">
        <f>0.0841-G5</f>
        <v>3.7599999999999995E-2</v>
      </c>
      <c r="K6" s="88">
        <f>0.0884-G5</f>
        <v>4.1900000000000007E-2</v>
      </c>
      <c r="L6" s="88">
        <f t="shared" ref="L6:L46" si="0">(H6-(0.605*J6))/6.17</f>
        <v>9.23047001620746E-3</v>
      </c>
      <c r="M6" s="88">
        <f t="shared" ref="M6:M46" si="1">(I6-(0.605*K6))/6.17</f>
        <v>9.4247163695299861E-3</v>
      </c>
      <c r="N6" s="88">
        <f t="shared" ref="N6:N46" si="2">AVERAGE(L6:M6)</f>
        <v>9.3275931928687231E-3</v>
      </c>
      <c r="O6" s="88">
        <f>'Growth curves UTEX #1926'!G8</f>
        <v>0.14399999999999999</v>
      </c>
      <c r="P6" s="88">
        <f t="shared" ref="P6:P46" si="3">1.2596*O6</f>
        <v>0.1813824</v>
      </c>
      <c r="Q6" s="89">
        <f>P6*1/1000</f>
        <v>1.8138240000000001E-4</v>
      </c>
      <c r="R6" s="90">
        <f t="shared" ref="R6:R46" si="4">(N6*0.5)/Q6</f>
        <v>25.712509022012949</v>
      </c>
      <c r="S6" s="91"/>
      <c r="V6" s="92">
        <f t="shared" ref="V6:V46" si="5">R6*P6</f>
        <v>4.6637965964343611</v>
      </c>
      <c r="W6" s="91"/>
      <c r="AA6" s="91"/>
      <c r="AB6" s="84"/>
      <c r="AD6" s="93">
        <f>D8</f>
        <v>94.833333333333343</v>
      </c>
      <c r="AE6" s="92">
        <f>S10</f>
        <v>20.035872131521209</v>
      </c>
      <c r="AF6" s="92">
        <f>U10</f>
        <v>2.4090235910182254</v>
      </c>
      <c r="AG6" s="92">
        <f>W10</f>
        <v>14.570353862776878</v>
      </c>
      <c r="AH6" s="92">
        <f>Y10</f>
        <v>1.6292542559069703</v>
      </c>
    </row>
    <row r="7" spans="1:34" ht="15" customHeight="1" x14ac:dyDescent="0.2">
      <c r="A7" s="64"/>
      <c r="B7" s="208"/>
      <c r="C7" s="209"/>
      <c r="D7" s="210"/>
      <c r="E7" s="95" t="s">
        <v>96</v>
      </c>
      <c r="F7" s="203"/>
      <c r="G7" s="206"/>
      <c r="H7" s="96">
        <f>0.1238-F5</f>
        <v>7.7100000000000002E-2</v>
      </c>
      <c r="I7" s="98">
        <f>0.14-F5</f>
        <v>9.3300000000000022E-2</v>
      </c>
      <c r="J7" s="98">
        <f>0.0788-G5</f>
        <v>3.2299999999999995E-2</v>
      </c>
      <c r="K7" s="98">
        <f>0.0952-G5</f>
        <v>4.8700000000000007E-2</v>
      </c>
      <c r="L7" s="88">
        <f t="shared" si="0"/>
        <v>9.3287682333873592E-3</v>
      </c>
      <c r="M7" s="88">
        <f t="shared" si="1"/>
        <v>1.0346272285251219E-2</v>
      </c>
      <c r="N7" s="98">
        <f t="shared" si="2"/>
        <v>9.8375202593192889E-3</v>
      </c>
      <c r="O7" s="103">
        <f>'Growth curves UTEX #1926'!H8</f>
        <v>0.159</v>
      </c>
      <c r="P7" s="98">
        <f t="shared" si="3"/>
        <v>0.20027640000000002</v>
      </c>
      <c r="Q7" s="99">
        <f>P7*1/1000</f>
        <v>2.0027640000000002E-4</v>
      </c>
      <c r="R7" s="100">
        <f t="shared" si="4"/>
        <v>24.559858923266265</v>
      </c>
      <c r="S7" s="101">
        <f>AVERAGE(R5:R7)</f>
        <v>25.076869209081522</v>
      </c>
      <c r="T7" s="102">
        <f>STDEV(R5:R7)</f>
        <v>0.58541035698306432</v>
      </c>
      <c r="U7" s="102">
        <f>T7/SQRT(3)</f>
        <v>0.33798682719056711</v>
      </c>
      <c r="V7" s="102">
        <f t="shared" si="5"/>
        <v>4.9187601296596446</v>
      </c>
      <c r="W7" s="101">
        <f>AVERAGE(V5:V7)</f>
        <v>4.9546799027552675</v>
      </c>
      <c r="X7" s="102">
        <f>STDEV(V5:V7)</f>
        <v>0.31040584781182107</v>
      </c>
      <c r="Y7" s="102">
        <f>X7/SQRT(3)</f>
        <v>0.17921289979218891</v>
      </c>
      <c r="Z7" s="103"/>
      <c r="AA7" s="104"/>
      <c r="AB7" s="94"/>
      <c r="AD7" s="93">
        <f>D11</f>
        <v>118.85000000000001</v>
      </c>
      <c r="AE7" s="92">
        <f>S13</f>
        <v>24.168669808073314</v>
      </c>
      <c r="AF7" s="92">
        <f>U13</f>
        <v>1.1871951708567567</v>
      </c>
      <c r="AG7" s="92">
        <f>W13</f>
        <v>23.760831982712052</v>
      </c>
      <c r="AH7" s="92">
        <f>Y13</f>
        <v>1.3248075862732058</v>
      </c>
    </row>
    <row r="8" spans="1:34" x14ac:dyDescent="0.2">
      <c r="A8" s="64"/>
      <c r="B8" s="193" t="s">
        <v>27</v>
      </c>
      <c r="C8" s="196">
        <v>0.50277777777777777</v>
      </c>
      <c r="D8" s="199">
        <v>94.833333333333343</v>
      </c>
      <c r="E8" s="85" t="s">
        <v>94</v>
      </c>
      <c r="F8" s="203">
        <f>(0.0532+0.0381+0.0347)/3</f>
        <v>4.2000000000000003E-2</v>
      </c>
      <c r="G8" s="206">
        <f>(0.0532+0.039+0.0341)/3</f>
        <v>4.2099999999999999E-2</v>
      </c>
      <c r="H8" s="86">
        <f>0.1793-F8</f>
        <v>0.13729999999999998</v>
      </c>
      <c r="I8" s="88">
        <f>0.1772-F8</f>
        <v>0.13519999999999999</v>
      </c>
      <c r="J8" s="88">
        <f>0.1149-G8</f>
        <v>7.2800000000000004E-2</v>
      </c>
      <c r="K8" s="88">
        <f>0.1135-G8</f>
        <v>7.1400000000000005E-2</v>
      </c>
      <c r="L8" s="88">
        <f t="shared" si="0"/>
        <v>1.511442463533225E-2</v>
      </c>
      <c r="M8" s="88">
        <f t="shared" si="1"/>
        <v>1.4911345218800647E-2</v>
      </c>
      <c r="N8" s="88">
        <f t="shared" si="2"/>
        <v>1.5012884927066449E-2</v>
      </c>
      <c r="O8" s="88">
        <f>'Growth curves UTEX #1926'!F10</f>
        <v>0.54</v>
      </c>
      <c r="P8" s="88">
        <f t="shared" si="3"/>
        <v>0.68018400000000012</v>
      </c>
      <c r="Q8" s="89">
        <f>P8*0.5/1000</f>
        <v>3.4009200000000006E-4</v>
      </c>
      <c r="R8" s="90">
        <f t="shared" si="4"/>
        <v>22.07179958226957</v>
      </c>
      <c r="S8" s="108"/>
      <c r="T8" s="92"/>
      <c r="U8" s="92"/>
      <c r="V8" s="92">
        <f t="shared" si="5"/>
        <v>15.012884927066448</v>
      </c>
      <c r="W8" s="108"/>
      <c r="X8" s="92"/>
      <c r="Y8" s="92"/>
      <c r="Z8" s="92">
        <f>(V8-$V$5)/(D8-$D$5)</f>
        <v>0.13550339213127846</v>
      </c>
      <c r="AA8" s="108"/>
      <c r="AB8" s="84"/>
      <c r="AD8" s="93">
        <f>D14</f>
        <v>191.35</v>
      </c>
      <c r="AE8" s="92">
        <v>48.128541426380039</v>
      </c>
      <c r="AF8" s="92">
        <f>U16</f>
        <v>12.103924046087371</v>
      </c>
      <c r="AG8" s="92">
        <v>86.240849213483131</v>
      </c>
      <c r="AH8" s="92">
        <f>Y16</f>
        <v>21.583266545067236</v>
      </c>
    </row>
    <row r="9" spans="1:34" ht="15" customHeight="1" x14ac:dyDescent="0.2">
      <c r="A9" s="64"/>
      <c r="B9" s="194"/>
      <c r="C9" s="197"/>
      <c r="D9" s="200"/>
      <c r="E9" s="85" t="s">
        <v>95</v>
      </c>
      <c r="F9" s="203"/>
      <c r="G9" s="206"/>
      <c r="H9" s="86">
        <f>0.1947-F8</f>
        <v>0.1527</v>
      </c>
      <c r="I9" s="88">
        <f>0.1967-F8</f>
        <v>0.1547</v>
      </c>
      <c r="J9" s="88">
        <f>0.1207-G8</f>
        <v>7.8600000000000003E-2</v>
      </c>
      <c r="K9" s="88">
        <f>0.1219-G8</f>
        <v>7.9799999999999996E-2</v>
      </c>
      <c r="L9" s="88">
        <f t="shared" si="0"/>
        <v>1.704165316045381E-2</v>
      </c>
      <c r="M9" s="88">
        <f t="shared" si="1"/>
        <v>1.724813614262561E-2</v>
      </c>
      <c r="N9" s="88">
        <f t="shared" si="2"/>
        <v>1.7144894651539712E-2</v>
      </c>
      <c r="O9" s="88">
        <f>'Growth curves UTEX #1926'!G10</f>
        <v>0.59699999999999998</v>
      </c>
      <c r="P9" s="88">
        <f t="shared" si="3"/>
        <v>0.75198120000000002</v>
      </c>
      <c r="Q9" s="89">
        <f>P9*0.5/1000</f>
        <v>3.7599060000000003E-4</v>
      </c>
      <c r="R9" s="90">
        <f t="shared" si="4"/>
        <v>22.799632027422643</v>
      </c>
      <c r="S9" s="91"/>
      <c r="T9" s="92"/>
      <c r="U9" s="92"/>
      <c r="V9" s="92">
        <f t="shared" si="5"/>
        <v>17.144894651539712</v>
      </c>
      <c r="W9" s="108"/>
      <c r="X9" s="92"/>
      <c r="Y9" s="92"/>
      <c r="Z9" s="92">
        <f>(V9-$V$6)/(D8-$D$5)</f>
        <v>0.1737911077526853</v>
      </c>
      <c r="AA9" s="108"/>
      <c r="AB9" s="84"/>
      <c r="AD9" s="93">
        <f>D17</f>
        <v>216.28333333333333</v>
      </c>
      <c r="AE9" s="92">
        <v>56.039787669951046</v>
      </c>
      <c r="AF9" s="92">
        <f>U19</f>
        <v>0.86034066382829721</v>
      </c>
      <c r="AG9" s="92">
        <v>113.08918390012485</v>
      </c>
      <c r="AH9" s="92">
        <f>Y19</f>
        <v>1.7641747214975727</v>
      </c>
    </row>
    <row r="10" spans="1:34" ht="15" customHeight="1" x14ac:dyDescent="0.2">
      <c r="A10" s="64"/>
      <c r="B10" s="208"/>
      <c r="C10" s="209"/>
      <c r="D10" s="210"/>
      <c r="E10" s="95" t="s">
        <v>96</v>
      </c>
      <c r="F10" s="204"/>
      <c r="G10" s="207"/>
      <c r="H10" s="86">
        <f>0.139-F8</f>
        <v>9.7000000000000003E-2</v>
      </c>
      <c r="I10" s="88">
        <f>0.152-F8</f>
        <v>0.10999999999999999</v>
      </c>
      <c r="J10" s="88">
        <f>0.0898-G8</f>
        <v>4.7700000000000006E-2</v>
      </c>
      <c r="K10" s="88">
        <f>0.1009-G8</f>
        <v>5.8800000000000005E-2</v>
      </c>
      <c r="L10" s="88">
        <f t="shared" si="0"/>
        <v>1.1044003241491084E-2</v>
      </c>
      <c r="M10" s="88">
        <f t="shared" si="1"/>
        <v>1.206256077795786E-2</v>
      </c>
      <c r="N10" s="98">
        <f t="shared" si="2"/>
        <v>1.1553282009724473E-2</v>
      </c>
      <c r="O10" s="98">
        <f>'Growth curves UTEX #1926'!H10</f>
        <v>0.60199999999999998</v>
      </c>
      <c r="P10" s="98">
        <f t="shared" si="3"/>
        <v>0.75827920000000004</v>
      </c>
      <c r="Q10" s="99">
        <f>P10*0.5/1000</f>
        <v>3.791396E-4</v>
      </c>
      <c r="R10" s="100">
        <f t="shared" si="4"/>
        <v>15.236184784871421</v>
      </c>
      <c r="S10" s="101">
        <f>AVERAGE(R8:R10)</f>
        <v>20.035872131521209</v>
      </c>
      <c r="T10" s="102">
        <f>STDEV(R8:R10)</f>
        <v>4.172551256275594</v>
      </c>
      <c r="U10" s="102">
        <f>T10/SQRT(3)</f>
        <v>2.4090235910182254</v>
      </c>
      <c r="V10" s="102">
        <f t="shared" si="5"/>
        <v>11.553282009724473</v>
      </c>
      <c r="W10" s="101">
        <f>AVERAGE(V8:V10)</f>
        <v>14.570353862776878</v>
      </c>
      <c r="X10" s="102">
        <f>STDEV(V8:V10)</f>
        <v>2.8219511496786978</v>
      </c>
      <c r="Y10" s="102">
        <f>X10/SQRT(3)</f>
        <v>1.6292542559069703</v>
      </c>
      <c r="Z10" s="102">
        <f>(V10-$V$7)/(D8-$D$5)</f>
        <v>9.2381367557180238E-2</v>
      </c>
      <c r="AA10" s="101">
        <f>AVERAGE(Z8:Z10)</f>
        <v>0.13389195581371466</v>
      </c>
      <c r="AB10" s="109">
        <f>STDEV(Z8:Z10)/SQRT(3)</f>
        <v>2.3514775460896083E-2</v>
      </c>
      <c r="AD10" s="93">
        <f>D20</f>
        <v>240.18333333333334</v>
      </c>
      <c r="AE10" s="92">
        <v>50.070902921316701</v>
      </c>
      <c r="AF10" s="92">
        <f>U22</f>
        <v>4.8166597052094167</v>
      </c>
      <c r="AG10" s="92">
        <v>90.265121822721611</v>
      </c>
      <c r="AH10" s="92">
        <f>Y22</f>
        <v>8.6516077024976354</v>
      </c>
    </row>
    <row r="11" spans="1:34" x14ac:dyDescent="0.2">
      <c r="A11" s="64"/>
      <c r="B11" s="193" t="s">
        <v>28</v>
      </c>
      <c r="C11" s="196">
        <v>0.50347222222222221</v>
      </c>
      <c r="D11" s="199">
        <v>118.85000000000001</v>
      </c>
      <c r="E11" s="85" t="s">
        <v>94</v>
      </c>
      <c r="F11" s="202">
        <v>4.5199999999999997E-2</v>
      </c>
      <c r="G11" s="205">
        <v>4.4499999999999998E-2</v>
      </c>
      <c r="H11" s="106">
        <f>0.1449-F11</f>
        <v>9.9700000000000011E-2</v>
      </c>
      <c r="I11" s="110">
        <f>0.1425-F11</f>
        <v>9.7299999999999998E-2</v>
      </c>
      <c r="J11" s="110">
        <f>0.099-G11</f>
        <v>5.4500000000000007E-2</v>
      </c>
      <c r="K11" s="110">
        <f>0.0968-G11</f>
        <v>5.2299999999999999E-2</v>
      </c>
      <c r="L11" s="88">
        <f t="shared" si="0"/>
        <v>1.0814829821717992E-2</v>
      </c>
      <c r="M11" s="88">
        <f t="shared" si="1"/>
        <v>1.0641572123176663E-2</v>
      </c>
      <c r="N11" s="88">
        <f t="shared" si="2"/>
        <v>1.0728200972447328E-2</v>
      </c>
      <c r="O11" s="88">
        <f>'Growth curves UTEX #1926'!F11</f>
        <v>0.77200000000000002</v>
      </c>
      <c r="P11" s="88">
        <f t="shared" si="3"/>
        <v>0.97241120000000003</v>
      </c>
      <c r="Q11" s="111">
        <f>P11*0.25/1000</f>
        <v>2.4310280000000001E-4</v>
      </c>
      <c r="R11" s="90">
        <f t="shared" si="4"/>
        <v>22.065153039058636</v>
      </c>
      <c r="S11" s="108"/>
      <c r="T11" s="92"/>
      <c r="U11" s="92"/>
      <c r="V11" s="92">
        <f t="shared" si="5"/>
        <v>21.456401944894655</v>
      </c>
      <c r="W11" s="108"/>
      <c r="X11" s="92"/>
      <c r="Y11" s="92"/>
      <c r="Z11" s="92">
        <f t="shared" ref="Z11:Z44" si="6">(V11-$V$5)/(D11-$D$5)</f>
        <v>0.16878176308928197</v>
      </c>
      <c r="AA11" s="108"/>
      <c r="AB11" s="115"/>
      <c r="AD11" s="93">
        <f>D23</f>
        <v>264.18333333333334</v>
      </c>
      <c r="AE11" s="92">
        <v>48.371382405685814</v>
      </c>
      <c r="AF11" s="92">
        <f>U25</f>
        <v>2.8979032559835343</v>
      </c>
      <c r="AG11" s="92">
        <v>100.67588000000001</v>
      </c>
      <c r="AH11" s="92">
        <f>Y25</f>
        <v>5.4050905661828104</v>
      </c>
    </row>
    <row r="12" spans="1:34" ht="15" customHeight="1" x14ac:dyDescent="0.2">
      <c r="A12" s="64"/>
      <c r="B12" s="194"/>
      <c r="C12" s="197"/>
      <c r="D12" s="200"/>
      <c r="E12" s="85" t="s">
        <v>95</v>
      </c>
      <c r="F12" s="203"/>
      <c r="G12" s="206"/>
      <c r="H12" s="86">
        <f>0.165-F11</f>
        <v>0.11980000000000002</v>
      </c>
      <c r="I12" s="88">
        <f>0.161-F11</f>
        <v>0.11580000000000001</v>
      </c>
      <c r="J12" s="88">
        <f>0.1083-G11</f>
        <v>6.3799999999999996E-2</v>
      </c>
      <c r="K12" s="88">
        <f>0.1045-G11</f>
        <v>0.06</v>
      </c>
      <c r="L12" s="88">
        <f t="shared" si="0"/>
        <v>1.3160615883306324E-2</v>
      </c>
      <c r="M12" s="88">
        <f t="shared" si="1"/>
        <v>1.288492706645057E-2</v>
      </c>
      <c r="N12" s="88">
        <f t="shared" si="2"/>
        <v>1.3022771474878448E-2</v>
      </c>
      <c r="O12" s="88">
        <f>'Growth curves UTEX #1926'!G11</f>
        <v>0.79</v>
      </c>
      <c r="P12" s="88">
        <f t="shared" si="3"/>
        <v>0.99508400000000008</v>
      </c>
      <c r="Q12" s="89">
        <f>P12*0.25/1000</f>
        <v>2.4877100000000001E-4</v>
      </c>
      <c r="R12" s="90">
        <f t="shared" si="4"/>
        <v>26.174215392627051</v>
      </c>
      <c r="S12" s="91"/>
      <c r="T12" s="92"/>
      <c r="U12" s="92"/>
      <c r="V12" s="92">
        <f t="shared" si="5"/>
        <v>26.0455429497569</v>
      </c>
      <c r="W12" s="108"/>
      <c r="X12" s="92"/>
      <c r="Y12" s="92"/>
      <c r="Z12" s="92">
        <f>(V12-$V$6)/(D11-$D$5)</f>
        <v>0.2231138749911917</v>
      </c>
      <c r="AA12" s="108"/>
      <c r="AB12" s="115"/>
      <c r="AD12" s="93">
        <f>D26</f>
        <v>288.18333333333334</v>
      </c>
      <c r="AE12" s="92">
        <v>49.747677512492949</v>
      </c>
      <c r="AF12" s="92">
        <f>U28</f>
        <v>3.1390023822617223</v>
      </c>
      <c r="AG12" s="92">
        <v>105.7587</v>
      </c>
      <c r="AH12" s="92">
        <f>Y28</f>
        <v>6.8372318455689571</v>
      </c>
    </row>
    <row r="13" spans="1:34" ht="15" customHeight="1" x14ac:dyDescent="0.2">
      <c r="A13" s="64"/>
      <c r="B13" s="208"/>
      <c r="C13" s="209"/>
      <c r="D13" s="210"/>
      <c r="E13" s="95" t="s">
        <v>96</v>
      </c>
      <c r="F13" s="204"/>
      <c r="G13" s="207"/>
      <c r="H13" s="96">
        <f>0.1558-F11</f>
        <v>0.1106</v>
      </c>
      <c r="I13" s="98">
        <f>0.1532-F11</f>
        <v>0.10800000000000001</v>
      </c>
      <c r="J13" s="98">
        <f>0.1056-G11</f>
        <v>6.1100000000000002E-2</v>
      </c>
      <c r="K13" s="98">
        <f>0.1022-G11</f>
        <v>5.7700000000000001E-2</v>
      </c>
      <c r="L13" s="88">
        <f t="shared" si="0"/>
        <v>1.1934278768233388E-2</v>
      </c>
      <c r="M13" s="88">
        <f t="shared" si="1"/>
        <v>1.1846272285251216E-2</v>
      </c>
      <c r="N13" s="98">
        <f t="shared" si="2"/>
        <v>1.1890275526742301E-2</v>
      </c>
      <c r="O13" s="98">
        <f>'Growth curves UTEX #1926'!H11</f>
        <v>0.77800000000000002</v>
      </c>
      <c r="P13" s="98">
        <f t="shared" si="3"/>
        <v>0.97996880000000008</v>
      </c>
      <c r="Q13" s="99">
        <f>P13*0.25/1000</f>
        <v>2.4499220000000004E-4</v>
      </c>
      <c r="R13" s="100">
        <f t="shared" si="4"/>
        <v>24.266640992534249</v>
      </c>
      <c r="S13" s="101">
        <f>AVERAGE(R11:R13)</f>
        <v>24.168669808073314</v>
      </c>
      <c r="T13" s="102">
        <f>STDEV(R11:R13)</f>
        <v>2.0562823544243165</v>
      </c>
      <c r="U13" s="102">
        <f>T13/SQRT(3)</f>
        <v>1.1871951708567567</v>
      </c>
      <c r="V13" s="102">
        <f t="shared" si="5"/>
        <v>23.780551053484601</v>
      </c>
      <c r="W13" s="101">
        <f>AVERAGE(V11:V13)</f>
        <v>23.760831982712052</v>
      </c>
      <c r="X13" s="102">
        <f>STDEV(V11:V13)</f>
        <v>2.2946340496778812</v>
      </c>
      <c r="Y13" s="102">
        <f>X13/SQRT(3)</f>
        <v>1.3248075862732058</v>
      </c>
      <c r="Z13" s="102">
        <f>(V13-$V$7)/(D11-$D$5)</f>
        <v>0.19681868790078214</v>
      </c>
      <c r="AA13" s="101">
        <f>AVERAGE(Z11:Z13)</f>
        <v>0.1962381086604186</v>
      </c>
      <c r="AB13" s="109">
        <f>STDEV(Z11:Z13)/SQRT(3)</f>
        <v>1.5687015863670713E-2</v>
      </c>
      <c r="AD13" s="93">
        <f>D29</f>
        <v>312.08333333333331</v>
      </c>
      <c r="AE13" s="92">
        <v>47.490378393618272</v>
      </c>
      <c r="AF13" s="92">
        <f>U31</f>
        <v>2.1450071951421128</v>
      </c>
      <c r="AG13" s="92">
        <v>107.26058763631603</v>
      </c>
      <c r="AH13" s="92">
        <f>Y31</f>
        <v>4.6415228907344011</v>
      </c>
    </row>
    <row r="14" spans="1:34" x14ac:dyDescent="0.2">
      <c r="A14" s="64"/>
      <c r="B14" s="193" t="s">
        <v>30</v>
      </c>
      <c r="C14" s="196">
        <v>0.52430555555555558</v>
      </c>
      <c r="D14" s="199">
        <v>191.35</v>
      </c>
      <c r="E14" s="85" t="s">
        <v>94</v>
      </c>
      <c r="F14" s="202">
        <v>3.6400000000000002E-2</v>
      </c>
      <c r="G14" s="205">
        <v>3.5099999999999999E-2</v>
      </c>
      <c r="H14" s="106">
        <f>0.1757-F14</f>
        <v>0.13929999999999998</v>
      </c>
      <c r="I14" s="110">
        <f>0.1717-F14</f>
        <v>0.13529999999999998</v>
      </c>
      <c r="J14" s="110">
        <f>0.1278-G14</f>
        <v>9.2700000000000005E-2</v>
      </c>
      <c r="K14" s="110">
        <f>0.1244-G14</f>
        <v>8.929999999999999E-2</v>
      </c>
      <c r="L14" s="88">
        <f t="shared" si="0"/>
        <v>1.348727714748784E-2</v>
      </c>
      <c r="M14" s="88">
        <f t="shared" si="1"/>
        <v>1.3172366288492705E-2</v>
      </c>
      <c r="N14" s="88">
        <f t="shared" si="2"/>
        <v>1.3329821717990274E-2</v>
      </c>
      <c r="O14" s="88">
        <f>'Growth curves UTEX #1926'!F13</f>
        <v>1.3839999999999999</v>
      </c>
      <c r="P14" s="88">
        <f t="shared" si="3"/>
        <v>1.7432863999999999</v>
      </c>
      <c r="Q14" s="111">
        <f t="shared" ref="Q14:Q22" si="7">O14*0.125/1000</f>
        <v>1.7299999999999998E-4</v>
      </c>
      <c r="R14" s="90">
        <f t="shared" si="4"/>
        <v>38.525496294769582</v>
      </c>
      <c r="S14" s="108"/>
      <c r="T14" s="92"/>
      <c r="U14" s="92"/>
      <c r="V14" s="92">
        <f t="shared" si="5"/>
        <v>67.160973743922199</v>
      </c>
      <c r="W14" s="108"/>
      <c r="X14" s="92"/>
      <c r="Y14" s="92"/>
      <c r="Z14" s="92">
        <f t="shared" si="6"/>
        <v>0.36760093521831927</v>
      </c>
      <c r="AA14" s="108"/>
      <c r="AB14" s="115"/>
      <c r="AD14" s="93">
        <f>D32</f>
        <v>336.08333333333331</v>
      </c>
      <c r="AE14" s="92">
        <v>47.465284005064973</v>
      </c>
      <c r="AF14" s="92">
        <f>U34</f>
        <v>6.0315777209601045</v>
      </c>
      <c r="AG14" s="92">
        <v>115.265121822721</v>
      </c>
      <c r="AH14" s="92">
        <f>Y34</f>
        <v>21.042950885569905</v>
      </c>
    </row>
    <row r="15" spans="1:34" ht="15" customHeight="1" x14ac:dyDescent="0.2">
      <c r="A15" s="64"/>
      <c r="B15" s="194"/>
      <c r="C15" s="197"/>
      <c r="D15" s="200"/>
      <c r="E15" s="85" t="s">
        <v>95</v>
      </c>
      <c r="F15" s="203"/>
      <c r="G15" s="206"/>
      <c r="H15" s="86">
        <f>0.1738-F14</f>
        <v>0.13740000000000002</v>
      </c>
      <c r="I15" s="88">
        <f>0.168-F14</f>
        <v>0.13159999999999999</v>
      </c>
      <c r="J15" s="88">
        <f>0.1343-G14</f>
        <v>9.920000000000001E-2</v>
      </c>
      <c r="K15" s="88">
        <f>0.1294-G14</f>
        <v>9.4299999999999995E-2</v>
      </c>
      <c r="L15" s="88">
        <f t="shared" si="0"/>
        <v>1.2541977309562401E-2</v>
      </c>
      <c r="M15" s="88">
        <f t="shared" si="1"/>
        <v>1.2082414910858994E-2</v>
      </c>
      <c r="N15" s="88">
        <f t="shared" si="2"/>
        <v>1.2312196110210697E-2</v>
      </c>
      <c r="O15" s="88">
        <f>'Growth curves UTEX #1926'!G13</f>
        <v>1.466</v>
      </c>
      <c r="P15" s="88">
        <f t="shared" si="3"/>
        <v>1.8465736000000001</v>
      </c>
      <c r="Q15" s="89">
        <f t="shared" si="7"/>
        <v>1.8325000000000001E-4</v>
      </c>
      <c r="R15" s="90">
        <f t="shared" si="4"/>
        <v>33.593986658146513</v>
      </c>
      <c r="S15" s="91"/>
      <c r="T15" s="92"/>
      <c r="U15" s="92"/>
      <c r="V15" s="92">
        <f t="shared" si="5"/>
        <v>62.033768881685582</v>
      </c>
      <c r="W15" s="108"/>
      <c r="X15" s="92"/>
      <c r="Y15" s="92"/>
      <c r="Z15" s="92">
        <f>(V15-$V$6)/(D14-$D$5)</f>
        <v>0.34081171654604692</v>
      </c>
      <c r="AA15" s="108"/>
      <c r="AB15" s="115"/>
      <c r="AD15" s="93">
        <f>D35</f>
        <v>360.08333333333331</v>
      </c>
      <c r="AE15" s="92">
        <v>50.247459768308502</v>
      </c>
      <c r="AF15" s="92">
        <f>U37</f>
        <v>2.0848444774344519</v>
      </c>
      <c r="AG15" s="92">
        <v>131.07958208489387</v>
      </c>
      <c r="AH15" s="92">
        <f>Y37</f>
        <v>8.9197286478846216</v>
      </c>
    </row>
    <row r="16" spans="1:34" ht="15" customHeight="1" x14ac:dyDescent="0.2">
      <c r="A16" s="64"/>
      <c r="B16" s="208"/>
      <c r="C16" s="209"/>
      <c r="D16" s="210"/>
      <c r="E16" s="95" t="s">
        <v>96</v>
      </c>
      <c r="F16" s="204"/>
      <c r="G16" s="207"/>
      <c r="H16" s="96"/>
      <c r="I16" s="98"/>
      <c r="J16" s="98"/>
      <c r="K16" s="98"/>
      <c r="L16" s="88">
        <f t="shared" si="0"/>
        <v>0</v>
      </c>
      <c r="M16" s="88">
        <f t="shared" si="1"/>
        <v>0</v>
      </c>
      <c r="N16" s="98">
        <f t="shared" si="2"/>
        <v>0</v>
      </c>
      <c r="O16" s="98">
        <f>'Growth curves UTEX #1926'!H13</f>
        <v>1.36</v>
      </c>
      <c r="P16" s="98">
        <f t="shared" si="3"/>
        <v>1.7130560000000001</v>
      </c>
      <c r="Q16" s="99">
        <f t="shared" si="7"/>
        <v>1.7000000000000001E-4</v>
      </c>
      <c r="R16" s="100">
        <f t="shared" si="4"/>
        <v>0</v>
      </c>
      <c r="S16" s="101">
        <f>AVERAGE(R14:R16)</f>
        <v>24.039827650972029</v>
      </c>
      <c r="T16" s="102">
        <f>STDEV(R14:R16)</f>
        <v>20.964611418777984</v>
      </c>
      <c r="U16" s="102">
        <f>T16/SQRT(3)</f>
        <v>12.103924046087371</v>
      </c>
      <c r="V16" s="102">
        <f t="shared" si="5"/>
        <v>0</v>
      </c>
      <c r="W16" s="101">
        <f>AVERAGE(V14:V16)</f>
        <v>43.064914208535924</v>
      </c>
      <c r="X16" s="102">
        <f>STDEV(V14:V16)</f>
        <v>37.383314249358037</v>
      </c>
      <c r="Y16" s="102">
        <f>X16/SQRT(3)</f>
        <v>21.583266545067236</v>
      </c>
      <c r="Z16" s="102">
        <f>(V16-$V$7)/(D14-$D$5)</f>
        <v>-2.9220357205898884E-2</v>
      </c>
      <c r="AA16" s="101">
        <f>AVERAGE(Z14:Z16)</f>
        <v>0.2263974315194891</v>
      </c>
      <c r="AB16" s="109">
        <f>STDEV(Z14:Z16)/SQRT(3)</f>
        <v>0.12804264393020334</v>
      </c>
      <c r="AD16" s="93">
        <f>D38</f>
        <v>384.08333333333331</v>
      </c>
      <c r="AE16" s="92">
        <v>54.025993013885</v>
      </c>
      <c r="AF16" s="92">
        <f>U40</f>
        <v>5.5402082838173996</v>
      </c>
      <c r="AG16" s="92">
        <v>178.07215980024975</v>
      </c>
      <c r="AH16" s="92">
        <f>Y40</f>
        <v>17.465805378413386</v>
      </c>
    </row>
    <row r="17" spans="1:34" x14ac:dyDescent="0.2">
      <c r="A17" s="64"/>
      <c r="B17" s="193" t="s">
        <v>31</v>
      </c>
      <c r="C17" s="196">
        <v>0.56319444444444444</v>
      </c>
      <c r="D17" s="199">
        <v>216.28333333333333</v>
      </c>
      <c r="E17" s="85" t="s">
        <v>94</v>
      </c>
      <c r="F17" s="202">
        <f>(0.0517+0.038+0.0419)/3</f>
        <v>4.3866666666666665E-2</v>
      </c>
      <c r="G17" s="205">
        <f>(0.0509+0.0369+0.0407)/3</f>
        <v>4.2833333333333334E-2</v>
      </c>
      <c r="H17" s="106">
        <f>0.2051-F17</f>
        <v>0.16123333333333334</v>
      </c>
      <c r="I17" s="110">
        <f>0.1987-F17</f>
        <v>0.15483333333333332</v>
      </c>
      <c r="J17" s="110">
        <f>0.1354-G17</f>
        <v>9.2566666666666658E-2</v>
      </c>
      <c r="K17" s="110">
        <f>0.1306-G17</f>
        <v>8.776666666666666E-2</v>
      </c>
      <c r="L17" s="88">
        <f t="shared" si="0"/>
        <v>1.7055186385737438E-2</v>
      </c>
      <c r="M17" s="88"/>
      <c r="N17" s="88">
        <f t="shared" si="2"/>
        <v>1.7055186385737438E-2</v>
      </c>
      <c r="O17" s="88">
        <f>'Growth curves UTEX #1926'!F14</f>
        <v>1.522</v>
      </c>
      <c r="P17" s="88">
        <f t="shared" si="3"/>
        <v>1.9171112000000001</v>
      </c>
      <c r="Q17" s="111">
        <f t="shared" si="7"/>
        <v>1.9024999999999999E-4</v>
      </c>
      <c r="R17" s="90">
        <f t="shared" si="4"/>
        <v>44.823091683935452</v>
      </c>
      <c r="S17" s="91"/>
      <c r="V17" s="92">
        <f t="shared" si="5"/>
        <v>85.930851085899519</v>
      </c>
      <c r="W17" s="108"/>
      <c r="X17" s="92"/>
      <c r="Y17" s="92"/>
      <c r="Z17" s="92">
        <f t="shared" si="6"/>
        <v>0.41729579908793235</v>
      </c>
      <c r="AA17" s="108"/>
      <c r="AB17" s="115"/>
      <c r="AD17" s="93">
        <f>D41</f>
        <v>408.08333333333331</v>
      </c>
      <c r="AE17" s="92">
        <v>52.499498287279103</v>
      </c>
      <c r="AF17" s="92">
        <f>U43</f>
        <v>6.5953148016638004</v>
      </c>
      <c r="AG17" s="92">
        <v>179.70377652933834</v>
      </c>
      <c r="AH17" s="92">
        <f>Y43</f>
        <v>19.937410335588908</v>
      </c>
    </row>
    <row r="18" spans="1:34" ht="15" customHeight="1" x14ac:dyDescent="0.2">
      <c r="A18" s="64"/>
      <c r="B18" s="194"/>
      <c r="C18" s="197"/>
      <c r="D18" s="200"/>
      <c r="E18" s="85" t="s">
        <v>95</v>
      </c>
      <c r="F18" s="203"/>
      <c r="G18" s="206"/>
      <c r="H18" s="86">
        <f>0.2203-F17</f>
        <v>0.17643333333333333</v>
      </c>
      <c r="I18" s="88">
        <f>0.2134-F17</f>
        <v>0.16953333333333334</v>
      </c>
      <c r="J18" s="88">
        <f>0.1469-G17</f>
        <v>0.10406666666666667</v>
      </c>
      <c r="K18" s="88">
        <f>0.139-G17</f>
        <v>9.6166666666666678E-2</v>
      </c>
      <c r="L18" s="88">
        <f t="shared" si="0"/>
        <v>1.8391085899513777E-2</v>
      </c>
      <c r="M18" s="88">
        <f t="shared" si="1"/>
        <v>1.804740680713128E-2</v>
      </c>
      <c r="N18" s="88">
        <f t="shared" si="2"/>
        <v>1.8219246353322529E-2</v>
      </c>
      <c r="O18" s="88">
        <f>'Growth curves UTEX #1926'!G14</f>
        <v>1.6379999999999999</v>
      </c>
      <c r="P18" s="88">
        <f t="shared" si="3"/>
        <v>2.0632248</v>
      </c>
      <c r="Q18" s="89">
        <f t="shared" si="7"/>
        <v>2.0474999999999999E-4</v>
      </c>
      <c r="R18" s="90">
        <f t="shared" si="4"/>
        <v>44.491444086257701</v>
      </c>
      <c r="S18" s="91"/>
      <c r="V18" s="92">
        <f t="shared" si="5"/>
        <v>91.795850826580221</v>
      </c>
      <c r="W18" s="108"/>
      <c r="X18" s="92"/>
      <c r="Y18" s="92"/>
      <c r="Z18" s="92">
        <f>(V18-$V$6)/(D17-$D$5)</f>
        <v>0.45083850067340048</v>
      </c>
      <c r="AA18" s="108"/>
      <c r="AB18" s="115"/>
      <c r="AD18" s="93">
        <f>D44</f>
        <v>432.25</v>
      </c>
      <c r="AE18" s="92">
        <v>57.700529324456795</v>
      </c>
      <c r="AF18" s="92">
        <f>U46</f>
        <v>2.4760856729234715</v>
      </c>
      <c r="AG18" s="92">
        <v>200.63245942571788</v>
      </c>
      <c r="AH18" s="92">
        <f>Y46</f>
        <v>16.516400873332007</v>
      </c>
    </row>
    <row r="19" spans="1:34" ht="15" customHeight="1" x14ac:dyDescent="0.2">
      <c r="A19" s="64"/>
      <c r="B19" s="208"/>
      <c r="C19" s="209"/>
      <c r="D19" s="210"/>
      <c r="E19" s="95" t="s">
        <v>96</v>
      </c>
      <c r="F19" s="204"/>
      <c r="G19" s="207"/>
      <c r="H19" s="86">
        <f>0.2058-F17</f>
        <v>0.16193333333333335</v>
      </c>
      <c r="I19" s="88">
        <f>0.208-F17</f>
        <v>0.16413333333333333</v>
      </c>
      <c r="J19" s="88">
        <f>0.1349-G17</f>
        <v>9.2066666666666658E-2</v>
      </c>
      <c r="K19" s="88">
        <f>0.136-G17</f>
        <v>9.3166666666666675E-2</v>
      </c>
      <c r="L19" s="88">
        <f t="shared" si="0"/>
        <v>1.7217666126418157E-2</v>
      </c>
      <c r="M19" s="88">
        <f t="shared" si="1"/>
        <v>1.7466369529983792E-2</v>
      </c>
      <c r="N19" s="98">
        <f t="shared" si="2"/>
        <v>1.7342017828200974E-2</v>
      </c>
      <c r="O19" s="98">
        <f>'Growth curves UTEX #1926'!H14</f>
        <v>1.6479999999999999</v>
      </c>
      <c r="P19" s="98">
        <f t="shared" si="3"/>
        <v>2.0758207999999998</v>
      </c>
      <c r="Q19" s="99">
        <f t="shared" si="7"/>
        <v>2.0599999999999999E-4</v>
      </c>
      <c r="R19" s="100">
        <f t="shared" si="4"/>
        <v>42.092276282041205</v>
      </c>
      <c r="S19" s="101">
        <f>AVERAGE(R17:R19)</f>
        <v>43.802270684078117</v>
      </c>
      <c r="T19" s="102">
        <f>STDEV(R17:R19)</f>
        <v>1.4901537415681461</v>
      </c>
      <c r="U19" s="102">
        <f>T19/SQRT(3)</f>
        <v>0.86034066382829721</v>
      </c>
      <c r="V19" s="102">
        <f t="shared" si="5"/>
        <v>87.376022625607789</v>
      </c>
      <c r="W19" s="101">
        <f>AVERAGE(V17:V19)</f>
        <v>88.367574846029171</v>
      </c>
      <c r="X19" s="102">
        <f>STDEV(V17:V19)</f>
        <v>3.0556402510624698</v>
      </c>
      <c r="Y19" s="102">
        <f>X19/SQRT(3)</f>
        <v>1.7641747214975727</v>
      </c>
      <c r="Z19" s="102">
        <f>(V19-$V$7)/(D17-$D$5)</f>
        <v>0.42665020263512321</v>
      </c>
      <c r="AA19" s="101">
        <f>AVERAGE(Z17:Z19)</f>
        <v>0.43159483413215199</v>
      </c>
      <c r="AB19" s="109">
        <f>STDEV(Z17:Z19)/SQRT(3)</f>
        <v>9.9935853241633378E-3</v>
      </c>
      <c r="AD19" s="93"/>
      <c r="AE19" s="92"/>
      <c r="AF19" s="92"/>
      <c r="AG19" s="92"/>
      <c r="AH19" s="92"/>
    </row>
    <row r="20" spans="1:34" x14ac:dyDescent="0.2">
      <c r="A20" s="64"/>
      <c r="B20" s="193" t="s">
        <v>38</v>
      </c>
      <c r="C20" s="196">
        <v>0.55902777777777779</v>
      </c>
      <c r="D20" s="199">
        <v>240.18333333333334</v>
      </c>
      <c r="E20" s="85" t="s">
        <v>94</v>
      </c>
      <c r="F20" s="202">
        <f>0.0468</f>
        <v>4.6800000000000001E-2</v>
      </c>
      <c r="G20" s="205">
        <v>4.5199999999999997E-2</v>
      </c>
      <c r="H20" s="86">
        <f>0.2968-F20</f>
        <v>0.25</v>
      </c>
      <c r="I20" s="88">
        <f>0.3226-F20</f>
        <v>0.27579999999999999</v>
      </c>
      <c r="J20" s="88">
        <f>0.1865-G20</f>
        <v>0.14130000000000001</v>
      </c>
      <c r="K20" s="88">
        <f>0.2132-G20</f>
        <v>0.16800000000000001</v>
      </c>
      <c r="L20" s="88">
        <f t="shared" si="0"/>
        <v>2.6663452188006479E-2</v>
      </c>
      <c r="M20" s="88">
        <f t="shared" si="1"/>
        <v>2.8226904376012964E-2</v>
      </c>
      <c r="N20" s="88">
        <f t="shared" si="2"/>
        <v>2.7445178282009722E-2</v>
      </c>
      <c r="O20" s="88">
        <f>'Growth curves UTEX #1926'!F15</f>
        <v>1.714</v>
      </c>
      <c r="P20" s="88">
        <f t="shared" si="3"/>
        <v>2.1589543999999998</v>
      </c>
      <c r="Q20" s="89">
        <f t="shared" si="7"/>
        <v>2.1425E-4</v>
      </c>
      <c r="R20" s="90">
        <f t="shared" si="4"/>
        <v>64.049424228727474</v>
      </c>
      <c r="S20" s="91"/>
      <c r="V20" s="92">
        <f t="shared" si="5"/>
        <v>138.27978625607778</v>
      </c>
      <c r="W20" s="108"/>
      <c r="X20" s="92"/>
      <c r="Y20" s="92"/>
      <c r="Z20" s="92">
        <f t="shared" si="6"/>
        <v>0.6124250342620382</v>
      </c>
      <c r="AA20" s="108"/>
      <c r="AB20" s="115"/>
      <c r="AD20" s="93"/>
      <c r="AE20" s="92"/>
      <c r="AF20" s="92"/>
      <c r="AG20" s="92"/>
      <c r="AH20" s="92"/>
    </row>
    <row r="21" spans="1:34" ht="15" customHeight="1" x14ac:dyDescent="0.2">
      <c r="A21" s="64"/>
      <c r="B21" s="194"/>
      <c r="C21" s="197"/>
      <c r="D21" s="200"/>
      <c r="E21" s="85" t="s">
        <v>95</v>
      </c>
      <c r="F21" s="203"/>
      <c r="G21" s="206"/>
      <c r="H21" s="86">
        <f>0.3243-F20</f>
        <v>0.27749999999999997</v>
      </c>
      <c r="I21" s="88">
        <f>0.3123-F20</f>
        <v>0.26550000000000001</v>
      </c>
      <c r="J21" s="88">
        <f>0.2173-G20</f>
        <v>0.1721</v>
      </c>
      <c r="K21" s="88">
        <f>0.204-G20</f>
        <v>0.1588</v>
      </c>
      <c r="L21" s="88">
        <f t="shared" si="0"/>
        <v>2.8100405186385732E-2</v>
      </c>
      <c r="M21" s="88">
        <f t="shared" si="1"/>
        <v>2.7459643435980556E-2</v>
      </c>
      <c r="N21" s="88">
        <f t="shared" si="2"/>
        <v>2.7780024311183142E-2</v>
      </c>
      <c r="O21" s="88">
        <f>'Growth curves UTEX #1926'!G15</f>
        <v>1.8260000000000001</v>
      </c>
      <c r="P21" s="88">
        <f t="shared" si="3"/>
        <v>2.3000296000000002</v>
      </c>
      <c r="Q21" s="89">
        <f t="shared" si="7"/>
        <v>2.2825000000000002E-4</v>
      </c>
      <c r="R21" s="90">
        <f t="shared" si="4"/>
        <v>60.854379652098885</v>
      </c>
      <c r="S21" s="91"/>
      <c r="V21" s="92">
        <f t="shared" si="5"/>
        <v>139.96687448946514</v>
      </c>
      <c r="W21" s="108"/>
      <c r="X21" s="92"/>
      <c r="Y21" s="92"/>
      <c r="Z21" s="92">
        <f>(V21-$V$6)/(D20-$D$5)</f>
        <v>0.62303796420428592</v>
      </c>
      <c r="AA21" s="108"/>
      <c r="AB21" s="115"/>
      <c r="AD21" s="93"/>
      <c r="AE21" s="92"/>
      <c r="AF21" s="92"/>
      <c r="AG21" s="92"/>
      <c r="AH21" s="92"/>
    </row>
    <row r="22" spans="1:34" ht="15" customHeight="1" x14ac:dyDescent="0.2">
      <c r="A22" s="64"/>
      <c r="B22" s="208"/>
      <c r="C22" s="209"/>
      <c r="D22" s="210"/>
      <c r="E22" s="95" t="s">
        <v>96</v>
      </c>
      <c r="F22" s="204"/>
      <c r="G22" s="207"/>
      <c r="H22" s="96">
        <f>0.2725-F20</f>
        <v>0.22570000000000001</v>
      </c>
      <c r="I22" s="98">
        <f>0.276-F20</f>
        <v>0.22920000000000001</v>
      </c>
      <c r="J22" s="98">
        <f>0.1913-G20</f>
        <v>0.14610000000000001</v>
      </c>
      <c r="K22" s="98">
        <f>0.1927-G20</f>
        <v>0.14750000000000002</v>
      </c>
      <c r="L22" s="88">
        <f t="shared" si="0"/>
        <v>2.2254376012965968E-2</v>
      </c>
      <c r="M22" s="88">
        <f t="shared" si="1"/>
        <v>2.2684359805510534E-2</v>
      </c>
      <c r="N22" s="98">
        <f t="shared" si="2"/>
        <v>2.2469367909238251E-2</v>
      </c>
      <c r="O22" s="98">
        <f>'Growth curves UTEX #1926'!H15</f>
        <v>1.8620000000000001</v>
      </c>
      <c r="P22" s="98">
        <f t="shared" si="3"/>
        <v>2.3453752000000003</v>
      </c>
      <c r="Q22" s="99">
        <f t="shared" si="7"/>
        <v>2.3275000000000002E-4</v>
      </c>
      <c r="R22" s="100">
        <f t="shared" si="4"/>
        <v>48.269318816838343</v>
      </c>
      <c r="S22" s="101">
        <f>AVERAGE(R20:R22)</f>
        <v>57.724374232554901</v>
      </c>
      <c r="T22" s="102">
        <f>STDEV(R20:R22)</f>
        <v>8.3426993321924403</v>
      </c>
      <c r="U22" s="102">
        <f>T22/SQRT(3)</f>
        <v>4.8166597052094167</v>
      </c>
      <c r="V22" s="102">
        <f t="shared" si="5"/>
        <v>113.209663273906</v>
      </c>
      <c r="W22" s="101">
        <f>AVERAGE(V20:V22)</f>
        <v>130.48544133981633</v>
      </c>
      <c r="X22" s="102">
        <f>STDEV(V20:V22)</f>
        <v>14.985024107880148</v>
      </c>
      <c r="Y22" s="102">
        <f>X22/SQRT(3)</f>
        <v>8.6516077024976354</v>
      </c>
      <c r="Z22" s="102">
        <f>(V22-$V$7)/(D20-$D$5)</f>
        <v>0.49865342967419651</v>
      </c>
      <c r="AA22" s="101">
        <f>AVERAGE(Z20:Z22)</f>
        <v>0.57803880938017349</v>
      </c>
      <c r="AB22" s="109">
        <f>STDEV(Z20:Z22)/SQRT(3)</f>
        <v>3.9810750029719268E-2</v>
      </c>
      <c r="AD22" s="93"/>
      <c r="AE22" s="92"/>
      <c r="AF22" s="92"/>
      <c r="AG22" s="92"/>
      <c r="AH22" s="92"/>
    </row>
    <row r="23" spans="1:34" x14ac:dyDescent="0.2">
      <c r="A23" s="64"/>
      <c r="B23" s="193" t="s">
        <v>39</v>
      </c>
      <c r="C23" s="196">
        <v>0.55902777777777779</v>
      </c>
      <c r="D23" s="199">
        <v>264.18333333333334</v>
      </c>
      <c r="E23" s="85" t="s">
        <v>94</v>
      </c>
      <c r="F23" s="202">
        <v>4.4299999999999999E-2</v>
      </c>
      <c r="G23" s="205">
        <v>4.3999999999999997E-2</v>
      </c>
      <c r="H23" s="86">
        <f>0.2091-F23</f>
        <v>0.1648</v>
      </c>
      <c r="I23" s="88">
        <f>0.2185-F23</f>
        <v>0.17419999999999999</v>
      </c>
      <c r="J23" s="88">
        <f>0.141-G23</f>
        <v>9.6999999999999989E-2</v>
      </c>
      <c r="K23" s="88">
        <f>0.1499-G23</f>
        <v>0.10590000000000001</v>
      </c>
      <c r="L23" s="88">
        <f t="shared" si="0"/>
        <v>1.7198541329011347E-2</v>
      </c>
      <c r="M23" s="88">
        <f t="shared" si="1"/>
        <v>1.7849351701782819E-2</v>
      </c>
      <c r="N23" s="88">
        <f t="shared" si="2"/>
        <v>1.7523946515397085E-2</v>
      </c>
      <c r="O23" s="88">
        <f>'Growth curves UTEX #1926'!F16</f>
        <v>1.9019999999999999</v>
      </c>
      <c r="P23" s="88">
        <f t="shared" si="3"/>
        <v>2.3957592000000001</v>
      </c>
      <c r="Q23" s="111">
        <f>O23*0.1/1000</f>
        <v>1.9020000000000002E-4</v>
      </c>
      <c r="R23" s="90">
        <f t="shared" si="4"/>
        <v>46.067156980539124</v>
      </c>
      <c r="S23" s="91"/>
      <c r="V23" s="92">
        <f t="shared" si="5"/>
        <v>110.36581515397083</v>
      </c>
      <c r="W23" s="108"/>
      <c r="X23" s="92"/>
      <c r="Y23" s="92"/>
      <c r="Z23" s="92">
        <f t="shared" si="6"/>
        <v>0.43573323637235256</v>
      </c>
      <c r="AA23" s="108"/>
      <c r="AB23" s="115"/>
      <c r="AC23" s="92"/>
      <c r="AD23" s="92"/>
      <c r="AE23" s="92"/>
    </row>
    <row r="24" spans="1:34" ht="15" customHeight="1" x14ac:dyDescent="0.2">
      <c r="A24" s="64"/>
      <c r="B24" s="194"/>
      <c r="C24" s="197"/>
      <c r="D24" s="200"/>
      <c r="E24" s="85" t="s">
        <v>95</v>
      </c>
      <c r="F24" s="203"/>
      <c r="G24" s="206"/>
      <c r="H24" s="86">
        <f>0.2062-F23</f>
        <v>0.16189999999999999</v>
      </c>
      <c r="I24" s="88">
        <f>0.1871-F23</f>
        <v>0.14279999999999998</v>
      </c>
      <c r="J24" s="88">
        <f>0.1472-G23</f>
        <v>0.1032</v>
      </c>
      <c r="K24" s="88">
        <f>0.1258-G23</f>
        <v>8.1799999999999998E-2</v>
      </c>
      <c r="L24" s="88">
        <f t="shared" si="0"/>
        <v>1.6120583468395462E-2</v>
      </c>
      <c r="M24" s="88">
        <f t="shared" si="1"/>
        <v>1.5123338735818472E-2</v>
      </c>
      <c r="N24" s="88">
        <f t="shared" si="2"/>
        <v>1.5621961102106967E-2</v>
      </c>
      <c r="O24" s="88">
        <f>'Growth curves UTEX #1926'!G16</f>
        <v>2</v>
      </c>
      <c r="P24" s="88">
        <f t="shared" si="3"/>
        <v>2.5192000000000001</v>
      </c>
      <c r="Q24" s="89">
        <f>O24*0.1/1000</f>
        <v>2.0000000000000001E-4</v>
      </c>
      <c r="R24" s="90">
        <f t="shared" si="4"/>
        <v>39.054902755267413</v>
      </c>
      <c r="S24" s="91"/>
      <c r="V24" s="92">
        <f t="shared" si="5"/>
        <v>98.387111021069671</v>
      </c>
      <c r="W24" s="108"/>
      <c r="X24" s="92"/>
      <c r="Y24" s="92"/>
      <c r="Z24" s="92">
        <f>(V24-$V$7)/(D23-$D$5)</f>
        <v>0.38756745359257783</v>
      </c>
      <c r="AA24" s="108"/>
      <c r="AB24" s="115"/>
      <c r="AC24" s="92"/>
      <c r="AD24" s="92"/>
      <c r="AE24" s="92"/>
    </row>
    <row r="25" spans="1:34" ht="15" customHeight="1" x14ac:dyDescent="0.2">
      <c r="A25" s="64"/>
      <c r="B25" s="208"/>
      <c r="C25" s="209"/>
      <c r="D25" s="210"/>
      <c r="E25" s="95" t="s">
        <v>96</v>
      </c>
      <c r="F25" s="204"/>
      <c r="G25" s="207"/>
      <c r="H25" s="96">
        <f>0.1869-F23</f>
        <v>0.1426</v>
      </c>
      <c r="I25" s="98">
        <f>0.1893-F23</f>
        <v>0.14499999999999999</v>
      </c>
      <c r="J25" s="98">
        <f>0.132-G23</f>
        <v>8.8000000000000009E-2</v>
      </c>
      <c r="K25" s="98">
        <f>0.1337-G23</f>
        <v>8.9700000000000016E-2</v>
      </c>
      <c r="L25" s="88">
        <f t="shared" si="0"/>
        <v>1.4482982171799027E-2</v>
      </c>
      <c r="M25" s="88">
        <f t="shared" si="1"/>
        <v>1.4705267423014583E-2</v>
      </c>
      <c r="N25" s="98">
        <f t="shared" si="2"/>
        <v>1.4594124797406804E-2</v>
      </c>
      <c r="O25" s="98">
        <f>'Growth curves UTEX #1926'!H16</f>
        <v>2.008</v>
      </c>
      <c r="P25" s="98">
        <f t="shared" si="3"/>
        <v>2.5292768000000003</v>
      </c>
      <c r="Q25" s="99">
        <f>O25*0.1/1000</f>
        <v>2.008E-4</v>
      </c>
      <c r="R25" s="100">
        <f t="shared" si="4"/>
        <v>36.3399521847779</v>
      </c>
      <c r="S25" s="101">
        <f>AVERAGE(R23:R25)</f>
        <v>40.487337306861484</v>
      </c>
      <c r="T25" s="102">
        <f>STDEV(R23:R25)</f>
        <v>5.0193156747827592</v>
      </c>
      <c r="U25" s="102">
        <f>T25/SQRT(3)</f>
        <v>2.8979032559835343</v>
      </c>
      <c r="V25" s="102">
        <f t="shared" si="5"/>
        <v>91.913797974068061</v>
      </c>
      <c r="W25" s="101">
        <f>AVERAGE(V23:V25)</f>
        <v>100.22224138303619</v>
      </c>
      <c r="X25" s="102">
        <f>STDEV(V23:V25)</f>
        <v>9.3618914801398567</v>
      </c>
      <c r="Y25" s="102">
        <f>X25/SQRT(3)</f>
        <v>5.4050905661828104</v>
      </c>
      <c r="Z25" s="102">
        <f>(V25-$V$7)/(D23-$D$5)</f>
        <v>0.36072579617584688</v>
      </c>
      <c r="AA25" s="101">
        <f>AVERAGE(Z23:Z25)</f>
        <v>0.39467549538025909</v>
      </c>
      <c r="AB25" s="109">
        <f>STDEV(Z23:Z25)/SQRT(3)</f>
        <v>2.1942517439510457E-2</v>
      </c>
    </row>
    <row r="26" spans="1:34" x14ac:dyDescent="0.2">
      <c r="A26" s="64"/>
      <c r="B26" s="193" t="s">
        <v>40</v>
      </c>
      <c r="C26" s="196">
        <v>0.55902777777777779</v>
      </c>
      <c r="D26" s="199">
        <v>288.18333333333334</v>
      </c>
      <c r="E26" s="85" t="s">
        <v>94</v>
      </c>
      <c r="F26" s="202">
        <v>4.9299999999999997E-2</v>
      </c>
      <c r="G26" s="205">
        <v>4.8399999999999999E-2</v>
      </c>
      <c r="H26" s="86">
        <f>0.2622-F26</f>
        <v>0.21289999999999998</v>
      </c>
      <c r="I26" s="88">
        <f>0.2476-F26</f>
        <v>0.19829999999999998</v>
      </c>
      <c r="J26" s="88">
        <f>0.1768-G26</f>
        <v>0.12840000000000001</v>
      </c>
      <c r="K26" s="88">
        <f>0.1633-G26</f>
        <v>0.1149</v>
      </c>
      <c r="L26" s="88">
        <f t="shared" si="0"/>
        <v>2.1915397082658019E-2</v>
      </c>
      <c r="M26" s="88">
        <f t="shared" si="1"/>
        <v>2.0872852512155593E-2</v>
      </c>
      <c r="N26" s="88">
        <f t="shared" si="2"/>
        <v>2.1394124797406808E-2</v>
      </c>
      <c r="O26" s="88">
        <f>'Growth curves UTEX #1926'!F17</f>
        <v>2.1360000000000001</v>
      </c>
      <c r="P26" s="88">
        <f t="shared" si="3"/>
        <v>2.6905056000000003</v>
      </c>
      <c r="Q26" s="111">
        <f>P26*0.1/1000</f>
        <v>2.6905056000000005E-4</v>
      </c>
      <c r="R26" s="90">
        <f t="shared" si="4"/>
        <v>39.758558386585044</v>
      </c>
      <c r="S26" s="91"/>
      <c r="V26" s="92">
        <f t="shared" si="5"/>
        <v>106.97062398703403</v>
      </c>
      <c r="W26" s="108"/>
      <c r="X26" s="92"/>
      <c r="Y26" s="92"/>
      <c r="Z26" s="92">
        <f t="shared" si="6"/>
        <v>0.38349141799445213</v>
      </c>
      <c r="AA26" s="108"/>
      <c r="AB26" s="115"/>
    </row>
    <row r="27" spans="1:34" ht="15" customHeight="1" x14ac:dyDescent="0.2">
      <c r="A27" s="64"/>
      <c r="B27" s="194"/>
      <c r="C27" s="197"/>
      <c r="D27" s="200"/>
      <c r="E27" s="85" t="s">
        <v>95</v>
      </c>
      <c r="F27" s="203"/>
      <c r="G27" s="206"/>
      <c r="H27" s="86">
        <f>0.2636-F26</f>
        <v>0.21429999999999999</v>
      </c>
      <c r="I27" s="88">
        <f>0.2722-F26</f>
        <v>0.22289999999999999</v>
      </c>
      <c r="J27" s="88">
        <f>0.1864-G26</f>
        <v>0.13800000000000001</v>
      </c>
      <c r="K27" s="88">
        <f>0.1927-G26</f>
        <v>0.14430000000000001</v>
      </c>
      <c r="L27" s="88">
        <f t="shared" si="0"/>
        <v>2.1200972447325769E-2</v>
      </c>
      <c r="M27" s="88">
        <f t="shared" si="1"/>
        <v>2.1977066450567257E-2</v>
      </c>
      <c r="N27" s="88">
        <f t="shared" si="2"/>
        <v>2.1589019448946513E-2</v>
      </c>
      <c r="O27" s="88">
        <f>'Growth curves UTEX #1926'!G17</f>
        <v>2.2519999999999998</v>
      </c>
      <c r="P27" s="88">
        <f t="shared" si="3"/>
        <v>2.8366191999999999</v>
      </c>
      <c r="Q27" s="89">
        <f>P27*0.1/1000</f>
        <v>2.8366192E-4</v>
      </c>
      <c r="R27" s="90">
        <f t="shared" si="4"/>
        <v>38.054137560914967</v>
      </c>
      <c r="S27" s="91"/>
      <c r="V27" s="92">
        <f t="shared" si="5"/>
        <v>107.94509724473257</v>
      </c>
      <c r="W27" s="108"/>
      <c r="X27" s="92"/>
      <c r="Y27" s="92"/>
      <c r="Z27" s="92">
        <f>(V27-$V$6)/(D26-$D$5)</f>
        <v>0.38949579125693851</v>
      </c>
      <c r="AA27" s="108"/>
      <c r="AB27" s="115"/>
    </row>
    <row r="28" spans="1:34" ht="15" customHeight="1" x14ac:dyDescent="0.2">
      <c r="A28" s="64"/>
      <c r="B28" s="208"/>
      <c r="C28" s="209"/>
      <c r="D28" s="210"/>
      <c r="E28" s="95" t="s">
        <v>96</v>
      </c>
      <c r="F28" s="204"/>
      <c r="G28" s="207"/>
      <c r="H28" s="96">
        <f>0.2246-F26</f>
        <v>0.17530000000000001</v>
      </c>
      <c r="I28" s="98">
        <f>0.221-F26</f>
        <v>0.17170000000000002</v>
      </c>
      <c r="J28" s="98">
        <f>0.1603-G26</f>
        <v>0.1119</v>
      </c>
      <c r="K28" s="98">
        <f>0.1553-G26</f>
        <v>0.1069</v>
      </c>
      <c r="L28" s="88">
        <f t="shared" si="0"/>
        <v>1.7439303079416536E-2</v>
      </c>
      <c r="M28" s="88">
        <f t="shared" si="1"/>
        <v>1.7346110210696923E-2</v>
      </c>
      <c r="N28" s="98">
        <f t="shared" si="2"/>
        <v>1.7392706645056731E-2</v>
      </c>
      <c r="O28" s="98">
        <f>'Growth curves UTEX #1926'!H17</f>
        <v>2.3319999999999999</v>
      </c>
      <c r="P28" s="98">
        <f t="shared" si="3"/>
        <v>2.9373871999999999</v>
      </c>
      <c r="Q28" s="99">
        <f>P28*0.1/1000</f>
        <v>2.9373872000000004E-4</v>
      </c>
      <c r="R28" s="100">
        <f t="shared" si="4"/>
        <v>29.605743915982082</v>
      </c>
      <c r="S28" s="101">
        <f>AVERAGE(R26:R28)</f>
        <v>35.8061466211607</v>
      </c>
      <c r="T28" s="102">
        <f>STDEV(R26:R28)</f>
        <v>5.4369116111570452</v>
      </c>
      <c r="U28" s="102">
        <f>T28/SQRT(3)</f>
        <v>3.1390023822617223</v>
      </c>
      <c r="V28" s="102">
        <f t="shared" si="5"/>
        <v>86.963533225283641</v>
      </c>
      <c r="W28" s="101">
        <f>AVERAGE(V26:V28)</f>
        <v>100.62641815235008</v>
      </c>
      <c r="X28" s="102">
        <f>STDEV(V26:V28)</f>
        <v>11.842432939653357</v>
      </c>
      <c r="Y28" s="102">
        <f>X28/SQRT(3)</f>
        <v>6.8372318455689571</v>
      </c>
      <c r="Z28" s="102">
        <f>(V28-$V$7)/(D26-$D$5)</f>
        <v>0.30940832091372966</v>
      </c>
      <c r="AA28" s="101">
        <f>AVERAGE(Z26:Z28)</f>
        <v>0.3607985100550401</v>
      </c>
      <c r="AB28" s="109">
        <f>STDEV(Z26:Z28)/SQRT(3)</f>
        <v>2.575349024600752E-2</v>
      </c>
    </row>
    <row r="29" spans="1:34" x14ac:dyDescent="0.2">
      <c r="A29" s="64"/>
      <c r="B29" s="193" t="s">
        <v>32</v>
      </c>
      <c r="C29" s="196">
        <v>0.55902777777777779</v>
      </c>
      <c r="D29" s="199">
        <v>312.08333333333331</v>
      </c>
      <c r="E29" s="85" t="s">
        <v>94</v>
      </c>
      <c r="F29" s="202">
        <f>(0.0534+0.0426)/2</f>
        <v>4.8000000000000001E-2</v>
      </c>
      <c r="G29" s="205">
        <f>(0.0518+0.0414)/2</f>
        <v>4.6600000000000003E-2</v>
      </c>
      <c r="H29" s="106">
        <f>0.2052-F29</f>
        <v>0.15720000000000001</v>
      </c>
      <c r="I29" s="110">
        <f>0.2036-F29</f>
        <v>0.15560000000000002</v>
      </c>
      <c r="J29" s="110">
        <f>0.1337-G29</f>
        <v>8.7100000000000011E-2</v>
      </c>
      <c r="K29" s="110">
        <f>0.1335-G29</f>
        <v>8.6900000000000005E-2</v>
      </c>
      <c r="L29" s="88">
        <f t="shared" si="0"/>
        <v>1.6937520259319286E-2</v>
      </c>
      <c r="M29" s="88">
        <f t="shared" si="1"/>
        <v>1.6697811993517022E-2</v>
      </c>
      <c r="N29" s="88">
        <f t="shared" si="2"/>
        <v>1.6817666126418156E-2</v>
      </c>
      <c r="O29" s="88">
        <f>'Growth curves UTEX #1926'!F18</f>
        <v>2.3279999999999998</v>
      </c>
      <c r="P29" s="88">
        <f t="shared" si="3"/>
        <v>2.9323487999999998</v>
      </c>
      <c r="Q29" s="111">
        <f t="shared" ref="Q29:Q34" si="8">P29*0.075/1000</f>
        <v>2.1992615999999999E-4</v>
      </c>
      <c r="R29" s="90">
        <f t="shared" si="4"/>
        <v>38.234801458858186</v>
      </c>
      <c r="S29" s="91"/>
      <c r="V29" s="92">
        <f t="shared" si="5"/>
        <v>112.11777417612105</v>
      </c>
      <c r="W29" s="108"/>
      <c r="X29" s="92"/>
      <c r="Y29" s="92"/>
      <c r="Z29" s="92">
        <f t="shared" si="6"/>
        <v>0.36959049075397571</v>
      </c>
      <c r="AA29" s="108"/>
      <c r="AB29" s="115"/>
    </row>
    <row r="30" spans="1:34" ht="15" customHeight="1" x14ac:dyDescent="0.2">
      <c r="A30" s="64"/>
      <c r="B30" s="194"/>
      <c r="C30" s="197"/>
      <c r="D30" s="200"/>
      <c r="E30" s="85" t="s">
        <v>95</v>
      </c>
      <c r="F30" s="203"/>
      <c r="G30" s="206"/>
      <c r="H30" s="86">
        <f>0.1801-F29</f>
        <v>0.1321</v>
      </c>
      <c r="I30" s="88">
        <f>0.1853-F29</f>
        <v>0.13729999999999998</v>
      </c>
      <c r="J30" s="88">
        <f>0.1178-G29</f>
        <v>7.1199999999999999E-2</v>
      </c>
      <c r="K30" s="88">
        <f>0.1236-G29</f>
        <v>7.6999999999999999E-2</v>
      </c>
      <c r="L30" s="88">
        <f t="shared" si="0"/>
        <v>1.4428525121555914E-2</v>
      </c>
      <c r="M30" s="88">
        <f t="shared" si="1"/>
        <v>1.4702593192868716E-2</v>
      </c>
      <c r="N30" s="88">
        <f t="shared" si="2"/>
        <v>1.4565559157212315E-2</v>
      </c>
      <c r="O30" s="88">
        <f>'Growth curves UTEX #1926'!G18</f>
        <v>2.456</v>
      </c>
      <c r="P30" s="88">
        <f t="shared" si="3"/>
        <v>3.0935776000000001</v>
      </c>
      <c r="Q30" s="89">
        <f t="shared" si="8"/>
        <v>2.3201832000000001E-4</v>
      </c>
      <c r="R30" s="90">
        <f t="shared" si="4"/>
        <v>31.388812653268747</v>
      </c>
      <c r="S30" s="91"/>
      <c r="V30" s="92">
        <f t="shared" si="5"/>
        <v>97.103727714748771</v>
      </c>
      <c r="W30" s="108"/>
      <c r="X30" s="92"/>
      <c r="Y30" s="92"/>
      <c r="Z30" s="92">
        <f>(V30-$V$6)/(D29-$D$5)</f>
        <v>0.31978758458826478</v>
      </c>
      <c r="AA30" s="108"/>
      <c r="AB30" s="115"/>
    </row>
    <row r="31" spans="1:34" ht="15" customHeight="1" x14ac:dyDescent="0.2">
      <c r="A31" s="64"/>
      <c r="B31" s="208"/>
      <c r="C31" s="209"/>
      <c r="D31" s="210"/>
      <c r="E31" s="95" t="s">
        <v>96</v>
      </c>
      <c r="F31" s="204"/>
      <c r="G31" s="207"/>
      <c r="H31" s="86">
        <f>0.1841-F29</f>
        <v>0.1361</v>
      </c>
      <c r="I31" s="88">
        <f>0.1893-F29</f>
        <v>0.14129999999999998</v>
      </c>
      <c r="J31" s="88">
        <f>0.1209-G29</f>
        <v>7.4299999999999991E-2</v>
      </c>
      <c r="K31" s="88">
        <f>0.126-G29</f>
        <v>7.9399999999999998E-2</v>
      </c>
      <c r="L31" s="88">
        <f t="shared" si="0"/>
        <v>1.4772852512155593E-2</v>
      </c>
      <c r="M31" s="88">
        <f t="shared" si="1"/>
        <v>1.5115559157212315E-2</v>
      </c>
      <c r="N31" s="98">
        <f t="shared" si="2"/>
        <v>1.4944205834683954E-2</v>
      </c>
      <c r="O31" s="98">
        <f>'Growth curves UTEX #1926'!H18</f>
        <v>2.448</v>
      </c>
      <c r="P31" s="98">
        <f t="shared" si="3"/>
        <v>3.0835007999999999</v>
      </c>
      <c r="Q31" s="99">
        <f t="shared" si="8"/>
        <v>2.3126255999999997E-4</v>
      </c>
      <c r="R31" s="100">
        <f t="shared" si="4"/>
        <v>32.310041527439537</v>
      </c>
      <c r="S31" s="101">
        <f>AVERAGE(R29:R31)</f>
        <v>33.97788521318882</v>
      </c>
      <c r="T31" s="102">
        <f>STDEV(R29:R31)</f>
        <v>3.7152614445869485</v>
      </c>
      <c r="U31" s="102">
        <f>T31/SQRT(3)</f>
        <v>2.1450071951421128</v>
      </c>
      <c r="V31" s="102">
        <f t="shared" si="5"/>
        <v>99.628038897893035</v>
      </c>
      <c r="W31" s="101">
        <f>AVERAGE(V29:V31)</f>
        <v>102.94984692958762</v>
      </c>
      <c r="X31" s="102">
        <f>STDEV(V29:V31)</f>
        <v>8.0393534712459491</v>
      </c>
      <c r="Y31" s="102">
        <f>X31/SQRT(3)</f>
        <v>4.6415228907344011</v>
      </c>
      <c r="Z31" s="102">
        <f>(V31-$V$7)/(D29-$D$5)</f>
        <v>0.3276381876207336</v>
      </c>
      <c r="AA31" s="101">
        <f>AVERAGE(Z29:Z31)</f>
        <v>0.33900542098765801</v>
      </c>
      <c r="AB31" s="109">
        <f>STDEV(Z29:Z31)/SQRT(3)</f>
        <v>1.5459547874493204E-2</v>
      </c>
    </row>
    <row r="32" spans="1:34" x14ac:dyDescent="0.2">
      <c r="A32" s="64"/>
      <c r="B32" s="193" t="s">
        <v>34</v>
      </c>
      <c r="C32" s="196">
        <v>0.55902777777777779</v>
      </c>
      <c r="D32" s="199">
        <v>336.08333333333331</v>
      </c>
      <c r="E32" s="85" t="s">
        <v>94</v>
      </c>
      <c r="F32" s="202">
        <f>(0.0523+0.0363+0.0414)/3</f>
        <v>4.3333333333333335E-2</v>
      </c>
      <c r="G32" s="205">
        <f>(0.0511+0.0355+0.0401)/3</f>
        <v>4.2233333333333324E-2</v>
      </c>
      <c r="H32" s="86">
        <f>0.3641-F32</f>
        <v>0.32076666666666664</v>
      </c>
      <c r="I32" s="88">
        <f>0.3531-F32</f>
        <v>0.30976666666666669</v>
      </c>
      <c r="J32" s="88">
        <f>0.2579-G32</f>
        <v>0.2156666666666667</v>
      </c>
      <c r="K32" s="88">
        <f>0.2507-G32</f>
        <v>0.20846666666666666</v>
      </c>
      <c r="L32" s="88">
        <f t="shared" si="0"/>
        <v>3.0840896812533759E-2</v>
      </c>
      <c r="M32" s="88">
        <f t="shared" si="1"/>
        <v>2.9764073473797951E-2</v>
      </c>
      <c r="N32" s="88">
        <f t="shared" si="2"/>
        <v>3.0302485143165855E-2</v>
      </c>
      <c r="O32" s="88">
        <f>'Growth curves UTEX #1926'!F19</f>
        <v>2.6160000000000001</v>
      </c>
      <c r="P32" s="88">
        <f t="shared" si="3"/>
        <v>3.2951136000000001</v>
      </c>
      <c r="Q32" s="111">
        <f t="shared" si="8"/>
        <v>2.4713352E-4</v>
      </c>
      <c r="R32" s="90">
        <f t="shared" si="4"/>
        <v>61.307922015527993</v>
      </c>
      <c r="S32" s="91"/>
      <c r="V32" s="92">
        <f t="shared" si="5"/>
        <v>202.01656762110571</v>
      </c>
      <c r="W32" s="108"/>
      <c r="X32" s="92"/>
      <c r="Y32" s="92"/>
      <c r="Z32" s="92">
        <f t="shared" si="6"/>
        <v>0.62841274905962707</v>
      </c>
      <c r="AA32" s="108"/>
      <c r="AB32" s="115"/>
    </row>
    <row r="33" spans="1:34" ht="15" customHeight="1" x14ac:dyDescent="0.2">
      <c r="A33" s="64"/>
      <c r="B33" s="194"/>
      <c r="C33" s="197"/>
      <c r="D33" s="200"/>
      <c r="E33" s="85" t="s">
        <v>95</v>
      </c>
      <c r="F33" s="203"/>
      <c r="G33" s="206"/>
      <c r="H33" s="86">
        <f>0.3018-F32</f>
        <v>0.25846666666666668</v>
      </c>
      <c r="I33" s="88">
        <f>0.2739-F32</f>
        <v>0.23056666666666664</v>
      </c>
      <c r="J33" s="88">
        <f>0.2015-G32</f>
        <v>0.1592666666666667</v>
      </c>
      <c r="K33" s="88">
        <f>0.1777-G32</f>
        <v>0.13546666666666668</v>
      </c>
      <c r="L33" s="88">
        <f t="shared" si="0"/>
        <v>2.6273960021609939E-2</v>
      </c>
      <c r="M33" s="88">
        <f t="shared" si="1"/>
        <v>2.4085791464073473E-2</v>
      </c>
      <c r="N33" s="88">
        <f t="shared" si="2"/>
        <v>2.5179875742841706E-2</v>
      </c>
      <c r="O33" s="88">
        <f>'Growth curves UTEX #1926'!G19</f>
        <v>2.536</v>
      </c>
      <c r="P33" s="88">
        <f t="shared" si="3"/>
        <v>3.1943456000000001</v>
      </c>
      <c r="Q33" s="89">
        <f t="shared" si="8"/>
        <v>2.3957591999999999E-4</v>
      </c>
      <c r="R33" s="90">
        <f t="shared" si="4"/>
        <v>52.550931961028695</v>
      </c>
      <c r="S33" s="91"/>
      <c r="V33" s="92">
        <f t="shared" si="5"/>
        <v>167.8658382856114</v>
      </c>
      <c r="W33" s="108"/>
      <c r="X33" s="92"/>
      <c r="Y33" s="92"/>
      <c r="Z33" s="92">
        <f>(V33-$V$6)/(D32-$D$5)</f>
        <v>0.52130124048927928</v>
      </c>
      <c r="AA33" s="108"/>
      <c r="AB33" s="115"/>
    </row>
    <row r="34" spans="1:34" ht="15" customHeight="1" x14ac:dyDescent="0.2">
      <c r="A34" s="64"/>
      <c r="B34" s="208"/>
      <c r="C34" s="209"/>
      <c r="D34" s="210"/>
      <c r="E34" s="95" t="s">
        <v>96</v>
      </c>
      <c r="F34" s="204"/>
      <c r="G34" s="207"/>
      <c r="H34" s="96">
        <f>0.2249-F32</f>
        <v>0.18156666666666665</v>
      </c>
      <c r="I34" s="98">
        <f>0.239-F32</f>
        <v>0.19566666666666666</v>
      </c>
      <c r="J34" s="98">
        <f>0.1522-G32</f>
        <v>0.10996666666666668</v>
      </c>
      <c r="K34" s="98">
        <f>0.1606-G32</f>
        <v>0.11836666666666668</v>
      </c>
      <c r="L34" s="88">
        <f t="shared" si="0"/>
        <v>1.86445434900054E-2</v>
      </c>
      <c r="M34" s="88">
        <f t="shared" si="1"/>
        <v>2.0106131820637491E-2</v>
      </c>
      <c r="N34" s="98">
        <f t="shared" si="2"/>
        <v>1.9375337655321446E-2</v>
      </c>
      <c r="O34" s="98">
        <f>'Growth curves UTEX #1926'!H19</f>
        <v>2.532</v>
      </c>
      <c r="P34" s="98">
        <f t="shared" si="3"/>
        <v>3.1893072</v>
      </c>
      <c r="Q34" s="99">
        <f t="shared" si="8"/>
        <v>2.3919804000000001E-4</v>
      </c>
      <c r="R34" s="100">
        <f t="shared" si="4"/>
        <v>40.500619602320832</v>
      </c>
      <c r="S34" s="101">
        <f>AVERAGE(R32:R34)</f>
        <v>51.45315785962584</v>
      </c>
      <c r="T34" s="102">
        <f>STDEV(R32:R34)</f>
        <v>10.446999062503396</v>
      </c>
      <c r="U34" s="102">
        <f>T34/SQRT(3)</f>
        <v>6.0315777209601045</v>
      </c>
      <c r="V34" s="102">
        <f t="shared" si="5"/>
        <v>129.16891770214298</v>
      </c>
      <c r="W34" s="101">
        <f>AVERAGE(V32:V34)</f>
        <v>166.35044120295336</v>
      </c>
      <c r="X34" s="102">
        <f>STDEV(V32:V34)</f>
        <v>36.447460074983574</v>
      </c>
      <c r="Y34" s="102">
        <f>X34/SQRT(3)</f>
        <v>21.042950885569905</v>
      </c>
      <c r="Z34" s="102">
        <f>(V34-$V$7)/(D32-$D$5)</f>
        <v>0.39688082699898852</v>
      </c>
      <c r="AA34" s="101">
        <f>AVERAGE(Z32:Z34)</f>
        <v>0.515531605515965</v>
      </c>
      <c r="AB34" s="109">
        <f>STDEV(Z32:Z34)/SQRT(3)</f>
        <v>6.6899736544242902E-2</v>
      </c>
    </row>
    <row r="35" spans="1:34" x14ac:dyDescent="0.2">
      <c r="A35" s="64"/>
      <c r="B35" s="193" t="s">
        <v>35</v>
      </c>
      <c r="C35" s="196">
        <v>0.55902777777777779</v>
      </c>
      <c r="D35" s="199">
        <v>360.08333333333331</v>
      </c>
      <c r="E35" s="85" t="s">
        <v>94</v>
      </c>
      <c r="F35" s="202">
        <f>(0.0531+0.05)/2</f>
        <v>5.1549999999999999E-2</v>
      </c>
      <c r="G35" s="205">
        <f>(0.0524+0.0491)/2</f>
        <v>5.0750000000000003E-2</v>
      </c>
      <c r="H35" s="86">
        <f>0.2641-F35</f>
        <v>0.21255000000000002</v>
      </c>
      <c r="I35" s="88">
        <f>0.2586-F35</f>
        <v>0.20705000000000001</v>
      </c>
      <c r="J35" s="88">
        <f>0.1778-G35</f>
        <v>0.12705</v>
      </c>
      <c r="K35" s="88">
        <f>0.1756-G35</f>
        <v>0.12485</v>
      </c>
      <c r="L35" s="88">
        <f t="shared" si="0"/>
        <v>2.1991045380875207E-2</v>
      </c>
      <c r="M35" s="88">
        <f t="shared" si="1"/>
        <v>2.1315356564019453E-2</v>
      </c>
      <c r="N35" s="88">
        <f t="shared" si="2"/>
        <v>2.1653200972447328E-2</v>
      </c>
      <c r="O35" s="88">
        <f>'Growth curves UTEX #1926'!F20</f>
        <v>2.8919999999999999</v>
      </c>
      <c r="P35" s="88">
        <f t="shared" si="3"/>
        <v>3.6427632000000001</v>
      </c>
      <c r="Q35" s="111">
        <f t="shared" ref="Q35:Q37" si="9">P35*0.075/1000</f>
        <v>2.7320723999999999E-4</v>
      </c>
      <c r="R35" s="90">
        <f t="shared" si="4"/>
        <v>39.627794952372653</v>
      </c>
      <c r="S35" s="91"/>
      <c r="V35" s="92">
        <f t="shared" si="5"/>
        <v>144.35467314964885</v>
      </c>
      <c r="W35" s="108"/>
      <c r="X35" s="92"/>
      <c r="Y35" s="92"/>
      <c r="Z35" s="92">
        <f t="shared" si="6"/>
        <v>0.41259846766458774</v>
      </c>
      <c r="AA35" s="108"/>
      <c r="AB35" s="115"/>
    </row>
    <row r="36" spans="1:34" ht="15" customHeight="1" x14ac:dyDescent="0.2">
      <c r="A36" s="64"/>
      <c r="B36" s="194"/>
      <c r="C36" s="197"/>
      <c r="D36" s="200"/>
      <c r="E36" s="85" t="s">
        <v>95</v>
      </c>
      <c r="F36" s="203"/>
      <c r="G36" s="206"/>
      <c r="H36" s="86">
        <f>0.2397-F35</f>
        <v>0.18814999999999998</v>
      </c>
      <c r="I36" s="88">
        <f>0.2475-F35</f>
        <v>0.19595000000000001</v>
      </c>
      <c r="J36" s="88">
        <f>0.1564-G35</f>
        <v>0.10565000000000001</v>
      </c>
      <c r="K36" s="88">
        <f>0.1599-G35</f>
        <v>0.10914999999999998</v>
      </c>
      <c r="L36" s="88">
        <f t="shared" si="0"/>
        <v>2.0134805510534846E-2</v>
      </c>
      <c r="M36" s="88">
        <f t="shared" si="1"/>
        <v>2.1055794165316048E-2</v>
      </c>
      <c r="N36" s="88">
        <f t="shared" si="2"/>
        <v>2.0595299837925449E-2</v>
      </c>
      <c r="O36" s="88">
        <f>'Growth curves UTEX #1926'!G20</f>
        <v>2.6760000000000002</v>
      </c>
      <c r="P36" s="88">
        <f t="shared" si="3"/>
        <v>3.3706896000000004</v>
      </c>
      <c r="Q36" s="89">
        <f t="shared" si="9"/>
        <v>2.5280172000000003E-4</v>
      </c>
      <c r="R36" s="90">
        <f t="shared" si="4"/>
        <v>40.734097532891482</v>
      </c>
      <c r="S36" s="91"/>
      <c r="V36" s="92">
        <f t="shared" si="5"/>
        <v>137.30199891950301</v>
      </c>
      <c r="W36" s="108"/>
      <c r="X36" s="92"/>
      <c r="Y36" s="92"/>
      <c r="Z36" s="92">
        <f>(V36-$V$6)/(D35-$D$5)</f>
        <v>0.39350732492999002</v>
      </c>
      <c r="AA36" s="108"/>
      <c r="AB36" s="115"/>
    </row>
    <row r="37" spans="1:34" ht="15" customHeight="1" x14ac:dyDescent="0.2">
      <c r="A37" s="64"/>
      <c r="B37" s="208"/>
      <c r="C37" s="209"/>
      <c r="D37" s="210"/>
      <c r="E37" s="95" t="s">
        <v>96</v>
      </c>
      <c r="F37" s="204"/>
      <c r="G37" s="207"/>
      <c r="H37" s="96">
        <f>0.2061-F35</f>
        <v>0.15455000000000002</v>
      </c>
      <c r="I37" s="98">
        <f>0.2172-F35</f>
        <v>0.16565000000000002</v>
      </c>
      <c r="J37" s="98">
        <f>0.1362-G35</f>
        <v>8.5449999999999984E-2</v>
      </c>
      <c r="K37" s="98">
        <f>0.1434-G35</f>
        <v>9.2649999999999996E-2</v>
      </c>
      <c r="L37" s="88">
        <f t="shared" si="0"/>
        <v>1.6669813614262566E-2</v>
      </c>
      <c r="M37" s="88">
        <f t="shared" si="1"/>
        <v>1.7762844408427882E-2</v>
      </c>
      <c r="N37" s="98">
        <f t="shared" si="2"/>
        <v>1.7216329011345226E-2</v>
      </c>
      <c r="O37" s="98">
        <f>'Growth curves UTEX #1926'!H20</f>
        <v>2.68</v>
      </c>
      <c r="P37" s="98">
        <f t="shared" si="3"/>
        <v>3.3757280000000005</v>
      </c>
      <c r="Q37" s="99">
        <f t="shared" si="9"/>
        <v>2.5317960000000001E-4</v>
      </c>
      <c r="R37" s="100">
        <f t="shared" si="4"/>
        <v>34.000229503769702</v>
      </c>
      <c r="S37" s="101">
        <f>AVERAGE(R35:R37)</f>
        <v>38.120707329677948</v>
      </c>
      <c r="T37" s="102">
        <f>STDEV(R35:R37)</f>
        <v>3.6110565607958565</v>
      </c>
      <c r="U37" s="102">
        <f>T37/SQRT(3)</f>
        <v>2.0848444774344519</v>
      </c>
      <c r="V37" s="102">
        <f t="shared" si="5"/>
        <v>114.77552674230151</v>
      </c>
      <c r="W37" s="101">
        <f>AVERAGE(V35:V37)</f>
        <v>132.14406627048444</v>
      </c>
      <c r="X37" s="102">
        <f>STDEV(V35:V37)</f>
        <v>15.449423207863809</v>
      </c>
      <c r="Y37" s="102">
        <f>X37/SQRT(3)</f>
        <v>8.9197286478846216</v>
      </c>
      <c r="Z37" s="102">
        <f>(V37-$V$7)/(D35-$D$5)</f>
        <v>0.32591999588402454</v>
      </c>
      <c r="AA37" s="101">
        <f>AVERAGE(Z35:Z37)</f>
        <v>0.37734192949286749</v>
      </c>
      <c r="AB37" s="109">
        <f>STDEV(Z35:Z37)/SQRT(3)</f>
        <v>2.629498922343939E-2</v>
      </c>
    </row>
    <row r="38" spans="1:34" x14ac:dyDescent="0.2">
      <c r="A38" s="64"/>
      <c r="B38" s="193" t="s">
        <v>36</v>
      </c>
      <c r="C38" s="196">
        <v>0.55902777777777779</v>
      </c>
      <c r="D38" s="199">
        <v>384.08333333333331</v>
      </c>
      <c r="E38" s="85" t="s">
        <v>94</v>
      </c>
      <c r="F38" s="202">
        <f>(0.0536+0.0321+0.0389)/3</f>
        <v>4.1533333333333332E-2</v>
      </c>
      <c r="G38" s="205">
        <f>(0.0523+0.0316+0.0377)/3</f>
        <v>4.0533333333333331E-2</v>
      </c>
      <c r="H38" s="86">
        <f>0.1546-F38</f>
        <v>0.11306666666666665</v>
      </c>
      <c r="I38" s="88">
        <f>0.1569-F38</f>
        <v>0.11536666666666667</v>
      </c>
      <c r="J38" s="88">
        <f>0.1056-G38</f>
        <v>6.5066666666666662E-2</v>
      </c>
      <c r="K38" s="88">
        <f>0.1092-G38</f>
        <v>6.8666666666666681E-2</v>
      </c>
      <c r="L38" s="88">
        <f t="shared" si="0"/>
        <v>1.1945110750945431E-2</v>
      </c>
      <c r="M38" s="88">
        <f t="shared" si="1"/>
        <v>1.1964883846569421E-2</v>
      </c>
      <c r="N38" s="88">
        <f t="shared" si="2"/>
        <v>1.1954997298757427E-2</v>
      </c>
      <c r="O38" s="88">
        <f>'Growth curves UTEX #1926'!F21</f>
        <v>3.1960000000000002</v>
      </c>
      <c r="P38" s="88">
        <f t="shared" si="3"/>
        <v>4.0256816000000004</v>
      </c>
      <c r="Q38" s="111">
        <f t="shared" ref="Q38:Q46" si="10">P38*0.075/1000</f>
        <v>3.0192612E-4</v>
      </c>
      <c r="R38" s="90">
        <f t="shared" si="4"/>
        <v>19.797885156072994</v>
      </c>
      <c r="S38" s="91"/>
      <c r="V38" s="92">
        <f t="shared" si="5"/>
        <v>79.699981991716186</v>
      </c>
      <c r="W38" s="108"/>
      <c r="X38" s="92"/>
      <c r="Y38" s="92"/>
      <c r="Z38" s="92">
        <f t="shared" si="6"/>
        <v>0.20610736431742355</v>
      </c>
      <c r="AA38" s="108"/>
      <c r="AB38" s="115"/>
    </row>
    <row r="39" spans="1:34" ht="15" customHeight="1" x14ac:dyDescent="0.2">
      <c r="A39" s="64"/>
      <c r="B39" s="194"/>
      <c r="C39" s="197"/>
      <c r="D39" s="200"/>
      <c r="E39" s="85" t="s">
        <v>95</v>
      </c>
      <c r="F39" s="203"/>
      <c r="G39" s="206"/>
      <c r="H39" s="86">
        <f>0.2884-F38</f>
        <v>0.24686666666666665</v>
      </c>
      <c r="I39" s="88">
        <f>0.258-F38</f>
        <v>0.21646666666666667</v>
      </c>
      <c r="J39" s="88">
        <f>0.2326-G38</f>
        <v>0.19206666666666666</v>
      </c>
      <c r="K39" s="88">
        <f>0.2048-G38</f>
        <v>0.16426666666666667</v>
      </c>
      <c r="L39" s="88">
        <f t="shared" si="0"/>
        <v>2.1177687736358725E-2</v>
      </c>
      <c r="M39" s="88">
        <f t="shared" si="1"/>
        <v>1.8976553214478661E-2</v>
      </c>
      <c r="N39" s="88">
        <f t="shared" si="2"/>
        <v>2.0077120475418694E-2</v>
      </c>
      <c r="O39" s="88">
        <f>'Growth curves UTEX #1926'!G21</f>
        <v>2.7959999999999998</v>
      </c>
      <c r="P39" s="88">
        <f t="shared" si="3"/>
        <v>3.5218416000000001</v>
      </c>
      <c r="Q39" s="89">
        <f t="shared" si="10"/>
        <v>2.6413811999999998E-4</v>
      </c>
      <c r="R39" s="90">
        <f t="shared" si="4"/>
        <v>38.004965878114632</v>
      </c>
      <c r="S39" s="91"/>
      <c r="V39" s="92">
        <f t="shared" si="5"/>
        <v>133.84746983612465</v>
      </c>
      <c r="W39" s="108"/>
      <c r="X39" s="92"/>
      <c r="Y39" s="92"/>
      <c r="Z39" s="92">
        <f>(V39-$V$6)/(D38-$D$5)</f>
        <v>0.35778343770224413</v>
      </c>
      <c r="AA39" s="108"/>
      <c r="AB39" s="115"/>
    </row>
    <row r="40" spans="1:34" ht="15" customHeight="1" x14ac:dyDescent="0.2">
      <c r="A40" s="64"/>
      <c r="B40" s="208"/>
      <c r="C40" s="209"/>
      <c r="D40" s="210"/>
      <c r="E40" s="95" t="s">
        <v>96</v>
      </c>
      <c r="F40" s="204"/>
      <c r="G40" s="207"/>
      <c r="H40" s="96">
        <f>0.1603-F38</f>
        <v>0.11876666666666666</v>
      </c>
      <c r="I40" s="98">
        <f>0.1676-F38</f>
        <v>0.12606666666666666</v>
      </c>
      <c r="J40" s="98">
        <f>0.1134-G38</f>
        <v>7.2866666666666663E-2</v>
      </c>
      <c r="K40" s="98">
        <f>0.1172-G38</f>
        <v>7.6666666666666661E-2</v>
      </c>
      <c r="L40" s="88">
        <f t="shared" si="0"/>
        <v>1.2104105888708805E-2</v>
      </c>
      <c r="M40" s="88">
        <f t="shared" si="1"/>
        <v>1.2914640734737979E-2</v>
      </c>
      <c r="N40" s="98">
        <f t="shared" si="2"/>
        <v>1.2509373311723391E-2</v>
      </c>
      <c r="O40" s="98">
        <f>'Growth curves UTEX #1926'!H21</f>
        <v>2.8</v>
      </c>
      <c r="P40" s="98">
        <f t="shared" si="3"/>
        <v>3.5268799999999998</v>
      </c>
      <c r="Q40" s="99">
        <f t="shared" si="10"/>
        <v>2.6451599999999996E-4</v>
      </c>
      <c r="R40" s="100">
        <f t="shared" si="4"/>
        <v>23.645778160344541</v>
      </c>
      <c r="S40" s="101">
        <f>AVERAGE(R38:R40)</f>
        <v>27.149543064844057</v>
      </c>
      <c r="T40" s="102">
        <f>STDEV(R38:R40)</f>
        <v>9.5959222320857105</v>
      </c>
      <c r="U40" s="102">
        <f>T40/SQRT(3)</f>
        <v>5.5402082838173996</v>
      </c>
      <c r="V40" s="102">
        <f t="shared" si="5"/>
        <v>83.395822078155945</v>
      </c>
      <c r="W40" s="101">
        <f>AVERAGE(V38:V40)</f>
        <v>98.981091301998916</v>
      </c>
      <c r="X40" s="102">
        <f>STDEV(V38:V40)</f>
        <v>30.251662310521741</v>
      </c>
      <c r="Y40" s="102">
        <f>X40/SQRT(3)</f>
        <v>17.465805378413386</v>
      </c>
      <c r="Z40" s="102">
        <f>(V40-$V$7)/(D38-$D$5)</f>
        <v>0.21734784513062122</v>
      </c>
      <c r="AA40" s="101">
        <f>AVERAGE(Z38:Z40)</f>
        <v>0.26041288238342963</v>
      </c>
      <c r="AB40" s="109">
        <f>STDEV(Z38:Z40)/SQRT(3)</f>
        <v>4.8793291494318845E-2</v>
      </c>
    </row>
    <row r="41" spans="1:34" x14ac:dyDescent="0.2">
      <c r="A41" s="64"/>
      <c r="B41" s="193" t="s">
        <v>37</v>
      </c>
      <c r="C41" s="196">
        <v>0.54583333333333328</v>
      </c>
      <c r="D41" s="199">
        <v>408.08333333333331</v>
      </c>
      <c r="E41" s="85" t="s">
        <v>94</v>
      </c>
      <c r="F41" s="202">
        <f>(0.0517+0.0474)/2</f>
        <v>4.9549999999999997E-2</v>
      </c>
      <c r="G41" s="205">
        <f>(0.0508+0.0471)/2</f>
        <v>4.895E-2</v>
      </c>
      <c r="H41" s="86">
        <f>0.1755-F41</f>
        <v>0.12595000000000001</v>
      </c>
      <c r="I41" s="88">
        <f>0.1727-F41</f>
        <v>0.12315</v>
      </c>
      <c r="J41" s="88">
        <f>0.1179-G41</f>
        <v>6.8950000000000011E-2</v>
      </c>
      <c r="K41" s="88">
        <f>0.117-G41</f>
        <v>6.8049999999999999E-2</v>
      </c>
      <c r="L41" s="88">
        <f t="shared" si="0"/>
        <v>1.3652390599675851E-2</v>
      </c>
      <c r="M41" s="88">
        <f t="shared" si="1"/>
        <v>1.3286831442463532E-2</v>
      </c>
      <c r="N41" s="88">
        <f t="shared" si="2"/>
        <v>1.3469611021069691E-2</v>
      </c>
      <c r="O41" s="88">
        <f>'Growth curves UTEX #1926'!F22</f>
        <v>3.2120000000000002</v>
      </c>
      <c r="P41" s="88">
        <f t="shared" si="3"/>
        <v>4.0458352</v>
      </c>
      <c r="Q41" s="111">
        <f t="shared" si="10"/>
        <v>3.0343764000000003E-4</v>
      </c>
      <c r="R41" s="90">
        <f t="shared" si="4"/>
        <v>22.195023368013423</v>
      </c>
      <c r="S41" s="91"/>
      <c r="V41" s="92">
        <f t="shared" si="5"/>
        <v>89.797406807131267</v>
      </c>
      <c r="W41" s="108"/>
      <c r="X41" s="92"/>
      <c r="Y41" s="92"/>
      <c r="Z41" s="92">
        <f t="shared" si="6"/>
        <v>0.21948387419916759</v>
      </c>
      <c r="AA41" s="108"/>
      <c r="AB41" s="115"/>
    </row>
    <row r="42" spans="1:34" ht="15" customHeight="1" x14ac:dyDescent="0.2">
      <c r="A42" s="64"/>
      <c r="B42" s="194"/>
      <c r="C42" s="197"/>
      <c r="D42" s="200"/>
      <c r="E42" s="85" t="s">
        <v>95</v>
      </c>
      <c r="F42" s="203"/>
      <c r="G42" s="206"/>
      <c r="H42" s="86">
        <f>0.3086-F41</f>
        <v>0.25905</v>
      </c>
      <c r="I42" s="88">
        <f>0.306-F41</f>
        <v>0.25645000000000001</v>
      </c>
      <c r="J42" s="88">
        <f>0.2356-G41</f>
        <v>0.18665000000000001</v>
      </c>
      <c r="K42" s="88">
        <f>0.2284-G41</f>
        <v>0.17945</v>
      </c>
      <c r="L42" s="88">
        <f t="shared" si="0"/>
        <v>2.368342787682334E-2</v>
      </c>
      <c r="M42" s="88">
        <f t="shared" si="1"/>
        <v>2.3968030794165318E-2</v>
      </c>
      <c r="N42" s="88">
        <f t="shared" si="2"/>
        <v>2.3825729335494331E-2</v>
      </c>
      <c r="O42" s="88">
        <f>'Growth curves UTEX #1926'!G22</f>
        <v>2.8</v>
      </c>
      <c r="P42" s="88">
        <f t="shared" si="3"/>
        <v>3.5268799999999998</v>
      </c>
      <c r="Q42" s="89">
        <f t="shared" si="10"/>
        <v>2.6451599999999996E-4</v>
      </c>
      <c r="R42" s="90">
        <f t="shared" si="4"/>
        <v>45.036461566586397</v>
      </c>
      <c r="S42" s="91"/>
      <c r="V42" s="92">
        <f t="shared" si="5"/>
        <v>158.83819556996221</v>
      </c>
      <c r="W42" s="108"/>
      <c r="X42" s="92"/>
      <c r="Y42" s="92"/>
      <c r="Z42" s="92">
        <f>(V42-$V$6)/(D41-$D$5)</f>
        <v>0.40038365384399544</v>
      </c>
      <c r="AA42" s="108"/>
      <c r="AB42" s="115"/>
    </row>
    <row r="43" spans="1:34" ht="15" customHeight="1" x14ac:dyDescent="0.2">
      <c r="A43" s="64"/>
      <c r="B43" s="208"/>
      <c r="C43" s="209"/>
      <c r="D43" s="210"/>
      <c r="E43" s="95" t="s">
        <v>96</v>
      </c>
      <c r="F43" s="204"/>
      <c r="G43" s="207"/>
      <c r="H43" s="96">
        <f>0.2458-F41</f>
        <v>0.19624999999999998</v>
      </c>
      <c r="I43" s="98">
        <f>0.2465-F41</f>
        <v>0.19695000000000001</v>
      </c>
      <c r="J43" s="98">
        <f>0.1818-G41</f>
        <v>0.13285</v>
      </c>
      <c r="K43" s="98">
        <f>0.1808-G41</f>
        <v>0.13184999999999999</v>
      </c>
      <c r="L43" s="88">
        <f t="shared" si="0"/>
        <v>1.8780510534846025E-2</v>
      </c>
      <c r="M43" s="88">
        <f t="shared" si="1"/>
        <v>1.8992017828200976E-2</v>
      </c>
      <c r="N43" s="98">
        <f t="shared" si="2"/>
        <v>1.8886264181523501E-2</v>
      </c>
      <c r="O43" s="98">
        <f>'Growth curves UTEX #1926'!H22</f>
        <v>2.9359999999999999</v>
      </c>
      <c r="P43" s="98">
        <f t="shared" si="3"/>
        <v>3.6981856</v>
      </c>
      <c r="Q43" s="99">
        <f t="shared" si="10"/>
        <v>2.7736391999999999E-4</v>
      </c>
      <c r="R43" s="100">
        <f t="shared" si="4"/>
        <v>34.046000253968685</v>
      </c>
      <c r="S43" s="101">
        <f>AVERAGE(R41:R43)</f>
        <v>33.759161729522837</v>
      </c>
      <c r="T43" s="102">
        <f>STDEV(R41:R43)</f>
        <v>11.423420328392755</v>
      </c>
      <c r="U43" s="102">
        <f>T43/SQRT(3)</f>
        <v>6.5953148016638004</v>
      </c>
      <c r="V43" s="102">
        <f t="shared" si="5"/>
        <v>125.90842787682334</v>
      </c>
      <c r="W43" s="101">
        <f>AVERAGE(V41:V43)</f>
        <v>124.84801008463894</v>
      </c>
      <c r="X43" s="102">
        <f>STDEV(V41:V43)</f>
        <v>34.532607672588846</v>
      </c>
      <c r="Y43" s="102">
        <f>X43/SQRT(3)</f>
        <v>19.937410335588908</v>
      </c>
      <c r="Z43" s="102">
        <f>(V43-$V$7)/(D41-$D$5)</f>
        <v>0.31420446956500264</v>
      </c>
      <c r="AA43" s="101">
        <f>AVERAGE(Z41:Z43)</f>
        <v>0.31135733253605524</v>
      </c>
      <c r="AB43" s="109">
        <f>STDEV(Z41:Z43)/SQRT(3)</f>
        <v>5.2240668100733523E-2</v>
      </c>
    </row>
    <row r="44" spans="1:34" x14ac:dyDescent="0.2">
      <c r="A44" s="64"/>
      <c r="B44" s="193" t="s">
        <v>33</v>
      </c>
      <c r="C44" s="196">
        <v>0.56666666666666665</v>
      </c>
      <c r="D44" s="199">
        <v>432.25</v>
      </c>
      <c r="E44" s="85" t="s">
        <v>94</v>
      </c>
      <c r="F44" s="202">
        <v>4.19E-2</v>
      </c>
      <c r="G44" s="205">
        <v>3.9899999999999998E-2</v>
      </c>
      <c r="H44" s="106">
        <f>0.3114-F44</f>
        <v>0.26950000000000002</v>
      </c>
      <c r="I44" s="110">
        <f>0.3113-F44</f>
        <v>0.26940000000000003</v>
      </c>
      <c r="J44" s="110">
        <f>0.1983-G44</f>
        <v>0.15840000000000001</v>
      </c>
      <c r="K44" s="110">
        <f>0.1971-G44</f>
        <v>0.15720000000000001</v>
      </c>
      <c r="L44" s="88">
        <f t="shared" si="0"/>
        <v>2.8147163695299841E-2</v>
      </c>
      <c r="M44" s="88">
        <f t="shared" si="1"/>
        <v>2.8248622366288497E-2</v>
      </c>
      <c r="N44" s="88">
        <f t="shared" si="2"/>
        <v>2.8197893030794167E-2</v>
      </c>
      <c r="O44" s="88">
        <f>'Growth curves UTEX #1926'!F23</f>
        <v>3.2160000000000002</v>
      </c>
      <c r="P44" s="88">
        <f t="shared" si="3"/>
        <v>4.0508736000000001</v>
      </c>
      <c r="Q44" s="111">
        <f t="shared" si="10"/>
        <v>3.0381552000000001E-4</v>
      </c>
      <c r="R44" s="90">
        <f t="shared" si="4"/>
        <v>46.406274818998988</v>
      </c>
      <c r="S44" s="91"/>
      <c r="V44" s="92">
        <f t="shared" si="5"/>
        <v>187.98595353862777</v>
      </c>
      <c r="W44" s="108"/>
      <c r="X44" s="92"/>
      <c r="Y44" s="92"/>
      <c r="Z44" s="92">
        <f t="shared" si="6"/>
        <v>0.44645549537294765</v>
      </c>
      <c r="AA44" s="108"/>
      <c r="AB44" s="115"/>
    </row>
    <row r="45" spans="1:34" ht="15" customHeight="1" x14ac:dyDescent="0.2">
      <c r="A45" s="64"/>
      <c r="B45" s="194"/>
      <c r="C45" s="197"/>
      <c r="D45" s="200"/>
      <c r="E45" s="85" t="s">
        <v>95</v>
      </c>
      <c r="F45" s="203"/>
      <c r="G45" s="206"/>
      <c r="H45" s="86">
        <f>0.2309-F44</f>
        <v>0.189</v>
      </c>
      <c r="I45" s="88">
        <f>0.2421-F44</f>
        <v>0.20020000000000002</v>
      </c>
      <c r="J45" s="88">
        <f>0.1514-G44</f>
        <v>0.11150000000000002</v>
      </c>
      <c r="K45" s="88">
        <f>0.1601-G44</f>
        <v>0.1202</v>
      </c>
      <c r="L45" s="88">
        <f t="shared" si="0"/>
        <v>1.9698946515397081E-2</v>
      </c>
      <c r="M45" s="88">
        <f t="shared" si="1"/>
        <v>2.0661102106969208E-2</v>
      </c>
      <c r="N45" s="88">
        <f t="shared" si="2"/>
        <v>2.0180024311183146E-2</v>
      </c>
      <c r="O45" s="88">
        <f>'Growth curves UTEX #1926'!G23</f>
        <v>2.8079999999999998</v>
      </c>
      <c r="P45" s="88">
        <f t="shared" si="3"/>
        <v>3.5369568</v>
      </c>
      <c r="Q45" s="89">
        <f t="shared" si="10"/>
        <v>2.6527175999999997E-4</v>
      </c>
      <c r="R45" s="90">
        <f t="shared" si="4"/>
        <v>38.036510767642866</v>
      </c>
      <c r="S45" s="91"/>
      <c r="V45" s="92">
        <f t="shared" si="5"/>
        <v>134.53349540788767</v>
      </c>
      <c r="W45" s="108"/>
      <c r="X45" s="92"/>
      <c r="Y45" s="92"/>
      <c r="Z45" s="92">
        <f>(V45-$V$6)/(D44-$D$5)</f>
        <v>0.31734877937147504</v>
      </c>
      <c r="AA45" s="108"/>
      <c r="AB45" s="115"/>
    </row>
    <row r="46" spans="1:34" ht="16" customHeight="1" thickBot="1" x14ac:dyDescent="0.25">
      <c r="A46" s="64"/>
      <c r="B46" s="195"/>
      <c r="C46" s="198"/>
      <c r="D46" s="201"/>
      <c r="E46" s="95" t="s">
        <v>96</v>
      </c>
      <c r="F46" s="223"/>
      <c r="G46" s="224"/>
      <c r="H46" s="86">
        <f>0.2365-F44</f>
        <v>0.1946</v>
      </c>
      <c r="I46" s="88">
        <f>0.2506-F44</f>
        <v>0.2087</v>
      </c>
      <c r="J46" s="88">
        <f>0.1474-G44</f>
        <v>0.10750000000000001</v>
      </c>
      <c r="K46" s="88">
        <f>0.1597-G44</f>
        <v>0.11980000000000002</v>
      </c>
      <c r="L46" s="88">
        <f t="shared" si="0"/>
        <v>2.0998784440842782E-2</v>
      </c>
      <c r="M46" s="88">
        <f t="shared" si="1"/>
        <v>2.2077957860615879E-2</v>
      </c>
      <c r="N46" s="98">
        <f t="shared" si="2"/>
        <v>2.1538371150729332E-2</v>
      </c>
      <c r="O46" s="88">
        <f>'Growth curves UTEX #1926'!G23</f>
        <v>2.8079999999999998</v>
      </c>
      <c r="P46" s="98">
        <f t="shared" si="3"/>
        <v>3.5369568</v>
      </c>
      <c r="Q46" s="99">
        <f t="shared" si="10"/>
        <v>2.6527175999999997E-4</v>
      </c>
      <c r="R46" s="100">
        <f t="shared" si="4"/>
        <v>40.59680372823955</v>
      </c>
      <c r="S46" s="101">
        <f>AVERAGE(R44:R46)</f>
        <v>41.679863104960468</v>
      </c>
      <c r="T46" s="102">
        <f>STDEV(R44:R46)</f>
        <v>4.2887061893968257</v>
      </c>
      <c r="U46" s="102">
        <f>T46/SQRT(3)</f>
        <v>2.4760856729234715</v>
      </c>
      <c r="V46" s="102">
        <f t="shared" si="5"/>
        <v>143.58914100486223</v>
      </c>
      <c r="W46" s="101">
        <f>AVERAGE(V44:V46)</f>
        <v>155.36952998379255</v>
      </c>
      <c r="X46" s="102">
        <f>STDEV(V44:V46)</f>
        <v>28.607245470786008</v>
      </c>
      <c r="Y46" s="102">
        <f>X46/SQRT(3)</f>
        <v>16.516400873332007</v>
      </c>
      <c r="Z46" s="102">
        <f>(V46-$V$7)/(D44-$D$5)</f>
        <v>0.33885407072216972</v>
      </c>
      <c r="AA46" s="101">
        <f>AVERAGE(Z44:Z46)</f>
        <v>0.36755278182219747</v>
      </c>
      <c r="AB46" s="109">
        <f>STDEV(Z44:Z46)/SQRT(3)</f>
        <v>3.9936816945743275E-2</v>
      </c>
    </row>
    <row r="47" spans="1:34" ht="15" thickBot="1" x14ac:dyDescent="0.25">
      <c r="B47" s="211" t="s">
        <v>73</v>
      </c>
      <c r="C47" s="212"/>
      <c r="D47" s="212"/>
      <c r="E47" s="212"/>
      <c r="F47" s="212"/>
      <c r="G47" s="212"/>
      <c r="H47" s="212"/>
      <c r="I47" s="212"/>
      <c r="J47" s="212"/>
      <c r="K47" s="212"/>
      <c r="L47" s="212"/>
      <c r="M47" s="212"/>
      <c r="N47" s="212"/>
      <c r="O47" s="212"/>
      <c r="P47" s="212"/>
      <c r="Q47" s="212"/>
      <c r="R47" s="212"/>
      <c r="S47" s="212"/>
      <c r="T47" s="212"/>
      <c r="U47" s="212"/>
      <c r="V47" s="212"/>
      <c r="W47" s="212"/>
      <c r="X47" s="212"/>
      <c r="Y47" s="212"/>
      <c r="Z47" s="212"/>
      <c r="AA47" s="212"/>
      <c r="AB47" s="213"/>
      <c r="AD47" s="231" t="s">
        <v>107</v>
      </c>
      <c r="AE47" s="231"/>
      <c r="AF47" s="231"/>
      <c r="AG47" s="231"/>
      <c r="AH47" s="231"/>
    </row>
    <row r="48" spans="1:34" ht="45" customHeight="1" x14ac:dyDescent="0.2">
      <c r="B48" s="65" t="s">
        <v>0</v>
      </c>
      <c r="C48" s="66" t="s">
        <v>1</v>
      </c>
      <c r="D48" s="67" t="s">
        <v>2</v>
      </c>
      <c r="E48" s="68"/>
      <c r="F48" s="66" t="s">
        <v>11</v>
      </c>
      <c r="G48" s="66" t="s">
        <v>12</v>
      </c>
      <c r="H48" s="214" t="s">
        <v>77</v>
      </c>
      <c r="I48" s="215"/>
      <c r="J48" s="216" t="s">
        <v>78</v>
      </c>
      <c r="K48" s="217"/>
      <c r="L48" s="218" t="s">
        <v>79</v>
      </c>
      <c r="M48" s="219"/>
      <c r="N48" s="69" t="s">
        <v>80</v>
      </c>
      <c r="O48" s="70" t="s">
        <v>81</v>
      </c>
      <c r="P48" s="69" t="s">
        <v>13</v>
      </c>
      <c r="Q48" s="69" t="s">
        <v>14</v>
      </c>
      <c r="R48" s="69" t="s">
        <v>82</v>
      </c>
      <c r="S48" s="69" t="s">
        <v>83</v>
      </c>
      <c r="T48" s="69" t="s">
        <v>84</v>
      </c>
      <c r="U48" s="71" t="s">
        <v>62</v>
      </c>
      <c r="V48" s="70" t="s">
        <v>85</v>
      </c>
      <c r="W48" s="69" t="s">
        <v>86</v>
      </c>
      <c r="X48" s="69" t="s">
        <v>84</v>
      </c>
      <c r="Y48" s="72" t="s">
        <v>62</v>
      </c>
      <c r="Z48" s="72" t="s">
        <v>87</v>
      </c>
      <c r="AA48" s="69" t="s">
        <v>88</v>
      </c>
      <c r="AB48" s="73" t="s">
        <v>62</v>
      </c>
      <c r="AD48" s="62" t="s">
        <v>2</v>
      </c>
      <c r="AE48" s="83" t="str">
        <f>S48</f>
        <v>Average specific CPC conc.</v>
      </c>
      <c r="AF48" s="62" t="s">
        <v>15</v>
      </c>
      <c r="AG48" s="83" t="str">
        <f>W48</f>
        <v>Average total CPC</v>
      </c>
      <c r="AH48" s="62" t="s">
        <v>15</v>
      </c>
    </row>
    <row r="49" spans="2:34" ht="25" customHeight="1" x14ac:dyDescent="0.2">
      <c r="B49" s="74"/>
      <c r="C49" s="75"/>
      <c r="D49" s="76"/>
      <c r="E49" s="77"/>
      <c r="F49" s="75" t="s">
        <v>16</v>
      </c>
      <c r="G49" s="75" t="s">
        <v>16</v>
      </c>
      <c r="H49" s="78" t="s">
        <v>89</v>
      </c>
      <c r="I49" s="75" t="s">
        <v>90</v>
      </c>
      <c r="J49" s="76" t="s">
        <v>89</v>
      </c>
      <c r="K49" s="79" t="s">
        <v>90</v>
      </c>
      <c r="L49" s="222" t="s">
        <v>17</v>
      </c>
      <c r="M49" s="221"/>
      <c r="N49" s="80" t="s">
        <v>17</v>
      </c>
      <c r="O49" s="80" t="s">
        <v>16</v>
      </c>
      <c r="P49" s="80" t="s">
        <v>18</v>
      </c>
      <c r="Q49" s="80" t="s">
        <v>19</v>
      </c>
      <c r="R49" s="81" t="s">
        <v>91</v>
      </c>
      <c r="S49" s="81" t="s">
        <v>91</v>
      </c>
      <c r="T49" s="80"/>
      <c r="U49" s="76"/>
      <c r="V49" s="81" t="s">
        <v>92</v>
      </c>
      <c r="W49" s="81" t="s">
        <v>92</v>
      </c>
      <c r="X49" s="80"/>
      <c r="Y49" s="80"/>
      <c r="Z49" s="81" t="s">
        <v>93</v>
      </c>
      <c r="AA49" s="81" t="s">
        <v>93</v>
      </c>
      <c r="AB49" s="82"/>
      <c r="AD49" s="93">
        <f>D50</f>
        <v>23.016666666666666</v>
      </c>
      <c r="AE49" s="92">
        <f>S52</f>
        <v>21.101234756492545</v>
      </c>
      <c r="AF49" s="92">
        <f>U52</f>
        <v>1.4391022234017539</v>
      </c>
      <c r="AG49" s="92">
        <f>W52</f>
        <v>5.450688816855755</v>
      </c>
      <c r="AH49" s="92">
        <f>Y52</f>
        <v>0.12522339551274159</v>
      </c>
    </row>
    <row r="50" spans="2:34" x14ac:dyDescent="0.2">
      <c r="B50" s="194" t="s">
        <v>9</v>
      </c>
      <c r="C50" s="197">
        <v>0.51041666666666663</v>
      </c>
      <c r="D50" s="200">
        <v>23.016666666666666</v>
      </c>
      <c r="E50" s="85" t="s">
        <v>94</v>
      </c>
      <c r="F50" s="203">
        <v>4.6699999999999998E-2</v>
      </c>
      <c r="G50" s="206">
        <v>4.65E-2</v>
      </c>
      <c r="H50" s="86">
        <f>0.1692-F50</f>
        <v>0.1225</v>
      </c>
      <c r="I50" s="88">
        <f>0.1783-F50</f>
        <v>0.13159999999999999</v>
      </c>
      <c r="J50" s="88">
        <f>0.1449-G50</f>
        <v>9.8400000000000001E-2</v>
      </c>
      <c r="K50" s="88">
        <f>0.1543-G50</f>
        <v>0.10779999999999999</v>
      </c>
      <c r="L50" s="88">
        <f>(H50-(0.605*J50))/6.17</f>
        <v>1.0205510534846028E-2</v>
      </c>
      <c r="M50" s="88">
        <f>(I50-(0.605*K50))/6.17</f>
        <v>1.0758670988654781E-2</v>
      </c>
      <c r="N50" s="88">
        <f>AVERAGE(L50:M50)</f>
        <v>1.0482090761750405E-2</v>
      </c>
      <c r="O50" s="62">
        <f>'Growth curves UTEX #1926'!F30</f>
        <v>0.222</v>
      </c>
      <c r="P50" s="88">
        <f>1.2596*O50</f>
        <v>0.27963120000000002</v>
      </c>
      <c r="Q50" s="89">
        <f>P50*1/1000</f>
        <v>2.7963120000000003E-4</v>
      </c>
      <c r="R50" s="90">
        <f>(N50*0.5)/Q50</f>
        <v>18.742706038793962</v>
      </c>
      <c r="S50" s="91"/>
      <c r="V50" s="92">
        <f>R50*P50</f>
        <v>5.2410453808752022</v>
      </c>
      <c r="W50" s="91"/>
      <c r="AA50" s="91"/>
      <c r="AB50" s="84"/>
      <c r="AD50" s="93">
        <f>D53</f>
        <v>94.833333333333343</v>
      </c>
      <c r="AE50" s="92">
        <f>S55</f>
        <v>29.253785971467654</v>
      </c>
      <c r="AF50" s="92">
        <f>U55</f>
        <v>1.5247160289829711</v>
      </c>
      <c r="AG50" s="92">
        <f>W55</f>
        <v>26.727552674230143</v>
      </c>
      <c r="AH50" s="92">
        <f>Y55</f>
        <v>1.1848023996814885</v>
      </c>
    </row>
    <row r="51" spans="2:34" ht="15" customHeight="1" x14ac:dyDescent="0.2">
      <c r="B51" s="194"/>
      <c r="C51" s="197"/>
      <c r="D51" s="200"/>
      <c r="E51" s="85" t="s">
        <v>95</v>
      </c>
      <c r="F51" s="203"/>
      <c r="G51" s="206"/>
      <c r="H51" s="86">
        <f>0.1562-F50</f>
        <v>0.10950000000000001</v>
      </c>
      <c r="I51" s="88">
        <f>0.1355-F50</f>
        <v>8.8800000000000018E-2</v>
      </c>
      <c r="J51" s="88">
        <f>0.1047-G50</f>
        <v>5.8200000000000002E-2</v>
      </c>
      <c r="K51" s="88">
        <f>0.0846-G50</f>
        <v>3.8099999999999995E-2</v>
      </c>
      <c r="L51" s="88">
        <f t="shared" ref="L51:L91" si="11">(H51-(0.605*J51))/6.17</f>
        <v>1.2040356564019453E-2</v>
      </c>
      <c r="M51" s="88">
        <f t="shared" ref="M51:M91" si="12">(I51-(0.605*K51))/6.17</f>
        <v>1.0656320907617508E-2</v>
      </c>
      <c r="N51" s="88">
        <f t="shared" ref="N51:N91" si="13">AVERAGE(L51:M51)</f>
        <v>1.134833873581848E-2</v>
      </c>
      <c r="O51" s="62">
        <f>'Growth curves UTEX #1926'!G30</f>
        <v>0.19</v>
      </c>
      <c r="P51" s="88">
        <f t="shared" ref="P51:P91" si="14">1.2596*O51</f>
        <v>0.23932400000000001</v>
      </c>
      <c r="Q51" s="89">
        <f>P51*1/1000</f>
        <v>2.3932400000000001E-4</v>
      </c>
      <c r="R51" s="90">
        <f t="shared" ref="R51:R91" si="15">(N51*0.5)/Q51</f>
        <v>23.709153147654391</v>
      </c>
      <c r="S51" s="91"/>
      <c r="V51" s="92">
        <f t="shared" ref="V51:V91" si="16">R51*P51</f>
        <v>5.67416936790924</v>
      </c>
      <c r="W51" s="91"/>
      <c r="AA51" s="91"/>
      <c r="AB51" s="84"/>
      <c r="AD51" s="93">
        <f>D56</f>
        <v>118.85000000000001</v>
      </c>
      <c r="AE51" s="92">
        <f>S58</f>
        <v>29.307539834752586</v>
      </c>
      <c r="AF51" s="92">
        <f>U58</f>
        <v>1.9754171043159272</v>
      </c>
      <c r="AG51" s="92">
        <f>W58</f>
        <v>35.826499189627235</v>
      </c>
      <c r="AH51" s="92">
        <f>Y58</f>
        <v>2.4923103137772222</v>
      </c>
    </row>
    <row r="52" spans="2:34" ht="15" customHeight="1" x14ac:dyDescent="0.2">
      <c r="B52" s="208"/>
      <c r="C52" s="209"/>
      <c r="D52" s="210"/>
      <c r="E52" s="95" t="s">
        <v>96</v>
      </c>
      <c r="F52" s="203"/>
      <c r="G52" s="206"/>
      <c r="H52" s="96">
        <f>0.1443-F50</f>
        <v>9.760000000000002E-2</v>
      </c>
      <c r="I52" s="98">
        <f>0.1436-F50</f>
        <v>9.6900000000000014E-2</v>
      </c>
      <c r="J52" s="98">
        <f>0.0959-G50</f>
        <v>4.9399999999999999E-2</v>
      </c>
      <c r="K52" s="98">
        <f>0.0968-G50</f>
        <v>5.0299999999999997E-2</v>
      </c>
      <c r="L52" s="88">
        <f t="shared" si="11"/>
        <v>1.0974554294975692E-2</v>
      </c>
      <c r="M52" s="88">
        <f t="shared" si="12"/>
        <v>1.0772852512155593E-2</v>
      </c>
      <c r="N52" s="98">
        <f t="shared" si="13"/>
        <v>1.0873703403565643E-2</v>
      </c>
      <c r="O52" s="103">
        <f>'Growth curves UTEX #1926'!H30</f>
        <v>0.20699999999999999</v>
      </c>
      <c r="P52" s="98">
        <f t="shared" si="14"/>
        <v>0.2607372</v>
      </c>
      <c r="Q52" s="99">
        <f>P52*1/1000</f>
        <v>2.6073719999999999E-4</v>
      </c>
      <c r="R52" s="100">
        <f t="shared" si="15"/>
        <v>20.851845083029279</v>
      </c>
      <c r="S52" s="101">
        <f>AVERAGE(R50:R52)</f>
        <v>21.101234756492545</v>
      </c>
      <c r="T52" s="102">
        <f>STDEV(R50:R52)</f>
        <v>2.4925981682171745</v>
      </c>
      <c r="U52" s="102">
        <f>T52/SQRT(3)</f>
        <v>1.4391022234017539</v>
      </c>
      <c r="V52" s="102">
        <f t="shared" si="16"/>
        <v>5.436851701782822</v>
      </c>
      <c r="W52" s="101">
        <f>AVERAGE(V50:V52)</f>
        <v>5.450688816855755</v>
      </c>
      <c r="X52" s="102">
        <f>STDEV(V50:V52)</f>
        <v>0.21689328332436097</v>
      </c>
      <c r="Y52" s="102">
        <f>X52/SQRT(3)</f>
        <v>0.12522339551274159</v>
      </c>
      <c r="Z52" s="103"/>
      <c r="AA52" s="104"/>
      <c r="AB52" s="94"/>
      <c r="AD52" s="93">
        <f>D59</f>
        <v>191.35</v>
      </c>
      <c r="AE52" s="92">
        <v>40.970484396122373</v>
      </c>
      <c r="AF52" s="92">
        <f>U61</f>
        <v>10.418534118034774</v>
      </c>
      <c r="AG52" s="92">
        <v>78.691976779026206</v>
      </c>
      <c r="AH52" s="92">
        <f>Y61</f>
        <v>19.765704364322964</v>
      </c>
    </row>
    <row r="53" spans="2:34" x14ac:dyDescent="0.2">
      <c r="B53" s="193" t="s">
        <v>27</v>
      </c>
      <c r="C53" s="196">
        <v>0.50277777777777777</v>
      </c>
      <c r="D53" s="199">
        <v>94.833333333333343</v>
      </c>
      <c r="E53" s="85" t="s">
        <v>94</v>
      </c>
      <c r="F53" s="203">
        <f>(0.0532+0.0381+0.0347)/3</f>
        <v>4.2000000000000003E-2</v>
      </c>
      <c r="G53" s="206">
        <f>(0.0532+0.039+0.0341)/3</f>
        <v>4.2099999999999999E-2</v>
      </c>
      <c r="H53" s="86">
        <f>0.27-F53</f>
        <v>0.22800000000000001</v>
      </c>
      <c r="I53" s="88">
        <f>0.2627-F53</f>
        <v>0.22069999999999998</v>
      </c>
      <c r="J53" s="88">
        <f>0.1656-G53</f>
        <v>0.1235</v>
      </c>
      <c r="K53" s="88">
        <f>0.1599-G53</f>
        <v>0.11779999999999999</v>
      </c>
      <c r="L53" s="88">
        <f t="shared" si="11"/>
        <v>2.4843192868719614E-2</v>
      </c>
      <c r="M53" s="88">
        <f t="shared" si="12"/>
        <v>2.4218962722852511E-2</v>
      </c>
      <c r="N53" s="88">
        <f t="shared" si="13"/>
        <v>2.453107779578606E-2</v>
      </c>
      <c r="O53" s="88">
        <f>'Growth curves UTEX #1926'!F32</f>
        <v>0.72599999999999998</v>
      </c>
      <c r="P53" s="88">
        <f t="shared" si="14"/>
        <v>0.91446959999999999</v>
      </c>
      <c r="Q53" s="89">
        <f>P53*0.5/1000</f>
        <v>4.572348E-4</v>
      </c>
      <c r="R53" s="90">
        <f t="shared" si="15"/>
        <v>26.825471066272801</v>
      </c>
      <c r="S53" s="108"/>
      <c r="T53" s="92"/>
      <c r="U53" s="92"/>
      <c r="V53" s="92">
        <f t="shared" si="16"/>
        <v>24.531077795786061</v>
      </c>
      <c r="W53" s="108"/>
      <c r="X53" s="92"/>
      <c r="Y53" s="92"/>
      <c r="Z53" s="92">
        <f>(V53-$V$50)/(D53-$D$50)</f>
        <v>0.26860105474463941</v>
      </c>
      <c r="AA53" s="108"/>
      <c r="AB53" s="84"/>
      <c r="AD53" s="93">
        <f>D62</f>
        <v>216.28333333333333</v>
      </c>
      <c r="AE53" s="92">
        <v>51.300769645390851</v>
      </c>
      <c r="AF53" s="92">
        <f>U64</f>
        <v>2.7887761674771019</v>
      </c>
      <c r="AG53" s="92">
        <v>120.29733532084894</v>
      </c>
      <c r="AH53" s="92">
        <f>Y64</f>
        <v>7.0991246357927897</v>
      </c>
    </row>
    <row r="54" spans="2:34" ht="15" customHeight="1" x14ac:dyDescent="0.2">
      <c r="B54" s="194"/>
      <c r="C54" s="197"/>
      <c r="D54" s="200"/>
      <c r="E54" s="85" t="s">
        <v>95</v>
      </c>
      <c r="F54" s="203"/>
      <c r="G54" s="206"/>
      <c r="H54" s="86">
        <f>0.3026-F53</f>
        <v>0.2606</v>
      </c>
      <c r="I54" s="88">
        <f>0.3119-F53</f>
        <v>0.26990000000000003</v>
      </c>
      <c r="J54" s="88">
        <f>0.1863-G53</f>
        <v>0.14419999999999999</v>
      </c>
      <c r="K54" s="88">
        <f>0.1915-G53</f>
        <v>0.14940000000000001</v>
      </c>
      <c r="L54" s="88">
        <f t="shared" si="11"/>
        <v>2.8097082658022687E-2</v>
      </c>
      <c r="M54" s="88">
        <f t="shared" si="12"/>
        <v>2.9094489465153976E-2</v>
      </c>
      <c r="N54" s="88">
        <f t="shared" si="13"/>
        <v>2.859578606158833E-2</v>
      </c>
      <c r="O54" s="88">
        <f>'Growth curves UTEX #1926'!G32</f>
        <v>0.70799999999999996</v>
      </c>
      <c r="P54" s="88">
        <f t="shared" si="14"/>
        <v>0.89179679999999995</v>
      </c>
      <c r="Q54" s="89">
        <f>P54*0.5/1000</f>
        <v>4.4589839999999999E-4</v>
      </c>
      <c r="R54" s="90">
        <f t="shared" si="15"/>
        <v>32.065360698298456</v>
      </c>
      <c r="S54" s="91"/>
      <c r="T54" s="92"/>
      <c r="U54" s="92"/>
      <c r="V54" s="92">
        <f t="shared" si="16"/>
        <v>28.595786061588328</v>
      </c>
      <c r="W54" s="108"/>
      <c r="X54" s="92"/>
      <c r="Y54" s="92"/>
      <c r="Z54" s="92">
        <f>(V54-$V$51)/(D53-$D$50)</f>
        <v>0.31916848494331518</v>
      </c>
      <c r="AA54" s="108"/>
      <c r="AB54" s="84"/>
      <c r="AD54" s="93">
        <f>D65</f>
        <v>240.18333333333334</v>
      </c>
      <c r="AE54" s="92">
        <v>47.674455999999999</v>
      </c>
      <c r="AF54" s="92">
        <f>U67</f>
        <v>4.4091581987911983</v>
      </c>
      <c r="AG54" s="92">
        <v>125.7578</v>
      </c>
      <c r="AH54" s="92">
        <f>Y67</f>
        <v>10.185768313644431</v>
      </c>
    </row>
    <row r="55" spans="2:34" ht="15" customHeight="1" x14ac:dyDescent="0.2">
      <c r="B55" s="208"/>
      <c r="C55" s="209"/>
      <c r="D55" s="210"/>
      <c r="E55" s="95" t="s">
        <v>96</v>
      </c>
      <c r="F55" s="204"/>
      <c r="G55" s="207"/>
      <c r="H55" s="86">
        <f>0.3081-F53</f>
        <v>0.2661</v>
      </c>
      <c r="I55" s="88">
        <f>0.2975-F53</f>
        <v>0.2555</v>
      </c>
      <c r="J55" s="88">
        <f>0.204-G53</f>
        <v>0.16189999999999999</v>
      </c>
      <c r="K55" s="88">
        <f>0.1905-G53</f>
        <v>0.1484</v>
      </c>
      <c r="L55" s="88">
        <f t="shared" si="11"/>
        <v>2.7252917341977313E-2</v>
      </c>
      <c r="M55" s="88">
        <f t="shared" si="12"/>
        <v>2.6858670988654781E-2</v>
      </c>
      <c r="N55" s="98">
        <f t="shared" si="13"/>
        <v>2.7055794165316047E-2</v>
      </c>
      <c r="O55" s="98">
        <f>'Growth curves UTEX #1926'!H32</f>
        <v>0.74399999999999999</v>
      </c>
      <c r="P55" s="98">
        <f t="shared" si="14"/>
        <v>0.93714240000000004</v>
      </c>
      <c r="Q55" s="99">
        <f>P55*0.5/1000</f>
        <v>4.685712E-4</v>
      </c>
      <c r="R55" s="100">
        <f t="shared" si="15"/>
        <v>28.870526149831708</v>
      </c>
      <c r="S55" s="101">
        <f>AVERAGE(R53:R55)</f>
        <v>29.253785971467654</v>
      </c>
      <c r="T55" s="102">
        <f>STDEV(R53:R55)</f>
        <v>2.6408856293131668</v>
      </c>
      <c r="U55" s="102">
        <f>T55/SQRT(3)</f>
        <v>1.5247160289829711</v>
      </c>
      <c r="V55" s="102">
        <f t="shared" si="16"/>
        <v>27.055794165316048</v>
      </c>
      <c r="W55" s="101">
        <f t="shared" ref="W55:W91" si="17">AVERAGE(V53:V55)</f>
        <v>26.727552674230143</v>
      </c>
      <c r="X55" s="102">
        <f t="shared" ref="X55:X91" si="18">STDEV(V53:V55)</f>
        <v>2.0521379531778656</v>
      </c>
      <c r="Y55" s="102">
        <f t="shared" ref="Y55:Y91" si="19">X55/SQRT(3)</f>
        <v>1.1848023996814885</v>
      </c>
      <c r="Z55" s="102">
        <f>(V55-$V$52)/(D53-$D$50)</f>
        <v>0.30102960032768472</v>
      </c>
      <c r="AA55" s="101">
        <f>AVERAGE(Z53:Z55)</f>
        <v>0.29626638000521305</v>
      </c>
      <c r="AB55" s="109">
        <f>STDEV(Z53:Z55)/SQRT(3)</f>
        <v>1.4790565124483823E-2</v>
      </c>
      <c r="AD55" s="93">
        <f>D68</f>
        <v>264.18333333333334</v>
      </c>
      <c r="AE55" s="92">
        <v>48.371382405685814</v>
      </c>
      <c r="AF55" s="92">
        <f>U70</f>
        <v>4.3089166747900443</v>
      </c>
      <c r="AG55" s="92">
        <v>116.76900000000001</v>
      </c>
      <c r="AH55" s="92">
        <f>Y70</f>
        <v>9.4113569038649061</v>
      </c>
    </row>
    <row r="56" spans="2:34" x14ac:dyDescent="0.2">
      <c r="B56" s="193" t="s">
        <v>28</v>
      </c>
      <c r="C56" s="196">
        <v>0.50347222222222221</v>
      </c>
      <c r="D56" s="199">
        <v>118.85000000000001</v>
      </c>
      <c r="E56" s="85" t="s">
        <v>94</v>
      </c>
      <c r="F56" s="202">
        <v>4.5199999999999997E-2</v>
      </c>
      <c r="G56" s="205">
        <v>4.4499999999999998E-2</v>
      </c>
      <c r="H56" s="106">
        <f>0.1855-F56</f>
        <v>0.14030000000000001</v>
      </c>
      <c r="I56" s="110">
        <f>0.1854-F56</f>
        <v>0.14020000000000002</v>
      </c>
      <c r="J56" s="110">
        <f>0.119-G56</f>
        <v>7.4499999999999997E-2</v>
      </c>
      <c r="K56" s="110">
        <f>0.1191-G56</f>
        <v>7.46E-2</v>
      </c>
      <c r="L56" s="88">
        <f t="shared" si="11"/>
        <v>1.5433954619124802E-2</v>
      </c>
      <c r="M56" s="88">
        <f t="shared" si="12"/>
        <v>1.5407941653160456E-2</v>
      </c>
      <c r="N56" s="88">
        <f t="shared" si="13"/>
        <v>1.5420948136142629E-2</v>
      </c>
      <c r="O56" s="88">
        <f>'Growth curves UTEX #1926'!F33</f>
        <v>0.94199999999999995</v>
      </c>
      <c r="P56" s="88">
        <f t="shared" si="14"/>
        <v>1.1865432</v>
      </c>
      <c r="Q56" s="111">
        <f>P56*0.25/1000</f>
        <v>2.9663580000000001E-4</v>
      </c>
      <c r="R56" s="90">
        <f t="shared" si="15"/>
        <v>25.993066474347717</v>
      </c>
      <c r="S56" s="108"/>
      <c r="T56" s="92"/>
      <c r="U56" s="92"/>
      <c r="V56" s="92">
        <f t="shared" si="16"/>
        <v>30.841896272285258</v>
      </c>
      <c r="W56" s="108"/>
      <c r="X56" s="92"/>
      <c r="Y56" s="92"/>
      <c r="Z56" s="92">
        <f t="shared" ref="Z56:Z89" si="20">(V56-$V$50)/(D56-$D$50)</f>
        <v>0.26713931364949617</v>
      </c>
      <c r="AA56" s="108"/>
      <c r="AB56" s="115"/>
      <c r="AD56" s="93">
        <f>D71</f>
        <v>288.18333333333334</v>
      </c>
      <c r="AE56" s="92">
        <v>49.747677512492949</v>
      </c>
      <c r="AF56" s="92">
        <f>U73</f>
        <v>3.2048307957298019</v>
      </c>
      <c r="AG56" s="92">
        <v>120.78579999999999</v>
      </c>
      <c r="AH56" s="92">
        <f>Y73</f>
        <v>9.0769043349047109</v>
      </c>
    </row>
    <row r="57" spans="2:34" ht="15" customHeight="1" x14ac:dyDescent="0.2">
      <c r="B57" s="194"/>
      <c r="C57" s="197"/>
      <c r="D57" s="200"/>
      <c r="E57" s="85" t="s">
        <v>95</v>
      </c>
      <c r="F57" s="203"/>
      <c r="G57" s="206"/>
      <c r="H57" s="86">
        <f>0.2208-F56</f>
        <v>0.17560000000000001</v>
      </c>
      <c r="I57" s="88">
        <f>0.2225-F56</f>
        <v>0.17730000000000001</v>
      </c>
      <c r="J57" s="88">
        <f>0.1413-G56</f>
        <v>9.6800000000000011E-2</v>
      </c>
      <c r="K57" s="88">
        <f>0.1401-G56</f>
        <v>9.5600000000000004E-2</v>
      </c>
      <c r="L57" s="88">
        <f t="shared" si="11"/>
        <v>1.8968557536466774E-2</v>
      </c>
      <c r="M57" s="88">
        <f t="shared" si="12"/>
        <v>1.9361750405186388E-2</v>
      </c>
      <c r="N57" s="88">
        <f t="shared" si="13"/>
        <v>1.9165153970826583E-2</v>
      </c>
      <c r="O57" s="88">
        <f>'Growth curves UTEX #1926'!G33</f>
        <v>0.92700000000000005</v>
      </c>
      <c r="P57" s="88">
        <f t="shared" si="14"/>
        <v>1.1676492000000001</v>
      </c>
      <c r="Q57" s="89">
        <f>P57*0.25/1000</f>
        <v>2.9191230000000001E-4</v>
      </c>
      <c r="R57" s="90">
        <f t="shared" si="15"/>
        <v>32.826903783818942</v>
      </c>
      <c r="S57" s="91"/>
      <c r="T57" s="92"/>
      <c r="U57" s="92"/>
      <c r="V57" s="92">
        <f t="shared" si="16"/>
        <v>38.33030794165316</v>
      </c>
      <c r="W57" s="108"/>
      <c r="X57" s="92"/>
      <c r="Y57" s="92"/>
      <c r="Z57" s="92">
        <f>(V57-$V$51)/(D56-$D$50)</f>
        <v>0.34075970685645823</v>
      </c>
      <c r="AA57" s="108"/>
      <c r="AB57" s="115"/>
      <c r="AD57" s="93">
        <f>D74</f>
        <v>312.08333333333331</v>
      </c>
      <c r="AE57" s="92">
        <v>45.460463575227266</v>
      </c>
      <c r="AF57" s="92">
        <f>U76</f>
        <v>2.8309621739233601</v>
      </c>
      <c r="AG57" s="92">
        <v>111.94971291926292</v>
      </c>
      <c r="AH57" s="92">
        <f>Y76</f>
        <v>10.6026323690919</v>
      </c>
    </row>
    <row r="58" spans="2:34" ht="15" customHeight="1" x14ac:dyDescent="0.2">
      <c r="B58" s="208"/>
      <c r="C58" s="209"/>
      <c r="D58" s="210"/>
      <c r="E58" s="95" t="s">
        <v>96</v>
      </c>
      <c r="F58" s="204"/>
      <c r="G58" s="207"/>
      <c r="H58" s="96">
        <f>0.2216-F56</f>
        <v>0.1764</v>
      </c>
      <c r="I58" s="98">
        <f>0.2218-F56</f>
        <v>0.17660000000000001</v>
      </c>
      <c r="J58" s="98">
        <f>0.1416-G56</f>
        <v>9.7100000000000006E-2</v>
      </c>
      <c r="K58" s="98">
        <f>0.1402-G56</f>
        <v>9.5699999999999993E-2</v>
      </c>
      <c r="L58" s="88">
        <f t="shared" si="11"/>
        <v>1.9068800648298218E-2</v>
      </c>
      <c r="M58" s="88">
        <f t="shared" si="12"/>
        <v>1.9238492706645058E-2</v>
      </c>
      <c r="N58" s="98">
        <f t="shared" si="13"/>
        <v>1.9153646677471638E-2</v>
      </c>
      <c r="O58" s="98">
        <f>'Growth curves UTEX #1926'!H33</f>
        <v>1.0449999999999999</v>
      </c>
      <c r="P58" s="98">
        <f t="shared" si="14"/>
        <v>1.316282</v>
      </c>
      <c r="Q58" s="99">
        <f>P58*0.25/1000</f>
        <v>3.290705E-4</v>
      </c>
      <c r="R58" s="100">
        <f t="shared" si="15"/>
        <v>29.102649246091094</v>
      </c>
      <c r="S58" s="101">
        <f>AVERAGE(R56:R58)</f>
        <v>29.307539834752586</v>
      </c>
      <c r="T58" s="102">
        <f>STDEV(R56:R58)</f>
        <v>3.4215227908157746</v>
      </c>
      <c r="U58" s="102">
        <f>T58/SQRT(3)</f>
        <v>1.9754171043159272</v>
      </c>
      <c r="V58" s="102">
        <f t="shared" si="16"/>
        <v>38.307293354943276</v>
      </c>
      <c r="W58" s="101">
        <f t="shared" si="17"/>
        <v>35.826499189627235</v>
      </c>
      <c r="X58" s="102">
        <f t="shared" si="18"/>
        <v>4.3168080916900795</v>
      </c>
      <c r="Y58" s="102">
        <f t="shared" si="19"/>
        <v>2.4923103137772222</v>
      </c>
      <c r="Z58" s="102">
        <f>(V58-$V$52)/(D56-$D$50)</f>
        <v>0.34299591290254383</v>
      </c>
      <c r="AA58" s="101">
        <f t="shared" ref="AA58:AA91" si="21">AVERAGE(Z56:Z58)</f>
        <v>0.31696497780283278</v>
      </c>
      <c r="AB58" s="109">
        <f t="shared" ref="AB58:AB91" si="22">STDEV(Z56:Z58)/SQRT(3)</f>
        <v>2.4921194196981189E-2</v>
      </c>
      <c r="AD58" s="93">
        <f>D77</f>
        <v>336.08333333333331</v>
      </c>
      <c r="AE58" s="92">
        <v>42.875779999999999</v>
      </c>
      <c r="AF58" s="92">
        <f>U79</f>
        <v>1.120825630961596</v>
      </c>
      <c r="AG58" s="92">
        <v>118.6588</v>
      </c>
      <c r="AH58" s="92">
        <f>Y79</f>
        <v>3.7213381870851103</v>
      </c>
    </row>
    <row r="59" spans="2:34" x14ac:dyDescent="0.2">
      <c r="B59" s="193" t="s">
        <v>30</v>
      </c>
      <c r="C59" s="196">
        <v>0.52430555555555558</v>
      </c>
      <c r="D59" s="199">
        <v>191.35</v>
      </c>
      <c r="E59" s="85" t="s">
        <v>94</v>
      </c>
      <c r="F59" s="202">
        <v>3.6400000000000002E-2</v>
      </c>
      <c r="G59" s="205">
        <v>3.5099999999999999E-2</v>
      </c>
      <c r="H59" s="106">
        <f>0.1429-F59</f>
        <v>0.1065</v>
      </c>
      <c r="I59" s="110">
        <f>0.146-F59</f>
        <v>0.10959999999999999</v>
      </c>
      <c r="J59" s="110">
        <f>0.0974-G59</f>
        <v>6.2300000000000001E-2</v>
      </c>
      <c r="K59" s="110">
        <f>0.1004-G59</f>
        <v>6.5299999999999997E-2</v>
      </c>
      <c r="L59" s="88">
        <f t="shared" si="11"/>
        <v>1.1152106969205834E-2</v>
      </c>
      <c r="M59" s="88">
        <f t="shared" si="12"/>
        <v>1.1360372771474878E-2</v>
      </c>
      <c r="N59" s="88">
        <f t="shared" si="13"/>
        <v>1.1256239870340357E-2</v>
      </c>
      <c r="O59" s="88">
        <f>'Growth curves UTEX #1926'!F35</f>
        <v>1.6379999999999999</v>
      </c>
      <c r="P59" s="88">
        <f t="shared" si="14"/>
        <v>2.0632248</v>
      </c>
      <c r="Q59" s="111">
        <f t="shared" ref="Q59:Q67" si="23">O59*0.125/1000</f>
        <v>2.0474999999999999E-4</v>
      </c>
      <c r="R59" s="90">
        <f t="shared" si="15"/>
        <v>27.487765251136402</v>
      </c>
      <c r="S59" s="108"/>
      <c r="T59" s="92"/>
      <c r="U59" s="92"/>
      <c r="V59" s="92">
        <f t="shared" si="16"/>
        <v>56.713438962722854</v>
      </c>
      <c r="W59" s="108"/>
      <c r="X59" s="92"/>
      <c r="Y59" s="92"/>
      <c r="Z59" s="92">
        <f t="shared" si="20"/>
        <v>0.30577659553572867</v>
      </c>
      <c r="AA59" s="108"/>
      <c r="AB59" s="115"/>
      <c r="AD59" s="93">
        <f>D80</f>
        <v>360.08333333333331</v>
      </c>
      <c r="AE59" s="92">
        <v>50.247459768308502</v>
      </c>
      <c r="AF59" s="92">
        <f>U82</f>
        <v>5.011645667360642</v>
      </c>
      <c r="AG59" s="92">
        <v>129.68879999999999</v>
      </c>
      <c r="AH59" s="92">
        <f>Y82</f>
        <v>17.081980098016281</v>
      </c>
    </row>
    <row r="60" spans="2:34" ht="15" customHeight="1" x14ac:dyDescent="0.2">
      <c r="B60" s="194"/>
      <c r="C60" s="197"/>
      <c r="D60" s="200"/>
      <c r="E60" s="85" t="s">
        <v>95</v>
      </c>
      <c r="F60" s="203"/>
      <c r="G60" s="206"/>
      <c r="H60" s="86">
        <f>0.1483-F59</f>
        <v>0.11189999999999999</v>
      </c>
      <c r="I60" s="88">
        <f>0.2008-F59</f>
        <v>0.16439999999999999</v>
      </c>
      <c r="J60" s="88">
        <f>0.1135-G59</f>
        <v>7.8399999999999997E-2</v>
      </c>
      <c r="K60" s="88">
        <f>0.1641-G59</f>
        <v>0.129</v>
      </c>
      <c r="L60" s="88">
        <f t="shared" si="11"/>
        <v>1.0448622366288492E-2</v>
      </c>
      <c r="M60" s="88">
        <f t="shared" si="12"/>
        <v>1.3995948136142624E-2</v>
      </c>
      <c r="N60" s="88">
        <f t="shared" si="13"/>
        <v>1.2222285251215558E-2</v>
      </c>
      <c r="O60" s="88">
        <f>'Growth curves UTEX #1926'!G35</f>
        <v>1.4379999999999999</v>
      </c>
      <c r="P60" s="88">
        <f t="shared" si="14"/>
        <v>1.8113048</v>
      </c>
      <c r="Q60" s="89">
        <f t="shared" si="23"/>
        <v>1.7975000000000001E-4</v>
      </c>
      <c r="R60" s="90">
        <f t="shared" si="15"/>
        <v>33.998011825356208</v>
      </c>
      <c r="S60" s="91"/>
      <c r="T60" s="92"/>
      <c r="U60" s="92"/>
      <c r="V60" s="92">
        <f t="shared" si="16"/>
        <v>61.580762009724467</v>
      </c>
      <c r="W60" s="108"/>
      <c r="X60" s="92"/>
      <c r="Y60" s="92"/>
      <c r="Z60" s="92">
        <f>(V60-$V$51)/(D59-$D$50)</f>
        <v>0.33211837212959544</v>
      </c>
      <c r="AA60" s="108"/>
      <c r="AB60" s="115"/>
      <c r="AD60" s="93">
        <f>D83</f>
        <v>384.08333333333331</v>
      </c>
      <c r="AE60" s="92">
        <v>54.025993013885</v>
      </c>
      <c r="AF60" s="92">
        <f>U85</f>
        <v>3.4039647606360206</v>
      </c>
      <c r="AG60" s="92">
        <v>165.7859</v>
      </c>
      <c r="AH60" s="92">
        <f>Y85</f>
        <v>14.050123704684008</v>
      </c>
    </row>
    <row r="61" spans="2:34" ht="15" customHeight="1" x14ac:dyDescent="0.2">
      <c r="B61" s="208"/>
      <c r="C61" s="209"/>
      <c r="D61" s="210"/>
      <c r="E61" s="95" t="s">
        <v>96</v>
      </c>
      <c r="F61" s="204"/>
      <c r="G61" s="207"/>
      <c r="H61" s="96"/>
      <c r="I61" s="98"/>
      <c r="J61" s="98"/>
      <c r="K61" s="98"/>
      <c r="L61" s="88">
        <f t="shared" si="11"/>
        <v>0</v>
      </c>
      <c r="M61" s="88">
        <f t="shared" si="12"/>
        <v>0</v>
      </c>
      <c r="N61" s="98">
        <f t="shared" si="13"/>
        <v>0</v>
      </c>
      <c r="O61" s="98">
        <f>'Growth curves UTEX #1926'!H35</f>
        <v>1.5840000000000001</v>
      </c>
      <c r="P61" s="98">
        <f t="shared" si="14"/>
        <v>1.9952064000000003</v>
      </c>
      <c r="Q61" s="99">
        <f t="shared" si="23"/>
        <v>1.9800000000000002E-4</v>
      </c>
      <c r="R61" s="100">
        <f t="shared" si="15"/>
        <v>0</v>
      </c>
      <c r="S61" s="101">
        <f>AVERAGE(R59:R61)</f>
        <v>20.495259025497536</v>
      </c>
      <c r="T61" s="102">
        <f>STDEV(R59:R61)</f>
        <v>18.045430432826031</v>
      </c>
      <c r="U61" s="102">
        <f>T61/SQRT(3)</f>
        <v>10.418534118034774</v>
      </c>
      <c r="V61" s="102">
        <f t="shared" si="16"/>
        <v>0</v>
      </c>
      <c r="W61" s="101">
        <f t="shared" si="17"/>
        <v>39.431400324149109</v>
      </c>
      <c r="X61" s="102">
        <f t="shared" si="18"/>
        <v>34.23520420639327</v>
      </c>
      <c r="Y61" s="102">
        <f t="shared" si="19"/>
        <v>19.765704364322964</v>
      </c>
      <c r="Z61" s="102">
        <f>(V61-$V$52)/(D59-$D$50)</f>
        <v>-3.2298128921482115E-2</v>
      </c>
      <c r="AA61" s="101">
        <f t="shared" si="21"/>
        <v>0.201865612914614</v>
      </c>
      <c r="AB61" s="109">
        <f t="shared" si="22"/>
        <v>0.11732854979577892</v>
      </c>
      <c r="AD61" s="93">
        <f>D86</f>
        <v>408.08333333333331</v>
      </c>
      <c r="AE61" s="92">
        <v>51.677869999999999</v>
      </c>
      <c r="AF61" s="92">
        <f>U88</f>
        <v>2.6718961433054309</v>
      </c>
      <c r="AG61" s="92">
        <v>186.78579999999999</v>
      </c>
      <c r="AH61" s="92">
        <f>Y88</f>
        <v>7.8288264002853953</v>
      </c>
    </row>
    <row r="62" spans="2:34" x14ac:dyDescent="0.2">
      <c r="B62" s="193" t="s">
        <v>31</v>
      </c>
      <c r="C62" s="196">
        <v>0.56319444444444444</v>
      </c>
      <c r="D62" s="199">
        <v>216.28333333333333</v>
      </c>
      <c r="E62" s="85" t="s">
        <v>94</v>
      </c>
      <c r="F62" s="202">
        <f>(0.0517+0.038+0.0419)/3</f>
        <v>4.3866666666666665E-2</v>
      </c>
      <c r="G62" s="205">
        <f>(0.0509+0.0369+0.0407)/3</f>
        <v>4.2833333333333334E-2</v>
      </c>
      <c r="H62" s="106">
        <f>0.2264-F62</f>
        <v>0.18253333333333333</v>
      </c>
      <c r="I62" s="110">
        <f>0.2268-F62</f>
        <v>0.18293333333333334</v>
      </c>
      <c r="J62" s="110">
        <f>0.1461-G62</f>
        <v>0.10326666666666667</v>
      </c>
      <c r="K62" s="110">
        <f>0.1467-G62</f>
        <v>0.10386666666666666</v>
      </c>
      <c r="L62" s="88">
        <f t="shared" si="11"/>
        <v>1.9458184764991896E-2</v>
      </c>
      <c r="M62" s="88">
        <f t="shared" si="12"/>
        <v>1.9464181523500813E-2</v>
      </c>
      <c r="N62" s="88">
        <f t="shared" si="13"/>
        <v>1.9461183144246354E-2</v>
      </c>
      <c r="O62" s="88">
        <f>'Growth curves UTEX #1926'!F36</f>
        <v>1.87</v>
      </c>
      <c r="P62" s="88">
        <f t="shared" si="14"/>
        <v>2.3554520000000001</v>
      </c>
      <c r="Q62" s="111">
        <f t="shared" si="23"/>
        <v>2.3375000000000002E-4</v>
      </c>
      <c r="R62" s="90">
        <f t="shared" si="15"/>
        <v>41.628199239029634</v>
      </c>
      <c r="S62" s="91"/>
      <c r="V62" s="92">
        <f t="shared" si="16"/>
        <v>98.053225153970828</v>
      </c>
      <c r="W62" s="108"/>
      <c r="X62" s="92"/>
      <c r="Y62" s="92"/>
      <c r="Z62" s="92">
        <f t="shared" si="20"/>
        <v>0.4802285948935614</v>
      </c>
      <c r="AA62" s="108"/>
      <c r="AB62" s="115"/>
      <c r="AD62" s="93">
        <f>D89</f>
        <v>432.25</v>
      </c>
      <c r="AE62" s="92">
        <v>54.932590274365673</v>
      </c>
      <c r="AF62" s="92">
        <f>U91</f>
        <v>2.1619037971480144</v>
      </c>
      <c r="AG62" s="92">
        <v>196.68755722014149</v>
      </c>
      <c r="AH62" s="92">
        <f>Y91</f>
        <v>3.2716119351526225</v>
      </c>
    </row>
    <row r="63" spans="2:34" ht="15" customHeight="1" x14ac:dyDescent="0.2">
      <c r="B63" s="194"/>
      <c r="C63" s="197"/>
      <c r="D63" s="200"/>
      <c r="E63" s="85" t="s">
        <v>95</v>
      </c>
      <c r="F63" s="203"/>
      <c r="G63" s="206"/>
      <c r="H63" s="86">
        <f>0.1945-F62</f>
        <v>0.15063333333333334</v>
      </c>
      <c r="I63" s="88">
        <f>0.1926-F62</f>
        <v>0.14873333333333333</v>
      </c>
      <c r="J63" s="88">
        <f>0.13-G62</f>
        <v>8.716666666666667E-2</v>
      </c>
      <c r="K63" s="88">
        <f>0.1279-G62</f>
        <v>8.5066666666666679E-2</v>
      </c>
      <c r="L63" s="88">
        <f t="shared" si="11"/>
        <v>1.5866693679092381E-2</v>
      </c>
      <c r="M63" s="88">
        <f t="shared" si="12"/>
        <v>1.5764667747163695E-2</v>
      </c>
      <c r="N63" s="88">
        <f t="shared" si="13"/>
        <v>1.5815680713128038E-2</v>
      </c>
      <c r="O63" s="88">
        <f>'Growth curves UTEX #1926'!G36</f>
        <v>1.8360000000000001</v>
      </c>
      <c r="P63" s="88">
        <f t="shared" si="14"/>
        <v>2.3126256000000001</v>
      </c>
      <c r="Q63" s="89">
        <f t="shared" si="23"/>
        <v>2.2950000000000002E-4</v>
      </c>
      <c r="R63" s="90">
        <f t="shared" si="15"/>
        <v>34.456820725769141</v>
      </c>
      <c r="S63" s="91"/>
      <c r="V63" s="92">
        <f t="shared" si="16"/>
        <v>79.685725705024296</v>
      </c>
      <c r="W63" s="108"/>
      <c r="X63" s="92"/>
      <c r="Y63" s="92"/>
      <c r="Z63" s="92">
        <f>(V63-$V$51)/(D62-$D$50)</f>
        <v>0.38295044672532802</v>
      </c>
      <c r="AA63" s="108"/>
      <c r="AB63" s="115"/>
      <c r="AD63" s="93"/>
      <c r="AE63" s="92"/>
      <c r="AF63" s="92"/>
      <c r="AG63" s="92"/>
      <c r="AH63" s="92"/>
    </row>
    <row r="64" spans="2:34" ht="15" customHeight="1" x14ac:dyDescent="0.2">
      <c r="B64" s="208"/>
      <c r="C64" s="209"/>
      <c r="D64" s="210"/>
      <c r="E64" s="95" t="s">
        <v>96</v>
      </c>
      <c r="F64" s="204"/>
      <c r="G64" s="207"/>
      <c r="H64" s="86">
        <f>0.2296-F62</f>
        <v>0.18573333333333333</v>
      </c>
      <c r="I64" s="88">
        <f>0.2416-F62</f>
        <v>0.19773333333333334</v>
      </c>
      <c r="J64" s="88">
        <f>0.1466-G62</f>
        <v>0.10376666666666667</v>
      </c>
      <c r="K64" s="88">
        <f>0.1558-G62</f>
        <v>0.11296666666666666</v>
      </c>
      <c r="L64" s="88">
        <f t="shared" si="11"/>
        <v>1.9927795786061589E-2</v>
      </c>
      <c r="M64" s="88">
        <f t="shared" si="12"/>
        <v>2.0970583468395466E-2</v>
      </c>
      <c r="N64" s="98">
        <f t="shared" si="13"/>
        <v>2.0449189627228526E-2</v>
      </c>
      <c r="O64" s="98">
        <f>'Growth curves UTEX #1926'!H36</f>
        <v>1.8740000000000001</v>
      </c>
      <c r="P64" s="98">
        <f t="shared" si="14"/>
        <v>2.3604904000000002</v>
      </c>
      <c r="Q64" s="99">
        <f t="shared" si="23"/>
        <v>2.3425E-4</v>
      </c>
      <c r="R64" s="100">
        <f t="shared" si="15"/>
        <v>43.648216920445094</v>
      </c>
      <c r="S64" s="101">
        <f>AVERAGE(R62:R64)</f>
        <v>39.911078961747954</v>
      </c>
      <c r="T64" s="102">
        <f>STDEV(R62:R64)</f>
        <v>4.8303020130075529</v>
      </c>
      <c r="U64" s="102">
        <f>T64/SQRT(3)</f>
        <v>2.7887761674771019</v>
      </c>
      <c r="V64" s="102">
        <f t="shared" si="16"/>
        <v>103.03119701782822</v>
      </c>
      <c r="W64" s="101">
        <f t="shared" si="17"/>
        <v>93.590049292274443</v>
      </c>
      <c r="X64" s="102">
        <f t="shared" si="18"/>
        <v>12.296044558457012</v>
      </c>
      <c r="Y64" s="102">
        <f t="shared" si="19"/>
        <v>7.0991246357927897</v>
      </c>
      <c r="Z64" s="102">
        <f>(V64-$V$52)/(D62-$D$50)</f>
        <v>0.50497246627826176</v>
      </c>
      <c r="AA64" s="101">
        <f t="shared" si="21"/>
        <v>0.45605050263238373</v>
      </c>
      <c r="AB64" s="109">
        <f t="shared" si="22"/>
        <v>3.7241457288827204E-2</v>
      </c>
      <c r="AD64" s="93"/>
      <c r="AE64" s="92"/>
      <c r="AF64" s="92"/>
      <c r="AG64" s="92"/>
      <c r="AH64" s="92"/>
    </row>
    <row r="65" spans="2:34" x14ac:dyDescent="0.2">
      <c r="B65" s="193" t="s">
        <v>38</v>
      </c>
      <c r="C65" s="196">
        <v>0.55902777777777779</v>
      </c>
      <c r="D65" s="199">
        <v>240.18333333333334</v>
      </c>
      <c r="E65" s="85" t="s">
        <v>94</v>
      </c>
      <c r="F65" s="202">
        <f>0.0468</f>
        <v>4.6800000000000001E-2</v>
      </c>
      <c r="G65" s="205">
        <v>4.5199999999999997E-2</v>
      </c>
      <c r="H65" s="86">
        <f>0.2423-F65</f>
        <v>0.19549999999999998</v>
      </c>
      <c r="I65" s="88">
        <f>0.2277-F65</f>
        <v>0.18090000000000001</v>
      </c>
      <c r="J65" s="88">
        <f>0.1743-G65</f>
        <v>0.12910000000000002</v>
      </c>
      <c r="K65" s="88">
        <f>0.1597-G65</f>
        <v>0.11450000000000002</v>
      </c>
      <c r="L65" s="88">
        <f t="shared" si="11"/>
        <v>1.9026661264181521E-2</v>
      </c>
      <c r="M65" s="88">
        <f t="shared" si="12"/>
        <v>1.8091977309562399E-2</v>
      </c>
      <c r="N65" s="88">
        <f t="shared" si="13"/>
        <v>1.8559319286871961E-2</v>
      </c>
      <c r="O65" s="88">
        <f>'Growth curves UTEX #1926'!F37</f>
        <v>1.972</v>
      </c>
      <c r="P65" s="88">
        <f t="shared" si="14"/>
        <v>2.4839312000000002</v>
      </c>
      <c r="Q65" s="89">
        <f t="shared" si="23"/>
        <v>2.4649999999999997E-4</v>
      </c>
      <c r="R65" s="90">
        <f t="shared" si="15"/>
        <v>37.645678066677412</v>
      </c>
      <c r="S65" s="91"/>
      <c r="V65" s="92">
        <f t="shared" si="16"/>
        <v>93.509274294975711</v>
      </c>
      <c r="W65" s="108"/>
      <c r="X65" s="92"/>
      <c r="Y65" s="92"/>
      <c r="Z65" s="92">
        <f t="shared" si="20"/>
        <v>0.40645385532202838</v>
      </c>
      <c r="AA65" s="108"/>
      <c r="AB65" s="115"/>
      <c r="AD65" s="93"/>
      <c r="AE65" s="92"/>
      <c r="AF65" s="92"/>
      <c r="AG65" s="92"/>
      <c r="AH65" s="92"/>
    </row>
    <row r="66" spans="2:34" ht="15" customHeight="1" x14ac:dyDescent="0.2">
      <c r="B66" s="194"/>
      <c r="C66" s="197"/>
      <c r="D66" s="200"/>
      <c r="E66" s="85" t="s">
        <v>95</v>
      </c>
      <c r="F66" s="203"/>
      <c r="G66" s="206"/>
      <c r="H66" s="86">
        <f>0.304-F65</f>
        <v>0.25719999999999998</v>
      </c>
      <c r="I66" s="88">
        <f>0.2783-F65</f>
        <v>0.23149999999999998</v>
      </c>
      <c r="J66" s="88">
        <f>0.2143-G65</f>
        <v>0.1691</v>
      </c>
      <c r="K66" s="88">
        <f>0.1849-G65</f>
        <v>0.13970000000000002</v>
      </c>
      <c r="L66" s="88">
        <f t="shared" si="11"/>
        <v>2.5104457050243112E-2</v>
      </c>
      <c r="M66" s="88">
        <f t="shared" si="12"/>
        <v>2.3821961102106968E-2</v>
      </c>
      <c r="N66" s="88">
        <f t="shared" si="13"/>
        <v>2.4463209076175038E-2</v>
      </c>
      <c r="O66" s="88">
        <f>'Growth curves UTEX #1926'!G37</f>
        <v>1.8879999999999999</v>
      </c>
      <c r="P66" s="88">
        <f t="shared" si="14"/>
        <v>2.3781248000000001</v>
      </c>
      <c r="Q66" s="89">
        <f t="shared" si="23"/>
        <v>2.3599999999999999E-4</v>
      </c>
      <c r="R66" s="90">
        <f t="shared" si="15"/>
        <v>51.828832788506439</v>
      </c>
      <c r="S66" s="91"/>
      <c r="V66" s="92">
        <f t="shared" si="16"/>
        <v>123.25543260940033</v>
      </c>
      <c r="W66" s="108"/>
      <c r="X66" s="92"/>
      <c r="Y66" s="92"/>
      <c r="Z66" s="92">
        <f>(V66-$V$51)/(D65-$D$50)</f>
        <v>0.54143329197923751</v>
      </c>
      <c r="AA66" s="108"/>
      <c r="AB66" s="115"/>
    </row>
    <row r="67" spans="2:34" ht="15" customHeight="1" x14ac:dyDescent="0.2">
      <c r="B67" s="208"/>
      <c r="C67" s="209"/>
      <c r="D67" s="210"/>
      <c r="E67" s="95" t="s">
        <v>96</v>
      </c>
      <c r="F67" s="204"/>
      <c r="G67" s="207"/>
      <c r="H67" s="96">
        <f>0.2803-F65</f>
        <v>0.23349999999999999</v>
      </c>
      <c r="I67" s="98">
        <f>0.3123-F65</f>
        <v>0.26550000000000001</v>
      </c>
      <c r="J67" s="98">
        <f>0.1899-G65</f>
        <v>0.14470000000000002</v>
      </c>
      <c r="K67" s="98">
        <f>0.22-G65</f>
        <v>0.17480000000000001</v>
      </c>
      <c r="L67" s="88">
        <f t="shared" si="11"/>
        <v>2.3655834683954619E-2</v>
      </c>
      <c r="M67" s="88">
        <f t="shared" si="12"/>
        <v>2.5890761750405188E-2</v>
      </c>
      <c r="N67" s="98">
        <f t="shared" si="13"/>
        <v>2.4773298217179905E-2</v>
      </c>
      <c r="O67" s="98">
        <f>'Growth curves UTEX #1926'!H37</f>
        <v>1.996</v>
      </c>
      <c r="P67" s="98">
        <f t="shared" si="14"/>
        <v>2.5141616</v>
      </c>
      <c r="Q67" s="99">
        <f t="shared" si="23"/>
        <v>2.4949999999999999E-4</v>
      </c>
      <c r="R67" s="100">
        <f t="shared" si="15"/>
        <v>49.645888210781372</v>
      </c>
      <c r="S67" s="101">
        <f>AVERAGE(R65:R67)</f>
        <v>46.373466355321739</v>
      </c>
      <c r="T67" s="102">
        <f>STDEV(R65:R67)</f>
        <v>7.6368860189152317</v>
      </c>
      <c r="U67" s="102">
        <f>T67/SQRT(3)</f>
        <v>4.4091581987911983</v>
      </c>
      <c r="V67" s="102">
        <f t="shared" si="16"/>
        <v>124.81778573743924</v>
      </c>
      <c r="W67" s="101">
        <f t="shared" si="17"/>
        <v>113.86083088060509</v>
      </c>
      <c r="X67" s="102">
        <f t="shared" si="18"/>
        <v>17.642268233357317</v>
      </c>
      <c r="Y67" s="102">
        <f t="shared" si="19"/>
        <v>10.185768313644431</v>
      </c>
      <c r="Z67" s="102">
        <f>(V67-$V$52)/(D65-$D$50)</f>
        <v>0.54972034091629962</v>
      </c>
      <c r="AA67" s="101">
        <f t="shared" si="21"/>
        <v>0.49920249607252182</v>
      </c>
      <c r="AB67" s="109">
        <f t="shared" si="22"/>
        <v>4.6435983051291228E-2</v>
      </c>
      <c r="AD67" s="93"/>
      <c r="AE67" s="92"/>
      <c r="AF67" s="92"/>
      <c r="AG67" s="92"/>
      <c r="AH67" s="92"/>
    </row>
    <row r="68" spans="2:34" x14ac:dyDescent="0.2">
      <c r="B68" s="193" t="s">
        <v>39</v>
      </c>
      <c r="C68" s="196">
        <v>0.55902777777777779</v>
      </c>
      <c r="D68" s="199">
        <v>264.18333333333334</v>
      </c>
      <c r="E68" s="85" t="s">
        <v>94</v>
      </c>
      <c r="F68" s="202">
        <v>4.4299999999999999E-2</v>
      </c>
      <c r="G68" s="205">
        <v>4.3999999999999997E-2</v>
      </c>
      <c r="H68" s="86">
        <f>0.164-F68</f>
        <v>0.1197</v>
      </c>
      <c r="I68" s="88">
        <f>0.1473-F68</f>
        <v>0.10299999999999998</v>
      </c>
      <c r="J68" s="88">
        <f>0.1228-G68</f>
        <v>7.8800000000000009E-2</v>
      </c>
      <c r="K68" s="88">
        <f>0.1061-G68</f>
        <v>6.2100000000000002E-2</v>
      </c>
      <c r="L68" s="88">
        <f t="shared" si="11"/>
        <v>1.167358184764992E-2</v>
      </c>
      <c r="M68" s="88">
        <f t="shared" si="12"/>
        <v>1.0604457050243108E-2</v>
      </c>
      <c r="N68" s="88">
        <f t="shared" si="13"/>
        <v>1.1139019448946514E-2</v>
      </c>
      <c r="O68" s="88">
        <f>'Growth curves UTEX #1926'!F38</f>
        <v>2.1720000000000002</v>
      </c>
      <c r="P68" s="88">
        <f t="shared" si="14"/>
        <v>2.7358512000000004</v>
      </c>
      <c r="Q68" s="111">
        <f>O68*0.1/1000</f>
        <v>2.1720000000000002E-4</v>
      </c>
      <c r="R68" s="90">
        <f t="shared" si="15"/>
        <v>25.642309965346485</v>
      </c>
      <c r="S68" s="91"/>
      <c r="V68" s="92">
        <f t="shared" si="16"/>
        <v>70.153544489465148</v>
      </c>
      <c r="W68" s="108"/>
      <c r="X68" s="92"/>
      <c r="Y68" s="92"/>
      <c r="Z68" s="92">
        <f t="shared" si="20"/>
        <v>0.26916032802456091</v>
      </c>
      <c r="AA68" s="108"/>
      <c r="AB68" s="115"/>
      <c r="AE68" s="92"/>
      <c r="AF68" s="92"/>
      <c r="AG68" s="92"/>
      <c r="AH68" s="92"/>
    </row>
    <row r="69" spans="2:34" ht="15" customHeight="1" x14ac:dyDescent="0.2">
      <c r="B69" s="194"/>
      <c r="C69" s="197"/>
      <c r="D69" s="200"/>
      <c r="E69" s="85" t="s">
        <v>95</v>
      </c>
      <c r="F69" s="203"/>
      <c r="G69" s="206"/>
      <c r="H69" s="86">
        <f>0.2045-F68</f>
        <v>0.16019999999999998</v>
      </c>
      <c r="I69" s="88">
        <f>0.2244-F68</f>
        <v>0.18009999999999998</v>
      </c>
      <c r="J69" s="88">
        <f>0.1501-G68</f>
        <v>0.10610000000000001</v>
      </c>
      <c r="K69" s="88">
        <f>0.1702-G68</f>
        <v>0.12619999999999998</v>
      </c>
      <c r="L69" s="88">
        <f t="shared" si="11"/>
        <v>1.5560696920583464E-2</v>
      </c>
      <c r="M69" s="88">
        <f t="shared" si="12"/>
        <v>1.6815072933549433E-2</v>
      </c>
      <c r="N69" s="88">
        <f t="shared" si="13"/>
        <v>1.6187884927066448E-2</v>
      </c>
      <c r="O69" s="88">
        <f>'Growth curves UTEX #1926'!G38</f>
        <v>1.996</v>
      </c>
      <c r="P69" s="88">
        <f t="shared" si="14"/>
        <v>2.5141616</v>
      </c>
      <c r="Q69" s="89">
        <f>O69*0.1/1000</f>
        <v>1.996E-4</v>
      </c>
      <c r="R69" s="90">
        <f t="shared" si="15"/>
        <v>40.550813945557231</v>
      </c>
      <c r="S69" s="91"/>
      <c r="V69" s="92">
        <f t="shared" si="16"/>
        <v>101.95129927066448</v>
      </c>
      <c r="W69" s="108"/>
      <c r="X69" s="92"/>
      <c r="Y69" s="92"/>
      <c r="Z69" s="92">
        <f>(V69-$V$51)/(D68-$D$50)</f>
        <v>0.39921408390914398</v>
      </c>
      <c r="AA69" s="108"/>
      <c r="AB69" s="115"/>
      <c r="AE69" s="92"/>
      <c r="AF69" s="92"/>
      <c r="AG69" s="92"/>
      <c r="AH69" s="92"/>
    </row>
    <row r="70" spans="2:34" ht="15" customHeight="1" x14ac:dyDescent="0.2">
      <c r="B70" s="208"/>
      <c r="C70" s="209"/>
      <c r="D70" s="210"/>
      <c r="E70" s="95" t="s">
        <v>96</v>
      </c>
      <c r="F70" s="204"/>
      <c r="G70" s="207"/>
      <c r="H70" s="96">
        <f>0.1907-F68</f>
        <v>0.1464</v>
      </c>
      <c r="I70" s="98">
        <f>0.2048-F68</f>
        <v>0.1605</v>
      </c>
      <c r="J70" s="98">
        <f>0.142-G68</f>
        <v>9.799999999999999E-2</v>
      </c>
      <c r="K70" s="98">
        <f>0.1544-G68</f>
        <v>0.11040000000000001</v>
      </c>
      <c r="L70" s="88">
        <f t="shared" si="11"/>
        <v>1.4118314424635334E-2</v>
      </c>
      <c r="M70" s="88">
        <f t="shared" si="12"/>
        <v>1.5187682333873583E-2</v>
      </c>
      <c r="N70" s="98">
        <f t="shared" si="13"/>
        <v>1.4652998379254458E-2</v>
      </c>
      <c r="O70" s="98">
        <f>'Growth curves UTEX #1926'!H38</f>
        <v>2.1720000000000002</v>
      </c>
      <c r="P70" s="98">
        <f t="shared" si="14"/>
        <v>2.7358512000000004</v>
      </c>
      <c r="Q70" s="99">
        <f>O70*0.1/1000</f>
        <v>2.1720000000000002E-4</v>
      </c>
      <c r="R70" s="100">
        <f t="shared" si="15"/>
        <v>33.731580062740463</v>
      </c>
      <c r="S70" s="101">
        <f>AVERAGE(R68:R70)</f>
        <v>33.308234657881393</v>
      </c>
      <c r="T70" s="102">
        <f>STDEV(R68:R70)</f>
        <v>7.4632626063170973</v>
      </c>
      <c r="U70" s="102">
        <f>T70/SQRT(3)</f>
        <v>4.3089166747900443</v>
      </c>
      <c r="V70" s="102">
        <f t="shared" si="16"/>
        <v>92.284583792544581</v>
      </c>
      <c r="W70" s="101">
        <f t="shared" si="17"/>
        <v>88.129809184224726</v>
      </c>
      <c r="X70" s="102">
        <f t="shared" si="18"/>
        <v>16.300948325658137</v>
      </c>
      <c r="Y70" s="102">
        <f t="shared" si="19"/>
        <v>9.4113569038649061</v>
      </c>
      <c r="Z70" s="102">
        <f>(V70-$V$52)/(D68-$D$50)</f>
        <v>0.36011499139223946</v>
      </c>
      <c r="AA70" s="101">
        <f t="shared" si="21"/>
        <v>0.34282980110864814</v>
      </c>
      <c r="AB70" s="109">
        <f t="shared" si="22"/>
        <v>3.8525222072804136E-2</v>
      </c>
    </row>
    <row r="71" spans="2:34" x14ac:dyDescent="0.2">
      <c r="B71" s="193" t="s">
        <v>40</v>
      </c>
      <c r="C71" s="196">
        <v>0.55902777777777779</v>
      </c>
      <c r="D71" s="199">
        <v>288.18333333333334</v>
      </c>
      <c r="E71" s="85" t="s">
        <v>94</v>
      </c>
      <c r="F71" s="202">
        <v>4.9299999999999997E-2</v>
      </c>
      <c r="G71" s="205">
        <v>4.8399999999999999E-2</v>
      </c>
      <c r="H71" s="86">
        <f>0.306-F71</f>
        <v>0.25669999999999998</v>
      </c>
      <c r="I71" s="88">
        <f>0.2956-F71</f>
        <v>0.24629999999999996</v>
      </c>
      <c r="J71" s="88">
        <f>0.2403-G71</f>
        <v>0.19190000000000002</v>
      </c>
      <c r="K71" s="88">
        <f>0.2303-G71</f>
        <v>0.18190000000000001</v>
      </c>
      <c r="L71" s="88">
        <f t="shared" si="11"/>
        <v>2.2787763371150724E-2</v>
      </c>
      <c r="M71" s="88">
        <f t="shared" si="12"/>
        <v>2.208273905996758E-2</v>
      </c>
      <c r="N71" s="88">
        <f t="shared" si="13"/>
        <v>2.243525121555915E-2</v>
      </c>
      <c r="O71" s="88">
        <f>'Growth curves UTEX #1926'!F39</f>
        <v>2.2639999999999998</v>
      </c>
      <c r="P71" s="88">
        <f t="shared" si="14"/>
        <v>2.8517343999999998</v>
      </c>
      <c r="Q71" s="111">
        <f>P71*0.1/1000</f>
        <v>2.8517343999999998E-4</v>
      </c>
      <c r="R71" s="90">
        <f t="shared" si="15"/>
        <v>39.336151388360626</v>
      </c>
      <c r="S71" s="91"/>
      <c r="V71" s="92">
        <f t="shared" si="16"/>
        <v>112.17625607779576</v>
      </c>
      <c r="W71" s="108"/>
      <c r="X71" s="92"/>
      <c r="Y71" s="92"/>
      <c r="Z71" s="92">
        <f t="shared" si="20"/>
        <v>0.40327546460183739</v>
      </c>
      <c r="AA71" s="108"/>
      <c r="AB71" s="115"/>
    </row>
    <row r="72" spans="2:34" ht="15" customHeight="1" x14ac:dyDescent="0.2">
      <c r="B72" s="194"/>
      <c r="C72" s="197"/>
      <c r="D72" s="200"/>
      <c r="E72" s="85" t="s">
        <v>95</v>
      </c>
      <c r="F72" s="203"/>
      <c r="G72" s="206"/>
      <c r="H72" s="86">
        <f>0.2265-F71</f>
        <v>0.17720000000000002</v>
      </c>
      <c r="I72" s="88">
        <f>0.2233-F71</f>
        <v>0.17399999999999999</v>
      </c>
      <c r="J72" s="88">
        <f>0.1636-G71</f>
        <v>0.1152</v>
      </c>
      <c r="K72" s="88">
        <f>0.1621-G71</f>
        <v>0.1137</v>
      </c>
      <c r="L72" s="88">
        <f t="shared" si="11"/>
        <v>1.7423662884927072E-2</v>
      </c>
      <c r="M72" s="88">
        <f t="shared" si="12"/>
        <v>1.7052106969205835E-2</v>
      </c>
      <c r="N72" s="88">
        <f t="shared" si="13"/>
        <v>1.7237884927066453E-2</v>
      </c>
      <c r="O72" s="88">
        <f>'Growth curves UTEX #1926'!G39</f>
        <v>2.2599999999999998</v>
      </c>
      <c r="P72" s="88">
        <f t="shared" si="14"/>
        <v>2.8466959999999997</v>
      </c>
      <c r="Q72" s="89">
        <f>P72*0.1/1000</f>
        <v>2.8466959999999997E-4</v>
      </c>
      <c r="R72" s="90">
        <f t="shared" si="15"/>
        <v>30.277003457809432</v>
      </c>
      <c r="S72" s="91"/>
      <c r="V72" s="92">
        <f t="shared" si="16"/>
        <v>86.189424635332273</v>
      </c>
      <c r="W72" s="108"/>
      <c r="X72" s="92"/>
      <c r="Y72" s="92"/>
      <c r="Z72" s="92">
        <f>(V72-$V$51)/(D71-$D$50)</f>
        <v>0.30364018328380776</v>
      </c>
      <c r="AA72" s="108"/>
      <c r="AB72" s="115"/>
    </row>
    <row r="73" spans="2:34" ht="15" customHeight="1" x14ac:dyDescent="0.2">
      <c r="B73" s="208"/>
      <c r="C73" s="209"/>
      <c r="D73" s="210"/>
      <c r="E73" s="95" t="s">
        <v>96</v>
      </c>
      <c r="F73" s="204"/>
      <c r="G73" s="207"/>
      <c r="H73" s="96">
        <f>0.2136-F71</f>
        <v>0.1643</v>
      </c>
      <c r="I73" s="98">
        <f>0.2193-F71</f>
        <v>0.16999999999999998</v>
      </c>
      <c r="J73" s="98">
        <f>0.1515-G71</f>
        <v>0.1031</v>
      </c>
      <c r="K73" s="98">
        <f>0.1558-G71</f>
        <v>0.1074</v>
      </c>
      <c r="L73" s="88">
        <f t="shared" si="11"/>
        <v>1.6519367909238251E-2</v>
      </c>
      <c r="M73" s="88">
        <f t="shared" si="12"/>
        <v>1.7021555915721232E-2</v>
      </c>
      <c r="N73" s="98">
        <f t="shared" si="13"/>
        <v>1.6770461912479741E-2</v>
      </c>
      <c r="O73" s="98">
        <f>'Growth curves UTEX #1926'!H39</f>
        <v>2.2759999999999998</v>
      </c>
      <c r="P73" s="98">
        <f t="shared" si="14"/>
        <v>2.8668495999999997</v>
      </c>
      <c r="Q73" s="99">
        <f>P73*0.1/1000</f>
        <v>2.8668496000000001E-4</v>
      </c>
      <c r="R73" s="100">
        <f t="shared" si="15"/>
        <v>29.248939170858041</v>
      </c>
      <c r="S73" s="101">
        <f>AVERAGE(R71:R73)</f>
        <v>32.954031339009369</v>
      </c>
      <c r="T73" s="102">
        <f>STDEV(R71:R73)</f>
        <v>5.5509297678654104</v>
      </c>
      <c r="U73" s="102">
        <f>T73/SQRT(3)</f>
        <v>3.2048307957298019</v>
      </c>
      <c r="V73" s="102">
        <f t="shared" si="16"/>
        <v>83.852309562398702</v>
      </c>
      <c r="W73" s="101">
        <f t="shared" si="17"/>
        <v>94.072663425175577</v>
      </c>
      <c r="X73" s="102">
        <f t="shared" si="18"/>
        <v>15.721659483497147</v>
      </c>
      <c r="Y73" s="102">
        <f t="shared" si="19"/>
        <v>9.0769043349047109</v>
      </c>
      <c r="Z73" s="102">
        <f>(V73-$V$52)/(D71-$D$50)</f>
        <v>0.29572139985147405</v>
      </c>
      <c r="AA73" s="101">
        <f t="shared" si="21"/>
        <v>0.33421234924570636</v>
      </c>
      <c r="AB73" s="109">
        <f t="shared" si="22"/>
        <v>3.4607139002344488E-2</v>
      </c>
    </row>
    <row r="74" spans="2:34" x14ac:dyDescent="0.2">
      <c r="B74" s="193" t="s">
        <v>32</v>
      </c>
      <c r="C74" s="196">
        <v>0.55902777777777779</v>
      </c>
      <c r="D74" s="199">
        <v>312.08333333333331</v>
      </c>
      <c r="E74" s="85" t="s">
        <v>94</v>
      </c>
      <c r="F74" s="202">
        <f>(0.0534+0.0426)/2</f>
        <v>4.8000000000000001E-2</v>
      </c>
      <c r="G74" s="205">
        <f>(0.0518+0.0414)/2</f>
        <v>4.6600000000000003E-2</v>
      </c>
      <c r="H74" s="106">
        <f>0.216-F74</f>
        <v>0.16799999999999998</v>
      </c>
      <c r="I74" s="110">
        <f>0.2222-F74</f>
        <v>0.17420000000000002</v>
      </c>
      <c r="J74" s="110">
        <f>0.136-G74</f>
        <v>8.9400000000000007E-2</v>
      </c>
      <c r="K74" s="110">
        <f>0.1419-G74</f>
        <v>9.5299999999999996E-2</v>
      </c>
      <c r="L74" s="88">
        <f t="shared" si="11"/>
        <v>1.8462398703403562E-2</v>
      </c>
      <c r="M74" s="88">
        <f t="shared" si="12"/>
        <v>1.8888735818476502E-2</v>
      </c>
      <c r="N74" s="88">
        <f t="shared" si="13"/>
        <v>1.8675567260940031E-2</v>
      </c>
      <c r="O74" s="88">
        <f>'Growth curves UTEX #1926'!F40</f>
        <v>2.484</v>
      </c>
      <c r="P74" s="88">
        <f t="shared" si="14"/>
        <v>3.1288464</v>
      </c>
      <c r="Q74" s="111">
        <f t="shared" ref="Q74:Q79" si="24">P74*0.075/1000</f>
        <v>2.3466347999999998E-4</v>
      </c>
      <c r="R74" s="90">
        <f t="shared" si="15"/>
        <v>39.792231967539287</v>
      </c>
      <c r="S74" s="91"/>
      <c r="V74" s="92">
        <f t="shared" si="16"/>
        <v>124.50378173960021</v>
      </c>
      <c r="W74" s="108"/>
      <c r="X74" s="92"/>
      <c r="Y74" s="92"/>
      <c r="Z74" s="92">
        <f t="shared" si="20"/>
        <v>0.41257865437750812</v>
      </c>
      <c r="AA74" s="108"/>
      <c r="AB74" s="115"/>
    </row>
    <row r="75" spans="2:34" ht="15" customHeight="1" x14ac:dyDescent="0.2">
      <c r="B75" s="194"/>
      <c r="C75" s="197"/>
      <c r="D75" s="200"/>
      <c r="E75" s="85" t="s">
        <v>95</v>
      </c>
      <c r="F75" s="203"/>
      <c r="G75" s="206"/>
      <c r="H75" s="86">
        <f>0.1668-F74</f>
        <v>0.1188</v>
      </c>
      <c r="I75" s="88">
        <f>0.1866-F74</f>
        <v>0.1386</v>
      </c>
      <c r="J75" s="88">
        <f>0.1158-G74</f>
        <v>6.9199999999999998E-2</v>
      </c>
      <c r="K75" s="88">
        <f>0.1343-G74</f>
        <v>8.77E-2</v>
      </c>
      <c r="L75" s="88">
        <f t="shared" si="11"/>
        <v>1.246904376012966E-2</v>
      </c>
      <c r="M75" s="88">
        <f t="shared" si="12"/>
        <v>1.3864100486223661E-2</v>
      </c>
      <c r="N75" s="88">
        <f t="shared" si="13"/>
        <v>1.3166572123176661E-2</v>
      </c>
      <c r="O75" s="88">
        <f>'Growth curves UTEX #1926'!G40</f>
        <v>2.3239999999999998</v>
      </c>
      <c r="P75" s="88">
        <f t="shared" si="14"/>
        <v>2.9273104000000001</v>
      </c>
      <c r="Q75" s="89">
        <f t="shared" si="24"/>
        <v>2.1954828000000001E-4</v>
      </c>
      <c r="R75" s="90">
        <f t="shared" si="15"/>
        <v>29.985596159479503</v>
      </c>
      <c r="S75" s="91"/>
      <c r="V75" s="92">
        <f t="shared" si="16"/>
        <v>87.777147487844402</v>
      </c>
      <c r="W75" s="108"/>
      <c r="X75" s="92"/>
      <c r="Y75" s="92"/>
      <c r="Z75" s="92">
        <f>(V75-$V$51)/(D74-$D$50)</f>
        <v>0.28402783021195283</v>
      </c>
      <c r="AA75" s="108"/>
      <c r="AB75" s="115"/>
    </row>
    <row r="76" spans="2:34" ht="15" customHeight="1" x14ac:dyDescent="0.2">
      <c r="B76" s="208"/>
      <c r="C76" s="209"/>
      <c r="D76" s="210"/>
      <c r="E76" s="95" t="s">
        <v>96</v>
      </c>
      <c r="F76" s="204"/>
      <c r="G76" s="207"/>
      <c r="H76" s="86">
        <f>0.195-F74</f>
        <v>0.14700000000000002</v>
      </c>
      <c r="I76" s="88">
        <f>0.2028-F74</f>
        <v>0.15479999999999999</v>
      </c>
      <c r="J76" s="88">
        <f>0.1299-G74</f>
        <v>8.3299999999999985E-2</v>
      </c>
      <c r="K76" s="88">
        <f>0.1364-G74</f>
        <v>8.9799999999999991E-2</v>
      </c>
      <c r="L76" s="88">
        <f t="shared" si="11"/>
        <v>1.5656969205834689E-2</v>
      </c>
      <c r="M76" s="88">
        <f t="shared" si="12"/>
        <v>1.6283792544570505E-2</v>
      </c>
      <c r="N76" s="98">
        <f t="shared" si="13"/>
        <v>1.5970380875202597E-2</v>
      </c>
      <c r="O76" s="98">
        <f>'Growth curves UTEX #1926'!H40</f>
        <v>2.42</v>
      </c>
      <c r="P76" s="98">
        <f t="shared" si="14"/>
        <v>3.0482320000000001</v>
      </c>
      <c r="Q76" s="99">
        <f t="shared" si="24"/>
        <v>2.286174E-4</v>
      </c>
      <c r="R76" s="100">
        <f t="shared" si="15"/>
        <v>34.928183233652817</v>
      </c>
      <c r="S76" s="101">
        <f>AVERAGE(R74:R76)</f>
        <v>34.902003786890539</v>
      </c>
      <c r="T76" s="102">
        <f>STDEV(R74:R76)</f>
        <v>4.9033703195409002</v>
      </c>
      <c r="U76" s="102">
        <f>T76/SQRT(3)</f>
        <v>2.8309621739233601</v>
      </c>
      <c r="V76" s="102">
        <f t="shared" si="16"/>
        <v>106.46920583468399</v>
      </c>
      <c r="W76" s="101">
        <f t="shared" si="17"/>
        <v>106.25004502070954</v>
      </c>
      <c r="X76" s="102">
        <f t="shared" si="18"/>
        <v>18.364297957241543</v>
      </c>
      <c r="Y76" s="102">
        <f t="shared" si="19"/>
        <v>10.6026323690919</v>
      </c>
      <c r="Z76" s="102">
        <f>(V76-$V$52)/(D74-$D$50)</f>
        <v>0.34951229520145699</v>
      </c>
      <c r="AA76" s="101">
        <f t="shared" si="21"/>
        <v>0.34870625993030596</v>
      </c>
      <c r="AB76" s="109">
        <f t="shared" si="22"/>
        <v>3.7111614839807405E-2</v>
      </c>
    </row>
    <row r="77" spans="2:34" x14ac:dyDescent="0.2">
      <c r="B77" s="193" t="s">
        <v>34</v>
      </c>
      <c r="C77" s="196">
        <v>0.55902777777777779</v>
      </c>
      <c r="D77" s="199">
        <v>336.08333333333331</v>
      </c>
      <c r="E77" s="85" t="s">
        <v>94</v>
      </c>
      <c r="F77" s="202">
        <f>(0.0523+0.0363+0.0414)/3</f>
        <v>4.3333333333333335E-2</v>
      </c>
      <c r="G77" s="205">
        <f>(0.0511+0.0355+0.0401)/3</f>
        <v>4.2233333333333324E-2</v>
      </c>
      <c r="H77" s="86">
        <f>0.2483-F77</f>
        <v>0.20496666666666666</v>
      </c>
      <c r="I77" s="88">
        <f>0.2334-F77</f>
        <v>0.19006666666666666</v>
      </c>
      <c r="J77" s="88">
        <f>0.1665-G77</f>
        <v>0.12426666666666669</v>
      </c>
      <c r="K77" s="88">
        <f>0.1544-G77</f>
        <v>0.11216666666666669</v>
      </c>
      <c r="L77" s="88">
        <f t="shared" si="11"/>
        <v>2.1034900054024849E-2</v>
      </c>
      <c r="M77" s="88">
        <f t="shared" si="12"/>
        <v>1.9806455969746083E-2</v>
      </c>
      <c r="N77" s="88">
        <f t="shared" si="13"/>
        <v>2.0420678011885466E-2</v>
      </c>
      <c r="O77" s="88">
        <f>'Growth curves UTEX #1926'!F41</f>
        <v>2.6920000000000002</v>
      </c>
      <c r="P77" s="88">
        <f t="shared" si="14"/>
        <v>3.3908432000000004</v>
      </c>
      <c r="Q77" s="111">
        <f t="shared" si="24"/>
        <v>2.5431324000000001E-4</v>
      </c>
      <c r="R77" s="90">
        <f t="shared" si="15"/>
        <v>40.148672581666347</v>
      </c>
      <c r="S77" s="91"/>
      <c r="V77" s="92">
        <f t="shared" si="16"/>
        <v>136.1378534125698</v>
      </c>
      <c r="W77" s="108"/>
      <c r="X77" s="92"/>
      <c r="Y77" s="92"/>
      <c r="Z77" s="92">
        <f t="shared" si="20"/>
        <v>0.41811160998198871</v>
      </c>
      <c r="AA77" s="108"/>
      <c r="AB77" s="115"/>
    </row>
    <row r="78" spans="2:34" ht="15" customHeight="1" x14ac:dyDescent="0.2">
      <c r="B78" s="194"/>
      <c r="C78" s="197"/>
      <c r="D78" s="200"/>
      <c r="E78" s="85" t="s">
        <v>95</v>
      </c>
      <c r="F78" s="203"/>
      <c r="G78" s="206"/>
      <c r="H78" s="86">
        <f>0.2765-F77</f>
        <v>0.23316666666666669</v>
      </c>
      <c r="I78" s="88">
        <f>0.253-F77</f>
        <v>0.20966666666666667</v>
      </c>
      <c r="J78" s="88">
        <f>0.1992-G77</f>
        <v>0.15696666666666667</v>
      </c>
      <c r="K78" s="88">
        <f>0.1781-G77</f>
        <v>0.13586666666666669</v>
      </c>
      <c r="L78" s="88">
        <f t="shared" si="11"/>
        <v>2.2399000540248518E-2</v>
      </c>
      <c r="M78" s="88">
        <f t="shared" si="12"/>
        <v>2.0659211237169097E-2</v>
      </c>
      <c r="N78" s="88">
        <f t="shared" si="13"/>
        <v>2.1529105888708808E-2</v>
      </c>
      <c r="O78" s="88">
        <f>'Growth curves UTEX #1926'!G41</f>
        <v>2.6520000000000001</v>
      </c>
      <c r="P78" s="88">
        <f t="shared" si="14"/>
        <v>3.3404592000000002</v>
      </c>
      <c r="Q78" s="89">
        <f t="shared" si="24"/>
        <v>2.5053444000000004E-4</v>
      </c>
      <c r="R78" s="90">
        <f t="shared" si="15"/>
        <v>42.966360011639125</v>
      </c>
      <c r="S78" s="91"/>
      <c r="V78" s="92">
        <f t="shared" si="16"/>
        <v>143.52737259139204</v>
      </c>
      <c r="W78" s="108"/>
      <c r="X78" s="92"/>
      <c r="Y78" s="92"/>
      <c r="Z78" s="92">
        <f>(V78-$V$51)/(D77-$D$50)</f>
        <v>0.44033178201708734</v>
      </c>
      <c r="AA78" s="108"/>
      <c r="AB78" s="115"/>
    </row>
    <row r="79" spans="2:34" ht="15" customHeight="1" x14ac:dyDescent="0.2">
      <c r="B79" s="208"/>
      <c r="C79" s="209"/>
      <c r="D79" s="210"/>
      <c r="E79" s="95" t="s">
        <v>96</v>
      </c>
      <c r="F79" s="204"/>
      <c r="G79" s="207"/>
      <c r="H79" s="96">
        <f>0.2687-F77</f>
        <v>0.22536666666666666</v>
      </c>
      <c r="I79" s="98">
        <f>0.2741-F77</f>
        <v>0.23076666666666668</v>
      </c>
      <c r="J79" s="98">
        <f>0.191-G77</f>
        <v>0.14876666666666669</v>
      </c>
      <c r="K79" s="98">
        <f>0.1916-G77</f>
        <v>0.14936666666666668</v>
      </c>
      <c r="L79" s="88">
        <f t="shared" si="11"/>
        <v>2.1938870880605078E-2</v>
      </c>
      <c r="M79" s="88">
        <f t="shared" si="12"/>
        <v>2.2755240410588871E-2</v>
      </c>
      <c r="N79" s="98">
        <f t="shared" si="13"/>
        <v>2.2347055645596976E-2</v>
      </c>
      <c r="O79" s="98">
        <f>'Growth curves UTEX #1926'!H41</f>
        <v>2.6960000000000002</v>
      </c>
      <c r="P79" s="98">
        <f t="shared" si="14"/>
        <v>3.3958816000000005</v>
      </c>
      <c r="Q79" s="99">
        <f t="shared" si="24"/>
        <v>2.5469112000000004E-4</v>
      </c>
      <c r="R79" s="100">
        <f t="shared" si="15"/>
        <v>43.870896726978494</v>
      </c>
      <c r="S79" s="101">
        <f>AVERAGE(R77:R79)</f>
        <v>42.328643106761319</v>
      </c>
      <c r="T79" s="102">
        <f>STDEV(R77:R79)</f>
        <v>1.9413269392509289</v>
      </c>
      <c r="U79" s="102">
        <f>T79/SQRT(3)</f>
        <v>1.120825630961596</v>
      </c>
      <c r="V79" s="102">
        <f t="shared" si="16"/>
        <v>148.9803709706465</v>
      </c>
      <c r="W79" s="101">
        <f t="shared" si="17"/>
        <v>142.88186565820277</v>
      </c>
      <c r="X79" s="102">
        <f t="shared" si="18"/>
        <v>6.4455468121776667</v>
      </c>
      <c r="Y79" s="102">
        <f t="shared" si="19"/>
        <v>3.7213381870851103</v>
      </c>
      <c r="Z79" s="102">
        <f>(V79-$V$52)/(D77-$D$50)</f>
        <v>0.45850783412115748</v>
      </c>
      <c r="AA79" s="101">
        <f t="shared" si="21"/>
        <v>0.4389837420400779</v>
      </c>
      <c r="AB79" s="109">
        <f t="shared" si="22"/>
        <v>1.1680848142867626E-2</v>
      </c>
    </row>
    <row r="80" spans="2:34" x14ac:dyDescent="0.2">
      <c r="B80" s="193" t="s">
        <v>35</v>
      </c>
      <c r="C80" s="196">
        <v>0.55902777777777779</v>
      </c>
      <c r="D80" s="199">
        <v>360.08333333333331</v>
      </c>
      <c r="E80" s="85" t="s">
        <v>94</v>
      </c>
      <c r="F80" s="202">
        <f>(0.0531+0.05)/2</f>
        <v>5.1549999999999999E-2</v>
      </c>
      <c r="G80" s="205">
        <f>(0.0524+0.0491)/2</f>
        <v>5.0750000000000003E-2</v>
      </c>
      <c r="H80" s="86">
        <f>0.1792-F80</f>
        <v>0.12764999999999999</v>
      </c>
      <c r="I80" s="88">
        <f>0.1737-F80</f>
        <v>0.12214999999999999</v>
      </c>
      <c r="J80" s="88">
        <f>0.1222-G80</f>
        <v>7.145E-2</v>
      </c>
      <c r="K80" s="88">
        <f>0.1179-G80</f>
        <v>6.7150000000000001E-2</v>
      </c>
      <c r="L80" s="88">
        <f t="shared" si="11"/>
        <v>1.3682779578606157E-2</v>
      </c>
      <c r="M80" s="88">
        <f t="shared" si="12"/>
        <v>1.3213006482982171E-2</v>
      </c>
      <c r="N80" s="88">
        <f t="shared" si="13"/>
        <v>1.3447893030794165E-2</v>
      </c>
      <c r="O80" s="88">
        <f>'Growth curves UTEX #1926'!F42</f>
        <v>2.944</v>
      </c>
      <c r="P80" s="88">
        <f t="shared" si="14"/>
        <v>3.7082624000000002</v>
      </c>
      <c r="Q80" s="111">
        <f t="shared" ref="Q80:Q82" si="25">P80*0.075/1000</f>
        <v>2.7811968E-4</v>
      </c>
      <c r="R80" s="90">
        <f t="shared" si="15"/>
        <v>24.176449920397875</v>
      </c>
      <c r="S80" s="91"/>
      <c r="V80" s="92">
        <f t="shared" si="16"/>
        <v>89.65262020529444</v>
      </c>
      <c r="W80" s="108"/>
      <c r="X80" s="92"/>
      <c r="Y80" s="92"/>
      <c r="Z80" s="92">
        <f t="shared" si="20"/>
        <v>0.25042990948700328</v>
      </c>
      <c r="AA80" s="108"/>
      <c r="AB80" s="115"/>
    </row>
    <row r="81" spans="2:34" ht="15" customHeight="1" x14ac:dyDescent="0.2">
      <c r="B81" s="194"/>
      <c r="C81" s="197"/>
      <c r="D81" s="200"/>
      <c r="E81" s="85" t="s">
        <v>95</v>
      </c>
      <c r="F81" s="203"/>
      <c r="G81" s="206"/>
      <c r="H81" s="86">
        <f>0.1887-F80</f>
        <v>0.13714999999999999</v>
      </c>
      <c r="I81" s="88">
        <f>0.1913-F80</f>
        <v>0.13974999999999999</v>
      </c>
      <c r="J81" s="88">
        <f>0.1299-G80</f>
        <v>7.9149999999999984E-2</v>
      </c>
      <c r="K81" s="88">
        <f>0.1303-G80</f>
        <v>7.9549999999999996E-2</v>
      </c>
      <c r="L81" s="88">
        <f t="shared" si="11"/>
        <v>1.4467463533225285E-2</v>
      </c>
      <c r="M81" s="88">
        <f t="shared" si="12"/>
        <v>1.4849635332252835E-2</v>
      </c>
      <c r="N81" s="88">
        <f t="shared" si="13"/>
        <v>1.465854943273906E-2</v>
      </c>
      <c r="O81" s="88">
        <f>'Growth curves UTEX #1926'!G42</f>
        <v>2.78</v>
      </c>
      <c r="P81" s="88">
        <f t="shared" si="14"/>
        <v>3.5016879999999997</v>
      </c>
      <c r="Q81" s="89">
        <f t="shared" si="25"/>
        <v>2.626266E-4</v>
      </c>
      <c r="R81" s="90">
        <f t="shared" si="15"/>
        <v>27.907587107968233</v>
      </c>
      <c r="S81" s="91"/>
      <c r="V81" s="92">
        <f t="shared" si="16"/>
        <v>97.723662884927052</v>
      </c>
      <c r="W81" s="108"/>
      <c r="X81" s="92"/>
      <c r="Y81" s="92"/>
      <c r="Z81" s="92">
        <f>(V81-$V$51)/(D80-$D$50)</f>
        <v>0.27308987396267148</v>
      </c>
      <c r="AA81" s="108"/>
      <c r="AB81" s="115"/>
    </row>
    <row r="82" spans="2:34" ht="15" customHeight="1" x14ac:dyDescent="0.2">
      <c r="B82" s="208"/>
      <c r="C82" s="209"/>
      <c r="D82" s="210"/>
      <c r="E82" s="95" t="s">
        <v>96</v>
      </c>
      <c r="F82" s="204"/>
      <c r="G82" s="207"/>
      <c r="H82" s="96">
        <f>0.2836-F80</f>
        <v>0.23205000000000003</v>
      </c>
      <c r="I82" s="98">
        <f>0.3039-F80</f>
        <v>0.25235000000000002</v>
      </c>
      <c r="J82" s="98">
        <f>0.2209-G80</f>
        <v>0.17015000000000002</v>
      </c>
      <c r="K82" s="98">
        <f>0.2393-G80</f>
        <v>0.18855</v>
      </c>
      <c r="L82" s="88">
        <f t="shared" si="11"/>
        <v>2.0925324149108592E-2</v>
      </c>
      <c r="M82" s="88">
        <f t="shared" si="12"/>
        <v>2.2411223662884932E-2</v>
      </c>
      <c r="N82" s="98">
        <f t="shared" si="13"/>
        <v>2.1668273905996762E-2</v>
      </c>
      <c r="O82" s="98">
        <f>'Growth curves UTEX #1926'!H42</f>
        <v>2.8159999999999998</v>
      </c>
      <c r="P82" s="98">
        <f t="shared" si="14"/>
        <v>3.5470335999999998</v>
      </c>
      <c r="Q82" s="99">
        <f t="shared" si="25"/>
        <v>2.6602751999999999E-4</v>
      </c>
      <c r="R82" s="100">
        <f t="shared" si="15"/>
        <v>40.725624751147478</v>
      </c>
      <c r="S82" s="101">
        <f>AVERAGE(R80:R82)</f>
        <v>30.93655392650453</v>
      </c>
      <c r="T82" s="102">
        <f>STDEV(R80:R82)</f>
        <v>8.6804249254010646</v>
      </c>
      <c r="U82" s="102">
        <f>T82/SQRT(3)</f>
        <v>5.011645667360642</v>
      </c>
      <c r="V82" s="102">
        <f t="shared" si="16"/>
        <v>144.45515937331174</v>
      </c>
      <c r="W82" s="101">
        <f t="shared" si="17"/>
        <v>110.61048082117775</v>
      </c>
      <c r="X82" s="102">
        <f t="shared" si="18"/>
        <v>29.586857423644584</v>
      </c>
      <c r="Y82" s="102">
        <f t="shared" si="19"/>
        <v>17.081980098016281</v>
      </c>
      <c r="Z82" s="102">
        <f>(V82-$V$52)/(D80-$D$50)</f>
        <v>0.41243564380398218</v>
      </c>
      <c r="AA82" s="101">
        <f t="shared" si="21"/>
        <v>0.31198514241788566</v>
      </c>
      <c r="AB82" s="109">
        <f t="shared" si="22"/>
        <v>5.0649435400105039E-2</v>
      </c>
    </row>
    <row r="83" spans="2:34" x14ac:dyDescent="0.2">
      <c r="B83" s="193" t="s">
        <v>36</v>
      </c>
      <c r="C83" s="196">
        <v>0.55902777777777779</v>
      </c>
      <c r="D83" s="199">
        <v>384.08333333333331</v>
      </c>
      <c r="E83" s="85" t="s">
        <v>94</v>
      </c>
      <c r="F83" s="202">
        <f>(0.0536+0.0321+0.0389)/3</f>
        <v>4.1533333333333332E-2</v>
      </c>
      <c r="G83" s="205">
        <f>(0.0523+0.0316+0.0377)/3</f>
        <v>4.0533333333333331E-2</v>
      </c>
      <c r="H83" s="86">
        <f>0.2369-F83</f>
        <v>0.19536666666666666</v>
      </c>
      <c r="I83" s="88">
        <f>0.224-F83</f>
        <v>0.18246666666666667</v>
      </c>
      <c r="J83" s="88">
        <f>0.1876-G83</f>
        <v>0.14706666666666665</v>
      </c>
      <c r="K83" s="88">
        <f>0.1782-G83</f>
        <v>0.13766666666666666</v>
      </c>
      <c r="L83" s="88">
        <f t="shared" si="11"/>
        <v>1.7243327930848189E-2</v>
      </c>
      <c r="M83" s="88">
        <f t="shared" si="12"/>
        <v>1.6074284170718531E-2</v>
      </c>
      <c r="N83" s="88">
        <f t="shared" si="13"/>
        <v>1.6658806050783362E-2</v>
      </c>
      <c r="O83" s="88">
        <f>'Growth curves UTEX #1926'!F43</f>
        <v>3.1320000000000001</v>
      </c>
      <c r="P83" s="88">
        <f t="shared" si="14"/>
        <v>3.9450672000000004</v>
      </c>
      <c r="Q83" s="111">
        <f t="shared" ref="Q83:Q91" si="26">P83*0.075/1000</f>
        <v>2.9588004E-4</v>
      </c>
      <c r="R83" s="90">
        <f t="shared" si="15"/>
        <v>28.151283964243351</v>
      </c>
      <c r="S83" s="91"/>
      <c r="V83" s="92">
        <f t="shared" si="16"/>
        <v>111.05870700522243</v>
      </c>
      <c r="W83" s="108"/>
      <c r="X83" s="92"/>
      <c r="Y83" s="92"/>
      <c r="Z83" s="92">
        <f t="shared" si="20"/>
        <v>0.29306959460214332</v>
      </c>
      <c r="AA83" s="108"/>
      <c r="AB83" s="115"/>
    </row>
    <row r="84" spans="2:34" ht="15" customHeight="1" x14ac:dyDescent="0.2">
      <c r="B84" s="194"/>
      <c r="C84" s="197"/>
      <c r="D84" s="200"/>
      <c r="E84" s="85" t="s">
        <v>95</v>
      </c>
      <c r="F84" s="203"/>
      <c r="G84" s="206"/>
      <c r="H84" s="86">
        <f>0.1439-F83</f>
        <v>0.10236666666666666</v>
      </c>
      <c r="I84" s="88">
        <f>0.1436-F83</f>
        <v>0.10206666666666667</v>
      </c>
      <c r="J84" s="88">
        <f>0.1055-G83</f>
        <v>6.4966666666666673E-2</v>
      </c>
      <c r="K84" s="88">
        <f>0.1053-G83</f>
        <v>6.4766666666666667E-2</v>
      </c>
      <c r="L84" s="88">
        <f t="shared" si="11"/>
        <v>1.0220718530524038E-2</v>
      </c>
      <c r="M84" s="88">
        <f t="shared" si="12"/>
        <v>1.0191707185305241E-2</v>
      </c>
      <c r="N84" s="88">
        <f t="shared" si="13"/>
        <v>1.020621285791464E-2</v>
      </c>
      <c r="O84" s="88">
        <f>'Growth curves UTEX #1926'!G43</f>
        <v>2.9</v>
      </c>
      <c r="P84" s="88">
        <f t="shared" si="14"/>
        <v>3.6528399999999999</v>
      </c>
      <c r="Q84" s="89">
        <f t="shared" si="26"/>
        <v>2.7396299999999995E-4</v>
      </c>
      <c r="R84" s="90">
        <f t="shared" si="15"/>
        <v>18.626991341740748</v>
      </c>
      <c r="S84" s="91"/>
      <c r="V84" s="92">
        <f t="shared" si="16"/>
        <v>68.041419052764269</v>
      </c>
      <c r="W84" s="108"/>
      <c r="X84" s="92"/>
      <c r="Y84" s="92"/>
      <c r="Z84" s="92">
        <f>(V84-$V$51)/(D83-$D$50)</f>
        <v>0.17273056596617897</v>
      </c>
      <c r="AA84" s="108"/>
      <c r="AB84" s="115"/>
    </row>
    <row r="85" spans="2:34" ht="15" customHeight="1" x14ac:dyDescent="0.2">
      <c r="B85" s="208"/>
      <c r="C85" s="209"/>
      <c r="D85" s="210"/>
      <c r="E85" s="95" t="s">
        <v>96</v>
      </c>
      <c r="F85" s="204"/>
      <c r="G85" s="207"/>
      <c r="H85" s="96">
        <f>0.146-F83</f>
        <v>0.10446666666666665</v>
      </c>
      <c r="I85" s="98">
        <f>0.143-F83</f>
        <v>0.10146666666666665</v>
      </c>
      <c r="J85" s="98">
        <f>0.1063-G83</f>
        <v>6.5766666666666668E-2</v>
      </c>
      <c r="K85" s="98">
        <f>0.1015-G83</f>
        <v>6.0966666666666676E-2</v>
      </c>
      <c r="L85" s="88">
        <f t="shared" si="11"/>
        <v>1.0482631010264721E-2</v>
      </c>
      <c r="M85" s="88">
        <f t="shared" si="12"/>
        <v>1.0467071853052401E-2</v>
      </c>
      <c r="N85" s="98">
        <f t="shared" si="13"/>
        <v>1.047485143165856E-2</v>
      </c>
      <c r="O85" s="98">
        <f>'Growth curves UTEX #1926'!H43</f>
        <v>3.1920000000000002</v>
      </c>
      <c r="P85" s="98">
        <f t="shared" si="14"/>
        <v>4.0206432000000003</v>
      </c>
      <c r="Q85" s="99">
        <f t="shared" si="26"/>
        <v>3.0154824000000002E-4</v>
      </c>
      <c r="R85" s="100">
        <f t="shared" si="15"/>
        <v>17.368450619473951</v>
      </c>
      <c r="S85" s="101">
        <f>AVERAGE(R83:R85)</f>
        <v>21.382241975152681</v>
      </c>
      <c r="T85" s="102">
        <f>STDEV(R83:R85)</f>
        <v>5.8958399125956191</v>
      </c>
      <c r="U85" s="102">
        <f>T85/SQRT(3)</f>
        <v>3.4039647606360206</v>
      </c>
      <c r="V85" s="102">
        <f t="shared" si="16"/>
        <v>69.832342877723732</v>
      </c>
      <c r="W85" s="101">
        <f t="shared" si="17"/>
        <v>82.977489645236815</v>
      </c>
      <c r="X85" s="102">
        <f t="shared" si="18"/>
        <v>24.335528109140562</v>
      </c>
      <c r="Y85" s="102">
        <f t="shared" si="19"/>
        <v>14.050123704684008</v>
      </c>
      <c r="Z85" s="102">
        <f>(V85-$V$52)/(D83-$D$50)</f>
        <v>0.17834792607812289</v>
      </c>
      <c r="AA85" s="101">
        <f t="shared" si="21"/>
        <v>0.21471602888214839</v>
      </c>
      <c r="AB85" s="109">
        <f t="shared" si="22"/>
        <v>3.921032869638217E-2</v>
      </c>
    </row>
    <row r="86" spans="2:34" x14ac:dyDescent="0.2">
      <c r="B86" s="193" t="s">
        <v>37</v>
      </c>
      <c r="C86" s="196">
        <v>0.54583333333333328</v>
      </c>
      <c r="D86" s="199">
        <v>408.08333333333331</v>
      </c>
      <c r="E86" s="85" t="s">
        <v>94</v>
      </c>
      <c r="F86" s="202">
        <f>(0.0517+0.0474)/2</f>
        <v>4.9549999999999997E-2</v>
      </c>
      <c r="G86" s="205">
        <f>(0.0508+0.0471)/2</f>
        <v>4.895E-2</v>
      </c>
      <c r="H86" s="86">
        <f>0.1697-F86</f>
        <v>0.12014999999999999</v>
      </c>
      <c r="I86" s="88">
        <f>0.1646-F86</f>
        <v>0.11505</v>
      </c>
      <c r="J86" s="88">
        <f>0.1154-G86</f>
        <v>6.6450000000000009E-2</v>
      </c>
      <c r="K86" s="88">
        <f>0.1122-G86</f>
        <v>6.3250000000000001E-2</v>
      </c>
      <c r="L86" s="88">
        <f t="shared" si="11"/>
        <v>1.295749594813614E-2</v>
      </c>
      <c r="M86" s="88">
        <f t="shared" si="12"/>
        <v>1.244469205834684E-2</v>
      </c>
      <c r="N86" s="88">
        <f t="shared" si="13"/>
        <v>1.270109400324149E-2</v>
      </c>
      <c r="O86" s="88">
        <f>'Growth curves UTEX #1926'!F44</f>
        <v>3.1960000000000002</v>
      </c>
      <c r="P86" s="88">
        <f t="shared" si="14"/>
        <v>4.0256816000000004</v>
      </c>
      <c r="Q86" s="111">
        <f t="shared" si="26"/>
        <v>3.0192612E-4</v>
      </c>
      <c r="R86" s="90">
        <f t="shared" si="15"/>
        <v>21.033446863162236</v>
      </c>
      <c r="S86" s="91"/>
      <c r="V86" s="92">
        <f t="shared" si="16"/>
        <v>84.673960021609943</v>
      </c>
      <c r="W86" s="108"/>
      <c r="X86" s="92"/>
      <c r="Y86" s="92"/>
      <c r="Z86" s="92">
        <f t="shared" si="20"/>
        <v>0.20628353871381944</v>
      </c>
      <c r="AA86" s="108"/>
      <c r="AB86" s="115"/>
    </row>
    <row r="87" spans="2:34" ht="15" customHeight="1" x14ac:dyDescent="0.2">
      <c r="B87" s="194"/>
      <c r="C87" s="197"/>
      <c r="D87" s="200"/>
      <c r="E87" s="85" t="s">
        <v>95</v>
      </c>
      <c r="F87" s="203"/>
      <c r="G87" s="206"/>
      <c r="H87" s="86">
        <f>0.2365-F86</f>
        <v>0.18695000000000001</v>
      </c>
      <c r="I87" s="88">
        <f>0.2359-F86</f>
        <v>0.18635000000000002</v>
      </c>
      <c r="J87" s="88">
        <f>0.1866-G86</f>
        <v>0.13764999999999999</v>
      </c>
      <c r="K87" s="88">
        <f>0.1863-G86</f>
        <v>0.13735</v>
      </c>
      <c r="L87" s="88">
        <f t="shared" si="11"/>
        <v>1.6802552674230146E-2</v>
      </c>
      <c r="M87" s="88">
        <f t="shared" si="12"/>
        <v>1.6734724473257703E-2</v>
      </c>
      <c r="N87" s="88">
        <f t="shared" si="13"/>
        <v>1.6768638573743923E-2</v>
      </c>
      <c r="O87" s="88">
        <f>'Growth curves UTEX #1926'!G44</f>
        <v>2.94</v>
      </c>
      <c r="P87" s="88">
        <f t="shared" si="14"/>
        <v>3.7032240000000001</v>
      </c>
      <c r="Q87" s="89">
        <f t="shared" si="26"/>
        <v>2.7774179999999997E-4</v>
      </c>
      <c r="R87" s="90">
        <f t="shared" si="15"/>
        <v>30.187459312469215</v>
      </c>
      <c r="S87" s="91"/>
      <c r="V87" s="92">
        <f t="shared" si="16"/>
        <v>111.79092382495951</v>
      </c>
      <c r="W87" s="108"/>
      <c r="X87" s="92"/>
      <c r="Y87" s="92"/>
      <c r="Z87" s="92">
        <f>(V87-$V$51)/(D86-$D$50)</f>
        <v>0.27558021413707651</v>
      </c>
      <c r="AA87" s="108"/>
      <c r="AB87" s="115"/>
    </row>
    <row r="88" spans="2:34" ht="15" customHeight="1" x14ac:dyDescent="0.2">
      <c r="B88" s="208"/>
      <c r="C88" s="209"/>
      <c r="D88" s="210"/>
      <c r="E88" s="95" t="s">
        <v>96</v>
      </c>
      <c r="F88" s="204"/>
      <c r="G88" s="207"/>
      <c r="H88" s="96">
        <f>0.1839-F86</f>
        <v>0.13435000000000002</v>
      </c>
      <c r="I88" s="98">
        <f>0.199-F86</f>
        <v>0.14945000000000003</v>
      </c>
      <c r="J88" s="98">
        <f>0.1277-G86</f>
        <v>7.8750000000000014E-2</v>
      </c>
      <c r="K88" s="98">
        <f>0.1377-G86</f>
        <v>8.8749999999999996E-2</v>
      </c>
      <c r="L88" s="88">
        <f t="shared" si="11"/>
        <v>1.4052876823338738E-2</v>
      </c>
      <c r="M88" s="88">
        <f t="shared" si="12"/>
        <v>1.551965153970827E-2</v>
      </c>
      <c r="N88" s="98">
        <f t="shared" si="13"/>
        <v>1.4786264181523505E-2</v>
      </c>
      <c r="O88" s="98">
        <f>'Growth curves UTEX #1926'!H44</f>
        <v>3.2040000000000002</v>
      </c>
      <c r="P88" s="98">
        <f t="shared" si="14"/>
        <v>4.0357584000000006</v>
      </c>
      <c r="Q88" s="99">
        <f t="shared" si="26"/>
        <v>3.0268188000000002E-4</v>
      </c>
      <c r="R88" s="100">
        <f t="shared" si="15"/>
        <v>24.425420149900457</v>
      </c>
      <c r="S88" s="101">
        <f>AVERAGE(R86:R88)</f>
        <v>25.21544210851064</v>
      </c>
      <c r="T88" s="102">
        <f>STDEV(R86:R88)</f>
        <v>4.6278598727523397</v>
      </c>
      <c r="U88" s="102">
        <f>T88/SQRT(3)</f>
        <v>2.6718961433054309</v>
      </c>
      <c r="V88" s="102">
        <f t="shared" si="16"/>
        <v>98.575094543490039</v>
      </c>
      <c r="W88" s="101">
        <f t="shared" si="17"/>
        <v>98.346659463353163</v>
      </c>
      <c r="X88" s="102">
        <f t="shared" si="18"/>
        <v>13.559925088930864</v>
      </c>
      <c r="Y88" s="102">
        <f t="shared" si="19"/>
        <v>7.8288264002853953</v>
      </c>
      <c r="Z88" s="102">
        <f>(V88-$V$52)/(D86-$D$50)</f>
        <v>0.24187563064847786</v>
      </c>
      <c r="AA88" s="101">
        <f t="shared" si="21"/>
        <v>0.24124646116645795</v>
      </c>
      <c r="AB88" s="109">
        <f t="shared" si="22"/>
        <v>2.0006700518050431E-2</v>
      </c>
    </row>
    <row r="89" spans="2:34" x14ac:dyDescent="0.2">
      <c r="B89" s="193" t="s">
        <v>33</v>
      </c>
      <c r="C89" s="196">
        <v>0.56666666666666665</v>
      </c>
      <c r="D89" s="199">
        <v>432.25</v>
      </c>
      <c r="E89" s="85" t="s">
        <v>94</v>
      </c>
      <c r="F89" s="202">
        <v>4.19E-2</v>
      </c>
      <c r="G89" s="205">
        <v>3.9899999999999998E-2</v>
      </c>
      <c r="H89" s="106">
        <f>0.2404-F89</f>
        <v>0.19850000000000001</v>
      </c>
      <c r="I89" s="110">
        <f>0.2501-F89</f>
        <v>0.2082</v>
      </c>
      <c r="J89" s="110">
        <f>0.1486-G89</f>
        <v>0.10870000000000002</v>
      </c>
      <c r="K89" s="110">
        <f>0.153-G89</f>
        <v>0.11310000000000001</v>
      </c>
      <c r="L89" s="88">
        <f t="shared" si="11"/>
        <v>2.1513209076175037E-2</v>
      </c>
      <c r="M89" s="88">
        <f t="shared" si="12"/>
        <v>2.2653889789303078E-2</v>
      </c>
      <c r="N89" s="88">
        <f t="shared" si="13"/>
        <v>2.2083549432739057E-2</v>
      </c>
      <c r="O89" s="88">
        <f>'Growth curves UTEX #1926'!F45</f>
        <v>3.22</v>
      </c>
      <c r="P89" s="88">
        <f t="shared" si="14"/>
        <v>4.0559120000000002</v>
      </c>
      <c r="Q89" s="111">
        <f t="shared" si="26"/>
        <v>3.0419339999999999E-4</v>
      </c>
      <c r="R89" s="90">
        <f t="shared" si="15"/>
        <v>36.298534801772583</v>
      </c>
      <c r="S89" s="91"/>
      <c r="V89" s="92">
        <f t="shared" si="16"/>
        <v>147.22366288492705</v>
      </c>
      <c r="W89" s="108"/>
      <c r="X89" s="92"/>
      <c r="Y89" s="92"/>
      <c r="Z89" s="92">
        <f t="shared" si="20"/>
        <v>0.34694783132048185</v>
      </c>
      <c r="AA89" s="108"/>
      <c r="AB89" s="115"/>
    </row>
    <row r="90" spans="2:34" ht="15" customHeight="1" x14ac:dyDescent="0.2">
      <c r="B90" s="194"/>
      <c r="C90" s="197"/>
      <c r="D90" s="200"/>
      <c r="E90" s="85" t="s">
        <v>95</v>
      </c>
      <c r="F90" s="203"/>
      <c r="G90" s="206"/>
      <c r="H90" s="86">
        <f>0.2544-F89</f>
        <v>0.21250000000000002</v>
      </c>
      <c r="I90" s="88">
        <f>0.2903-F89</f>
        <v>0.24840000000000001</v>
      </c>
      <c r="J90" s="88">
        <f>0.1622-G89</f>
        <v>0.12230000000000002</v>
      </c>
      <c r="K90" s="88">
        <f>0.1944-G89</f>
        <v>0.1545</v>
      </c>
      <c r="L90" s="88">
        <f t="shared" si="11"/>
        <v>2.2448703403565643E-2</v>
      </c>
      <c r="M90" s="88">
        <f t="shared" si="12"/>
        <v>2.5109805510534846E-2</v>
      </c>
      <c r="N90" s="88">
        <f t="shared" si="13"/>
        <v>2.3779254457050245E-2</v>
      </c>
      <c r="O90" s="88">
        <f>'Growth curves UTEX #1926'!G45</f>
        <v>2.94</v>
      </c>
      <c r="P90" s="88">
        <f t="shared" si="14"/>
        <v>3.7032240000000001</v>
      </c>
      <c r="Q90" s="89">
        <f t="shared" si="26"/>
        <v>2.7774179999999997E-4</v>
      </c>
      <c r="R90" s="90">
        <f t="shared" si="15"/>
        <v>42.808202541083567</v>
      </c>
      <c r="S90" s="91"/>
      <c r="V90" s="92">
        <f t="shared" si="16"/>
        <v>158.52836304700165</v>
      </c>
      <c r="W90" s="108"/>
      <c r="X90" s="92"/>
      <c r="Y90" s="92"/>
      <c r="Z90" s="92">
        <f>(V90-$V$51)/(D89-$D$50)</f>
        <v>0.37351354649937057</v>
      </c>
      <c r="AA90" s="108"/>
      <c r="AB90" s="115"/>
    </row>
    <row r="91" spans="2:34" ht="16" customHeight="1" thickBot="1" x14ac:dyDescent="0.25">
      <c r="B91" s="195"/>
      <c r="C91" s="198"/>
      <c r="D91" s="201"/>
      <c r="E91" s="95" t="s">
        <v>96</v>
      </c>
      <c r="F91" s="223"/>
      <c r="G91" s="224"/>
      <c r="H91" s="86">
        <f>0.2505-F89</f>
        <v>0.20860000000000001</v>
      </c>
      <c r="I91" s="88">
        <f>0.2643-F89</f>
        <v>0.22239999999999999</v>
      </c>
      <c r="J91" s="88">
        <f>0.1578-G89</f>
        <v>0.1179</v>
      </c>
      <c r="K91" s="88">
        <f>0.1688-G89</f>
        <v>0.12890000000000001</v>
      </c>
      <c r="L91" s="88">
        <f t="shared" si="11"/>
        <v>2.2248055105348462E-2</v>
      </c>
      <c r="M91" s="88">
        <f t="shared" si="12"/>
        <v>2.3406077795786059E-2</v>
      </c>
      <c r="N91" s="98">
        <f t="shared" si="13"/>
        <v>2.2827066450567261E-2</v>
      </c>
      <c r="O91" s="88">
        <f>'Growth curves UTEX #1926'!H45</f>
        <v>3.3239999999999998</v>
      </c>
      <c r="P91" s="98">
        <f t="shared" si="14"/>
        <v>4.1869104000000004</v>
      </c>
      <c r="Q91" s="99">
        <f t="shared" si="26"/>
        <v>3.1401828000000002E-4</v>
      </c>
      <c r="R91" s="100">
        <f t="shared" si="15"/>
        <v>36.346715946866624</v>
      </c>
      <c r="S91" s="101">
        <f>AVERAGE(R89:R91)</f>
        <v>38.484484429907589</v>
      </c>
      <c r="T91" s="102">
        <f>STDEV(R89:R91)</f>
        <v>3.7445272177364402</v>
      </c>
      <c r="U91" s="102">
        <f>T91/SQRT(3)</f>
        <v>2.1619037971480144</v>
      </c>
      <c r="V91" s="102">
        <f t="shared" si="16"/>
        <v>152.18044300378173</v>
      </c>
      <c r="W91" s="101">
        <f t="shared" si="17"/>
        <v>152.64415631190346</v>
      </c>
      <c r="X91" s="102">
        <f t="shared" si="18"/>
        <v>5.6665980943330769</v>
      </c>
      <c r="Y91" s="102">
        <f t="shared" si="19"/>
        <v>3.2716119351526225</v>
      </c>
      <c r="Z91" s="102">
        <f>(V91-$V$52)/(D89-$D$50)</f>
        <v>0.35858171695527957</v>
      </c>
      <c r="AA91" s="101">
        <f t="shared" si="21"/>
        <v>0.35968103159171066</v>
      </c>
      <c r="AB91" s="109">
        <f t="shared" si="22"/>
        <v>7.6885342175619636E-3</v>
      </c>
    </row>
    <row r="92" spans="2:34" ht="15" thickBot="1" x14ac:dyDescent="0.25">
      <c r="B92" s="211" t="s">
        <v>74</v>
      </c>
      <c r="C92" s="212"/>
      <c r="D92" s="212"/>
      <c r="E92" s="212"/>
      <c r="F92" s="212"/>
      <c r="G92" s="212"/>
      <c r="H92" s="212"/>
      <c r="I92" s="212"/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3"/>
    </row>
    <row r="93" spans="2:34" ht="45" customHeight="1" x14ac:dyDescent="0.2">
      <c r="B93" s="65" t="s">
        <v>0</v>
      </c>
      <c r="C93" s="66" t="s">
        <v>1</v>
      </c>
      <c r="D93" s="67" t="s">
        <v>2</v>
      </c>
      <c r="E93" s="68"/>
      <c r="F93" s="66" t="s">
        <v>11</v>
      </c>
      <c r="G93" s="66" t="s">
        <v>12</v>
      </c>
      <c r="H93" s="214" t="s">
        <v>77</v>
      </c>
      <c r="I93" s="215"/>
      <c r="J93" s="216" t="s">
        <v>78</v>
      </c>
      <c r="K93" s="217"/>
      <c r="L93" s="218" t="s">
        <v>79</v>
      </c>
      <c r="M93" s="219"/>
      <c r="N93" s="69" t="s">
        <v>80</v>
      </c>
      <c r="O93" s="70" t="s">
        <v>81</v>
      </c>
      <c r="P93" s="69" t="s">
        <v>13</v>
      </c>
      <c r="Q93" s="69" t="s">
        <v>14</v>
      </c>
      <c r="R93" s="69" t="s">
        <v>82</v>
      </c>
      <c r="S93" s="69" t="s">
        <v>83</v>
      </c>
      <c r="T93" s="69" t="s">
        <v>84</v>
      </c>
      <c r="U93" s="71" t="s">
        <v>62</v>
      </c>
      <c r="V93" s="70" t="s">
        <v>85</v>
      </c>
      <c r="W93" s="69" t="s">
        <v>86</v>
      </c>
      <c r="X93" s="69" t="s">
        <v>84</v>
      </c>
      <c r="Y93" s="72" t="s">
        <v>62</v>
      </c>
      <c r="Z93" s="72" t="s">
        <v>87</v>
      </c>
      <c r="AA93" s="69" t="s">
        <v>88</v>
      </c>
      <c r="AB93" s="73" t="s">
        <v>62</v>
      </c>
      <c r="AD93" s="62" t="s">
        <v>2</v>
      </c>
      <c r="AE93" s="83" t="str">
        <f>S93</f>
        <v>Average specific CPC conc.</v>
      </c>
      <c r="AF93" s="62" t="s">
        <v>15</v>
      </c>
      <c r="AG93" s="83" t="str">
        <f>W93</f>
        <v>Average total CPC</v>
      </c>
      <c r="AH93" s="62" t="s">
        <v>15</v>
      </c>
    </row>
    <row r="94" spans="2:34" ht="31" customHeight="1" x14ac:dyDescent="0.2">
      <c r="B94" s="74"/>
      <c r="C94" s="75"/>
      <c r="D94" s="76"/>
      <c r="E94" s="77"/>
      <c r="F94" s="75" t="s">
        <v>16</v>
      </c>
      <c r="G94" s="75" t="s">
        <v>16</v>
      </c>
      <c r="H94" s="78" t="s">
        <v>89</v>
      </c>
      <c r="I94" s="75" t="s">
        <v>90</v>
      </c>
      <c r="J94" s="76" t="s">
        <v>89</v>
      </c>
      <c r="K94" s="79" t="s">
        <v>90</v>
      </c>
      <c r="L94" s="222" t="s">
        <v>17</v>
      </c>
      <c r="M94" s="221"/>
      <c r="N94" s="80" t="s">
        <v>17</v>
      </c>
      <c r="O94" s="80" t="s">
        <v>16</v>
      </c>
      <c r="P94" s="80" t="s">
        <v>18</v>
      </c>
      <c r="Q94" s="80" t="s">
        <v>19</v>
      </c>
      <c r="R94" s="81" t="s">
        <v>91</v>
      </c>
      <c r="S94" s="81" t="s">
        <v>91</v>
      </c>
      <c r="T94" s="80"/>
      <c r="U94" s="76"/>
      <c r="V94" s="81" t="s">
        <v>92</v>
      </c>
      <c r="W94" s="81" t="s">
        <v>92</v>
      </c>
      <c r="X94" s="80"/>
      <c r="Y94" s="80"/>
      <c r="Z94" s="81" t="s">
        <v>93</v>
      </c>
      <c r="AA94" s="81" t="s">
        <v>93</v>
      </c>
      <c r="AB94" s="82"/>
      <c r="AD94" s="93">
        <f>D95</f>
        <v>23.016666666666666</v>
      </c>
      <c r="AE94" s="92">
        <f>S97</f>
        <v>21.061508706086936</v>
      </c>
      <c r="AF94" s="92">
        <f>U97</f>
        <v>0.23316785450954622</v>
      </c>
      <c r="AG94" s="92">
        <f>W97</f>
        <v>6.1195367368989748</v>
      </c>
      <c r="AH94" s="92">
        <f>Y97</f>
        <v>0.20924878580150907</v>
      </c>
    </row>
    <row r="95" spans="2:34" x14ac:dyDescent="0.2">
      <c r="B95" s="194" t="s">
        <v>9</v>
      </c>
      <c r="C95" s="197">
        <v>0.51041666666666663</v>
      </c>
      <c r="D95" s="200">
        <v>23.016666666666666</v>
      </c>
      <c r="E95" s="85" t="s">
        <v>94</v>
      </c>
      <c r="F95" s="203">
        <v>4.6699999999999998E-2</v>
      </c>
      <c r="G95" s="206">
        <v>4.65E-2</v>
      </c>
      <c r="H95" s="86">
        <f>0.1749-F95</f>
        <v>0.12820000000000001</v>
      </c>
      <c r="I95" s="88">
        <f>0.1537-F95</f>
        <v>0.10700000000000001</v>
      </c>
      <c r="J95" s="88">
        <f>0.1203-G95</f>
        <v>7.3800000000000004E-2</v>
      </c>
      <c r="K95" s="88">
        <f>0.0977-G95</f>
        <v>5.1199999999999996E-2</v>
      </c>
      <c r="L95" s="264">
        <f>(H95-(0.605*J95))/6.17</f>
        <v>1.3541491085899516E-2</v>
      </c>
      <c r="M95" s="264">
        <f>(I95-(0.605*K95))/6.17</f>
        <v>1.2321555915721233E-2</v>
      </c>
      <c r="N95" s="88">
        <f>AVERAGE(L95:M95)</f>
        <v>1.2931523500810374E-2</v>
      </c>
      <c r="O95" s="62">
        <f>'Growth curves UTEX #1926'!F52</f>
        <v>0.245</v>
      </c>
      <c r="P95" s="88">
        <f>1.2596*O95</f>
        <v>0.30860199999999999</v>
      </c>
      <c r="Q95" s="89">
        <f>P95*1/1000</f>
        <v>3.08602E-4</v>
      </c>
      <c r="R95" s="90">
        <f>(N95*0.5)/Q95</f>
        <v>20.95178174608456</v>
      </c>
      <c r="S95" s="91"/>
      <c r="V95" s="92">
        <f>R95*P95</f>
        <v>6.4657617504051874</v>
      </c>
      <c r="W95" s="91"/>
      <c r="AA95" s="91"/>
      <c r="AB95" s="84"/>
      <c r="AD95" s="93">
        <f>D98</f>
        <v>94.833333333333343</v>
      </c>
      <c r="AE95" s="92">
        <f>S100</f>
        <v>40.075317436093286</v>
      </c>
      <c r="AF95" s="92">
        <f>U100</f>
        <v>1.6631429712684498</v>
      </c>
      <c r="AG95" s="92">
        <f>W100</f>
        <v>34.429659643435983</v>
      </c>
      <c r="AH95" s="92">
        <f>Y100</f>
        <v>0.77367966848156389</v>
      </c>
    </row>
    <row r="96" spans="2:34" ht="15" customHeight="1" x14ac:dyDescent="0.2">
      <c r="B96" s="194"/>
      <c r="C96" s="197"/>
      <c r="D96" s="200"/>
      <c r="E96" s="85" t="s">
        <v>95</v>
      </c>
      <c r="F96" s="203"/>
      <c r="G96" s="206"/>
      <c r="H96" s="86">
        <f>0.152-F95</f>
        <v>0.1053</v>
      </c>
      <c r="I96" s="88">
        <f>0.1558-F95</f>
        <v>0.1091</v>
      </c>
      <c r="J96" s="88">
        <f>0.0966-G95</f>
        <v>5.0100000000000006E-2</v>
      </c>
      <c r="K96" s="88">
        <f>0.0999-G95</f>
        <v>5.3400000000000003E-2</v>
      </c>
      <c r="L96" s="264">
        <f t="shared" ref="L96:L136" si="27">(H96-(0.605*J96))/6.17</f>
        <v>1.2153889789303079E-2</v>
      </c>
      <c r="M96" s="264">
        <f t="shared" ref="M96:M136" si="28">(I96-(0.605*K96))/6.17</f>
        <v>1.2446191247974069E-2</v>
      </c>
      <c r="N96" s="88">
        <f t="shared" ref="N96:N136" si="29">AVERAGE(L96:M96)</f>
        <v>1.2300040518638575E-2</v>
      </c>
      <c r="O96" s="88">
        <f>'Growth curves UTEX #1926'!G52</f>
        <v>0.22700000000000001</v>
      </c>
      <c r="P96" s="88">
        <f t="shared" ref="P96:P136" si="30">1.2596*O96</f>
        <v>0.28592919999999999</v>
      </c>
      <c r="Q96" s="89">
        <f>P96*1/1000</f>
        <v>2.8592919999999999E-4</v>
      </c>
      <c r="R96" s="90">
        <f t="shared" ref="R96:R136" si="31">(N96*0.5)/Q96</f>
        <v>21.508891919115946</v>
      </c>
      <c r="S96" s="91"/>
      <c r="V96" s="92">
        <f t="shared" ref="V96:V136" si="32">R96*P96</f>
        <v>6.1500202593192874</v>
      </c>
      <c r="W96" s="91"/>
      <c r="AA96" s="91"/>
      <c r="AB96" s="84"/>
      <c r="AD96" s="93">
        <f>D101</f>
        <v>118.85000000000001</v>
      </c>
      <c r="AE96" s="92">
        <f>S103</f>
        <v>37.950453330448994</v>
      </c>
      <c r="AF96" s="92">
        <f>U103</f>
        <v>0.81809490199336821</v>
      </c>
      <c r="AG96" s="92">
        <f>W103</f>
        <v>41.601485683414381</v>
      </c>
      <c r="AH96" s="92">
        <f>Y103</f>
        <v>0.81248777800062444</v>
      </c>
    </row>
    <row r="97" spans="2:34" ht="15" customHeight="1" x14ac:dyDescent="0.2">
      <c r="B97" s="208"/>
      <c r="C97" s="209"/>
      <c r="D97" s="210"/>
      <c r="E97" s="95" t="s">
        <v>96</v>
      </c>
      <c r="F97" s="203"/>
      <c r="G97" s="206"/>
      <c r="H97" s="96">
        <f>0.1455-F95</f>
        <v>9.8799999999999999E-2</v>
      </c>
      <c r="I97" s="98">
        <f>0.1534-F95</f>
        <v>0.10670000000000002</v>
      </c>
      <c r="J97" s="98">
        <f>0.0952-G95</f>
        <v>4.8700000000000007E-2</v>
      </c>
      <c r="K97" s="98">
        <f>0.1032-G95</f>
        <v>5.67E-2</v>
      </c>
      <c r="L97" s="264">
        <f t="shared" si="27"/>
        <v>1.123768233387358E-2</v>
      </c>
      <c r="M97" s="264">
        <f t="shared" si="28"/>
        <v>1.173363047001621E-2</v>
      </c>
      <c r="N97" s="98">
        <f t="shared" si="29"/>
        <v>1.1485656401944894E-2</v>
      </c>
      <c r="O97" s="103">
        <f>'Growth curves UTEX #1926'!H52</f>
        <v>0.22</v>
      </c>
      <c r="P97" s="98">
        <f t="shared" si="30"/>
        <v>0.27711200000000002</v>
      </c>
      <c r="Q97" s="99">
        <f>P97*1/1000</f>
        <v>2.7711200000000004E-4</v>
      </c>
      <c r="R97" s="100">
        <f t="shared" si="31"/>
        <v>20.723852453060303</v>
      </c>
      <c r="S97" s="101">
        <f>AVERAGE(R95:R97)</f>
        <v>21.061508706086936</v>
      </c>
      <c r="T97" s="102">
        <f>STDEV(R95:R97)</f>
        <v>0.40385857070236197</v>
      </c>
      <c r="U97" s="102">
        <f>T97/SQRT(3)</f>
        <v>0.23316785450954622</v>
      </c>
      <c r="V97" s="102">
        <f t="shared" si="32"/>
        <v>5.742828200972447</v>
      </c>
      <c r="W97" s="101">
        <f>AVERAGE(V95:V97)</f>
        <v>6.1195367368989748</v>
      </c>
      <c r="X97" s="102">
        <f>STDEV(V95:V97)</f>
        <v>0.36242952843031079</v>
      </c>
      <c r="Y97" s="102">
        <f>X97/SQRT(3)</f>
        <v>0.20924878580150907</v>
      </c>
      <c r="Z97" s="103"/>
      <c r="AA97" s="104"/>
      <c r="AB97" s="94"/>
      <c r="AD97" s="93">
        <f>D104</f>
        <v>191.35</v>
      </c>
      <c r="AE97" s="92">
        <v>39.587344454654541</v>
      </c>
      <c r="AF97" s="92">
        <f>U106</f>
        <v>10.044771264521406</v>
      </c>
      <c r="AG97" s="92">
        <v>84.124862741573025</v>
      </c>
      <c r="AH97" s="92">
        <f>Y106</f>
        <v>21.308694797776361</v>
      </c>
    </row>
    <row r="98" spans="2:34" x14ac:dyDescent="0.2">
      <c r="B98" s="193" t="s">
        <v>27</v>
      </c>
      <c r="C98" s="196">
        <v>0.50277777777777777</v>
      </c>
      <c r="D98" s="199">
        <v>94.833333333333343</v>
      </c>
      <c r="E98" s="85" t="s">
        <v>94</v>
      </c>
      <c r="F98" s="203">
        <f>(0.0532+0.0381+0.0347)/3</f>
        <v>4.2000000000000003E-2</v>
      </c>
      <c r="G98" s="206">
        <f>(0.0532+0.039+0.0341)/3</f>
        <v>4.2099999999999999E-2</v>
      </c>
      <c r="H98" s="86">
        <f>0.3636-F98</f>
        <v>0.3216</v>
      </c>
      <c r="I98" s="88">
        <f>0.362-F98</f>
        <v>0.32</v>
      </c>
      <c r="J98" s="88">
        <f>0.2093-G98</f>
        <v>0.16720000000000002</v>
      </c>
      <c r="K98" s="88">
        <f>0.2087-G98</f>
        <v>0.1666</v>
      </c>
      <c r="L98" s="264">
        <f t="shared" si="27"/>
        <v>3.5728363047001617E-2</v>
      </c>
      <c r="M98" s="264">
        <f t="shared" si="28"/>
        <v>3.5527876823338737E-2</v>
      </c>
      <c r="N98" s="88">
        <f t="shared" si="29"/>
        <v>3.5628119935170177E-2</v>
      </c>
      <c r="O98" s="88">
        <f>'Growth curves UTEX #1926'!F54</f>
        <v>0.68400000000000005</v>
      </c>
      <c r="P98" s="88">
        <f t="shared" si="30"/>
        <v>0.86156640000000007</v>
      </c>
      <c r="Q98" s="89">
        <f>P98*0.5/1000</f>
        <v>4.3078320000000003E-4</v>
      </c>
      <c r="R98" s="90">
        <f t="shared" si="31"/>
        <v>41.352726772040057</v>
      </c>
      <c r="S98" s="108"/>
      <c r="T98" s="92"/>
      <c r="U98" s="92"/>
      <c r="V98" s="92">
        <f t="shared" si="32"/>
        <v>35.628119935170176</v>
      </c>
      <c r="W98" s="108"/>
      <c r="X98" s="92"/>
      <c r="Y98" s="92"/>
      <c r="Z98" s="92">
        <f>(V98-$V$95)/(D98-$D$95)</f>
        <v>0.40606671874817801</v>
      </c>
      <c r="AA98" s="108"/>
      <c r="AB98" s="84"/>
      <c r="AD98" s="93">
        <f>D107</f>
        <v>216.28333333333333</v>
      </c>
      <c r="AE98" s="92">
        <v>64.98364283390103</v>
      </c>
      <c r="AF98" s="92">
        <f>U109</f>
        <v>1.5637114121757596</v>
      </c>
      <c r="AG98" s="92">
        <v>144.77188225717853</v>
      </c>
      <c r="AH98" s="92">
        <f>Y109</f>
        <v>2.411057210270827</v>
      </c>
    </row>
    <row r="99" spans="2:34" ht="15" customHeight="1" x14ac:dyDescent="0.2">
      <c r="B99" s="194"/>
      <c r="C99" s="197"/>
      <c r="D99" s="200"/>
      <c r="E99" s="85" t="s">
        <v>95</v>
      </c>
      <c r="F99" s="203"/>
      <c r="G99" s="206"/>
      <c r="H99" s="86">
        <f>0.3635-F98</f>
        <v>0.32150000000000001</v>
      </c>
      <c r="I99" s="88">
        <f>0.3508-F98</f>
        <v>0.30880000000000002</v>
      </c>
      <c r="J99" s="88">
        <f>0.2167-G98</f>
        <v>0.17460000000000001</v>
      </c>
      <c r="K99" s="88">
        <f>0.202-G98</f>
        <v>0.15990000000000001</v>
      </c>
      <c r="L99" s="264">
        <f t="shared" si="27"/>
        <v>3.4986547811993521E-2</v>
      </c>
      <c r="M99" s="264">
        <f t="shared" si="28"/>
        <v>3.4369611021069696E-2</v>
      </c>
      <c r="N99" s="88">
        <f t="shared" si="29"/>
        <v>3.4678079416531608E-2</v>
      </c>
      <c r="O99" s="88">
        <f>'Growth curves UTEX #1926'!G54</f>
        <v>0.65400000000000003</v>
      </c>
      <c r="P99" s="88">
        <f t="shared" si="30"/>
        <v>0.82377840000000002</v>
      </c>
      <c r="Q99" s="89">
        <f>P99*0.5/1000</f>
        <v>4.1188919999999999E-4</v>
      </c>
      <c r="R99" s="90">
        <f t="shared" si="31"/>
        <v>42.09636889791188</v>
      </c>
      <c r="S99" s="91"/>
      <c r="T99" s="92"/>
      <c r="U99" s="92"/>
      <c r="V99" s="92">
        <f t="shared" si="32"/>
        <v>34.67807941653161</v>
      </c>
      <c r="W99" s="108"/>
      <c r="X99" s="92"/>
      <c r="Y99" s="92"/>
      <c r="Z99" s="92">
        <f>(V99-$V$96)/(D98-$D$95)</f>
        <v>0.3972345206388348</v>
      </c>
      <c r="AA99" s="108"/>
      <c r="AB99" s="84"/>
      <c r="AD99" s="93">
        <f>D110</f>
        <v>240.18333333333334</v>
      </c>
      <c r="AE99" s="92">
        <v>55.789650000000002</v>
      </c>
      <c r="AF99" s="92">
        <f>U112</f>
        <v>3.0305321282776281</v>
      </c>
      <c r="AG99" s="92">
        <v>136.44540000000001</v>
      </c>
      <c r="AH99" s="92">
        <f>Y112</f>
        <v>6.5405942935590327</v>
      </c>
    </row>
    <row r="100" spans="2:34" ht="15" customHeight="1" x14ac:dyDescent="0.2">
      <c r="B100" s="208"/>
      <c r="C100" s="209"/>
      <c r="D100" s="210"/>
      <c r="E100" s="95" t="s">
        <v>96</v>
      </c>
      <c r="F100" s="204"/>
      <c r="G100" s="207"/>
      <c r="H100" s="86">
        <f>0.3448-F98</f>
        <v>0.30280000000000001</v>
      </c>
      <c r="I100" s="88">
        <f>0.3389-F98</f>
        <v>0.2969</v>
      </c>
      <c r="J100" s="88">
        <f>0.2056-G98</f>
        <v>0.16350000000000001</v>
      </c>
      <c r="K100" s="88">
        <f>0.1971-G98</f>
        <v>0.155</v>
      </c>
      <c r="L100" s="264">
        <f t="shared" si="27"/>
        <v>3.3044165316045385E-2</v>
      </c>
      <c r="M100" s="264">
        <f t="shared" si="28"/>
        <v>3.2921393841166935E-2</v>
      </c>
      <c r="N100" s="98">
        <f t="shared" si="29"/>
        <v>3.298277957860616E-2</v>
      </c>
      <c r="O100" s="98">
        <f>'Growth curves UTEX #1926'!H54</f>
        <v>0.71199999999999997</v>
      </c>
      <c r="P100" s="98">
        <f t="shared" si="30"/>
        <v>0.89683519999999994</v>
      </c>
      <c r="Q100" s="99">
        <f>P100*0.5/1000</f>
        <v>4.4841759999999999E-4</v>
      </c>
      <c r="R100" s="100">
        <f t="shared" si="31"/>
        <v>36.776856638327935</v>
      </c>
      <c r="S100" s="101">
        <f>AVERAGE(R98:R100)</f>
        <v>40.075317436093286</v>
      </c>
      <c r="T100" s="102">
        <f>STDEV(R98:R100)</f>
        <v>2.8806481264880204</v>
      </c>
      <c r="U100" s="102">
        <f>T100/SQRT(3)</f>
        <v>1.6631429712684498</v>
      </c>
      <c r="V100" s="102">
        <f t="shared" si="32"/>
        <v>32.982779578606156</v>
      </c>
      <c r="W100" s="101">
        <f t="shared" ref="W100:W136" si="33">AVERAGE(V98:V100)</f>
        <v>34.429659643435983</v>
      </c>
      <c r="X100" s="102">
        <f t="shared" ref="X100:X136" si="34">STDEV(V98:V100)</f>
        <v>1.3400524945931138</v>
      </c>
      <c r="Y100" s="102">
        <f t="shared" ref="Y100:Y136" si="35">X100/SQRT(3)</f>
        <v>0.77367966848156389</v>
      </c>
      <c r="Z100" s="102">
        <f>(V100-$V$97)/(D98-$D$95)</f>
        <v>0.37929846429752201</v>
      </c>
      <c r="AA100" s="101">
        <f>AVERAGE(Z98:Z100)</f>
        <v>0.39419990122817827</v>
      </c>
      <c r="AB100" s="109">
        <f>STDEV(Z98:Z100)/SQRT(3)</f>
        <v>7.8748872544186568E-3</v>
      </c>
      <c r="AD100" s="93">
        <f>D113</f>
        <v>264.18333333333334</v>
      </c>
      <c r="AE100" s="92">
        <v>52.478230000000003</v>
      </c>
      <c r="AF100" s="92">
        <f>U115</f>
        <v>2.9349194551277105</v>
      </c>
      <c r="AG100" s="92">
        <v>149.34784999999999</v>
      </c>
      <c r="AH100" s="92">
        <f>Y115</f>
        <v>7.1549129951130634</v>
      </c>
    </row>
    <row r="101" spans="2:34" x14ac:dyDescent="0.2">
      <c r="B101" s="193" t="s">
        <v>28</v>
      </c>
      <c r="C101" s="196">
        <v>0.50347222222222221</v>
      </c>
      <c r="D101" s="199">
        <v>118.85000000000001</v>
      </c>
      <c r="E101" s="85" t="s">
        <v>94</v>
      </c>
      <c r="F101" s="202">
        <v>4.5199999999999997E-2</v>
      </c>
      <c r="G101" s="205">
        <v>4.4499999999999998E-2</v>
      </c>
      <c r="H101" s="106">
        <f>0.2517-F101</f>
        <v>0.20649999999999999</v>
      </c>
      <c r="I101" s="110">
        <f>0.2293-F101</f>
        <v>0.18410000000000001</v>
      </c>
      <c r="J101" s="110">
        <f>0.167-G101</f>
        <v>0.12250000000000001</v>
      </c>
      <c r="K101" s="110">
        <f>0.1451-G101</f>
        <v>0.10060000000000001</v>
      </c>
      <c r="L101" s="264">
        <f t="shared" si="27"/>
        <v>2.1456645056726092E-2</v>
      </c>
      <c r="M101" s="264">
        <f t="shared" si="28"/>
        <v>1.997358184764992E-2</v>
      </c>
      <c r="N101" s="88">
        <f t="shared" si="29"/>
        <v>2.0715113452188006E-2</v>
      </c>
      <c r="O101" s="88">
        <f>'Growth curves UTEX #1926'!F55</f>
        <v>0.84</v>
      </c>
      <c r="P101" s="88">
        <f t="shared" si="30"/>
        <v>1.0580640000000001</v>
      </c>
      <c r="Q101" s="111">
        <f>P101*0.25/1000</f>
        <v>2.6451600000000001E-4</v>
      </c>
      <c r="R101" s="90">
        <f t="shared" si="31"/>
        <v>39.156635992129033</v>
      </c>
      <c r="S101" s="108"/>
      <c r="T101" s="92"/>
      <c r="U101" s="92"/>
      <c r="V101" s="92">
        <f t="shared" si="32"/>
        <v>41.430226904376021</v>
      </c>
      <c r="W101" s="108"/>
      <c r="X101" s="92"/>
      <c r="Y101" s="92"/>
      <c r="Z101" s="92">
        <f t="shared" ref="Z101:Z134" si="36">(V101-$V$95)/(D101-$D$95)</f>
        <v>0.36484659291099997</v>
      </c>
      <c r="AA101" s="108"/>
      <c r="AB101" s="115"/>
      <c r="AD101" s="93">
        <f>D116</f>
        <v>288.18333333333334</v>
      </c>
      <c r="AE101" s="92">
        <v>53.478681199999997</v>
      </c>
      <c r="AF101" s="92">
        <f>U118</f>
        <v>2.6433666812774632</v>
      </c>
      <c r="AG101" s="92">
        <v>152.46539999999999</v>
      </c>
      <c r="AH101" s="92">
        <f>Y118</f>
        <v>6.1445926729560174</v>
      </c>
    </row>
    <row r="102" spans="2:34" ht="15" customHeight="1" x14ac:dyDescent="0.2">
      <c r="B102" s="194"/>
      <c r="C102" s="197"/>
      <c r="D102" s="200"/>
      <c r="E102" s="85" t="s">
        <v>95</v>
      </c>
      <c r="F102" s="203"/>
      <c r="G102" s="206"/>
      <c r="H102" s="86">
        <f>0.2609-F101</f>
        <v>0.21570000000000003</v>
      </c>
      <c r="I102" s="88">
        <f>0.2328-F101</f>
        <v>0.18760000000000002</v>
      </c>
      <c r="J102" s="88">
        <f>0.1715-G101</f>
        <v>0.127</v>
      </c>
      <c r="K102" s="88">
        <f>0.1447-G101</f>
        <v>0.1002</v>
      </c>
      <c r="L102" s="264">
        <f t="shared" si="27"/>
        <v>2.2506482982171803E-2</v>
      </c>
      <c r="M102" s="264">
        <f t="shared" si="28"/>
        <v>2.058006482982172E-2</v>
      </c>
      <c r="N102" s="88">
        <f t="shared" si="29"/>
        <v>2.1543273905996762E-2</v>
      </c>
      <c r="O102" s="88">
        <f>'Growth curves UTEX #1926'!G55</f>
        <v>0.94</v>
      </c>
      <c r="P102" s="88">
        <f t="shared" si="30"/>
        <v>1.184024</v>
      </c>
      <c r="Q102" s="89">
        <f>P102*0.25/1000</f>
        <v>2.9600599999999997E-4</v>
      </c>
      <c r="R102" s="90">
        <f t="shared" si="31"/>
        <v>36.389927748080723</v>
      </c>
      <c r="S102" s="91"/>
      <c r="T102" s="92"/>
      <c r="U102" s="92"/>
      <c r="V102" s="92">
        <f t="shared" si="32"/>
        <v>43.086547811993526</v>
      </c>
      <c r="W102" s="108"/>
      <c r="X102" s="92"/>
      <c r="Y102" s="92"/>
      <c r="Z102" s="92">
        <f>(V102-$V$96)/(D101-$D$95)</f>
        <v>0.38542463533225285</v>
      </c>
      <c r="AA102" s="108"/>
      <c r="AB102" s="115"/>
      <c r="AD102" s="93">
        <f>D119</f>
        <v>312.08333333333331</v>
      </c>
      <c r="AE102" s="92">
        <v>51.373006422240969</v>
      </c>
      <c r="AF102" s="92">
        <f>U121</f>
        <v>3.9270090018632637</v>
      </c>
      <c r="AG102" s="92">
        <v>128.62447790696089</v>
      </c>
      <c r="AH102" s="92">
        <f>Y121</f>
        <v>13.698611949637149</v>
      </c>
    </row>
    <row r="103" spans="2:34" ht="15" customHeight="1" x14ac:dyDescent="0.2">
      <c r="B103" s="208"/>
      <c r="C103" s="209"/>
      <c r="D103" s="210"/>
      <c r="E103" s="95" t="s">
        <v>96</v>
      </c>
      <c r="F103" s="204"/>
      <c r="G103" s="207"/>
      <c r="H103" s="96">
        <f>0.2396-F101</f>
        <v>0.19440000000000002</v>
      </c>
      <c r="I103" s="98">
        <f>0.2355-F101</f>
        <v>0.1903</v>
      </c>
      <c r="J103" s="98">
        <f>0.159-G101</f>
        <v>0.1145</v>
      </c>
      <c r="K103" s="98">
        <f>0.155-G101</f>
        <v>0.1105</v>
      </c>
      <c r="L103" s="264">
        <f t="shared" si="27"/>
        <v>2.027998379254457E-2</v>
      </c>
      <c r="M103" s="264">
        <f t="shared" si="28"/>
        <v>2.000769854132901E-2</v>
      </c>
      <c r="N103" s="98">
        <f t="shared" si="29"/>
        <v>2.014384116693679E-2</v>
      </c>
      <c r="O103" s="98">
        <f>'Growth curves UTEX #1926'!H55</f>
        <v>0.83499999999999996</v>
      </c>
      <c r="P103" s="98">
        <f t="shared" si="30"/>
        <v>1.051766</v>
      </c>
      <c r="Q103" s="99">
        <f>P103*0.25/1000</f>
        <v>2.629415E-4</v>
      </c>
      <c r="R103" s="100">
        <f t="shared" si="31"/>
        <v>38.304796251137212</v>
      </c>
      <c r="S103" s="101">
        <f>AVERAGE(R101:R103)</f>
        <v>37.950453330448994</v>
      </c>
      <c r="T103" s="102">
        <f>STDEV(R101:R103)</f>
        <v>1.4169819356655948</v>
      </c>
      <c r="U103" s="102">
        <f>T103/SQRT(3)</f>
        <v>0.81809490199336821</v>
      </c>
      <c r="V103" s="102">
        <f t="shared" si="32"/>
        <v>40.287682333873583</v>
      </c>
      <c r="W103" s="101">
        <f t="shared" si="33"/>
        <v>41.601485683414381</v>
      </c>
      <c r="X103" s="102">
        <f t="shared" si="34"/>
        <v>1.4072701120258242</v>
      </c>
      <c r="Y103" s="102">
        <f t="shared" si="35"/>
        <v>0.81248777800062444</v>
      </c>
      <c r="Z103" s="102">
        <f>(V103-$V$97)/(D101-$D$95)</f>
        <v>0.36046804312592484</v>
      </c>
      <c r="AA103" s="101">
        <f t="shared" ref="AA103:AA136" si="37">AVERAGE(Z101:Z103)</f>
        <v>0.37024642378972589</v>
      </c>
      <c r="AB103" s="109">
        <f t="shared" ref="AB103:AB136" si="38">STDEV(Z101:Z103)/SQRT(3)</f>
        <v>7.6936446451463959E-3</v>
      </c>
      <c r="AD103" s="93">
        <f>D122</f>
        <v>336.08333333333331</v>
      </c>
      <c r="AE103" s="92">
        <v>56.478631999999998</v>
      </c>
      <c r="AF103" s="92">
        <f>U124</f>
        <v>0.99503529396080659</v>
      </c>
      <c r="AG103" s="92">
        <v>159.37654000000001</v>
      </c>
      <c r="AH103" s="92">
        <f>Y124</f>
        <v>5.9222617544954659</v>
      </c>
    </row>
    <row r="104" spans="2:34" x14ac:dyDescent="0.2">
      <c r="B104" s="193" t="s">
        <v>30</v>
      </c>
      <c r="C104" s="196">
        <v>0.52430555555555558</v>
      </c>
      <c r="D104" s="199">
        <v>191.35</v>
      </c>
      <c r="E104" s="85" t="s">
        <v>94</v>
      </c>
      <c r="F104" s="202">
        <v>3.6400000000000002E-2</v>
      </c>
      <c r="G104" s="205">
        <v>3.5099999999999999E-2</v>
      </c>
      <c r="H104" s="106">
        <f>0.1782-F104</f>
        <v>0.14179999999999998</v>
      </c>
      <c r="I104" s="110">
        <f>0.1571-F104</f>
        <v>0.12069999999999999</v>
      </c>
      <c r="J104" s="110">
        <f>0.1349-G104</f>
        <v>9.98E-2</v>
      </c>
      <c r="K104" s="110">
        <f>0.1127-G104</f>
        <v>7.7600000000000002E-2</v>
      </c>
      <c r="L104" s="264">
        <f t="shared" si="27"/>
        <v>1.3196272285251215E-2</v>
      </c>
      <c r="M104" s="264">
        <f t="shared" si="28"/>
        <v>1.1953322528363045E-2</v>
      </c>
      <c r="N104" s="88">
        <f t="shared" si="29"/>
        <v>1.257479740680713E-2</v>
      </c>
      <c r="O104" s="88">
        <f>'Growth curves UTEX #1926'!F57</f>
        <v>1.61</v>
      </c>
      <c r="P104" s="88">
        <f t="shared" si="30"/>
        <v>2.0279560000000001</v>
      </c>
      <c r="Q104" s="111">
        <f t="shared" ref="Q104:Q112" si="39">O104*0.125/1000</f>
        <v>2.0125000000000001E-4</v>
      </c>
      <c r="R104" s="90">
        <f t="shared" si="31"/>
        <v>31.241732687719576</v>
      </c>
      <c r="S104" s="108"/>
      <c r="T104" s="92"/>
      <c r="U104" s="92"/>
      <c r="V104" s="92">
        <f t="shared" si="32"/>
        <v>63.356859254457042</v>
      </c>
      <c r="W104" s="108"/>
      <c r="X104" s="92"/>
      <c r="Y104" s="92"/>
      <c r="Z104" s="92">
        <f t="shared" si="36"/>
        <v>0.33796691586565464</v>
      </c>
      <c r="AA104" s="108"/>
      <c r="AB104" s="115"/>
      <c r="AD104" s="93">
        <f>D125</f>
        <v>360.08333333333331</v>
      </c>
      <c r="AE104" s="92">
        <v>52.457865300000002</v>
      </c>
      <c r="AF104" s="92">
        <f>U127</f>
        <v>2.5521067909813997</v>
      </c>
      <c r="AG104" s="92">
        <v>173.46729999999999</v>
      </c>
      <c r="AH104" s="92">
        <f>Y127</f>
        <v>9.1104431972760658</v>
      </c>
    </row>
    <row r="105" spans="2:34" ht="15" customHeight="1" x14ac:dyDescent="0.2">
      <c r="B105" s="194"/>
      <c r="C105" s="197"/>
      <c r="D105" s="200"/>
      <c r="E105" s="85" t="s">
        <v>95</v>
      </c>
      <c r="F105" s="203"/>
      <c r="G105" s="206"/>
      <c r="H105" s="86">
        <f>0.1661-F104</f>
        <v>0.12969999999999998</v>
      </c>
      <c r="I105" s="88">
        <f>0.1584-F104</f>
        <v>0.12200000000000001</v>
      </c>
      <c r="J105" s="88">
        <f>0.1168-G104</f>
        <v>8.1699999999999995E-2</v>
      </c>
      <c r="K105" s="88">
        <f>0.1084-G104</f>
        <v>7.3300000000000004E-2</v>
      </c>
      <c r="L105" s="264">
        <f t="shared" si="27"/>
        <v>1.3009967585089141E-2</v>
      </c>
      <c r="M105" s="264">
        <f t="shared" si="28"/>
        <v>1.2585656401944896E-2</v>
      </c>
      <c r="N105" s="88">
        <f t="shared" si="29"/>
        <v>1.2797811993517018E-2</v>
      </c>
      <c r="O105" s="88">
        <f>'Growth curves UTEX #1926'!G57</f>
        <v>1.772</v>
      </c>
      <c r="P105" s="88">
        <f t="shared" si="30"/>
        <v>2.2320112000000001</v>
      </c>
      <c r="Q105" s="89">
        <f t="shared" si="39"/>
        <v>2.2149999999999999E-4</v>
      </c>
      <c r="R105" s="90">
        <f t="shared" si="31"/>
        <v>28.888966125320582</v>
      </c>
      <c r="S105" s="91"/>
      <c r="T105" s="92"/>
      <c r="U105" s="92"/>
      <c r="V105" s="92">
        <f t="shared" si="32"/>
        <v>64.480495948136152</v>
      </c>
      <c r="W105" s="108"/>
      <c r="X105" s="92"/>
      <c r="Y105" s="92"/>
      <c r="Z105" s="92">
        <f>(V105-$V$96)/(D104-$D$95)</f>
        <v>0.34651767735930811</v>
      </c>
      <c r="AA105" s="108"/>
      <c r="AB105" s="115"/>
      <c r="AD105" s="93">
        <f>D128</f>
        <v>384.08333333333331</v>
      </c>
      <c r="AE105" s="92">
        <v>57.478630000000003</v>
      </c>
      <c r="AF105" s="92">
        <f>U130</f>
        <v>1.8219400158469268</v>
      </c>
      <c r="AG105" s="92">
        <v>195.48454000000001</v>
      </c>
      <c r="AH105" s="92">
        <f>Y130</f>
        <v>4.1891226827018775</v>
      </c>
    </row>
    <row r="106" spans="2:34" ht="15" customHeight="1" x14ac:dyDescent="0.2">
      <c r="B106" s="208"/>
      <c r="C106" s="209"/>
      <c r="D106" s="210"/>
      <c r="E106" s="95" t="s">
        <v>96</v>
      </c>
      <c r="F106" s="204"/>
      <c r="G106" s="207"/>
      <c r="H106" s="96"/>
      <c r="I106" s="98"/>
      <c r="J106" s="98"/>
      <c r="K106" s="98"/>
      <c r="L106" s="264">
        <f t="shared" si="27"/>
        <v>0</v>
      </c>
      <c r="M106" s="264">
        <f t="shared" si="28"/>
        <v>0</v>
      </c>
      <c r="N106" s="98">
        <f t="shared" si="29"/>
        <v>0</v>
      </c>
      <c r="O106" s="98">
        <f>'Growth curves UTEX #1926'!H57</f>
        <v>1.6479999999999999</v>
      </c>
      <c r="P106" s="98">
        <f t="shared" si="30"/>
        <v>2.0758207999999998</v>
      </c>
      <c r="Q106" s="99">
        <f t="shared" si="39"/>
        <v>2.0599999999999999E-4</v>
      </c>
      <c r="R106" s="100">
        <f t="shared" si="31"/>
        <v>0</v>
      </c>
      <c r="S106" s="101">
        <f>AVERAGE(R104:R106)</f>
        <v>20.043566271013386</v>
      </c>
      <c r="T106" s="102">
        <f>STDEV(R104:R106)</f>
        <v>17.398054180558955</v>
      </c>
      <c r="U106" s="102">
        <f>T106/SQRT(3)</f>
        <v>10.044771264521406</v>
      </c>
      <c r="V106" s="102">
        <f t="shared" si="32"/>
        <v>0</v>
      </c>
      <c r="W106" s="101">
        <f t="shared" si="33"/>
        <v>42.612451734197727</v>
      </c>
      <c r="X106" s="102">
        <f t="shared" si="34"/>
        <v>36.907742032727278</v>
      </c>
      <c r="Y106" s="102">
        <f t="shared" si="35"/>
        <v>21.308694797776361</v>
      </c>
      <c r="Z106" s="102">
        <f>(V106-$V$97)/(D104-$D$95)</f>
        <v>-3.4115811094885824E-2</v>
      </c>
      <c r="AA106" s="101">
        <f t="shared" si="37"/>
        <v>0.21678959404335899</v>
      </c>
      <c r="AB106" s="109">
        <f t="shared" si="38"/>
        <v>0.12547698411291797</v>
      </c>
      <c r="AD106" s="93">
        <f>D131</f>
        <v>408.08333333333331</v>
      </c>
      <c r="AE106" s="92">
        <v>60.348730000000003</v>
      </c>
      <c r="AF106" s="92">
        <f>U133</f>
        <v>5.4703746289112356</v>
      </c>
      <c r="AG106" s="92">
        <v>210.47833</v>
      </c>
      <c r="AH106" s="92">
        <f>Y133</f>
        <v>18.058276574409433</v>
      </c>
    </row>
    <row r="107" spans="2:34" x14ac:dyDescent="0.2">
      <c r="B107" s="193" t="s">
        <v>31</v>
      </c>
      <c r="C107" s="196">
        <v>0.56319444444444444</v>
      </c>
      <c r="D107" s="199">
        <v>216.28333333333333</v>
      </c>
      <c r="E107" s="85" t="s">
        <v>94</v>
      </c>
      <c r="F107" s="202">
        <f>(0.0517+0.038+0.0419)/3</f>
        <v>4.3866666666666665E-2</v>
      </c>
      <c r="G107" s="205">
        <f>(0.0509+0.0369+0.0407)/3</f>
        <v>4.2833333333333334E-2</v>
      </c>
      <c r="H107" s="106">
        <f>0.2681-F107</f>
        <v>0.22423333333333334</v>
      </c>
      <c r="I107" s="110">
        <f>0.256-F107</f>
        <v>0.21213333333333334</v>
      </c>
      <c r="J107" s="110">
        <f>0.1769-G107</f>
        <v>0.13406666666666667</v>
      </c>
      <c r="K107" s="110">
        <f>0.1649-G107</f>
        <v>0.12206666666666666</v>
      </c>
      <c r="L107" s="264">
        <f t="shared" si="27"/>
        <v>2.3196596434359805E-2</v>
      </c>
      <c r="M107" s="264">
        <f t="shared" si="28"/>
        <v>2.2412155591572128E-2</v>
      </c>
      <c r="N107" s="88">
        <f t="shared" si="29"/>
        <v>2.2804376012965966E-2</v>
      </c>
      <c r="O107" s="88">
        <f>'Growth curves UTEX #1926'!F58</f>
        <v>1.718</v>
      </c>
      <c r="P107" s="88">
        <f t="shared" si="30"/>
        <v>2.1639927999999999</v>
      </c>
      <c r="Q107" s="111">
        <f t="shared" si="39"/>
        <v>2.1474999999999999E-4</v>
      </c>
      <c r="R107" s="90">
        <f t="shared" si="31"/>
        <v>53.095171159408537</v>
      </c>
      <c r="S107" s="91"/>
      <c r="V107" s="92">
        <f t="shared" si="32"/>
        <v>114.89756810372772</v>
      </c>
      <c r="W107" s="108"/>
      <c r="X107" s="92"/>
      <c r="Y107" s="92"/>
      <c r="Z107" s="92">
        <f t="shared" si="36"/>
        <v>0.56104763549494241</v>
      </c>
      <c r="AA107" s="108"/>
      <c r="AB107" s="115"/>
      <c r="AD107" s="93">
        <f>D134</f>
        <v>432.25</v>
      </c>
      <c r="AE107" s="92">
        <v>65.575758956705258</v>
      </c>
      <c r="AF107" s="92">
        <f>U136</f>
        <v>3.2913913356725075</v>
      </c>
      <c r="AG107" s="92">
        <v>234.29812734082404</v>
      </c>
      <c r="AH107" s="92">
        <f>Y136</f>
        <v>8.3370073783558745</v>
      </c>
    </row>
    <row r="108" spans="2:34" ht="15" customHeight="1" x14ac:dyDescent="0.2">
      <c r="B108" s="194"/>
      <c r="C108" s="197"/>
      <c r="D108" s="200"/>
      <c r="E108" s="85" t="s">
        <v>95</v>
      </c>
      <c r="F108" s="203"/>
      <c r="G108" s="206"/>
      <c r="H108" s="86">
        <f>0.2634-F107</f>
        <v>0.21953333333333336</v>
      </c>
      <c r="I108" s="88">
        <f>0.2489-F107</f>
        <v>0.20503333333333335</v>
      </c>
      <c r="J108" s="88">
        <f>0.1699-G107</f>
        <v>0.12706666666666666</v>
      </c>
      <c r="K108" s="88">
        <f>0.1564-G107</f>
        <v>0.11356666666666668</v>
      </c>
      <c r="L108" s="264">
        <f t="shared" si="27"/>
        <v>2.3121231766612647E-2</v>
      </c>
      <c r="M108" s="264">
        <f t="shared" si="28"/>
        <v>2.2094894651539708E-2</v>
      </c>
      <c r="N108" s="88">
        <f t="shared" si="29"/>
        <v>2.2608063209076178E-2</v>
      </c>
      <c r="O108" s="88">
        <f>'Growth curves UTEX #1926'!G58</f>
        <v>1.8959999999999999</v>
      </c>
      <c r="P108" s="88">
        <f t="shared" si="30"/>
        <v>2.3882015999999999</v>
      </c>
      <c r="Q108" s="89">
        <f t="shared" si="39"/>
        <v>2.3699999999999999E-4</v>
      </c>
      <c r="R108" s="90">
        <f t="shared" si="31"/>
        <v>47.69633588412696</v>
      </c>
      <c r="S108" s="91"/>
      <c r="V108" s="92">
        <f t="shared" si="32"/>
        <v>113.90846567260941</v>
      </c>
      <c r="W108" s="108"/>
      <c r="X108" s="92"/>
      <c r="Y108" s="92"/>
      <c r="Z108" s="92">
        <f>(V108-$V$96)/(D107-$D$95)</f>
        <v>0.55756353266621317</v>
      </c>
      <c r="AA108" s="108"/>
      <c r="AB108" s="115"/>
      <c r="AD108" s="93"/>
      <c r="AE108" s="92"/>
      <c r="AF108" s="92"/>
      <c r="AG108" s="92"/>
      <c r="AH108" s="92"/>
    </row>
    <row r="109" spans="2:34" ht="15" customHeight="1" x14ac:dyDescent="0.2">
      <c r="B109" s="208"/>
      <c r="C109" s="209"/>
      <c r="D109" s="210"/>
      <c r="E109" s="95" t="s">
        <v>96</v>
      </c>
      <c r="F109" s="204"/>
      <c r="G109" s="207"/>
      <c r="H109" s="86">
        <f>0.2474-F107</f>
        <v>0.20353333333333334</v>
      </c>
      <c r="I109" s="88">
        <f>0.2533-F107</f>
        <v>0.20943333333333336</v>
      </c>
      <c r="J109" s="88">
        <f>0.1646-G107</f>
        <v>0.12176666666666666</v>
      </c>
      <c r="K109" s="88">
        <f>0.1696-G107</f>
        <v>0.12676666666666667</v>
      </c>
      <c r="L109" s="264">
        <f t="shared" si="27"/>
        <v>2.1047730956239873E-2</v>
      </c>
      <c r="M109" s="264">
        <f t="shared" si="28"/>
        <v>2.1513695299837928E-2</v>
      </c>
      <c r="N109" s="98">
        <f t="shared" si="29"/>
        <v>2.1280713128038899E-2</v>
      </c>
      <c r="O109" s="98">
        <f>'Growth curves UTEX #1926'!H58</f>
        <v>1.702</v>
      </c>
      <c r="P109" s="98">
        <f t="shared" si="30"/>
        <v>2.1438391999999999</v>
      </c>
      <c r="Q109" s="99">
        <f t="shared" si="39"/>
        <v>2.1274999999999999E-4</v>
      </c>
      <c r="R109" s="100">
        <f t="shared" si="31"/>
        <v>50.013426857905756</v>
      </c>
      <c r="S109" s="101">
        <f>AVERAGE(R107:R109)</f>
        <v>50.268311300480413</v>
      </c>
      <c r="T109" s="102">
        <f>STDEV(R107:R109)</f>
        <v>2.7084276142636936</v>
      </c>
      <c r="U109" s="102">
        <f>T109/SQRT(3)</f>
        <v>1.5637114121757596</v>
      </c>
      <c r="V109" s="102">
        <f t="shared" si="32"/>
        <v>107.22074502431119</v>
      </c>
      <c r="W109" s="101">
        <f t="shared" si="33"/>
        <v>112.00892626688278</v>
      </c>
      <c r="X109" s="102">
        <f t="shared" si="34"/>
        <v>4.1760735881443498</v>
      </c>
      <c r="Y109" s="102">
        <f t="shared" si="35"/>
        <v>2.411057210270827</v>
      </c>
      <c r="Z109" s="102">
        <f>(V109-$V$97)/(D107-$D$95)</f>
        <v>0.52506683420147682</v>
      </c>
      <c r="AA109" s="101">
        <f t="shared" si="37"/>
        <v>0.54789266745421084</v>
      </c>
      <c r="AB109" s="109">
        <f t="shared" si="38"/>
        <v>1.14571482910816E-2</v>
      </c>
      <c r="AD109" s="93"/>
      <c r="AE109" s="92"/>
      <c r="AF109" s="92"/>
      <c r="AG109" s="92"/>
      <c r="AH109" s="92"/>
    </row>
    <row r="110" spans="2:34" x14ac:dyDescent="0.2">
      <c r="B110" s="193" t="s">
        <v>38</v>
      </c>
      <c r="C110" s="196">
        <v>0.55902777777777779</v>
      </c>
      <c r="D110" s="199">
        <v>240.18333333333334</v>
      </c>
      <c r="E110" s="85" t="s">
        <v>94</v>
      </c>
      <c r="F110" s="202">
        <f>0.0468</f>
        <v>4.6800000000000001E-2</v>
      </c>
      <c r="G110" s="205">
        <v>4.5199999999999997E-2</v>
      </c>
      <c r="H110" s="86">
        <f>0.3258-F110</f>
        <v>0.27899999999999997</v>
      </c>
      <c r="I110" s="88">
        <f>0.3314-F110</f>
        <v>0.28459999999999996</v>
      </c>
      <c r="J110" s="88">
        <f>0.2157-G110</f>
        <v>0.17050000000000001</v>
      </c>
      <c r="K110" s="88">
        <f>0.2248-G110</f>
        <v>0.17960000000000001</v>
      </c>
      <c r="L110" s="264">
        <f t="shared" si="27"/>
        <v>2.8500405186385733E-2</v>
      </c>
      <c r="M110" s="264">
        <f t="shared" si="28"/>
        <v>2.8515721231766607E-2</v>
      </c>
      <c r="N110" s="88">
        <f t="shared" si="29"/>
        <v>2.850806320907617E-2</v>
      </c>
      <c r="O110" s="88">
        <f>'Growth curves UTEX #1926'!F59</f>
        <v>1.968</v>
      </c>
      <c r="P110" s="88">
        <f t="shared" si="30"/>
        <v>2.4788928000000001</v>
      </c>
      <c r="Q110" s="89">
        <f t="shared" si="39"/>
        <v>2.4600000000000002E-4</v>
      </c>
      <c r="R110" s="90">
        <f t="shared" si="31"/>
        <v>57.943217904626358</v>
      </c>
      <c r="S110" s="91"/>
      <c r="V110" s="92">
        <f t="shared" si="32"/>
        <v>143.63502567260937</v>
      </c>
      <c r="W110" s="108"/>
      <c r="X110" s="92"/>
      <c r="Y110" s="92"/>
      <c r="Z110" s="92">
        <f t="shared" si="36"/>
        <v>0.63163129971851495</v>
      </c>
      <c r="AA110" s="108"/>
      <c r="AB110" s="115"/>
      <c r="AD110" s="93"/>
      <c r="AE110" s="92"/>
      <c r="AF110" s="92"/>
      <c r="AG110" s="92"/>
      <c r="AH110" s="92"/>
    </row>
    <row r="111" spans="2:34" ht="15" customHeight="1" x14ac:dyDescent="0.2">
      <c r="B111" s="194"/>
      <c r="C111" s="197"/>
      <c r="D111" s="200"/>
      <c r="E111" s="85" t="s">
        <v>95</v>
      </c>
      <c r="F111" s="203"/>
      <c r="G111" s="206"/>
      <c r="H111" s="86">
        <f>0.3178-F110</f>
        <v>0.27100000000000002</v>
      </c>
      <c r="I111" s="88">
        <f>0.3155-F110</f>
        <v>0.26869999999999999</v>
      </c>
      <c r="J111" s="88">
        <f>0.2481-G110</f>
        <v>0.2029</v>
      </c>
      <c r="K111" s="88">
        <f>0.2429-G110</f>
        <v>0.19770000000000001</v>
      </c>
      <c r="L111" s="264">
        <f t="shared" si="27"/>
        <v>2.4026823338735823E-2</v>
      </c>
      <c r="M111" s="264">
        <f t="shared" si="28"/>
        <v>2.4163938411669365E-2</v>
      </c>
      <c r="N111" s="88">
        <f t="shared" si="29"/>
        <v>2.4095380875202594E-2</v>
      </c>
      <c r="O111" s="88">
        <f>'Growth curves UTEX #1926'!G59</f>
        <v>2.024</v>
      </c>
      <c r="P111" s="88">
        <f t="shared" si="30"/>
        <v>2.5494304000000003</v>
      </c>
      <c r="Q111" s="89">
        <f t="shared" si="39"/>
        <v>2.5300000000000002E-4</v>
      </c>
      <c r="R111" s="90">
        <f t="shared" si="31"/>
        <v>47.619329792890497</v>
      </c>
      <c r="S111" s="91"/>
      <c r="V111" s="92">
        <f t="shared" si="32"/>
        <v>121.40216700162075</v>
      </c>
      <c r="W111" s="108"/>
      <c r="X111" s="92"/>
      <c r="Y111" s="92"/>
      <c r="Z111" s="92">
        <f>(V111-$V$96)/(D110-$D$95)</f>
        <v>0.53070827356393613</v>
      </c>
      <c r="AA111" s="108"/>
      <c r="AB111" s="115"/>
      <c r="AD111" s="93"/>
      <c r="AE111" s="92"/>
      <c r="AF111" s="92"/>
      <c r="AG111" s="92"/>
      <c r="AH111" s="92"/>
    </row>
    <row r="112" spans="2:34" ht="15" customHeight="1" x14ac:dyDescent="0.2">
      <c r="B112" s="208"/>
      <c r="C112" s="209"/>
      <c r="D112" s="210"/>
      <c r="E112" s="95" t="s">
        <v>96</v>
      </c>
      <c r="F112" s="204"/>
      <c r="G112" s="207"/>
      <c r="H112" s="96">
        <f>0.315-F110</f>
        <v>0.26819999999999999</v>
      </c>
      <c r="I112" s="98">
        <f>0.3373-F110</f>
        <v>0.29049999999999998</v>
      </c>
      <c r="J112" s="98">
        <f>0.224-G110</f>
        <v>0.17880000000000001</v>
      </c>
      <c r="K112" s="98">
        <f>0.2381-G110</f>
        <v>0.19290000000000002</v>
      </c>
      <c r="L112" s="264">
        <f t="shared" si="27"/>
        <v>2.593614262560778E-2</v>
      </c>
      <c r="M112" s="264">
        <f t="shared" si="28"/>
        <v>2.8167828200972446E-2</v>
      </c>
      <c r="N112" s="98">
        <f t="shared" si="29"/>
        <v>2.7051985413290111E-2</v>
      </c>
      <c r="O112" s="98">
        <f>'Growth curves UTEX #1926'!H59</f>
        <v>1.988</v>
      </c>
      <c r="P112" s="98">
        <f t="shared" si="30"/>
        <v>2.5040848000000002</v>
      </c>
      <c r="Q112" s="99">
        <f t="shared" si="39"/>
        <v>2.4850000000000002E-4</v>
      </c>
      <c r="R112" s="100">
        <f t="shared" si="31"/>
        <v>54.430554151489154</v>
      </c>
      <c r="S112" s="101">
        <f>AVERAGE(R110:R112)</f>
        <v>53.331033949668672</v>
      </c>
      <c r="T112" s="102">
        <f>STDEV(R110:R112)</f>
        <v>5.2490356201466941</v>
      </c>
      <c r="U112" s="102">
        <f>T112/SQRT(3)</f>
        <v>3.0305321282776281</v>
      </c>
      <c r="V112" s="102">
        <f t="shared" si="32"/>
        <v>136.29872330632091</v>
      </c>
      <c r="W112" s="101">
        <f t="shared" si="33"/>
        <v>133.77863866018367</v>
      </c>
      <c r="X112" s="102">
        <f t="shared" si="34"/>
        <v>11.328641628139312</v>
      </c>
      <c r="Y112" s="102">
        <f t="shared" si="35"/>
        <v>6.5405942935590327</v>
      </c>
      <c r="Z112" s="102">
        <f>(V112-$V$97)/(D110-$D$95)</f>
        <v>0.60117833509753704</v>
      </c>
      <c r="AA112" s="101">
        <f t="shared" si="37"/>
        <v>0.58783930279332941</v>
      </c>
      <c r="AB112" s="109">
        <f t="shared" si="38"/>
        <v>2.988763199697032E-2</v>
      </c>
    </row>
    <row r="113" spans="2:34" x14ac:dyDescent="0.2">
      <c r="B113" s="193" t="s">
        <v>39</v>
      </c>
      <c r="C113" s="196">
        <v>0.55902777777777779</v>
      </c>
      <c r="D113" s="199">
        <v>264.18333333333334</v>
      </c>
      <c r="E113" s="85" t="s">
        <v>94</v>
      </c>
      <c r="F113" s="202">
        <v>4.4299999999999999E-2</v>
      </c>
      <c r="G113" s="205">
        <v>4.3999999999999997E-2</v>
      </c>
      <c r="H113" s="86">
        <f>0.2296-F113</f>
        <v>0.18529999999999999</v>
      </c>
      <c r="I113" s="88">
        <f>0.2518-F113</f>
        <v>0.20750000000000002</v>
      </c>
      <c r="J113" s="88">
        <f>0.1637-G113</f>
        <v>0.11970000000000001</v>
      </c>
      <c r="K113" s="88">
        <f>0.1855-G113</f>
        <v>0.14150000000000001</v>
      </c>
      <c r="L113" s="264">
        <f t="shared" si="27"/>
        <v>1.8295218800648296E-2</v>
      </c>
      <c r="M113" s="264">
        <f t="shared" si="28"/>
        <v>1.9755672609400327E-2</v>
      </c>
      <c r="N113" s="88">
        <f t="shared" si="29"/>
        <v>1.9025445705024312E-2</v>
      </c>
      <c r="O113" s="88">
        <f>'Growth curves UTEX #1926'!F60</f>
        <v>2.1560000000000001</v>
      </c>
      <c r="P113" s="88">
        <f t="shared" si="30"/>
        <v>2.7156976000000004</v>
      </c>
      <c r="Q113" s="111">
        <f>O113*0.1/1000</f>
        <v>2.1560000000000001E-4</v>
      </c>
      <c r="R113" s="90">
        <f t="shared" si="31"/>
        <v>44.12209115265378</v>
      </c>
      <c r="S113" s="91"/>
      <c r="V113" s="92">
        <f t="shared" si="32"/>
        <v>119.82225705024312</v>
      </c>
      <c r="W113" s="108"/>
      <c r="X113" s="92"/>
      <c r="Y113" s="92"/>
      <c r="Z113" s="92">
        <f t="shared" si="36"/>
        <v>0.47003384367590018</v>
      </c>
      <c r="AA113" s="108"/>
      <c r="AB113" s="115"/>
      <c r="AE113" s="92"/>
      <c r="AF113" s="92"/>
      <c r="AG113" s="92"/>
      <c r="AH113" s="92"/>
    </row>
    <row r="114" spans="2:34" ht="15" customHeight="1" x14ac:dyDescent="0.2">
      <c r="B114" s="194"/>
      <c r="C114" s="197"/>
      <c r="D114" s="200"/>
      <c r="E114" s="85" t="s">
        <v>95</v>
      </c>
      <c r="F114" s="203"/>
      <c r="G114" s="206"/>
      <c r="H114" s="86">
        <f>0.1957-F113</f>
        <v>0.15140000000000001</v>
      </c>
      <c r="I114" s="88">
        <f>0.215-F113</f>
        <v>0.17069999999999999</v>
      </c>
      <c r="J114" s="88">
        <f>0.1427-G113</f>
        <v>9.8699999999999996E-2</v>
      </c>
      <c r="K114" s="88">
        <f>0.1603-G113</f>
        <v>0.1163</v>
      </c>
      <c r="L114" s="264">
        <f t="shared" si="27"/>
        <v>1.4860048622366289E-2</v>
      </c>
      <c r="M114" s="264">
        <f t="shared" si="28"/>
        <v>1.6262317666126416E-2</v>
      </c>
      <c r="N114" s="88">
        <f t="shared" si="29"/>
        <v>1.5561183144246354E-2</v>
      </c>
      <c r="O114" s="88">
        <f>'Growth curves UTEX #1926'!G60</f>
        <v>2.2240000000000002</v>
      </c>
      <c r="P114" s="88">
        <f t="shared" si="30"/>
        <v>2.8013504000000005</v>
      </c>
      <c r="Q114" s="89">
        <f>O114*0.1/1000</f>
        <v>2.2240000000000004E-4</v>
      </c>
      <c r="R114" s="90">
        <f t="shared" si="31"/>
        <v>34.984674335086218</v>
      </c>
      <c r="S114" s="91"/>
      <c r="V114" s="92">
        <f t="shared" si="32"/>
        <v>98.004331442463524</v>
      </c>
      <c r="W114" s="108"/>
      <c r="X114" s="92"/>
      <c r="Y114" s="92"/>
      <c r="Z114" s="92">
        <f>(V114-$V$96)/(D113-$D$95)</f>
        <v>0.38087482176839349</v>
      </c>
      <c r="AA114" s="108"/>
      <c r="AB114" s="115"/>
      <c r="AE114" s="92"/>
      <c r="AF114" s="92"/>
      <c r="AG114" s="92"/>
      <c r="AH114" s="92"/>
    </row>
    <row r="115" spans="2:34" ht="15" customHeight="1" x14ac:dyDescent="0.2">
      <c r="B115" s="208"/>
      <c r="C115" s="209"/>
      <c r="D115" s="210"/>
      <c r="E115" s="95" t="s">
        <v>96</v>
      </c>
      <c r="F115" s="204"/>
      <c r="G115" s="207"/>
      <c r="H115" s="96">
        <f>0.2025-F113</f>
        <v>0.15820000000000001</v>
      </c>
      <c r="I115" s="98">
        <f>0.2072-F113</f>
        <v>0.16289999999999999</v>
      </c>
      <c r="J115" s="98">
        <f>0.1471-G113</f>
        <v>0.10310000000000001</v>
      </c>
      <c r="K115" s="98">
        <f>0.1519-G113</f>
        <v>0.10790000000000001</v>
      </c>
      <c r="L115" s="264">
        <f t="shared" si="27"/>
        <v>1.5530713128038899E-2</v>
      </c>
      <c r="M115" s="264">
        <f t="shared" si="28"/>
        <v>1.5821799027552673E-2</v>
      </c>
      <c r="N115" s="98">
        <f t="shared" si="29"/>
        <v>1.5676256077795787E-2</v>
      </c>
      <c r="O115" s="98">
        <f>'Growth curves UTEX #1926'!H60</f>
        <v>2.1960000000000002</v>
      </c>
      <c r="P115" s="98">
        <f t="shared" si="30"/>
        <v>2.7660816000000001</v>
      </c>
      <c r="Q115" s="99">
        <f>O115*0.1/1000</f>
        <v>2.1960000000000003E-4</v>
      </c>
      <c r="R115" s="100">
        <f t="shared" si="31"/>
        <v>35.692750632504065</v>
      </c>
      <c r="S115" s="101">
        <f>AVERAGE(R113:R115)</f>
        <v>38.266505373414695</v>
      </c>
      <c r="T115" s="102">
        <f>STDEV(R113:R115)</f>
        <v>5.0834296124035596</v>
      </c>
      <c r="U115" s="102">
        <f>T115/SQRT(3)</f>
        <v>2.9349194551277105</v>
      </c>
      <c r="V115" s="102">
        <f t="shared" si="32"/>
        <v>98.729060777957855</v>
      </c>
      <c r="W115" s="101">
        <f t="shared" si="33"/>
        <v>105.51854975688816</v>
      </c>
      <c r="X115" s="102">
        <f t="shared" si="34"/>
        <v>12.392672831270636</v>
      </c>
      <c r="Y115" s="102">
        <f t="shared" si="35"/>
        <v>7.1549129951130634</v>
      </c>
      <c r="Z115" s="102">
        <f>(V115-$V$97)/(D113-$D$95)</f>
        <v>0.38556834517063743</v>
      </c>
      <c r="AA115" s="101">
        <f t="shared" si="37"/>
        <v>0.41215900353831031</v>
      </c>
      <c r="AB115" s="109">
        <f t="shared" si="38"/>
        <v>2.8969122246485918E-2</v>
      </c>
    </row>
    <row r="116" spans="2:34" x14ac:dyDescent="0.2">
      <c r="B116" s="193" t="s">
        <v>40</v>
      </c>
      <c r="C116" s="196">
        <v>0.55902777777777779</v>
      </c>
      <c r="D116" s="199">
        <v>288.18333333333334</v>
      </c>
      <c r="E116" s="85" t="s">
        <v>94</v>
      </c>
      <c r="F116" s="202">
        <v>4.9299999999999997E-2</v>
      </c>
      <c r="G116" s="205">
        <v>4.8399999999999999E-2</v>
      </c>
      <c r="H116" s="86">
        <f>0.2475-F116</f>
        <v>0.19819999999999999</v>
      </c>
      <c r="I116" s="88">
        <f>0.252-F116</f>
        <v>0.20269999999999999</v>
      </c>
      <c r="J116" s="88">
        <f>0.1643-G116</f>
        <v>0.1159</v>
      </c>
      <c r="K116" s="88">
        <f>0.1698-G116</f>
        <v>0.12140000000000001</v>
      </c>
      <c r="L116" s="264">
        <f t="shared" si="27"/>
        <v>2.075858995137763E-2</v>
      </c>
      <c r="M116" s="264">
        <f t="shared" si="28"/>
        <v>2.0948622366288493E-2</v>
      </c>
      <c r="N116" s="88">
        <f t="shared" si="29"/>
        <v>2.0853606158833062E-2</v>
      </c>
      <c r="O116" s="88">
        <f>'Growth curves UTEX #1926'!F61</f>
        <v>2.2320000000000002</v>
      </c>
      <c r="P116" s="88">
        <f t="shared" si="30"/>
        <v>2.8114272000000002</v>
      </c>
      <c r="Q116" s="111">
        <f>P116*0.1/1000</f>
        <v>2.8114272000000001E-4</v>
      </c>
      <c r="R116" s="90">
        <f t="shared" si="31"/>
        <v>37.087224166489285</v>
      </c>
      <c r="S116" s="91"/>
      <c r="V116" s="92">
        <f t="shared" si="32"/>
        <v>104.26803079416531</v>
      </c>
      <c r="W116" s="108"/>
      <c r="X116" s="92"/>
      <c r="Y116" s="92"/>
      <c r="Z116" s="92">
        <f t="shared" si="36"/>
        <v>0.36883319563957301</v>
      </c>
      <c r="AA116" s="108"/>
      <c r="AB116" s="115"/>
    </row>
    <row r="117" spans="2:34" ht="15" customHeight="1" x14ac:dyDescent="0.2">
      <c r="B117" s="194"/>
      <c r="C117" s="197"/>
      <c r="D117" s="200"/>
      <c r="E117" s="85" t="s">
        <v>95</v>
      </c>
      <c r="F117" s="203"/>
      <c r="G117" s="206"/>
      <c r="H117" s="86">
        <f>0.2367-F116</f>
        <v>0.18740000000000001</v>
      </c>
      <c r="I117" s="88">
        <f>0.2166-F116</f>
        <v>0.1673</v>
      </c>
      <c r="J117" s="88">
        <f>0.168-G116</f>
        <v>0.11960000000000001</v>
      </c>
      <c r="K117" s="88">
        <f>0.1473-G116</f>
        <v>9.8899999999999988E-2</v>
      </c>
      <c r="L117" s="264">
        <f t="shared" si="27"/>
        <v>1.8645380875202594E-2</v>
      </c>
      <c r="M117" s="264">
        <f t="shared" si="28"/>
        <v>1.7417423014586712E-2</v>
      </c>
      <c r="N117" s="88">
        <f t="shared" si="29"/>
        <v>1.8031401944894651E-2</v>
      </c>
      <c r="O117" s="88">
        <f>'Growth curves UTEX #1926'!G61</f>
        <v>2.4079999999999999</v>
      </c>
      <c r="P117" s="88">
        <f t="shared" si="30"/>
        <v>3.0331168000000002</v>
      </c>
      <c r="Q117" s="89">
        <f>P117*0.1/1000</f>
        <v>3.0331168E-4</v>
      </c>
      <c r="R117" s="90">
        <f t="shared" si="31"/>
        <v>29.724212969468653</v>
      </c>
      <c r="S117" s="91"/>
      <c r="V117" s="92">
        <f t="shared" si="32"/>
        <v>90.157009724473255</v>
      </c>
      <c r="W117" s="108"/>
      <c r="X117" s="92"/>
      <c r="Y117" s="92"/>
      <c r="Z117" s="92">
        <f>(V117-$V$96)/(D116-$D$95)</f>
        <v>0.31680825693961268</v>
      </c>
      <c r="AA117" s="108"/>
      <c r="AB117" s="115"/>
    </row>
    <row r="118" spans="2:34" ht="15" customHeight="1" x14ac:dyDescent="0.2">
      <c r="B118" s="208"/>
      <c r="C118" s="209"/>
      <c r="D118" s="210"/>
      <c r="E118" s="95" t="s">
        <v>96</v>
      </c>
      <c r="F118" s="204"/>
      <c r="G118" s="207"/>
      <c r="H118" s="96">
        <f>0.2766-F116</f>
        <v>0.2273</v>
      </c>
      <c r="I118" s="98">
        <f>0.2701-F116</f>
        <v>0.2208</v>
      </c>
      <c r="J118" s="98">
        <f>0.1956-G116</f>
        <v>0.1472</v>
      </c>
      <c r="K118" s="98">
        <f>0.189-G116</f>
        <v>0.1406</v>
      </c>
      <c r="L118" s="264">
        <f t="shared" si="27"/>
        <v>2.2405834683954622E-2</v>
      </c>
      <c r="M118" s="264">
        <f t="shared" si="28"/>
        <v>2.1999513776337114E-2</v>
      </c>
      <c r="N118" s="98">
        <f t="shared" si="29"/>
        <v>2.2202674230145866E-2</v>
      </c>
      <c r="O118" s="98">
        <f>'Growth curves UTEX #1926'!H61</f>
        <v>2.3119999999999998</v>
      </c>
      <c r="P118" s="98">
        <f t="shared" si="30"/>
        <v>2.9121951999999998</v>
      </c>
      <c r="Q118" s="99">
        <f>P118*0.1/1000</f>
        <v>2.9121951999999999E-4</v>
      </c>
      <c r="R118" s="100">
        <f t="shared" si="31"/>
        <v>38.120168301468709</v>
      </c>
      <c r="S118" s="101">
        <f>AVERAGE(R116:R118)</f>
        <v>34.977201812475549</v>
      </c>
      <c r="T118" s="102">
        <f>STDEV(R116:R118)</f>
        <v>4.578445395007293</v>
      </c>
      <c r="U118" s="102">
        <f>T118/SQRT(3)</f>
        <v>2.6433666812774632</v>
      </c>
      <c r="V118" s="102">
        <f t="shared" si="32"/>
        <v>111.01337115072931</v>
      </c>
      <c r="W118" s="101">
        <f t="shared" si="33"/>
        <v>101.81280388978929</v>
      </c>
      <c r="X118" s="102">
        <f t="shared" si="34"/>
        <v>10.642746701375275</v>
      </c>
      <c r="Y118" s="102">
        <f t="shared" si="35"/>
        <v>6.1445926729560174</v>
      </c>
      <c r="Z118" s="102">
        <f>(V118-$V$97)/(D116-$D$95)</f>
        <v>0.39699764783063557</v>
      </c>
      <c r="AA118" s="101">
        <f t="shared" si="37"/>
        <v>0.36087970013660708</v>
      </c>
      <c r="AB118" s="109">
        <f t="shared" si="38"/>
        <v>2.3487785271676075E-2</v>
      </c>
    </row>
    <row r="119" spans="2:34" x14ac:dyDescent="0.2">
      <c r="B119" s="193" t="s">
        <v>32</v>
      </c>
      <c r="C119" s="196">
        <v>0.55902777777777779</v>
      </c>
      <c r="D119" s="199">
        <v>312.08333333333331</v>
      </c>
      <c r="E119" s="85" t="s">
        <v>94</v>
      </c>
      <c r="F119" s="202">
        <f>(0.0534+0.0426)/2</f>
        <v>4.8000000000000001E-2</v>
      </c>
      <c r="G119" s="205">
        <f>(0.0518+0.0414)/2</f>
        <v>4.6600000000000003E-2</v>
      </c>
      <c r="H119" s="106">
        <f>0.2555-F119</f>
        <v>0.20750000000000002</v>
      </c>
      <c r="I119" s="110">
        <f>0.2351-F119</f>
        <v>0.18709999999999999</v>
      </c>
      <c r="J119" s="110">
        <f>0.1768-G119</f>
        <v>0.13020000000000001</v>
      </c>
      <c r="K119" s="110">
        <f>0.1478-G119</f>
        <v>0.10119999999999998</v>
      </c>
      <c r="L119" s="264">
        <f t="shared" si="27"/>
        <v>2.0863695299837927E-2</v>
      </c>
      <c r="M119" s="264">
        <f t="shared" si="28"/>
        <v>2.0400972447325767E-2</v>
      </c>
      <c r="N119" s="88">
        <f t="shared" si="29"/>
        <v>2.0632333873581848E-2</v>
      </c>
      <c r="O119" s="88">
        <f>'Growth curves UTEX #1926'!F62</f>
        <v>2.536</v>
      </c>
      <c r="P119" s="88">
        <f t="shared" si="30"/>
        <v>3.1943456000000001</v>
      </c>
      <c r="Q119" s="111">
        <f t="shared" ref="Q119:Q124" si="40">P119*0.075/1000</f>
        <v>2.3957591999999999E-4</v>
      </c>
      <c r="R119" s="90">
        <f t="shared" si="31"/>
        <v>43.06011612849457</v>
      </c>
      <c r="S119" s="91"/>
      <c r="V119" s="92">
        <f t="shared" si="32"/>
        <v>137.54889249054568</v>
      </c>
      <c r="W119" s="108"/>
      <c r="X119" s="92"/>
      <c r="Y119" s="92"/>
      <c r="Z119" s="92">
        <f t="shared" si="36"/>
        <v>0.45347024010657455</v>
      </c>
      <c r="AA119" s="108"/>
      <c r="AB119" s="115"/>
    </row>
    <row r="120" spans="2:34" ht="15" customHeight="1" x14ac:dyDescent="0.2">
      <c r="B120" s="194"/>
      <c r="C120" s="197"/>
      <c r="D120" s="200"/>
      <c r="E120" s="85" t="s">
        <v>95</v>
      </c>
      <c r="F120" s="203"/>
      <c r="G120" s="206"/>
      <c r="H120" s="86">
        <f>0.1824-F119</f>
        <v>0.13440000000000002</v>
      </c>
      <c r="I120" s="88">
        <f>0.1806-F119</f>
        <v>0.1326</v>
      </c>
      <c r="J120" s="88">
        <f>0.1205-G119</f>
        <v>7.3899999999999993E-2</v>
      </c>
      <c r="K120" s="88">
        <f>0.1205-G119</f>
        <v>7.3899999999999993E-2</v>
      </c>
      <c r="L120" s="264">
        <f t="shared" si="27"/>
        <v>1.4536547811993523E-2</v>
      </c>
      <c r="M120" s="264">
        <f t="shared" si="28"/>
        <v>1.4244813614262563E-2</v>
      </c>
      <c r="N120" s="88">
        <f t="shared" si="29"/>
        <v>1.4390680713128042E-2</v>
      </c>
      <c r="O120" s="88">
        <f>'Growth curves UTEX #1926'!G62</f>
        <v>2.488</v>
      </c>
      <c r="P120" s="88">
        <f t="shared" si="30"/>
        <v>3.1338848000000001</v>
      </c>
      <c r="Q120" s="89">
        <f t="shared" si="40"/>
        <v>2.3504136000000001E-4</v>
      </c>
      <c r="R120" s="90">
        <f t="shared" si="31"/>
        <v>30.613081700020885</v>
      </c>
      <c r="S120" s="91"/>
      <c r="V120" s="92">
        <f t="shared" si="32"/>
        <v>95.937871420853611</v>
      </c>
      <c r="W120" s="108"/>
      <c r="X120" s="92"/>
      <c r="Y120" s="92"/>
      <c r="Z120" s="92">
        <f>(V120-$V$96)/(D119-$D$95)</f>
        <v>0.31061295374147019</v>
      </c>
      <c r="AA120" s="108"/>
      <c r="AB120" s="115"/>
    </row>
    <row r="121" spans="2:34" ht="15" customHeight="1" x14ac:dyDescent="0.2">
      <c r="B121" s="208"/>
      <c r="C121" s="209"/>
      <c r="D121" s="210"/>
      <c r="E121" s="95" t="s">
        <v>96</v>
      </c>
      <c r="F121" s="204"/>
      <c r="G121" s="207"/>
      <c r="H121" s="86">
        <f>0.1795-F119</f>
        <v>0.13150000000000001</v>
      </c>
      <c r="I121" s="88">
        <f>0.1849-F119</f>
        <v>0.13690000000000002</v>
      </c>
      <c r="J121" s="88">
        <f>0.1183-G119</f>
        <v>7.17E-2</v>
      </c>
      <c r="K121" s="88">
        <f>0.1218-G119</f>
        <v>7.5200000000000003E-2</v>
      </c>
      <c r="L121" s="264">
        <f t="shared" si="27"/>
        <v>1.4282252836304701E-2</v>
      </c>
      <c r="M121" s="264">
        <f t="shared" si="28"/>
        <v>1.481426256077796E-2</v>
      </c>
      <c r="N121" s="98">
        <f t="shared" si="29"/>
        <v>1.4548257698541331E-2</v>
      </c>
      <c r="O121" s="98">
        <f>'Growth curves UTEX #1926'!H62</f>
        <v>2.4</v>
      </c>
      <c r="P121" s="98">
        <f t="shared" si="30"/>
        <v>3.0230399999999999</v>
      </c>
      <c r="Q121" s="99">
        <f t="shared" si="40"/>
        <v>2.2672799999999999E-4</v>
      </c>
      <c r="R121" s="100">
        <f t="shared" si="31"/>
        <v>32.083063623684176</v>
      </c>
      <c r="S121" s="101">
        <f>AVERAGE(R119:R121)</f>
        <v>35.25208715073321</v>
      </c>
      <c r="T121" s="102">
        <f>STDEV(R119:R121)</f>
        <v>6.801779113007516</v>
      </c>
      <c r="U121" s="102">
        <f>T121/SQRT(3)</f>
        <v>3.9270090018632637</v>
      </c>
      <c r="V121" s="102">
        <f t="shared" si="32"/>
        <v>96.988384656942202</v>
      </c>
      <c r="W121" s="101">
        <f t="shared" si="33"/>
        <v>110.15838285611385</v>
      </c>
      <c r="X121" s="102">
        <f t="shared" si="34"/>
        <v>23.726691889941694</v>
      </c>
      <c r="Y121" s="102">
        <f t="shared" si="35"/>
        <v>13.698611949637149</v>
      </c>
      <c r="Z121" s="102">
        <f>(V121-$V$97)/(D119-$D$95)</f>
        <v>0.31565575342240465</v>
      </c>
      <c r="AA121" s="101">
        <f t="shared" si="37"/>
        <v>0.35991298242348319</v>
      </c>
      <c r="AB121" s="109">
        <f t="shared" si="38"/>
        <v>4.6801274220690373E-2</v>
      </c>
    </row>
    <row r="122" spans="2:34" x14ac:dyDescent="0.2">
      <c r="B122" s="193" t="s">
        <v>34</v>
      </c>
      <c r="C122" s="196">
        <v>0.55902777777777779</v>
      </c>
      <c r="D122" s="199">
        <v>336.08333333333331</v>
      </c>
      <c r="E122" s="85" t="s">
        <v>94</v>
      </c>
      <c r="F122" s="202">
        <f>(0.0523+0.0363+0.0414)/3</f>
        <v>4.3333333333333335E-2</v>
      </c>
      <c r="G122" s="205">
        <f>(0.0511+0.0355+0.0401)/3</f>
        <v>4.2233333333333324E-2</v>
      </c>
      <c r="H122" s="86">
        <f>0.287-F122</f>
        <v>0.24366666666666664</v>
      </c>
      <c r="I122" s="88">
        <f>0.2675-F122</f>
        <v>0.22416666666666668</v>
      </c>
      <c r="J122" s="88">
        <f>0.183-G122</f>
        <v>0.14076666666666668</v>
      </c>
      <c r="K122" s="88">
        <f>0.1713-G122</f>
        <v>0.12906666666666669</v>
      </c>
      <c r="L122" s="264">
        <f t="shared" si="27"/>
        <v>2.5689276066990813E-2</v>
      </c>
      <c r="M122" s="264">
        <f t="shared" si="28"/>
        <v>2.3676066990815776E-2</v>
      </c>
      <c r="N122" s="88">
        <f t="shared" si="29"/>
        <v>2.4682671528903292E-2</v>
      </c>
      <c r="O122" s="88">
        <f>'Growth curves UTEX #1926'!F63</f>
        <v>2.7959999999999998</v>
      </c>
      <c r="P122" s="88">
        <f t="shared" si="30"/>
        <v>3.5218416000000001</v>
      </c>
      <c r="Q122" s="111">
        <f t="shared" si="40"/>
        <v>2.6413811999999998E-4</v>
      </c>
      <c r="R122" s="90">
        <f t="shared" si="31"/>
        <v>46.723039311598214</v>
      </c>
      <c r="S122" s="91"/>
      <c r="V122" s="92">
        <f t="shared" si="32"/>
        <v>164.55114352602195</v>
      </c>
      <c r="W122" s="108"/>
      <c r="X122" s="92"/>
      <c r="Y122" s="92"/>
      <c r="Z122" s="92">
        <f t="shared" si="36"/>
        <v>0.50495756529690194</v>
      </c>
      <c r="AA122" s="108"/>
      <c r="AB122" s="115"/>
    </row>
    <row r="123" spans="2:34" ht="15" customHeight="1" x14ac:dyDescent="0.2">
      <c r="B123" s="194"/>
      <c r="C123" s="197"/>
      <c r="D123" s="200"/>
      <c r="E123" s="85" t="s">
        <v>95</v>
      </c>
      <c r="F123" s="203"/>
      <c r="G123" s="206"/>
      <c r="H123" s="86">
        <f>0.2557-F122</f>
        <v>0.21236666666666665</v>
      </c>
      <c r="I123" s="88">
        <f>0.259-F122</f>
        <v>0.21566666666666667</v>
      </c>
      <c r="J123" s="88">
        <f>0.1709-G122</f>
        <v>0.12866666666666668</v>
      </c>
      <c r="K123" s="88">
        <f>0.1792-G122</f>
        <v>0.13696666666666668</v>
      </c>
      <c r="L123" s="264">
        <f t="shared" si="27"/>
        <v>2.1802809292274447E-2</v>
      </c>
      <c r="M123" s="264">
        <f t="shared" si="28"/>
        <v>2.1523797947055646E-2</v>
      </c>
      <c r="N123" s="88">
        <f t="shared" si="29"/>
        <v>2.1663303619665047E-2</v>
      </c>
      <c r="O123" s="88">
        <f>'Growth curves UTEX #1926'!G63</f>
        <v>2.6360000000000001</v>
      </c>
      <c r="P123" s="88">
        <f t="shared" si="30"/>
        <v>3.3203056000000002</v>
      </c>
      <c r="Q123" s="89">
        <f t="shared" si="40"/>
        <v>2.4902292000000001E-4</v>
      </c>
      <c r="R123" s="90">
        <f t="shared" si="31"/>
        <v>43.496605894078037</v>
      </c>
      <c r="S123" s="91"/>
      <c r="V123" s="92">
        <f t="shared" si="32"/>
        <v>144.42202413110033</v>
      </c>
      <c r="W123" s="108"/>
      <c r="X123" s="92"/>
      <c r="Y123" s="92"/>
      <c r="Z123" s="92">
        <f>(V123-$V$96)/(D122-$D$95)</f>
        <v>0.44166951832979462</v>
      </c>
      <c r="AA123" s="108"/>
      <c r="AB123" s="115"/>
    </row>
    <row r="124" spans="2:34" ht="15" customHeight="1" x14ac:dyDescent="0.2">
      <c r="B124" s="208"/>
      <c r="C124" s="209"/>
      <c r="D124" s="210"/>
      <c r="E124" s="95" t="s">
        <v>96</v>
      </c>
      <c r="F124" s="204"/>
      <c r="G124" s="207"/>
      <c r="H124" s="96">
        <f>0.2703-F122</f>
        <v>0.22696666666666665</v>
      </c>
      <c r="I124" s="98">
        <f>0.279-F122</f>
        <v>0.23566666666666669</v>
      </c>
      <c r="J124" s="98">
        <f>0.1813-G122</f>
        <v>0.13906666666666667</v>
      </c>
      <c r="K124" s="98">
        <f>0.1847-G122</f>
        <v>0.14246666666666669</v>
      </c>
      <c r="L124" s="264">
        <f t="shared" si="27"/>
        <v>2.3149324689357102E-2</v>
      </c>
      <c r="M124" s="264">
        <f t="shared" si="28"/>
        <v>2.4225985953538632E-2</v>
      </c>
      <c r="N124" s="98">
        <f t="shared" si="29"/>
        <v>2.3687655321447867E-2</v>
      </c>
      <c r="O124" s="98">
        <f>'Growth curves UTEX #1926'!H63</f>
        <v>2.7160000000000002</v>
      </c>
      <c r="P124" s="98">
        <f t="shared" si="30"/>
        <v>3.4210736000000006</v>
      </c>
      <c r="Q124" s="99">
        <f t="shared" si="40"/>
        <v>2.5658052000000005E-4</v>
      </c>
      <c r="R124" s="100">
        <f t="shared" si="31"/>
        <v>46.16027616096472</v>
      </c>
      <c r="S124" s="101">
        <f>AVERAGE(R122:R124)</f>
        <v>45.459973788880319</v>
      </c>
      <c r="T124" s="102">
        <f>STDEV(R122:R124)</f>
        <v>1.7234516844643502</v>
      </c>
      <c r="U124" s="102">
        <f>T124/SQRT(3)</f>
        <v>0.99503529396080659</v>
      </c>
      <c r="V124" s="102">
        <f t="shared" si="32"/>
        <v>157.91770214298577</v>
      </c>
      <c r="W124" s="101">
        <f t="shared" si="33"/>
        <v>155.63028993336937</v>
      </c>
      <c r="X124" s="102">
        <f t="shared" si="34"/>
        <v>10.257658254508147</v>
      </c>
      <c r="Y124" s="102">
        <f t="shared" si="35"/>
        <v>5.9222617544954659</v>
      </c>
      <c r="Z124" s="102">
        <f>(V124-$V$97)/(D122-$D$95)</f>
        <v>0.48607817485736798</v>
      </c>
      <c r="AA124" s="101">
        <f t="shared" si="37"/>
        <v>0.47756841949468815</v>
      </c>
      <c r="AB124" s="109">
        <f t="shared" si="38"/>
        <v>1.8758608463646666E-2</v>
      </c>
    </row>
    <row r="125" spans="2:34" x14ac:dyDescent="0.2">
      <c r="B125" s="193" t="s">
        <v>35</v>
      </c>
      <c r="C125" s="196">
        <v>0.55902777777777779</v>
      </c>
      <c r="D125" s="199">
        <v>360.08333333333331</v>
      </c>
      <c r="E125" s="85" t="s">
        <v>94</v>
      </c>
      <c r="F125" s="202">
        <f>(0.0531+0.05)/2</f>
        <v>5.1549999999999999E-2</v>
      </c>
      <c r="G125" s="205">
        <f>(0.0524+0.0491)/2</f>
        <v>5.0750000000000003E-2</v>
      </c>
      <c r="H125" s="86">
        <f>0.3112-F125</f>
        <v>0.25964999999999999</v>
      </c>
      <c r="I125" s="88">
        <f>0.2937-F125</f>
        <v>0.24215000000000003</v>
      </c>
      <c r="J125" s="88">
        <f>0.2321-G125</f>
        <v>0.18135000000000001</v>
      </c>
      <c r="K125" s="88">
        <f>0.2183-G125</f>
        <v>0.16754999999999998</v>
      </c>
      <c r="L125" s="264">
        <f t="shared" si="27"/>
        <v>2.4300364667747161E-2</v>
      </c>
      <c r="M125" s="264">
        <f t="shared" si="28"/>
        <v>2.281722042139385E-2</v>
      </c>
      <c r="N125" s="88">
        <f t="shared" si="29"/>
        <v>2.3558792544570505E-2</v>
      </c>
      <c r="O125" s="88">
        <f>'Growth curves UTEX #1926'!F64</f>
        <v>2.94</v>
      </c>
      <c r="P125" s="88">
        <f t="shared" si="30"/>
        <v>3.7032240000000001</v>
      </c>
      <c r="Q125" s="111">
        <f t="shared" ref="Q125:Q127" si="41">P125*0.075/1000</f>
        <v>2.7774179999999997E-4</v>
      </c>
      <c r="R125" s="90">
        <f t="shared" si="31"/>
        <v>42.411319694353729</v>
      </c>
      <c r="S125" s="91"/>
      <c r="V125" s="92">
        <f t="shared" si="32"/>
        <v>157.05861696380339</v>
      </c>
      <c r="W125" s="108"/>
      <c r="X125" s="92"/>
      <c r="Y125" s="92"/>
      <c r="Z125" s="92">
        <f t="shared" si="36"/>
        <v>0.44677468912202789</v>
      </c>
      <c r="AA125" s="108"/>
      <c r="AB125" s="115"/>
    </row>
    <row r="126" spans="2:34" ht="15" customHeight="1" x14ac:dyDescent="0.2">
      <c r="B126" s="194"/>
      <c r="C126" s="197"/>
      <c r="D126" s="200"/>
      <c r="E126" s="85" t="s">
        <v>95</v>
      </c>
      <c r="F126" s="203"/>
      <c r="G126" s="206"/>
      <c r="H126" s="86">
        <f>0.3113-F125</f>
        <v>0.25975000000000004</v>
      </c>
      <c r="I126" s="88">
        <f>0.2811-F125</f>
        <v>0.22955000000000003</v>
      </c>
      <c r="J126" s="88">
        <f>0.22-G125</f>
        <v>0.16925000000000001</v>
      </c>
      <c r="K126" s="88">
        <f>0.1962-G125</f>
        <v>0.14545000000000002</v>
      </c>
      <c r="L126" s="264">
        <f t="shared" si="27"/>
        <v>2.5503038897893033E-2</v>
      </c>
      <c r="M126" s="264">
        <f t="shared" si="28"/>
        <v>2.2942098865478121E-2</v>
      </c>
      <c r="N126" s="88">
        <f t="shared" si="29"/>
        <v>2.4222568881685579E-2</v>
      </c>
      <c r="O126" s="88">
        <f>'Growth curves UTEX #1926'!G64</f>
        <v>2.7719999999999998</v>
      </c>
      <c r="P126" s="88">
        <f t="shared" si="30"/>
        <v>3.4916111999999999</v>
      </c>
      <c r="Q126" s="89">
        <f t="shared" si="41"/>
        <v>2.6187083999999999E-4</v>
      </c>
      <c r="R126" s="90">
        <f t="shared" si="31"/>
        <v>46.249076227207233</v>
      </c>
      <c r="S126" s="91"/>
      <c r="V126" s="92">
        <f t="shared" si="32"/>
        <v>161.48379254457052</v>
      </c>
      <c r="W126" s="108"/>
      <c r="X126" s="92"/>
      <c r="Y126" s="92"/>
      <c r="Z126" s="92">
        <f>(V126-$V$96)/(D125-$D$95)</f>
        <v>0.46083990986526274</v>
      </c>
      <c r="AA126" s="108"/>
      <c r="AB126" s="115"/>
    </row>
    <row r="127" spans="2:34" ht="15" customHeight="1" x14ac:dyDescent="0.2">
      <c r="B127" s="208"/>
      <c r="C127" s="209"/>
      <c r="D127" s="210"/>
      <c r="E127" s="95" t="s">
        <v>96</v>
      </c>
      <c r="F127" s="204"/>
      <c r="G127" s="207"/>
      <c r="H127" s="96">
        <f>0.2313-F125</f>
        <v>0.17975000000000002</v>
      </c>
      <c r="I127" s="98">
        <f>0.2423-F125</f>
        <v>0.19074999999999998</v>
      </c>
      <c r="J127" s="98">
        <f>0.1514-G125</f>
        <v>0.10065</v>
      </c>
      <c r="K127" s="98">
        <f>0.158-G125</f>
        <v>0.10725</v>
      </c>
      <c r="L127" s="264">
        <f t="shared" si="27"/>
        <v>1.9263654781199353E-2</v>
      </c>
      <c r="M127" s="264">
        <f t="shared" si="28"/>
        <v>2.0399311183144246E-2</v>
      </c>
      <c r="N127" s="98">
        <f t="shared" si="29"/>
        <v>1.98314829821718E-2</v>
      </c>
      <c r="O127" s="98">
        <f>'Growth curves UTEX #1926'!H64</f>
        <v>2.8039999999999998</v>
      </c>
      <c r="P127" s="98">
        <f t="shared" si="30"/>
        <v>3.5319183999999999</v>
      </c>
      <c r="Q127" s="99">
        <f t="shared" si="41"/>
        <v>2.6489387999999999E-4</v>
      </c>
      <c r="R127" s="100">
        <f t="shared" si="31"/>
        <v>37.43288252294051</v>
      </c>
      <c r="S127" s="101">
        <f>AVERAGE(R125:R127)</f>
        <v>42.031092814833819</v>
      </c>
      <c r="T127" s="102">
        <f>STDEV(R125:R127)</f>
        <v>4.4203786283213491</v>
      </c>
      <c r="U127" s="102">
        <f>T127/SQRT(3)</f>
        <v>2.5521067909813997</v>
      </c>
      <c r="V127" s="102">
        <f t="shared" si="32"/>
        <v>132.209886547812</v>
      </c>
      <c r="W127" s="101">
        <f t="shared" si="33"/>
        <v>150.25076535206196</v>
      </c>
      <c r="X127" s="102">
        <f t="shared" si="34"/>
        <v>15.779750497152392</v>
      </c>
      <c r="Y127" s="102">
        <f t="shared" si="35"/>
        <v>9.1104431972760658</v>
      </c>
      <c r="Z127" s="102">
        <f>(V127-$V$97)/(D125-$D$95)</f>
        <v>0.375198946835956</v>
      </c>
      <c r="AA127" s="101">
        <f t="shared" si="37"/>
        <v>0.42760451527441551</v>
      </c>
      <c r="AB127" s="109">
        <f t="shared" si="38"/>
        <v>2.6515500568268433E-2</v>
      </c>
    </row>
    <row r="128" spans="2:34" x14ac:dyDescent="0.2">
      <c r="B128" s="193" t="s">
        <v>36</v>
      </c>
      <c r="C128" s="196">
        <v>0.55902777777777779</v>
      </c>
      <c r="D128" s="199">
        <v>384.08333333333331</v>
      </c>
      <c r="E128" s="85" t="s">
        <v>94</v>
      </c>
      <c r="F128" s="202">
        <f>(0.0536+0.0321+0.0389)/3</f>
        <v>4.1533333333333332E-2</v>
      </c>
      <c r="G128" s="205">
        <f>(0.0523+0.0316+0.0377)/3</f>
        <v>4.0533333333333331E-2</v>
      </c>
      <c r="H128" s="86">
        <f>0.1408-F128</f>
        <v>9.926666666666667E-2</v>
      </c>
      <c r="I128" s="88">
        <f>0.1397-F128</f>
        <v>9.8166666666666652E-2</v>
      </c>
      <c r="J128" s="88">
        <f>0.0973-G128</f>
        <v>5.6766666666666667E-2</v>
      </c>
      <c r="K128" s="88">
        <f>0.097-G128</f>
        <v>5.6466666666666672E-2</v>
      </c>
      <c r="L128" s="264">
        <f t="shared" si="27"/>
        <v>1.0522339276066993E-2</v>
      </c>
      <c r="M128" s="264">
        <f t="shared" si="28"/>
        <v>1.0373473797947053E-2</v>
      </c>
      <c r="N128" s="88">
        <f t="shared" si="29"/>
        <v>1.0447906537007022E-2</v>
      </c>
      <c r="O128" s="88">
        <f>'Growth curves UTEX #1926'!F65</f>
        <v>3.1960000000000002</v>
      </c>
      <c r="P128" s="88">
        <f t="shared" si="30"/>
        <v>4.0256816000000004</v>
      </c>
      <c r="Q128" s="111">
        <f t="shared" ref="Q128:Q136" si="42">P128*0.075/1000</f>
        <v>3.0192612E-4</v>
      </c>
      <c r="R128" s="90">
        <f t="shared" si="31"/>
        <v>17.302091215240043</v>
      </c>
      <c r="S128" s="91"/>
      <c r="V128" s="92">
        <f t="shared" si="32"/>
        <v>69.652710246713497</v>
      </c>
      <c r="W128" s="108"/>
      <c r="X128" s="92"/>
      <c r="Y128" s="92"/>
      <c r="Z128" s="92">
        <f t="shared" si="36"/>
        <v>0.17500078054738269</v>
      </c>
      <c r="AA128" s="108"/>
      <c r="AB128" s="115"/>
    </row>
    <row r="129" spans="1:28" ht="15" customHeight="1" x14ac:dyDescent="0.2">
      <c r="B129" s="194"/>
      <c r="C129" s="197"/>
      <c r="D129" s="200"/>
      <c r="E129" s="85" t="s">
        <v>95</v>
      </c>
      <c r="F129" s="203"/>
      <c r="G129" s="206"/>
      <c r="H129" s="86">
        <f>0.1657-F128</f>
        <v>0.12416666666666665</v>
      </c>
      <c r="I129" s="88">
        <f>0.1621-F128</f>
        <v>0.12056666666666666</v>
      </c>
      <c r="J129" s="88">
        <f>0.1164-G128</f>
        <v>7.5866666666666666E-2</v>
      </c>
      <c r="K129" s="88">
        <f>0.1144-G128</f>
        <v>7.3866666666666664E-2</v>
      </c>
      <c r="L129" s="264">
        <f t="shared" si="27"/>
        <v>1.2685143165856292E-2</v>
      </c>
      <c r="M129" s="264">
        <f t="shared" si="28"/>
        <v>1.2297784981091301E-2</v>
      </c>
      <c r="N129" s="88">
        <f t="shared" si="29"/>
        <v>1.2491464073473797E-2</v>
      </c>
      <c r="O129" s="88">
        <f>'Growth curves UTEX #1926'!G65</f>
        <v>2.8119999999999998</v>
      </c>
      <c r="P129" s="88">
        <f t="shared" si="30"/>
        <v>3.5419952000000001</v>
      </c>
      <c r="Q129" s="89">
        <f t="shared" si="42"/>
        <v>2.6564964000000001E-4</v>
      </c>
      <c r="R129" s="90">
        <f t="shared" si="31"/>
        <v>23.511163187485963</v>
      </c>
      <c r="S129" s="91"/>
      <c r="V129" s="92">
        <f t="shared" si="32"/>
        <v>83.276427156491977</v>
      </c>
      <c r="W129" s="108"/>
      <c r="X129" s="92"/>
      <c r="Y129" s="92"/>
      <c r="Z129" s="92">
        <f>(V129-$V$96)/(D128-$D$95)</f>
        <v>0.21360710920561121</v>
      </c>
      <c r="AA129" s="108"/>
      <c r="AB129" s="115"/>
    </row>
    <row r="130" spans="1:28" ht="15" customHeight="1" x14ac:dyDescent="0.2">
      <c r="B130" s="208"/>
      <c r="C130" s="209"/>
      <c r="D130" s="210"/>
      <c r="E130" s="95" t="s">
        <v>96</v>
      </c>
      <c r="F130" s="204"/>
      <c r="G130" s="207"/>
      <c r="H130" s="96">
        <f>0.1429-F128</f>
        <v>0.10136666666666666</v>
      </c>
      <c r="I130" s="98">
        <f>0.1474-F128</f>
        <v>0.10586666666666666</v>
      </c>
      <c r="J130" s="98">
        <f>0.1002-G128</f>
        <v>5.9666666666666666E-2</v>
      </c>
      <c r="K130" s="98">
        <f>0.1027-G128</f>
        <v>6.2166666666666669E-2</v>
      </c>
      <c r="L130" s="264">
        <f t="shared" si="27"/>
        <v>1.0578336034575905E-2</v>
      </c>
      <c r="M130" s="264">
        <f t="shared" si="28"/>
        <v>1.1062533765532142E-2</v>
      </c>
      <c r="N130" s="98">
        <f t="shared" si="29"/>
        <v>1.0820434900054025E-2</v>
      </c>
      <c r="O130" s="98">
        <f>'Growth curves UTEX #1926'!H65</f>
        <v>2.948</v>
      </c>
      <c r="P130" s="98">
        <f t="shared" si="30"/>
        <v>3.7133008000000003</v>
      </c>
      <c r="Q130" s="99">
        <f t="shared" si="42"/>
        <v>2.7849756000000004E-4</v>
      </c>
      <c r="R130" s="100">
        <f t="shared" si="31"/>
        <v>19.42644470575258</v>
      </c>
      <c r="S130" s="101">
        <f>AVERAGE(R128:R130)</f>
        <v>20.079899702826193</v>
      </c>
      <c r="T130" s="102">
        <f>STDEV(R128:R130)</f>
        <v>3.1556926757897226</v>
      </c>
      <c r="U130" s="102">
        <f>T130/SQRT(3)</f>
        <v>1.8219400158469268</v>
      </c>
      <c r="V130" s="102">
        <f t="shared" si="32"/>
        <v>72.136232667026832</v>
      </c>
      <c r="W130" s="101">
        <f t="shared" si="33"/>
        <v>75.021790023410759</v>
      </c>
      <c r="X130" s="102">
        <f t="shared" si="34"/>
        <v>7.2557733255788879</v>
      </c>
      <c r="Y130" s="102">
        <f t="shared" si="35"/>
        <v>4.1891226827018775</v>
      </c>
      <c r="Z130" s="102">
        <f>(V130-$V$97)/(D128-$D$95)</f>
        <v>0.18388129006477399</v>
      </c>
      <c r="AA130" s="101">
        <f t="shared" si="37"/>
        <v>0.19082972660592259</v>
      </c>
      <c r="AB130" s="109">
        <f t="shared" si="38"/>
        <v>1.1673655966770743E-2</v>
      </c>
    </row>
    <row r="131" spans="1:28" x14ac:dyDescent="0.2">
      <c r="B131" s="193" t="s">
        <v>37</v>
      </c>
      <c r="C131" s="196">
        <v>0.54583333333333328</v>
      </c>
      <c r="D131" s="199">
        <v>408.08333333333331</v>
      </c>
      <c r="E131" s="85" t="s">
        <v>94</v>
      </c>
      <c r="F131" s="202">
        <f>(0.0517+0.0474)/2</f>
        <v>4.9549999999999997E-2</v>
      </c>
      <c r="G131" s="205">
        <f>(0.0508+0.0471)/2</f>
        <v>4.895E-2</v>
      </c>
      <c r="H131" s="86">
        <f>0.1541-F131</f>
        <v>0.10454999999999999</v>
      </c>
      <c r="I131" s="88">
        <f>0.1502-F131</f>
        <v>0.10065</v>
      </c>
      <c r="J131" s="88">
        <f>0.1053-G131</f>
        <v>5.6350000000000004E-2</v>
      </c>
      <c r="K131" s="88">
        <f>0.1031-G131</f>
        <v>5.4149999999999997E-2</v>
      </c>
      <c r="L131" s="264">
        <f t="shared" si="27"/>
        <v>1.1419489465153969E-2</v>
      </c>
      <c r="M131" s="264">
        <f t="shared" si="28"/>
        <v>1.100311993517018E-2</v>
      </c>
      <c r="N131" s="88">
        <f t="shared" si="29"/>
        <v>1.1211304700162074E-2</v>
      </c>
      <c r="O131" s="88">
        <f>'Growth curves UTEX #1926'!F66</f>
        <v>3.2519999999999998</v>
      </c>
      <c r="P131" s="88">
        <f t="shared" si="30"/>
        <v>4.0962192000000002</v>
      </c>
      <c r="Q131" s="111">
        <f t="shared" si="42"/>
        <v>3.0721644E-4</v>
      </c>
      <c r="R131" s="90">
        <f t="shared" si="31"/>
        <v>18.246589766097923</v>
      </c>
      <c r="S131" s="91"/>
      <c r="V131" s="92">
        <f t="shared" si="32"/>
        <v>74.742031334413824</v>
      </c>
      <c r="W131" s="108"/>
      <c r="X131" s="92"/>
      <c r="Y131" s="92"/>
      <c r="Z131" s="92">
        <f t="shared" si="36"/>
        <v>0.17731025688367894</v>
      </c>
      <c r="AA131" s="108"/>
      <c r="AB131" s="115"/>
    </row>
    <row r="132" spans="1:28" ht="15" customHeight="1" x14ac:dyDescent="0.2">
      <c r="B132" s="194"/>
      <c r="C132" s="197"/>
      <c r="D132" s="200"/>
      <c r="E132" s="85" t="s">
        <v>95</v>
      </c>
      <c r="F132" s="203"/>
      <c r="G132" s="206"/>
      <c r="H132" s="86">
        <f>0.2513-F131</f>
        <v>0.20175000000000004</v>
      </c>
      <c r="I132" s="88">
        <f>0.2551-F131</f>
        <v>0.20555000000000001</v>
      </c>
      <c r="J132" s="88">
        <f>0.1879-G131</f>
        <v>0.13895000000000002</v>
      </c>
      <c r="K132" s="88">
        <f>0.1871-G131</f>
        <v>0.13815</v>
      </c>
      <c r="L132" s="264">
        <f t="shared" si="27"/>
        <v>1.9073784440842793E-2</v>
      </c>
      <c r="M132" s="264">
        <f t="shared" si="28"/>
        <v>1.9768111831442465E-2</v>
      </c>
      <c r="N132" s="88">
        <f t="shared" si="29"/>
        <v>1.9420948136142629E-2</v>
      </c>
      <c r="O132" s="88">
        <f>'Growth curves UTEX #1926'!G66</f>
        <v>2.8839999999999999</v>
      </c>
      <c r="P132" s="88">
        <f t="shared" si="30"/>
        <v>3.6326863999999999</v>
      </c>
      <c r="Q132" s="89">
        <f t="shared" si="42"/>
        <v>2.7245147999999998E-4</v>
      </c>
      <c r="R132" s="90">
        <f t="shared" si="31"/>
        <v>35.641113302344017</v>
      </c>
      <c r="S132" s="91"/>
      <c r="V132" s="92">
        <f t="shared" si="32"/>
        <v>129.47298757428419</v>
      </c>
      <c r="W132" s="108"/>
      <c r="X132" s="92"/>
      <c r="Y132" s="92"/>
      <c r="Z132" s="92">
        <f>(V132-$V$96)/(D131-$D$95)</f>
        <v>0.32026393866420938</v>
      </c>
      <c r="AA132" s="108"/>
      <c r="AB132" s="115"/>
    </row>
    <row r="133" spans="1:28" ht="15" customHeight="1" x14ac:dyDescent="0.2">
      <c r="B133" s="208"/>
      <c r="C133" s="209"/>
      <c r="D133" s="210"/>
      <c r="E133" s="95" t="s">
        <v>96</v>
      </c>
      <c r="F133" s="204"/>
      <c r="G133" s="207"/>
      <c r="H133" s="96">
        <f>0.1585-F131</f>
        <v>0.10895000000000001</v>
      </c>
      <c r="I133" s="98">
        <f>0.1586-F131</f>
        <v>0.10904999999999999</v>
      </c>
      <c r="J133" s="98">
        <f>0.1132-G131</f>
        <v>6.4250000000000002E-2</v>
      </c>
      <c r="K133" s="98">
        <f>0.1129-G131</f>
        <v>6.3950000000000007E-2</v>
      </c>
      <c r="L133" s="264">
        <f t="shared" si="27"/>
        <v>1.1357982171799027E-2</v>
      </c>
      <c r="M133" s="264">
        <f t="shared" si="28"/>
        <v>1.1403606158833061E-2</v>
      </c>
      <c r="N133" s="98">
        <f t="shared" si="29"/>
        <v>1.1380794165316045E-2</v>
      </c>
      <c r="O133" s="98">
        <f>'Growth curves UTEX #1926'!H66</f>
        <v>2.948</v>
      </c>
      <c r="P133" s="98">
        <f t="shared" si="30"/>
        <v>3.7133008000000003</v>
      </c>
      <c r="Q133" s="99">
        <f t="shared" si="42"/>
        <v>2.7849756000000004E-4</v>
      </c>
      <c r="R133" s="100">
        <f t="shared" si="31"/>
        <v>20.432484516769275</v>
      </c>
      <c r="S133" s="101">
        <f>AVERAGE(R131:R133)</f>
        <v>24.773395861737072</v>
      </c>
      <c r="T133" s="102">
        <f>STDEV(R131:R133)</f>
        <v>9.4749667937100028</v>
      </c>
      <c r="U133" s="102">
        <f>T133/SQRT(3)</f>
        <v>5.4703746289112356</v>
      </c>
      <c r="V133" s="102">
        <f t="shared" si="32"/>
        <v>75.871961102106965</v>
      </c>
      <c r="W133" s="101">
        <f t="shared" si="33"/>
        <v>93.362326670268331</v>
      </c>
      <c r="X133" s="102">
        <f t="shared" si="34"/>
        <v>31.277852524007994</v>
      </c>
      <c r="Y133" s="102">
        <f t="shared" si="35"/>
        <v>18.058276574409433</v>
      </c>
      <c r="Z133" s="102">
        <f>(V133-$V$97)/(D131-$D$95)</f>
        <v>0.18212205566430362</v>
      </c>
      <c r="AA133" s="101">
        <f t="shared" si="37"/>
        <v>0.22656541707073063</v>
      </c>
      <c r="AB133" s="109">
        <f t="shared" si="38"/>
        <v>4.6869848387063741E-2</v>
      </c>
    </row>
    <row r="134" spans="1:28" x14ac:dyDescent="0.2">
      <c r="B134" s="193" t="s">
        <v>33</v>
      </c>
      <c r="C134" s="196">
        <v>0.56666666666666665</v>
      </c>
      <c r="D134" s="199">
        <v>432.25</v>
      </c>
      <c r="E134" s="85" t="s">
        <v>94</v>
      </c>
      <c r="F134" s="202">
        <v>4.19E-2</v>
      </c>
      <c r="G134" s="205">
        <v>3.9899999999999998E-2</v>
      </c>
      <c r="H134" s="106">
        <f>0.3044-F134</f>
        <v>0.26250000000000001</v>
      </c>
      <c r="I134" s="110">
        <f>0.2813-F134</f>
        <v>0.2394</v>
      </c>
      <c r="J134" s="110">
        <f>0.1942-G134</f>
        <v>0.15430000000000002</v>
      </c>
      <c r="K134" s="110">
        <f>0.1707-G134</f>
        <v>0.1308</v>
      </c>
      <c r="L134" s="264">
        <f t="shared" si="27"/>
        <v>2.7414667747163696E-2</v>
      </c>
      <c r="M134" s="264">
        <f t="shared" si="28"/>
        <v>2.5975040518638578E-2</v>
      </c>
      <c r="N134" s="88">
        <f t="shared" si="29"/>
        <v>2.6694854132901139E-2</v>
      </c>
      <c r="O134" s="88">
        <f>'Growth curves UTEX #1926'!F67</f>
        <v>3.26</v>
      </c>
      <c r="P134" s="88">
        <f t="shared" si="30"/>
        <v>4.1062959999999995</v>
      </c>
      <c r="Q134" s="111">
        <f t="shared" si="42"/>
        <v>3.0797219999999996E-4</v>
      </c>
      <c r="R134" s="90">
        <f t="shared" si="31"/>
        <v>43.33971399512869</v>
      </c>
      <c r="S134" s="91"/>
      <c r="V134" s="92">
        <f t="shared" si="32"/>
        <v>177.96569421934095</v>
      </c>
      <c r="W134" s="108"/>
      <c r="X134" s="92"/>
      <c r="Y134" s="92"/>
      <c r="Z134" s="92">
        <f t="shared" si="36"/>
        <v>0.41907615655844854</v>
      </c>
      <c r="AA134" s="108"/>
      <c r="AB134" s="115"/>
    </row>
    <row r="135" spans="1:28" ht="15" customHeight="1" x14ac:dyDescent="0.2">
      <c r="B135" s="194"/>
      <c r="C135" s="197"/>
      <c r="D135" s="200"/>
      <c r="E135" s="85" t="s">
        <v>95</v>
      </c>
      <c r="F135" s="203"/>
      <c r="G135" s="206"/>
      <c r="H135" s="86">
        <f>0.276-F134</f>
        <v>0.23410000000000003</v>
      </c>
      <c r="I135" s="88">
        <f>0.2809-F134</f>
        <v>0.23899999999999999</v>
      </c>
      <c r="J135" s="88">
        <f>0.1693-G134</f>
        <v>0.12940000000000002</v>
      </c>
      <c r="K135" s="88">
        <f>0.1706-G134</f>
        <v>0.13070000000000001</v>
      </c>
      <c r="L135" s="264">
        <f t="shared" si="27"/>
        <v>2.5253322528363053E-2</v>
      </c>
      <c r="M135" s="264">
        <f t="shared" si="28"/>
        <v>2.5920016207455425E-2</v>
      </c>
      <c r="N135" s="88">
        <f t="shared" si="29"/>
        <v>2.5586669367909237E-2</v>
      </c>
      <c r="O135" s="88">
        <f>'Growth curves UTEX #1926'!G67</f>
        <v>2.948</v>
      </c>
      <c r="P135" s="88">
        <f t="shared" si="30"/>
        <v>3.7133008000000003</v>
      </c>
      <c r="Q135" s="89">
        <f t="shared" si="42"/>
        <v>2.7849756000000004E-4</v>
      </c>
      <c r="R135" s="90">
        <f t="shared" si="31"/>
        <v>45.936972244764434</v>
      </c>
      <c r="S135" s="91"/>
      <c r="V135" s="92">
        <f t="shared" si="32"/>
        <v>170.57779578606159</v>
      </c>
      <c r="W135" s="108"/>
      <c r="X135" s="92"/>
      <c r="Y135" s="92"/>
      <c r="Z135" s="92">
        <f>(V135-$V$96)/(D134-$D$95)</f>
        <v>0.40179467832550858</v>
      </c>
      <c r="AA135" s="108"/>
      <c r="AB135" s="115"/>
    </row>
    <row r="136" spans="1:28" ht="15" customHeight="1" thickBot="1" x14ac:dyDescent="0.25">
      <c r="A136" s="126"/>
      <c r="B136" s="195"/>
      <c r="C136" s="198"/>
      <c r="D136" s="201"/>
      <c r="E136" s="127" t="s">
        <v>96</v>
      </c>
      <c r="F136" s="223"/>
      <c r="G136" s="224"/>
      <c r="H136" s="118">
        <f>0.3162-F134</f>
        <v>0.27429999999999999</v>
      </c>
      <c r="I136" s="120">
        <f>0.3295-F134</f>
        <v>0.28760000000000002</v>
      </c>
      <c r="J136" s="120">
        <f>0.1967-G134</f>
        <v>0.15680000000000002</v>
      </c>
      <c r="K136" s="120">
        <f>0.2047-G134</f>
        <v>0.1648</v>
      </c>
      <c r="L136" s="120">
        <f t="shared" si="27"/>
        <v>2.9082009724473255E-2</v>
      </c>
      <c r="M136" s="120">
        <f t="shared" si="28"/>
        <v>3.0453160453808754E-2</v>
      </c>
      <c r="N136" s="120">
        <f t="shared" si="29"/>
        <v>2.9767585089141006E-2</v>
      </c>
      <c r="O136" s="120">
        <f>'Growth curves UTEX #1926'!H67</f>
        <v>2.9039999999999999</v>
      </c>
      <c r="P136" s="120">
        <f t="shared" si="30"/>
        <v>3.6578784</v>
      </c>
      <c r="Q136" s="121">
        <f t="shared" si="42"/>
        <v>2.7434087999999999E-4</v>
      </c>
      <c r="R136" s="122">
        <f t="shared" si="31"/>
        <v>54.252915367809948</v>
      </c>
      <c r="S136" s="123">
        <f>AVERAGE(R134:R136)</f>
        <v>47.843200535901019</v>
      </c>
      <c r="T136" s="124">
        <f>STDEV(R134:R136)</f>
        <v>5.7008570209767724</v>
      </c>
      <c r="U136" s="124">
        <f>T136/SQRT(3)</f>
        <v>3.2913913356725075</v>
      </c>
      <c r="V136" s="124">
        <f t="shared" si="32"/>
        <v>198.45056726094006</v>
      </c>
      <c r="W136" s="123">
        <f t="shared" si="33"/>
        <v>182.33135242211418</v>
      </c>
      <c r="X136" s="124">
        <f t="shared" si="34"/>
        <v>14.44012036238898</v>
      </c>
      <c r="Y136" s="124">
        <f t="shared" si="35"/>
        <v>8.3370073783558745</v>
      </c>
      <c r="Z136" s="124">
        <f>(V136-$V$97)/(D134-$D$95)</f>
        <v>0.4708994193857643</v>
      </c>
      <c r="AA136" s="123">
        <f t="shared" si="37"/>
        <v>0.43059008475657379</v>
      </c>
      <c r="AB136" s="125">
        <f t="shared" si="38"/>
        <v>2.0762901340009753E-2</v>
      </c>
    </row>
  </sheetData>
  <mergeCells count="228">
    <mergeCell ref="B17:B19"/>
    <mergeCell ref="C17:C19"/>
    <mergeCell ref="D17:D19"/>
    <mergeCell ref="F17:F19"/>
    <mergeCell ref="G17:G19"/>
    <mergeCell ref="B20:B22"/>
    <mergeCell ref="C20:C22"/>
    <mergeCell ref="G104:G106"/>
    <mergeCell ref="F104:F106"/>
    <mergeCell ref="F101:F103"/>
    <mergeCell ref="G101:G103"/>
    <mergeCell ref="G98:G100"/>
    <mergeCell ref="F98:F100"/>
    <mergeCell ref="G95:G97"/>
    <mergeCell ref="F95:F97"/>
    <mergeCell ref="D95:D97"/>
    <mergeCell ref="D104:D106"/>
    <mergeCell ref="A1:AB1"/>
    <mergeCell ref="B2:AB2"/>
    <mergeCell ref="H3:I3"/>
    <mergeCell ref="J3:K3"/>
    <mergeCell ref="L3:M3"/>
    <mergeCell ref="L4:M4"/>
    <mergeCell ref="D14:D16"/>
    <mergeCell ref="F14:F16"/>
    <mergeCell ref="G14:G16"/>
    <mergeCell ref="AD3:AH3"/>
    <mergeCell ref="G50:G52"/>
    <mergeCell ref="F50:F52"/>
    <mergeCell ref="D50:D52"/>
    <mergeCell ref="C50:C52"/>
    <mergeCell ref="B50:B52"/>
    <mergeCell ref="AD47:AH47"/>
    <mergeCell ref="B5:B7"/>
    <mergeCell ref="C5:C7"/>
    <mergeCell ref="D5:D7"/>
    <mergeCell ref="F5:F7"/>
    <mergeCell ref="G5:G7"/>
    <mergeCell ref="B8:B10"/>
    <mergeCell ref="C8:C10"/>
    <mergeCell ref="D8:D10"/>
    <mergeCell ref="F8:F10"/>
    <mergeCell ref="G8:G10"/>
    <mergeCell ref="B11:B13"/>
    <mergeCell ref="C11:C13"/>
    <mergeCell ref="D11:D13"/>
    <mergeCell ref="F11:F13"/>
    <mergeCell ref="G11:G13"/>
    <mergeCell ref="B14:B16"/>
    <mergeCell ref="C14:C16"/>
    <mergeCell ref="D20:D22"/>
    <mergeCell ref="F20:F22"/>
    <mergeCell ref="G20:G22"/>
    <mergeCell ref="B23:B25"/>
    <mergeCell ref="C23:C25"/>
    <mergeCell ref="D23:D25"/>
    <mergeCell ref="F23:F25"/>
    <mergeCell ref="G23:G25"/>
    <mergeCell ref="B26:B28"/>
    <mergeCell ref="C26:C28"/>
    <mergeCell ref="D26:D28"/>
    <mergeCell ref="F26:F28"/>
    <mergeCell ref="G26:G28"/>
    <mergeCell ref="B29:B31"/>
    <mergeCell ref="C29:C31"/>
    <mergeCell ref="D29:D31"/>
    <mergeCell ref="F29:F31"/>
    <mergeCell ref="G29:G31"/>
    <mergeCell ref="B32:B34"/>
    <mergeCell ref="C32:C34"/>
    <mergeCell ref="D32:D34"/>
    <mergeCell ref="F32:F34"/>
    <mergeCell ref="G32:G34"/>
    <mergeCell ref="B35:B37"/>
    <mergeCell ref="C35:C37"/>
    <mergeCell ref="D35:D37"/>
    <mergeCell ref="F35:F37"/>
    <mergeCell ref="G35:G37"/>
    <mergeCell ref="B38:B40"/>
    <mergeCell ref="C38:C40"/>
    <mergeCell ref="D38:D40"/>
    <mergeCell ref="F38:F40"/>
    <mergeCell ref="G38:G40"/>
    <mergeCell ref="B41:B43"/>
    <mergeCell ref="C41:C43"/>
    <mergeCell ref="D41:D43"/>
    <mergeCell ref="F41:F43"/>
    <mergeCell ref="G41:G43"/>
    <mergeCell ref="B44:B46"/>
    <mergeCell ref="C44:C46"/>
    <mergeCell ref="D44:D46"/>
    <mergeCell ref="F44:F46"/>
    <mergeCell ref="G44:G46"/>
    <mergeCell ref="B47:AB47"/>
    <mergeCell ref="H48:I48"/>
    <mergeCell ref="J48:K48"/>
    <mergeCell ref="L48:M48"/>
    <mergeCell ref="L49:M49"/>
    <mergeCell ref="B53:B55"/>
    <mergeCell ref="C53:C55"/>
    <mergeCell ref="D53:D55"/>
    <mergeCell ref="F53:F55"/>
    <mergeCell ref="G53:G55"/>
    <mergeCell ref="B56:B58"/>
    <mergeCell ref="C56:C58"/>
    <mergeCell ref="D56:D58"/>
    <mergeCell ref="F56:F58"/>
    <mergeCell ref="G56:G58"/>
    <mergeCell ref="B59:B61"/>
    <mergeCell ref="C59:C61"/>
    <mergeCell ref="D59:D61"/>
    <mergeCell ref="F59:F61"/>
    <mergeCell ref="G59:G61"/>
    <mergeCell ref="B62:B64"/>
    <mergeCell ref="C62:C64"/>
    <mergeCell ref="D62:D64"/>
    <mergeCell ref="F62:F64"/>
    <mergeCell ref="G62:G64"/>
    <mergeCell ref="B65:B67"/>
    <mergeCell ref="C65:C67"/>
    <mergeCell ref="D65:D67"/>
    <mergeCell ref="F65:F67"/>
    <mergeCell ref="G65:G67"/>
    <mergeCell ref="B68:B70"/>
    <mergeCell ref="C68:C70"/>
    <mergeCell ref="D68:D70"/>
    <mergeCell ref="F68:F70"/>
    <mergeCell ref="G68:G70"/>
    <mergeCell ref="B71:B73"/>
    <mergeCell ref="C71:C73"/>
    <mergeCell ref="D71:D73"/>
    <mergeCell ref="F71:F73"/>
    <mergeCell ref="G71:G73"/>
    <mergeCell ref="B74:B76"/>
    <mergeCell ref="C74:C76"/>
    <mergeCell ref="D74:D76"/>
    <mergeCell ref="F74:F76"/>
    <mergeCell ref="G74:G76"/>
    <mergeCell ref="B77:B79"/>
    <mergeCell ref="C77:C79"/>
    <mergeCell ref="D77:D79"/>
    <mergeCell ref="F77:F79"/>
    <mergeCell ref="G77:G79"/>
    <mergeCell ref="B80:B82"/>
    <mergeCell ref="C80:C82"/>
    <mergeCell ref="D80:D82"/>
    <mergeCell ref="F80:F82"/>
    <mergeCell ref="G80:G82"/>
    <mergeCell ref="B83:B85"/>
    <mergeCell ref="C83:C85"/>
    <mergeCell ref="D83:D85"/>
    <mergeCell ref="F83:F85"/>
    <mergeCell ref="G83:G85"/>
    <mergeCell ref="B86:B88"/>
    <mergeCell ref="C86:C88"/>
    <mergeCell ref="D86:D88"/>
    <mergeCell ref="F86:F88"/>
    <mergeCell ref="G86:G88"/>
    <mergeCell ref="B89:B91"/>
    <mergeCell ref="C89:C91"/>
    <mergeCell ref="D89:D91"/>
    <mergeCell ref="F89:F91"/>
    <mergeCell ref="G89:G91"/>
    <mergeCell ref="C95:C97"/>
    <mergeCell ref="B95:B97"/>
    <mergeCell ref="B92:AB92"/>
    <mergeCell ref="H93:I93"/>
    <mergeCell ref="J93:K93"/>
    <mergeCell ref="L93:M93"/>
    <mergeCell ref="L94:M94"/>
    <mergeCell ref="B107:B109"/>
    <mergeCell ref="C107:C109"/>
    <mergeCell ref="D107:D109"/>
    <mergeCell ref="F107:F109"/>
    <mergeCell ref="G107:G109"/>
    <mergeCell ref="C104:C106"/>
    <mergeCell ref="B104:B106"/>
    <mergeCell ref="B101:B103"/>
    <mergeCell ref="C101:C103"/>
    <mergeCell ref="D101:D103"/>
    <mergeCell ref="D98:D100"/>
    <mergeCell ref="C98:C100"/>
    <mergeCell ref="B98:B100"/>
    <mergeCell ref="F110:F112"/>
    <mergeCell ref="G110:G112"/>
    <mergeCell ref="B122:B124"/>
    <mergeCell ref="C122:C124"/>
    <mergeCell ref="D122:D124"/>
    <mergeCell ref="F113:F115"/>
    <mergeCell ref="G113:G115"/>
    <mergeCell ref="G119:G121"/>
    <mergeCell ref="F119:F121"/>
    <mergeCell ref="B110:B112"/>
    <mergeCell ref="C110:C112"/>
    <mergeCell ref="D110:D112"/>
    <mergeCell ref="B113:B115"/>
    <mergeCell ref="C113:C115"/>
    <mergeCell ref="D113:D115"/>
    <mergeCell ref="B116:B118"/>
    <mergeCell ref="C116:C118"/>
    <mergeCell ref="D116:D118"/>
    <mergeCell ref="F116:F118"/>
    <mergeCell ref="G116:G118"/>
    <mergeCell ref="B128:B130"/>
    <mergeCell ref="C128:C130"/>
    <mergeCell ref="D128:D130"/>
    <mergeCell ref="B131:B133"/>
    <mergeCell ref="C131:C133"/>
    <mergeCell ref="D131:D133"/>
    <mergeCell ref="F122:F124"/>
    <mergeCell ref="G122:G124"/>
    <mergeCell ref="B119:B121"/>
    <mergeCell ref="C119:C121"/>
    <mergeCell ref="D119:D121"/>
    <mergeCell ref="B134:B136"/>
    <mergeCell ref="C134:C136"/>
    <mergeCell ref="D134:D136"/>
    <mergeCell ref="F125:F127"/>
    <mergeCell ref="G125:G127"/>
    <mergeCell ref="G134:G136"/>
    <mergeCell ref="F134:F136"/>
    <mergeCell ref="F128:F130"/>
    <mergeCell ref="G128:G130"/>
    <mergeCell ref="F131:F133"/>
    <mergeCell ref="G131:G133"/>
    <mergeCell ref="B125:B127"/>
    <mergeCell ref="C125:C127"/>
    <mergeCell ref="D125:D127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CDB85-0354-6449-86E6-44323D12D2CA}">
  <dimension ref="A1:AC604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5" customWidth="1"/>
    <col min="2" max="2" width="10.33203125" style="5" bestFit="1" customWidth="1"/>
    <col min="3" max="10" width="9.1640625" style="5"/>
    <col min="11" max="14" width="9.6640625" style="5" bestFit="1" customWidth="1"/>
    <col min="15" max="15" width="12.1640625" style="5" customWidth="1"/>
    <col min="16" max="16" width="12.5" style="5" bestFit="1" customWidth="1"/>
    <col min="17" max="18" width="13.6640625" style="5" customWidth="1"/>
    <col min="19" max="19" width="14.5" style="5" customWidth="1"/>
    <col min="20" max="21" width="10.5" style="5" bestFit="1" customWidth="1"/>
    <col min="22" max="23" width="9.1640625" style="5"/>
    <col min="24" max="24" width="12.6640625" style="5" customWidth="1"/>
    <col min="25" max="16384" width="9.1640625" style="5"/>
  </cols>
  <sheetData>
    <row r="1" spans="1:29" ht="17" thickBot="1" x14ac:dyDescent="0.2">
      <c r="A1" s="241" t="s">
        <v>99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3"/>
    </row>
    <row r="2" spans="1:29" ht="16" customHeight="1" thickBot="1" x14ac:dyDescent="0.2">
      <c r="A2" s="128"/>
      <c r="B2" s="244" t="s">
        <v>72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6"/>
      <c r="W2" s="247" t="s">
        <v>106</v>
      </c>
      <c r="X2" s="247"/>
      <c r="Y2" s="247"/>
      <c r="Z2" s="247"/>
      <c r="AA2" s="247"/>
    </row>
    <row r="3" spans="1:29" ht="37" customHeight="1" x14ac:dyDescent="0.15">
      <c r="A3" s="40"/>
      <c r="B3" s="129" t="s">
        <v>0</v>
      </c>
      <c r="C3" s="72" t="s">
        <v>1</v>
      </c>
      <c r="D3" s="72" t="s">
        <v>2</v>
      </c>
      <c r="E3" s="130" t="s">
        <v>20</v>
      </c>
      <c r="F3" s="131"/>
      <c r="G3" s="131" t="s">
        <v>21</v>
      </c>
      <c r="H3" s="232" t="s">
        <v>100</v>
      </c>
      <c r="I3" s="233"/>
      <c r="J3" s="233"/>
      <c r="K3" s="234" t="s">
        <v>101</v>
      </c>
      <c r="L3" s="234"/>
      <c r="M3" s="234"/>
      <c r="N3" s="72" t="s">
        <v>23</v>
      </c>
      <c r="O3" s="72" t="s">
        <v>24</v>
      </c>
      <c r="P3" s="72" t="s">
        <v>24</v>
      </c>
      <c r="Q3" s="72" t="s">
        <v>102</v>
      </c>
      <c r="R3" s="130" t="s">
        <v>102</v>
      </c>
      <c r="S3" s="72" t="s">
        <v>103</v>
      </c>
      <c r="T3" s="72" t="s">
        <v>84</v>
      </c>
      <c r="U3" s="132" t="s">
        <v>62</v>
      </c>
      <c r="W3" s="62" t="str">
        <f>D3</f>
        <v>Hours</v>
      </c>
      <c r="X3" s="83" t="str">
        <f>S3</f>
        <v>Average NO3 concentration</v>
      </c>
      <c r="Y3" s="83" t="str">
        <f>U3</f>
        <v>Standard error</v>
      </c>
      <c r="Z3" s="62"/>
      <c r="AA3" s="133"/>
      <c r="AB3" s="133"/>
      <c r="AC3" s="133"/>
    </row>
    <row r="4" spans="1:29" ht="15" customHeight="1" x14ac:dyDescent="0.15">
      <c r="A4" s="40"/>
      <c r="B4" s="134"/>
      <c r="C4" s="135"/>
      <c r="D4" s="136"/>
      <c r="E4" s="136"/>
      <c r="F4" s="137"/>
      <c r="G4" s="137"/>
      <c r="H4" s="253" t="s">
        <v>16</v>
      </c>
      <c r="I4" s="253"/>
      <c r="J4" s="254"/>
      <c r="K4" s="220" t="s">
        <v>25</v>
      </c>
      <c r="L4" s="222"/>
      <c r="M4" s="221"/>
      <c r="N4" s="80" t="s">
        <v>25</v>
      </c>
      <c r="O4" s="80" t="s">
        <v>18</v>
      </c>
      <c r="P4" s="80" t="s">
        <v>26</v>
      </c>
      <c r="Q4" s="80" t="s">
        <v>26</v>
      </c>
      <c r="R4" s="76" t="s">
        <v>18</v>
      </c>
      <c r="S4" s="80" t="s">
        <v>18</v>
      </c>
      <c r="T4" s="80"/>
      <c r="U4" s="82"/>
      <c r="W4" s="93">
        <v>0</v>
      </c>
      <c r="X4" s="88">
        <f>S7</f>
        <v>1.6043891949206348</v>
      </c>
      <c r="Y4" s="88">
        <f>U7</f>
        <v>2.741726505015633E-2</v>
      </c>
      <c r="Z4" s="88"/>
      <c r="AA4" s="133"/>
      <c r="AB4" s="133"/>
      <c r="AC4" s="133"/>
    </row>
    <row r="5" spans="1:29" x14ac:dyDescent="0.15">
      <c r="A5" s="40"/>
      <c r="B5" s="194" t="s">
        <v>8</v>
      </c>
      <c r="C5" s="197">
        <v>0.55138888888888882</v>
      </c>
      <c r="D5" s="251">
        <v>0</v>
      </c>
      <c r="E5" s="235">
        <v>1</v>
      </c>
      <c r="F5" s="85" t="s">
        <v>94</v>
      </c>
      <c r="G5" s="237">
        <f>(0.083+0.071)/2</f>
        <v>7.6999999999999999E-2</v>
      </c>
      <c r="H5" s="86">
        <f>0.706-G5</f>
        <v>0.629</v>
      </c>
      <c r="I5" s="88">
        <f>0.729-G5</f>
        <v>0.65200000000000002</v>
      </c>
      <c r="J5" s="88">
        <f>0.789-G5</f>
        <v>0.71200000000000008</v>
      </c>
      <c r="K5" s="88">
        <f>5.5946*H5</f>
        <v>3.5190033999999999</v>
      </c>
      <c r="L5" s="88">
        <f t="shared" ref="L5:M7" si="0">5.5946*I5</f>
        <v>3.6476791999999998</v>
      </c>
      <c r="M5" s="88">
        <f t="shared" si="0"/>
        <v>3.9833552000000001</v>
      </c>
      <c r="N5" s="88">
        <f>AVERAGE(K5:M5)</f>
        <v>3.7166792666666666</v>
      </c>
      <c r="O5" s="88">
        <f>N5/10</f>
        <v>0.37166792666666665</v>
      </c>
      <c r="P5" s="88">
        <f>O5/14</f>
        <v>2.6547709047619047E-2</v>
      </c>
      <c r="Q5" s="88">
        <f>P5</f>
        <v>2.6547709047619047E-2</v>
      </c>
      <c r="R5" s="88">
        <f>Q5*62</f>
        <v>1.6459579609523809</v>
      </c>
      <c r="S5" s="139"/>
      <c r="T5" s="62"/>
      <c r="U5" s="84"/>
      <c r="W5" s="93">
        <f>D8</f>
        <v>47.616666666666667</v>
      </c>
      <c r="X5" s="88">
        <f>S10</f>
        <v>1.5990729409523812</v>
      </c>
      <c r="Y5" s="88">
        <f>U10</f>
        <v>8.1471524532790458E-3</v>
      </c>
      <c r="Z5" s="88"/>
      <c r="AA5" s="140"/>
      <c r="AB5" s="140"/>
      <c r="AC5" s="140"/>
    </row>
    <row r="6" spans="1:29" x14ac:dyDescent="0.15">
      <c r="A6" s="40"/>
      <c r="B6" s="194"/>
      <c r="C6" s="197"/>
      <c r="D6" s="251"/>
      <c r="E6" s="235"/>
      <c r="F6" s="85" t="s">
        <v>95</v>
      </c>
      <c r="G6" s="237"/>
      <c r="H6" s="86">
        <f>0.727-G5</f>
        <v>0.65</v>
      </c>
      <c r="I6" s="88">
        <f>0.729-G5</f>
        <v>0.65200000000000002</v>
      </c>
      <c r="J6" s="88">
        <f>0.73-G5</f>
        <v>0.65300000000000002</v>
      </c>
      <c r="K6" s="88">
        <f t="shared" ref="K6:K7" si="1">5.5946*H6</f>
        <v>3.6364899999999998</v>
      </c>
      <c r="L6" s="88">
        <f t="shared" si="0"/>
        <v>3.6476791999999998</v>
      </c>
      <c r="M6" s="88">
        <f t="shared" si="0"/>
        <v>3.6532738</v>
      </c>
      <c r="N6" s="88">
        <f t="shared" ref="N6:N7" si="2">AVERAGE(K6:M6)</f>
        <v>3.6458143333333326</v>
      </c>
      <c r="O6" s="88">
        <f t="shared" ref="O6:O7" si="3">N6/10</f>
        <v>0.36458143333333326</v>
      </c>
      <c r="P6" s="88">
        <f t="shared" ref="P6:P31" si="4">O6/14</f>
        <v>2.6041530952380949E-2</v>
      </c>
      <c r="Q6" s="88">
        <f t="shared" ref="Q6:Q31" si="5">P6</f>
        <v>2.6041530952380949E-2</v>
      </c>
      <c r="R6" s="88">
        <f t="shared" ref="R6:R31" si="6">Q6*62</f>
        <v>1.6145749190476189</v>
      </c>
      <c r="S6" s="139"/>
      <c r="T6" s="62"/>
      <c r="U6" s="84"/>
      <c r="W6" s="93">
        <f>D11</f>
        <v>94.833333333333343</v>
      </c>
      <c r="X6" s="88">
        <f>S13</f>
        <v>1.4419353384126985</v>
      </c>
      <c r="Y6" s="88">
        <f>U13</f>
        <v>1.7961485738608205E-2</v>
      </c>
      <c r="Z6" s="88"/>
      <c r="AA6" s="140"/>
      <c r="AB6" s="140"/>
      <c r="AC6" s="140"/>
    </row>
    <row r="7" spans="1:29" x14ac:dyDescent="0.15">
      <c r="A7" s="40"/>
      <c r="B7" s="194"/>
      <c r="C7" s="197"/>
      <c r="D7" s="251"/>
      <c r="E7" s="235"/>
      <c r="F7" s="85" t="s">
        <v>96</v>
      </c>
      <c r="G7" s="237"/>
      <c r="H7" s="86">
        <f>0.694-G5</f>
        <v>0.61699999999999999</v>
      </c>
      <c r="I7" s="88">
        <f>0.704-G5</f>
        <v>0.627</v>
      </c>
      <c r="J7" s="88">
        <f>0.713-G5</f>
        <v>0.63600000000000001</v>
      </c>
      <c r="K7" s="88">
        <f t="shared" si="1"/>
        <v>3.4518681999999998</v>
      </c>
      <c r="L7" s="88">
        <f t="shared" si="0"/>
        <v>3.5078141999999999</v>
      </c>
      <c r="M7" s="88">
        <f t="shared" si="0"/>
        <v>3.5581655999999997</v>
      </c>
      <c r="N7" s="88">
        <f t="shared" si="2"/>
        <v>3.5059493333333336</v>
      </c>
      <c r="O7" s="88">
        <f t="shared" si="3"/>
        <v>0.35059493333333336</v>
      </c>
      <c r="P7" s="88">
        <f t="shared" si="4"/>
        <v>2.5042495238095239E-2</v>
      </c>
      <c r="Q7" s="88">
        <f t="shared" si="5"/>
        <v>2.5042495238095239E-2</v>
      </c>
      <c r="R7" s="88">
        <f t="shared" si="6"/>
        <v>1.5526347047619049</v>
      </c>
      <c r="S7" s="141">
        <f>AVERAGE(R5:R7)</f>
        <v>1.6043891949206348</v>
      </c>
      <c r="T7" s="88">
        <f>STDEV(R5:R7)</f>
        <v>4.7488096071453226E-2</v>
      </c>
      <c r="U7" s="87">
        <f>T7/SQRT(3)</f>
        <v>2.741726505015633E-2</v>
      </c>
      <c r="W7" s="93">
        <f>D14</f>
        <v>143.81666666666666</v>
      </c>
      <c r="X7" s="88">
        <f>S16</f>
        <v>1.3367859857142859</v>
      </c>
      <c r="Y7" s="88">
        <f>U16</f>
        <v>2.3608217233995487E-2</v>
      </c>
      <c r="Z7" s="88"/>
      <c r="AA7" s="140"/>
      <c r="AB7" s="140"/>
      <c r="AC7" s="140"/>
    </row>
    <row r="8" spans="1:29" x14ac:dyDescent="0.15">
      <c r="A8" s="40"/>
      <c r="B8" s="193" t="s">
        <v>10</v>
      </c>
      <c r="C8" s="196">
        <v>0.53541666666666665</v>
      </c>
      <c r="D8" s="250">
        <f>10+37/60+13+24+D5</f>
        <v>47.616666666666667</v>
      </c>
      <c r="E8" s="248">
        <v>3</v>
      </c>
      <c r="F8" s="138" t="s">
        <v>94</v>
      </c>
      <c r="G8" s="239">
        <f>(0.084+0.086)/2</f>
        <v>8.4999999999999992E-2</v>
      </c>
      <c r="H8" s="106">
        <f>0.691-G8</f>
        <v>0.60599999999999998</v>
      </c>
      <c r="I8" s="110">
        <f>0.74-G8</f>
        <v>0.65500000000000003</v>
      </c>
      <c r="J8" s="110">
        <f>0.703-G8</f>
        <v>0.61799999999999999</v>
      </c>
      <c r="K8" s="110">
        <f>5.7436*H8</f>
        <v>3.4806215999999996</v>
      </c>
      <c r="L8" s="110">
        <f t="shared" ref="L8:M13" si="7">5.7436*I8</f>
        <v>3.7620580000000001</v>
      </c>
      <c r="M8" s="110">
        <f t="shared" si="7"/>
        <v>3.5495448000000001</v>
      </c>
      <c r="N8" s="110">
        <f>AVERAGE(K8:M8)</f>
        <v>3.5974081333333334</v>
      </c>
      <c r="O8" s="110">
        <f>N8/10</f>
        <v>0.35974081333333335</v>
      </c>
      <c r="P8" s="110">
        <f t="shared" si="4"/>
        <v>2.5695772380952383E-2</v>
      </c>
      <c r="Q8" s="110">
        <f t="shared" si="5"/>
        <v>2.5695772380952383E-2</v>
      </c>
      <c r="R8" s="110">
        <f t="shared" si="6"/>
        <v>1.5931378876190478</v>
      </c>
      <c r="S8" s="142"/>
      <c r="T8" s="110"/>
      <c r="U8" s="107"/>
      <c r="W8" s="93">
        <f>D17</f>
        <v>191.35</v>
      </c>
      <c r="X8" s="88">
        <f>S19</f>
        <v>1.0333860973015874</v>
      </c>
      <c r="Y8" s="88">
        <f>U19</f>
        <v>3.9700914007146414E-3</v>
      </c>
      <c r="Z8" s="88"/>
      <c r="AA8" s="140"/>
      <c r="AB8" s="140"/>
      <c r="AC8" s="140"/>
    </row>
    <row r="9" spans="1:29" ht="15" customHeight="1" x14ac:dyDescent="0.15">
      <c r="A9" s="40"/>
      <c r="B9" s="194"/>
      <c r="C9" s="197"/>
      <c r="D9" s="251"/>
      <c r="E9" s="235"/>
      <c r="F9" s="85" t="s">
        <v>95</v>
      </c>
      <c r="G9" s="237"/>
      <c r="H9" s="86">
        <f>0.709-G8</f>
        <v>0.624</v>
      </c>
      <c r="I9" s="88">
        <f>0.711-G8</f>
        <v>0.626</v>
      </c>
      <c r="J9" s="88">
        <f>0.709-G8</f>
        <v>0.624</v>
      </c>
      <c r="K9" s="88">
        <f t="shared" ref="K9:K13" si="8">5.7436*H9</f>
        <v>3.5840063999999998</v>
      </c>
      <c r="L9" s="88">
        <f t="shared" si="7"/>
        <v>3.5954935999999997</v>
      </c>
      <c r="M9" s="88">
        <f t="shared" si="7"/>
        <v>3.5840063999999998</v>
      </c>
      <c r="N9" s="88">
        <f t="shared" ref="N9:N10" si="9">AVERAGE(K9:M9)</f>
        <v>3.5878354666666663</v>
      </c>
      <c r="O9" s="88">
        <f t="shared" ref="O9:O19" si="10">N9/10</f>
        <v>0.35878354666666662</v>
      </c>
      <c r="P9" s="88">
        <f t="shared" si="4"/>
        <v>2.5627396190476187E-2</v>
      </c>
      <c r="Q9" s="88">
        <f t="shared" si="5"/>
        <v>2.5627396190476187E-2</v>
      </c>
      <c r="R9" s="88">
        <f t="shared" si="6"/>
        <v>1.5888985638095237</v>
      </c>
      <c r="S9" s="141"/>
      <c r="T9" s="88"/>
      <c r="U9" s="87"/>
      <c r="W9" s="93">
        <f>D20</f>
        <v>239.35</v>
      </c>
      <c r="X9" s="88">
        <f>S22</f>
        <v>0.84427194801587302</v>
      </c>
      <c r="Y9" s="88">
        <f>U22</f>
        <v>9.7059011787633445E-2</v>
      </c>
      <c r="Z9" s="88"/>
      <c r="AA9" s="140"/>
      <c r="AB9" s="140"/>
      <c r="AC9" s="140"/>
    </row>
    <row r="10" spans="1:29" ht="15" customHeight="1" x14ac:dyDescent="0.15">
      <c r="A10" s="40"/>
      <c r="B10" s="208"/>
      <c r="C10" s="209"/>
      <c r="D10" s="252"/>
      <c r="E10" s="249"/>
      <c r="F10" s="95" t="s">
        <v>96</v>
      </c>
      <c r="G10" s="240"/>
      <c r="H10" s="96">
        <f>0.711-G8</f>
        <v>0.626</v>
      </c>
      <c r="I10" s="98">
        <f>0.71-G8</f>
        <v>0.625</v>
      </c>
      <c r="J10" s="98">
        <f>0.739-G8</f>
        <v>0.65400000000000003</v>
      </c>
      <c r="K10" s="98">
        <f t="shared" si="8"/>
        <v>3.5954935999999997</v>
      </c>
      <c r="L10" s="98">
        <f t="shared" si="7"/>
        <v>3.58975</v>
      </c>
      <c r="M10" s="98">
        <f t="shared" si="7"/>
        <v>3.7563143999999999</v>
      </c>
      <c r="N10" s="98">
        <f t="shared" si="9"/>
        <v>3.647186</v>
      </c>
      <c r="O10" s="98">
        <f t="shared" si="10"/>
        <v>0.3647186</v>
      </c>
      <c r="P10" s="98">
        <f t="shared" si="4"/>
        <v>2.6051328571428573E-2</v>
      </c>
      <c r="Q10" s="98">
        <f t="shared" si="5"/>
        <v>2.6051328571428573E-2</v>
      </c>
      <c r="R10" s="98">
        <f t="shared" si="6"/>
        <v>1.6151823714285716</v>
      </c>
      <c r="S10" s="143">
        <f>AVERAGE(R8:R10)</f>
        <v>1.5990729409523812</v>
      </c>
      <c r="T10" s="98">
        <f>STDEV(R8:R10)</f>
        <v>1.411128198608873E-2</v>
      </c>
      <c r="U10" s="97">
        <f>T10/SQRT(3)</f>
        <v>8.1471524532790458E-3</v>
      </c>
      <c r="W10" s="93">
        <f>D23</f>
        <v>312.08333333333331</v>
      </c>
      <c r="X10" s="88">
        <f>S25</f>
        <v>0.72484849523809525</v>
      </c>
      <c r="Y10" s="88">
        <f>U25</f>
        <v>6.6881301796716225E-2</v>
      </c>
      <c r="Z10" s="88"/>
      <c r="AA10" s="140"/>
      <c r="AB10" s="140"/>
      <c r="AC10" s="140"/>
    </row>
    <row r="11" spans="1:29" x14ac:dyDescent="0.15">
      <c r="A11" s="40"/>
      <c r="B11" s="194" t="s">
        <v>27</v>
      </c>
      <c r="C11" s="197">
        <v>0.50277777777777777</v>
      </c>
      <c r="D11" s="251">
        <f>10+13/60+13+24+D8</f>
        <v>94.833333333333343</v>
      </c>
      <c r="E11" s="235">
        <v>5</v>
      </c>
      <c r="F11" s="85" t="s">
        <v>94</v>
      </c>
      <c r="G11" s="237">
        <f>(0.086+0.084)/2</f>
        <v>8.4999999999999992E-2</v>
      </c>
      <c r="H11" s="86">
        <f>0.634-G11</f>
        <v>0.54900000000000004</v>
      </c>
      <c r="I11" s="88">
        <f>0.637-G11</f>
        <v>0.55200000000000005</v>
      </c>
      <c r="J11" s="88">
        <f>0.662-G11</f>
        <v>0.57700000000000007</v>
      </c>
      <c r="K11" s="88">
        <f t="shared" si="8"/>
        <v>3.1532363999999999</v>
      </c>
      <c r="L11" s="88">
        <f t="shared" si="7"/>
        <v>3.1704672</v>
      </c>
      <c r="M11" s="88">
        <f t="shared" si="7"/>
        <v>3.3140572000000001</v>
      </c>
      <c r="N11" s="88">
        <f>AVERAGE(K11:M11)</f>
        <v>3.2125869333333337</v>
      </c>
      <c r="O11" s="88">
        <f t="shared" si="10"/>
        <v>0.32125869333333334</v>
      </c>
      <c r="P11" s="88">
        <f t="shared" si="4"/>
        <v>2.2947049523809524E-2</v>
      </c>
      <c r="Q11" s="88">
        <f t="shared" si="5"/>
        <v>2.2947049523809524E-2</v>
      </c>
      <c r="R11" s="88">
        <f t="shared" si="6"/>
        <v>1.4227170704761904</v>
      </c>
      <c r="S11" s="141"/>
      <c r="T11" s="88"/>
      <c r="U11" s="87"/>
      <c r="W11" s="93">
        <f>D26</f>
        <v>384.08333333333331</v>
      </c>
      <c r="X11" s="88">
        <f>S28</f>
        <v>0.53835581174603175</v>
      </c>
      <c r="Y11" s="88">
        <f>U28</f>
        <v>2.4938400526802365E-2</v>
      </c>
      <c r="Z11" s="88"/>
      <c r="AA11" s="140"/>
      <c r="AB11" s="140"/>
      <c r="AC11" s="140"/>
    </row>
    <row r="12" spans="1:29" ht="15" customHeight="1" x14ac:dyDescent="0.15">
      <c r="A12" s="40"/>
      <c r="B12" s="194"/>
      <c r="C12" s="197"/>
      <c r="D12" s="251"/>
      <c r="E12" s="235"/>
      <c r="F12" s="85" t="s">
        <v>95</v>
      </c>
      <c r="G12" s="237"/>
      <c r="H12" s="86">
        <f>0.676-G11</f>
        <v>0.59100000000000008</v>
      </c>
      <c r="I12" s="88">
        <f>0.663-G11</f>
        <v>0.57800000000000007</v>
      </c>
      <c r="J12" s="88">
        <f>0.659-G11</f>
        <v>0.57400000000000007</v>
      </c>
      <c r="K12" s="88">
        <f t="shared" si="8"/>
        <v>3.3944676000000005</v>
      </c>
      <c r="L12" s="88">
        <f t="shared" si="7"/>
        <v>3.3198008000000003</v>
      </c>
      <c r="M12" s="88">
        <f t="shared" si="7"/>
        <v>3.2968264000000005</v>
      </c>
      <c r="N12" s="88">
        <f t="shared" ref="N12:N19" si="11">AVERAGE(K12:M12)</f>
        <v>3.3370316000000009</v>
      </c>
      <c r="O12" s="88">
        <f t="shared" si="10"/>
        <v>0.33370316000000011</v>
      </c>
      <c r="P12" s="88">
        <f t="shared" si="4"/>
        <v>2.3835940000000007E-2</v>
      </c>
      <c r="Q12" s="88">
        <f t="shared" si="5"/>
        <v>2.3835940000000007E-2</v>
      </c>
      <c r="R12" s="88">
        <f t="shared" si="6"/>
        <v>1.4778282800000004</v>
      </c>
      <c r="S12" s="141"/>
      <c r="T12" s="88"/>
      <c r="U12" s="87"/>
      <c r="W12" s="93">
        <f>D29</f>
        <v>432.25</v>
      </c>
      <c r="X12" s="88">
        <f>S31</f>
        <v>0.37487101333333334</v>
      </c>
      <c r="Y12" s="88">
        <f>U31</f>
        <v>6.9458696717399251E-2</v>
      </c>
      <c r="Z12" s="88"/>
      <c r="AA12" s="140"/>
      <c r="AB12" s="140"/>
      <c r="AC12" s="140"/>
    </row>
    <row r="13" spans="1:29" ht="15" customHeight="1" x14ac:dyDescent="0.15">
      <c r="A13" s="40"/>
      <c r="B13" s="194"/>
      <c r="C13" s="197"/>
      <c r="D13" s="251"/>
      <c r="E13" s="235"/>
      <c r="F13" s="85" t="s">
        <v>96</v>
      </c>
      <c r="G13" s="237"/>
      <c r="H13" s="86">
        <f>0.643-G11</f>
        <v>0.55800000000000005</v>
      </c>
      <c r="I13" s="88">
        <f>0.644-G11</f>
        <v>0.55900000000000005</v>
      </c>
      <c r="J13" s="88">
        <f>0.649-G11</f>
        <v>0.56400000000000006</v>
      </c>
      <c r="K13" s="88">
        <f t="shared" si="8"/>
        <v>3.2049288000000002</v>
      </c>
      <c r="L13" s="88">
        <f t="shared" si="7"/>
        <v>3.2106724</v>
      </c>
      <c r="M13" s="88">
        <f t="shared" si="7"/>
        <v>3.2393904</v>
      </c>
      <c r="N13" s="88">
        <f t="shared" si="11"/>
        <v>3.2183305333333334</v>
      </c>
      <c r="O13" s="88">
        <f t="shared" si="10"/>
        <v>0.32183305333333334</v>
      </c>
      <c r="P13" s="88">
        <f t="shared" si="4"/>
        <v>2.2988075238095238E-2</v>
      </c>
      <c r="Q13" s="88">
        <f t="shared" si="5"/>
        <v>2.2988075238095238E-2</v>
      </c>
      <c r="R13" s="88">
        <f t="shared" si="6"/>
        <v>1.4252606647619048</v>
      </c>
      <c r="S13" s="141">
        <f>AVERAGE(R11:R13)</f>
        <v>1.4419353384126985</v>
      </c>
      <c r="T13" s="88">
        <f>STDEV(R11:R13)</f>
        <v>3.111020587869321E-2</v>
      </c>
      <c r="U13" s="87">
        <f>T13/SQRT(3)</f>
        <v>1.7961485738608205E-2</v>
      </c>
      <c r="W13" s="93"/>
      <c r="X13" s="88"/>
      <c r="Y13" s="88"/>
      <c r="Z13" s="88"/>
      <c r="AA13" s="140"/>
      <c r="AB13" s="140"/>
      <c r="AC13" s="140"/>
    </row>
    <row r="14" spans="1:29" x14ac:dyDescent="0.15">
      <c r="A14" s="40"/>
      <c r="B14" s="193" t="s">
        <v>29</v>
      </c>
      <c r="C14" s="196">
        <v>0.54375000000000007</v>
      </c>
      <c r="D14" s="250">
        <f>59/60+24+24+D11</f>
        <v>143.81666666666666</v>
      </c>
      <c r="E14" s="248">
        <v>7</v>
      </c>
      <c r="F14" s="138" t="s">
        <v>94</v>
      </c>
      <c r="G14" s="239">
        <f>(0.065+0.073+0.067)/3</f>
        <v>6.8333333333333343E-2</v>
      </c>
      <c r="H14" s="106">
        <f>0.64-G14</f>
        <v>0.57166666666666666</v>
      </c>
      <c r="I14" s="110">
        <f>0.626-G14</f>
        <v>0.55766666666666664</v>
      </c>
      <c r="J14" s="110">
        <f>0.625-G14</f>
        <v>0.55666666666666664</v>
      </c>
      <c r="K14" s="110">
        <f>5.2957*H14</f>
        <v>3.0273751666666668</v>
      </c>
      <c r="L14" s="110">
        <f t="shared" ref="L14:M16" si="12">5.2957*I14</f>
        <v>2.9532353666666666</v>
      </c>
      <c r="M14" s="110">
        <f t="shared" si="12"/>
        <v>2.9479396666666666</v>
      </c>
      <c r="N14" s="110">
        <f t="shared" si="11"/>
        <v>2.9761834</v>
      </c>
      <c r="O14" s="110">
        <f t="shared" si="10"/>
        <v>0.29761833999999998</v>
      </c>
      <c r="P14" s="110">
        <f t="shared" si="4"/>
        <v>2.1258452857142857E-2</v>
      </c>
      <c r="Q14" s="110">
        <f t="shared" si="5"/>
        <v>2.1258452857142857E-2</v>
      </c>
      <c r="R14" s="110">
        <f t="shared" si="6"/>
        <v>1.3180240771428571</v>
      </c>
      <c r="S14" s="144"/>
      <c r="T14" s="117"/>
      <c r="U14" s="105"/>
      <c r="W14" s="62"/>
      <c r="X14" s="88"/>
      <c r="Y14" s="88"/>
      <c r="Z14" s="88"/>
      <c r="AA14" s="88"/>
    </row>
    <row r="15" spans="1:29" x14ac:dyDescent="0.15">
      <c r="B15" s="194"/>
      <c r="C15" s="197"/>
      <c r="D15" s="251"/>
      <c r="E15" s="235"/>
      <c r="F15" s="85" t="s">
        <v>95</v>
      </c>
      <c r="G15" s="237"/>
      <c r="H15" s="86">
        <f>0.622-G14</f>
        <v>0.55366666666666664</v>
      </c>
      <c r="I15" s="88">
        <f>0.623-G14</f>
        <v>0.55466666666666664</v>
      </c>
      <c r="J15" s="88">
        <f>0.634-G14</f>
        <v>0.56566666666666665</v>
      </c>
      <c r="K15" s="88">
        <f t="shared" ref="K15:K16" si="13">5.2957*H15</f>
        <v>2.9320525666666666</v>
      </c>
      <c r="L15" s="88">
        <f t="shared" si="12"/>
        <v>2.9373482666666666</v>
      </c>
      <c r="M15" s="88">
        <f t="shared" si="12"/>
        <v>2.9956009666666668</v>
      </c>
      <c r="N15" s="88">
        <f t="shared" si="11"/>
        <v>2.9550006</v>
      </c>
      <c r="O15" s="88">
        <f t="shared" si="10"/>
        <v>0.29550006000000001</v>
      </c>
      <c r="P15" s="88">
        <f t="shared" si="4"/>
        <v>2.1107147142857142E-2</v>
      </c>
      <c r="Q15" s="88">
        <f t="shared" si="5"/>
        <v>2.1107147142857142E-2</v>
      </c>
      <c r="R15" s="88">
        <f t="shared" si="6"/>
        <v>1.3086431228571429</v>
      </c>
      <c r="S15" s="139"/>
      <c r="T15" s="62"/>
      <c r="U15" s="84"/>
      <c r="W15" s="62"/>
      <c r="X15" s="88"/>
      <c r="Y15" s="88"/>
      <c r="Z15" s="88"/>
      <c r="AA15" s="88"/>
    </row>
    <row r="16" spans="1:29" x14ac:dyDescent="0.15">
      <c r="B16" s="208"/>
      <c r="C16" s="209"/>
      <c r="D16" s="252"/>
      <c r="E16" s="249"/>
      <c r="F16" s="95" t="s">
        <v>96</v>
      </c>
      <c r="G16" s="240"/>
      <c r="H16" s="96">
        <f>0.647-G14</f>
        <v>0.57866666666666666</v>
      </c>
      <c r="I16" s="98">
        <f>0.665-G14</f>
        <v>0.59666666666666668</v>
      </c>
      <c r="J16" s="98">
        <f>0.663-G14</f>
        <v>0.59466666666666668</v>
      </c>
      <c r="K16" s="98">
        <f t="shared" si="13"/>
        <v>3.0644450666666665</v>
      </c>
      <c r="L16" s="98">
        <f t="shared" si="12"/>
        <v>3.1597676666666668</v>
      </c>
      <c r="M16" s="98">
        <f t="shared" si="12"/>
        <v>3.1491762666666667</v>
      </c>
      <c r="N16" s="98">
        <f t="shared" si="11"/>
        <v>3.124463</v>
      </c>
      <c r="O16" s="98">
        <f t="shared" si="10"/>
        <v>0.31244630000000001</v>
      </c>
      <c r="P16" s="98">
        <f t="shared" si="4"/>
        <v>2.2317592857142857E-2</v>
      </c>
      <c r="Q16" s="98">
        <f t="shared" si="5"/>
        <v>2.2317592857142857E-2</v>
      </c>
      <c r="R16" s="98">
        <f t="shared" si="6"/>
        <v>1.3836907571428572</v>
      </c>
      <c r="S16" s="143">
        <f>AVERAGE(R14:R16)</f>
        <v>1.3367859857142859</v>
      </c>
      <c r="T16" s="98">
        <f>STDEV(R14:R16)</f>
        <v>4.0890631725403366E-2</v>
      </c>
      <c r="U16" s="97">
        <f>T16/SQRT(3)</f>
        <v>2.3608217233995487E-2</v>
      </c>
      <c r="W16" s="140"/>
      <c r="X16" s="140"/>
      <c r="Y16" s="140"/>
      <c r="Z16" s="88"/>
      <c r="AA16" s="88"/>
    </row>
    <row r="17" spans="2:27" x14ac:dyDescent="0.15">
      <c r="B17" s="194" t="s">
        <v>30</v>
      </c>
      <c r="C17" s="197">
        <v>0.52430555555555558</v>
      </c>
      <c r="D17" s="251">
        <f>10+32/60+13+24+D14</f>
        <v>191.35</v>
      </c>
      <c r="E17" s="235">
        <v>9</v>
      </c>
      <c r="F17" s="85" t="s">
        <v>94</v>
      </c>
      <c r="G17" s="237">
        <f>(0.073+0.076+0.073)/3</f>
        <v>7.3999999999999996E-2</v>
      </c>
      <c r="H17" s="86">
        <f>0.501-G17</f>
        <v>0.42699999999999999</v>
      </c>
      <c r="I17" s="88">
        <f>0.505-G17</f>
        <v>0.43099999999999999</v>
      </c>
      <c r="J17" s="88">
        <f>0.521-G17</f>
        <v>0.44700000000000001</v>
      </c>
      <c r="K17" s="88">
        <f>5.4029*H17</f>
        <v>2.3070382999999999</v>
      </c>
      <c r="L17" s="88">
        <f t="shared" ref="L17:M19" si="14">5.4029*I17</f>
        <v>2.3286498999999998</v>
      </c>
      <c r="M17" s="88">
        <f t="shared" si="14"/>
        <v>2.4150963000000001</v>
      </c>
      <c r="N17" s="88">
        <f t="shared" si="11"/>
        <v>2.3502614999999998</v>
      </c>
      <c r="O17" s="88">
        <f t="shared" si="10"/>
        <v>0.23502614999999999</v>
      </c>
      <c r="P17" s="88">
        <f t="shared" si="4"/>
        <v>1.6787582142857142E-2</v>
      </c>
      <c r="Q17" s="88">
        <f t="shared" si="5"/>
        <v>1.6787582142857142E-2</v>
      </c>
      <c r="R17" s="88">
        <f t="shared" si="6"/>
        <v>1.0408300928571428</v>
      </c>
      <c r="S17" s="139"/>
      <c r="T17" s="62"/>
      <c r="U17" s="84"/>
      <c r="Z17" s="88"/>
      <c r="AA17" s="88"/>
    </row>
    <row r="18" spans="2:27" x14ac:dyDescent="0.15">
      <c r="B18" s="194"/>
      <c r="C18" s="197"/>
      <c r="D18" s="251"/>
      <c r="E18" s="235"/>
      <c r="F18" s="85" t="s">
        <v>95</v>
      </c>
      <c r="G18" s="237"/>
      <c r="H18" s="86">
        <f>0.49-G17</f>
        <v>0.41599999999999998</v>
      </c>
      <c r="I18" s="88">
        <f>0.509-G17</f>
        <v>0.435</v>
      </c>
      <c r="J18" s="88">
        <f>0.517-G17</f>
        <v>0.443</v>
      </c>
      <c r="K18" s="88">
        <f t="shared" ref="K18:K19" si="15">5.4029*H18</f>
        <v>2.2476064</v>
      </c>
      <c r="L18" s="88">
        <f t="shared" si="14"/>
        <v>2.3502614999999998</v>
      </c>
      <c r="M18" s="88">
        <f t="shared" si="14"/>
        <v>2.3934847000000001</v>
      </c>
      <c r="N18" s="88">
        <f t="shared" si="11"/>
        <v>2.3304508666666668</v>
      </c>
      <c r="O18" s="88">
        <f t="shared" si="10"/>
        <v>0.23304508666666668</v>
      </c>
      <c r="P18" s="88">
        <f t="shared" si="4"/>
        <v>1.6646077619047621E-2</v>
      </c>
      <c r="Q18" s="88">
        <f t="shared" si="5"/>
        <v>1.6646077619047621E-2</v>
      </c>
      <c r="R18" s="88">
        <f t="shared" si="6"/>
        <v>1.0320568123809526</v>
      </c>
      <c r="S18" s="139"/>
      <c r="T18" s="62"/>
      <c r="U18" s="84"/>
      <c r="Z18" s="88"/>
      <c r="AA18" s="88"/>
    </row>
    <row r="19" spans="2:27" x14ac:dyDescent="0.15">
      <c r="B19" s="194"/>
      <c r="C19" s="197"/>
      <c r="D19" s="251"/>
      <c r="E19" s="235"/>
      <c r="F19" s="85" t="s">
        <v>96</v>
      </c>
      <c r="G19" s="237"/>
      <c r="H19" s="86">
        <f>0.494-G17</f>
        <v>0.42</v>
      </c>
      <c r="I19" s="88">
        <f>0.503-G17</f>
        <v>0.42899999999999999</v>
      </c>
      <c r="J19" s="88">
        <f>0.513-G17</f>
        <v>0.439</v>
      </c>
      <c r="K19" s="88">
        <f t="shared" si="15"/>
        <v>2.269218</v>
      </c>
      <c r="L19" s="88">
        <f t="shared" si="14"/>
        <v>2.3178440999999999</v>
      </c>
      <c r="M19" s="88">
        <f t="shared" si="14"/>
        <v>2.3718730999999997</v>
      </c>
      <c r="N19" s="88">
        <f t="shared" si="11"/>
        <v>2.3196450666666664</v>
      </c>
      <c r="O19" s="88">
        <f t="shared" si="10"/>
        <v>0.23196450666666663</v>
      </c>
      <c r="P19" s="88">
        <f t="shared" si="4"/>
        <v>1.6568893333333331E-2</v>
      </c>
      <c r="Q19" s="88">
        <f t="shared" si="5"/>
        <v>1.6568893333333331E-2</v>
      </c>
      <c r="R19" s="88">
        <f t="shared" si="6"/>
        <v>1.0272713866666665</v>
      </c>
      <c r="S19" s="141">
        <f>AVERAGE(R17:R19)</f>
        <v>1.0333860973015874</v>
      </c>
      <c r="T19" s="88">
        <f>STDEV(R17:R19)</f>
        <v>6.87640001673005E-3</v>
      </c>
      <c r="U19" s="87">
        <f>T19/SQRT(3)</f>
        <v>3.9700914007146414E-3</v>
      </c>
      <c r="Z19" s="88"/>
      <c r="AA19" s="88"/>
    </row>
    <row r="20" spans="2:27" x14ac:dyDescent="0.15">
      <c r="B20" s="193" t="s">
        <v>38</v>
      </c>
      <c r="C20" s="196">
        <v>0.55902777777777779</v>
      </c>
      <c r="D20" s="250">
        <f>D17+48</f>
        <v>239.35</v>
      </c>
      <c r="E20" s="248">
        <v>11</v>
      </c>
      <c r="F20" s="138" t="s">
        <v>94</v>
      </c>
      <c r="G20" s="239">
        <v>6.533333333333334E-2</v>
      </c>
      <c r="H20" s="106">
        <f>1.76-G20</f>
        <v>1.6946666666666668</v>
      </c>
      <c r="I20" s="110">
        <f>1.477-G20</f>
        <v>1.4116666666666668</v>
      </c>
      <c r="J20" s="110">
        <f>1.097-G20</f>
        <v>1.0316666666666667</v>
      </c>
      <c r="K20" s="110">
        <f>3.3959*H20</f>
        <v>5.7549185333333339</v>
      </c>
      <c r="L20" s="110">
        <f t="shared" ref="L20:M22" si="16">3.3959*I20</f>
        <v>4.7938788333333342</v>
      </c>
      <c r="M20" s="110">
        <f t="shared" si="16"/>
        <v>3.5034368333333337</v>
      </c>
      <c r="N20" s="110">
        <f t="shared" ref="N20:N31" si="17">AVERAGE(K20:M20)</f>
        <v>4.6840780666666673</v>
      </c>
      <c r="O20" s="110">
        <f t="shared" ref="O20:O22" si="18">N20/20</f>
        <v>0.23420390333333335</v>
      </c>
      <c r="P20" s="110">
        <f t="shared" si="4"/>
        <v>1.6728850238095238E-2</v>
      </c>
      <c r="Q20" s="110">
        <f t="shared" si="5"/>
        <v>1.6728850238095238E-2</v>
      </c>
      <c r="R20" s="110">
        <f t="shared" si="6"/>
        <v>1.0371887147619048</v>
      </c>
      <c r="S20" s="142"/>
      <c r="T20" s="110"/>
      <c r="U20" s="107"/>
      <c r="Z20" s="88"/>
      <c r="AA20" s="88"/>
    </row>
    <row r="21" spans="2:27" x14ac:dyDescent="0.15">
      <c r="B21" s="194"/>
      <c r="C21" s="197"/>
      <c r="D21" s="251"/>
      <c r="E21" s="235"/>
      <c r="F21" s="85" t="s">
        <v>95</v>
      </c>
      <c r="G21" s="237"/>
      <c r="H21" s="86">
        <f>1.14-G20</f>
        <v>1.0746666666666667</v>
      </c>
      <c r="I21" s="88">
        <f>1.058-G20</f>
        <v>0.9926666666666667</v>
      </c>
      <c r="J21" s="88">
        <f>1.056-G20</f>
        <v>0.9906666666666667</v>
      </c>
      <c r="K21" s="88">
        <f t="shared" ref="K21:K22" si="19">3.3959*H21</f>
        <v>3.6494605333333334</v>
      </c>
      <c r="L21" s="88">
        <f t="shared" si="16"/>
        <v>3.3709967333333335</v>
      </c>
      <c r="M21" s="88">
        <f t="shared" si="16"/>
        <v>3.3642049333333337</v>
      </c>
      <c r="N21" s="88">
        <f t="shared" si="17"/>
        <v>3.4615540666666669</v>
      </c>
      <c r="O21" s="88">
        <f t="shared" si="18"/>
        <v>0.17307770333333333</v>
      </c>
      <c r="P21" s="88">
        <f t="shared" si="4"/>
        <v>1.2362693095238094E-2</v>
      </c>
      <c r="Q21" s="88">
        <f t="shared" si="5"/>
        <v>1.2362693095238094E-2</v>
      </c>
      <c r="R21" s="88">
        <f t="shared" si="6"/>
        <v>0.76648697190476189</v>
      </c>
      <c r="S21" s="141"/>
      <c r="T21" s="88"/>
      <c r="U21" s="87"/>
      <c r="Z21" s="88"/>
      <c r="AA21" s="88"/>
    </row>
    <row r="22" spans="2:27" x14ac:dyDescent="0.15">
      <c r="B22" s="208"/>
      <c r="C22" s="209"/>
      <c r="D22" s="252"/>
      <c r="E22" s="249"/>
      <c r="F22" s="95" t="s">
        <v>96</v>
      </c>
      <c r="G22" s="240"/>
      <c r="H22" s="96">
        <f>1.001-G20</f>
        <v>0.93566666666666654</v>
      </c>
      <c r="I22" s="98">
        <f>1.041-G20</f>
        <v>0.97566666666666657</v>
      </c>
      <c r="J22" s="98">
        <f>1.063-G20</f>
        <v>0.99766666666666659</v>
      </c>
      <c r="K22" s="98">
        <f t="shared" si="19"/>
        <v>3.177430433333333</v>
      </c>
      <c r="L22" s="98">
        <f t="shared" si="16"/>
        <v>3.3132664333333333</v>
      </c>
      <c r="M22" s="98">
        <f t="shared" si="16"/>
        <v>3.3879762333333332</v>
      </c>
      <c r="N22" s="98">
        <f t="shared" si="17"/>
        <v>3.2928910333333334</v>
      </c>
      <c r="O22" s="98">
        <f t="shared" si="18"/>
        <v>0.16464455166666667</v>
      </c>
      <c r="P22" s="98">
        <f t="shared" si="4"/>
        <v>1.1760325119047619E-2</v>
      </c>
      <c r="Q22" s="98">
        <f t="shared" si="5"/>
        <v>1.1760325119047619E-2</v>
      </c>
      <c r="R22" s="98">
        <f t="shared" si="6"/>
        <v>0.72914015738095239</v>
      </c>
      <c r="S22" s="143">
        <f>AVERAGE(R20:R22)</f>
        <v>0.84427194801587302</v>
      </c>
      <c r="T22" s="98">
        <f>STDEV(R20:R22)</f>
        <v>0.16811113974860767</v>
      </c>
      <c r="U22" s="97">
        <f>T22/SQRT(3)</f>
        <v>9.7059011787633445E-2</v>
      </c>
      <c r="Z22" s="88"/>
      <c r="AA22" s="88"/>
    </row>
    <row r="23" spans="2:27" x14ac:dyDescent="0.15">
      <c r="B23" s="194" t="s">
        <v>32</v>
      </c>
      <c r="C23" s="197">
        <v>0.55902777777777779</v>
      </c>
      <c r="D23" s="251">
        <v>312.08333333333331</v>
      </c>
      <c r="E23" s="235">
        <v>14</v>
      </c>
      <c r="F23" s="85" t="s">
        <v>94</v>
      </c>
      <c r="G23" s="237">
        <f>(0.073+0.077+0.072)/3</f>
        <v>7.3999999999999996E-2</v>
      </c>
      <c r="H23" s="86">
        <f>0.596-G23</f>
        <v>0.52200000000000002</v>
      </c>
      <c r="I23" s="88">
        <f>0.587-G23</f>
        <v>0.51300000000000001</v>
      </c>
      <c r="J23" s="88">
        <f>0.542-G23</f>
        <v>0.46800000000000003</v>
      </c>
      <c r="K23" s="88">
        <f>5.388*H23</f>
        <v>2.8125360000000001</v>
      </c>
      <c r="L23" s="88">
        <f t="shared" ref="L23:M25" si="20">5.388*I23</f>
        <v>2.7640440000000002</v>
      </c>
      <c r="M23" s="88">
        <f t="shared" si="20"/>
        <v>2.5215840000000003</v>
      </c>
      <c r="N23" s="88">
        <f t="shared" si="17"/>
        <v>2.6993880000000003</v>
      </c>
      <c r="O23" s="88">
        <f t="shared" ref="O23:O25" si="21">N23/15</f>
        <v>0.17995920000000001</v>
      </c>
      <c r="P23" s="88">
        <f t="shared" si="4"/>
        <v>1.2854228571428572E-2</v>
      </c>
      <c r="Q23" s="88">
        <f t="shared" si="5"/>
        <v>1.2854228571428572E-2</v>
      </c>
      <c r="R23" s="88">
        <f t="shared" si="6"/>
        <v>0.7969621714285714</v>
      </c>
      <c r="S23" s="141"/>
      <c r="T23" s="88"/>
      <c r="U23" s="87"/>
      <c r="Z23" s="88"/>
      <c r="AA23" s="88"/>
    </row>
    <row r="24" spans="2:27" x14ac:dyDescent="0.15">
      <c r="B24" s="194"/>
      <c r="C24" s="197"/>
      <c r="D24" s="251"/>
      <c r="E24" s="235"/>
      <c r="F24" s="85" t="s">
        <v>95</v>
      </c>
      <c r="G24" s="237"/>
      <c r="H24" s="86">
        <f>0.588-G23</f>
        <v>0.51400000000000001</v>
      </c>
      <c r="I24" s="88">
        <f>0.553-G23</f>
        <v>0.47900000000000004</v>
      </c>
      <c r="J24" s="88">
        <f>0.564-G23</f>
        <v>0.48999999999999994</v>
      </c>
      <c r="K24" s="88">
        <f t="shared" ref="K24:K25" si="22">5.388*H24</f>
        <v>2.7694320000000001</v>
      </c>
      <c r="L24" s="88">
        <f t="shared" si="20"/>
        <v>2.5808520000000001</v>
      </c>
      <c r="M24" s="88">
        <f t="shared" si="20"/>
        <v>2.6401199999999996</v>
      </c>
      <c r="N24" s="88">
        <f t="shared" si="17"/>
        <v>2.6634679999999999</v>
      </c>
      <c r="O24" s="88">
        <f t="shared" si="21"/>
        <v>0.17756453333333333</v>
      </c>
      <c r="P24" s="88">
        <f t="shared" si="4"/>
        <v>1.2683180952380952E-2</v>
      </c>
      <c r="Q24" s="88">
        <f t="shared" si="5"/>
        <v>1.2683180952380952E-2</v>
      </c>
      <c r="R24" s="88">
        <f t="shared" si="6"/>
        <v>0.78635721904761902</v>
      </c>
      <c r="S24" s="141"/>
      <c r="T24" s="88"/>
      <c r="U24" s="87"/>
      <c r="Z24" s="88"/>
      <c r="AA24" s="88"/>
    </row>
    <row r="25" spans="2:27" x14ac:dyDescent="0.15">
      <c r="B25" s="194"/>
      <c r="C25" s="197"/>
      <c r="D25" s="251"/>
      <c r="E25" s="235"/>
      <c r="F25" s="85" t="s">
        <v>96</v>
      </c>
      <c r="G25" s="237"/>
      <c r="H25" s="86">
        <f>0.485-G23</f>
        <v>0.41099999999999998</v>
      </c>
      <c r="I25" s="88">
        <f>0.418-G23</f>
        <v>0.34399999999999997</v>
      </c>
      <c r="J25" s="88">
        <f>0.434-G23</f>
        <v>0.36</v>
      </c>
      <c r="K25" s="88">
        <f t="shared" si="22"/>
        <v>2.2144679999999997</v>
      </c>
      <c r="L25" s="88">
        <f t="shared" si="20"/>
        <v>1.8534719999999998</v>
      </c>
      <c r="M25" s="88">
        <f t="shared" si="20"/>
        <v>1.9396799999999998</v>
      </c>
      <c r="N25" s="88">
        <f t="shared" si="17"/>
        <v>2.0025399999999998</v>
      </c>
      <c r="O25" s="88">
        <f t="shared" si="21"/>
        <v>0.13350266666666666</v>
      </c>
      <c r="P25" s="88">
        <f t="shared" si="4"/>
        <v>9.5359047619047611E-3</v>
      </c>
      <c r="Q25" s="88">
        <f t="shared" si="5"/>
        <v>9.5359047619047611E-3</v>
      </c>
      <c r="R25" s="88">
        <f t="shared" si="6"/>
        <v>0.59122609523809522</v>
      </c>
      <c r="S25" s="141">
        <f>AVERAGE(R23:R25)</f>
        <v>0.72484849523809525</v>
      </c>
      <c r="T25" s="88">
        <f>STDEV(R23:R25)</f>
        <v>0.11584181278826013</v>
      </c>
      <c r="U25" s="87">
        <f>T25/SQRT(3)</f>
        <v>6.6881301796716225E-2</v>
      </c>
    </row>
    <row r="26" spans="2:27" x14ac:dyDescent="0.15">
      <c r="B26" s="256" t="s">
        <v>36</v>
      </c>
      <c r="C26" s="196">
        <v>0.55902777777777779</v>
      </c>
      <c r="D26" s="250">
        <v>384.08333333333331</v>
      </c>
      <c r="E26" s="248">
        <v>17</v>
      </c>
      <c r="F26" s="138" t="s">
        <v>94</v>
      </c>
      <c r="G26" s="239">
        <v>7.2333333333333319E-2</v>
      </c>
      <c r="H26" s="106">
        <v>0.78700000000000003</v>
      </c>
      <c r="I26" s="110">
        <v>0.79300000000000004</v>
      </c>
      <c r="J26" s="110">
        <v>0.78700000000000003</v>
      </c>
      <c r="K26" s="110">
        <f>3.9395*H26</f>
        <v>3.1003864999999999</v>
      </c>
      <c r="L26" s="110">
        <f t="shared" ref="L26:M28" si="23">3.9395*I26</f>
        <v>3.1240234999999998</v>
      </c>
      <c r="M26" s="110">
        <f t="shared" si="23"/>
        <v>3.1003864999999999</v>
      </c>
      <c r="N26" s="110">
        <f t="shared" si="17"/>
        <v>3.1082654999999999</v>
      </c>
      <c r="O26" s="110">
        <f>N26/25</f>
        <v>0.12433062</v>
      </c>
      <c r="P26" s="110">
        <f t="shared" si="4"/>
        <v>8.8807585714285719E-3</v>
      </c>
      <c r="Q26" s="110">
        <f t="shared" si="5"/>
        <v>8.8807585714285719E-3</v>
      </c>
      <c r="R26" s="110">
        <f t="shared" si="6"/>
        <v>0.55060703142857148</v>
      </c>
      <c r="S26" s="144"/>
      <c r="T26" s="117"/>
      <c r="U26" s="105"/>
    </row>
    <row r="27" spans="2:27" x14ac:dyDescent="0.15">
      <c r="B27" s="257"/>
      <c r="C27" s="197"/>
      <c r="D27" s="251"/>
      <c r="E27" s="235"/>
      <c r="F27" s="85" t="s">
        <v>95</v>
      </c>
      <c r="G27" s="237"/>
      <c r="H27" s="86">
        <v>0.80200000000000005</v>
      </c>
      <c r="I27" s="88">
        <v>0.83299999999999996</v>
      </c>
      <c r="J27" s="88">
        <v>0.83299999999999996</v>
      </c>
      <c r="K27" s="88">
        <f t="shared" ref="K27:K28" si="24">3.9395*H27</f>
        <v>3.1594790000000001</v>
      </c>
      <c r="L27" s="88">
        <f t="shared" si="23"/>
        <v>3.2816034999999997</v>
      </c>
      <c r="M27" s="88">
        <f t="shared" si="23"/>
        <v>3.2816034999999997</v>
      </c>
      <c r="N27" s="88">
        <f t="shared" si="17"/>
        <v>3.240895333333333</v>
      </c>
      <c r="O27" s="88">
        <f>N27/25</f>
        <v>0.12963581333333332</v>
      </c>
      <c r="P27" s="88">
        <f t="shared" si="4"/>
        <v>9.2597009523809511E-3</v>
      </c>
      <c r="Q27" s="88">
        <f t="shared" si="5"/>
        <v>9.2597009523809511E-3</v>
      </c>
      <c r="R27" s="88">
        <f t="shared" si="6"/>
        <v>0.574101459047619</v>
      </c>
      <c r="S27" s="139"/>
      <c r="T27" s="62"/>
      <c r="U27" s="84"/>
    </row>
    <row r="28" spans="2:27" x14ac:dyDescent="0.15">
      <c r="B28" s="258"/>
      <c r="C28" s="209"/>
      <c r="D28" s="252"/>
      <c r="E28" s="249"/>
      <c r="F28" s="95" t="s">
        <v>96</v>
      </c>
      <c r="G28" s="240"/>
      <c r="H28" s="96">
        <v>0.625</v>
      </c>
      <c r="I28" s="98">
        <v>0.77200000000000002</v>
      </c>
      <c r="J28" s="98">
        <v>0.71099999999999997</v>
      </c>
      <c r="K28" s="98">
        <f t="shared" si="24"/>
        <v>2.4621874999999998</v>
      </c>
      <c r="L28" s="98">
        <f t="shared" si="23"/>
        <v>3.0412939999999997</v>
      </c>
      <c r="M28" s="98">
        <f t="shared" si="23"/>
        <v>2.8009844999999998</v>
      </c>
      <c r="N28" s="98">
        <f t="shared" si="17"/>
        <v>2.7681553333333331</v>
      </c>
      <c r="O28" s="98">
        <f>N28/25</f>
        <v>0.11072621333333332</v>
      </c>
      <c r="P28" s="98">
        <f t="shared" si="4"/>
        <v>7.9090152380952381E-3</v>
      </c>
      <c r="Q28" s="98">
        <f t="shared" si="5"/>
        <v>7.9090152380952381E-3</v>
      </c>
      <c r="R28" s="98">
        <f t="shared" si="6"/>
        <v>0.49035894476190478</v>
      </c>
      <c r="S28" s="143">
        <f>AVERAGE(R26:R28)</f>
        <v>0.53835581174603175</v>
      </c>
      <c r="T28" s="98">
        <f>STDEV(R26:R28)</f>
        <v>4.3194576771924148E-2</v>
      </c>
      <c r="U28" s="97">
        <f>T28/SQRT(3)</f>
        <v>2.4938400526802365E-2</v>
      </c>
    </row>
    <row r="29" spans="2:27" x14ac:dyDescent="0.15">
      <c r="B29" s="194" t="s">
        <v>33</v>
      </c>
      <c r="C29" s="197">
        <v>0.56666666666666665</v>
      </c>
      <c r="D29" s="251">
        <v>432.25</v>
      </c>
      <c r="E29" s="235">
        <v>19</v>
      </c>
      <c r="F29" s="85" t="s">
        <v>94</v>
      </c>
      <c r="G29" s="237">
        <f>(0.07+0.074+0.071)/3</f>
        <v>7.166666666666667E-2</v>
      </c>
      <c r="H29" s="86">
        <f>0.243-G29</f>
        <v>0.17133333333333334</v>
      </c>
      <c r="I29" s="88">
        <f>0.234-G29</f>
        <v>0.16233333333333333</v>
      </c>
      <c r="J29" s="88">
        <f>0.222-G29</f>
        <v>0.15033333333333332</v>
      </c>
      <c r="K29" s="88">
        <f>5.1849*H29</f>
        <v>0.88834619999999997</v>
      </c>
      <c r="L29" s="88">
        <f t="shared" ref="L29:M31" si="25">5.1849*I29</f>
        <v>0.84168209999999999</v>
      </c>
      <c r="M29" s="88">
        <f t="shared" si="25"/>
        <v>0.77946329999999986</v>
      </c>
      <c r="N29" s="88">
        <f t="shared" si="17"/>
        <v>0.83649719999999983</v>
      </c>
      <c r="O29" s="88">
        <f t="shared" ref="O29:O31" si="26">N29/15</f>
        <v>5.5766479999999986E-2</v>
      </c>
      <c r="P29" s="88">
        <f t="shared" si="4"/>
        <v>3.9833199999999994E-3</v>
      </c>
      <c r="Q29" s="88">
        <f t="shared" si="5"/>
        <v>3.9833199999999994E-3</v>
      </c>
      <c r="R29" s="88">
        <f t="shared" si="6"/>
        <v>0.24696583999999996</v>
      </c>
      <c r="S29" s="139"/>
      <c r="T29" s="62"/>
      <c r="U29" s="84"/>
    </row>
    <row r="30" spans="2:27" ht="15" customHeight="1" x14ac:dyDescent="0.15">
      <c r="B30" s="194"/>
      <c r="C30" s="197"/>
      <c r="D30" s="251"/>
      <c r="E30" s="235"/>
      <c r="F30" s="85" t="s">
        <v>95</v>
      </c>
      <c r="G30" s="237"/>
      <c r="H30" s="86">
        <f>0.406-G29</f>
        <v>0.33433333333333337</v>
      </c>
      <c r="I30" s="88">
        <f>0.386-G29</f>
        <v>0.31433333333333335</v>
      </c>
      <c r="J30" s="88">
        <f>0.375-G29</f>
        <v>0.30333333333333334</v>
      </c>
      <c r="K30" s="88">
        <f t="shared" ref="K30:K31" si="27">5.1849*H30</f>
        <v>1.7334849000000001</v>
      </c>
      <c r="L30" s="88">
        <f t="shared" si="25"/>
        <v>1.6297869</v>
      </c>
      <c r="M30" s="88">
        <f t="shared" si="25"/>
        <v>1.5727530000000001</v>
      </c>
      <c r="N30" s="88">
        <f t="shared" si="17"/>
        <v>1.6453416000000001</v>
      </c>
      <c r="O30" s="88">
        <f t="shared" si="26"/>
        <v>0.10968944</v>
      </c>
      <c r="P30" s="88">
        <f t="shared" si="4"/>
        <v>7.8349600000000002E-3</v>
      </c>
      <c r="Q30" s="88">
        <f t="shared" si="5"/>
        <v>7.8349600000000002E-3</v>
      </c>
      <c r="R30" s="88">
        <f t="shared" si="6"/>
        <v>0.48576752000000001</v>
      </c>
      <c r="S30" s="139"/>
      <c r="T30" s="62"/>
      <c r="U30" s="84"/>
    </row>
    <row r="31" spans="2:27" ht="16" customHeight="1" thickBot="1" x14ac:dyDescent="0.2">
      <c r="B31" s="195"/>
      <c r="C31" s="198"/>
      <c r="D31" s="255"/>
      <c r="E31" s="236"/>
      <c r="F31" s="85" t="s">
        <v>96</v>
      </c>
      <c r="G31" s="238"/>
      <c r="H31" s="86">
        <f>0.321-G29</f>
        <v>0.24933333333333335</v>
      </c>
      <c r="I31" s="88">
        <f>0.333-G29</f>
        <v>0.26133333333333336</v>
      </c>
      <c r="J31" s="88">
        <f>0.329-G29</f>
        <v>0.25733333333333336</v>
      </c>
      <c r="K31" s="88">
        <f t="shared" si="27"/>
        <v>1.2927684000000002</v>
      </c>
      <c r="L31" s="88">
        <f t="shared" si="25"/>
        <v>1.3549872000000001</v>
      </c>
      <c r="M31" s="88">
        <f t="shared" si="25"/>
        <v>1.3342476000000001</v>
      </c>
      <c r="N31" s="88">
        <f t="shared" si="17"/>
        <v>1.3273344</v>
      </c>
      <c r="O31" s="88">
        <f t="shared" si="26"/>
        <v>8.8488960000000005E-2</v>
      </c>
      <c r="P31" s="120">
        <f t="shared" si="4"/>
        <v>6.3206400000000006E-3</v>
      </c>
      <c r="Q31" s="120">
        <f t="shared" si="5"/>
        <v>6.3206400000000006E-3</v>
      </c>
      <c r="R31" s="120">
        <f t="shared" si="6"/>
        <v>0.39187968000000006</v>
      </c>
      <c r="S31" s="145">
        <f>AVERAGE(R29:R31)</f>
        <v>0.37487101333333334</v>
      </c>
      <c r="T31" s="120">
        <f>STDEV(R29:R31)</f>
        <v>0.12030599174205309</v>
      </c>
      <c r="U31" s="119">
        <f>T31/SQRT(3)</f>
        <v>6.9458696717399251E-2</v>
      </c>
    </row>
    <row r="32" spans="2:27" ht="17" thickBot="1" x14ac:dyDescent="0.2">
      <c r="B32" s="244" t="s">
        <v>73</v>
      </c>
      <c r="C32" s="245"/>
      <c r="D32" s="245"/>
      <c r="E32" s="245"/>
      <c r="F32" s="245"/>
      <c r="G32" s="245"/>
      <c r="H32" s="245"/>
      <c r="I32" s="245"/>
      <c r="J32" s="245"/>
      <c r="K32" s="245"/>
      <c r="L32" s="245"/>
      <c r="M32" s="245"/>
      <c r="N32" s="245"/>
      <c r="O32" s="245"/>
      <c r="P32" s="245"/>
      <c r="Q32" s="245"/>
      <c r="R32" s="245"/>
      <c r="S32" s="245"/>
      <c r="T32" s="245"/>
      <c r="U32" s="246"/>
    </row>
    <row r="33" spans="2:29" ht="30" x14ac:dyDescent="0.15">
      <c r="B33" s="129" t="s">
        <v>0</v>
      </c>
      <c r="C33" s="72" t="s">
        <v>1</v>
      </c>
      <c r="D33" s="72" t="s">
        <v>2</v>
      </c>
      <c r="E33" s="130" t="s">
        <v>20</v>
      </c>
      <c r="F33" s="131"/>
      <c r="G33" s="131" t="s">
        <v>21</v>
      </c>
      <c r="H33" s="232" t="s">
        <v>22</v>
      </c>
      <c r="I33" s="233"/>
      <c r="J33" s="233"/>
      <c r="K33" s="234" t="s">
        <v>104</v>
      </c>
      <c r="L33" s="234"/>
      <c r="M33" s="234"/>
      <c r="N33" s="72" t="s">
        <v>23</v>
      </c>
      <c r="O33" s="72" t="s">
        <v>24</v>
      </c>
      <c r="P33" s="72" t="s">
        <v>24</v>
      </c>
      <c r="Q33" s="72" t="s">
        <v>102</v>
      </c>
      <c r="R33" s="130" t="s">
        <v>102</v>
      </c>
      <c r="S33" s="72" t="s">
        <v>103</v>
      </c>
      <c r="T33" s="72" t="s">
        <v>84</v>
      </c>
      <c r="U33" s="132" t="s">
        <v>62</v>
      </c>
      <c r="W33" s="62" t="s">
        <v>2</v>
      </c>
      <c r="X33" s="83" t="str">
        <f>S33</f>
        <v>Average NO3 concentration</v>
      </c>
      <c r="Y33" s="83" t="str">
        <f>U33</f>
        <v>Standard error</v>
      </c>
      <c r="Z33" s="62"/>
      <c r="AA33" s="62"/>
    </row>
    <row r="34" spans="2:29" ht="14" x14ac:dyDescent="0.15">
      <c r="B34" s="134"/>
      <c r="C34" s="135"/>
      <c r="D34" s="136"/>
      <c r="E34" s="136"/>
      <c r="F34" s="137"/>
      <c r="G34" s="137"/>
      <c r="H34" s="136"/>
      <c r="I34" s="136"/>
      <c r="J34" s="136"/>
      <c r="K34" s="80"/>
      <c r="L34" s="80"/>
      <c r="M34" s="80"/>
      <c r="N34" s="80" t="s">
        <v>25</v>
      </c>
      <c r="O34" s="80" t="s">
        <v>18</v>
      </c>
      <c r="P34" s="80" t="s">
        <v>26</v>
      </c>
      <c r="Q34" s="80" t="s">
        <v>26</v>
      </c>
      <c r="R34" s="76" t="s">
        <v>18</v>
      </c>
      <c r="S34" s="80" t="s">
        <v>18</v>
      </c>
      <c r="T34" s="80"/>
      <c r="U34" s="82"/>
      <c r="W34" s="93">
        <v>0</v>
      </c>
      <c r="X34" s="88">
        <f>S37</f>
        <v>3.1526192622222222</v>
      </c>
      <c r="Y34" s="88">
        <f>U37</f>
        <v>0.10793047094185319</v>
      </c>
      <c r="Z34" s="88"/>
      <c r="AA34" s="133"/>
      <c r="AB34" s="133"/>
      <c r="AC34" s="133"/>
    </row>
    <row r="35" spans="2:29" x14ac:dyDescent="0.15">
      <c r="B35" s="194" t="s">
        <v>8</v>
      </c>
      <c r="C35" s="197">
        <v>0.49305555555555558</v>
      </c>
      <c r="D35" s="251">
        <v>0</v>
      </c>
      <c r="E35" s="235">
        <v>1</v>
      </c>
      <c r="F35" s="85" t="s">
        <v>94</v>
      </c>
      <c r="G35" s="237">
        <f>(0.083+0.071)/2</f>
        <v>7.6999999999999999E-2</v>
      </c>
      <c r="H35" s="86">
        <f>0.74-G35</f>
        <v>0.66300000000000003</v>
      </c>
      <c r="I35" s="88">
        <f>0.639-G35</f>
        <v>0.56200000000000006</v>
      </c>
      <c r="J35" s="88">
        <f>0.63-G35</f>
        <v>0.55300000000000005</v>
      </c>
      <c r="K35" s="88">
        <f>5.5946*H35</f>
        <v>3.7092198000000001</v>
      </c>
      <c r="L35" s="88">
        <f t="shared" ref="L35:M37" si="28">5.5946*I35</f>
        <v>3.1441652000000002</v>
      </c>
      <c r="M35" s="88">
        <f t="shared" si="28"/>
        <v>3.0938137999999999</v>
      </c>
      <c r="N35" s="88">
        <f>AVERAGE(K35:M35)</f>
        <v>3.3157329333333334</v>
      </c>
      <c r="O35" s="88">
        <f t="shared" ref="O35:O49" si="29">N35/5</f>
        <v>0.6631465866666667</v>
      </c>
      <c r="P35" s="88">
        <f>O35/14</f>
        <v>4.7367613333333336E-2</v>
      </c>
      <c r="Q35" s="88">
        <f>P35</f>
        <v>4.7367613333333336E-2</v>
      </c>
      <c r="R35" s="88">
        <f>Q35*62</f>
        <v>2.9367920266666667</v>
      </c>
      <c r="S35" s="139"/>
      <c r="T35" s="62"/>
      <c r="U35" s="84"/>
      <c r="W35" s="93">
        <f>D38</f>
        <v>48.55</v>
      </c>
      <c r="X35" s="88">
        <f>S40</f>
        <v>3.127490485079365</v>
      </c>
      <c r="Y35" s="88">
        <f>U40</f>
        <v>6.349620903777832E-2</v>
      </c>
      <c r="Z35" s="88"/>
      <c r="AA35" s="140"/>
      <c r="AB35" s="140"/>
      <c r="AC35" s="140"/>
    </row>
    <row r="36" spans="2:29" x14ac:dyDescent="0.15">
      <c r="B36" s="194"/>
      <c r="C36" s="197"/>
      <c r="D36" s="251"/>
      <c r="E36" s="235"/>
      <c r="F36" s="85" t="s">
        <v>95</v>
      </c>
      <c r="G36" s="237"/>
      <c r="H36" s="86">
        <f>0.737-G35</f>
        <v>0.66</v>
      </c>
      <c r="I36" s="88">
        <f>0.735-G35</f>
        <v>0.65800000000000003</v>
      </c>
      <c r="J36" s="88">
        <f>0.731-G35</f>
        <v>0.65400000000000003</v>
      </c>
      <c r="K36" s="88">
        <f t="shared" ref="K36:K37" si="30">5.5946*H36</f>
        <v>3.6924359999999998</v>
      </c>
      <c r="L36" s="88">
        <f t="shared" si="28"/>
        <v>3.6812467999999998</v>
      </c>
      <c r="M36" s="88">
        <f t="shared" si="28"/>
        <v>3.6588683999999998</v>
      </c>
      <c r="N36" s="88">
        <f t="shared" ref="N36:N37" si="31">AVERAGE(K36:M36)</f>
        <v>3.6775170666666663</v>
      </c>
      <c r="O36" s="88">
        <f t="shared" si="29"/>
        <v>0.73550341333333324</v>
      </c>
      <c r="P36" s="88">
        <f t="shared" ref="P36:P61" si="32">O36/14</f>
        <v>5.2535958095238089E-2</v>
      </c>
      <c r="Q36" s="88">
        <f t="shared" ref="Q36:Q61" si="33">P36</f>
        <v>5.2535958095238089E-2</v>
      </c>
      <c r="R36" s="88">
        <f t="shared" ref="R36:R61" si="34">Q36*62</f>
        <v>3.2572294019047616</v>
      </c>
      <c r="S36" s="139"/>
      <c r="T36" s="62"/>
      <c r="U36" s="84"/>
      <c r="W36" s="93">
        <f>D41</f>
        <v>95.816666666666663</v>
      </c>
      <c r="X36" s="88">
        <f>S43</f>
        <v>3.0788795720634923</v>
      </c>
      <c r="Y36" s="88">
        <f>U43</f>
        <v>7.3148232570957261E-2</v>
      </c>
      <c r="Z36" s="88"/>
      <c r="AA36" s="140"/>
      <c r="AB36" s="140"/>
      <c r="AC36" s="140"/>
    </row>
    <row r="37" spans="2:29" x14ac:dyDescent="0.15">
      <c r="B37" s="194"/>
      <c r="C37" s="197"/>
      <c r="D37" s="251"/>
      <c r="E37" s="235"/>
      <c r="F37" s="85" t="s">
        <v>96</v>
      </c>
      <c r="G37" s="237"/>
      <c r="H37" s="86">
        <f>0.739-G35</f>
        <v>0.66200000000000003</v>
      </c>
      <c r="I37" s="88">
        <f>0.734-G35</f>
        <v>0.65700000000000003</v>
      </c>
      <c r="J37" s="88">
        <f>0.734-G35</f>
        <v>0.65700000000000003</v>
      </c>
      <c r="K37" s="88">
        <f t="shared" si="30"/>
        <v>3.7036251999999998</v>
      </c>
      <c r="L37" s="88">
        <f t="shared" si="28"/>
        <v>3.6756522</v>
      </c>
      <c r="M37" s="88">
        <f t="shared" si="28"/>
        <v>3.6756522</v>
      </c>
      <c r="N37" s="88">
        <f t="shared" si="31"/>
        <v>3.6849765333333333</v>
      </c>
      <c r="O37" s="88">
        <f t="shared" si="29"/>
        <v>0.73699530666666668</v>
      </c>
      <c r="P37" s="88">
        <f t="shared" si="32"/>
        <v>5.2642521904761909E-2</v>
      </c>
      <c r="Q37" s="88">
        <f t="shared" si="33"/>
        <v>5.2642521904761909E-2</v>
      </c>
      <c r="R37" s="88">
        <f t="shared" si="34"/>
        <v>3.2638363580952383</v>
      </c>
      <c r="S37" s="141">
        <f>AVERAGE(R35:R37)</f>
        <v>3.1526192622222222</v>
      </c>
      <c r="T37" s="88">
        <f>STDEV(R35:R37)</f>
        <v>0.18694105935612607</v>
      </c>
      <c r="U37" s="87">
        <f>T37/SQRT(3)</f>
        <v>0.10793047094185319</v>
      </c>
      <c r="W37" s="93">
        <f>D44</f>
        <v>144.73333333333335</v>
      </c>
      <c r="X37" s="88">
        <f>S46</f>
        <v>2.6735719714285717</v>
      </c>
      <c r="Y37" s="88">
        <f>U46</f>
        <v>4.7216434467990974E-2</v>
      </c>
      <c r="Z37" s="88"/>
      <c r="AA37" s="140"/>
      <c r="AB37" s="140"/>
      <c r="AC37" s="140"/>
    </row>
    <row r="38" spans="2:29" x14ac:dyDescent="0.15">
      <c r="B38" s="193" t="s">
        <v>10</v>
      </c>
      <c r="C38" s="196">
        <v>0.51597222222222217</v>
      </c>
      <c r="D38" s="250">
        <f>11+33/60+13+24+D35</f>
        <v>48.55</v>
      </c>
      <c r="E38" s="248">
        <v>3</v>
      </c>
      <c r="F38" s="138" t="s">
        <v>94</v>
      </c>
      <c r="G38" s="239">
        <f>(0.086+0.084)/2</f>
        <v>8.4999999999999992E-2</v>
      </c>
      <c r="H38" s="106">
        <f>0.709-G38</f>
        <v>0.624</v>
      </c>
      <c r="I38" s="110">
        <f>0.687-G38</f>
        <v>0.60200000000000009</v>
      </c>
      <c r="J38" s="110">
        <f>0.671-G38</f>
        <v>0.58600000000000008</v>
      </c>
      <c r="K38" s="110">
        <f>5.7436*H38</f>
        <v>3.5840063999999998</v>
      </c>
      <c r="L38" s="110">
        <f t="shared" ref="L38:M43" si="35">5.7436*I38</f>
        <v>3.4576472000000003</v>
      </c>
      <c r="M38" s="110">
        <f t="shared" si="35"/>
        <v>3.3657496000000005</v>
      </c>
      <c r="N38" s="110">
        <f>AVERAGE(K38:M38)</f>
        <v>3.4691344000000002</v>
      </c>
      <c r="O38" s="110">
        <f t="shared" si="29"/>
        <v>0.69382688000000003</v>
      </c>
      <c r="P38" s="110">
        <f t="shared" si="32"/>
        <v>4.9559062857142858E-2</v>
      </c>
      <c r="Q38" s="110">
        <f t="shared" si="33"/>
        <v>4.9559062857142858E-2</v>
      </c>
      <c r="R38" s="110">
        <f t="shared" si="34"/>
        <v>3.072661897142857</v>
      </c>
      <c r="S38" s="142"/>
      <c r="T38" s="110"/>
      <c r="U38" s="107"/>
      <c r="W38" s="93">
        <f>D47</f>
        <v>192.3</v>
      </c>
      <c r="X38" s="88">
        <f>S49</f>
        <v>2.4703430965079365</v>
      </c>
      <c r="Y38" s="88">
        <f>U49</f>
        <v>3.0465864827236674E-2</v>
      </c>
      <c r="Z38" s="88"/>
      <c r="AA38" s="140"/>
      <c r="AB38" s="140"/>
      <c r="AC38" s="140"/>
    </row>
    <row r="39" spans="2:29" ht="15" customHeight="1" x14ac:dyDescent="0.15">
      <c r="B39" s="194"/>
      <c r="C39" s="197"/>
      <c r="D39" s="251"/>
      <c r="E39" s="235"/>
      <c r="F39" s="85" t="s">
        <v>95</v>
      </c>
      <c r="G39" s="237"/>
      <c r="H39" s="86">
        <f>0.702-G38</f>
        <v>0.61699999999999999</v>
      </c>
      <c r="I39" s="88">
        <f>0.675-G38</f>
        <v>0.59000000000000008</v>
      </c>
      <c r="J39" s="88">
        <f>0.68-G38</f>
        <v>0.59500000000000008</v>
      </c>
      <c r="K39" s="88">
        <f t="shared" ref="K39:K43" si="36">5.7436*H39</f>
        <v>3.5438011999999999</v>
      </c>
      <c r="L39" s="88">
        <f t="shared" si="35"/>
        <v>3.3887240000000003</v>
      </c>
      <c r="M39" s="88">
        <f t="shared" si="35"/>
        <v>3.4174420000000003</v>
      </c>
      <c r="N39" s="88">
        <f t="shared" ref="N39:N40" si="37">AVERAGE(K39:M39)</f>
        <v>3.4499890666666673</v>
      </c>
      <c r="O39" s="88">
        <f t="shared" si="29"/>
        <v>0.68999781333333343</v>
      </c>
      <c r="P39" s="88">
        <f t="shared" si="32"/>
        <v>4.9285558095238102E-2</v>
      </c>
      <c r="Q39" s="88">
        <f t="shared" si="33"/>
        <v>4.9285558095238102E-2</v>
      </c>
      <c r="R39" s="88">
        <f t="shared" si="34"/>
        <v>3.0557046019047625</v>
      </c>
      <c r="S39" s="141"/>
      <c r="T39" s="88"/>
      <c r="U39" s="87"/>
      <c r="W39" s="93">
        <f>D50</f>
        <v>241.06666666666663</v>
      </c>
      <c r="X39" s="88">
        <f>S52</f>
        <v>2.1370398700000002</v>
      </c>
      <c r="Y39" s="88">
        <f>U52</f>
        <v>7.3810290524702074E-2</v>
      </c>
      <c r="Z39" s="88"/>
      <c r="AA39" s="140"/>
      <c r="AB39" s="140"/>
      <c r="AC39" s="140"/>
    </row>
    <row r="40" spans="2:29" ht="15" customHeight="1" x14ac:dyDescent="0.15">
      <c r="B40" s="208"/>
      <c r="C40" s="209"/>
      <c r="D40" s="252"/>
      <c r="E40" s="249"/>
      <c r="F40" s="95" t="s">
        <v>96</v>
      </c>
      <c r="G40" s="240"/>
      <c r="H40" s="96">
        <f>0.676-G38</f>
        <v>0.59100000000000008</v>
      </c>
      <c r="I40" s="98">
        <f>0.708-G38</f>
        <v>0.623</v>
      </c>
      <c r="J40" s="98">
        <f>0.79-G38</f>
        <v>0.70500000000000007</v>
      </c>
      <c r="K40" s="98">
        <f t="shared" si="36"/>
        <v>3.3944676000000005</v>
      </c>
      <c r="L40" s="98">
        <f t="shared" si="35"/>
        <v>3.5782628000000001</v>
      </c>
      <c r="M40" s="98">
        <f t="shared" si="35"/>
        <v>4.0492379999999999</v>
      </c>
      <c r="N40" s="98">
        <f t="shared" si="37"/>
        <v>3.6739894666666668</v>
      </c>
      <c r="O40" s="98">
        <f t="shared" si="29"/>
        <v>0.73479789333333334</v>
      </c>
      <c r="P40" s="98">
        <f t="shared" si="32"/>
        <v>5.2485563809523808E-2</v>
      </c>
      <c r="Q40" s="98">
        <f t="shared" si="33"/>
        <v>5.2485563809523808E-2</v>
      </c>
      <c r="R40" s="98">
        <f t="shared" si="34"/>
        <v>3.254104956190476</v>
      </c>
      <c r="S40" s="143">
        <f>AVERAGE(R38:R40)</f>
        <v>3.127490485079365</v>
      </c>
      <c r="T40" s="98">
        <f>STDEV(R38:R40)</f>
        <v>0.10997866014144618</v>
      </c>
      <c r="U40" s="97">
        <f>T40/SQRT(3)</f>
        <v>6.349620903777832E-2</v>
      </c>
      <c r="W40" s="93">
        <f>D53</f>
        <v>312.84999999999997</v>
      </c>
      <c r="X40" s="88">
        <f>S55</f>
        <v>1.864880876190476</v>
      </c>
      <c r="Y40" s="88">
        <f>U55</f>
        <v>0.14254418047944481</v>
      </c>
      <c r="Z40" s="88"/>
      <c r="AA40" s="140"/>
      <c r="AB40" s="140"/>
      <c r="AC40" s="140"/>
    </row>
    <row r="41" spans="2:29" x14ac:dyDescent="0.15">
      <c r="B41" s="194" t="s">
        <v>27</v>
      </c>
      <c r="C41" s="197">
        <v>0.48541666666666666</v>
      </c>
      <c r="D41" s="251">
        <f>11+16/60+12+24+D38</f>
        <v>95.816666666666663</v>
      </c>
      <c r="E41" s="235">
        <v>5</v>
      </c>
      <c r="F41" s="85" t="s">
        <v>94</v>
      </c>
      <c r="G41" s="237">
        <f>(0.086+0.084)/2</f>
        <v>8.4999999999999992E-2</v>
      </c>
      <c r="H41" s="86">
        <f>0.685-G41</f>
        <v>0.60000000000000009</v>
      </c>
      <c r="I41" s="88">
        <f>0.765-G41</f>
        <v>0.68</v>
      </c>
      <c r="J41" s="88">
        <f>0.706-G41</f>
        <v>0.621</v>
      </c>
      <c r="K41" s="88">
        <f t="shared" si="36"/>
        <v>3.4461600000000003</v>
      </c>
      <c r="L41" s="88">
        <f t="shared" si="35"/>
        <v>3.9056480000000002</v>
      </c>
      <c r="M41" s="88">
        <f t="shared" si="35"/>
        <v>3.5667755999999997</v>
      </c>
      <c r="N41" s="88">
        <f>AVERAGE(K41:M41)</f>
        <v>3.6395278666666666</v>
      </c>
      <c r="O41" s="88">
        <f t="shared" si="29"/>
        <v>0.72790557333333328</v>
      </c>
      <c r="P41" s="88">
        <f t="shared" si="32"/>
        <v>5.1993255238095233E-2</v>
      </c>
      <c r="Q41" s="88">
        <f t="shared" si="33"/>
        <v>5.1993255238095233E-2</v>
      </c>
      <c r="R41" s="88">
        <f t="shared" si="34"/>
        <v>3.2235818247619044</v>
      </c>
      <c r="S41" s="141"/>
      <c r="T41" s="88"/>
      <c r="U41" s="87"/>
      <c r="W41" s="93">
        <f>D56</f>
        <v>384.84999999999997</v>
      </c>
      <c r="X41" s="88">
        <f>S58</f>
        <v>1.443007584126984</v>
      </c>
      <c r="Y41" s="88">
        <f>U58</f>
        <v>3.6255872376268719E-2</v>
      </c>
      <c r="Z41" s="88"/>
      <c r="AA41" s="140"/>
      <c r="AB41" s="140"/>
      <c r="AC41" s="140"/>
    </row>
    <row r="42" spans="2:29" ht="15" customHeight="1" x14ac:dyDescent="0.15">
      <c r="B42" s="194"/>
      <c r="C42" s="197"/>
      <c r="D42" s="251"/>
      <c r="E42" s="235"/>
      <c r="F42" s="85" t="s">
        <v>95</v>
      </c>
      <c r="G42" s="237"/>
      <c r="H42" s="86">
        <f>0.672-G41</f>
        <v>0.58700000000000008</v>
      </c>
      <c r="I42" s="88">
        <f>0.681-G41</f>
        <v>0.59600000000000009</v>
      </c>
      <c r="J42" s="88">
        <f>0.686-G41</f>
        <v>0.60100000000000009</v>
      </c>
      <c r="K42" s="88">
        <f t="shared" si="36"/>
        <v>3.3714932000000002</v>
      </c>
      <c r="L42" s="88">
        <f t="shared" si="35"/>
        <v>3.4231856000000005</v>
      </c>
      <c r="M42" s="88">
        <f t="shared" si="35"/>
        <v>3.4519036000000005</v>
      </c>
      <c r="N42" s="88">
        <f t="shared" ref="N42:N49" si="38">AVERAGE(K42:M42)</f>
        <v>3.4155274666666671</v>
      </c>
      <c r="O42" s="88">
        <f t="shared" si="29"/>
        <v>0.68310549333333337</v>
      </c>
      <c r="P42" s="88">
        <f t="shared" si="32"/>
        <v>4.8793249523809527E-2</v>
      </c>
      <c r="Q42" s="88">
        <f t="shared" si="33"/>
        <v>4.8793249523809527E-2</v>
      </c>
      <c r="R42" s="88">
        <f t="shared" si="34"/>
        <v>3.0251814704761908</v>
      </c>
      <c r="S42" s="141"/>
      <c r="T42" s="88"/>
      <c r="U42" s="87"/>
      <c r="W42" s="93">
        <f>D59</f>
        <v>433.01666666666665</v>
      </c>
      <c r="X42" s="88">
        <f>S61</f>
        <v>1.2220726999999998</v>
      </c>
      <c r="Y42" s="88">
        <f>U61</f>
        <v>0.19855409269060476</v>
      </c>
      <c r="Z42" s="88"/>
      <c r="AA42" s="140"/>
      <c r="AB42" s="140"/>
      <c r="AC42" s="140"/>
    </row>
    <row r="43" spans="2:29" ht="15" customHeight="1" x14ac:dyDescent="0.15">
      <c r="B43" s="194"/>
      <c r="C43" s="197"/>
      <c r="D43" s="251"/>
      <c r="E43" s="235"/>
      <c r="F43" s="85" t="s">
        <v>96</v>
      </c>
      <c r="G43" s="237"/>
      <c r="H43" s="86">
        <f>0.675-G41</f>
        <v>0.59000000000000008</v>
      </c>
      <c r="I43" s="88">
        <f>0.672-G41</f>
        <v>0.58700000000000008</v>
      </c>
      <c r="J43" s="88">
        <f>0.67-G41</f>
        <v>0.58500000000000008</v>
      </c>
      <c r="K43" s="88">
        <f t="shared" si="36"/>
        <v>3.3887240000000003</v>
      </c>
      <c r="L43" s="88">
        <f t="shared" si="35"/>
        <v>3.3714932000000002</v>
      </c>
      <c r="M43" s="88">
        <f t="shared" si="35"/>
        <v>3.3600060000000003</v>
      </c>
      <c r="N43" s="88">
        <f t="shared" si="38"/>
        <v>3.3734077333333339</v>
      </c>
      <c r="O43" s="88">
        <f t="shared" si="29"/>
        <v>0.6746815466666668</v>
      </c>
      <c r="P43" s="88">
        <f t="shared" si="32"/>
        <v>4.819153904761906E-2</v>
      </c>
      <c r="Q43" s="88">
        <f t="shared" si="33"/>
        <v>4.819153904761906E-2</v>
      </c>
      <c r="R43" s="88">
        <f t="shared" si="34"/>
        <v>2.9878754209523817</v>
      </c>
      <c r="S43" s="141">
        <f>AVERAGE(R41:R43)</f>
        <v>3.0788795720634923</v>
      </c>
      <c r="T43" s="88">
        <f>STDEV(R41:R43)</f>
        <v>0.12669645529676257</v>
      </c>
      <c r="U43" s="87">
        <f>T43/SQRT(3)</f>
        <v>7.3148232570957261E-2</v>
      </c>
      <c r="W43" s="93"/>
      <c r="X43" s="88"/>
      <c r="Y43" s="88"/>
      <c r="Z43" s="88"/>
      <c r="AA43" s="140"/>
      <c r="AB43" s="140"/>
      <c r="AC43" s="140"/>
    </row>
    <row r="44" spans="2:29" x14ac:dyDescent="0.15">
      <c r="B44" s="193" t="s">
        <v>29</v>
      </c>
      <c r="C44" s="196">
        <v>0.52361111111111114</v>
      </c>
      <c r="D44" s="250">
        <f>55/60+24+24+D41</f>
        <v>144.73333333333335</v>
      </c>
      <c r="E44" s="248">
        <v>7</v>
      </c>
      <c r="F44" s="138" t="s">
        <v>94</v>
      </c>
      <c r="G44" s="239">
        <f>(0.065+0.073+0.067)/3</f>
        <v>6.8333333333333343E-2</v>
      </c>
      <c r="H44" s="106">
        <f>0.64-G44</f>
        <v>0.57166666666666666</v>
      </c>
      <c r="I44" s="110">
        <f>0.626-G44</f>
        <v>0.55766666666666664</v>
      </c>
      <c r="J44" s="110">
        <f>0.625-G44</f>
        <v>0.55666666666666664</v>
      </c>
      <c r="K44" s="110">
        <f>5.2957*H44</f>
        <v>3.0273751666666668</v>
      </c>
      <c r="L44" s="110">
        <f t="shared" ref="L44:M46" si="39">5.2957*I44</f>
        <v>2.9532353666666666</v>
      </c>
      <c r="M44" s="110">
        <f t="shared" si="39"/>
        <v>2.9479396666666666</v>
      </c>
      <c r="N44" s="110">
        <f t="shared" si="38"/>
        <v>2.9761834</v>
      </c>
      <c r="O44" s="110">
        <f t="shared" si="29"/>
        <v>0.59523667999999996</v>
      </c>
      <c r="P44" s="110">
        <f t="shared" si="32"/>
        <v>4.2516905714285715E-2</v>
      </c>
      <c r="Q44" s="110">
        <f t="shared" si="33"/>
        <v>4.2516905714285715E-2</v>
      </c>
      <c r="R44" s="110">
        <f t="shared" si="34"/>
        <v>2.6360481542857142</v>
      </c>
      <c r="S44" s="144"/>
      <c r="T44" s="117"/>
      <c r="U44" s="105"/>
    </row>
    <row r="45" spans="2:29" x14ac:dyDescent="0.15">
      <c r="B45" s="194"/>
      <c r="C45" s="197"/>
      <c r="D45" s="251"/>
      <c r="E45" s="235"/>
      <c r="F45" s="85" t="s">
        <v>95</v>
      </c>
      <c r="G45" s="237"/>
      <c r="H45" s="86">
        <f>0.622-G44</f>
        <v>0.55366666666666664</v>
      </c>
      <c r="I45" s="88">
        <f>0.623-G44</f>
        <v>0.55466666666666664</v>
      </c>
      <c r="J45" s="88">
        <f>0.634-G44</f>
        <v>0.56566666666666665</v>
      </c>
      <c r="K45" s="88">
        <f t="shared" ref="K45:K46" si="40">5.2957*H45</f>
        <v>2.9320525666666666</v>
      </c>
      <c r="L45" s="88">
        <f t="shared" si="39"/>
        <v>2.9373482666666666</v>
      </c>
      <c r="M45" s="88">
        <f t="shared" si="39"/>
        <v>2.9956009666666668</v>
      </c>
      <c r="N45" s="88">
        <f t="shared" si="38"/>
        <v>2.9550006</v>
      </c>
      <c r="O45" s="88">
        <f t="shared" si="29"/>
        <v>0.59100012000000002</v>
      </c>
      <c r="P45" s="88">
        <f t="shared" si="32"/>
        <v>4.2214294285714285E-2</v>
      </c>
      <c r="Q45" s="88">
        <f t="shared" si="33"/>
        <v>4.2214294285714285E-2</v>
      </c>
      <c r="R45" s="88">
        <f t="shared" si="34"/>
        <v>2.6172862457142858</v>
      </c>
      <c r="S45" s="139"/>
      <c r="T45" s="62"/>
      <c r="U45" s="84"/>
      <c r="W45" s="140"/>
      <c r="X45" s="140"/>
      <c r="Y45" s="140"/>
    </row>
    <row r="46" spans="2:29" x14ac:dyDescent="0.15">
      <c r="B46" s="208"/>
      <c r="C46" s="209"/>
      <c r="D46" s="252"/>
      <c r="E46" s="249"/>
      <c r="F46" s="95" t="s">
        <v>96</v>
      </c>
      <c r="G46" s="240"/>
      <c r="H46" s="96">
        <f>0.647-G44</f>
        <v>0.57866666666666666</v>
      </c>
      <c r="I46" s="98">
        <f>0.665-G44</f>
        <v>0.59666666666666668</v>
      </c>
      <c r="J46" s="98">
        <f>0.663-G44</f>
        <v>0.59466666666666668</v>
      </c>
      <c r="K46" s="98">
        <f t="shared" si="40"/>
        <v>3.0644450666666665</v>
      </c>
      <c r="L46" s="98">
        <f t="shared" si="39"/>
        <v>3.1597676666666668</v>
      </c>
      <c r="M46" s="98">
        <f t="shared" si="39"/>
        <v>3.1491762666666667</v>
      </c>
      <c r="N46" s="98">
        <f t="shared" si="38"/>
        <v>3.124463</v>
      </c>
      <c r="O46" s="98">
        <f t="shared" si="29"/>
        <v>0.62489260000000002</v>
      </c>
      <c r="P46" s="98">
        <f t="shared" si="32"/>
        <v>4.4635185714285715E-2</v>
      </c>
      <c r="Q46" s="98">
        <f t="shared" si="33"/>
        <v>4.4635185714285715E-2</v>
      </c>
      <c r="R46" s="98">
        <f t="shared" si="34"/>
        <v>2.7673815142857143</v>
      </c>
      <c r="S46" s="143">
        <f>AVERAGE(R44:R46)</f>
        <v>2.6735719714285717</v>
      </c>
      <c r="T46" s="98">
        <f>STDEV(R44:R46)</f>
        <v>8.1781263450806732E-2</v>
      </c>
      <c r="U46" s="97">
        <f>T46/SQRT(3)</f>
        <v>4.7216434467990974E-2</v>
      </c>
    </row>
    <row r="47" spans="2:29" x14ac:dyDescent="0.15">
      <c r="B47" s="194" t="s">
        <v>30</v>
      </c>
      <c r="C47" s="197">
        <v>0.50555555555555554</v>
      </c>
      <c r="D47" s="251">
        <f>10+34/60+13+24+D44</f>
        <v>192.3</v>
      </c>
      <c r="E47" s="235">
        <v>9</v>
      </c>
      <c r="F47" s="85" t="s">
        <v>94</v>
      </c>
      <c r="G47" s="237">
        <f>(0.073+0.076+0.073)/3</f>
        <v>7.3999999999999996E-2</v>
      </c>
      <c r="H47" s="86">
        <f>0.609-G47</f>
        <v>0.53500000000000003</v>
      </c>
      <c r="I47" s="88">
        <f>0.599-G47</f>
        <v>0.52500000000000002</v>
      </c>
      <c r="J47" s="88">
        <f>0.587-G47</f>
        <v>0.51300000000000001</v>
      </c>
      <c r="K47" s="88">
        <f>5.4029*H47</f>
        <v>2.8905514999999999</v>
      </c>
      <c r="L47" s="88">
        <f t="shared" ref="L47:M49" si="41">5.4029*I47</f>
        <v>2.8365225000000001</v>
      </c>
      <c r="M47" s="88">
        <f t="shared" si="41"/>
        <v>2.7716876999999998</v>
      </c>
      <c r="N47" s="88">
        <f t="shared" si="38"/>
        <v>2.8329205666666666</v>
      </c>
      <c r="O47" s="88">
        <f t="shared" si="29"/>
        <v>0.56658411333333336</v>
      </c>
      <c r="P47" s="88">
        <f t="shared" si="32"/>
        <v>4.0470293809523813E-2</v>
      </c>
      <c r="Q47" s="88">
        <f t="shared" si="33"/>
        <v>4.0470293809523813E-2</v>
      </c>
      <c r="R47" s="88">
        <f t="shared" si="34"/>
        <v>2.5091582161904764</v>
      </c>
      <c r="S47" s="139"/>
      <c r="T47" s="62"/>
      <c r="U47" s="84"/>
    </row>
    <row r="48" spans="2:29" x14ac:dyDescent="0.15">
      <c r="B48" s="194"/>
      <c r="C48" s="197"/>
      <c r="D48" s="251"/>
      <c r="E48" s="235"/>
      <c r="F48" s="85" t="s">
        <v>95</v>
      </c>
      <c r="G48" s="237"/>
      <c r="H48" s="86">
        <f>0.584-G47</f>
        <v>0.51</v>
      </c>
      <c r="I48" s="88">
        <f>0.6-G47</f>
        <v>0.52600000000000002</v>
      </c>
      <c r="J48" s="88">
        <f>0.6-G47</f>
        <v>0.52600000000000002</v>
      </c>
      <c r="K48" s="88">
        <f t="shared" ref="K48:K49" si="42">5.4029*H48</f>
        <v>2.7554789999999998</v>
      </c>
      <c r="L48" s="88">
        <f t="shared" si="41"/>
        <v>2.8419254</v>
      </c>
      <c r="M48" s="88">
        <f t="shared" si="41"/>
        <v>2.8419254</v>
      </c>
      <c r="N48" s="88">
        <f t="shared" si="38"/>
        <v>2.8131099333333331</v>
      </c>
      <c r="O48" s="88">
        <f t="shared" si="29"/>
        <v>0.56262198666666663</v>
      </c>
      <c r="P48" s="88">
        <f t="shared" si="32"/>
        <v>4.0187284761904758E-2</v>
      </c>
      <c r="Q48" s="88">
        <f t="shared" si="33"/>
        <v>4.0187284761904758E-2</v>
      </c>
      <c r="R48" s="88">
        <f t="shared" si="34"/>
        <v>2.4916116552380951</v>
      </c>
      <c r="S48" s="139"/>
      <c r="T48" s="62"/>
      <c r="U48" s="84"/>
    </row>
    <row r="49" spans="2:29" x14ac:dyDescent="0.15">
      <c r="B49" s="194"/>
      <c r="C49" s="197"/>
      <c r="D49" s="251"/>
      <c r="E49" s="235"/>
      <c r="F49" s="85" t="s">
        <v>96</v>
      </c>
      <c r="G49" s="237"/>
      <c r="H49" s="86">
        <f>0.573-G47</f>
        <v>0.49899999999999994</v>
      </c>
      <c r="I49" s="88">
        <f>0.576-G47</f>
        <v>0.502</v>
      </c>
      <c r="J49" s="88">
        <f>0.584-G47</f>
        <v>0.51</v>
      </c>
      <c r="K49" s="88">
        <f t="shared" si="42"/>
        <v>2.6960470999999995</v>
      </c>
      <c r="L49" s="88">
        <f t="shared" si="41"/>
        <v>2.7122557999999999</v>
      </c>
      <c r="M49" s="88">
        <f t="shared" si="41"/>
        <v>2.7554789999999998</v>
      </c>
      <c r="N49" s="88">
        <f t="shared" si="38"/>
        <v>2.7212606333333329</v>
      </c>
      <c r="O49" s="88">
        <f t="shared" si="29"/>
        <v>0.54425212666666656</v>
      </c>
      <c r="P49" s="88">
        <f t="shared" si="32"/>
        <v>3.8875151904761894E-2</v>
      </c>
      <c r="Q49" s="88">
        <f t="shared" si="33"/>
        <v>3.8875151904761894E-2</v>
      </c>
      <c r="R49" s="88">
        <f t="shared" si="34"/>
        <v>2.4102594180952375</v>
      </c>
      <c r="S49" s="141">
        <f>AVERAGE(R47:R49)</f>
        <v>2.4703430965079365</v>
      </c>
      <c r="T49" s="88">
        <f>STDEV(R47:R49)</f>
        <v>5.2768425777299531E-2</v>
      </c>
      <c r="U49" s="87">
        <f>T49/SQRT(3)</f>
        <v>3.0465864827236674E-2</v>
      </c>
    </row>
    <row r="50" spans="2:29" x14ac:dyDescent="0.15">
      <c r="B50" s="193" t="s">
        <v>38</v>
      </c>
      <c r="C50" s="196">
        <v>0.53749999999999998</v>
      </c>
      <c r="D50" s="250">
        <v>241.06666666666663</v>
      </c>
      <c r="E50" s="248">
        <v>11</v>
      </c>
      <c r="F50" s="138" t="s">
        <v>94</v>
      </c>
      <c r="G50" s="239">
        <v>6.533333333333334E-2</v>
      </c>
      <c r="H50" s="106">
        <f>1.572-G50</f>
        <v>1.5066666666666668</v>
      </c>
      <c r="I50" s="110">
        <f>1.572-G50</f>
        <v>1.5066666666666668</v>
      </c>
      <c r="J50" s="110">
        <f>1.572-G50</f>
        <v>1.5066666666666668</v>
      </c>
      <c r="K50" s="110">
        <f>3.3959*H50</f>
        <v>5.1164893333333339</v>
      </c>
      <c r="L50" s="110">
        <f t="shared" ref="L50:M52" si="43">3.3959*I50</f>
        <v>5.1164893333333339</v>
      </c>
      <c r="M50" s="110">
        <f t="shared" si="43"/>
        <v>5.1164893333333339</v>
      </c>
      <c r="N50" s="110">
        <f t="shared" ref="N50:N61" si="44">AVERAGE(K50:M50)</f>
        <v>5.1164893333333339</v>
      </c>
      <c r="O50" s="110">
        <f>N50/10</f>
        <v>0.51164893333333339</v>
      </c>
      <c r="P50" s="110">
        <f t="shared" si="32"/>
        <v>3.6546352380952385E-2</v>
      </c>
      <c r="Q50" s="110">
        <f t="shared" si="33"/>
        <v>3.6546352380952385E-2</v>
      </c>
      <c r="R50" s="110">
        <f t="shared" si="34"/>
        <v>2.2658738476190479</v>
      </c>
      <c r="S50" s="142"/>
      <c r="T50" s="110"/>
      <c r="U50" s="107"/>
    </row>
    <row r="51" spans="2:29" x14ac:dyDescent="0.15">
      <c r="B51" s="194"/>
      <c r="C51" s="197"/>
      <c r="D51" s="251"/>
      <c r="E51" s="235"/>
      <c r="F51" s="85" t="s">
        <v>95</v>
      </c>
      <c r="G51" s="237"/>
      <c r="H51" s="86">
        <f>1.402-G50</f>
        <v>1.3366666666666667</v>
      </c>
      <c r="I51" s="88">
        <f>1.402-G50</f>
        <v>1.3366666666666667</v>
      </c>
      <c r="J51" s="88">
        <f>1.402-G50</f>
        <v>1.3366666666666667</v>
      </c>
      <c r="K51" s="88">
        <f t="shared" ref="K51:K52" si="45">3.3959*H51</f>
        <v>4.5391863333333333</v>
      </c>
      <c r="L51" s="88">
        <f t="shared" si="43"/>
        <v>4.5391863333333333</v>
      </c>
      <c r="M51" s="88">
        <f t="shared" si="43"/>
        <v>4.5391863333333333</v>
      </c>
      <c r="N51" s="88">
        <f t="shared" si="44"/>
        <v>4.5391863333333333</v>
      </c>
      <c r="O51" s="88">
        <f>N51/10</f>
        <v>0.45391863333333332</v>
      </c>
      <c r="P51" s="88">
        <f t="shared" si="32"/>
        <v>3.2422759523809526E-2</v>
      </c>
      <c r="Q51" s="88">
        <f t="shared" si="33"/>
        <v>3.2422759523809526E-2</v>
      </c>
      <c r="R51" s="88">
        <f t="shared" si="34"/>
        <v>2.0102110904761905</v>
      </c>
      <c r="S51" s="141"/>
      <c r="T51" s="88"/>
      <c r="U51" s="87"/>
    </row>
    <row r="52" spans="2:29" x14ac:dyDescent="0.15">
      <c r="B52" s="208"/>
      <c r="C52" s="209"/>
      <c r="D52" s="252"/>
      <c r="E52" s="249"/>
      <c r="F52" s="95" t="s">
        <v>96</v>
      </c>
      <c r="G52" s="240"/>
      <c r="H52" s="96">
        <f>1.485-G50</f>
        <v>1.4196666666666669</v>
      </c>
      <c r="I52" s="98">
        <f>1.485-G50</f>
        <v>1.4196666666666669</v>
      </c>
      <c r="J52" s="98">
        <f>1.485-G50</f>
        <v>1.4196666666666669</v>
      </c>
      <c r="K52" s="98">
        <f t="shared" si="45"/>
        <v>4.8210460333333343</v>
      </c>
      <c r="L52" s="98">
        <f t="shared" si="43"/>
        <v>4.8210460333333343</v>
      </c>
      <c r="M52" s="98">
        <f t="shared" si="43"/>
        <v>4.8210460333333343</v>
      </c>
      <c r="N52" s="98">
        <f t="shared" si="44"/>
        <v>4.8210460333333343</v>
      </c>
      <c r="O52" s="98">
        <f>N52/10</f>
        <v>0.48210460333333344</v>
      </c>
      <c r="P52" s="98">
        <f t="shared" si="32"/>
        <v>3.4436043095238102E-2</v>
      </c>
      <c r="Q52" s="98">
        <f t="shared" si="33"/>
        <v>3.4436043095238102E-2</v>
      </c>
      <c r="R52" s="98">
        <f t="shared" si="34"/>
        <v>2.1350346719047621</v>
      </c>
      <c r="S52" s="143">
        <f>AVERAGE(R50:R52)</f>
        <v>2.1370398700000002</v>
      </c>
      <c r="T52" s="98">
        <f>STDEV(R50:R52)</f>
        <v>0.12784317331020367</v>
      </c>
      <c r="U52" s="97">
        <f>T52/SQRT(3)</f>
        <v>7.3810290524702074E-2</v>
      </c>
    </row>
    <row r="53" spans="2:29" x14ac:dyDescent="0.15">
      <c r="B53" s="194" t="s">
        <v>32</v>
      </c>
      <c r="C53" s="197">
        <v>0.53749999999999998</v>
      </c>
      <c r="D53" s="251">
        <v>312.84999999999997</v>
      </c>
      <c r="E53" s="235">
        <v>14</v>
      </c>
      <c r="F53" s="85" t="s">
        <v>94</v>
      </c>
      <c r="G53" s="237">
        <f>(0.073+0.077+0.072)/3</f>
        <v>7.3999999999999996E-2</v>
      </c>
      <c r="H53" s="86">
        <f>0.979-G53</f>
        <v>0.90500000000000003</v>
      </c>
      <c r="I53" s="88">
        <f>0.894-G53</f>
        <v>0.82000000000000006</v>
      </c>
      <c r="J53" s="88">
        <f>0.91-G53</f>
        <v>0.83600000000000008</v>
      </c>
      <c r="K53" s="88">
        <f>5.388*H53</f>
        <v>4.8761400000000004</v>
      </c>
      <c r="L53" s="88">
        <f t="shared" ref="L53:M55" si="46">5.388*I53</f>
        <v>4.4181600000000003</v>
      </c>
      <c r="M53" s="88">
        <f t="shared" si="46"/>
        <v>4.5043680000000004</v>
      </c>
      <c r="N53" s="88">
        <f t="shared" si="44"/>
        <v>4.5995559999999998</v>
      </c>
      <c r="O53" s="88">
        <f t="shared" ref="O53:O55" si="47">N53/10</f>
        <v>0.45995559999999996</v>
      </c>
      <c r="P53" s="88">
        <f t="shared" si="32"/>
        <v>3.2853971428571424E-2</v>
      </c>
      <c r="Q53" s="88">
        <f t="shared" si="33"/>
        <v>3.2853971428571424E-2</v>
      </c>
      <c r="R53" s="88">
        <f t="shared" si="34"/>
        <v>2.0369462285714284</v>
      </c>
      <c r="S53" s="141"/>
      <c r="T53" s="88"/>
      <c r="U53" s="87"/>
    </row>
    <row r="54" spans="2:29" x14ac:dyDescent="0.15">
      <c r="B54" s="194"/>
      <c r="C54" s="197"/>
      <c r="D54" s="251"/>
      <c r="E54" s="235"/>
      <c r="F54" s="85" t="s">
        <v>95</v>
      </c>
      <c r="G54" s="237"/>
      <c r="H54" s="86">
        <f>0.99-G53</f>
        <v>0.91600000000000004</v>
      </c>
      <c r="I54" s="88">
        <f>0.903-G53</f>
        <v>0.82900000000000007</v>
      </c>
      <c r="J54" s="88">
        <f>0.813-G53</f>
        <v>0.73899999999999999</v>
      </c>
      <c r="K54" s="88">
        <f t="shared" ref="K54:K55" si="48">5.388*H54</f>
        <v>4.9354079999999998</v>
      </c>
      <c r="L54" s="88">
        <f t="shared" si="46"/>
        <v>4.4666520000000007</v>
      </c>
      <c r="M54" s="88">
        <f t="shared" si="46"/>
        <v>3.981732</v>
      </c>
      <c r="N54" s="88">
        <f t="shared" si="44"/>
        <v>4.4612639999999999</v>
      </c>
      <c r="O54" s="88">
        <f t="shared" si="47"/>
        <v>0.44612639999999998</v>
      </c>
      <c r="P54" s="88">
        <f t="shared" si="32"/>
        <v>3.1866171428571427E-2</v>
      </c>
      <c r="Q54" s="88">
        <f t="shared" si="33"/>
        <v>3.1866171428571427E-2</v>
      </c>
      <c r="R54" s="88">
        <f t="shared" si="34"/>
        <v>1.9757026285714285</v>
      </c>
      <c r="S54" s="141"/>
      <c r="T54" s="88"/>
      <c r="U54" s="87"/>
    </row>
    <row r="55" spans="2:29" x14ac:dyDescent="0.15">
      <c r="B55" s="194"/>
      <c r="C55" s="197"/>
      <c r="D55" s="251"/>
      <c r="E55" s="235"/>
      <c r="F55" s="85" t="s">
        <v>96</v>
      </c>
      <c r="G55" s="237"/>
      <c r="H55" s="86">
        <f>0.83-G53</f>
        <v>0.75600000000000001</v>
      </c>
      <c r="I55" s="88">
        <f>0.733-G53</f>
        <v>0.65900000000000003</v>
      </c>
      <c r="J55" s="88">
        <f>0.648-G53</f>
        <v>0.57400000000000007</v>
      </c>
      <c r="K55" s="88">
        <f t="shared" si="48"/>
        <v>4.0733280000000001</v>
      </c>
      <c r="L55" s="88">
        <f t="shared" si="46"/>
        <v>3.5506920000000002</v>
      </c>
      <c r="M55" s="88">
        <f t="shared" si="46"/>
        <v>3.0927120000000001</v>
      </c>
      <c r="N55" s="88">
        <f t="shared" si="44"/>
        <v>3.572244</v>
      </c>
      <c r="O55" s="88">
        <f t="shared" si="47"/>
        <v>0.3572244</v>
      </c>
      <c r="P55" s="88">
        <f t="shared" si="32"/>
        <v>2.5516028571428571E-2</v>
      </c>
      <c r="Q55" s="88">
        <f t="shared" si="33"/>
        <v>2.5516028571428571E-2</v>
      </c>
      <c r="R55" s="88">
        <f t="shared" si="34"/>
        <v>1.5819937714285714</v>
      </c>
      <c r="S55" s="141">
        <f>AVERAGE(R53:R55)</f>
        <v>1.864880876190476</v>
      </c>
      <c r="T55" s="88">
        <f>STDEV(R53:R55)</f>
        <v>0.24689376291366616</v>
      </c>
      <c r="U55" s="87">
        <f>T55/SQRT(3)</f>
        <v>0.14254418047944481</v>
      </c>
    </row>
    <row r="56" spans="2:29" x14ac:dyDescent="0.15">
      <c r="B56" s="193" t="s">
        <v>36</v>
      </c>
      <c r="C56" s="196">
        <v>0.53749999999999998</v>
      </c>
      <c r="D56" s="250">
        <v>384.84999999999997</v>
      </c>
      <c r="E56" s="248">
        <v>17</v>
      </c>
      <c r="F56" s="138" t="s">
        <v>94</v>
      </c>
      <c r="G56" s="239">
        <v>7.2333333333333319E-2</v>
      </c>
      <c r="H56" s="106">
        <f>0.866-G56</f>
        <v>0.79366666666666663</v>
      </c>
      <c r="I56" s="110">
        <f>0.867-G56</f>
        <v>0.79466666666666663</v>
      </c>
      <c r="J56" s="110">
        <f>0.905-G56</f>
        <v>0.83266666666666667</v>
      </c>
      <c r="K56" s="110">
        <f>3.9395*H56</f>
        <v>3.126649833333333</v>
      </c>
      <c r="L56" s="110">
        <f t="shared" ref="L56:M58" si="49">3.9395*I56</f>
        <v>3.130589333333333</v>
      </c>
      <c r="M56" s="110">
        <f t="shared" si="49"/>
        <v>3.2802903333333333</v>
      </c>
      <c r="N56" s="110">
        <f t="shared" si="44"/>
        <v>3.1791765000000001</v>
      </c>
      <c r="O56" s="110">
        <f>N56/10</f>
        <v>0.31791765</v>
      </c>
      <c r="P56" s="110">
        <f t="shared" si="32"/>
        <v>2.270840357142857E-2</v>
      </c>
      <c r="Q56" s="110">
        <f t="shared" si="33"/>
        <v>2.270840357142857E-2</v>
      </c>
      <c r="R56" s="110">
        <f t="shared" si="34"/>
        <v>1.4079210214285713</v>
      </c>
      <c r="S56" s="144"/>
      <c r="T56" s="117"/>
      <c r="U56" s="105"/>
    </row>
    <row r="57" spans="2:29" x14ac:dyDescent="0.15">
      <c r="B57" s="194"/>
      <c r="C57" s="197"/>
      <c r="D57" s="251"/>
      <c r="E57" s="235"/>
      <c r="F57" s="85" t="s">
        <v>95</v>
      </c>
      <c r="G57" s="237"/>
      <c r="H57" s="86">
        <f>0.852-G56</f>
        <v>0.77966666666666662</v>
      </c>
      <c r="I57" s="88">
        <f>0.877-G56</f>
        <v>0.80466666666666664</v>
      </c>
      <c r="J57" s="88">
        <f>0.905-G56</f>
        <v>0.83266666666666667</v>
      </c>
      <c r="K57" s="88">
        <f t="shared" ref="K57:K58" si="50">3.9395*H57</f>
        <v>3.0714968333333328</v>
      </c>
      <c r="L57" s="88">
        <f t="shared" si="49"/>
        <v>3.1699843333333328</v>
      </c>
      <c r="M57" s="88">
        <f t="shared" si="49"/>
        <v>3.2802903333333333</v>
      </c>
      <c r="N57" s="88">
        <f t="shared" si="44"/>
        <v>3.1739238333333333</v>
      </c>
      <c r="O57" s="88">
        <f>N57/10</f>
        <v>0.31739238333333331</v>
      </c>
      <c r="P57" s="88">
        <f t="shared" si="32"/>
        <v>2.2670884523809522E-2</v>
      </c>
      <c r="Q57" s="88">
        <f t="shared" si="33"/>
        <v>2.2670884523809522E-2</v>
      </c>
      <c r="R57" s="88">
        <f t="shared" si="34"/>
        <v>1.4055948404761904</v>
      </c>
      <c r="S57" s="139"/>
      <c r="T57" s="62"/>
      <c r="U57" s="84"/>
    </row>
    <row r="58" spans="2:29" x14ac:dyDescent="0.15">
      <c r="B58" s="208"/>
      <c r="C58" s="209"/>
      <c r="D58" s="252"/>
      <c r="E58" s="249"/>
      <c r="F58" s="95" t="s">
        <v>96</v>
      </c>
      <c r="G58" s="240"/>
      <c r="H58" s="96">
        <f>0.905-G56</f>
        <v>0.83266666666666667</v>
      </c>
      <c r="I58" s="98">
        <f>0.909-G56</f>
        <v>0.83666666666666667</v>
      </c>
      <c r="J58" s="98">
        <f>1.009-G56</f>
        <v>0.93666666666666654</v>
      </c>
      <c r="K58" s="98">
        <f t="shared" si="50"/>
        <v>3.2802903333333333</v>
      </c>
      <c r="L58" s="98">
        <f t="shared" si="49"/>
        <v>3.2960483333333332</v>
      </c>
      <c r="M58" s="98">
        <f t="shared" si="49"/>
        <v>3.6899983333333326</v>
      </c>
      <c r="N58" s="98">
        <f t="shared" si="44"/>
        <v>3.4221123333333332</v>
      </c>
      <c r="O58" s="98">
        <f>N58/10</f>
        <v>0.34221123333333331</v>
      </c>
      <c r="P58" s="98">
        <f t="shared" si="32"/>
        <v>2.4443659523809523E-2</v>
      </c>
      <c r="Q58" s="98">
        <f t="shared" si="33"/>
        <v>2.4443659523809523E-2</v>
      </c>
      <c r="R58" s="98">
        <f t="shared" si="34"/>
        <v>1.5155068904761904</v>
      </c>
      <c r="S58" s="143">
        <f>AVERAGE(R56:R58)</f>
        <v>1.443007584126984</v>
      </c>
      <c r="T58" s="98">
        <f>STDEV(R56:R58)</f>
        <v>6.2797013028430382E-2</v>
      </c>
      <c r="U58" s="97">
        <f>T58/SQRT(3)</f>
        <v>3.6255872376268719E-2</v>
      </c>
    </row>
    <row r="59" spans="2:29" x14ac:dyDescent="0.15">
      <c r="B59" s="194" t="s">
        <v>33</v>
      </c>
      <c r="C59" s="197">
        <v>0.54583333333333328</v>
      </c>
      <c r="D59" s="251">
        <v>433.01666666666665</v>
      </c>
      <c r="E59" s="235">
        <v>19</v>
      </c>
      <c r="F59" s="85" t="s">
        <v>94</v>
      </c>
      <c r="G59" s="237">
        <f>(0.07+0.074+0.071)/3</f>
        <v>7.166666666666667E-2</v>
      </c>
      <c r="H59" s="86">
        <f>0.309-G59</f>
        <v>0.23733333333333334</v>
      </c>
      <c r="I59" s="88">
        <f>0.316-G59</f>
        <v>0.24433333333333335</v>
      </c>
      <c r="J59" s="88">
        <f>0.317-G59</f>
        <v>0.24533333333333335</v>
      </c>
      <c r="K59" s="88">
        <f>5.1849*H59</f>
        <v>1.2305496</v>
      </c>
      <c r="L59" s="88">
        <f t="shared" ref="L59:M61" si="51">5.1849*I59</f>
        <v>1.2668439</v>
      </c>
      <c r="M59" s="88">
        <f t="shared" si="51"/>
        <v>1.2720288</v>
      </c>
      <c r="N59" s="88">
        <f t="shared" si="44"/>
        <v>1.2564741000000001</v>
      </c>
      <c r="O59" s="88">
        <f>N59/5</f>
        <v>0.25129482000000003</v>
      </c>
      <c r="P59" s="88">
        <f t="shared" si="32"/>
        <v>1.7949630000000001E-2</v>
      </c>
      <c r="Q59" s="88">
        <f t="shared" si="33"/>
        <v>1.7949630000000001E-2</v>
      </c>
      <c r="R59" s="88">
        <f t="shared" si="34"/>
        <v>1.11287706</v>
      </c>
      <c r="S59" s="139"/>
      <c r="T59" s="62"/>
      <c r="U59" s="84"/>
    </row>
    <row r="60" spans="2:29" x14ac:dyDescent="0.15">
      <c r="B60" s="194"/>
      <c r="C60" s="197"/>
      <c r="D60" s="251"/>
      <c r="E60" s="235"/>
      <c r="F60" s="85" t="s">
        <v>95</v>
      </c>
      <c r="G60" s="237"/>
      <c r="H60" s="86">
        <f>0.416-G59</f>
        <v>0.34433333333333332</v>
      </c>
      <c r="I60" s="88">
        <f>0.421-G59</f>
        <v>0.34933333333333333</v>
      </c>
      <c r="J60" s="88">
        <f>0.428-G59</f>
        <v>0.35633333333333334</v>
      </c>
      <c r="K60" s="88">
        <f t="shared" ref="K60:K61" si="52">5.1849*H60</f>
        <v>1.7853338999999999</v>
      </c>
      <c r="L60" s="88">
        <f t="shared" si="51"/>
        <v>1.8112583999999998</v>
      </c>
      <c r="M60" s="88">
        <f t="shared" si="51"/>
        <v>1.8475527</v>
      </c>
      <c r="N60" s="88">
        <f t="shared" si="44"/>
        <v>1.8147149999999999</v>
      </c>
      <c r="O60" s="88">
        <f>N60/5</f>
        <v>0.36294299999999996</v>
      </c>
      <c r="P60" s="88">
        <f t="shared" si="32"/>
        <v>2.5924499999999996E-2</v>
      </c>
      <c r="Q60" s="88">
        <f t="shared" si="33"/>
        <v>2.5924499999999996E-2</v>
      </c>
      <c r="R60" s="88">
        <f t="shared" si="34"/>
        <v>1.6073189999999997</v>
      </c>
      <c r="S60" s="139"/>
      <c r="T60" s="62"/>
      <c r="U60" s="84"/>
    </row>
    <row r="61" spans="2:29" ht="14" thickBot="1" x14ac:dyDescent="0.2">
      <c r="B61" s="195"/>
      <c r="C61" s="198"/>
      <c r="D61" s="255"/>
      <c r="E61" s="236"/>
      <c r="F61" s="85" t="s">
        <v>96</v>
      </c>
      <c r="G61" s="238"/>
      <c r="H61" s="86">
        <f>0.274-G59</f>
        <v>0.20233333333333337</v>
      </c>
      <c r="I61" s="88">
        <f>0.276-G59</f>
        <v>0.20433333333333337</v>
      </c>
      <c r="J61" s="88">
        <f>0.283-G59</f>
        <v>0.21133333333333332</v>
      </c>
      <c r="K61" s="88">
        <f t="shared" si="52"/>
        <v>1.0490781000000002</v>
      </c>
      <c r="L61" s="88">
        <f t="shared" si="51"/>
        <v>1.0594479000000001</v>
      </c>
      <c r="M61" s="88">
        <f t="shared" si="51"/>
        <v>1.0957421999999999</v>
      </c>
      <c r="N61" s="88">
        <f t="shared" si="44"/>
        <v>1.0680894000000001</v>
      </c>
      <c r="O61" s="88">
        <f>N61/5</f>
        <v>0.21361788000000001</v>
      </c>
      <c r="P61" s="120">
        <f t="shared" si="32"/>
        <v>1.525842E-2</v>
      </c>
      <c r="Q61" s="120">
        <f t="shared" si="33"/>
        <v>1.525842E-2</v>
      </c>
      <c r="R61" s="120">
        <f t="shared" si="34"/>
        <v>0.94602204000000001</v>
      </c>
      <c r="S61" s="145">
        <f>AVERAGE(R59:R61)</f>
        <v>1.2220726999999998</v>
      </c>
      <c r="T61" s="120">
        <f>STDEV(R59:R61)</f>
        <v>0.34390577659086768</v>
      </c>
      <c r="U61" s="119">
        <f>T61/SQRT(3)</f>
        <v>0.19855409269060476</v>
      </c>
    </row>
    <row r="62" spans="2:29" ht="17" thickBot="1" x14ac:dyDescent="0.2">
      <c r="B62" s="244" t="s">
        <v>74</v>
      </c>
      <c r="C62" s="245"/>
      <c r="D62" s="245"/>
      <c r="E62" s="245"/>
      <c r="F62" s="245"/>
      <c r="G62" s="245"/>
      <c r="H62" s="245"/>
      <c r="I62" s="245"/>
      <c r="J62" s="245"/>
      <c r="K62" s="245"/>
      <c r="L62" s="245"/>
      <c r="M62" s="245"/>
      <c r="N62" s="245"/>
      <c r="O62" s="245"/>
      <c r="P62" s="245"/>
      <c r="Q62" s="245"/>
      <c r="R62" s="245"/>
      <c r="S62" s="245"/>
      <c r="T62" s="245"/>
      <c r="U62" s="246"/>
    </row>
    <row r="63" spans="2:29" ht="30" x14ac:dyDescent="0.15">
      <c r="B63" s="129" t="s">
        <v>0</v>
      </c>
      <c r="C63" s="72" t="s">
        <v>1</v>
      </c>
      <c r="D63" s="72" t="s">
        <v>2</v>
      </c>
      <c r="E63" s="130" t="s">
        <v>20</v>
      </c>
      <c r="F63" s="131"/>
      <c r="G63" s="131" t="s">
        <v>21</v>
      </c>
      <c r="H63" s="232" t="s">
        <v>22</v>
      </c>
      <c r="I63" s="233"/>
      <c r="J63" s="233"/>
      <c r="K63" s="234" t="s">
        <v>104</v>
      </c>
      <c r="L63" s="234"/>
      <c r="M63" s="234"/>
      <c r="N63" s="72" t="s">
        <v>23</v>
      </c>
      <c r="O63" s="72" t="s">
        <v>24</v>
      </c>
      <c r="P63" s="72" t="s">
        <v>24</v>
      </c>
      <c r="Q63" s="72" t="s">
        <v>102</v>
      </c>
      <c r="R63" s="130" t="s">
        <v>102</v>
      </c>
      <c r="S63" s="72" t="s">
        <v>103</v>
      </c>
      <c r="T63" s="72" t="s">
        <v>84</v>
      </c>
      <c r="U63" s="132" t="s">
        <v>62</v>
      </c>
      <c r="W63" s="62" t="s">
        <v>2</v>
      </c>
      <c r="X63" s="83" t="str">
        <f>S63</f>
        <v>Average NO3 concentration</v>
      </c>
      <c r="Y63" s="83" t="str">
        <f>U63</f>
        <v>Standard error</v>
      </c>
      <c r="Z63" s="62"/>
      <c r="AA63" s="133"/>
      <c r="AB63" s="133"/>
      <c r="AC63" s="133"/>
    </row>
    <row r="64" spans="2:29" ht="14" x14ac:dyDescent="0.15">
      <c r="B64" s="134"/>
      <c r="C64" s="135"/>
      <c r="D64" s="136"/>
      <c r="E64" s="136"/>
      <c r="F64" s="137"/>
      <c r="G64" s="137"/>
      <c r="H64" s="136"/>
      <c r="I64" s="136"/>
      <c r="J64" s="136"/>
      <c r="K64" s="80"/>
      <c r="L64" s="80"/>
      <c r="M64" s="80"/>
      <c r="N64" s="80" t="s">
        <v>25</v>
      </c>
      <c r="O64" s="80" t="s">
        <v>18</v>
      </c>
      <c r="P64" s="80" t="s">
        <v>26</v>
      </c>
      <c r="Q64" s="80" t="s">
        <v>26</v>
      </c>
      <c r="R64" s="76" t="s">
        <v>18</v>
      </c>
      <c r="S64" s="80" t="s">
        <v>18</v>
      </c>
      <c r="T64" s="80"/>
      <c r="U64" s="82"/>
      <c r="W64" s="93">
        <v>0</v>
      </c>
      <c r="X64" s="88">
        <f>S67</f>
        <v>6.2551357733333326</v>
      </c>
      <c r="Y64" s="88">
        <f>U67</f>
        <v>0.12388042857142878</v>
      </c>
      <c r="Z64" s="88"/>
      <c r="AA64" s="133"/>
      <c r="AB64" s="133"/>
      <c r="AC64" s="133"/>
    </row>
    <row r="65" spans="2:29" x14ac:dyDescent="0.15">
      <c r="B65" s="194" t="s">
        <v>8</v>
      </c>
      <c r="C65" s="197">
        <v>0.4465277777777778</v>
      </c>
      <c r="D65" s="231">
        <v>0</v>
      </c>
      <c r="E65" s="235">
        <v>1</v>
      </c>
      <c r="F65" s="85" t="s">
        <v>94</v>
      </c>
      <c r="G65" s="237">
        <f>(0.083+0.071)/2</f>
        <v>7.6999999999999999E-2</v>
      </c>
      <c r="H65" s="86">
        <f>0.704-G65</f>
        <v>0.627</v>
      </c>
      <c r="I65" s="88">
        <f>0.708-G65</f>
        <v>0.63100000000000001</v>
      </c>
      <c r="J65" s="88">
        <f>0.715-G65</f>
        <v>0.63800000000000001</v>
      </c>
      <c r="K65" s="88">
        <f>5.5946*H65</f>
        <v>3.5078141999999999</v>
      </c>
      <c r="L65" s="88">
        <f t="shared" ref="L65:M67" si="53">5.5946*I65</f>
        <v>3.5301925999999999</v>
      </c>
      <c r="M65" s="88">
        <f t="shared" si="53"/>
        <v>3.5693547999999997</v>
      </c>
      <c r="N65" s="88">
        <f>AVERAGE(K65:M65)</f>
        <v>3.5357871999999997</v>
      </c>
      <c r="O65" s="88">
        <f t="shared" ref="O65:O73" si="54">N65/2.5</f>
        <v>1.4143148799999998</v>
      </c>
      <c r="P65" s="88">
        <f>O65/14</f>
        <v>0.10102249142857142</v>
      </c>
      <c r="Q65" s="88">
        <f>P65</f>
        <v>0.10102249142857142</v>
      </c>
      <c r="R65" s="88">
        <f>Q65*62</f>
        <v>6.2633944685714278</v>
      </c>
      <c r="S65" s="139"/>
      <c r="T65" s="62"/>
      <c r="U65" s="84"/>
      <c r="W65" s="93">
        <f>D68</f>
        <v>49.316666666666663</v>
      </c>
      <c r="X65" s="88">
        <f>S70</f>
        <v>6.1905432482539693</v>
      </c>
      <c r="Y65" s="88">
        <f>U70</f>
        <v>0.16881761253508018</v>
      </c>
      <c r="Z65" s="88"/>
      <c r="AA65" s="140"/>
      <c r="AB65" s="140"/>
      <c r="AC65" s="140"/>
    </row>
    <row r="66" spans="2:29" x14ac:dyDescent="0.15">
      <c r="B66" s="194"/>
      <c r="C66" s="197"/>
      <c r="D66" s="231"/>
      <c r="E66" s="235"/>
      <c r="F66" s="85" t="s">
        <v>95</v>
      </c>
      <c r="G66" s="237"/>
      <c r="H66" s="86">
        <f>0.718-G65</f>
        <v>0.64100000000000001</v>
      </c>
      <c r="I66" s="88">
        <f>0.709-G65</f>
        <v>0.63200000000000001</v>
      </c>
      <c r="J66" s="88">
        <f>0.735-G65</f>
        <v>0.65800000000000003</v>
      </c>
      <c r="K66" s="88">
        <f t="shared" ref="K66:K67" si="55">5.5946*H66</f>
        <v>3.5861386</v>
      </c>
      <c r="L66" s="88">
        <f t="shared" si="53"/>
        <v>3.5357871999999997</v>
      </c>
      <c r="M66" s="88">
        <f t="shared" si="53"/>
        <v>3.6812467999999998</v>
      </c>
      <c r="N66" s="88">
        <f t="shared" ref="N66:N67" si="56">AVERAGE(K66:M66)</f>
        <v>3.6010575333333334</v>
      </c>
      <c r="O66" s="88">
        <f t="shared" si="54"/>
        <v>1.4404230133333333</v>
      </c>
      <c r="P66" s="88">
        <f t="shared" ref="P66:P90" si="57">O66/14</f>
        <v>0.10288735809523809</v>
      </c>
      <c r="Q66" s="88">
        <f t="shared" ref="Q66:Q90" si="58">P66</f>
        <v>0.10288735809523809</v>
      </c>
      <c r="R66" s="88">
        <f t="shared" ref="R66:R90" si="59">Q66*62</f>
        <v>6.3790162019047614</v>
      </c>
      <c r="S66" s="139"/>
      <c r="T66" s="62"/>
      <c r="U66" s="84"/>
      <c r="W66" s="93">
        <f>D71</f>
        <v>96.566666666666663</v>
      </c>
      <c r="X66" s="88">
        <f>S73</f>
        <v>6.0322751593650787</v>
      </c>
      <c r="Y66" s="88">
        <f>U73</f>
        <v>0.30489407557294418</v>
      </c>
      <c r="Z66" s="88"/>
      <c r="AA66" s="140"/>
      <c r="AB66" s="140"/>
      <c r="AC66" s="140"/>
    </row>
    <row r="67" spans="2:29" x14ac:dyDescent="0.15">
      <c r="B67" s="194"/>
      <c r="C67" s="197"/>
      <c r="D67" s="231"/>
      <c r="E67" s="235"/>
      <c r="F67" s="85" t="s">
        <v>96</v>
      </c>
      <c r="G67" s="237"/>
      <c r="H67" s="86">
        <f>0.692-G65</f>
        <v>0.61499999999999999</v>
      </c>
      <c r="I67" s="88">
        <f>0.689-G65</f>
        <v>0.61199999999999999</v>
      </c>
      <c r="J67" s="88">
        <f>0.706-G65</f>
        <v>0.629</v>
      </c>
      <c r="K67" s="88">
        <f t="shared" si="55"/>
        <v>3.4406789999999998</v>
      </c>
      <c r="L67" s="88">
        <f t="shared" si="53"/>
        <v>3.4238952</v>
      </c>
      <c r="M67" s="88">
        <f t="shared" si="53"/>
        <v>3.5190033999999999</v>
      </c>
      <c r="N67" s="88">
        <f t="shared" si="56"/>
        <v>3.4611925333333331</v>
      </c>
      <c r="O67" s="88">
        <f t="shared" si="54"/>
        <v>1.3844770133333333</v>
      </c>
      <c r="P67" s="88">
        <f t="shared" si="57"/>
        <v>9.8891215238095229E-2</v>
      </c>
      <c r="Q67" s="88">
        <f t="shared" si="58"/>
        <v>9.8891215238095229E-2</v>
      </c>
      <c r="R67" s="88">
        <f t="shared" si="59"/>
        <v>6.1312553447619038</v>
      </c>
      <c r="S67" s="141">
        <f>AVERAGE(R66:R67)</f>
        <v>6.2551357733333326</v>
      </c>
      <c r="T67" s="88">
        <f>STDEV(R66:R67)</f>
        <v>0.17519338219830605</v>
      </c>
      <c r="U67" s="87">
        <f>T67/SQRT(2)</f>
        <v>0.12388042857142878</v>
      </c>
      <c r="W67" s="93">
        <f>D74</f>
        <v>145.39999999999998</v>
      </c>
      <c r="X67" s="88">
        <f>S76</f>
        <v>5.8505884895238092</v>
      </c>
      <c r="Y67" s="88">
        <f>U76</f>
        <v>0.11709851661583047</v>
      </c>
      <c r="Z67" s="88"/>
      <c r="AA67" s="140"/>
      <c r="AB67" s="140"/>
      <c r="AC67" s="140"/>
    </row>
    <row r="68" spans="2:29" x14ac:dyDescent="0.15">
      <c r="B68" s="193" t="s">
        <v>10</v>
      </c>
      <c r="C68" s="196">
        <v>0.50138888888888888</v>
      </c>
      <c r="D68" s="250">
        <f>12+19/60+13+24+D65</f>
        <v>49.316666666666663</v>
      </c>
      <c r="E68" s="248">
        <v>3</v>
      </c>
      <c r="F68" s="138" t="s">
        <v>94</v>
      </c>
      <c r="G68" s="239">
        <f>(0.086+0.084)/2</f>
        <v>8.4999999999999992E-2</v>
      </c>
      <c r="H68" s="106">
        <f>0.665-G68</f>
        <v>0.58000000000000007</v>
      </c>
      <c r="I68" s="110">
        <f>0.652-G68</f>
        <v>0.56700000000000006</v>
      </c>
      <c r="J68" s="110">
        <f>0.67-G68</f>
        <v>0.58500000000000008</v>
      </c>
      <c r="K68" s="110">
        <f>5.7436*H68</f>
        <v>3.3312880000000002</v>
      </c>
      <c r="L68" s="110">
        <f t="shared" ref="L68:M73" si="60">5.7436*I68</f>
        <v>3.2566212000000001</v>
      </c>
      <c r="M68" s="110">
        <f t="shared" si="60"/>
        <v>3.3600060000000003</v>
      </c>
      <c r="N68" s="110">
        <f>AVERAGE(K68:M68)</f>
        <v>3.3159717333333334</v>
      </c>
      <c r="O68" s="110">
        <f t="shared" si="54"/>
        <v>1.3263886933333333</v>
      </c>
      <c r="P68" s="110">
        <f t="shared" si="57"/>
        <v>9.4742049523809518E-2</v>
      </c>
      <c r="Q68" s="110">
        <f t="shared" si="58"/>
        <v>9.4742049523809518E-2</v>
      </c>
      <c r="R68" s="110">
        <f t="shared" si="59"/>
        <v>5.87400707047619</v>
      </c>
      <c r="S68" s="142"/>
      <c r="T68" s="110"/>
      <c r="U68" s="107"/>
      <c r="W68" s="93">
        <f>D77</f>
        <v>193.01666666666665</v>
      </c>
      <c r="X68" s="88">
        <f>S79</f>
        <v>5.8052531053968259</v>
      </c>
      <c r="Y68" s="88">
        <f>U79</f>
        <v>0.10214722156479213</v>
      </c>
      <c r="Z68" s="88"/>
      <c r="AA68" s="140"/>
      <c r="AB68" s="140"/>
      <c r="AC68" s="140"/>
    </row>
    <row r="69" spans="2:29" ht="15" customHeight="1" x14ac:dyDescent="0.15">
      <c r="B69" s="194"/>
      <c r="C69" s="197"/>
      <c r="D69" s="251"/>
      <c r="E69" s="235"/>
      <c r="F69" s="85" t="s">
        <v>95</v>
      </c>
      <c r="G69" s="237"/>
      <c r="H69" s="86">
        <f>0.689-G68</f>
        <v>0.60399999999999998</v>
      </c>
      <c r="I69" s="88">
        <f>0.686-G68</f>
        <v>0.60100000000000009</v>
      </c>
      <c r="J69" s="88">
        <f>0.782-G68</f>
        <v>0.69700000000000006</v>
      </c>
      <c r="K69" s="88">
        <f t="shared" ref="K69:K73" si="61">5.7436*H69</f>
        <v>3.4691343999999997</v>
      </c>
      <c r="L69" s="88">
        <f t="shared" si="60"/>
        <v>3.4519036000000005</v>
      </c>
      <c r="M69" s="88">
        <f t="shared" si="60"/>
        <v>4.0032892000000002</v>
      </c>
      <c r="N69" s="88">
        <f t="shared" ref="N69:N70" si="62">AVERAGE(K69:M69)</f>
        <v>3.6414424000000003</v>
      </c>
      <c r="O69" s="88">
        <f t="shared" si="54"/>
        <v>1.45657696</v>
      </c>
      <c r="P69" s="88">
        <f t="shared" si="57"/>
        <v>0.10404121142857144</v>
      </c>
      <c r="Q69" s="88">
        <f t="shared" si="58"/>
        <v>0.10404121142857144</v>
      </c>
      <c r="R69" s="88">
        <f t="shared" si="59"/>
        <v>6.4505551085714288</v>
      </c>
      <c r="S69" s="141"/>
      <c r="T69" s="88"/>
      <c r="U69" s="87"/>
      <c r="W69" s="93">
        <f>D80</f>
        <v>241.96666666666667</v>
      </c>
      <c r="X69" s="88">
        <f>S82</f>
        <v>5.6227982588359788</v>
      </c>
      <c r="Y69" s="88">
        <f>U82</f>
        <v>4.9896210331998578E-2</v>
      </c>
      <c r="Z69" s="88"/>
      <c r="AA69" s="140"/>
      <c r="AB69" s="140"/>
      <c r="AC69" s="140"/>
    </row>
    <row r="70" spans="2:29" ht="15" customHeight="1" x14ac:dyDescent="0.15">
      <c r="B70" s="208"/>
      <c r="C70" s="209"/>
      <c r="D70" s="252"/>
      <c r="E70" s="249"/>
      <c r="F70" s="95" t="s">
        <v>96</v>
      </c>
      <c r="G70" s="240"/>
      <c r="H70" s="96">
        <f>0.655-G68</f>
        <v>0.57000000000000006</v>
      </c>
      <c r="I70" s="98">
        <f>0.666-G68</f>
        <v>0.58100000000000007</v>
      </c>
      <c r="J70" s="98">
        <f>0.776-G68</f>
        <v>0.69100000000000006</v>
      </c>
      <c r="K70" s="98">
        <f t="shared" si="61"/>
        <v>3.2738520000000002</v>
      </c>
      <c r="L70" s="98">
        <f t="shared" si="60"/>
        <v>3.3370316000000004</v>
      </c>
      <c r="M70" s="98">
        <f t="shared" si="60"/>
        <v>3.9688276</v>
      </c>
      <c r="N70" s="98">
        <f t="shared" si="62"/>
        <v>3.5265704000000007</v>
      </c>
      <c r="O70" s="98">
        <f t="shared" si="54"/>
        <v>1.4106281600000004</v>
      </c>
      <c r="P70" s="98">
        <f t="shared" si="57"/>
        <v>0.10075915428571432</v>
      </c>
      <c r="Q70" s="98">
        <f t="shared" si="58"/>
        <v>0.10075915428571432</v>
      </c>
      <c r="R70" s="98">
        <f t="shared" si="59"/>
        <v>6.2470675657142873</v>
      </c>
      <c r="S70" s="143">
        <f>AVERAGE(R68:R70)</f>
        <v>6.1905432482539693</v>
      </c>
      <c r="T70" s="98">
        <f>STDEV(R68:R70)</f>
        <v>0.29240068212323544</v>
      </c>
      <c r="U70" s="97">
        <f>T70/SQRT(3)</f>
        <v>0.16881761253508018</v>
      </c>
      <c r="W70" s="93">
        <f>D83</f>
        <v>313.64999999999998</v>
      </c>
      <c r="X70" s="88">
        <f>S85</f>
        <v>5.4106467047619047</v>
      </c>
      <c r="Y70" s="88">
        <f>U85</f>
        <v>2.4460455429366954E-2</v>
      </c>
      <c r="Z70" s="88"/>
      <c r="AA70" s="140"/>
      <c r="AB70" s="140"/>
      <c r="AC70" s="140"/>
    </row>
    <row r="71" spans="2:29" x14ac:dyDescent="0.15">
      <c r="B71" s="194" t="s">
        <v>27</v>
      </c>
      <c r="C71" s="197">
        <v>0.47013888888888888</v>
      </c>
      <c r="D71" s="251">
        <f>11+15/60+12+24+D68</f>
        <v>96.566666666666663</v>
      </c>
      <c r="E71" s="235">
        <v>5</v>
      </c>
      <c r="F71" s="85" t="s">
        <v>94</v>
      </c>
      <c r="G71" s="237">
        <f>(0.086+0.084)/2</f>
        <v>8.4999999999999992E-2</v>
      </c>
      <c r="H71" s="86">
        <f>0.589-G71</f>
        <v>0.504</v>
      </c>
      <c r="I71" s="88">
        <f>0.58-G71</f>
        <v>0.495</v>
      </c>
      <c r="J71" s="88">
        <f>0.694-G71</f>
        <v>0.60899999999999999</v>
      </c>
      <c r="K71" s="88">
        <f t="shared" si="61"/>
        <v>2.8947743999999997</v>
      </c>
      <c r="L71" s="88">
        <f t="shared" si="60"/>
        <v>2.8430819999999999</v>
      </c>
      <c r="M71" s="88">
        <f t="shared" si="60"/>
        <v>3.4978523999999998</v>
      </c>
      <c r="N71" s="88">
        <f>AVERAGE(K71:M71)</f>
        <v>3.0785695999999998</v>
      </c>
      <c r="O71" s="88">
        <f t="shared" si="54"/>
        <v>1.2314278399999998</v>
      </c>
      <c r="P71" s="88">
        <f t="shared" si="57"/>
        <v>8.795913142857141E-2</v>
      </c>
      <c r="Q71" s="88">
        <f t="shared" si="58"/>
        <v>8.795913142857141E-2</v>
      </c>
      <c r="R71" s="88">
        <f t="shared" si="59"/>
        <v>5.4534661485714278</v>
      </c>
      <c r="S71" s="141"/>
      <c r="T71" s="88"/>
      <c r="U71" s="87"/>
      <c r="W71" s="93">
        <f>D86</f>
        <v>385.65000000000003</v>
      </c>
      <c r="X71" s="88">
        <f>S88</f>
        <v>5.4048814428571426</v>
      </c>
      <c r="Y71" s="88">
        <f>U88</f>
        <v>0.1163090476190476</v>
      </c>
      <c r="Z71" s="88"/>
      <c r="AA71" s="140"/>
      <c r="AB71" s="140"/>
      <c r="AC71" s="140"/>
    </row>
    <row r="72" spans="2:29" ht="15" customHeight="1" x14ac:dyDescent="0.15">
      <c r="B72" s="194"/>
      <c r="C72" s="197"/>
      <c r="D72" s="251"/>
      <c r="E72" s="235"/>
      <c r="F72" s="85" t="s">
        <v>95</v>
      </c>
      <c r="G72" s="237"/>
      <c r="H72" s="86">
        <f>0.692-G71</f>
        <v>0.60699999999999998</v>
      </c>
      <c r="I72" s="88">
        <f>0.746-G71</f>
        <v>0.66100000000000003</v>
      </c>
      <c r="J72" s="88">
        <f>0.73-G71</f>
        <v>0.64500000000000002</v>
      </c>
      <c r="K72" s="88">
        <f t="shared" si="61"/>
        <v>3.4863651999999998</v>
      </c>
      <c r="L72" s="88">
        <f t="shared" si="60"/>
        <v>3.7965195999999999</v>
      </c>
      <c r="M72" s="88">
        <f t="shared" si="60"/>
        <v>3.7046220000000001</v>
      </c>
      <c r="N72" s="88">
        <f t="shared" ref="N72:N79" si="63">AVERAGE(K72:M72)</f>
        <v>3.6625022666666669</v>
      </c>
      <c r="O72" s="88">
        <f t="shared" si="54"/>
        <v>1.4650009066666667</v>
      </c>
      <c r="P72" s="88">
        <f t="shared" si="57"/>
        <v>0.1046429219047619</v>
      </c>
      <c r="Q72" s="88">
        <f t="shared" si="58"/>
        <v>0.1046429219047619</v>
      </c>
      <c r="R72" s="88">
        <f t="shared" si="59"/>
        <v>6.4878611580952379</v>
      </c>
      <c r="S72" s="141"/>
      <c r="T72" s="88"/>
      <c r="U72" s="87"/>
      <c r="W72" s="93">
        <f>D89</f>
        <v>433.88333333333333</v>
      </c>
      <c r="X72" s="88">
        <f>S91</f>
        <v>5.3255836199999997</v>
      </c>
      <c r="Y72" s="88">
        <f>U91</f>
        <v>0.44870571237875956</v>
      </c>
      <c r="Z72" s="88"/>
      <c r="AA72" s="140"/>
      <c r="AB72" s="140"/>
      <c r="AC72" s="140"/>
    </row>
    <row r="73" spans="2:29" ht="15" customHeight="1" x14ac:dyDescent="0.15">
      <c r="B73" s="194"/>
      <c r="C73" s="197"/>
      <c r="D73" s="251"/>
      <c r="E73" s="235"/>
      <c r="F73" s="85" t="s">
        <v>96</v>
      </c>
      <c r="G73" s="237"/>
      <c r="H73" s="86">
        <f>0.584-G71</f>
        <v>0.499</v>
      </c>
      <c r="I73" s="88">
        <f>0.794-G71</f>
        <v>0.70900000000000007</v>
      </c>
      <c r="J73" s="88">
        <f>0.692-G71</f>
        <v>0.60699999999999998</v>
      </c>
      <c r="K73" s="88">
        <f t="shared" si="61"/>
        <v>2.8660563999999997</v>
      </c>
      <c r="L73" s="88">
        <f t="shared" si="60"/>
        <v>4.0722124000000006</v>
      </c>
      <c r="M73" s="88">
        <f t="shared" si="60"/>
        <v>3.4863651999999998</v>
      </c>
      <c r="N73" s="88">
        <f t="shared" si="63"/>
        <v>3.4748780000000004</v>
      </c>
      <c r="O73" s="88">
        <f t="shared" si="54"/>
        <v>1.3899512000000001</v>
      </c>
      <c r="P73" s="88">
        <f t="shared" si="57"/>
        <v>9.9282228571428571E-2</v>
      </c>
      <c r="Q73" s="88">
        <f t="shared" si="58"/>
        <v>9.9282228571428571E-2</v>
      </c>
      <c r="R73" s="88">
        <f t="shared" si="59"/>
        <v>6.1554981714285715</v>
      </c>
      <c r="S73" s="141">
        <f>AVERAGE(R71:R73)</f>
        <v>6.0322751593650787</v>
      </c>
      <c r="T73" s="88">
        <f>STDEV(R71:R73)</f>
        <v>0.52809202981908421</v>
      </c>
      <c r="U73" s="87">
        <f>T73/SQRT(3)</f>
        <v>0.30489407557294418</v>
      </c>
      <c r="W73" s="93"/>
      <c r="X73" s="88"/>
      <c r="Y73" s="88"/>
      <c r="Z73" s="88"/>
      <c r="AA73" s="140"/>
      <c r="AB73" s="140"/>
      <c r="AC73" s="140"/>
    </row>
    <row r="74" spans="2:29" x14ac:dyDescent="0.15">
      <c r="B74" s="193" t="s">
        <v>29</v>
      </c>
      <c r="C74" s="196">
        <v>0.50486111111111109</v>
      </c>
      <c r="D74" s="250">
        <f>50/60+24+24+D71</f>
        <v>145.39999999999998</v>
      </c>
      <c r="E74" s="248">
        <v>7</v>
      </c>
      <c r="F74" s="138" t="s">
        <v>94</v>
      </c>
      <c r="G74" s="239">
        <f>(0.065+0.073+0.067)/3</f>
        <v>6.8333333333333343E-2</v>
      </c>
      <c r="H74" s="106">
        <f>0.656-G74</f>
        <v>0.58766666666666667</v>
      </c>
      <c r="I74" s="110">
        <f>0.666-G74</f>
        <v>0.59766666666666668</v>
      </c>
      <c r="J74" s="110">
        <f>0.68-G74</f>
        <v>0.61166666666666669</v>
      </c>
      <c r="K74" s="110">
        <f>5.2957*H74</f>
        <v>3.1121063666666666</v>
      </c>
      <c r="L74" s="110">
        <f t="shared" ref="L74:M76" si="64">5.2957*I74</f>
        <v>3.1650633666666668</v>
      </c>
      <c r="M74" s="110">
        <f t="shared" si="64"/>
        <v>3.239203166666667</v>
      </c>
      <c r="N74" s="110">
        <f t="shared" si="63"/>
        <v>3.1721243000000001</v>
      </c>
      <c r="O74" s="110">
        <f t="shared" ref="O74:O82" si="65">N74/2.5</f>
        <v>1.26884972</v>
      </c>
      <c r="P74" s="110">
        <f t="shared" si="57"/>
        <v>9.0632122857142852E-2</v>
      </c>
      <c r="Q74" s="110">
        <f t="shared" si="58"/>
        <v>9.0632122857142852E-2</v>
      </c>
      <c r="R74" s="110">
        <f t="shared" si="59"/>
        <v>5.6191916171428566</v>
      </c>
      <c r="S74" s="144"/>
      <c r="T74" s="117"/>
      <c r="U74" s="105"/>
      <c r="W74" s="62"/>
      <c r="X74" s="88"/>
      <c r="Y74" s="88"/>
      <c r="Z74" s="88"/>
      <c r="AA74" s="88"/>
    </row>
    <row r="75" spans="2:29" x14ac:dyDescent="0.15">
      <c r="B75" s="194"/>
      <c r="C75" s="197"/>
      <c r="D75" s="251"/>
      <c r="E75" s="235"/>
      <c r="F75" s="85" t="s">
        <v>95</v>
      </c>
      <c r="G75" s="237"/>
      <c r="H75" s="86">
        <f>0.687-G74</f>
        <v>0.6186666666666667</v>
      </c>
      <c r="I75" s="88">
        <f>0.705-G74</f>
        <v>0.6366666666666666</v>
      </c>
      <c r="J75" s="88">
        <f>0.731-G74</f>
        <v>0.66266666666666663</v>
      </c>
      <c r="K75" s="88">
        <f t="shared" ref="K75:K76" si="66">5.2957*H75</f>
        <v>3.2762730666666671</v>
      </c>
      <c r="L75" s="88">
        <f t="shared" si="64"/>
        <v>3.3715956666666664</v>
      </c>
      <c r="M75" s="88">
        <f t="shared" si="64"/>
        <v>3.5092838666666664</v>
      </c>
      <c r="N75" s="88">
        <f t="shared" si="63"/>
        <v>3.3857175333333331</v>
      </c>
      <c r="O75" s="88">
        <f t="shared" si="65"/>
        <v>1.3542870133333333</v>
      </c>
      <c r="P75" s="88">
        <f t="shared" si="57"/>
        <v>9.6734786666666669E-2</v>
      </c>
      <c r="Q75" s="88">
        <f t="shared" si="58"/>
        <v>9.6734786666666669E-2</v>
      </c>
      <c r="R75" s="88">
        <f t="shared" si="59"/>
        <v>5.9975567733333337</v>
      </c>
      <c r="S75" s="139"/>
      <c r="T75" s="62"/>
      <c r="U75" s="84"/>
      <c r="Z75" s="88"/>
      <c r="AA75" s="88"/>
    </row>
    <row r="76" spans="2:29" x14ac:dyDescent="0.15">
      <c r="B76" s="208"/>
      <c r="C76" s="209"/>
      <c r="D76" s="252"/>
      <c r="E76" s="249"/>
      <c r="F76" s="95" t="s">
        <v>96</v>
      </c>
      <c r="G76" s="240"/>
      <c r="H76" s="96">
        <f>0.683-G74</f>
        <v>0.61466666666666669</v>
      </c>
      <c r="I76" s="98">
        <f>0.71-G74</f>
        <v>0.64166666666666661</v>
      </c>
      <c r="J76" s="98">
        <f>0.71-G74</f>
        <v>0.64166666666666661</v>
      </c>
      <c r="K76" s="98">
        <f t="shared" si="66"/>
        <v>3.255090266666667</v>
      </c>
      <c r="L76" s="98">
        <f t="shared" si="64"/>
        <v>3.3980741666666665</v>
      </c>
      <c r="M76" s="98">
        <f t="shared" si="64"/>
        <v>3.3980741666666665</v>
      </c>
      <c r="N76" s="98">
        <f t="shared" si="63"/>
        <v>3.3504128666666673</v>
      </c>
      <c r="O76" s="98">
        <f t="shared" si="65"/>
        <v>1.3401651466666669</v>
      </c>
      <c r="P76" s="98">
        <f t="shared" si="57"/>
        <v>9.5726081904761923E-2</v>
      </c>
      <c r="Q76" s="98">
        <f t="shared" si="58"/>
        <v>9.5726081904761923E-2</v>
      </c>
      <c r="R76" s="98">
        <f t="shared" si="59"/>
        <v>5.9350170780952389</v>
      </c>
      <c r="S76" s="143">
        <f>AVERAGE(R74:R76)</f>
        <v>5.8505884895238092</v>
      </c>
      <c r="T76" s="98">
        <f>STDEV(R74:R76)</f>
        <v>0.20282058026956676</v>
      </c>
      <c r="U76" s="97">
        <f>T76/SQRT(3)</f>
        <v>0.11709851661583047</v>
      </c>
      <c r="Z76" s="88"/>
      <c r="AA76" s="88"/>
    </row>
    <row r="77" spans="2:29" x14ac:dyDescent="0.15">
      <c r="B77" s="194" t="s">
        <v>30</v>
      </c>
      <c r="C77" s="197">
        <v>0.48888888888888887</v>
      </c>
      <c r="D77" s="251">
        <f>11+37/60+12+24+D74</f>
        <v>193.01666666666665</v>
      </c>
      <c r="E77" s="235">
        <v>9</v>
      </c>
      <c r="F77" s="85" t="s">
        <v>94</v>
      </c>
      <c r="G77" s="237">
        <f>(0.073+0.076+0.073)/3</f>
        <v>7.3999999999999996E-2</v>
      </c>
      <c r="H77" s="86">
        <f>0.66-G77</f>
        <v>0.58600000000000008</v>
      </c>
      <c r="I77" s="88">
        <f>0.662-G77</f>
        <v>0.58800000000000008</v>
      </c>
      <c r="J77" s="88">
        <f>0.68-G77</f>
        <v>0.60600000000000009</v>
      </c>
      <c r="K77" s="88">
        <f>5.4029*H77</f>
        <v>3.1660994000000002</v>
      </c>
      <c r="L77" s="88">
        <f t="shared" ref="L77:M78" si="67">5.4029*I77</f>
        <v>3.1769052000000002</v>
      </c>
      <c r="M77" s="88">
        <f t="shared" si="67"/>
        <v>3.2741574000000004</v>
      </c>
      <c r="N77" s="88">
        <f t="shared" si="63"/>
        <v>3.2057206666666667</v>
      </c>
      <c r="O77" s="88">
        <f t="shared" si="65"/>
        <v>1.2822882666666666</v>
      </c>
      <c r="P77" s="88">
        <f t="shared" si="57"/>
        <v>9.1592019047619044E-2</v>
      </c>
      <c r="Q77" s="88">
        <f t="shared" si="58"/>
        <v>9.1592019047619044E-2</v>
      </c>
      <c r="R77" s="88">
        <f t="shared" si="59"/>
        <v>5.678705180952381</v>
      </c>
      <c r="S77" s="139"/>
      <c r="T77" s="62"/>
      <c r="U77" s="84"/>
      <c r="Z77" s="88"/>
      <c r="AA77" s="88"/>
    </row>
    <row r="78" spans="2:29" x14ac:dyDescent="0.15">
      <c r="B78" s="194"/>
      <c r="C78" s="197"/>
      <c r="D78" s="251"/>
      <c r="E78" s="235"/>
      <c r="F78" s="85" t="s">
        <v>95</v>
      </c>
      <c r="G78" s="237"/>
      <c r="H78" s="106">
        <f>0.66-G77</f>
        <v>0.58600000000000008</v>
      </c>
      <c r="I78" s="110">
        <f>0.682-G77</f>
        <v>0.6080000000000001</v>
      </c>
      <c r="J78" s="110">
        <f>0.69-G77</f>
        <v>0.61599999999999999</v>
      </c>
      <c r="K78" s="88">
        <f>5.4029*H78</f>
        <v>3.1660994000000002</v>
      </c>
      <c r="L78" s="88">
        <f t="shared" si="67"/>
        <v>3.2849632000000004</v>
      </c>
      <c r="M78" s="88">
        <f t="shared" si="67"/>
        <v>3.3281863999999999</v>
      </c>
      <c r="N78" s="110">
        <f t="shared" si="63"/>
        <v>3.2597496666666665</v>
      </c>
      <c r="O78" s="88">
        <f t="shared" si="65"/>
        <v>1.3038998666666666</v>
      </c>
      <c r="P78" s="88">
        <f t="shared" si="57"/>
        <v>9.3135704761904761E-2</v>
      </c>
      <c r="Q78" s="88">
        <f t="shared" si="58"/>
        <v>9.3135704761904761E-2</v>
      </c>
      <c r="R78" s="88">
        <f t="shared" si="59"/>
        <v>5.7744136952380956</v>
      </c>
      <c r="S78" s="139"/>
      <c r="T78" s="62"/>
      <c r="U78" s="84"/>
      <c r="Z78" s="88"/>
      <c r="AA78" s="88"/>
    </row>
    <row r="79" spans="2:29" x14ac:dyDescent="0.15">
      <c r="B79" s="194"/>
      <c r="C79" s="197"/>
      <c r="D79" s="251"/>
      <c r="E79" s="235"/>
      <c r="F79" s="85" t="s">
        <v>96</v>
      </c>
      <c r="G79" s="237"/>
      <c r="H79" s="86">
        <f>0.677-G77</f>
        <v>0.60300000000000009</v>
      </c>
      <c r="I79" s="88">
        <f>0.711-G77</f>
        <v>0.63700000000000001</v>
      </c>
      <c r="J79" s="88">
        <f>0.703-G77</f>
        <v>0.629</v>
      </c>
      <c r="K79" s="88">
        <f t="shared" ref="K79:M79" si="68">5.4029*H79</f>
        <v>3.2579487000000005</v>
      </c>
      <c r="L79" s="88">
        <f t="shared" si="68"/>
        <v>3.4416473000000001</v>
      </c>
      <c r="M79" s="88">
        <f t="shared" si="68"/>
        <v>3.3984240999999997</v>
      </c>
      <c r="N79" s="88">
        <f t="shared" si="63"/>
        <v>3.3660066999999998</v>
      </c>
      <c r="O79" s="88">
        <f t="shared" si="65"/>
        <v>1.34640268</v>
      </c>
      <c r="P79" s="88">
        <f t="shared" si="57"/>
        <v>9.6171619999999999E-2</v>
      </c>
      <c r="Q79" s="88">
        <f t="shared" si="58"/>
        <v>9.6171619999999999E-2</v>
      </c>
      <c r="R79" s="88">
        <f t="shared" si="59"/>
        <v>5.9626404400000004</v>
      </c>
      <c r="S79" s="141">
        <f>AVERAGE(R77:R79)</f>
        <v>5.8052531053968259</v>
      </c>
      <c r="T79" s="88">
        <f>STDEV(R77:R79)</f>
        <v>0.14445798609565852</v>
      </c>
      <c r="U79" s="87">
        <f>T79/SQRT(2)</f>
        <v>0.10214722156479213</v>
      </c>
      <c r="Z79" s="88"/>
      <c r="AA79" s="88"/>
    </row>
    <row r="80" spans="2:29" x14ac:dyDescent="0.15">
      <c r="B80" s="193" t="s">
        <v>38</v>
      </c>
      <c r="C80" s="196">
        <v>0.52847222222222223</v>
      </c>
      <c r="D80" s="250">
        <v>241.96666666666667</v>
      </c>
      <c r="E80" s="248">
        <v>11</v>
      </c>
      <c r="F80" s="138" t="s">
        <v>94</v>
      </c>
      <c r="G80" s="239">
        <v>6.533333333333334E-2</v>
      </c>
      <c r="H80" s="106">
        <f>0.985-G80</f>
        <v>0.91966666666666663</v>
      </c>
      <c r="I80" s="110">
        <f>0.995-G80</f>
        <v>0.92966666666666664</v>
      </c>
      <c r="J80" s="110">
        <f>0.995-G79</f>
        <v>0.995</v>
      </c>
      <c r="K80" s="110">
        <f>3.3959*H80</f>
        <v>3.1230960333333333</v>
      </c>
      <c r="L80" s="110">
        <f t="shared" ref="L80:M82" si="69">3.3959*I80</f>
        <v>3.1570550333333336</v>
      </c>
      <c r="M80" s="110">
        <f t="shared" si="69"/>
        <v>3.3789205</v>
      </c>
      <c r="N80" s="110">
        <f t="shared" ref="N80:N90" si="70">AVERAGE(K80:M80)</f>
        <v>3.2196905222222223</v>
      </c>
      <c r="O80" s="110">
        <f t="shared" si="65"/>
        <v>1.2878762088888889</v>
      </c>
      <c r="P80" s="110">
        <f t="shared" si="57"/>
        <v>9.1991157777777777E-2</v>
      </c>
      <c r="Q80" s="110">
        <f t="shared" si="58"/>
        <v>9.1991157777777777E-2</v>
      </c>
      <c r="R80" s="110">
        <f t="shared" si="59"/>
        <v>5.7034517822222224</v>
      </c>
      <c r="S80" s="142"/>
      <c r="T80" s="110"/>
      <c r="U80" s="107"/>
      <c r="Z80" s="88"/>
      <c r="AA80" s="88"/>
    </row>
    <row r="81" spans="2:27" x14ac:dyDescent="0.15">
      <c r="B81" s="194"/>
      <c r="C81" s="197"/>
      <c r="D81" s="251"/>
      <c r="E81" s="235"/>
      <c r="F81" s="85" t="s">
        <v>95</v>
      </c>
      <c r="G81" s="237"/>
      <c r="H81" s="106">
        <f>0.985-G80</f>
        <v>0.91966666666666663</v>
      </c>
      <c r="I81" s="88">
        <f>0.995-G80</f>
        <v>0.92966666666666664</v>
      </c>
      <c r="J81" s="88">
        <f>0.995-G80</f>
        <v>0.92966666666666664</v>
      </c>
      <c r="K81" s="88">
        <f t="shared" ref="K81:K82" si="71">3.3959*H81</f>
        <v>3.1230960333333333</v>
      </c>
      <c r="L81" s="88">
        <f t="shared" si="69"/>
        <v>3.1570550333333336</v>
      </c>
      <c r="M81" s="88">
        <f t="shared" si="69"/>
        <v>3.1570550333333336</v>
      </c>
      <c r="N81" s="88">
        <f t="shared" si="70"/>
        <v>3.145735366666667</v>
      </c>
      <c r="O81" s="88">
        <f t="shared" si="65"/>
        <v>1.2582941466666668</v>
      </c>
      <c r="P81" s="88">
        <f t="shared" si="57"/>
        <v>8.9878153333333349E-2</v>
      </c>
      <c r="Q81" s="88">
        <f t="shared" si="58"/>
        <v>8.9878153333333349E-2</v>
      </c>
      <c r="R81" s="88">
        <f t="shared" si="59"/>
        <v>5.5724455066666678</v>
      </c>
      <c r="S81" s="141"/>
      <c r="T81" s="88"/>
      <c r="U81" s="87"/>
      <c r="Z81" s="88"/>
      <c r="AA81" s="88"/>
    </row>
    <row r="82" spans="2:27" x14ac:dyDescent="0.15">
      <c r="B82" s="208"/>
      <c r="C82" s="209"/>
      <c r="D82" s="252"/>
      <c r="E82" s="249"/>
      <c r="F82" s="95" t="s">
        <v>96</v>
      </c>
      <c r="G82" s="240"/>
      <c r="H82" s="157">
        <f>0.995-G80</f>
        <v>0.92966666666666664</v>
      </c>
      <c r="I82" s="98">
        <f>0.995-G80</f>
        <v>0.92966666666666664</v>
      </c>
      <c r="J82" s="98">
        <f>0.995-G80</f>
        <v>0.92966666666666664</v>
      </c>
      <c r="K82" s="98">
        <f t="shared" si="71"/>
        <v>3.1570550333333336</v>
      </c>
      <c r="L82" s="98">
        <f t="shared" si="69"/>
        <v>3.1570550333333336</v>
      </c>
      <c r="M82" s="98">
        <f t="shared" si="69"/>
        <v>3.1570550333333336</v>
      </c>
      <c r="N82" s="98">
        <f t="shared" si="70"/>
        <v>3.1570550333333336</v>
      </c>
      <c r="O82" s="98">
        <f t="shared" si="65"/>
        <v>1.2628220133333334</v>
      </c>
      <c r="P82" s="98">
        <f t="shared" si="57"/>
        <v>9.0201572380952388E-2</v>
      </c>
      <c r="Q82" s="98">
        <f t="shared" si="58"/>
        <v>9.0201572380952388E-2</v>
      </c>
      <c r="R82" s="98">
        <f t="shared" si="59"/>
        <v>5.5924974876190481</v>
      </c>
      <c r="S82" s="143">
        <f>AVERAGE(R80:R82)</f>
        <v>5.6227982588359788</v>
      </c>
      <c r="T82" s="98">
        <f>STDEV(R80:R82)</f>
        <v>7.0563897362532949E-2</v>
      </c>
      <c r="U82" s="97">
        <f>T82/SQRT(2)</f>
        <v>4.9896210331998578E-2</v>
      </c>
      <c r="Z82" s="88"/>
      <c r="AA82" s="88"/>
    </row>
    <row r="83" spans="2:27" x14ac:dyDescent="0.15">
      <c r="B83" s="194" t="s">
        <v>32</v>
      </c>
      <c r="C83" s="197">
        <v>0.51527777777777783</v>
      </c>
      <c r="D83" s="251">
        <v>313.64999999999998</v>
      </c>
      <c r="E83" s="235">
        <v>14</v>
      </c>
      <c r="F83" s="85" t="s">
        <v>94</v>
      </c>
      <c r="G83" s="237">
        <f>(0.073+0.077+0.072)/3</f>
        <v>7.3999999999999996E-2</v>
      </c>
      <c r="H83" s="86">
        <f>1.198-G83</f>
        <v>1.1239999999999999</v>
      </c>
      <c r="I83" s="88">
        <f>1.204-G83</f>
        <v>1.1299999999999999</v>
      </c>
      <c r="J83" s="88">
        <f>1.228-G83</f>
        <v>1.1539999999999999</v>
      </c>
      <c r="K83" s="88">
        <f>5.388*H83</f>
        <v>6.0561119999999997</v>
      </c>
      <c r="L83" s="88">
        <f t="shared" ref="L83:M84" si="72">5.388*I83</f>
        <v>6.0884399999999994</v>
      </c>
      <c r="M83" s="88">
        <f t="shared" si="72"/>
        <v>6.2177519999999991</v>
      </c>
      <c r="N83" s="88">
        <f t="shared" si="70"/>
        <v>6.1207679999999991</v>
      </c>
      <c r="O83" s="88">
        <f t="shared" ref="O83:O88" si="73">N83/5</f>
        <v>1.2241535999999997</v>
      </c>
      <c r="P83" s="88">
        <f t="shared" si="57"/>
        <v>8.7439542857142838E-2</v>
      </c>
      <c r="Q83" s="88">
        <f t="shared" si="58"/>
        <v>8.7439542857142838E-2</v>
      </c>
      <c r="R83" s="88">
        <f t="shared" si="59"/>
        <v>5.4212516571428555</v>
      </c>
      <c r="S83" s="141"/>
      <c r="T83" s="88"/>
      <c r="U83" s="87"/>
      <c r="Z83" s="88"/>
      <c r="AA83" s="88"/>
    </row>
    <row r="84" spans="2:27" x14ac:dyDescent="0.15">
      <c r="B84" s="194"/>
      <c r="C84" s="197"/>
      <c r="D84" s="251"/>
      <c r="E84" s="235"/>
      <c r="F84" s="85" t="s">
        <v>95</v>
      </c>
      <c r="G84" s="237"/>
      <c r="H84" s="106">
        <f>1.198-G83</f>
        <v>1.1239999999999999</v>
      </c>
      <c r="I84" s="88">
        <f>1.198-G83</f>
        <v>1.1239999999999999</v>
      </c>
      <c r="J84" s="88">
        <f>1.198-G83</f>
        <v>1.1239999999999999</v>
      </c>
      <c r="K84" s="88">
        <f>5.388*H84</f>
        <v>6.0561119999999997</v>
      </c>
      <c r="L84" s="88">
        <f t="shared" si="72"/>
        <v>6.0561119999999997</v>
      </c>
      <c r="M84" s="88">
        <f t="shared" si="72"/>
        <v>6.0561119999999997</v>
      </c>
      <c r="N84" s="110">
        <f t="shared" si="70"/>
        <v>6.0561119999999997</v>
      </c>
      <c r="O84" s="110">
        <f t="shared" si="73"/>
        <v>1.2112224</v>
      </c>
      <c r="P84" s="88">
        <f t="shared" si="57"/>
        <v>8.6515885714285715E-2</v>
      </c>
      <c r="Q84" s="88">
        <f t="shared" si="58"/>
        <v>8.6515885714285715E-2</v>
      </c>
      <c r="R84" s="88">
        <f t="shared" si="59"/>
        <v>5.3639849142857141</v>
      </c>
      <c r="S84" s="141"/>
      <c r="T84" s="88"/>
      <c r="U84" s="87"/>
      <c r="Z84" s="88"/>
      <c r="AA84" s="88"/>
    </row>
    <row r="85" spans="2:27" x14ac:dyDescent="0.15">
      <c r="B85" s="194"/>
      <c r="C85" s="197"/>
      <c r="D85" s="251"/>
      <c r="E85" s="235"/>
      <c r="F85" s="85" t="s">
        <v>96</v>
      </c>
      <c r="G85" s="237"/>
      <c r="H85" s="86">
        <f>1.188-G83</f>
        <v>1.1139999999999999</v>
      </c>
      <c r="I85" s="88">
        <f>1.22-G83</f>
        <v>1.1459999999999999</v>
      </c>
      <c r="J85" s="88">
        <f>1.238-G83</f>
        <v>1.1639999999999999</v>
      </c>
      <c r="K85" s="88">
        <f t="shared" ref="K85:M85" si="74">5.388*H85</f>
        <v>6.0022319999999993</v>
      </c>
      <c r="L85" s="88">
        <f t="shared" si="74"/>
        <v>6.1746479999999995</v>
      </c>
      <c r="M85" s="88">
        <f t="shared" si="74"/>
        <v>6.2716319999999994</v>
      </c>
      <c r="N85" s="88">
        <f t="shared" si="70"/>
        <v>6.1495039999999994</v>
      </c>
      <c r="O85" s="88">
        <f t="shared" si="73"/>
        <v>1.2299007999999998</v>
      </c>
      <c r="P85" s="88">
        <f t="shared" si="57"/>
        <v>8.7850057142857124E-2</v>
      </c>
      <c r="Q85" s="88">
        <f t="shared" si="58"/>
        <v>8.7850057142857124E-2</v>
      </c>
      <c r="R85" s="88">
        <f t="shared" si="59"/>
        <v>5.4467035428571418</v>
      </c>
      <c r="S85" s="141">
        <f>AVERAGE(R83:R85)</f>
        <v>5.4106467047619047</v>
      </c>
      <c r="T85" s="88">
        <f>STDEV(R83:R85)</f>
        <v>4.2366751579937557E-2</v>
      </c>
      <c r="U85" s="87">
        <f>T85/SQRT(3)</f>
        <v>2.4460455429366954E-2</v>
      </c>
    </row>
    <row r="86" spans="2:27" x14ac:dyDescent="0.15">
      <c r="B86" s="193" t="s">
        <v>36</v>
      </c>
      <c r="C86" s="196">
        <v>0.4916666666666667</v>
      </c>
      <c r="D86" s="262">
        <v>385.65000000000003</v>
      </c>
      <c r="E86" s="248">
        <v>17</v>
      </c>
      <c r="F86" s="138" t="s">
        <v>94</v>
      </c>
      <c r="G86" s="239">
        <v>7.2333333333333319E-2</v>
      </c>
      <c r="H86" s="106">
        <f>1.688-G86</f>
        <v>1.6156666666666666</v>
      </c>
      <c r="I86" s="110">
        <f>1.888-G86</f>
        <v>1.8156666666666665</v>
      </c>
      <c r="J86" s="110">
        <f>1.388-G86</f>
        <v>1.3156666666666665</v>
      </c>
      <c r="K86" s="110">
        <f>3.9395*H86</f>
        <v>6.3649188333333324</v>
      </c>
      <c r="L86" s="110">
        <f t="shared" ref="L86:M88" si="75">3.9395*I86</f>
        <v>7.152818833333332</v>
      </c>
      <c r="M86" s="110">
        <f t="shared" si="75"/>
        <v>5.1830688333333326</v>
      </c>
      <c r="N86" s="110">
        <f t="shared" si="70"/>
        <v>6.2336021666666666</v>
      </c>
      <c r="O86" s="110">
        <f t="shared" si="73"/>
        <v>1.2467204333333333</v>
      </c>
      <c r="P86" s="110">
        <f t="shared" si="57"/>
        <v>8.9051459523809523E-2</v>
      </c>
      <c r="Q86" s="110">
        <f t="shared" si="58"/>
        <v>8.9051459523809523E-2</v>
      </c>
      <c r="R86" s="110">
        <f t="shared" si="59"/>
        <v>5.5211904904761901</v>
      </c>
      <c r="S86" s="144"/>
      <c r="T86" s="117"/>
      <c r="U86" s="105"/>
    </row>
    <row r="87" spans="2:27" x14ac:dyDescent="0.15">
      <c r="B87" s="194"/>
      <c r="C87" s="197"/>
      <c r="D87" s="231"/>
      <c r="E87" s="235"/>
      <c r="F87" s="85" t="s">
        <v>95</v>
      </c>
      <c r="G87" s="237"/>
      <c r="H87" s="86">
        <f>1.788-G86</f>
        <v>1.7156666666666667</v>
      </c>
      <c r="I87" s="88">
        <f>1.688-G86</f>
        <v>1.6156666666666666</v>
      </c>
      <c r="J87" s="88">
        <f>1.488-G86</f>
        <v>1.4156666666666666</v>
      </c>
      <c r="K87" s="88">
        <f t="shared" ref="K87:K88" si="76">3.9395*H87</f>
        <v>6.7588688333333327</v>
      </c>
      <c r="L87" s="88">
        <f t="shared" si="75"/>
        <v>6.3649188333333324</v>
      </c>
      <c r="M87" s="88">
        <f t="shared" si="75"/>
        <v>5.5770188333333328</v>
      </c>
      <c r="N87" s="88">
        <f t="shared" si="70"/>
        <v>6.2336021666666666</v>
      </c>
      <c r="O87" s="88">
        <f t="shared" si="73"/>
        <v>1.2467204333333333</v>
      </c>
      <c r="P87" s="88">
        <f t="shared" si="57"/>
        <v>8.9051459523809523E-2</v>
      </c>
      <c r="Q87" s="88">
        <f t="shared" si="58"/>
        <v>8.9051459523809523E-2</v>
      </c>
      <c r="R87" s="88">
        <f t="shared" si="59"/>
        <v>5.5211904904761901</v>
      </c>
      <c r="S87" s="139"/>
      <c r="T87" s="62"/>
      <c r="U87" s="84"/>
    </row>
    <row r="88" spans="2:27" x14ac:dyDescent="0.15">
      <c r="B88" s="208"/>
      <c r="C88" s="209"/>
      <c r="D88" s="263"/>
      <c r="E88" s="249"/>
      <c r="F88" s="95" t="s">
        <v>96</v>
      </c>
      <c r="G88" s="240"/>
      <c r="H88" s="96">
        <f>1.588-G86</f>
        <v>1.5156666666666667</v>
      </c>
      <c r="I88" s="98">
        <f>1.488-G86</f>
        <v>1.4156666666666666</v>
      </c>
      <c r="J88" s="98">
        <f>1.588-G86</f>
        <v>1.5156666666666667</v>
      </c>
      <c r="K88" s="98">
        <f t="shared" si="76"/>
        <v>5.9709688333333331</v>
      </c>
      <c r="L88" s="98">
        <f t="shared" si="75"/>
        <v>5.5770188333333328</v>
      </c>
      <c r="M88" s="98">
        <f t="shared" si="75"/>
        <v>5.9709688333333331</v>
      </c>
      <c r="N88" s="98">
        <f t="shared" si="70"/>
        <v>5.8396521666666663</v>
      </c>
      <c r="O88" s="98">
        <f t="shared" si="73"/>
        <v>1.1679304333333334</v>
      </c>
      <c r="P88" s="98">
        <f t="shared" si="57"/>
        <v>8.342360238095238E-2</v>
      </c>
      <c r="Q88" s="98">
        <f t="shared" si="58"/>
        <v>8.342360238095238E-2</v>
      </c>
      <c r="R88" s="98">
        <f t="shared" si="59"/>
        <v>5.1722633476190474</v>
      </c>
      <c r="S88" s="143">
        <f>AVERAGE(R86:R88)</f>
        <v>5.4048814428571426</v>
      </c>
      <c r="T88" s="98">
        <f>STDEV(R86:R88)</f>
        <v>0.20145317985613839</v>
      </c>
      <c r="U88" s="97">
        <f>T88/SQRT(3)</f>
        <v>0.1163090476190476</v>
      </c>
    </row>
    <row r="89" spans="2:27" x14ac:dyDescent="0.15">
      <c r="B89" s="257" t="s">
        <v>33</v>
      </c>
      <c r="C89" s="260">
        <v>0.52500000000000002</v>
      </c>
      <c r="D89" s="251">
        <v>433.88333333333333</v>
      </c>
      <c r="E89" s="235">
        <v>19</v>
      </c>
      <c r="F89" s="85" t="s">
        <v>94</v>
      </c>
      <c r="G89" s="237">
        <f>(0.07+0.074+0.071)/3</f>
        <v>7.166666666666667E-2</v>
      </c>
      <c r="H89" s="86">
        <f>0.602-G89</f>
        <v>0.53033333333333332</v>
      </c>
      <c r="I89" s="88">
        <f>0.592-G89</f>
        <v>0.52033333333333331</v>
      </c>
      <c r="J89" s="88">
        <f>0.581-G89</f>
        <v>0.5093333333333333</v>
      </c>
      <c r="K89" s="88">
        <f>5.1849*H89</f>
        <v>2.7497252999999997</v>
      </c>
      <c r="L89" s="88">
        <f t="shared" ref="L89:M90" si="77">5.1849*I89</f>
        <v>2.6978762999999999</v>
      </c>
      <c r="M89" s="88">
        <f t="shared" si="77"/>
        <v>2.6408423999999999</v>
      </c>
      <c r="N89" s="88">
        <f t="shared" si="70"/>
        <v>2.6961479999999995</v>
      </c>
      <c r="O89" s="88">
        <f>N89/2.5</f>
        <v>1.0784591999999997</v>
      </c>
      <c r="P89" s="88">
        <f t="shared" si="57"/>
        <v>7.7032799999999985E-2</v>
      </c>
      <c r="Q89" s="88">
        <f t="shared" si="58"/>
        <v>7.7032799999999985E-2</v>
      </c>
      <c r="R89" s="88">
        <f t="shared" si="59"/>
        <v>4.776033599999999</v>
      </c>
      <c r="S89" s="139"/>
      <c r="T89" s="62"/>
      <c r="U89" s="84"/>
    </row>
    <row r="90" spans="2:27" ht="15" customHeight="1" x14ac:dyDescent="0.15">
      <c r="B90" s="257"/>
      <c r="C90" s="260"/>
      <c r="D90" s="251"/>
      <c r="E90" s="235"/>
      <c r="F90" s="85" t="s">
        <v>95</v>
      </c>
      <c r="G90" s="237"/>
      <c r="H90" s="86">
        <f>0.69-G89</f>
        <v>0.61833333333333329</v>
      </c>
      <c r="I90" s="88">
        <f>0.715-G89</f>
        <v>0.64333333333333331</v>
      </c>
      <c r="J90" s="88">
        <f>0.729-G89</f>
        <v>0.65733333333333333</v>
      </c>
      <c r="K90" s="88">
        <f t="shared" ref="K90" si="78">5.1849*H90</f>
        <v>3.2059964999999995</v>
      </c>
      <c r="L90" s="88">
        <f t="shared" si="77"/>
        <v>3.3356189999999999</v>
      </c>
      <c r="M90" s="88">
        <f t="shared" si="77"/>
        <v>3.4082075999999999</v>
      </c>
      <c r="N90" s="88">
        <f t="shared" si="70"/>
        <v>3.3166077</v>
      </c>
      <c r="O90" s="88">
        <f>N90/2.5</f>
        <v>1.32664308</v>
      </c>
      <c r="P90" s="88">
        <f t="shared" si="57"/>
        <v>9.4760219999999992E-2</v>
      </c>
      <c r="Q90" s="88">
        <f t="shared" si="58"/>
        <v>9.4760219999999992E-2</v>
      </c>
      <c r="R90" s="88">
        <f t="shared" si="59"/>
        <v>5.8751336399999996</v>
      </c>
      <c r="S90" s="139"/>
      <c r="T90" s="62"/>
      <c r="U90" s="84"/>
    </row>
    <row r="91" spans="2:27" ht="16" customHeight="1" thickBot="1" x14ac:dyDescent="0.2">
      <c r="B91" s="259"/>
      <c r="C91" s="261"/>
      <c r="D91" s="255"/>
      <c r="E91" s="236"/>
      <c r="F91" s="127" t="s">
        <v>96</v>
      </c>
      <c r="G91" s="238"/>
      <c r="H91" s="118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45">
        <f>AVERAGE(R89:R91)</f>
        <v>5.3255836199999997</v>
      </c>
      <c r="T91" s="120">
        <f>STDEV(R89:R91)</f>
        <v>0.7771810914863988</v>
      </c>
      <c r="U91" s="119">
        <f>T91/SQRT(3)</f>
        <v>0.44870571237875956</v>
      </c>
    </row>
    <row r="92" spans="2:27" x14ac:dyDescent="0.15"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</row>
    <row r="93" spans="2:27" x14ac:dyDescent="0.15"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</row>
    <row r="94" spans="2:27" x14ac:dyDescent="0.15"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</row>
    <row r="95" spans="2:27" x14ac:dyDescent="0.15"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</row>
    <row r="96" spans="2:27" x14ac:dyDescent="0.15"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</row>
    <row r="97" spans="2:21" x14ac:dyDescent="0.15"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</row>
    <row r="98" spans="2:21" x14ac:dyDescent="0.15"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</row>
    <row r="99" spans="2:21" x14ac:dyDescent="0.15"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</row>
    <row r="100" spans="2:21" x14ac:dyDescent="0.15"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</row>
    <row r="101" spans="2:21" x14ac:dyDescent="0.15"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</row>
    <row r="102" spans="2:21" x14ac:dyDescent="0.15"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</row>
    <row r="103" spans="2:21" x14ac:dyDescent="0.15"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</row>
    <row r="104" spans="2:21" x14ac:dyDescent="0.15"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</row>
    <row r="105" spans="2:21" x14ac:dyDescent="0.15"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</row>
    <row r="106" spans="2:21" x14ac:dyDescent="0.15"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</row>
    <row r="107" spans="2:21" x14ac:dyDescent="0.15"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</row>
    <row r="108" spans="2:21" x14ac:dyDescent="0.15"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</row>
    <row r="109" spans="2:21" x14ac:dyDescent="0.15"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</row>
    <row r="110" spans="2:21" x14ac:dyDescent="0.15"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</row>
    <row r="111" spans="2:21" x14ac:dyDescent="0.15"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</row>
    <row r="112" spans="2:21" x14ac:dyDescent="0.15"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</row>
    <row r="113" spans="2:21" x14ac:dyDescent="0.15"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</row>
    <row r="114" spans="2:21" x14ac:dyDescent="0.15"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</row>
    <row r="115" spans="2:21" x14ac:dyDescent="0.15"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</row>
    <row r="116" spans="2:21" x14ac:dyDescent="0.15"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</row>
    <row r="117" spans="2:21" x14ac:dyDescent="0.15"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</row>
    <row r="118" spans="2:21" x14ac:dyDescent="0.15"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</row>
    <row r="119" spans="2:21" x14ac:dyDescent="0.15"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</row>
    <row r="120" spans="2:21" x14ac:dyDescent="0.15"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</row>
    <row r="121" spans="2:21" x14ac:dyDescent="0.15"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</row>
    <row r="122" spans="2:21" x14ac:dyDescent="0.15"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</row>
    <row r="123" spans="2:21" x14ac:dyDescent="0.15"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</row>
    <row r="124" spans="2:21" x14ac:dyDescent="0.15"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</row>
    <row r="125" spans="2:21" x14ac:dyDescent="0.15"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</row>
    <row r="126" spans="2:21" x14ac:dyDescent="0.15"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</row>
    <row r="127" spans="2:21" x14ac:dyDescent="0.15"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</row>
    <row r="128" spans="2:21" x14ac:dyDescent="0.15"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</row>
    <row r="129" spans="2:21" x14ac:dyDescent="0.15"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</row>
    <row r="130" spans="2:21" x14ac:dyDescent="0.15"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</row>
    <row r="131" spans="2:21" x14ac:dyDescent="0.15"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</row>
    <row r="132" spans="2:21" x14ac:dyDescent="0.15"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</row>
    <row r="133" spans="2:21" x14ac:dyDescent="0.15"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</row>
    <row r="134" spans="2:21" x14ac:dyDescent="0.15"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</row>
    <row r="135" spans="2:21" x14ac:dyDescent="0.15"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</row>
    <row r="136" spans="2:21" x14ac:dyDescent="0.15"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</row>
    <row r="137" spans="2:21" x14ac:dyDescent="0.15"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</row>
    <row r="138" spans="2:21" x14ac:dyDescent="0.15"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</row>
    <row r="139" spans="2:21" x14ac:dyDescent="0.15"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</row>
    <row r="140" spans="2:21" x14ac:dyDescent="0.15"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</row>
    <row r="141" spans="2:21" x14ac:dyDescent="0.15"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</row>
    <row r="142" spans="2:21" x14ac:dyDescent="0.15"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</row>
    <row r="143" spans="2:21" x14ac:dyDescent="0.15"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</row>
    <row r="144" spans="2:21" x14ac:dyDescent="0.15"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</row>
    <row r="145" spans="2:21" x14ac:dyDescent="0.15"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</row>
    <row r="146" spans="2:21" x14ac:dyDescent="0.15"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</row>
    <row r="147" spans="2:21" x14ac:dyDescent="0.15"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</row>
    <row r="148" spans="2:21" x14ac:dyDescent="0.15"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</row>
    <row r="149" spans="2:21" x14ac:dyDescent="0.15"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</row>
    <row r="150" spans="2:21" x14ac:dyDescent="0.15"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</row>
    <row r="151" spans="2:21" x14ac:dyDescent="0.15"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</row>
    <row r="152" spans="2:21" x14ac:dyDescent="0.15"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</row>
    <row r="153" spans="2:21" x14ac:dyDescent="0.15"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</row>
    <row r="154" spans="2:21" x14ac:dyDescent="0.15"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</row>
    <row r="155" spans="2:21" x14ac:dyDescent="0.15"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</row>
    <row r="156" spans="2:21" x14ac:dyDescent="0.15"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</row>
    <row r="157" spans="2:21" x14ac:dyDescent="0.15"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</row>
    <row r="158" spans="2:21" x14ac:dyDescent="0.15"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</row>
    <row r="159" spans="2:21" x14ac:dyDescent="0.15"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</row>
    <row r="160" spans="2:21" x14ac:dyDescent="0.15"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</row>
    <row r="161" spans="2:21" x14ac:dyDescent="0.15"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</row>
    <row r="162" spans="2:21" x14ac:dyDescent="0.15"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</row>
    <row r="163" spans="2:21" x14ac:dyDescent="0.15"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</row>
    <row r="164" spans="2:21" x14ac:dyDescent="0.15"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</row>
    <row r="165" spans="2:21" x14ac:dyDescent="0.15"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</row>
    <row r="166" spans="2:21" x14ac:dyDescent="0.15"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</row>
    <row r="167" spans="2:21" x14ac:dyDescent="0.15"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</row>
    <row r="168" spans="2:21" x14ac:dyDescent="0.15"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</row>
    <row r="169" spans="2:21" x14ac:dyDescent="0.15"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</row>
    <row r="170" spans="2:21" x14ac:dyDescent="0.15"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</row>
    <row r="171" spans="2:21" x14ac:dyDescent="0.15"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</row>
    <row r="172" spans="2:21" x14ac:dyDescent="0.15"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</row>
    <row r="173" spans="2:21" x14ac:dyDescent="0.15"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</row>
    <row r="174" spans="2:21" x14ac:dyDescent="0.15"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</row>
    <row r="175" spans="2:21" x14ac:dyDescent="0.15"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</row>
    <row r="176" spans="2:21" x14ac:dyDescent="0.15"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</row>
    <row r="177" spans="2:21" x14ac:dyDescent="0.15"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</row>
    <row r="178" spans="2:21" x14ac:dyDescent="0.15"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</row>
    <row r="179" spans="2:21" x14ac:dyDescent="0.15"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</row>
    <row r="180" spans="2:21" x14ac:dyDescent="0.15"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</row>
    <row r="181" spans="2:21" x14ac:dyDescent="0.15"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</row>
    <row r="182" spans="2:21" x14ac:dyDescent="0.15"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</row>
    <row r="183" spans="2:21" x14ac:dyDescent="0.15"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</row>
    <row r="184" spans="2:21" x14ac:dyDescent="0.15"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</row>
    <row r="185" spans="2:21" x14ac:dyDescent="0.15"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</row>
    <row r="186" spans="2:21" x14ac:dyDescent="0.15"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</row>
    <row r="187" spans="2:21" x14ac:dyDescent="0.15"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</row>
    <row r="188" spans="2:21" x14ac:dyDescent="0.15"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</row>
    <row r="189" spans="2:21" x14ac:dyDescent="0.15"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</row>
    <row r="190" spans="2:21" x14ac:dyDescent="0.15"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</row>
    <row r="191" spans="2:21" x14ac:dyDescent="0.15"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</row>
    <row r="192" spans="2:21" x14ac:dyDescent="0.15"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</row>
    <row r="193" spans="2:21" x14ac:dyDescent="0.15"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</row>
    <row r="194" spans="2:21" x14ac:dyDescent="0.15"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</row>
    <row r="195" spans="2:21" x14ac:dyDescent="0.15"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</row>
    <row r="196" spans="2:21" x14ac:dyDescent="0.15"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</row>
    <row r="197" spans="2:21" x14ac:dyDescent="0.15"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</row>
    <row r="198" spans="2:21" x14ac:dyDescent="0.15"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</row>
    <row r="199" spans="2:21" x14ac:dyDescent="0.15"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</row>
    <row r="200" spans="2:21" x14ac:dyDescent="0.15"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</row>
    <row r="201" spans="2:21" x14ac:dyDescent="0.15"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</row>
    <row r="202" spans="2:21" x14ac:dyDescent="0.15"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</row>
    <row r="203" spans="2:21" x14ac:dyDescent="0.15"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</row>
    <row r="204" spans="2:21" x14ac:dyDescent="0.15"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</row>
    <row r="205" spans="2:21" x14ac:dyDescent="0.15"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</row>
    <row r="206" spans="2:21" x14ac:dyDescent="0.15"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</row>
    <row r="207" spans="2:21" x14ac:dyDescent="0.15"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</row>
    <row r="208" spans="2:21" x14ac:dyDescent="0.15"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</row>
    <row r="209" spans="2:21" x14ac:dyDescent="0.15"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</row>
    <row r="210" spans="2:21" x14ac:dyDescent="0.15"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</row>
    <row r="211" spans="2:21" x14ac:dyDescent="0.15"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</row>
    <row r="212" spans="2:21" x14ac:dyDescent="0.15"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</row>
    <row r="213" spans="2:21" x14ac:dyDescent="0.15"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</row>
    <row r="214" spans="2:21" x14ac:dyDescent="0.15"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</row>
    <row r="215" spans="2:21" x14ac:dyDescent="0.15"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</row>
    <row r="216" spans="2:21" x14ac:dyDescent="0.15"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</row>
    <row r="217" spans="2:21" x14ac:dyDescent="0.15"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</row>
    <row r="218" spans="2:21" x14ac:dyDescent="0.15"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</row>
    <row r="219" spans="2:21" x14ac:dyDescent="0.15"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</row>
    <row r="220" spans="2:21" x14ac:dyDescent="0.15"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</row>
    <row r="221" spans="2:21" x14ac:dyDescent="0.15"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</row>
    <row r="222" spans="2:21" x14ac:dyDescent="0.15"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</row>
    <row r="223" spans="2:21" x14ac:dyDescent="0.15"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</row>
    <row r="224" spans="2:21" x14ac:dyDescent="0.15"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</row>
    <row r="225" spans="2:21" x14ac:dyDescent="0.15"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</row>
    <row r="226" spans="2:21" x14ac:dyDescent="0.15"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</row>
    <row r="227" spans="2:21" x14ac:dyDescent="0.15"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</row>
    <row r="228" spans="2:21" x14ac:dyDescent="0.15"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</row>
    <row r="229" spans="2:21" x14ac:dyDescent="0.15"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</row>
    <row r="230" spans="2:21" x14ac:dyDescent="0.15"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</row>
    <row r="231" spans="2:21" x14ac:dyDescent="0.15"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</row>
    <row r="232" spans="2:21" x14ac:dyDescent="0.15"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</row>
    <row r="233" spans="2:21" x14ac:dyDescent="0.15"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</row>
    <row r="234" spans="2:21" x14ac:dyDescent="0.15"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</row>
    <row r="235" spans="2:21" x14ac:dyDescent="0.15"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</row>
    <row r="236" spans="2:21" x14ac:dyDescent="0.15"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</row>
    <row r="237" spans="2:21" x14ac:dyDescent="0.15"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</row>
    <row r="238" spans="2:21" x14ac:dyDescent="0.15"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</row>
    <row r="239" spans="2:21" x14ac:dyDescent="0.15"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</row>
    <row r="240" spans="2:21" x14ac:dyDescent="0.15"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</row>
    <row r="241" spans="2:21" x14ac:dyDescent="0.15"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</row>
    <row r="242" spans="2:21" x14ac:dyDescent="0.15"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</row>
    <row r="243" spans="2:21" x14ac:dyDescent="0.15"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</row>
    <row r="244" spans="2:21" x14ac:dyDescent="0.15"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</row>
    <row r="245" spans="2:21" x14ac:dyDescent="0.15"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</row>
    <row r="246" spans="2:21" x14ac:dyDescent="0.15"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</row>
    <row r="247" spans="2:21" x14ac:dyDescent="0.15"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</row>
    <row r="248" spans="2:21" x14ac:dyDescent="0.15"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</row>
    <row r="249" spans="2:21" x14ac:dyDescent="0.15"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</row>
    <row r="250" spans="2:21" x14ac:dyDescent="0.15"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</row>
    <row r="251" spans="2:21" x14ac:dyDescent="0.15">
      <c r="B251" s="62"/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</row>
    <row r="252" spans="2:21" x14ac:dyDescent="0.15"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</row>
    <row r="253" spans="2:21" x14ac:dyDescent="0.15"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</row>
    <row r="254" spans="2:21" x14ac:dyDescent="0.15">
      <c r="B254" s="62"/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</row>
    <row r="255" spans="2:21" x14ac:dyDescent="0.15">
      <c r="B255" s="62"/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</row>
    <row r="256" spans="2:21" x14ac:dyDescent="0.15">
      <c r="B256" s="62"/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</row>
    <row r="257" spans="2:21" x14ac:dyDescent="0.15">
      <c r="B257" s="62"/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</row>
    <row r="258" spans="2:21" x14ac:dyDescent="0.15">
      <c r="B258" s="62"/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</row>
    <row r="259" spans="2:21" x14ac:dyDescent="0.15">
      <c r="B259" s="62"/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</row>
    <row r="260" spans="2:21" x14ac:dyDescent="0.15">
      <c r="B260" s="62"/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</row>
    <row r="261" spans="2:21" x14ac:dyDescent="0.15">
      <c r="B261" s="62"/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</row>
    <row r="262" spans="2:21" x14ac:dyDescent="0.15">
      <c r="B262" s="62"/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</row>
    <row r="263" spans="2:21" x14ac:dyDescent="0.15">
      <c r="B263" s="62"/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</row>
    <row r="264" spans="2:21" x14ac:dyDescent="0.15">
      <c r="B264" s="62"/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</row>
    <row r="265" spans="2:21" x14ac:dyDescent="0.15">
      <c r="B265" s="62"/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</row>
    <row r="266" spans="2:21" x14ac:dyDescent="0.15">
      <c r="B266" s="62"/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</row>
    <row r="267" spans="2:21" x14ac:dyDescent="0.15">
      <c r="B267" s="62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</row>
    <row r="268" spans="2:21" x14ac:dyDescent="0.15"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</row>
    <row r="269" spans="2:21" x14ac:dyDescent="0.15">
      <c r="B269" s="62"/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</row>
    <row r="270" spans="2:21" x14ac:dyDescent="0.15"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</row>
    <row r="271" spans="2:21" x14ac:dyDescent="0.15"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</row>
    <row r="272" spans="2:21" x14ac:dyDescent="0.15"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</row>
    <row r="273" spans="2:21" x14ac:dyDescent="0.15"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</row>
    <row r="274" spans="2:21" x14ac:dyDescent="0.15"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</row>
    <row r="275" spans="2:21" x14ac:dyDescent="0.15"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</row>
    <row r="276" spans="2:21" x14ac:dyDescent="0.15"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</row>
    <row r="277" spans="2:21" x14ac:dyDescent="0.15"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</row>
    <row r="278" spans="2:21" x14ac:dyDescent="0.15">
      <c r="B278" s="62"/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</row>
    <row r="279" spans="2:21" x14ac:dyDescent="0.15">
      <c r="B279" s="62"/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</row>
    <row r="280" spans="2:21" x14ac:dyDescent="0.15">
      <c r="B280" s="62"/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</row>
    <row r="281" spans="2:21" x14ac:dyDescent="0.15">
      <c r="B281" s="62"/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</row>
    <row r="282" spans="2:21" x14ac:dyDescent="0.15">
      <c r="B282" s="62"/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</row>
    <row r="283" spans="2:21" x14ac:dyDescent="0.15">
      <c r="B283" s="62"/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</row>
    <row r="284" spans="2:21" x14ac:dyDescent="0.15">
      <c r="B284" s="62"/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</row>
    <row r="285" spans="2:21" x14ac:dyDescent="0.15">
      <c r="B285" s="62"/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</row>
    <row r="286" spans="2:21" x14ac:dyDescent="0.15">
      <c r="B286" s="62"/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</row>
    <row r="287" spans="2:21" x14ac:dyDescent="0.15">
      <c r="B287" s="62"/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</row>
    <row r="288" spans="2:21" x14ac:dyDescent="0.15">
      <c r="B288" s="62"/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</row>
    <row r="289" spans="2:21" x14ac:dyDescent="0.15">
      <c r="B289" s="62"/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</row>
    <row r="290" spans="2:21" x14ac:dyDescent="0.15"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</row>
    <row r="291" spans="2:21" x14ac:dyDescent="0.15">
      <c r="B291" s="62"/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</row>
    <row r="292" spans="2:21" x14ac:dyDescent="0.15">
      <c r="B292" s="62"/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</row>
    <row r="293" spans="2:21" x14ac:dyDescent="0.15">
      <c r="B293" s="62"/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</row>
    <row r="294" spans="2:21" x14ac:dyDescent="0.15"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</row>
    <row r="295" spans="2:21" x14ac:dyDescent="0.15">
      <c r="B295" s="62"/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</row>
    <row r="296" spans="2:21" x14ac:dyDescent="0.15">
      <c r="B296" s="62"/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</row>
    <row r="297" spans="2:21" x14ac:dyDescent="0.15"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</row>
    <row r="298" spans="2:21" x14ac:dyDescent="0.15"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</row>
    <row r="299" spans="2:21" x14ac:dyDescent="0.15">
      <c r="B299" s="62"/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</row>
    <row r="300" spans="2:21" x14ac:dyDescent="0.15">
      <c r="B300" s="62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</row>
    <row r="301" spans="2:21" x14ac:dyDescent="0.15"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</row>
    <row r="302" spans="2:21" x14ac:dyDescent="0.15"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</row>
    <row r="303" spans="2:21" x14ac:dyDescent="0.15"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</row>
    <row r="304" spans="2:21" x14ac:dyDescent="0.15"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</row>
    <row r="305" spans="2:21" x14ac:dyDescent="0.15"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</row>
    <row r="306" spans="2:21" x14ac:dyDescent="0.15">
      <c r="B306" s="62"/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</row>
    <row r="307" spans="2:21" x14ac:dyDescent="0.15"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</row>
    <row r="308" spans="2:21" x14ac:dyDescent="0.15"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</row>
    <row r="309" spans="2:21" x14ac:dyDescent="0.15">
      <c r="B309" s="62"/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</row>
    <row r="310" spans="2:21" x14ac:dyDescent="0.15"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</row>
    <row r="311" spans="2:21" x14ac:dyDescent="0.15"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</row>
    <row r="312" spans="2:21" x14ac:dyDescent="0.15">
      <c r="B312" s="62"/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</row>
    <row r="313" spans="2:21" x14ac:dyDescent="0.15"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</row>
    <row r="314" spans="2:21" x14ac:dyDescent="0.15">
      <c r="B314" s="62"/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</row>
    <row r="315" spans="2:21" x14ac:dyDescent="0.15"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</row>
    <row r="316" spans="2:21" x14ac:dyDescent="0.15">
      <c r="B316" s="62"/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</row>
    <row r="317" spans="2:21" x14ac:dyDescent="0.15">
      <c r="B317" s="62"/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</row>
    <row r="318" spans="2:21" x14ac:dyDescent="0.15">
      <c r="B318" s="62"/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</row>
    <row r="319" spans="2:21" x14ac:dyDescent="0.15">
      <c r="B319" s="62"/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</row>
    <row r="320" spans="2:21" x14ac:dyDescent="0.15">
      <c r="B320" s="62"/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</row>
    <row r="321" spans="2:21" x14ac:dyDescent="0.15">
      <c r="B321" s="62"/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</row>
    <row r="322" spans="2:21" x14ac:dyDescent="0.15">
      <c r="B322" s="62"/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</row>
    <row r="323" spans="2:21" x14ac:dyDescent="0.15">
      <c r="B323" s="62"/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</row>
    <row r="324" spans="2:21" x14ac:dyDescent="0.15">
      <c r="B324" s="62"/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</row>
    <row r="325" spans="2:21" x14ac:dyDescent="0.15">
      <c r="B325" s="62"/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</row>
    <row r="326" spans="2:21" x14ac:dyDescent="0.15">
      <c r="B326" s="62"/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</row>
    <row r="327" spans="2:21" x14ac:dyDescent="0.15">
      <c r="B327" s="62"/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</row>
    <row r="328" spans="2:21" x14ac:dyDescent="0.15">
      <c r="B328" s="62"/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</row>
    <row r="329" spans="2:21" x14ac:dyDescent="0.15">
      <c r="B329" s="62"/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</row>
    <row r="330" spans="2:21" x14ac:dyDescent="0.15">
      <c r="B330" s="62"/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</row>
    <row r="331" spans="2:21" x14ac:dyDescent="0.15"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</row>
    <row r="332" spans="2:21" x14ac:dyDescent="0.15">
      <c r="B332" s="62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</row>
    <row r="333" spans="2:21" x14ac:dyDescent="0.15">
      <c r="B333" s="62"/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</row>
    <row r="334" spans="2:21" x14ac:dyDescent="0.15">
      <c r="B334" s="62"/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</row>
    <row r="335" spans="2:21" x14ac:dyDescent="0.15">
      <c r="B335" s="62"/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</row>
    <row r="336" spans="2:21" x14ac:dyDescent="0.15">
      <c r="B336" s="62"/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</row>
    <row r="337" spans="2:21" x14ac:dyDescent="0.15">
      <c r="B337" s="62"/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</row>
    <row r="338" spans="2:21" x14ac:dyDescent="0.15">
      <c r="B338" s="62"/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</row>
    <row r="339" spans="2:21" x14ac:dyDescent="0.15">
      <c r="B339" s="62"/>
      <c r="C339" s="62"/>
      <c r="D339" s="62"/>
      <c r="E339" s="62"/>
      <c r="F339" s="62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</row>
    <row r="340" spans="2:21" x14ac:dyDescent="0.15">
      <c r="B340" s="62"/>
      <c r="C340" s="62"/>
      <c r="D340" s="62"/>
      <c r="E340" s="62"/>
      <c r="F340" s="62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</row>
    <row r="341" spans="2:21" x14ac:dyDescent="0.15">
      <c r="B341" s="62"/>
      <c r="C341" s="62"/>
      <c r="D341" s="62"/>
      <c r="E341" s="62"/>
      <c r="F341" s="62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</row>
    <row r="342" spans="2:21" x14ac:dyDescent="0.15">
      <c r="B342" s="62"/>
      <c r="C342" s="62"/>
      <c r="D342" s="62"/>
      <c r="E342" s="62"/>
      <c r="F342" s="62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</row>
    <row r="343" spans="2:21" x14ac:dyDescent="0.15">
      <c r="B343" s="62"/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</row>
    <row r="344" spans="2:21" x14ac:dyDescent="0.15">
      <c r="B344" s="62"/>
      <c r="C344" s="62"/>
      <c r="D344" s="62"/>
      <c r="E344" s="62"/>
      <c r="F344" s="62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</row>
    <row r="345" spans="2:21" x14ac:dyDescent="0.15">
      <c r="B345" s="62"/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</row>
    <row r="346" spans="2:21" x14ac:dyDescent="0.15">
      <c r="B346" s="62"/>
      <c r="C346" s="62"/>
      <c r="D346" s="62"/>
      <c r="E346" s="62"/>
      <c r="F346" s="62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</row>
    <row r="347" spans="2:21" x14ac:dyDescent="0.15">
      <c r="B347" s="62"/>
      <c r="C347" s="62"/>
      <c r="D347" s="62"/>
      <c r="E347" s="62"/>
      <c r="F347" s="62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</row>
    <row r="348" spans="2:21" x14ac:dyDescent="0.15">
      <c r="B348" s="62"/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</row>
    <row r="349" spans="2:21" x14ac:dyDescent="0.15">
      <c r="B349" s="62"/>
      <c r="C349" s="62"/>
      <c r="D349" s="62"/>
      <c r="E349" s="62"/>
      <c r="F349" s="62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</row>
    <row r="350" spans="2:21" x14ac:dyDescent="0.15">
      <c r="B350" s="62"/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</row>
    <row r="351" spans="2:21" x14ac:dyDescent="0.15">
      <c r="B351" s="62"/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</row>
    <row r="352" spans="2:21" x14ac:dyDescent="0.15">
      <c r="B352" s="62"/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</row>
    <row r="353" spans="2:21" x14ac:dyDescent="0.15">
      <c r="B353" s="62"/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</row>
    <row r="354" spans="2:21" x14ac:dyDescent="0.15">
      <c r="B354" s="62"/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</row>
    <row r="355" spans="2:21" x14ac:dyDescent="0.15">
      <c r="B355" s="62"/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</row>
    <row r="356" spans="2:21" x14ac:dyDescent="0.15">
      <c r="B356" s="62"/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</row>
    <row r="357" spans="2:21" x14ac:dyDescent="0.15">
      <c r="B357" s="62"/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</row>
    <row r="358" spans="2:21" x14ac:dyDescent="0.15">
      <c r="B358" s="62"/>
      <c r="C358" s="62"/>
      <c r="D358" s="62"/>
      <c r="E358" s="62"/>
      <c r="F358" s="62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</row>
    <row r="359" spans="2:21" x14ac:dyDescent="0.15">
      <c r="B359" s="62"/>
      <c r="C359" s="62"/>
      <c r="D359" s="62"/>
      <c r="E359" s="62"/>
      <c r="F359" s="62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</row>
    <row r="360" spans="2:21" x14ac:dyDescent="0.15">
      <c r="B360" s="62"/>
      <c r="C360" s="62"/>
      <c r="D360" s="62"/>
      <c r="E360" s="62"/>
      <c r="F360" s="62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</row>
    <row r="361" spans="2:21" x14ac:dyDescent="0.15">
      <c r="B361" s="62"/>
      <c r="C361" s="62"/>
      <c r="D361" s="62"/>
      <c r="E361" s="62"/>
      <c r="F361" s="62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</row>
    <row r="362" spans="2:21" x14ac:dyDescent="0.15">
      <c r="B362" s="62"/>
      <c r="C362" s="62"/>
      <c r="D362" s="62"/>
      <c r="E362" s="62"/>
      <c r="F362" s="62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</row>
    <row r="363" spans="2:21" x14ac:dyDescent="0.15">
      <c r="B363" s="62"/>
      <c r="C363" s="62"/>
      <c r="D363" s="62"/>
      <c r="E363" s="62"/>
      <c r="F363" s="62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</row>
    <row r="364" spans="2:21" x14ac:dyDescent="0.15">
      <c r="B364" s="62"/>
      <c r="C364" s="62"/>
      <c r="D364" s="62"/>
      <c r="E364" s="62"/>
      <c r="F364" s="62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</row>
    <row r="365" spans="2:21" x14ac:dyDescent="0.15">
      <c r="B365" s="62"/>
      <c r="C365" s="62"/>
      <c r="D365" s="62"/>
      <c r="E365" s="62"/>
      <c r="F365" s="62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</row>
    <row r="366" spans="2:21" x14ac:dyDescent="0.15">
      <c r="B366" s="62"/>
      <c r="C366" s="62"/>
      <c r="D366" s="62"/>
      <c r="E366" s="62"/>
      <c r="F366" s="62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</row>
    <row r="367" spans="2:21" x14ac:dyDescent="0.15">
      <c r="B367" s="62"/>
      <c r="C367" s="62"/>
      <c r="D367" s="62"/>
      <c r="E367" s="62"/>
      <c r="F367" s="62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</row>
    <row r="368" spans="2:21" x14ac:dyDescent="0.15">
      <c r="B368" s="62"/>
      <c r="C368" s="62"/>
      <c r="D368" s="62"/>
      <c r="E368" s="62"/>
      <c r="F368" s="62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</row>
    <row r="369" spans="2:21" x14ac:dyDescent="0.15">
      <c r="B369" s="62"/>
      <c r="C369" s="62"/>
      <c r="D369" s="62"/>
      <c r="E369" s="62"/>
      <c r="F369" s="62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</row>
    <row r="370" spans="2:21" x14ac:dyDescent="0.15">
      <c r="B370" s="62"/>
      <c r="C370" s="62"/>
      <c r="D370" s="62"/>
      <c r="E370" s="62"/>
      <c r="F370" s="62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</row>
    <row r="371" spans="2:21" x14ac:dyDescent="0.15">
      <c r="B371" s="62"/>
      <c r="C371" s="62"/>
      <c r="D371" s="62"/>
      <c r="E371" s="62"/>
      <c r="F371" s="62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</row>
    <row r="372" spans="2:21" x14ac:dyDescent="0.15">
      <c r="B372" s="62"/>
      <c r="C372" s="62"/>
      <c r="D372" s="62"/>
      <c r="E372" s="62"/>
      <c r="F372" s="62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</row>
    <row r="373" spans="2:21" x14ac:dyDescent="0.15">
      <c r="B373" s="62"/>
      <c r="C373" s="62"/>
      <c r="D373" s="62"/>
      <c r="E373" s="62"/>
      <c r="F373" s="62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</row>
    <row r="374" spans="2:21" x14ac:dyDescent="0.15">
      <c r="B374" s="62"/>
      <c r="C374" s="62"/>
      <c r="D374" s="62"/>
      <c r="E374" s="62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</row>
    <row r="375" spans="2:21" x14ac:dyDescent="0.15">
      <c r="B375" s="62"/>
      <c r="C375" s="62"/>
      <c r="D375" s="62"/>
      <c r="E375" s="62"/>
      <c r="F375" s="62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</row>
    <row r="376" spans="2:21" x14ac:dyDescent="0.15">
      <c r="B376" s="62"/>
      <c r="C376" s="62"/>
      <c r="D376" s="62"/>
      <c r="E376" s="62"/>
      <c r="F376" s="62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</row>
    <row r="377" spans="2:21" x14ac:dyDescent="0.15">
      <c r="B377" s="62"/>
      <c r="C377" s="62"/>
      <c r="D377" s="62"/>
      <c r="E377" s="62"/>
      <c r="F377" s="62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</row>
    <row r="378" spans="2:21" x14ac:dyDescent="0.15">
      <c r="B378" s="62"/>
      <c r="C378" s="62"/>
      <c r="D378" s="62"/>
      <c r="E378" s="62"/>
      <c r="F378" s="62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</row>
    <row r="379" spans="2:21" x14ac:dyDescent="0.15">
      <c r="B379" s="62"/>
      <c r="C379" s="62"/>
      <c r="D379" s="62"/>
      <c r="E379" s="62"/>
      <c r="F379" s="62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</row>
    <row r="380" spans="2:21" x14ac:dyDescent="0.15">
      <c r="B380" s="62"/>
      <c r="C380" s="62"/>
      <c r="D380" s="62"/>
      <c r="E380" s="62"/>
      <c r="F380" s="62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</row>
    <row r="381" spans="2:21" x14ac:dyDescent="0.15">
      <c r="B381" s="62"/>
      <c r="C381" s="62"/>
      <c r="D381" s="62"/>
      <c r="E381" s="62"/>
      <c r="F381" s="62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</row>
    <row r="382" spans="2:21" x14ac:dyDescent="0.15">
      <c r="B382" s="62"/>
      <c r="C382" s="62"/>
      <c r="D382" s="62"/>
      <c r="E382" s="62"/>
      <c r="F382" s="62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</row>
    <row r="383" spans="2:21" x14ac:dyDescent="0.15">
      <c r="B383" s="62"/>
      <c r="C383" s="62"/>
      <c r="D383" s="62"/>
      <c r="E383" s="62"/>
      <c r="F383" s="62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</row>
    <row r="384" spans="2:21" x14ac:dyDescent="0.15">
      <c r="B384" s="62"/>
      <c r="C384" s="62"/>
      <c r="D384" s="62"/>
      <c r="E384" s="62"/>
      <c r="F384" s="62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</row>
    <row r="385" spans="2:21" x14ac:dyDescent="0.15">
      <c r="B385" s="62"/>
      <c r="C385" s="62"/>
      <c r="D385" s="62"/>
      <c r="E385" s="62"/>
      <c r="F385" s="62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</row>
    <row r="386" spans="2:21" x14ac:dyDescent="0.15">
      <c r="B386" s="62"/>
      <c r="C386" s="62"/>
      <c r="D386" s="62"/>
      <c r="E386" s="62"/>
      <c r="F386" s="62"/>
      <c r="G386" s="62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</row>
    <row r="387" spans="2:21" x14ac:dyDescent="0.15">
      <c r="B387" s="62"/>
      <c r="C387" s="62"/>
      <c r="D387" s="62"/>
      <c r="E387" s="62"/>
      <c r="F387" s="62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</row>
    <row r="388" spans="2:21" x14ac:dyDescent="0.15">
      <c r="B388" s="62"/>
      <c r="C388" s="62"/>
      <c r="D388" s="62"/>
      <c r="E388" s="62"/>
      <c r="F388" s="62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</row>
    <row r="389" spans="2:21" x14ac:dyDescent="0.15">
      <c r="B389" s="62"/>
      <c r="C389" s="62"/>
      <c r="D389" s="62"/>
      <c r="E389" s="62"/>
      <c r="F389" s="62"/>
      <c r="G389" s="62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</row>
    <row r="390" spans="2:21" x14ac:dyDescent="0.15">
      <c r="B390" s="62"/>
      <c r="C390" s="62"/>
      <c r="D390" s="62"/>
      <c r="E390" s="62"/>
      <c r="F390" s="62"/>
      <c r="G390" s="62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</row>
    <row r="391" spans="2:21" x14ac:dyDescent="0.15">
      <c r="B391" s="62"/>
      <c r="C391" s="62"/>
      <c r="D391" s="62"/>
      <c r="E391" s="62"/>
      <c r="F391" s="62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</row>
    <row r="392" spans="2:21" x14ac:dyDescent="0.15">
      <c r="B392" s="62"/>
      <c r="C392" s="62"/>
      <c r="D392" s="62"/>
      <c r="E392" s="62"/>
      <c r="F392" s="62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</row>
    <row r="393" spans="2:21" x14ac:dyDescent="0.15">
      <c r="B393" s="62"/>
      <c r="C393" s="62"/>
      <c r="D393" s="62"/>
      <c r="E393" s="62"/>
      <c r="F393" s="62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</row>
    <row r="394" spans="2:21" x14ac:dyDescent="0.15">
      <c r="B394" s="62"/>
      <c r="C394" s="62"/>
      <c r="D394" s="62"/>
      <c r="E394" s="62"/>
      <c r="F394" s="62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</row>
    <row r="395" spans="2:21" x14ac:dyDescent="0.15">
      <c r="B395" s="62"/>
      <c r="C395" s="62"/>
      <c r="D395" s="62"/>
      <c r="E395" s="62"/>
      <c r="F395" s="62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</row>
    <row r="396" spans="2:21" x14ac:dyDescent="0.15">
      <c r="B396" s="62"/>
      <c r="C396" s="62"/>
      <c r="D396" s="62"/>
      <c r="E396" s="62"/>
      <c r="F396" s="62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</row>
    <row r="397" spans="2:21" x14ac:dyDescent="0.15">
      <c r="B397" s="62"/>
      <c r="C397" s="62"/>
      <c r="D397" s="62"/>
      <c r="E397" s="62"/>
      <c r="F397" s="62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</row>
    <row r="398" spans="2:21" x14ac:dyDescent="0.15">
      <c r="B398" s="62"/>
      <c r="C398" s="62"/>
      <c r="D398" s="62"/>
      <c r="E398" s="62"/>
      <c r="F398" s="62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</row>
    <row r="399" spans="2:21" x14ac:dyDescent="0.15">
      <c r="B399" s="62"/>
      <c r="C399" s="62"/>
      <c r="D399" s="62"/>
      <c r="E399" s="62"/>
      <c r="F399" s="62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</row>
    <row r="400" spans="2:21" x14ac:dyDescent="0.15">
      <c r="B400" s="62"/>
      <c r="C400" s="62"/>
      <c r="D400" s="62"/>
      <c r="E400" s="62"/>
      <c r="F400" s="62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</row>
    <row r="401" spans="2:21" x14ac:dyDescent="0.15">
      <c r="B401" s="62"/>
      <c r="C401" s="62"/>
      <c r="D401" s="62"/>
      <c r="E401" s="62"/>
      <c r="F401" s="62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</row>
    <row r="402" spans="2:21" x14ac:dyDescent="0.15">
      <c r="B402" s="62"/>
      <c r="C402" s="62"/>
      <c r="D402" s="62"/>
      <c r="E402" s="62"/>
      <c r="F402" s="62"/>
      <c r="G402" s="62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</row>
    <row r="403" spans="2:21" x14ac:dyDescent="0.15">
      <c r="B403" s="62"/>
      <c r="C403" s="62"/>
      <c r="D403" s="62"/>
      <c r="E403" s="62"/>
      <c r="F403" s="62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</row>
    <row r="404" spans="2:21" x14ac:dyDescent="0.15">
      <c r="B404" s="62"/>
      <c r="C404" s="62"/>
      <c r="D404" s="62"/>
      <c r="E404" s="62"/>
      <c r="F404" s="62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</row>
    <row r="405" spans="2:21" x14ac:dyDescent="0.15">
      <c r="B405" s="62"/>
      <c r="C405" s="62"/>
      <c r="D405" s="62"/>
      <c r="E405" s="62"/>
      <c r="F405" s="62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</row>
    <row r="406" spans="2:21" x14ac:dyDescent="0.15">
      <c r="B406" s="62"/>
      <c r="C406" s="62"/>
      <c r="D406" s="62"/>
      <c r="E406" s="62"/>
      <c r="F406" s="62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</row>
    <row r="407" spans="2:21" x14ac:dyDescent="0.15">
      <c r="B407" s="62"/>
      <c r="C407" s="62"/>
      <c r="D407" s="62"/>
      <c r="E407" s="62"/>
      <c r="F407" s="62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</row>
    <row r="408" spans="2:21" x14ac:dyDescent="0.15">
      <c r="B408" s="62"/>
      <c r="C408" s="62"/>
      <c r="D408" s="62"/>
      <c r="E408" s="62"/>
      <c r="F408" s="62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</row>
    <row r="409" spans="2:21" x14ac:dyDescent="0.15">
      <c r="B409" s="62"/>
      <c r="C409" s="62"/>
      <c r="D409" s="62"/>
      <c r="E409" s="62"/>
      <c r="F409" s="62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</row>
    <row r="410" spans="2:21" x14ac:dyDescent="0.15">
      <c r="B410" s="62"/>
      <c r="C410" s="62"/>
      <c r="D410" s="62"/>
      <c r="E410" s="62"/>
      <c r="F410" s="62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</row>
    <row r="411" spans="2:21" x14ac:dyDescent="0.15">
      <c r="B411" s="62"/>
      <c r="C411" s="62"/>
      <c r="D411" s="62"/>
      <c r="E411" s="62"/>
      <c r="F411" s="62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</row>
    <row r="412" spans="2:21" x14ac:dyDescent="0.15">
      <c r="B412" s="62"/>
      <c r="C412" s="62"/>
      <c r="D412" s="62"/>
      <c r="E412" s="62"/>
      <c r="F412" s="62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</row>
    <row r="413" spans="2:21" x14ac:dyDescent="0.15">
      <c r="B413" s="62"/>
      <c r="C413" s="62"/>
      <c r="D413" s="62"/>
      <c r="E413" s="62"/>
      <c r="F413" s="62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</row>
    <row r="414" spans="2:21" x14ac:dyDescent="0.15">
      <c r="B414" s="62"/>
      <c r="C414" s="62"/>
      <c r="D414" s="62"/>
      <c r="E414" s="62"/>
      <c r="F414" s="62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</row>
    <row r="415" spans="2:21" x14ac:dyDescent="0.15">
      <c r="B415" s="62"/>
      <c r="C415" s="62"/>
      <c r="D415" s="62"/>
      <c r="E415" s="62"/>
      <c r="F415" s="62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</row>
    <row r="416" spans="2:21" x14ac:dyDescent="0.15">
      <c r="B416" s="62"/>
      <c r="C416" s="62"/>
      <c r="D416" s="62"/>
      <c r="E416" s="62"/>
      <c r="F416" s="62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</row>
    <row r="417" spans="2:21" x14ac:dyDescent="0.15">
      <c r="B417" s="62"/>
      <c r="C417" s="62"/>
      <c r="D417" s="62"/>
      <c r="E417" s="62"/>
      <c r="F417" s="62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</row>
    <row r="418" spans="2:21" x14ac:dyDescent="0.15">
      <c r="B418" s="62"/>
      <c r="C418" s="62"/>
      <c r="D418" s="62"/>
      <c r="E418" s="62"/>
      <c r="F418" s="62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</row>
    <row r="419" spans="2:21" x14ac:dyDescent="0.15">
      <c r="B419" s="62"/>
      <c r="C419" s="62"/>
      <c r="D419" s="62"/>
      <c r="E419" s="62"/>
      <c r="F419" s="62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</row>
    <row r="420" spans="2:21" x14ac:dyDescent="0.15">
      <c r="B420" s="62"/>
      <c r="C420" s="62"/>
      <c r="D420" s="62"/>
      <c r="E420" s="62"/>
      <c r="F420" s="62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</row>
    <row r="421" spans="2:21" x14ac:dyDescent="0.15">
      <c r="B421" s="62"/>
      <c r="C421" s="62"/>
      <c r="D421" s="62"/>
      <c r="E421" s="62"/>
      <c r="F421" s="62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</row>
    <row r="422" spans="2:21" x14ac:dyDescent="0.15">
      <c r="B422" s="62"/>
      <c r="C422" s="62"/>
      <c r="D422" s="62"/>
      <c r="E422" s="62"/>
      <c r="F422" s="62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</row>
    <row r="423" spans="2:21" x14ac:dyDescent="0.15">
      <c r="B423" s="62"/>
      <c r="C423" s="62"/>
      <c r="D423" s="62"/>
      <c r="E423" s="62"/>
      <c r="F423" s="62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</row>
    <row r="424" spans="2:21" x14ac:dyDescent="0.15">
      <c r="B424" s="62"/>
      <c r="C424" s="62"/>
      <c r="D424" s="62"/>
      <c r="E424" s="62"/>
      <c r="F424" s="62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</row>
    <row r="425" spans="2:21" x14ac:dyDescent="0.15">
      <c r="B425" s="62"/>
      <c r="C425" s="62"/>
      <c r="D425" s="62"/>
      <c r="E425" s="62"/>
      <c r="F425" s="62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</row>
    <row r="426" spans="2:21" x14ac:dyDescent="0.15">
      <c r="B426" s="62"/>
      <c r="C426" s="62"/>
      <c r="D426" s="62"/>
      <c r="E426" s="62"/>
      <c r="F426" s="62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</row>
    <row r="427" spans="2:21" x14ac:dyDescent="0.15">
      <c r="B427" s="62"/>
      <c r="C427" s="62"/>
      <c r="D427" s="62"/>
      <c r="E427" s="62"/>
      <c r="F427" s="62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</row>
    <row r="428" spans="2:21" x14ac:dyDescent="0.15">
      <c r="B428" s="62"/>
      <c r="C428" s="62"/>
      <c r="D428" s="62"/>
      <c r="E428" s="62"/>
      <c r="F428" s="62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</row>
    <row r="429" spans="2:21" x14ac:dyDescent="0.15">
      <c r="B429" s="62"/>
      <c r="C429" s="62"/>
      <c r="D429" s="62"/>
      <c r="E429" s="62"/>
      <c r="F429" s="62"/>
      <c r="G429" s="62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</row>
    <row r="430" spans="2:21" x14ac:dyDescent="0.15">
      <c r="B430" s="62"/>
      <c r="C430" s="62"/>
      <c r="D430" s="62"/>
      <c r="E430" s="62"/>
      <c r="F430" s="62"/>
      <c r="G430" s="62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</row>
    <row r="431" spans="2:21" x14ac:dyDescent="0.15">
      <c r="B431" s="62"/>
      <c r="C431" s="62"/>
      <c r="D431" s="62"/>
      <c r="E431" s="62"/>
      <c r="F431" s="62"/>
      <c r="G431" s="62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</row>
    <row r="432" spans="2:21" x14ac:dyDescent="0.15">
      <c r="B432" s="62"/>
      <c r="C432" s="62"/>
      <c r="D432" s="62"/>
      <c r="E432" s="62"/>
      <c r="F432" s="62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</row>
    <row r="433" spans="2:21" x14ac:dyDescent="0.15">
      <c r="B433" s="62"/>
      <c r="C433" s="62"/>
      <c r="D433" s="62"/>
      <c r="E433" s="62"/>
      <c r="F433" s="62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</row>
    <row r="434" spans="2:21" x14ac:dyDescent="0.15">
      <c r="B434" s="62"/>
      <c r="C434" s="62"/>
      <c r="D434" s="62"/>
      <c r="E434" s="62"/>
      <c r="F434" s="62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</row>
    <row r="435" spans="2:21" x14ac:dyDescent="0.15">
      <c r="B435" s="62"/>
      <c r="C435" s="62"/>
      <c r="D435" s="62"/>
      <c r="E435" s="62"/>
      <c r="F435" s="62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</row>
    <row r="436" spans="2:21" x14ac:dyDescent="0.15">
      <c r="B436" s="62"/>
      <c r="C436" s="62"/>
      <c r="D436" s="62"/>
      <c r="E436" s="62"/>
      <c r="F436" s="62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</row>
    <row r="437" spans="2:21" x14ac:dyDescent="0.15">
      <c r="B437" s="62"/>
      <c r="C437" s="62"/>
      <c r="D437" s="62"/>
      <c r="E437" s="62"/>
      <c r="F437" s="62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</row>
    <row r="438" spans="2:21" x14ac:dyDescent="0.15">
      <c r="B438" s="62"/>
      <c r="C438" s="62"/>
      <c r="D438" s="62"/>
      <c r="E438" s="62"/>
      <c r="F438" s="62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</row>
    <row r="439" spans="2:21" x14ac:dyDescent="0.15">
      <c r="B439" s="62"/>
      <c r="C439" s="62"/>
      <c r="D439" s="62"/>
      <c r="E439" s="62"/>
      <c r="F439" s="62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</row>
    <row r="440" spans="2:21" x14ac:dyDescent="0.15">
      <c r="B440" s="62"/>
      <c r="C440" s="62"/>
      <c r="D440" s="62"/>
      <c r="E440" s="62"/>
      <c r="F440" s="62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</row>
    <row r="441" spans="2:21" x14ac:dyDescent="0.15">
      <c r="B441" s="62"/>
      <c r="C441" s="62"/>
      <c r="D441" s="62"/>
      <c r="E441" s="62"/>
      <c r="F441" s="62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</row>
    <row r="442" spans="2:21" x14ac:dyDescent="0.15">
      <c r="B442" s="62"/>
      <c r="C442" s="62"/>
      <c r="D442" s="62"/>
      <c r="E442" s="62"/>
      <c r="F442" s="62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</row>
    <row r="443" spans="2:21" x14ac:dyDescent="0.15">
      <c r="B443" s="62"/>
      <c r="C443" s="62"/>
      <c r="D443" s="62"/>
      <c r="E443" s="62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</row>
    <row r="444" spans="2:21" x14ac:dyDescent="0.15">
      <c r="B444" s="62"/>
      <c r="C444" s="62"/>
      <c r="D444" s="62"/>
      <c r="E444" s="62"/>
      <c r="F444" s="62"/>
      <c r="G444" s="62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</row>
    <row r="445" spans="2:21" x14ac:dyDescent="0.15">
      <c r="B445" s="62"/>
      <c r="C445" s="62"/>
      <c r="D445" s="62"/>
      <c r="E445" s="62"/>
      <c r="F445" s="62"/>
      <c r="G445" s="62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</row>
    <row r="446" spans="2:21" x14ac:dyDescent="0.15">
      <c r="B446" s="62"/>
      <c r="C446" s="62"/>
      <c r="D446" s="62"/>
      <c r="E446" s="62"/>
      <c r="F446" s="62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</row>
    <row r="447" spans="2:21" x14ac:dyDescent="0.15">
      <c r="B447" s="62"/>
      <c r="C447" s="62"/>
      <c r="D447" s="62"/>
      <c r="E447" s="62"/>
      <c r="F447" s="62"/>
      <c r="G447" s="62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</row>
    <row r="448" spans="2:21" x14ac:dyDescent="0.15">
      <c r="B448" s="62"/>
      <c r="C448" s="62"/>
      <c r="D448" s="62"/>
      <c r="E448" s="62"/>
      <c r="F448" s="62"/>
      <c r="G448" s="62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</row>
    <row r="449" spans="2:21" x14ac:dyDescent="0.15">
      <c r="B449" s="62"/>
      <c r="C449" s="62"/>
      <c r="D449" s="62"/>
      <c r="E449" s="62"/>
      <c r="F449" s="62"/>
      <c r="G449" s="62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</row>
    <row r="450" spans="2:21" x14ac:dyDescent="0.15">
      <c r="B450" s="62"/>
      <c r="C450" s="62"/>
      <c r="D450" s="62"/>
      <c r="E450" s="62"/>
      <c r="F450" s="62"/>
      <c r="G450" s="62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</row>
    <row r="451" spans="2:21" x14ac:dyDescent="0.15">
      <c r="B451" s="62"/>
      <c r="C451" s="62"/>
      <c r="D451" s="62"/>
      <c r="E451" s="62"/>
      <c r="F451" s="62"/>
      <c r="G451" s="62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</row>
    <row r="452" spans="2:21" x14ac:dyDescent="0.15">
      <c r="B452" s="62"/>
      <c r="C452" s="62"/>
      <c r="D452" s="62"/>
      <c r="E452" s="62"/>
      <c r="F452" s="62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</row>
    <row r="453" spans="2:21" x14ac:dyDescent="0.15">
      <c r="B453" s="62"/>
      <c r="C453" s="62"/>
      <c r="D453" s="62"/>
      <c r="E453" s="62"/>
      <c r="F453" s="62"/>
      <c r="G453" s="62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</row>
    <row r="454" spans="2:21" x14ac:dyDescent="0.15">
      <c r="B454" s="62"/>
      <c r="C454" s="62"/>
      <c r="D454" s="62"/>
      <c r="E454" s="62"/>
      <c r="F454" s="62"/>
      <c r="G454" s="62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</row>
    <row r="455" spans="2:21" x14ac:dyDescent="0.15">
      <c r="B455" s="62"/>
      <c r="C455" s="62"/>
      <c r="D455" s="62"/>
      <c r="E455" s="62"/>
      <c r="F455" s="62"/>
      <c r="G455" s="62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</row>
    <row r="456" spans="2:21" x14ac:dyDescent="0.15">
      <c r="B456" s="62"/>
      <c r="C456" s="62"/>
      <c r="D456" s="62"/>
      <c r="E456" s="62"/>
      <c r="F456" s="62"/>
      <c r="G456" s="62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</row>
    <row r="457" spans="2:21" x14ac:dyDescent="0.15">
      <c r="B457" s="62"/>
      <c r="C457" s="62"/>
      <c r="D457" s="62"/>
      <c r="E457" s="62"/>
      <c r="F457" s="62"/>
      <c r="G457" s="62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</row>
    <row r="458" spans="2:21" x14ac:dyDescent="0.15">
      <c r="B458" s="62"/>
      <c r="C458" s="62"/>
      <c r="D458" s="62"/>
      <c r="E458" s="62"/>
      <c r="F458" s="62"/>
      <c r="G458" s="62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</row>
    <row r="459" spans="2:21" x14ac:dyDescent="0.15">
      <c r="B459" s="62"/>
      <c r="C459" s="62"/>
      <c r="D459" s="62"/>
      <c r="E459" s="62"/>
      <c r="F459" s="62"/>
      <c r="G459" s="62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</row>
    <row r="460" spans="2:21" x14ac:dyDescent="0.15">
      <c r="B460" s="62"/>
      <c r="C460" s="62"/>
      <c r="D460" s="62"/>
      <c r="E460" s="62"/>
      <c r="F460" s="62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</row>
    <row r="461" spans="2:21" x14ac:dyDescent="0.15">
      <c r="B461" s="62"/>
      <c r="C461" s="62"/>
      <c r="D461" s="62"/>
      <c r="E461" s="62"/>
      <c r="F461" s="62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</row>
    <row r="462" spans="2:21" x14ac:dyDescent="0.15">
      <c r="B462" s="62"/>
      <c r="C462" s="62"/>
      <c r="D462" s="62"/>
      <c r="E462" s="62"/>
      <c r="F462" s="62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</row>
    <row r="463" spans="2:21" x14ac:dyDescent="0.15">
      <c r="B463" s="62"/>
      <c r="C463" s="62"/>
      <c r="D463" s="62"/>
      <c r="E463" s="62"/>
      <c r="F463" s="62"/>
      <c r="G463" s="62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</row>
    <row r="464" spans="2:21" x14ac:dyDescent="0.15">
      <c r="B464" s="62"/>
      <c r="C464" s="62"/>
      <c r="D464" s="62"/>
      <c r="E464" s="62"/>
      <c r="F464" s="62"/>
      <c r="G464" s="62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</row>
    <row r="465" spans="2:21" x14ac:dyDescent="0.15">
      <c r="B465" s="62"/>
      <c r="C465" s="62"/>
      <c r="D465" s="62"/>
      <c r="E465" s="62"/>
      <c r="F465" s="62"/>
      <c r="G465" s="62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</row>
    <row r="466" spans="2:21" x14ac:dyDescent="0.15">
      <c r="B466" s="62"/>
      <c r="C466" s="62"/>
      <c r="D466" s="62"/>
      <c r="E466" s="62"/>
      <c r="F466" s="62"/>
      <c r="G466" s="62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</row>
    <row r="467" spans="2:21" x14ac:dyDescent="0.15">
      <c r="B467" s="62"/>
      <c r="C467" s="62"/>
      <c r="D467" s="62"/>
      <c r="E467" s="62"/>
      <c r="F467" s="62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</row>
    <row r="468" spans="2:21" x14ac:dyDescent="0.15">
      <c r="B468" s="62"/>
      <c r="C468" s="62"/>
      <c r="D468" s="62"/>
      <c r="E468" s="62"/>
      <c r="F468" s="62"/>
      <c r="G468" s="62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</row>
    <row r="469" spans="2:21" x14ac:dyDescent="0.15">
      <c r="B469" s="62"/>
      <c r="C469" s="62"/>
      <c r="D469" s="62"/>
      <c r="E469" s="62"/>
      <c r="F469" s="62"/>
      <c r="G469" s="62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</row>
    <row r="470" spans="2:21" x14ac:dyDescent="0.15">
      <c r="B470" s="62"/>
      <c r="C470" s="62"/>
      <c r="D470" s="62"/>
      <c r="E470" s="62"/>
      <c r="F470" s="62"/>
      <c r="G470" s="62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</row>
    <row r="471" spans="2:21" x14ac:dyDescent="0.15">
      <c r="B471" s="62"/>
      <c r="C471" s="62"/>
      <c r="D471" s="62"/>
      <c r="E471" s="62"/>
      <c r="F471" s="62"/>
      <c r="G471" s="62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</row>
    <row r="472" spans="2:21" x14ac:dyDescent="0.15">
      <c r="B472" s="62"/>
      <c r="C472" s="62"/>
      <c r="D472" s="62"/>
      <c r="E472" s="62"/>
      <c r="F472" s="62"/>
      <c r="G472" s="62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</row>
    <row r="473" spans="2:21" x14ac:dyDescent="0.15">
      <c r="B473" s="62"/>
      <c r="C473" s="62"/>
      <c r="D473" s="62"/>
      <c r="E473" s="62"/>
      <c r="F473" s="62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</row>
    <row r="474" spans="2:21" x14ac:dyDescent="0.15">
      <c r="B474" s="62"/>
      <c r="C474" s="62"/>
      <c r="D474" s="62"/>
      <c r="E474" s="62"/>
      <c r="F474" s="62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</row>
    <row r="475" spans="2:21" x14ac:dyDescent="0.15">
      <c r="B475" s="62"/>
      <c r="C475" s="62"/>
      <c r="D475" s="62"/>
      <c r="E475" s="62"/>
      <c r="F475" s="62"/>
      <c r="G475" s="62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</row>
    <row r="476" spans="2:21" x14ac:dyDescent="0.15">
      <c r="B476" s="62"/>
      <c r="C476" s="62"/>
      <c r="D476" s="62"/>
      <c r="E476" s="62"/>
      <c r="F476" s="62"/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</row>
    <row r="477" spans="2:21" x14ac:dyDescent="0.15">
      <c r="B477" s="62"/>
      <c r="C477" s="62"/>
      <c r="D477" s="62"/>
      <c r="E477" s="62"/>
      <c r="F477" s="62"/>
      <c r="G477" s="62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</row>
    <row r="478" spans="2:21" x14ac:dyDescent="0.15">
      <c r="B478" s="62"/>
      <c r="C478" s="62"/>
      <c r="D478" s="62"/>
      <c r="E478" s="62"/>
      <c r="F478" s="62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</row>
    <row r="479" spans="2:21" x14ac:dyDescent="0.15">
      <c r="B479" s="62"/>
      <c r="C479" s="62"/>
      <c r="D479" s="62"/>
      <c r="E479" s="62"/>
      <c r="F479" s="62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</row>
    <row r="480" spans="2:21" x14ac:dyDescent="0.15">
      <c r="B480" s="62"/>
      <c r="C480" s="62"/>
      <c r="D480" s="62"/>
      <c r="E480" s="62"/>
      <c r="F480" s="62"/>
      <c r="G480" s="62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</row>
    <row r="481" spans="2:21" x14ac:dyDescent="0.15">
      <c r="B481" s="62"/>
      <c r="C481" s="62"/>
      <c r="D481" s="62"/>
      <c r="E481" s="62"/>
      <c r="F481" s="62"/>
      <c r="G481" s="62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</row>
    <row r="482" spans="2:21" x14ac:dyDescent="0.15">
      <c r="B482" s="62"/>
      <c r="C482" s="62"/>
      <c r="D482" s="62"/>
      <c r="E482" s="62"/>
      <c r="F482" s="62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</row>
    <row r="483" spans="2:21" x14ac:dyDescent="0.15">
      <c r="B483" s="62"/>
      <c r="C483" s="62"/>
      <c r="D483" s="62"/>
      <c r="E483" s="62"/>
      <c r="F483" s="62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</row>
    <row r="484" spans="2:21" x14ac:dyDescent="0.15">
      <c r="B484" s="62"/>
      <c r="C484" s="62"/>
      <c r="D484" s="62"/>
      <c r="E484" s="62"/>
      <c r="F484" s="62"/>
      <c r="G484" s="62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</row>
    <row r="485" spans="2:21" x14ac:dyDescent="0.15">
      <c r="B485" s="62"/>
      <c r="C485" s="62"/>
      <c r="D485" s="62"/>
      <c r="E485" s="62"/>
      <c r="F485" s="62"/>
      <c r="G485" s="62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</row>
    <row r="486" spans="2:21" x14ac:dyDescent="0.15">
      <c r="B486" s="62"/>
      <c r="C486" s="62"/>
      <c r="D486" s="62"/>
      <c r="E486" s="62"/>
      <c r="F486" s="62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</row>
    <row r="487" spans="2:21" x14ac:dyDescent="0.15">
      <c r="B487" s="62"/>
      <c r="C487" s="62"/>
      <c r="D487" s="62"/>
      <c r="E487" s="62"/>
      <c r="F487" s="62"/>
      <c r="G487" s="62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</row>
    <row r="488" spans="2:21" x14ac:dyDescent="0.15">
      <c r="B488" s="62"/>
      <c r="C488" s="62"/>
      <c r="D488" s="62"/>
      <c r="E488" s="62"/>
      <c r="F488" s="62"/>
      <c r="G488" s="62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</row>
    <row r="489" spans="2:21" x14ac:dyDescent="0.15">
      <c r="B489" s="62"/>
      <c r="C489" s="62"/>
      <c r="D489" s="62"/>
      <c r="E489" s="62"/>
      <c r="F489" s="62"/>
      <c r="G489" s="62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</row>
    <row r="490" spans="2:21" x14ac:dyDescent="0.15">
      <c r="B490" s="62"/>
      <c r="C490" s="62"/>
      <c r="D490" s="62"/>
      <c r="E490" s="62"/>
      <c r="F490" s="62"/>
      <c r="G490" s="62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</row>
    <row r="491" spans="2:21" x14ac:dyDescent="0.15">
      <c r="B491" s="62"/>
      <c r="C491" s="62"/>
      <c r="D491" s="62"/>
      <c r="E491" s="62"/>
      <c r="F491" s="62"/>
      <c r="G491" s="62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</row>
    <row r="492" spans="2:21" x14ac:dyDescent="0.15">
      <c r="B492" s="62"/>
      <c r="C492" s="62"/>
      <c r="D492" s="62"/>
      <c r="E492" s="62"/>
      <c r="F492" s="62"/>
      <c r="G492" s="62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</row>
    <row r="493" spans="2:21" x14ac:dyDescent="0.15">
      <c r="B493" s="62"/>
      <c r="C493" s="62"/>
      <c r="D493" s="62"/>
      <c r="E493" s="62"/>
      <c r="F493" s="62"/>
      <c r="G493" s="62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</row>
    <row r="494" spans="2:21" x14ac:dyDescent="0.15">
      <c r="B494" s="62"/>
      <c r="C494" s="62"/>
      <c r="D494" s="62"/>
      <c r="E494" s="62"/>
      <c r="F494" s="62"/>
      <c r="G494" s="62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</row>
    <row r="495" spans="2:21" x14ac:dyDescent="0.15">
      <c r="B495" s="62"/>
      <c r="C495" s="62"/>
      <c r="D495" s="62"/>
      <c r="E495" s="62"/>
      <c r="F495" s="62"/>
      <c r="G495" s="62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</row>
    <row r="496" spans="2:21" x14ac:dyDescent="0.15">
      <c r="B496" s="62"/>
      <c r="C496" s="62"/>
      <c r="D496" s="62"/>
      <c r="E496" s="62"/>
      <c r="F496" s="62"/>
      <c r="G496" s="62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</row>
    <row r="497" spans="2:21" x14ac:dyDescent="0.15">
      <c r="B497" s="62"/>
      <c r="C497" s="62"/>
      <c r="D497" s="62"/>
      <c r="E497" s="62"/>
      <c r="F497" s="62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</row>
    <row r="498" spans="2:21" x14ac:dyDescent="0.15">
      <c r="B498" s="62"/>
      <c r="C498" s="62"/>
      <c r="D498" s="62"/>
      <c r="E498" s="62"/>
      <c r="F498" s="62"/>
      <c r="G498" s="62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</row>
    <row r="499" spans="2:21" x14ac:dyDescent="0.15">
      <c r="B499" s="62"/>
      <c r="C499" s="62"/>
      <c r="D499" s="62"/>
      <c r="E499" s="62"/>
      <c r="F499" s="62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</row>
    <row r="500" spans="2:21" x14ac:dyDescent="0.15">
      <c r="B500" s="62"/>
      <c r="C500" s="62"/>
      <c r="D500" s="62"/>
      <c r="E500" s="62"/>
      <c r="F500" s="62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</row>
    <row r="501" spans="2:21" x14ac:dyDescent="0.15">
      <c r="B501" s="62"/>
      <c r="C501" s="62"/>
      <c r="D501" s="62"/>
      <c r="E501" s="62"/>
      <c r="F501" s="62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</row>
    <row r="502" spans="2:21" x14ac:dyDescent="0.15">
      <c r="B502" s="62"/>
      <c r="C502" s="62"/>
      <c r="D502" s="62"/>
      <c r="E502" s="62"/>
      <c r="F502" s="62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</row>
    <row r="503" spans="2:21" x14ac:dyDescent="0.15">
      <c r="B503" s="62"/>
      <c r="C503" s="62"/>
      <c r="D503" s="62"/>
      <c r="E503" s="62"/>
      <c r="F503" s="62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</row>
    <row r="504" spans="2:21" x14ac:dyDescent="0.15">
      <c r="B504" s="62"/>
      <c r="C504" s="62"/>
      <c r="D504" s="62"/>
      <c r="E504" s="62"/>
      <c r="F504" s="62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</row>
    <row r="505" spans="2:21" x14ac:dyDescent="0.15">
      <c r="B505" s="62"/>
      <c r="C505" s="62"/>
      <c r="D505" s="62"/>
      <c r="E505" s="62"/>
      <c r="F505" s="62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</row>
    <row r="506" spans="2:21" x14ac:dyDescent="0.15">
      <c r="B506" s="62"/>
      <c r="C506" s="62"/>
      <c r="D506" s="62"/>
      <c r="E506" s="62"/>
      <c r="F506" s="62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</row>
    <row r="507" spans="2:21" x14ac:dyDescent="0.15">
      <c r="B507" s="62"/>
      <c r="C507" s="62"/>
      <c r="D507" s="62"/>
      <c r="E507" s="62"/>
      <c r="F507" s="62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</row>
    <row r="508" spans="2:21" x14ac:dyDescent="0.15">
      <c r="B508" s="62"/>
      <c r="C508" s="62"/>
      <c r="D508" s="62"/>
      <c r="E508" s="62"/>
      <c r="F508" s="62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</row>
    <row r="509" spans="2:21" x14ac:dyDescent="0.15">
      <c r="B509" s="62"/>
      <c r="C509" s="62"/>
      <c r="D509" s="62"/>
      <c r="E509" s="62"/>
      <c r="F509" s="62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</row>
    <row r="510" spans="2:21" x14ac:dyDescent="0.15">
      <c r="B510" s="62"/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</row>
    <row r="511" spans="2:21" x14ac:dyDescent="0.15">
      <c r="B511" s="62"/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</row>
    <row r="512" spans="2:21" x14ac:dyDescent="0.15">
      <c r="B512" s="62"/>
      <c r="C512" s="62"/>
      <c r="D512" s="62"/>
      <c r="E512" s="62"/>
      <c r="F512" s="62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</row>
    <row r="513" spans="2:21" x14ac:dyDescent="0.15">
      <c r="B513" s="62"/>
      <c r="C513" s="62"/>
      <c r="D513" s="62"/>
      <c r="E513" s="62"/>
      <c r="F513" s="62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</row>
    <row r="514" spans="2:21" x14ac:dyDescent="0.15">
      <c r="B514" s="62"/>
      <c r="C514" s="62"/>
      <c r="D514" s="62"/>
      <c r="E514" s="62"/>
      <c r="F514" s="62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</row>
    <row r="515" spans="2:21" x14ac:dyDescent="0.15">
      <c r="B515" s="62"/>
      <c r="C515" s="62"/>
      <c r="D515" s="62"/>
      <c r="E515" s="62"/>
      <c r="F515" s="62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</row>
    <row r="516" spans="2:21" x14ac:dyDescent="0.15">
      <c r="B516" s="62"/>
      <c r="C516" s="62"/>
      <c r="D516" s="62"/>
      <c r="E516" s="62"/>
      <c r="F516" s="62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</row>
    <row r="517" spans="2:21" x14ac:dyDescent="0.15">
      <c r="B517" s="62"/>
      <c r="C517" s="62"/>
      <c r="D517" s="62"/>
      <c r="E517" s="62"/>
      <c r="F517" s="62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</row>
    <row r="518" spans="2:21" x14ac:dyDescent="0.15">
      <c r="B518" s="62"/>
      <c r="C518" s="62"/>
      <c r="D518" s="62"/>
      <c r="E518" s="62"/>
      <c r="F518" s="62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</row>
    <row r="519" spans="2:21" x14ac:dyDescent="0.15">
      <c r="B519" s="62"/>
      <c r="C519" s="62"/>
      <c r="D519" s="62"/>
      <c r="E519" s="62"/>
      <c r="F519" s="62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</row>
    <row r="520" spans="2:21" x14ac:dyDescent="0.15">
      <c r="B520" s="62"/>
      <c r="C520" s="62"/>
      <c r="D520" s="62"/>
      <c r="E520" s="62"/>
      <c r="F520" s="62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</row>
    <row r="521" spans="2:21" x14ac:dyDescent="0.15">
      <c r="B521" s="62"/>
      <c r="C521" s="62"/>
      <c r="D521" s="62"/>
      <c r="E521" s="62"/>
      <c r="F521" s="62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</row>
    <row r="522" spans="2:21" x14ac:dyDescent="0.15">
      <c r="B522" s="62"/>
      <c r="C522" s="62"/>
      <c r="D522" s="62"/>
      <c r="E522" s="62"/>
      <c r="F522" s="62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</row>
    <row r="523" spans="2:21" x14ac:dyDescent="0.15">
      <c r="B523" s="62"/>
      <c r="C523" s="62"/>
      <c r="D523" s="62"/>
      <c r="E523" s="62"/>
      <c r="F523" s="62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</row>
    <row r="524" spans="2:21" x14ac:dyDescent="0.15">
      <c r="B524" s="62"/>
      <c r="C524" s="62"/>
      <c r="D524" s="62"/>
      <c r="E524" s="62"/>
      <c r="F524" s="62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</row>
    <row r="525" spans="2:21" x14ac:dyDescent="0.15">
      <c r="B525" s="62"/>
      <c r="C525" s="62"/>
      <c r="D525" s="62"/>
      <c r="E525" s="62"/>
      <c r="F525" s="62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</row>
    <row r="526" spans="2:21" x14ac:dyDescent="0.15">
      <c r="B526" s="62"/>
      <c r="C526" s="62"/>
      <c r="D526" s="62"/>
      <c r="E526" s="62"/>
      <c r="F526" s="62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</row>
    <row r="527" spans="2:21" x14ac:dyDescent="0.15">
      <c r="B527" s="62"/>
      <c r="C527" s="62"/>
      <c r="D527" s="62"/>
      <c r="E527" s="62"/>
      <c r="F527" s="62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</row>
    <row r="528" spans="2:21" x14ac:dyDescent="0.15">
      <c r="B528" s="62"/>
      <c r="C528" s="62"/>
      <c r="D528" s="62"/>
      <c r="E528" s="62"/>
      <c r="F528" s="62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</row>
    <row r="529" spans="2:21" x14ac:dyDescent="0.15">
      <c r="B529" s="62"/>
      <c r="C529" s="62"/>
      <c r="D529" s="62"/>
      <c r="E529" s="62"/>
      <c r="F529" s="62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</row>
    <row r="530" spans="2:21" x14ac:dyDescent="0.15">
      <c r="B530" s="62"/>
      <c r="C530" s="62"/>
      <c r="D530" s="62"/>
      <c r="E530" s="62"/>
      <c r="F530" s="62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</row>
    <row r="531" spans="2:21" x14ac:dyDescent="0.15">
      <c r="B531" s="62"/>
      <c r="C531" s="62"/>
      <c r="D531" s="62"/>
      <c r="E531" s="62"/>
      <c r="F531" s="62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</row>
    <row r="532" spans="2:21" x14ac:dyDescent="0.15">
      <c r="B532" s="62"/>
      <c r="C532" s="62"/>
      <c r="D532" s="62"/>
      <c r="E532" s="62"/>
      <c r="F532" s="62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</row>
    <row r="533" spans="2:21" x14ac:dyDescent="0.15">
      <c r="B533" s="62"/>
      <c r="C533" s="62"/>
      <c r="D533" s="62"/>
      <c r="E533" s="62"/>
      <c r="F533" s="62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</row>
    <row r="534" spans="2:21" x14ac:dyDescent="0.15">
      <c r="B534" s="62"/>
      <c r="C534" s="62"/>
      <c r="D534" s="62"/>
      <c r="E534" s="62"/>
      <c r="F534" s="62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</row>
    <row r="535" spans="2:21" x14ac:dyDescent="0.15">
      <c r="B535" s="62"/>
      <c r="C535" s="62"/>
      <c r="D535" s="62"/>
      <c r="E535" s="62"/>
      <c r="F535" s="62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</row>
    <row r="536" spans="2:21" x14ac:dyDescent="0.15">
      <c r="B536" s="62"/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</row>
    <row r="537" spans="2:21" x14ac:dyDescent="0.15">
      <c r="B537" s="62"/>
      <c r="C537" s="62"/>
      <c r="D537" s="62"/>
      <c r="E537" s="62"/>
      <c r="F537" s="62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</row>
    <row r="538" spans="2:21" x14ac:dyDescent="0.15">
      <c r="B538" s="62"/>
      <c r="C538" s="62"/>
      <c r="D538" s="62"/>
      <c r="E538" s="62"/>
      <c r="F538" s="62"/>
      <c r="G538" s="62"/>
      <c r="H538" s="62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</row>
    <row r="539" spans="2:21" x14ac:dyDescent="0.15">
      <c r="B539" s="62"/>
      <c r="C539" s="62"/>
      <c r="D539" s="62"/>
      <c r="E539" s="62"/>
      <c r="F539" s="62"/>
      <c r="G539" s="62"/>
      <c r="H539" s="62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</row>
    <row r="540" spans="2:21" x14ac:dyDescent="0.15">
      <c r="B540" s="62"/>
      <c r="C540" s="62"/>
      <c r="D540" s="62"/>
      <c r="E540" s="62"/>
      <c r="F540" s="62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</row>
    <row r="541" spans="2:21" x14ac:dyDescent="0.15">
      <c r="B541" s="62"/>
      <c r="C541" s="62"/>
      <c r="D541" s="62"/>
      <c r="E541" s="62"/>
      <c r="F541" s="62"/>
      <c r="G541" s="62"/>
      <c r="H541" s="62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</row>
    <row r="542" spans="2:21" x14ac:dyDescent="0.15">
      <c r="B542" s="62"/>
      <c r="C542" s="62"/>
      <c r="D542" s="62"/>
      <c r="E542" s="62"/>
      <c r="F542" s="62"/>
      <c r="G542" s="62"/>
      <c r="H542" s="62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</row>
    <row r="543" spans="2:21" x14ac:dyDescent="0.15">
      <c r="B543" s="62"/>
      <c r="C543" s="62"/>
      <c r="D543" s="62"/>
      <c r="E543" s="62"/>
      <c r="F543" s="62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</row>
    <row r="544" spans="2:21" x14ac:dyDescent="0.15">
      <c r="B544" s="62"/>
      <c r="C544" s="62"/>
      <c r="D544" s="62"/>
      <c r="E544" s="62"/>
      <c r="F544" s="62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</row>
    <row r="545" spans="2:21" x14ac:dyDescent="0.15">
      <c r="B545" s="62"/>
      <c r="C545" s="62"/>
      <c r="D545" s="62"/>
      <c r="E545" s="62"/>
      <c r="F545" s="62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</row>
    <row r="546" spans="2:21" x14ac:dyDescent="0.15">
      <c r="B546" s="62"/>
      <c r="C546" s="62"/>
      <c r="D546" s="62"/>
      <c r="E546" s="62"/>
      <c r="F546" s="62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</row>
    <row r="547" spans="2:21" x14ac:dyDescent="0.15">
      <c r="B547" s="62"/>
      <c r="C547" s="62"/>
      <c r="D547" s="62"/>
      <c r="E547" s="62"/>
      <c r="F547" s="62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</row>
    <row r="548" spans="2:21" x14ac:dyDescent="0.15">
      <c r="B548" s="62"/>
      <c r="C548" s="62"/>
      <c r="D548" s="62"/>
      <c r="E548" s="62"/>
      <c r="F548" s="62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</row>
    <row r="549" spans="2:21" x14ac:dyDescent="0.15">
      <c r="B549" s="62"/>
      <c r="C549" s="62"/>
      <c r="D549" s="62"/>
      <c r="E549" s="62"/>
      <c r="F549" s="62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</row>
    <row r="550" spans="2:21" x14ac:dyDescent="0.15">
      <c r="B550" s="62"/>
      <c r="C550" s="62"/>
      <c r="D550" s="62"/>
      <c r="E550" s="62"/>
      <c r="F550" s="62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</row>
    <row r="551" spans="2:21" x14ac:dyDescent="0.15">
      <c r="B551" s="62"/>
      <c r="C551" s="62"/>
      <c r="D551" s="62"/>
      <c r="E551" s="62"/>
      <c r="F551" s="62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</row>
    <row r="552" spans="2:21" x14ac:dyDescent="0.15">
      <c r="B552" s="62"/>
      <c r="C552" s="62"/>
      <c r="D552" s="62"/>
      <c r="E552" s="62"/>
      <c r="F552" s="62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</row>
    <row r="553" spans="2:21" x14ac:dyDescent="0.15">
      <c r="B553" s="62"/>
      <c r="C553" s="62"/>
      <c r="D553" s="62"/>
      <c r="E553" s="62"/>
      <c r="F553" s="62"/>
      <c r="G553" s="62"/>
      <c r="H553" s="62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</row>
    <row r="554" spans="2:21" x14ac:dyDescent="0.15">
      <c r="B554" s="62"/>
      <c r="C554" s="62"/>
      <c r="D554" s="62"/>
      <c r="E554" s="62"/>
      <c r="F554" s="62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</row>
    <row r="555" spans="2:21" x14ac:dyDescent="0.15">
      <c r="B555" s="62"/>
      <c r="C555" s="62"/>
      <c r="D555" s="62"/>
      <c r="E555" s="62"/>
      <c r="F555" s="62"/>
      <c r="G555" s="62"/>
      <c r="H555" s="62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</row>
    <row r="556" spans="2:21" x14ac:dyDescent="0.15">
      <c r="B556" s="62"/>
      <c r="C556" s="62"/>
      <c r="D556" s="62"/>
      <c r="E556" s="62"/>
      <c r="F556" s="62"/>
      <c r="G556" s="62"/>
      <c r="H556" s="62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</row>
    <row r="557" spans="2:21" x14ac:dyDescent="0.15">
      <c r="B557" s="62"/>
      <c r="C557" s="62"/>
      <c r="D557" s="62"/>
      <c r="E557" s="62"/>
      <c r="F557" s="62"/>
      <c r="G557" s="62"/>
      <c r="H557" s="62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</row>
    <row r="558" spans="2:21" x14ac:dyDescent="0.15">
      <c r="B558" s="62"/>
      <c r="C558" s="62"/>
      <c r="D558" s="62"/>
      <c r="E558" s="62"/>
      <c r="F558" s="62"/>
      <c r="G558" s="62"/>
      <c r="H558" s="62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</row>
    <row r="559" spans="2:21" x14ac:dyDescent="0.15">
      <c r="B559" s="62"/>
      <c r="C559" s="62"/>
      <c r="D559" s="62"/>
      <c r="E559" s="62"/>
      <c r="F559" s="62"/>
      <c r="G559" s="62"/>
      <c r="H559" s="62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</row>
    <row r="560" spans="2:21" x14ac:dyDescent="0.15">
      <c r="B560" s="62"/>
      <c r="C560" s="62"/>
      <c r="D560" s="62"/>
      <c r="E560" s="62"/>
      <c r="F560" s="62"/>
      <c r="G560" s="62"/>
      <c r="H560" s="62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</row>
    <row r="561" spans="2:21" x14ac:dyDescent="0.15">
      <c r="B561" s="62"/>
      <c r="C561" s="62"/>
      <c r="D561" s="62"/>
      <c r="E561" s="62"/>
      <c r="F561" s="62"/>
      <c r="G561" s="62"/>
      <c r="H561" s="62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</row>
    <row r="562" spans="2:21" x14ac:dyDescent="0.15">
      <c r="B562" s="62"/>
      <c r="C562" s="62"/>
      <c r="D562" s="62"/>
      <c r="E562" s="62"/>
      <c r="F562" s="62"/>
      <c r="G562" s="62"/>
      <c r="H562" s="62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</row>
    <row r="563" spans="2:21" x14ac:dyDescent="0.15">
      <c r="B563" s="62"/>
      <c r="C563" s="62"/>
      <c r="D563" s="62"/>
      <c r="E563" s="62"/>
      <c r="F563" s="62"/>
      <c r="G563" s="62"/>
      <c r="H563" s="62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</row>
    <row r="564" spans="2:21" x14ac:dyDescent="0.15">
      <c r="B564" s="62"/>
      <c r="C564" s="62"/>
      <c r="D564" s="62"/>
      <c r="E564" s="62"/>
      <c r="F564" s="62"/>
      <c r="G564" s="62"/>
      <c r="H564" s="62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</row>
    <row r="565" spans="2:21" x14ac:dyDescent="0.15">
      <c r="B565" s="62"/>
      <c r="C565" s="62"/>
      <c r="D565" s="62"/>
      <c r="E565" s="62"/>
      <c r="F565" s="62"/>
      <c r="G565" s="62"/>
      <c r="H565" s="62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</row>
    <row r="566" spans="2:21" x14ac:dyDescent="0.15">
      <c r="B566" s="62"/>
      <c r="C566" s="62"/>
      <c r="D566" s="62"/>
      <c r="E566" s="62"/>
      <c r="F566" s="62"/>
      <c r="G566" s="62"/>
      <c r="H566" s="62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</row>
    <row r="567" spans="2:21" x14ac:dyDescent="0.15">
      <c r="B567" s="62"/>
      <c r="C567" s="62"/>
      <c r="D567" s="62"/>
      <c r="E567" s="62"/>
      <c r="F567" s="62"/>
      <c r="G567" s="62"/>
      <c r="H567" s="62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</row>
    <row r="568" spans="2:21" x14ac:dyDescent="0.15">
      <c r="B568" s="62"/>
      <c r="C568" s="62"/>
      <c r="D568" s="62"/>
      <c r="E568" s="62"/>
      <c r="F568" s="62"/>
      <c r="G568" s="62"/>
      <c r="H568" s="62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</row>
    <row r="569" spans="2:21" x14ac:dyDescent="0.15">
      <c r="B569" s="62"/>
      <c r="C569" s="62"/>
      <c r="D569" s="62"/>
      <c r="E569" s="62"/>
      <c r="F569" s="62"/>
      <c r="G569" s="62"/>
      <c r="H569" s="62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</row>
    <row r="570" spans="2:21" x14ac:dyDescent="0.15">
      <c r="B570" s="62"/>
      <c r="C570" s="62"/>
      <c r="D570" s="62"/>
      <c r="E570" s="62"/>
      <c r="F570" s="62"/>
      <c r="G570" s="62"/>
      <c r="H570" s="62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</row>
    <row r="571" spans="2:21" x14ac:dyDescent="0.15">
      <c r="B571" s="62"/>
      <c r="C571" s="62"/>
      <c r="D571" s="62"/>
      <c r="E571" s="62"/>
      <c r="F571" s="62"/>
      <c r="G571" s="62"/>
      <c r="H571" s="62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</row>
    <row r="572" spans="2:21" x14ac:dyDescent="0.15">
      <c r="B572" s="62"/>
      <c r="C572" s="62"/>
      <c r="D572" s="62"/>
      <c r="E572" s="62"/>
      <c r="F572" s="62"/>
      <c r="G572" s="62"/>
      <c r="H572" s="62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</row>
    <row r="573" spans="2:21" x14ac:dyDescent="0.15">
      <c r="B573" s="62"/>
      <c r="C573" s="62"/>
      <c r="D573" s="62"/>
      <c r="E573" s="62"/>
      <c r="F573" s="62"/>
      <c r="G573" s="62"/>
      <c r="H573" s="62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</row>
    <row r="574" spans="2:21" x14ac:dyDescent="0.15">
      <c r="B574" s="62"/>
      <c r="C574" s="62"/>
      <c r="D574" s="62"/>
      <c r="E574" s="62"/>
      <c r="F574" s="62"/>
      <c r="G574" s="62"/>
      <c r="H574" s="62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</row>
    <row r="575" spans="2:21" x14ac:dyDescent="0.15">
      <c r="B575" s="62"/>
      <c r="C575" s="62"/>
      <c r="D575" s="62"/>
      <c r="E575" s="62"/>
      <c r="F575" s="62"/>
      <c r="G575" s="62"/>
      <c r="H575" s="62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</row>
    <row r="576" spans="2:21" x14ac:dyDescent="0.15">
      <c r="B576" s="62"/>
      <c r="C576" s="62"/>
      <c r="D576" s="62"/>
      <c r="E576" s="62"/>
      <c r="F576" s="62"/>
      <c r="G576" s="62"/>
      <c r="H576" s="62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</row>
    <row r="577" spans="2:21" x14ac:dyDescent="0.15">
      <c r="B577" s="62"/>
      <c r="C577" s="62"/>
      <c r="D577" s="62"/>
      <c r="E577" s="62"/>
      <c r="F577" s="62"/>
      <c r="G577" s="62"/>
      <c r="H577" s="62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</row>
    <row r="578" spans="2:21" x14ac:dyDescent="0.15">
      <c r="B578" s="62"/>
      <c r="C578" s="62"/>
      <c r="D578" s="62"/>
      <c r="E578" s="62"/>
      <c r="F578" s="62"/>
      <c r="G578" s="62"/>
      <c r="H578" s="62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</row>
    <row r="579" spans="2:21" x14ac:dyDescent="0.15">
      <c r="B579" s="62"/>
      <c r="C579" s="62"/>
      <c r="D579" s="62"/>
      <c r="E579" s="62"/>
      <c r="F579" s="62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</row>
    <row r="580" spans="2:21" x14ac:dyDescent="0.15">
      <c r="B580" s="62"/>
      <c r="C580" s="62"/>
      <c r="D580" s="62"/>
      <c r="E580" s="62"/>
      <c r="F580" s="62"/>
      <c r="G580" s="62"/>
      <c r="H580" s="62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</row>
    <row r="581" spans="2:21" x14ac:dyDescent="0.15">
      <c r="B581" s="62"/>
      <c r="C581" s="62"/>
      <c r="D581" s="62"/>
      <c r="E581" s="62"/>
      <c r="F581" s="62"/>
      <c r="G581" s="62"/>
      <c r="H581" s="62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</row>
    <row r="582" spans="2:21" x14ac:dyDescent="0.15">
      <c r="B582" s="62"/>
      <c r="C582" s="62"/>
      <c r="D582" s="62"/>
      <c r="E582" s="62"/>
      <c r="F582" s="62"/>
      <c r="G582" s="62"/>
      <c r="H582" s="62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</row>
    <row r="583" spans="2:21" x14ac:dyDescent="0.15">
      <c r="B583" s="62"/>
      <c r="C583" s="62"/>
      <c r="D583" s="62"/>
      <c r="E583" s="62"/>
      <c r="F583" s="62"/>
      <c r="G583" s="62"/>
      <c r="H583" s="62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</row>
    <row r="584" spans="2:21" x14ac:dyDescent="0.15">
      <c r="B584" s="62"/>
      <c r="C584" s="62"/>
      <c r="D584" s="62"/>
      <c r="E584" s="62"/>
      <c r="F584" s="62"/>
      <c r="G584" s="62"/>
      <c r="H584" s="62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</row>
    <row r="585" spans="2:21" x14ac:dyDescent="0.15">
      <c r="B585" s="62"/>
      <c r="C585" s="62"/>
      <c r="D585" s="62"/>
      <c r="E585" s="62"/>
      <c r="F585" s="62"/>
      <c r="G585" s="62"/>
      <c r="H585" s="62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</row>
    <row r="586" spans="2:21" x14ac:dyDescent="0.15">
      <c r="B586" s="62"/>
      <c r="C586" s="62"/>
      <c r="D586" s="62"/>
      <c r="E586" s="62"/>
      <c r="F586" s="62"/>
      <c r="G586" s="62"/>
      <c r="H586" s="62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</row>
    <row r="587" spans="2:21" x14ac:dyDescent="0.15">
      <c r="B587" s="62"/>
      <c r="C587" s="62"/>
      <c r="D587" s="62"/>
      <c r="E587" s="62"/>
      <c r="F587" s="62"/>
      <c r="G587" s="62"/>
      <c r="H587" s="62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</row>
    <row r="588" spans="2:21" x14ac:dyDescent="0.15">
      <c r="B588" s="62"/>
      <c r="C588" s="62"/>
      <c r="D588" s="62"/>
      <c r="E588" s="62"/>
      <c r="F588" s="62"/>
      <c r="G588" s="62"/>
      <c r="H588" s="62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</row>
    <row r="589" spans="2:21" x14ac:dyDescent="0.15">
      <c r="B589" s="62"/>
      <c r="C589" s="62"/>
      <c r="D589" s="62"/>
      <c r="E589" s="62"/>
      <c r="F589" s="62"/>
      <c r="G589" s="62"/>
      <c r="H589" s="62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</row>
    <row r="590" spans="2:21" x14ac:dyDescent="0.15">
      <c r="B590" s="62"/>
      <c r="C590" s="62"/>
      <c r="D590" s="62"/>
      <c r="E590" s="62"/>
      <c r="F590" s="62"/>
      <c r="G590" s="62"/>
      <c r="H590" s="62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</row>
    <row r="591" spans="2:21" x14ac:dyDescent="0.15">
      <c r="B591" s="62"/>
      <c r="C591" s="62"/>
      <c r="D591" s="62"/>
      <c r="E591" s="62"/>
      <c r="F591" s="62"/>
      <c r="G591" s="62"/>
      <c r="H591" s="62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</row>
    <row r="592" spans="2:21" x14ac:dyDescent="0.15">
      <c r="B592" s="62"/>
      <c r="C592" s="62"/>
      <c r="D592" s="62"/>
      <c r="E592" s="62"/>
      <c r="F592" s="62"/>
      <c r="G592" s="62"/>
      <c r="H592" s="62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</row>
    <row r="593" spans="2:21" x14ac:dyDescent="0.15">
      <c r="B593" s="62"/>
      <c r="C593" s="62"/>
      <c r="D593" s="62"/>
      <c r="E593" s="62"/>
      <c r="F593" s="62"/>
      <c r="G593" s="62"/>
      <c r="H593" s="62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</row>
    <row r="594" spans="2:21" x14ac:dyDescent="0.15">
      <c r="B594" s="62"/>
      <c r="C594" s="62"/>
      <c r="D594" s="62"/>
      <c r="E594" s="62"/>
      <c r="F594" s="62"/>
      <c r="G594" s="62"/>
      <c r="H594" s="62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</row>
    <row r="595" spans="2:21" x14ac:dyDescent="0.15">
      <c r="B595" s="62"/>
      <c r="C595" s="62"/>
      <c r="D595" s="62"/>
      <c r="E595" s="62"/>
      <c r="F595" s="62"/>
      <c r="G595" s="62"/>
      <c r="H595" s="62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</row>
    <row r="596" spans="2:21" x14ac:dyDescent="0.15">
      <c r="B596" s="62"/>
      <c r="C596" s="62"/>
      <c r="D596" s="62"/>
      <c r="E596" s="62"/>
      <c r="F596" s="62"/>
      <c r="G596" s="62"/>
      <c r="H596" s="62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</row>
    <row r="597" spans="2:21" x14ac:dyDescent="0.15">
      <c r="B597" s="62"/>
      <c r="C597" s="62"/>
      <c r="D597" s="62"/>
      <c r="E597" s="62"/>
      <c r="F597" s="62"/>
      <c r="G597" s="62"/>
      <c r="H597" s="62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</row>
    <row r="598" spans="2:21" x14ac:dyDescent="0.15">
      <c r="B598" s="62"/>
      <c r="C598" s="62"/>
      <c r="D598" s="62"/>
      <c r="E598" s="62"/>
      <c r="F598" s="62"/>
      <c r="G598" s="62"/>
      <c r="H598" s="62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</row>
    <row r="599" spans="2:21" x14ac:dyDescent="0.15">
      <c r="B599" s="62"/>
      <c r="C599" s="62"/>
      <c r="D599" s="62"/>
      <c r="E599" s="62"/>
      <c r="F599" s="62"/>
      <c r="G599" s="62"/>
      <c r="H599" s="62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</row>
    <row r="600" spans="2:21" x14ac:dyDescent="0.15">
      <c r="B600" s="62"/>
      <c r="C600" s="62"/>
      <c r="D600" s="62"/>
      <c r="E600" s="62"/>
      <c r="F600" s="62"/>
      <c r="G600" s="62"/>
      <c r="H600" s="62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</row>
    <row r="601" spans="2:21" x14ac:dyDescent="0.15">
      <c r="B601" s="62"/>
      <c r="C601" s="62"/>
      <c r="D601" s="62"/>
      <c r="E601" s="62"/>
      <c r="F601" s="62"/>
      <c r="G601" s="62"/>
      <c r="H601" s="62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</row>
    <row r="602" spans="2:21" x14ac:dyDescent="0.15">
      <c r="B602" s="62"/>
      <c r="C602" s="62"/>
      <c r="D602" s="62"/>
      <c r="E602" s="62"/>
      <c r="F602" s="62"/>
      <c r="G602" s="62"/>
      <c r="H602" s="62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</row>
    <row r="603" spans="2:21" x14ac:dyDescent="0.15">
      <c r="B603" s="62"/>
      <c r="C603" s="62"/>
      <c r="D603" s="62"/>
      <c r="E603" s="62"/>
      <c r="F603" s="62"/>
      <c r="G603" s="62"/>
      <c r="H603" s="62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</row>
    <row r="604" spans="2:21" x14ac:dyDescent="0.15">
      <c r="B604" s="62"/>
      <c r="C604" s="62"/>
      <c r="D604" s="62"/>
      <c r="E604" s="62"/>
      <c r="F604" s="62"/>
      <c r="G604" s="62"/>
      <c r="H604" s="62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</row>
  </sheetData>
  <mergeCells count="149">
    <mergeCell ref="B71:B73"/>
    <mergeCell ref="C71:C73"/>
    <mergeCell ref="D71:D73"/>
    <mergeCell ref="E71:E73"/>
    <mergeCell ref="E68:E70"/>
    <mergeCell ref="D68:D70"/>
    <mergeCell ref="C68:C70"/>
    <mergeCell ref="B68:B70"/>
    <mergeCell ref="C77:C79"/>
    <mergeCell ref="C74:C76"/>
    <mergeCell ref="D86:D88"/>
    <mergeCell ref="D83:D85"/>
    <mergeCell ref="D80:D82"/>
    <mergeCell ref="D77:D79"/>
    <mergeCell ref="D74:D76"/>
    <mergeCell ref="C86:C88"/>
    <mergeCell ref="C83:C85"/>
    <mergeCell ref="C80:C82"/>
    <mergeCell ref="B86:B88"/>
    <mergeCell ref="G74:G76"/>
    <mergeCell ref="G71:G73"/>
    <mergeCell ref="G68:G70"/>
    <mergeCell ref="G65:G67"/>
    <mergeCell ref="E65:E67"/>
    <mergeCell ref="G89:G91"/>
    <mergeCell ref="G86:G88"/>
    <mergeCell ref="G83:G85"/>
    <mergeCell ref="G80:G82"/>
    <mergeCell ref="G77:G79"/>
    <mergeCell ref="E86:E88"/>
    <mergeCell ref="E83:E85"/>
    <mergeCell ref="E80:E82"/>
    <mergeCell ref="E77:E79"/>
    <mergeCell ref="E74:E76"/>
    <mergeCell ref="B89:B91"/>
    <mergeCell ref="C89:C91"/>
    <mergeCell ref="D89:D91"/>
    <mergeCell ref="E89:E91"/>
    <mergeCell ref="E50:E52"/>
    <mergeCell ref="E47:E49"/>
    <mergeCell ref="E44:E46"/>
    <mergeCell ref="D47:D49"/>
    <mergeCell ref="C47:C49"/>
    <mergeCell ref="D44:D46"/>
    <mergeCell ref="C44:C46"/>
    <mergeCell ref="E56:E58"/>
    <mergeCell ref="E53:E55"/>
    <mergeCell ref="D56:D58"/>
    <mergeCell ref="D53:D55"/>
    <mergeCell ref="C56:C58"/>
    <mergeCell ref="C53:C55"/>
    <mergeCell ref="B83:B85"/>
    <mergeCell ref="B80:B82"/>
    <mergeCell ref="B77:B79"/>
    <mergeCell ref="B74:B76"/>
    <mergeCell ref="D65:D67"/>
    <mergeCell ref="C65:C67"/>
    <mergeCell ref="B65:B67"/>
    <mergeCell ref="D35:D37"/>
    <mergeCell ref="C35:C37"/>
    <mergeCell ref="B35:B37"/>
    <mergeCell ref="D41:D43"/>
    <mergeCell ref="E41:E43"/>
    <mergeCell ref="E38:E40"/>
    <mergeCell ref="D38:D40"/>
    <mergeCell ref="C38:C40"/>
    <mergeCell ref="B38:B40"/>
    <mergeCell ref="B41:B43"/>
    <mergeCell ref="C41:C43"/>
    <mergeCell ref="B14:B16"/>
    <mergeCell ref="B17:B19"/>
    <mergeCell ref="C17:C19"/>
    <mergeCell ref="D17:D19"/>
    <mergeCell ref="E17:E19"/>
    <mergeCell ref="D20:D22"/>
    <mergeCell ref="C20:C22"/>
    <mergeCell ref="B59:B61"/>
    <mergeCell ref="C59:C61"/>
    <mergeCell ref="D59:D61"/>
    <mergeCell ref="B44:B46"/>
    <mergeCell ref="B47:B49"/>
    <mergeCell ref="B50:B52"/>
    <mergeCell ref="B53:B55"/>
    <mergeCell ref="B56:B58"/>
    <mergeCell ref="C50:C52"/>
    <mergeCell ref="D50:D52"/>
    <mergeCell ref="B20:B22"/>
    <mergeCell ref="B23:B25"/>
    <mergeCell ref="B26:B28"/>
    <mergeCell ref="B29:B31"/>
    <mergeCell ref="C29:C31"/>
    <mergeCell ref="D29:D31"/>
    <mergeCell ref="E35:E37"/>
    <mergeCell ref="E26:E28"/>
    <mergeCell ref="D26:D28"/>
    <mergeCell ref="D23:D25"/>
    <mergeCell ref="C23:C25"/>
    <mergeCell ref="C26:C28"/>
    <mergeCell ref="E5:E7"/>
    <mergeCell ref="D5:D7"/>
    <mergeCell ref="C5:C7"/>
    <mergeCell ref="E14:E16"/>
    <mergeCell ref="E11:E13"/>
    <mergeCell ref="D14:D16"/>
    <mergeCell ref="D11:D13"/>
    <mergeCell ref="C11:C13"/>
    <mergeCell ref="C14:C16"/>
    <mergeCell ref="E8:E10"/>
    <mergeCell ref="D8:D10"/>
    <mergeCell ref="C8:C10"/>
    <mergeCell ref="H4:J4"/>
    <mergeCell ref="K4:M4"/>
    <mergeCell ref="W2:Y2"/>
    <mergeCell ref="G5:G7"/>
    <mergeCell ref="E23:E25"/>
    <mergeCell ref="E20:E22"/>
    <mergeCell ref="A1:U1"/>
    <mergeCell ref="B2:U2"/>
    <mergeCell ref="Z2:AA2"/>
    <mergeCell ref="H3:J3"/>
    <mergeCell ref="K3:M3"/>
    <mergeCell ref="B32:U32"/>
    <mergeCell ref="H33:J33"/>
    <mergeCell ref="K33:M33"/>
    <mergeCell ref="B62:U62"/>
    <mergeCell ref="G41:G43"/>
    <mergeCell ref="G38:G40"/>
    <mergeCell ref="G35:G37"/>
    <mergeCell ref="E29:E31"/>
    <mergeCell ref="G29:G31"/>
    <mergeCell ref="G26:G28"/>
    <mergeCell ref="G23:G25"/>
    <mergeCell ref="G20:G22"/>
    <mergeCell ref="G17:G19"/>
    <mergeCell ref="G14:G16"/>
    <mergeCell ref="G11:G13"/>
    <mergeCell ref="G8:G10"/>
    <mergeCell ref="B5:B7"/>
    <mergeCell ref="B11:B13"/>
    <mergeCell ref="B8:B10"/>
    <mergeCell ref="H63:J63"/>
    <mergeCell ref="K63:M63"/>
    <mergeCell ref="E59:E61"/>
    <mergeCell ref="G59:G61"/>
    <mergeCell ref="G56:G58"/>
    <mergeCell ref="G53:G55"/>
    <mergeCell ref="G50:G52"/>
    <mergeCell ref="G47:G49"/>
    <mergeCell ref="G44:G46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F4075-E008-2441-8374-9BCF37EE4180}">
  <dimension ref="A1:AC604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5" customWidth="1"/>
    <col min="2" max="2" width="10.33203125" style="5" bestFit="1" customWidth="1"/>
    <col min="3" max="10" width="9.1640625" style="5"/>
    <col min="11" max="14" width="9.6640625" style="5" bestFit="1" customWidth="1"/>
    <col min="15" max="15" width="12.1640625" style="5" customWidth="1"/>
    <col min="16" max="16" width="12.5" style="5" bestFit="1" customWidth="1"/>
    <col min="17" max="18" width="13.6640625" style="5" customWidth="1"/>
    <col min="19" max="19" width="14.5" style="5" customWidth="1"/>
    <col min="20" max="21" width="10.5" style="5" bestFit="1" customWidth="1"/>
    <col min="22" max="23" width="9.1640625" style="5"/>
    <col min="24" max="24" width="12.33203125" style="5" customWidth="1"/>
    <col min="25" max="16384" width="9.1640625" style="5"/>
  </cols>
  <sheetData>
    <row r="1" spans="1:29" ht="17" thickBot="1" x14ac:dyDescent="0.2">
      <c r="A1" s="241" t="s">
        <v>105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3"/>
    </row>
    <row r="2" spans="1:29" ht="16" customHeight="1" thickBot="1" x14ac:dyDescent="0.2">
      <c r="A2" s="128"/>
      <c r="B2" s="244" t="s">
        <v>72</v>
      </c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6"/>
      <c r="W2" s="247" t="s">
        <v>106</v>
      </c>
      <c r="X2" s="247"/>
      <c r="Y2" s="247"/>
      <c r="Z2" s="247"/>
      <c r="AA2" s="247"/>
    </row>
    <row r="3" spans="1:29" ht="33.75" customHeight="1" x14ac:dyDescent="0.15">
      <c r="A3" s="40"/>
      <c r="B3" s="129" t="s">
        <v>0</v>
      </c>
      <c r="C3" s="72" t="s">
        <v>1</v>
      </c>
      <c r="D3" s="72" t="s">
        <v>2</v>
      </c>
      <c r="E3" s="130" t="s">
        <v>20</v>
      </c>
      <c r="F3" s="131"/>
      <c r="G3" s="131" t="s">
        <v>21</v>
      </c>
      <c r="H3" s="232" t="s">
        <v>100</v>
      </c>
      <c r="I3" s="233"/>
      <c r="J3" s="233"/>
      <c r="K3" s="234" t="s">
        <v>101</v>
      </c>
      <c r="L3" s="234"/>
      <c r="M3" s="234"/>
      <c r="N3" s="72" t="s">
        <v>23</v>
      </c>
      <c r="O3" s="72" t="s">
        <v>24</v>
      </c>
      <c r="P3" s="72" t="s">
        <v>24</v>
      </c>
      <c r="Q3" s="72" t="s">
        <v>102</v>
      </c>
      <c r="R3" s="130" t="s">
        <v>102</v>
      </c>
      <c r="S3" s="72" t="s">
        <v>103</v>
      </c>
      <c r="T3" s="72" t="s">
        <v>84</v>
      </c>
      <c r="U3" s="132" t="s">
        <v>62</v>
      </c>
      <c r="W3" s="62" t="s">
        <v>2</v>
      </c>
      <c r="X3" s="83" t="str">
        <f>S3</f>
        <v>Average NO3 concentration</v>
      </c>
      <c r="Y3" s="83" t="str">
        <f>U3</f>
        <v>Standard error</v>
      </c>
      <c r="Z3" s="62"/>
      <c r="AA3" s="133"/>
      <c r="AB3" s="133"/>
      <c r="AC3" s="133"/>
    </row>
    <row r="4" spans="1:29" ht="15" customHeight="1" x14ac:dyDescent="0.15">
      <c r="A4" s="40"/>
      <c r="B4" s="134"/>
      <c r="C4" s="135"/>
      <c r="D4" s="136"/>
      <c r="E4" s="136"/>
      <c r="F4" s="137"/>
      <c r="G4" s="137"/>
      <c r="H4" s="253" t="s">
        <v>16</v>
      </c>
      <c r="I4" s="253"/>
      <c r="J4" s="254"/>
      <c r="K4" s="220" t="s">
        <v>25</v>
      </c>
      <c r="L4" s="222"/>
      <c r="M4" s="221"/>
      <c r="N4" s="80" t="s">
        <v>25</v>
      </c>
      <c r="O4" s="80" t="s">
        <v>18</v>
      </c>
      <c r="P4" s="80" t="s">
        <v>26</v>
      </c>
      <c r="Q4" s="80" t="s">
        <v>26</v>
      </c>
      <c r="R4" s="76" t="s">
        <v>18</v>
      </c>
      <c r="S4" s="80" t="s">
        <v>18</v>
      </c>
      <c r="T4" s="80"/>
      <c r="U4" s="82"/>
      <c r="W4" s="93">
        <v>0</v>
      </c>
      <c r="X4" s="88">
        <f>S7</f>
        <v>1.6244853533333334</v>
      </c>
      <c r="Y4" s="88">
        <f>U7</f>
        <v>6.2533831084053675E-3</v>
      </c>
      <c r="Z4" s="88"/>
      <c r="AA4" s="133"/>
      <c r="AB4" s="133"/>
      <c r="AC4" s="133"/>
    </row>
    <row r="5" spans="1:29" x14ac:dyDescent="0.15">
      <c r="A5" s="40"/>
      <c r="B5" s="194" t="s">
        <v>8</v>
      </c>
      <c r="C5" s="197">
        <v>0.55138888888888882</v>
      </c>
      <c r="D5" s="251">
        <v>0</v>
      </c>
      <c r="E5" s="235">
        <v>1</v>
      </c>
      <c r="F5" s="85" t="s">
        <v>94</v>
      </c>
      <c r="G5" s="237">
        <f>(0.083+0.071)/2</f>
        <v>7.6999999999999999E-2</v>
      </c>
      <c r="H5" s="86">
        <f>0.725-G5</f>
        <v>0.64800000000000002</v>
      </c>
      <c r="I5" s="88">
        <f>0.744-G5</f>
        <v>0.66700000000000004</v>
      </c>
      <c r="J5" s="88">
        <f>0.743-G5</f>
        <v>0.66600000000000004</v>
      </c>
      <c r="K5" s="88">
        <f>5.5946*H5</f>
        <v>3.6253007999999998</v>
      </c>
      <c r="L5" s="88">
        <f t="shared" ref="L5:M7" si="0">5.5946*I5</f>
        <v>3.7315982000000001</v>
      </c>
      <c r="M5" s="88">
        <f t="shared" si="0"/>
        <v>3.7260035999999999</v>
      </c>
      <c r="N5" s="88">
        <f>AVERAGE(K5:M5)</f>
        <v>3.694300866666667</v>
      </c>
      <c r="O5" s="88">
        <f>N5/10</f>
        <v>0.36943008666666671</v>
      </c>
      <c r="P5" s="88">
        <f>O5/14</f>
        <v>2.6387863333333338E-2</v>
      </c>
      <c r="Q5" s="88">
        <f>P5</f>
        <v>2.6387863333333338E-2</v>
      </c>
      <c r="R5" s="88">
        <f>Q5*62</f>
        <v>1.636047526666667</v>
      </c>
      <c r="S5" s="139"/>
      <c r="T5" s="62"/>
      <c r="U5" s="84"/>
      <c r="W5" s="93">
        <f>D8</f>
        <v>47.616666666666667</v>
      </c>
      <c r="X5" s="88">
        <f>S10</f>
        <v>1.5470705688888888</v>
      </c>
      <c r="Y5" s="88">
        <f>U10</f>
        <v>6.788803491655746E-3</v>
      </c>
      <c r="Z5" s="88"/>
      <c r="AA5" s="140"/>
      <c r="AB5" s="140"/>
      <c r="AC5" s="140"/>
    </row>
    <row r="6" spans="1:29" x14ac:dyDescent="0.15">
      <c r="A6" s="40"/>
      <c r="B6" s="194"/>
      <c r="C6" s="197"/>
      <c r="D6" s="251"/>
      <c r="E6" s="235"/>
      <c r="F6" s="85" t="s">
        <v>95</v>
      </c>
      <c r="G6" s="237"/>
      <c r="H6" s="86">
        <f>0.726-G5</f>
        <v>0.64900000000000002</v>
      </c>
      <c r="I6" s="88">
        <f>0.732-G5</f>
        <v>0.65500000000000003</v>
      </c>
      <c r="J6" s="88">
        <f>0.738-G5</f>
        <v>0.66100000000000003</v>
      </c>
      <c r="K6" s="88">
        <f t="shared" ref="K6:K7" si="1">5.5946*H6</f>
        <v>3.6308954</v>
      </c>
      <c r="L6" s="88">
        <f t="shared" si="0"/>
        <v>3.664463</v>
      </c>
      <c r="M6" s="88">
        <f t="shared" si="0"/>
        <v>3.6980306000000001</v>
      </c>
      <c r="N6" s="88">
        <f t="shared" ref="N6:N7" si="2">AVERAGE(K6:M6)</f>
        <v>3.664463</v>
      </c>
      <c r="O6" s="88">
        <f t="shared" ref="O6:O7" si="3">N6/10</f>
        <v>0.3664463</v>
      </c>
      <c r="P6" s="88">
        <f t="shared" ref="P6:P31" si="4">O6/14</f>
        <v>2.6174735714285715E-2</v>
      </c>
      <c r="Q6" s="88">
        <f t="shared" ref="Q6:Q31" si="5">P6</f>
        <v>2.6174735714285715E-2</v>
      </c>
      <c r="R6" s="88">
        <f t="shared" ref="R6:R31" si="6">Q6*62</f>
        <v>1.6228336142857143</v>
      </c>
      <c r="S6" s="139"/>
      <c r="T6" s="62"/>
      <c r="U6" s="84"/>
      <c r="W6" s="93">
        <f>D11</f>
        <v>94.833333333333343</v>
      </c>
      <c r="X6" s="88">
        <f>S13</f>
        <v>1.4680778352380954</v>
      </c>
      <c r="Y6" s="88">
        <f>U13</f>
        <v>6.5766474522511859E-3</v>
      </c>
      <c r="Z6" s="88"/>
      <c r="AA6" s="140"/>
      <c r="AB6" s="140"/>
      <c r="AC6" s="140"/>
    </row>
    <row r="7" spans="1:29" x14ac:dyDescent="0.15">
      <c r="A7" s="40"/>
      <c r="B7" s="194"/>
      <c r="C7" s="197"/>
      <c r="D7" s="251"/>
      <c r="E7" s="235"/>
      <c r="F7" s="85" t="s">
        <v>96</v>
      </c>
      <c r="G7" s="237"/>
      <c r="H7" s="86">
        <f>0.716-G5</f>
        <v>0.63900000000000001</v>
      </c>
      <c r="I7" s="88">
        <f>0.735-G5</f>
        <v>0.65800000000000003</v>
      </c>
      <c r="J7" s="88">
        <f>0.735-G5</f>
        <v>0.65800000000000003</v>
      </c>
      <c r="K7" s="88">
        <f t="shared" si="1"/>
        <v>3.5749493999999999</v>
      </c>
      <c r="L7" s="88">
        <f t="shared" si="0"/>
        <v>3.6812467999999998</v>
      </c>
      <c r="M7" s="88">
        <f t="shared" si="0"/>
        <v>3.6812467999999998</v>
      </c>
      <c r="N7" s="88">
        <f t="shared" si="2"/>
        <v>3.6458143333333335</v>
      </c>
      <c r="O7" s="88">
        <f t="shared" si="3"/>
        <v>0.36458143333333337</v>
      </c>
      <c r="P7" s="88">
        <f t="shared" si="4"/>
        <v>2.6041530952380956E-2</v>
      </c>
      <c r="Q7" s="88">
        <f t="shared" si="5"/>
        <v>2.6041530952380956E-2</v>
      </c>
      <c r="R7" s="88">
        <f t="shared" si="6"/>
        <v>1.6145749190476193</v>
      </c>
      <c r="S7" s="141">
        <f>AVERAGE(R5:R7)</f>
        <v>1.6244853533333334</v>
      </c>
      <c r="T7" s="88">
        <f>STDEV(R5:R7)</f>
        <v>1.0831177262951092E-2</v>
      </c>
      <c r="U7" s="87">
        <f>T7/SQRT(3)</f>
        <v>6.2533831084053675E-3</v>
      </c>
      <c r="W7" s="93">
        <f>D14</f>
        <v>143.81666666666666</v>
      </c>
      <c r="X7" s="88">
        <f>S16</f>
        <v>1.3662317588888888</v>
      </c>
      <c r="Y7" s="88">
        <f>U16</f>
        <v>1.4459369743340719E-2</v>
      </c>
      <c r="Z7" s="88"/>
      <c r="AA7" s="140"/>
      <c r="AB7" s="140"/>
      <c r="AC7" s="140"/>
    </row>
    <row r="8" spans="1:29" x14ac:dyDescent="0.15">
      <c r="A8" s="40"/>
      <c r="B8" s="193" t="s">
        <v>10</v>
      </c>
      <c r="C8" s="196">
        <v>0.53541666666666665</v>
      </c>
      <c r="D8" s="250">
        <f>10+37/60+13+24+D5</f>
        <v>47.616666666666667</v>
      </c>
      <c r="E8" s="248">
        <v>3</v>
      </c>
      <c r="F8" s="138" t="s">
        <v>94</v>
      </c>
      <c r="G8" s="239">
        <f>(0.084+0.086)/2</f>
        <v>8.4999999999999992E-2</v>
      </c>
      <c r="H8" s="106">
        <f>0.675-G8</f>
        <v>0.59000000000000008</v>
      </c>
      <c r="I8" s="110">
        <f>0.706-G8</f>
        <v>0.621</v>
      </c>
      <c r="J8" s="110">
        <f>0.687-G8</f>
        <v>0.60200000000000009</v>
      </c>
      <c r="K8" s="110">
        <f>5.7436*H8</f>
        <v>3.3887240000000003</v>
      </c>
      <c r="L8" s="110">
        <f t="shared" ref="L8:M12" si="7">5.7436*I8</f>
        <v>3.5667755999999997</v>
      </c>
      <c r="M8" s="110">
        <f t="shared" si="7"/>
        <v>3.4576472000000003</v>
      </c>
      <c r="N8" s="110">
        <f>AVERAGE(K8:M8)</f>
        <v>3.4710489333333334</v>
      </c>
      <c r="O8" s="110">
        <f>N8/10</f>
        <v>0.34710489333333333</v>
      </c>
      <c r="P8" s="110">
        <f t="shared" si="4"/>
        <v>2.4793206666666668E-2</v>
      </c>
      <c r="Q8" s="110">
        <f t="shared" si="5"/>
        <v>2.4793206666666668E-2</v>
      </c>
      <c r="R8" s="110">
        <f t="shared" si="6"/>
        <v>1.5371788133333335</v>
      </c>
      <c r="S8" s="142"/>
      <c r="T8" s="110"/>
      <c r="U8" s="107"/>
      <c r="W8" s="93">
        <f>D17</f>
        <v>191.35</v>
      </c>
      <c r="X8" s="88">
        <f>S19</f>
        <v>1.0817720684126984</v>
      </c>
      <c r="Y8" s="88">
        <f>U19</f>
        <v>1.1868660938207218E-2</v>
      </c>
      <c r="Z8" s="88"/>
      <c r="AA8" s="140"/>
      <c r="AB8" s="140"/>
      <c r="AC8" s="140"/>
    </row>
    <row r="9" spans="1:29" x14ac:dyDescent="0.15">
      <c r="A9" s="40"/>
      <c r="B9" s="194"/>
      <c r="C9" s="197"/>
      <c r="D9" s="251"/>
      <c r="E9" s="235"/>
      <c r="F9" s="85" t="s">
        <v>95</v>
      </c>
      <c r="G9" s="237"/>
      <c r="H9" s="86">
        <f>0.69-G8</f>
        <v>0.60499999999999998</v>
      </c>
      <c r="I9" s="88">
        <f>0.694-G8</f>
        <v>0.60899999999999999</v>
      </c>
      <c r="J9" s="88"/>
      <c r="K9" s="88">
        <f t="shared" ref="K9:K10" si="8">5.7436*H9</f>
        <v>3.4748779999999999</v>
      </c>
      <c r="L9" s="88">
        <f t="shared" si="7"/>
        <v>3.4978523999999998</v>
      </c>
      <c r="M9" s="88"/>
      <c r="N9" s="88">
        <f t="shared" ref="N9:N10" si="9">AVERAGE(K9:M9)</f>
        <v>3.4863651999999998</v>
      </c>
      <c r="O9" s="88">
        <f t="shared" ref="O9:O19" si="10">N9/10</f>
        <v>0.34863652000000001</v>
      </c>
      <c r="P9" s="88">
        <f t="shared" si="4"/>
        <v>2.4902608571428571E-2</v>
      </c>
      <c r="Q9" s="88">
        <f t="shared" si="5"/>
        <v>2.4902608571428571E-2</v>
      </c>
      <c r="R9" s="88">
        <f t="shared" si="6"/>
        <v>1.5439617314285714</v>
      </c>
      <c r="S9" s="141"/>
      <c r="T9" s="88"/>
      <c r="U9" s="87"/>
      <c r="W9" s="93">
        <f>D20</f>
        <v>239.35</v>
      </c>
      <c r="X9" s="88">
        <f>S22</f>
        <v>0.91119543444444451</v>
      </c>
      <c r="Y9" s="88">
        <f>U22</f>
        <v>1.9800449842585242E-2</v>
      </c>
      <c r="Z9" s="88"/>
      <c r="AA9" s="140"/>
      <c r="AB9" s="140"/>
      <c r="AC9" s="140"/>
    </row>
    <row r="10" spans="1:29" x14ac:dyDescent="0.15">
      <c r="A10" s="40"/>
      <c r="B10" s="208"/>
      <c r="C10" s="209"/>
      <c r="D10" s="252"/>
      <c r="E10" s="249"/>
      <c r="F10" s="95" t="s">
        <v>96</v>
      </c>
      <c r="G10" s="240"/>
      <c r="H10" s="96">
        <f>0.69-G8</f>
        <v>0.60499999999999998</v>
      </c>
      <c r="I10" s="98">
        <f>0.685-G8</f>
        <v>0.60000000000000009</v>
      </c>
      <c r="J10" s="98">
        <f>0.72-G8</f>
        <v>0.63500000000000001</v>
      </c>
      <c r="K10" s="98">
        <f t="shared" si="8"/>
        <v>3.4748779999999999</v>
      </c>
      <c r="L10" s="98">
        <f t="shared" si="7"/>
        <v>3.4461600000000003</v>
      </c>
      <c r="M10" s="98">
        <f t="shared" si="7"/>
        <v>3.647186</v>
      </c>
      <c r="N10" s="98">
        <f t="shared" si="9"/>
        <v>3.5227413333333337</v>
      </c>
      <c r="O10" s="98">
        <f t="shared" si="10"/>
        <v>0.35227413333333335</v>
      </c>
      <c r="P10" s="98">
        <f t="shared" si="4"/>
        <v>2.5162438095238097E-2</v>
      </c>
      <c r="Q10" s="98">
        <f t="shared" si="5"/>
        <v>2.5162438095238097E-2</v>
      </c>
      <c r="R10" s="98">
        <f t="shared" si="6"/>
        <v>1.560071161904762</v>
      </c>
      <c r="S10" s="143">
        <f>AVERAGE(R8:R10)</f>
        <v>1.5470705688888888</v>
      </c>
      <c r="T10" s="98">
        <f>STDEV(R8:R10)</f>
        <v>1.1758552570148748E-2</v>
      </c>
      <c r="U10" s="97">
        <f>T10/SQRT(3)</f>
        <v>6.788803491655746E-3</v>
      </c>
      <c r="W10" s="93">
        <f>D23</f>
        <v>312.08333333333331</v>
      </c>
      <c r="X10" s="88">
        <f>S25</f>
        <v>0.87941567619047623</v>
      </c>
      <c r="Y10" s="88">
        <f>U25</f>
        <v>0.1458520753308406</v>
      </c>
      <c r="Z10" s="88"/>
      <c r="AA10" s="140"/>
      <c r="AB10" s="140"/>
      <c r="AC10" s="140"/>
    </row>
    <row r="11" spans="1:29" x14ac:dyDescent="0.15">
      <c r="A11" s="40"/>
      <c r="B11" s="194" t="s">
        <v>27</v>
      </c>
      <c r="C11" s="197">
        <v>0.50277777777777777</v>
      </c>
      <c r="D11" s="251">
        <f>10+13/60+13+24+D8</f>
        <v>94.833333333333343</v>
      </c>
      <c r="E11" s="235">
        <v>5</v>
      </c>
      <c r="F11" s="85" t="s">
        <v>94</v>
      </c>
      <c r="G11" s="237">
        <f>(0.086+0.084)/2</f>
        <v>8.4999999999999992E-2</v>
      </c>
      <c r="H11" s="86">
        <f>0.659-G11</f>
        <v>0.57400000000000007</v>
      </c>
      <c r="I11" s="88">
        <f>0.68-G11</f>
        <v>0.59500000000000008</v>
      </c>
      <c r="J11" s="88">
        <f>0.657-G11</f>
        <v>0.57200000000000006</v>
      </c>
      <c r="K11" s="88">
        <f>5.7436*H11</f>
        <v>3.2968264000000005</v>
      </c>
      <c r="L11" s="88">
        <f t="shared" si="7"/>
        <v>3.4174420000000003</v>
      </c>
      <c r="M11" s="88">
        <f t="shared" si="7"/>
        <v>3.2853392000000001</v>
      </c>
      <c r="N11" s="88">
        <f>AVERAGE(K11:M11)</f>
        <v>3.3332025333333335</v>
      </c>
      <c r="O11" s="88">
        <f t="shared" si="10"/>
        <v>0.33332025333333337</v>
      </c>
      <c r="P11" s="88">
        <f t="shared" si="4"/>
        <v>2.3808589523809525E-2</v>
      </c>
      <c r="Q11" s="88">
        <f t="shared" si="5"/>
        <v>2.3808589523809525E-2</v>
      </c>
      <c r="R11" s="88">
        <f t="shared" si="6"/>
        <v>1.4761325504761906</v>
      </c>
      <c r="S11" s="141"/>
      <c r="T11" s="88"/>
      <c r="U11" s="87"/>
      <c r="W11" s="93">
        <f>D26</f>
        <v>384.08333333333331</v>
      </c>
      <c r="X11" s="88">
        <f>S28</f>
        <v>0.54432634285714276</v>
      </c>
      <c r="Y11" s="88">
        <f>U28</f>
        <v>7.5972751769531205E-4</v>
      </c>
      <c r="Z11" s="88"/>
      <c r="AA11" s="140"/>
      <c r="AB11" s="140"/>
      <c r="AC11" s="140"/>
    </row>
    <row r="12" spans="1:29" ht="15" customHeight="1" x14ac:dyDescent="0.15">
      <c r="A12" s="40"/>
      <c r="B12" s="194"/>
      <c r="C12" s="197"/>
      <c r="D12" s="251"/>
      <c r="E12" s="235"/>
      <c r="F12" s="85" t="s">
        <v>95</v>
      </c>
      <c r="G12" s="237"/>
      <c r="H12" s="86">
        <f>0.658-G11</f>
        <v>0.57300000000000006</v>
      </c>
      <c r="I12" s="88">
        <f>0.653-G11</f>
        <v>0.56800000000000006</v>
      </c>
      <c r="J12" s="88">
        <f>0.666-G11</f>
        <v>0.58100000000000007</v>
      </c>
      <c r="K12" s="88">
        <f t="shared" ref="K12" si="11">5.7436*H12</f>
        <v>3.2910828000000003</v>
      </c>
      <c r="L12" s="88">
        <f t="shared" si="7"/>
        <v>3.2623648000000003</v>
      </c>
      <c r="M12" s="88">
        <f t="shared" si="7"/>
        <v>3.3370316000000004</v>
      </c>
      <c r="N12" s="88">
        <f t="shared" ref="N12:N19" si="12">AVERAGE(K12:M12)</f>
        <v>3.2968264000000005</v>
      </c>
      <c r="O12" s="88">
        <f t="shared" si="10"/>
        <v>0.32968264000000003</v>
      </c>
      <c r="P12" s="88">
        <f t="shared" si="4"/>
        <v>2.3548760000000002E-2</v>
      </c>
      <c r="Q12" s="88">
        <f t="shared" si="5"/>
        <v>2.3548760000000002E-2</v>
      </c>
      <c r="R12" s="88">
        <f t="shared" si="6"/>
        <v>1.4600231200000002</v>
      </c>
      <c r="S12" s="141"/>
      <c r="T12" s="88"/>
      <c r="U12" s="87"/>
      <c r="W12" s="93">
        <f>D29</f>
        <v>432.25</v>
      </c>
      <c r="X12" s="88">
        <f>S31</f>
        <v>0.46161521333333333</v>
      </c>
      <c r="Y12" s="88">
        <f>U31</f>
        <v>4.1422651326999828E-2</v>
      </c>
      <c r="Z12" s="88"/>
      <c r="AA12" s="140"/>
      <c r="AB12" s="140"/>
      <c r="AC12" s="140"/>
    </row>
    <row r="13" spans="1:29" ht="15" customHeight="1" x14ac:dyDescent="0.15">
      <c r="A13" s="40"/>
      <c r="B13" s="194"/>
      <c r="C13" s="197"/>
      <c r="D13" s="251"/>
      <c r="E13" s="235"/>
      <c r="F13" s="85" t="s">
        <v>96</v>
      </c>
      <c r="G13" s="237"/>
      <c r="H13" s="86"/>
      <c r="I13" s="88"/>
      <c r="J13" s="88"/>
      <c r="K13" s="88"/>
      <c r="L13" s="88"/>
      <c r="M13" s="88"/>
      <c r="N13" s="88"/>
      <c r="O13" s="88"/>
      <c r="P13" s="88">
        <f t="shared" si="4"/>
        <v>0</v>
      </c>
      <c r="Q13" s="88">
        <f t="shared" si="5"/>
        <v>0</v>
      </c>
      <c r="R13" s="88"/>
      <c r="S13" s="141">
        <f>AVERAGE(R11:R13)</f>
        <v>1.4680778352380954</v>
      </c>
      <c r="T13" s="88">
        <f>STDEV(R11:R13)</f>
        <v>1.1391087530767466E-2</v>
      </c>
      <c r="U13" s="87">
        <f>T13/SQRT(3)</f>
        <v>6.5766474522511859E-3</v>
      </c>
      <c r="W13" s="93"/>
      <c r="X13" s="88"/>
      <c r="Y13" s="88"/>
      <c r="Z13" s="88"/>
      <c r="AA13" s="140"/>
      <c r="AB13" s="140"/>
      <c r="AC13" s="140"/>
    </row>
    <row r="14" spans="1:29" x14ac:dyDescent="0.15">
      <c r="A14" s="40"/>
      <c r="B14" s="193" t="s">
        <v>29</v>
      </c>
      <c r="C14" s="196">
        <v>0.54375000000000007</v>
      </c>
      <c r="D14" s="250">
        <f>59/60+24+24+D11</f>
        <v>143.81666666666666</v>
      </c>
      <c r="E14" s="248">
        <v>7</v>
      </c>
      <c r="F14" s="138" t="s">
        <v>94</v>
      </c>
      <c r="G14" s="239">
        <f>(0.065+0.073+0.067)/3</f>
        <v>6.8333333333333343E-2</v>
      </c>
      <c r="H14" s="106">
        <f>0.661-G14</f>
        <v>0.59266666666666667</v>
      </c>
      <c r="I14" s="110">
        <f>0.657-G14</f>
        <v>0.58866666666666667</v>
      </c>
      <c r="J14" s="110">
        <f>0.661-G14</f>
        <v>0.59266666666666667</v>
      </c>
      <c r="K14" s="110">
        <f>5.2957*H14</f>
        <v>3.1385848666666667</v>
      </c>
      <c r="L14" s="110">
        <f t="shared" ref="L14:M16" si="13">5.2957*I14</f>
        <v>3.1174020666666666</v>
      </c>
      <c r="M14" s="110">
        <f t="shared" si="13"/>
        <v>3.1385848666666667</v>
      </c>
      <c r="N14" s="110">
        <f t="shared" si="12"/>
        <v>3.1315239333333333</v>
      </c>
      <c r="O14" s="110">
        <f t="shared" si="10"/>
        <v>0.31315239333333333</v>
      </c>
      <c r="P14" s="110">
        <f t="shared" si="4"/>
        <v>2.2368028095238097E-2</v>
      </c>
      <c r="Q14" s="110">
        <f t="shared" si="5"/>
        <v>2.2368028095238097E-2</v>
      </c>
      <c r="R14" s="110">
        <f t="shared" si="6"/>
        <v>1.386817741904762</v>
      </c>
      <c r="S14" s="144"/>
      <c r="T14" s="117"/>
      <c r="U14" s="105"/>
      <c r="W14" s="140"/>
      <c r="Z14" s="88"/>
      <c r="AA14" s="88"/>
    </row>
    <row r="15" spans="1:29" x14ac:dyDescent="0.15">
      <c r="B15" s="194"/>
      <c r="C15" s="197"/>
      <c r="D15" s="251"/>
      <c r="E15" s="235"/>
      <c r="F15" s="85" t="s">
        <v>95</v>
      </c>
      <c r="G15" s="237"/>
      <c r="H15" s="86">
        <f>0.641-G14</f>
        <v>0.57266666666666666</v>
      </c>
      <c r="I15" s="88">
        <f>0.666-G14</f>
        <v>0.59766666666666668</v>
      </c>
      <c r="J15" s="88">
        <f>0.655-G14</f>
        <v>0.58666666666666667</v>
      </c>
      <c r="K15" s="88">
        <f t="shared" ref="K15:K16" si="14">5.2957*H15</f>
        <v>3.0326708666666669</v>
      </c>
      <c r="L15" s="88">
        <f t="shared" si="13"/>
        <v>3.1650633666666668</v>
      </c>
      <c r="M15" s="88">
        <f t="shared" si="13"/>
        <v>3.1068106666666666</v>
      </c>
      <c r="N15" s="88">
        <f t="shared" si="12"/>
        <v>3.1015149666666666</v>
      </c>
      <c r="O15" s="88">
        <f t="shared" si="10"/>
        <v>0.31015149666666664</v>
      </c>
      <c r="P15" s="88">
        <f t="shared" si="4"/>
        <v>2.2153678333333333E-2</v>
      </c>
      <c r="Q15" s="88">
        <f t="shared" si="5"/>
        <v>2.2153678333333333E-2</v>
      </c>
      <c r="R15" s="88">
        <f t="shared" si="6"/>
        <v>1.3735280566666666</v>
      </c>
      <c r="S15" s="139"/>
      <c r="T15" s="62"/>
      <c r="U15" s="84"/>
      <c r="Z15" s="88"/>
      <c r="AA15" s="88"/>
    </row>
    <row r="16" spans="1:29" x14ac:dyDescent="0.15">
      <c r="B16" s="208"/>
      <c r="C16" s="209"/>
      <c r="D16" s="252"/>
      <c r="E16" s="249"/>
      <c r="F16" s="95" t="s">
        <v>96</v>
      </c>
      <c r="G16" s="240"/>
      <c r="H16" s="96">
        <f>0.639-G14</f>
        <v>0.57066666666666666</v>
      </c>
      <c r="I16" s="98">
        <f>0.644-G14</f>
        <v>0.57566666666666666</v>
      </c>
      <c r="J16" s="98">
        <f>0.634-G14</f>
        <v>0.56566666666666665</v>
      </c>
      <c r="K16" s="98">
        <f t="shared" si="14"/>
        <v>3.0220794666666668</v>
      </c>
      <c r="L16" s="98">
        <f t="shared" si="13"/>
        <v>3.0485579666666665</v>
      </c>
      <c r="M16" s="98">
        <f t="shared" si="13"/>
        <v>2.9956009666666668</v>
      </c>
      <c r="N16" s="98">
        <f t="shared" si="12"/>
        <v>3.0220794666666664</v>
      </c>
      <c r="O16" s="98">
        <f t="shared" si="10"/>
        <v>0.30220794666666662</v>
      </c>
      <c r="P16" s="98">
        <f t="shared" si="4"/>
        <v>2.15862819047619E-2</v>
      </c>
      <c r="Q16" s="98">
        <f t="shared" si="5"/>
        <v>2.15862819047619E-2</v>
      </c>
      <c r="R16" s="98">
        <f t="shared" si="6"/>
        <v>1.3383494780952379</v>
      </c>
      <c r="S16" s="143">
        <f>AVERAGE(R14:R16)</f>
        <v>1.3662317588888888</v>
      </c>
      <c r="T16" s="98">
        <f>STDEV(R14:R16)</f>
        <v>2.5044363040890281E-2</v>
      </c>
      <c r="U16" s="97">
        <f>T16/SQRT(3)</f>
        <v>1.4459369743340719E-2</v>
      </c>
      <c r="Z16" s="88"/>
      <c r="AA16" s="88"/>
    </row>
    <row r="17" spans="2:27" x14ac:dyDescent="0.15">
      <c r="B17" s="194" t="s">
        <v>30</v>
      </c>
      <c r="C17" s="197">
        <v>0.52430555555555558</v>
      </c>
      <c r="D17" s="251">
        <f>10+32/60+13+24+D14</f>
        <v>191.35</v>
      </c>
      <c r="E17" s="235">
        <v>9</v>
      </c>
      <c r="F17" s="85" t="s">
        <v>94</v>
      </c>
      <c r="G17" s="237">
        <f>(0.073+0.076+0.073)/3</f>
        <v>7.3999999999999996E-2</v>
      </c>
      <c r="H17" s="86">
        <f>0.529-G17</f>
        <v>0.45500000000000002</v>
      </c>
      <c r="I17" s="88">
        <f>0.527-G17</f>
        <v>0.45300000000000001</v>
      </c>
      <c r="J17" s="88">
        <f>0.518-G17</f>
        <v>0.44400000000000001</v>
      </c>
      <c r="K17" s="88">
        <f>5.4029*H17</f>
        <v>2.4583195</v>
      </c>
      <c r="L17" s="88">
        <f t="shared" ref="L17:M19" si="15">5.4029*I17</f>
        <v>2.4475137</v>
      </c>
      <c r="M17" s="88">
        <f t="shared" si="15"/>
        <v>2.3988876000000001</v>
      </c>
      <c r="N17" s="88">
        <f t="shared" si="12"/>
        <v>2.4349069333333335</v>
      </c>
      <c r="O17" s="88">
        <f t="shared" si="10"/>
        <v>0.24349069333333334</v>
      </c>
      <c r="P17" s="88">
        <f t="shared" si="4"/>
        <v>1.7392192380952382E-2</v>
      </c>
      <c r="Q17" s="88">
        <f t="shared" si="5"/>
        <v>1.7392192380952382E-2</v>
      </c>
      <c r="R17" s="88">
        <f t="shared" si="6"/>
        <v>1.0783159276190477</v>
      </c>
      <c r="S17" s="139"/>
      <c r="T17" s="62"/>
      <c r="U17" s="84"/>
      <c r="Z17" s="88"/>
      <c r="AA17" s="88"/>
    </row>
    <row r="18" spans="2:27" x14ac:dyDescent="0.15">
      <c r="B18" s="194"/>
      <c r="C18" s="197"/>
      <c r="D18" s="251"/>
      <c r="E18" s="235"/>
      <c r="F18" s="85" t="s">
        <v>95</v>
      </c>
      <c r="G18" s="237"/>
      <c r="H18" s="86">
        <f>0.53-G17</f>
        <v>0.45600000000000002</v>
      </c>
      <c r="I18" s="88">
        <f>0.533-G17</f>
        <v>0.45900000000000002</v>
      </c>
      <c r="J18" s="88">
        <f>0.543-G17</f>
        <v>0.46900000000000003</v>
      </c>
      <c r="K18" s="88">
        <f t="shared" ref="K18:K19" si="16">5.4029*H18</f>
        <v>2.4637224</v>
      </c>
      <c r="L18" s="88">
        <f t="shared" si="15"/>
        <v>2.4799310999999999</v>
      </c>
      <c r="M18" s="88">
        <f t="shared" si="15"/>
        <v>2.5339601000000003</v>
      </c>
      <c r="N18" s="88">
        <f t="shared" si="12"/>
        <v>2.4925378666666664</v>
      </c>
      <c r="O18" s="88">
        <f t="shared" si="10"/>
        <v>0.24925378666666664</v>
      </c>
      <c r="P18" s="88">
        <f t="shared" si="4"/>
        <v>1.7803841904761902E-2</v>
      </c>
      <c r="Q18" s="88">
        <f t="shared" si="5"/>
        <v>1.7803841904761902E-2</v>
      </c>
      <c r="R18" s="88">
        <f t="shared" si="6"/>
        <v>1.1038381980952379</v>
      </c>
      <c r="S18" s="139"/>
      <c r="T18" s="62"/>
      <c r="U18" s="84"/>
      <c r="Z18" s="88"/>
      <c r="AA18" s="88"/>
    </row>
    <row r="19" spans="2:27" x14ac:dyDescent="0.15">
      <c r="B19" s="194"/>
      <c r="C19" s="197"/>
      <c r="D19" s="251"/>
      <c r="E19" s="235"/>
      <c r="F19" s="85" t="s">
        <v>96</v>
      </c>
      <c r="G19" s="237"/>
      <c r="H19" s="86">
        <f>0.502-G17</f>
        <v>0.42799999999999999</v>
      </c>
      <c r="I19" s="88">
        <f>0.522-G17</f>
        <v>0.44800000000000001</v>
      </c>
      <c r="J19" s="88">
        <f>0.531-G17</f>
        <v>0.45700000000000002</v>
      </c>
      <c r="K19" s="88">
        <f t="shared" si="16"/>
        <v>2.3124411999999999</v>
      </c>
      <c r="L19" s="88">
        <f t="shared" si="15"/>
        <v>2.4204992000000001</v>
      </c>
      <c r="M19" s="88">
        <f t="shared" si="15"/>
        <v>2.4691253</v>
      </c>
      <c r="N19" s="88">
        <f t="shared" si="12"/>
        <v>2.4006885666666666</v>
      </c>
      <c r="O19" s="88">
        <f t="shared" si="10"/>
        <v>0.24006885666666666</v>
      </c>
      <c r="P19" s="88">
        <f t="shared" si="4"/>
        <v>1.7147775476190476E-2</v>
      </c>
      <c r="Q19" s="88">
        <f t="shared" si="5"/>
        <v>1.7147775476190476E-2</v>
      </c>
      <c r="R19" s="88">
        <f t="shared" si="6"/>
        <v>1.0631620795238095</v>
      </c>
      <c r="S19" s="141">
        <f>AVERAGE(R17:R19)</f>
        <v>1.0817720684126984</v>
      </c>
      <c r="T19" s="88">
        <f>STDEV(R17:R19)</f>
        <v>2.0557123762783E-2</v>
      </c>
      <c r="U19" s="87">
        <f>T19/SQRT(3)</f>
        <v>1.1868660938207218E-2</v>
      </c>
      <c r="Z19" s="88"/>
      <c r="AA19" s="88"/>
    </row>
    <row r="20" spans="2:27" x14ac:dyDescent="0.15">
      <c r="B20" s="193" t="s">
        <v>38</v>
      </c>
      <c r="C20" s="196">
        <v>0.55902777777777779</v>
      </c>
      <c r="D20" s="250">
        <f>D17+48</f>
        <v>239.35</v>
      </c>
      <c r="E20" s="248">
        <v>11</v>
      </c>
      <c r="F20" s="138" t="s">
        <v>94</v>
      </c>
      <c r="G20" s="239">
        <v>6.533333333333334E-2</v>
      </c>
      <c r="H20" s="106">
        <f>0.692-G20</f>
        <v>0.62666666666666659</v>
      </c>
      <c r="I20" s="110">
        <f>0.646-G20</f>
        <v>0.58066666666666666</v>
      </c>
      <c r="J20" s="110">
        <f>0.702-G20</f>
        <v>0.6366666666666666</v>
      </c>
      <c r="K20" s="110">
        <f>3.3959*H20</f>
        <v>2.1280973333333333</v>
      </c>
      <c r="L20" s="110">
        <f t="shared" ref="L20:M22" si="17">3.3959*I20</f>
        <v>1.9718859333333334</v>
      </c>
      <c r="M20" s="110">
        <f t="shared" si="17"/>
        <v>2.1620563333333331</v>
      </c>
      <c r="N20" s="110">
        <f t="shared" ref="N20:N31" si="18">AVERAGE(K20:M20)</f>
        <v>2.0873465333333332</v>
      </c>
      <c r="O20" s="110">
        <f>N20/10</f>
        <v>0.20873465333333333</v>
      </c>
      <c r="P20" s="110">
        <f t="shared" si="4"/>
        <v>1.4909618095238095E-2</v>
      </c>
      <c r="Q20" s="110">
        <f t="shared" si="5"/>
        <v>1.4909618095238095E-2</v>
      </c>
      <c r="R20" s="110">
        <f t="shared" si="6"/>
        <v>0.92439632190476184</v>
      </c>
      <c r="S20" s="142"/>
      <c r="T20" s="110"/>
      <c r="U20" s="107"/>
      <c r="Z20" s="88"/>
      <c r="AA20" s="88"/>
    </row>
    <row r="21" spans="2:27" x14ac:dyDescent="0.15">
      <c r="B21" s="194"/>
      <c r="C21" s="197"/>
      <c r="D21" s="251"/>
      <c r="E21" s="235"/>
      <c r="F21" s="85" t="s">
        <v>95</v>
      </c>
      <c r="G21" s="237"/>
      <c r="H21" s="86">
        <f>0.622-G20</f>
        <v>0.55666666666666664</v>
      </c>
      <c r="I21" s="88">
        <f>0.662-G20</f>
        <v>0.59666666666666668</v>
      </c>
      <c r="J21" s="88">
        <f>0.652-G20</f>
        <v>0.58666666666666667</v>
      </c>
      <c r="K21" s="88">
        <f t="shared" ref="K21:K22" si="19">3.3959*H21</f>
        <v>1.8903843333333332</v>
      </c>
      <c r="L21" s="88">
        <f t="shared" si="17"/>
        <v>2.0262203333333333</v>
      </c>
      <c r="M21" s="88">
        <f t="shared" si="17"/>
        <v>1.9922613333333334</v>
      </c>
      <c r="N21" s="88">
        <f t="shared" si="18"/>
        <v>1.969622</v>
      </c>
      <c r="O21" s="88">
        <f>N21/10</f>
        <v>0.1969622</v>
      </c>
      <c r="P21" s="88">
        <f t="shared" si="4"/>
        <v>1.4068728571428572E-2</v>
      </c>
      <c r="Q21" s="88">
        <f t="shared" si="5"/>
        <v>1.4068728571428572E-2</v>
      </c>
      <c r="R21" s="88">
        <f t="shared" si="6"/>
        <v>0.87226117142857151</v>
      </c>
      <c r="S21" s="141"/>
      <c r="T21" s="88"/>
      <c r="U21" s="87"/>
      <c r="Z21" s="88"/>
      <c r="AA21" s="88"/>
    </row>
    <row r="22" spans="2:27" x14ac:dyDescent="0.15">
      <c r="B22" s="208"/>
      <c r="C22" s="209"/>
      <c r="D22" s="252"/>
      <c r="E22" s="249"/>
      <c r="F22" s="95" t="s">
        <v>96</v>
      </c>
      <c r="G22" s="240"/>
      <c r="H22" s="96">
        <f>0.702-G20</f>
        <v>0.6366666666666666</v>
      </c>
      <c r="I22" s="98">
        <f>0.698-G20</f>
        <v>0.6326666666666666</v>
      </c>
      <c r="J22" s="98">
        <f>0.665-G20</f>
        <v>0.59966666666666668</v>
      </c>
      <c r="K22" s="98">
        <f t="shared" si="19"/>
        <v>2.1620563333333331</v>
      </c>
      <c r="L22" s="98">
        <f t="shared" si="17"/>
        <v>2.1484727333333331</v>
      </c>
      <c r="M22" s="98">
        <f t="shared" si="17"/>
        <v>2.0364080333333336</v>
      </c>
      <c r="N22" s="98">
        <f t="shared" si="18"/>
        <v>2.1156457</v>
      </c>
      <c r="O22" s="98">
        <f>N22/10</f>
        <v>0.21156457000000001</v>
      </c>
      <c r="P22" s="98">
        <f t="shared" si="4"/>
        <v>1.5111755000000001E-2</v>
      </c>
      <c r="Q22" s="98">
        <f t="shared" si="5"/>
        <v>1.5111755000000001E-2</v>
      </c>
      <c r="R22" s="98">
        <f t="shared" si="6"/>
        <v>0.93692881000000006</v>
      </c>
      <c r="S22" s="143">
        <f>AVERAGE(R20:R22)</f>
        <v>0.91119543444444451</v>
      </c>
      <c r="T22" s="98">
        <f>STDEV(R20:R22)</f>
        <v>3.4295385140076816E-2</v>
      </c>
      <c r="U22" s="97">
        <f>T22/SQRT(3)</f>
        <v>1.9800449842585242E-2</v>
      </c>
      <c r="Z22" s="88"/>
      <c r="AA22" s="88"/>
    </row>
    <row r="23" spans="2:27" x14ac:dyDescent="0.15">
      <c r="B23" s="194" t="s">
        <v>32</v>
      </c>
      <c r="C23" s="197">
        <v>0.55902777777777779</v>
      </c>
      <c r="D23" s="251">
        <v>312.08333333333331</v>
      </c>
      <c r="E23" s="235">
        <v>14</v>
      </c>
      <c r="F23" s="85" t="s">
        <v>94</v>
      </c>
      <c r="G23" s="237">
        <f>(0.073+0.077+0.072)/3</f>
        <v>7.3999999999999996E-2</v>
      </c>
      <c r="H23" s="86">
        <f>0.402-G23</f>
        <v>0.32800000000000001</v>
      </c>
      <c r="I23" s="88">
        <f>0.402-G23</f>
        <v>0.32800000000000001</v>
      </c>
      <c r="J23" s="88">
        <f>0.455-G23</f>
        <v>0.38100000000000001</v>
      </c>
      <c r="K23" s="88">
        <f>5.388*H23</f>
        <v>1.7672639999999999</v>
      </c>
      <c r="L23" s="88">
        <f t="shared" ref="L23:M25" si="20">5.388*I23</f>
        <v>1.7672639999999999</v>
      </c>
      <c r="M23" s="88">
        <f t="shared" si="20"/>
        <v>2.0528279999999999</v>
      </c>
      <c r="N23" s="88">
        <f t="shared" si="18"/>
        <v>1.862452</v>
      </c>
      <c r="O23" s="88">
        <f t="shared" ref="O23:O25" si="21">N23/10</f>
        <v>0.1862452</v>
      </c>
      <c r="P23" s="88">
        <f t="shared" si="4"/>
        <v>1.3303228571428571E-2</v>
      </c>
      <c r="Q23" s="88">
        <f t="shared" si="5"/>
        <v>1.3303228571428571E-2</v>
      </c>
      <c r="R23" s="88">
        <f t="shared" si="6"/>
        <v>0.82480017142857143</v>
      </c>
      <c r="S23" s="141"/>
      <c r="T23" s="88"/>
      <c r="U23" s="87"/>
      <c r="Z23" s="88"/>
      <c r="AA23" s="88"/>
    </row>
    <row r="24" spans="2:27" x14ac:dyDescent="0.15">
      <c r="B24" s="194"/>
      <c r="C24" s="197"/>
      <c r="D24" s="251"/>
      <c r="E24" s="235"/>
      <c r="F24" s="85" t="s">
        <v>95</v>
      </c>
      <c r="G24" s="237"/>
      <c r="H24" s="86">
        <f>0.563-G23</f>
        <v>0.48899999999999993</v>
      </c>
      <c r="I24" s="88">
        <f>0.557-G23</f>
        <v>0.48300000000000004</v>
      </c>
      <c r="J24" s="88">
        <f>0.554-G23</f>
        <v>0.48000000000000004</v>
      </c>
      <c r="K24" s="88">
        <f t="shared" ref="K24:K25" si="22">5.388*H24</f>
        <v>2.6347319999999996</v>
      </c>
      <c r="L24" s="88">
        <f t="shared" si="20"/>
        <v>2.6024040000000004</v>
      </c>
      <c r="M24" s="88">
        <f t="shared" si="20"/>
        <v>2.5862400000000001</v>
      </c>
      <c r="N24" s="88">
        <f t="shared" si="18"/>
        <v>2.6077919999999999</v>
      </c>
      <c r="O24" s="88">
        <f t="shared" si="21"/>
        <v>0.26077919999999999</v>
      </c>
      <c r="P24" s="88">
        <f t="shared" si="4"/>
        <v>1.8627085714285712E-2</v>
      </c>
      <c r="Q24" s="88">
        <f t="shared" si="5"/>
        <v>1.8627085714285712E-2</v>
      </c>
      <c r="R24" s="88">
        <f t="shared" si="6"/>
        <v>1.1548793142857141</v>
      </c>
      <c r="S24" s="141"/>
      <c r="T24" s="88"/>
      <c r="U24" s="87"/>
      <c r="W24" s="62"/>
      <c r="X24" s="88"/>
      <c r="Y24" s="88"/>
      <c r="Z24" s="88"/>
      <c r="AA24" s="88"/>
    </row>
    <row r="25" spans="2:27" x14ac:dyDescent="0.15">
      <c r="B25" s="194"/>
      <c r="C25" s="197"/>
      <c r="D25" s="251"/>
      <c r="E25" s="235"/>
      <c r="F25" s="85" t="s">
        <v>96</v>
      </c>
      <c r="G25" s="237"/>
      <c r="H25" s="86">
        <f>0.375-G23</f>
        <v>0.30099999999999999</v>
      </c>
      <c r="I25" s="88">
        <f>0.355-G23</f>
        <v>0.28099999999999997</v>
      </c>
      <c r="J25" s="88">
        <f>0.32-G23</f>
        <v>0.246</v>
      </c>
      <c r="K25" s="88">
        <f t="shared" si="22"/>
        <v>1.621788</v>
      </c>
      <c r="L25" s="88">
        <f t="shared" si="20"/>
        <v>1.5140279999999999</v>
      </c>
      <c r="M25" s="88">
        <f t="shared" si="20"/>
        <v>1.325448</v>
      </c>
      <c r="N25" s="88">
        <f t="shared" si="18"/>
        <v>1.487088</v>
      </c>
      <c r="O25" s="88">
        <f t="shared" si="21"/>
        <v>0.1487088</v>
      </c>
      <c r="P25" s="88">
        <f t="shared" si="4"/>
        <v>1.0622057142857144E-2</v>
      </c>
      <c r="Q25" s="88">
        <f t="shared" si="5"/>
        <v>1.0622057142857144E-2</v>
      </c>
      <c r="R25" s="88">
        <f t="shared" si="6"/>
        <v>0.65856754285714292</v>
      </c>
      <c r="S25" s="141">
        <f>AVERAGE(R23:R25)</f>
        <v>0.87941567619047623</v>
      </c>
      <c r="T25" s="88">
        <f>STDEV(R23:R25)</f>
        <v>0.25262320486237916</v>
      </c>
      <c r="U25" s="87">
        <f>T25/SQRT(3)</f>
        <v>0.1458520753308406</v>
      </c>
    </row>
    <row r="26" spans="2:27" x14ac:dyDescent="0.15">
      <c r="B26" s="256" t="s">
        <v>36</v>
      </c>
      <c r="C26" s="196">
        <v>0.55902777777777779</v>
      </c>
      <c r="D26" s="250">
        <v>384.08333333333331</v>
      </c>
      <c r="E26" s="248">
        <v>17</v>
      </c>
      <c r="F26" s="138" t="s">
        <v>94</v>
      </c>
      <c r="G26" s="239">
        <v>7.2333333333333319E-2</v>
      </c>
      <c r="H26" s="106">
        <f>0.853-G26</f>
        <v>0.78066666666666662</v>
      </c>
      <c r="I26" s="110">
        <f>0.854-G26</f>
        <v>0.78166666666666662</v>
      </c>
      <c r="J26" s="110">
        <f>0.846-G26</f>
        <v>0.77366666666666661</v>
      </c>
      <c r="K26" s="110">
        <f>3.9395*H26</f>
        <v>3.0754363333333328</v>
      </c>
      <c r="L26" s="110">
        <f t="shared" ref="L26:M28" si="23">3.9395*I26</f>
        <v>3.0793758333333332</v>
      </c>
      <c r="M26" s="110">
        <f t="shared" si="23"/>
        <v>3.0478598333333329</v>
      </c>
      <c r="N26" s="110">
        <f t="shared" si="18"/>
        <v>3.0675573333333332</v>
      </c>
      <c r="O26" s="110">
        <f>N26/25</f>
        <v>0.12270229333333332</v>
      </c>
      <c r="P26" s="110">
        <f t="shared" si="4"/>
        <v>8.7644495238095223E-3</v>
      </c>
      <c r="Q26" s="110">
        <f t="shared" si="5"/>
        <v>8.7644495238095223E-3</v>
      </c>
      <c r="R26" s="110">
        <f t="shared" si="6"/>
        <v>0.54339587047619042</v>
      </c>
      <c r="S26" s="144"/>
      <c r="T26" s="117"/>
      <c r="U26" s="105"/>
    </row>
    <row r="27" spans="2:27" x14ac:dyDescent="0.15">
      <c r="B27" s="257"/>
      <c r="C27" s="197"/>
      <c r="D27" s="251"/>
      <c r="E27" s="235"/>
      <c r="F27" s="85" t="s">
        <v>95</v>
      </c>
      <c r="G27" s="237"/>
      <c r="H27" s="86">
        <f>0.892-G26</f>
        <v>0.81966666666666665</v>
      </c>
      <c r="I27" s="88">
        <f>0.832-G26</f>
        <v>0.7596666666666666</v>
      </c>
      <c r="J27" s="88">
        <f>0.837-G26</f>
        <v>0.76466666666666661</v>
      </c>
      <c r="K27" s="88">
        <f t="shared" ref="K27:K28" si="24">3.9395*H27</f>
        <v>3.2290768333333331</v>
      </c>
      <c r="L27" s="88">
        <f t="shared" si="23"/>
        <v>2.9927068333333331</v>
      </c>
      <c r="M27" s="88">
        <f t="shared" si="23"/>
        <v>3.012404333333333</v>
      </c>
      <c r="N27" s="88">
        <f t="shared" si="18"/>
        <v>3.0780626666666664</v>
      </c>
      <c r="O27" s="88">
        <f>N27/25</f>
        <v>0.12312250666666666</v>
      </c>
      <c r="P27" s="88">
        <f t="shared" si="4"/>
        <v>8.7944647619047616E-3</v>
      </c>
      <c r="Q27" s="88">
        <f t="shared" si="5"/>
        <v>8.7944647619047616E-3</v>
      </c>
      <c r="R27" s="88">
        <f t="shared" si="6"/>
        <v>0.54525681523809522</v>
      </c>
      <c r="S27" s="139"/>
      <c r="T27" s="62"/>
      <c r="U27" s="84"/>
    </row>
    <row r="28" spans="2:27" x14ac:dyDescent="0.15">
      <c r="B28" s="258"/>
      <c r="C28" s="209"/>
      <c r="D28" s="252"/>
      <c r="E28" s="249"/>
      <c r="F28" s="95" t="s">
        <v>96</v>
      </c>
      <c r="G28" s="240"/>
      <c r="H28" s="96">
        <f>0.799-G26</f>
        <v>0.72666666666666668</v>
      </c>
      <c r="I28" s="98">
        <f>0.849-G26</f>
        <v>0.77666666666666662</v>
      </c>
      <c r="J28" s="98">
        <f>0.867-G26</f>
        <v>0.79466666666666663</v>
      </c>
      <c r="K28" s="98">
        <f t="shared" si="24"/>
        <v>2.8627033333333332</v>
      </c>
      <c r="L28" s="98">
        <f t="shared" si="23"/>
        <v>3.0596783333333328</v>
      </c>
      <c r="M28" s="98">
        <f t="shared" si="23"/>
        <v>3.130589333333333</v>
      </c>
      <c r="N28" s="98">
        <f t="shared" si="18"/>
        <v>3.0176569999999998</v>
      </c>
      <c r="O28" s="98">
        <f>N28/25</f>
        <v>0.12070628</v>
      </c>
      <c r="P28" s="98">
        <f t="shared" si="4"/>
        <v>8.6218771428571428E-3</v>
      </c>
      <c r="Q28" s="98">
        <f t="shared" si="5"/>
        <v>8.6218771428571428E-3</v>
      </c>
      <c r="R28" s="98">
        <f t="shared" si="6"/>
        <v>0.53455638285714291</v>
      </c>
      <c r="S28" s="143">
        <f>AVERAGE(R26:R27)</f>
        <v>0.54432634285714276</v>
      </c>
      <c r="T28" s="98">
        <f>STDEV(R26:R27)</f>
        <v>1.3158866605564637E-3</v>
      </c>
      <c r="U28" s="97">
        <f>T28/SQRT(3)</f>
        <v>7.5972751769531205E-4</v>
      </c>
    </row>
    <row r="29" spans="2:27" x14ac:dyDescent="0.15">
      <c r="B29" s="194" t="s">
        <v>33</v>
      </c>
      <c r="C29" s="197">
        <v>0.56666666666666665</v>
      </c>
      <c r="D29" s="251">
        <v>432.25</v>
      </c>
      <c r="E29" s="235">
        <v>19</v>
      </c>
      <c r="F29" s="85" t="s">
        <v>94</v>
      </c>
      <c r="G29" s="237">
        <f>(0.07+0.074+0.071)/3</f>
        <v>7.166666666666667E-2</v>
      </c>
      <c r="H29" s="86">
        <f>0.379-G29</f>
        <v>0.30733333333333335</v>
      </c>
      <c r="I29" s="88">
        <f>0.404-G29</f>
        <v>0.33233333333333337</v>
      </c>
      <c r="J29" s="88">
        <f>0.391-G29</f>
        <v>0.31933333333333336</v>
      </c>
      <c r="K29" s="88">
        <f>5.1849*H29</f>
        <v>1.5934926</v>
      </c>
      <c r="L29" s="88">
        <f t="shared" ref="L29:M31" si="25">5.1849*I29</f>
        <v>1.7231151000000002</v>
      </c>
      <c r="M29" s="88">
        <f t="shared" si="25"/>
        <v>1.6557114000000002</v>
      </c>
      <c r="N29" s="88">
        <f t="shared" si="18"/>
        <v>1.6574397000000003</v>
      </c>
      <c r="O29" s="88">
        <f>N29/15</f>
        <v>0.11049598000000002</v>
      </c>
      <c r="P29" s="88">
        <f t="shared" si="4"/>
        <v>7.8925700000000015E-3</v>
      </c>
      <c r="Q29" s="88">
        <f t="shared" si="5"/>
        <v>7.8925700000000015E-3</v>
      </c>
      <c r="R29" s="88">
        <f t="shared" si="6"/>
        <v>0.48933934000000012</v>
      </c>
      <c r="S29" s="139"/>
      <c r="T29" s="62"/>
      <c r="U29" s="84"/>
    </row>
    <row r="30" spans="2:27" x14ac:dyDescent="0.15">
      <c r="B30" s="194"/>
      <c r="C30" s="197"/>
      <c r="D30" s="251"/>
      <c r="E30" s="235"/>
      <c r="F30" s="85" t="s">
        <v>95</v>
      </c>
      <c r="G30" s="237"/>
      <c r="H30" s="86">
        <f>0.398-G29</f>
        <v>0.32633333333333336</v>
      </c>
      <c r="I30" s="88">
        <f>0.404-G29</f>
        <v>0.33233333333333337</v>
      </c>
      <c r="J30" s="88">
        <f>0.423-G29</f>
        <v>0.35133333333333333</v>
      </c>
      <c r="K30" s="88">
        <f t="shared" ref="K30:K31" si="26">5.1849*H30</f>
        <v>1.6920057000000002</v>
      </c>
      <c r="L30" s="88">
        <f t="shared" si="25"/>
        <v>1.7231151000000002</v>
      </c>
      <c r="M30" s="88">
        <f t="shared" si="25"/>
        <v>1.8216281999999999</v>
      </c>
      <c r="N30" s="88">
        <f t="shared" si="18"/>
        <v>1.7455830000000001</v>
      </c>
      <c r="O30" s="88">
        <f>N30/15</f>
        <v>0.11637220000000001</v>
      </c>
      <c r="P30" s="88">
        <f t="shared" si="4"/>
        <v>8.3122999999999999E-3</v>
      </c>
      <c r="Q30" s="88">
        <f t="shared" si="5"/>
        <v>8.3122999999999999E-3</v>
      </c>
      <c r="R30" s="88">
        <f t="shared" si="6"/>
        <v>0.5153626</v>
      </c>
      <c r="S30" s="139"/>
      <c r="T30" s="62"/>
      <c r="U30" s="84"/>
    </row>
    <row r="31" spans="2:27" ht="14" thickBot="1" x14ac:dyDescent="0.2">
      <c r="B31" s="195"/>
      <c r="C31" s="198"/>
      <c r="D31" s="255"/>
      <c r="E31" s="236"/>
      <c r="F31" s="85" t="s">
        <v>96</v>
      </c>
      <c r="G31" s="238"/>
      <c r="H31" s="86">
        <f>0.319-G29</f>
        <v>0.24733333333333335</v>
      </c>
      <c r="I31" s="88">
        <f>0.313-G29</f>
        <v>0.24133333333333334</v>
      </c>
      <c r="J31" s="88">
        <f>0.328-G29</f>
        <v>0.25633333333333336</v>
      </c>
      <c r="K31" s="88">
        <f t="shared" si="26"/>
        <v>1.2823986000000001</v>
      </c>
      <c r="L31" s="88">
        <f t="shared" si="25"/>
        <v>1.2512892</v>
      </c>
      <c r="M31" s="88">
        <f t="shared" si="25"/>
        <v>1.3290627000000002</v>
      </c>
      <c r="N31" s="88">
        <f t="shared" si="18"/>
        <v>1.2875835</v>
      </c>
      <c r="O31" s="88">
        <f>N31/15</f>
        <v>8.5838899999999996E-2</v>
      </c>
      <c r="P31" s="120">
        <f t="shared" si="4"/>
        <v>6.1313499999999998E-3</v>
      </c>
      <c r="Q31" s="120">
        <f t="shared" si="5"/>
        <v>6.1313499999999998E-3</v>
      </c>
      <c r="R31" s="120">
        <f t="shared" si="6"/>
        <v>0.38014369999999997</v>
      </c>
      <c r="S31" s="145">
        <f>AVERAGE(R29:R31)</f>
        <v>0.46161521333333333</v>
      </c>
      <c r="T31" s="120">
        <f>STDEV(R29:R31)</f>
        <v>7.1746136682574069E-2</v>
      </c>
      <c r="U31" s="119">
        <f>T31/SQRT(3)</f>
        <v>4.1422651326999828E-2</v>
      </c>
    </row>
    <row r="32" spans="2:27" ht="17" thickBot="1" x14ac:dyDescent="0.2">
      <c r="B32" s="244" t="s">
        <v>73</v>
      </c>
      <c r="C32" s="245"/>
      <c r="D32" s="245"/>
      <c r="E32" s="245"/>
      <c r="F32" s="245"/>
      <c r="G32" s="245"/>
      <c r="H32" s="245"/>
      <c r="I32" s="245"/>
      <c r="J32" s="245"/>
      <c r="K32" s="245"/>
      <c r="L32" s="245"/>
      <c r="M32" s="245"/>
      <c r="N32" s="245"/>
      <c r="O32" s="245"/>
      <c r="P32" s="245"/>
      <c r="Q32" s="245"/>
      <c r="R32" s="245"/>
      <c r="S32" s="245"/>
      <c r="T32" s="245"/>
      <c r="U32" s="246"/>
      <c r="W32" s="247" t="s">
        <v>106</v>
      </c>
      <c r="X32" s="247"/>
      <c r="Y32" s="247"/>
    </row>
    <row r="33" spans="2:29" ht="30" x14ac:dyDescent="0.15">
      <c r="B33" s="129" t="s">
        <v>0</v>
      </c>
      <c r="C33" s="72" t="s">
        <v>1</v>
      </c>
      <c r="D33" s="72" t="s">
        <v>2</v>
      </c>
      <c r="E33" s="130" t="s">
        <v>20</v>
      </c>
      <c r="F33" s="131"/>
      <c r="G33" s="131" t="s">
        <v>21</v>
      </c>
      <c r="H33" s="232" t="s">
        <v>22</v>
      </c>
      <c r="I33" s="233"/>
      <c r="J33" s="233"/>
      <c r="K33" s="234" t="s">
        <v>104</v>
      </c>
      <c r="L33" s="234"/>
      <c r="M33" s="234"/>
      <c r="N33" s="72" t="s">
        <v>23</v>
      </c>
      <c r="O33" s="72" t="s">
        <v>24</v>
      </c>
      <c r="P33" s="72" t="s">
        <v>24</v>
      </c>
      <c r="Q33" s="72" t="s">
        <v>102</v>
      </c>
      <c r="R33" s="130" t="s">
        <v>102</v>
      </c>
      <c r="S33" s="72" t="s">
        <v>103</v>
      </c>
      <c r="T33" s="72" t="s">
        <v>84</v>
      </c>
      <c r="U33" s="132" t="s">
        <v>62</v>
      </c>
      <c r="W33" s="62" t="s">
        <v>2</v>
      </c>
      <c r="X33" s="83" t="str">
        <f>S33</f>
        <v>Average NO3 concentration</v>
      </c>
      <c r="Y33" s="83" t="str">
        <f>U33</f>
        <v>Standard error</v>
      </c>
      <c r="Z33" s="62"/>
      <c r="AA33" s="133"/>
      <c r="AB33" s="133"/>
      <c r="AC33" s="133"/>
    </row>
    <row r="34" spans="2:29" ht="14" x14ac:dyDescent="0.15">
      <c r="B34" s="134"/>
      <c r="C34" s="135"/>
      <c r="D34" s="136"/>
      <c r="E34" s="136"/>
      <c r="F34" s="137"/>
      <c r="G34" s="137"/>
      <c r="H34" s="136"/>
      <c r="I34" s="136"/>
      <c r="J34" s="136"/>
      <c r="K34" s="80"/>
      <c r="L34" s="80"/>
      <c r="M34" s="80"/>
      <c r="N34" s="80" t="s">
        <v>25</v>
      </c>
      <c r="O34" s="80" t="s">
        <v>18</v>
      </c>
      <c r="P34" s="80" t="s">
        <v>26</v>
      </c>
      <c r="Q34" s="80" t="s">
        <v>26</v>
      </c>
      <c r="R34" s="76" t="s">
        <v>18</v>
      </c>
      <c r="S34" s="80" t="s">
        <v>18</v>
      </c>
      <c r="T34" s="80"/>
      <c r="U34" s="82"/>
      <c r="W34" s="62">
        <v>0</v>
      </c>
      <c r="X34" s="88">
        <f>S37</f>
        <v>3.2142841866666663</v>
      </c>
      <c r="Y34" s="88">
        <f>U37</f>
        <v>1.3213912380952484E-2</v>
      </c>
      <c r="Z34" s="88"/>
      <c r="AA34" s="133"/>
      <c r="AB34" s="133"/>
      <c r="AC34" s="133"/>
    </row>
    <row r="35" spans="2:29" x14ac:dyDescent="0.15">
      <c r="B35" s="194" t="s">
        <v>8</v>
      </c>
      <c r="C35" s="197">
        <v>0.49305555555555558</v>
      </c>
      <c r="D35" s="251">
        <v>0</v>
      </c>
      <c r="E35" s="235">
        <v>1</v>
      </c>
      <c r="F35" s="85" t="s">
        <v>94</v>
      </c>
      <c r="G35" s="237">
        <f>(0.083+0.071)/2</f>
        <v>7.6999999999999999E-2</v>
      </c>
      <c r="H35" s="86">
        <f>0.727-G35</f>
        <v>0.65</v>
      </c>
      <c r="I35" s="88">
        <f>0.733-G35</f>
        <v>0.65600000000000003</v>
      </c>
      <c r="J35" s="88">
        <f>0.725-G35</f>
        <v>0.64800000000000002</v>
      </c>
      <c r="K35" s="88">
        <f>5.5946*H35</f>
        <v>3.6364899999999998</v>
      </c>
      <c r="L35" s="88">
        <f t="shared" ref="L35:M37" si="27">5.5946*I35</f>
        <v>3.6700575999999998</v>
      </c>
      <c r="M35" s="88">
        <f t="shared" si="27"/>
        <v>3.6253007999999998</v>
      </c>
      <c r="N35" s="88">
        <f>AVERAGE(K35:M35)</f>
        <v>3.6439494666666667</v>
      </c>
      <c r="O35" s="88">
        <f>N35/5</f>
        <v>0.72878989333333333</v>
      </c>
      <c r="P35" s="88">
        <f>O35/14</f>
        <v>5.2056420952380951E-2</v>
      </c>
      <c r="Q35" s="88">
        <f>P35</f>
        <v>5.2056420952380951E-2</v>
      </c>
      <c r="R35" s="88">
        <f>Q35*62</f>
        <v>3.2274980990476188</v>
      </c>
      <c r="S35" s="139"/>
      <c r="T35" s="62"/>
      <c r="U35" s="84"/>
      <c r="W35" s="62">
        <f>D38</f>
        <v>48.55</v>
      </c>
      <c r="X35" s="88">
        <f>S40</f>
        <v>3.1981458819047619</v>
      </c>
      <c r="Y35" s="88">
        <f>U40</f>
        <v>8.3073441502120773E-2</v>
      </c>
      <c r="Z35" s="88"/>
      <c r="AA35" s="140"/>
      <c r="AB35" s="140"/>
      <c r="AC35" s="140"/>
    </row>
    <row r="36" spans="2:29" x14ac:dyDescent="0.15">
      <c r="B36" s="194"/>
      <c r="C36" s="197"/>
      <c r="D36" s="251"/>
      <c r="E36" s="235"/>
      <c r="F36" s="85" t="s">
        <v>95</v>
      </c>
      <c r="G36" s="237"/>
      <c r="H36" s="86">
        <f>0.713-G35</f>
        <v>0.63600000000000001</v>
      </c>
      <c r="I36" s="88">
        <f>0.731-G35</f>
        <v>0.65400000000000003</v>
      </c>
      <c r="J36" s="88">
        <f>0.725-G35</f>
        <v>0.64800000000000002</v>
      </c>
      <c r="K36" s="88">
        <f t="shared" ref="K36:K37" si="28">5.5946*H36</f>
        <v>3.5581655999999997</v>
      </c>
      <c r="L36" s="88">
        <f t="shared" si="27"/>
        <v>3.6588683999999998</v>
      </c>
      <c r="M36" s="88">
        <f t="shared" si="27"/>
        <v>3.6253007999999998</v>
      </c>
      <c r="N36" s="88">
        <f t="shared" ref="N36:N37" si="29">AVERAGE(K36:M36)</f>
        <v>3.6141115999999998</v>
      </c>
      <c r="O36" s="88">
        <f>N36/5</f>
        <v>0.72282231999999991</v>
      </c>
      <c r="P36" s="88">
        <f t="shared" ref="P36:P61" si="30">O36/14</f>
        <v>5.1630165714285706E-2</v>
      </c>
      <c r="Q36" s="88">
        <f t="shared" ref="Q36:Q61" si="31">P36</f>
        <v>5.1630165714285706E-2</v>
      </c>
      <c r="R36" s="88">
        <f t="shared" ref="R36:R61" si="32">Q36*62</f>
        <v>3.2010702742857138</v>
      </c>
      <c r="S36" s="139"/>
      <c r="T36" s="62"/>
      <c r="U36" s="84"/>
      <c r="W36" s="62">
        <f>D41</f>
        <v>95.816666666666663</v>
      </c>
      <c r="X36" s="88">
        <f>S43</f>
        <v>2.956787046349207</v>
      </c>
      <c r="Y36" s="88">
        <f>U43</f>
        <v>5.9586926363401342E-2</v>
      </c>
      <c r="Z36" s="88"/>
      <c r="AA36" s="140"/>
      <c r="AB36" s="140"/>
      <c r="AC36" s="140"/>
    </row>
    <row r="37" spans="2:29" x14ac:dyDescent="0.15">
      <c r="B37" s="194"/>
      <c r="C37" s="197"/>
      <c r="D37" s="251"/>
      <c r="E37" s="235"/>
      <c r="F37" s="85" t="s">
        <v>96</v>
      </c>
      <c r="G37" s="237"/>
      <c r="H37" s="86">
        <f>0.731-G35</f>
        <v>0.65400000000000003</v>
      </c>
      <c r="I37" s="88">
        <f>0.742-G35</f>
        <v>0.66500000000000004</v>
      </c>
      <c r="J37" s="88">
        <f>0.716-G35</f>
        <v>0.63900000000000001</v>
      </c>
      <c r="K37" s="88">
        <f t="shared" si="28"/>
        <v>3.6588683999999998</v>
      </c>
      <c r="L37" s="88">
        <f t="shared" si="27"/>
        <v>3.7204090000000001</v>
      </c>
      <c r="M37" s="88">
        <f t="shared" si="27"/>
        <v>3.5749493999999999</v>
      </c>
      <c r="N37" s="88">
        <f t="shared" si="29"/>
        <v>3.6514089333333328</v>
      </c>
      <c r="O37" s="88">
        <f>N37/5</f>
        <v>0.73028178666666654</v>
      </c>
      <c r="P37" s="88">
        <f t="shared" si="30"/>
        <v>5.216298476190475E-2</v>
      </c>
      <c r="Q37" s="88">
        <f t="shared" si="31"/>
        <v>5.216298476190475E-2</v>
      </c>
      <c r="R37" s="88">
        <f t="shared" si="32"/>
        <v>3.2341050552380946</v>
      </c>
      <c r="S37" s="141">
        <f>AVERAGE(R35:R36)</f>
        <v>3.2142841866666663</v>
      </c>
      <c r="T37" s="88">
        <f>STDEV(R35:R36)</f>
        <v>1.868729410115276E-2</v>
      </c>
      <c r="U37" s="87">
        <f>T37/SQRT(2)</f>
        <v>1.3213912380952484E-2</v>
      </c>
      <c r="W37" s="62">
        <f>D44</f>
        <v>144.73333333333335</v>
      </c>
      <c r="X37" s="88">
        <f>S46</f>
        <v>2.7324635177777776</v>
      </c>
      <c r="Y37" s="88">
        <f>U46</f>
        <v>2.8918739486681437E-2</v>
      </c>
      <c r="Z37" s="88"/>
      <c r="AA37" s="140"/>
      <c r="AB37" s="140"/>
      <c r="AC37" s="140"/>
    </row>
    <row r="38" spans="2:29" x14ac:dyDescent="0.15">
      <c r="B38" s="193" t="s">
        <v>10</v>
      </c>
      <c r="C38" s="196">
        <v>0.51597222222222217</v>
      </c>
      <c r="D38" s="250">
        <f>11+33/60+13+24+D35</f>
        <v>48.55</v>
      </c>
      <c r="E38" s="248">
        <v>3</v>
      </c>
      <c r="F38" s="138" t="s">
        <v>94</v>
      </c>
      <c r="G38" s="239">
        <f>(0.086+0.084)/2</f>
        <v>8.4999999999999992E-2</v>
      </c>
      <c r="H38" s="106">
        <f>0.697-G38</f>
        <v>0.61199999999999999</v>
      </c>
      <c r="I38" s="110">
        <f>0.69-G38</f>
        <v>0.60499999999999998</v>
      </c>
      <c r="J38" s="110">
        <f>0.694-G38</f>
        <v>0.60899999999999999</v>
      </c>
      <c r="K38" s="110">
        <f>5.7436*H38</f>
        <v>3.5150831999999999</v>
      </c>
      <c r="L38" s="110">
        <f t="shared" ref="L38:M43" si="33">5.7436*I38</f>
        <v>3.4748779999999999</v>
      </c>
      <c r="M38" s="110">
        <f t="shared" si="33"/>
        <v>3.4978523999999998</v>
      </c>
      <c r="N38" s="110">
        <f>AVERAGE(K38:M38)</f>
        <v>3.4959378666666665</v>
      </c>
      <c r="O38" s="110">
        <f>N38/5</f>
        <v>0.69918757333333326</v>
      </c>
      <c r="P38" s="110">
        <f t="shared" si="30"/>
        <v>4.9941969523809519E-2</v>
      </c>
      <c r="Q38" s="110">
        <f t="shared" si="31"/>
        <v>4.9941969523809519E-2</v>
      </c>
      <c r="R38" s="110">
        <f t="shared" si="32"/>
        <v>3.0964021104761903</v>
      </c>
      <c r="S38" s="142"/>
      <c r="T38" s="110"/>
      <c r="U38" s="107"/>
      <c r="W38" s="62">
        <f>D47</f>
        <v>192.3</v>
      </c>
      <c r="X38" s="88">
        <f>S49</f>
        <v>2.5506319057142859</v>
      </c>
      <c r="Y38" s="88">
        <f>U49</f>
        <v>5.9904605090542164E-2</v>
      </c>
      <c r="Z38" s="88"/>
      <c r="AA38" s="140"/>
      <c r="AB38" s="140"/>
      <c r="AC38" s="140"/>
    </row>
    <row r="39" spans="2:29" x14ac:dyDescent="0.15">
      <c r="B39" s="194"/>
      <c r="C39" s="197"/>
      <c r="D39" s="251"/>
      <c r="E39" s="235"/>
      <c r="F39" s="85" t="s">
        <v>95</v>
      </c>
      <c r="G39" s="237"/>
      <c r="H39" s="86">
        <f>0.721-G38</f>
        <v>0.63600000000000001</v>
      </c>
      <c r="I39" s="88">
        <f>0.753-G38</f>
        <v>0.66800000000000004</v>
      </c>
      <c r="J39" s="88">
        <f>0.727-G38</f>
        <v>0.64200000000000002</v>
      </c>
      <c r="K39" s="88">
        <f t="shared" ref="K39:K43" si="34">5.7436*H39</f>
        <v>3.6529295999999998</v>
      </c>
      <c r="L39" s="88">
        <f t="shared" si="33"/>
        <v>3.8367248000000003</v>
      </c>
      <c r="M39" s="88">
        <f t="shared" si="33"/>
        <v>3.6873912</v>
      </c>
      <c r="N39" s="88">
        <f t="shared" ref="N39" si="35">AVERAGE(K39:M39)</f>
        <v>3.7256818666666667</v>
      </c>
      <c r="O39" s="88">
        <f>N39/5</f>
        <v>0.74513637333333338</v>
      </c>
      <c r="P39" s="88">
        <f t="shared" si="30"/>
        <v>5.3224026666666667E-2</v>
      </c>
      <c r="Q39" s="88">
        <f t="shared" si="31"/>
        <v>5.3224026666666667E-2</v>
      </c>
      <c r="R39" s="88">
        <f t="shared" si="32"/>
        <v>3.2998896533333335</v>
      </c>
      <c r="S39" s="141"/>
      <c r="T39" s="88"/>
      <c r="U39" s="87"/>
      <c r="W39" s="62">
        <f>D50</f>
        <v>241.06666666666663</v>
      </c>
      <c r="X39" s="88">
        <f>S52</f>
        <v>2.32475983168254</v>
      </c>
      <c r="Y39" s="88">
        <f>U52</f>
        <v>2.5329690418296077E-2</v>
      </c>
      <c r="Z39" s="88"/>
      <c r="AA39" s="140"/>
      <c r="AB39" s="140"/>
      <c r="AC39" s="140"/>
    </row>
    <row r="40" spans="2:29" x14ac:dyDescent="0.15">
      <c r="B40" s="208"/>
      <c r="C40" s="209"/>
      <c r="D40" s="252"/>
      <c r="E40" s="249"/>
      <c r="F40" s="95" t="s">
        <v>96</v>
      </c>
      <c r="G40" s="240"/>
      <c r="H40" s="96"/>
      <c r="I40" s="98"/>
      <c r="J40" s="98"/>
      <c r="K40" s="98"/>
      <c r="L40" s="98"/>
      <c r="M40" s="98"/>
      <c r="N40" s="98"/>
      <c r="O40" s="98"/>
      <c r="P40" s="98">
        <f t="shared" si="30"/>
        <v>0</v>
      </c>
      <c r="Q40" s="98">
        <f t="shared" si="31"/>
        <v>0</v>
      </c>
      <c r="R40" s="98"/>
      <c r="S40" s="143">
        <f>AVERAGE(R38:R40)</f>
        <v>3.1981458819047619</v>
      </c>
      <c r="T40" s="98">
        <f>STDEV(R38:R40)</f>
        <v>0.14388742144127417</v>
      </c>
      <c r="U40" s="97">
        <f>T40/SQRT(3)</f>
        <v>8.3073441502120773E-2</v>
      </c>
      <c r="W40" s="62">
        <f>D53</f>
        <v>312.84999999999997</v>
      </c>
      <c r="X40" s="88">
        <f>S55</f>
        <v>2.0427789523809525</v>
      </c>
      <c r="Y40" s="88">
        <f>U55</f>
        <v>8.5482182224538447E-2</v>
      </c>
      <c r="Z40" s="88"/>
      <c r="AA40" s="140"/>
      <c r="AB40" s="140"/>
      <c r="AC40" s="140"/>
    </row>
    <row r="41" spans="2:29" x14ac:dyDescent="0.15">
      <c r="B41" s="194" t="s">
        <v>27</v>
      </c>
      <c r="C41" s="197">
        <v>0.48541666666666666</v>
      </c>
      <c r="D41" s="251">
        <f>11+16/60+12+24+D38</f>
        <v>95.816666666666663</v>
      </c>
      <c r="E41" s="235">
        <v>5</v>
      </c>
      <c r="F41" s="85" t="s">
        <v>94</v>
      </c>
      <c r="G41" s="237">
        <f>(0.086+0.084)/2</f>
        <v>8.4999999999999992E-2</v>
      </c>
      <c r="H41" s="86">
        <f>0.64-G41</f>
        <v>0.55500000000000005</v>
      </c>
      <c r="I41" s="88">
        <f>0.649-G41</f>
        <v>0.56400000000000006</v>
      </c>
      <c r="J41" s="88">
        <f>0.653-G41</f>
        <v>0.56800000000000006</v>
      </c>
      <c r="K41" s="88">
        <f t="shared" si="34"/>
        <v>3.1876980000000001</v>
      </c>
      <c r="L41" s="88">
        <f t="shared" si="33"/>
        <v>3.2393904</v>
      </c>
      <c r="M41" s="88">
        <f t="shared" si="33"/>
        <v>3.2623648000000003</v>
      </c>
      <c r="N41" s="88">
        <f>AVERAGE(K41:M41)</f>
        <v>3.2298177333333338</v>
      </c>
      <c r="O41" s="88">
        <f t="shared" ref="O41:O46" si="36">N41/5</f>
        <v>0.64596354666666678</v>
      </c>
      <c r="P41" s="88">
        <f t="shared" si="30"/>
        <v>4.6140253333333339E-2</v>
      </c>
      <c r="Q41" s="88">
        <f t="shared" si="31"/>
        <v>4.6140253333333339E-2</v>
      </c>
      <c r="R41" s="88">
        <f t="shared" si="32"/>
        <v>2.8606957066666672</v>
      </c>
      <c r="S41" s="141"/>
      <c r="T41" s="88"/>
      <c r="U41" s="87"/>
      <c r="W41" s="62">
        <f>D56</f>
        <v>384.84999999999997</v>
      </c>
      <c r="X41" s="88">
        <f>S58</f>
        <v>1.7649897976190472</v>
      </c>
      <c r="Y41" s="88">
        <f>U58</f>
        <v>0.20838911736768098</v>
      </c>
      <c r="Z41" s="88"/>
      <c r="AA41" s="140"/>
      <c r="AB41" s="140"/>
      <c r="AC41" s="140"/>
    </row>
    <row r="42" spans="2:29" ht="15" customHeight="1" x14ac:dyDescent="0.15">
      <c r="B42" s="194"/>
      <c r="C42" s="197"/>
      <c r="D42" s="251"/>
      <c r="E42" s="235"/>
      <c r="F42" s="85" t="s">
        <v>95</v>
      </c>
      <c r="G42" s="237"/>
      <c r="H42" s="86">
        <f>0.656-G41</f>
        <v>0.57100000000000006</v>
      </c>
      <c r="I42" s="88">
        <f>0.665-G41</f>
        <v>0.58000000000000007</v>
      </c>
      <c r="J42" s="88">
        <f>0.67-G41</f>
        <v>0.58500000000000008</v>
      </c>
      <c r="K42" s="88">
        <f t="shared" si="34"/>
        <v>3.2795956000000004</v>
      </c>
      <c r="L42" s="88">
        <f t="shared" si="33"/>
        <v>3.3312880000000002</v>
      </c>
      <c r="M42" s="88">
        <f t="shared" si="33"/>
        <v>3.3600060000000003</v>
      </c>
      <c r="N42" s="88">
        <f t="shared" ref="N42:N49" si="37">AVERAGE(K42:M42)</f>
        <v>3.3236298666666673</v>
      </c>
      <c r="O42" s="88">
        <f t="shared" si="36"/>
        <v>0.6647259733333335</v>
      </c>
      <c r="P42" s="88">
        <f t="shared" si="30"/>
        <v>4.7480426666666679E-2</v>
      </c>
      <c r="Q42" s="88">
        <f t="shared" si="31"/>
        <v>4.7480426666666679E-2</v>
      </c>
      <c r="R42" s="88">
        <f t="shared" si="32"/>
        <v>2.9437864533333342</v>
      </c>
      <c r="S42" s="141"/>
      <c r="T42" s="88"/>
      <c r="U42" s="87"/>
      <c r="W42" s="93">
        <f>D59</f>
        <v>433.01666666666665</v>
      </c>
      <c r="X42" s="88">
        <f>S61</f>
        <v>1.6221165399999997</v>
      </c>
      <c r="Y42" s="88">
        <f>U61</f>
        <v>7.7881122706401809E-2</v>
      </c>
      <c r="Z42" s="88"/>
      <c r="AA42" s="140"/>
      <c r="AB42" s="140"/>
      <c r="AC42" s="140"/>
    </row>
    <row r="43" spans="2:29" ht="15" customHeight="1" x14ac:dyDescent="0.15">
      <c r="B43" s="194"/>
      <c r="C43" s="197"/>
      <c r="D43" s="251"/>
      <c r="E43" s="235"/>
      <c r="F43" s="85" t="s">
        <v>96</v>
      </c>
      <c r="G43" s="237"/>
      <c r="H43" s="86">
        <f>0.685-G41</f>
        <v>0.60000000000000009</v>
      </c>
      <c r="I43" s="88">
        <f>0.689-G41</f>
        <v>0.60399999999999998</v>
      </c>
      <c r="J43" s="88">
        <f>0.689-G41</f>
        <v>0.60399999999999998</v>
      </c>
      <c r="K43" s="88">
        <f t="shared" si="34"/>
        <v>3.4461600000000003</v>
      </c>
      <c r="L43" s="88">
        <f t="shared" si="33"/>
        <v>3.4691343999999997</v>
      </c>
      <c r="M43" s="88">
        <f t="shared" si="33"/>
        <v>3.4691343999999997</v>
      </c>
      <c r="N43" s="88">
        <f t="shared" si="37"/>
        <v>3.4614762666666667</v>
      </c>
      <c r="O43" s="88">
        <f t="shared" si="36"/>
        <v>0.6922952533333333</v>
      </c>
      <c r="P43" s="88">
        <f t="shared" si="30"/>
        <v>4.9449660952380951E-2</v>
      </c>
      <c r="Q43" s="88">
        <f t="shared" si="31"/>
        <v>4.9449660952380951E-2</v>
      </c>
      <c r="R43" s="88">
        <f t="shared" si="32"/>
        <v>3.0658789790476191</v>
      </c>
      <c r="S43" s="141">
        <f>AVERAGE(R41:R43)</f>
        <v>2.956787046349207</v>
      </c>
      <c r="T43" s="88">
        <f>STDEV(R41:R43)</f>
        <v>0.10320758392827652</v>
      </c>
      <c r="U43" s="87">
        <f>T43/SQRT(3)</f>
        <v>5.9586926363401342E-2</v>
      </c>
      <c r="W43" s="93"/>
      <c r="X43" s="88"/>
      <c r="Y43" s="88"/>
      <c r="Z43" s="88"/>
      <c r="AA43" s="140"/>
      <c r="AB43" s="140"/>
      <c r="AC43" s="140"/>
    </row>
    <row r="44" spans="2:29" x14ac:dyDescent="0.15">
      <c r="B44" s="193" t="s">
        <v>29</v>
      </c>
      <c r="C44" s="196">
        <v>0.52361111111111114</v>
      </c>
      <c r="D44" s="250">
        <f>55/60+24+24+D41</f>
        <v>144.73333333333335</v>
      </c>
      <c r="E44" s="248">
        <v>7</v>
      </c>
      <c r="F44" s="138" t="s">
        <v>94</v>
      </c>
      <c r="G44" s="239">
        <f>(0.065+0.073+0.067)/3</f>
        <v>6.8333333333333343E-2</v>
      </c>
      <c r="H44" s="106">
        <f>0.661-G44</f>
        <v>0.59266666666666667</v>
      </c>
      <c r="I44" s="110">
        <f>0.657-G44</f>
        <v>0.58866666666666667</v>
      </c>
      <c r="J44" s="110">
        <f>0.661-G44</f>
        <v>0.59266666666666667</v>
      </c>
      <c r="K44" s="110">
        <f>5.2957*H44</f>
        <v>3.1385848666666667</v>
      </c>
      <c r="L44" s="110">
        <f t="shared" ref="L44:M46" si="38">5.2957*I44</f>
        <v>3.1174020666666666</v>
      </c>
      <c r="M44" s="110">
        <f t="shared" si="38"/>
        <v>3.1385848666666667</v>
      </c>
      <c r="N44" s="110">
        <f t="shared" si="37"/>
        <v>3.1315239333333333</v>
      </c>
      <c r="O44" s="110">
        <f t="shared" si="36"/>
        <v>0.62630478666666667</v>
      </c>
      <c r="P44" s="110">
        <f t="shared" si="30"/>
        <v>4.4736056190476194E-2</v>
      </c>
      <c r="Q44" s="110">
        <f t="shared" si="31"/>
        <v>4.4736056190476194E-2</v>
      </c>
      <c r="R44" s="110">
        <f t="shared" si="32"/>
        <v>2.7736354838095241</v>
      </c>
      <c r="S44" s="144"/>
      <c r="T44" s="117"/>
      <c r="U44" s="105"/>
      <c r="W44" s="140"/>
    </row>
    <row r="45" spans="2:29" x14ac:dyDescent="0.15">
      <c r="B45" s="194"/>
      <c r="C45" s="197"/>
      <c r="D45" s="251"/>
      <c r="E45" s="235"/>
      <c r="F45" s="85" t="s">
        <v>95</v>
      </c>
      <c r="G45" s="237"/>
      <c r="H45" s="86">
        <f>0.641-G44</f>
        <v>0.57266666666666666</v>
      </c>
      <c r="I45" s="88">
        <f>0.666-G44</f>
        <v>0.59766666666666668</v>
      </c>
      <c r="J45" s="88">
        <f>0.655-G44</f>
        <v>0.58666666666666667</v>
      </c>
      <c r="K45" s="88">
        <f t="shared" ref="K45:K46" si="39">5.2957*H45</f>
        <v>3.0326708666666669</v>
      </c>
      <c r="L45" s="88">
        <f t="shared" si="38"/>
        <v>3.1650633666666668</v>
      </c>
      <c r="M45" s="88">
        <f t="shared" si="38"/>
        <v>3.1068106666666666</v>
      </c>
      <c r="N45" s="88">
        <f t="shared" si="37"/>
        <v>3.1015149666666666</v>
      </c>
      <c r="O45" s="88">
        <f t="shared" si="36"/>
        <v>0.62030299333333327</v>
      </c>
      <c r="P45" s="88">
        <f t="shared" si="30"/>
        <v>4.4307356666666665E-2</v>
      </c>
      <c r="Q45" s="88">
        <f t="shared" si="31"/>
        <v>4.4307356666666665E-2</v>
      </c>
      <c r="R45" s="88">
        <f t="shared" si="32"/>
        <v>2.7470561133333331</v>
      </c>
      <c r="S45" s="139"/>
      <c r="T45" s="62"/>
      <c r="U45" s="84"/>
    </row>
    <row r="46" spans="2:29" x14ac:dyDescent="0.15">
      <c r="B46" s="208"/>
      <c r="C46" s="209"/>
      <c r="D46" s="252"/>
      <c r="E46" s="249"/>
      <c r="F46" s="95" t="s">
        <v>96</v>
      </c>
      <c r="G46" s="240"/>
      <c r="H46" s="96">
        <f>0.639-G44</f>
        <v>0.57066666666666666</v>
      </c>
      <c r="I46" s="98">
        <f>0.644-G44</f>
        <v>0.57566666666666666</v>
      </c>
      <c r="J46" s="98">
        <f>0.634-G44</f>
        <v>0.56566666666666665</v>
      </c>
      <c r="K46" s="98">
        <f t="shared" si="39"/>
        <v>3.0220794666666668</v>
      </c>
      <c r="L46" s="98">
        <f t="shared" si="38"/>
        <v>3.0485579666666665</v>
      </c>
      <c r="M46" s="98">
        <f t="shared" si="38"/>
        <v>2.9956009666666668</v>
      </c>
      <c r="N46" s="98">
        <f t="shared" si="37"/>
        <v>3.0220794666666664</v>
      </c>
      <c r="O46" s="98">
        <f t="shared" si="36"/>
        <v>0.60441589333333323</v>
      </c>
      <c r="P46" s="98">
        <f t="shared" si="30"/>
        <v>4.3172563809523799E-2</v>
      </c>
      <c r="Q46" s="98">
        <f t="shared" si="31"/>
        <v>4.3172563809523799E-2</v>
      </c>
      <c r="R46" s="98">
        <f t="shared" si="32"/>
        <v>2.6766989561904757</v>
      </c>
      <c r="S46" s="143">
        <f>AVERAGE(R44:R46)</f>
        <v>2.7324635177777776</v>
      </c>
      <c r="T46" s="98">
        <f>STDEV(R44:R46)</f>
        <v>5.0088726081780562E-2</v>
      </c>
      <c r="U46" s="97">
        <f>T46/SQRT(3)</f>
        <v>2.8918739486681437E-2</v>
      </c>
    </row>
    <row r="47" spans="2:29" x14ac:dyDescent="0.15">
      <c r="B47" s="194" t="s">
        <v>30</v>
      </c>
      <c r="C47" s="197">
        <v>0.50555555555555554</v>
      </c>
      <c r="D47" s="251">
        <f>10+34/60+13+24+D44</f>
        <v>192.3</v>
      </c>
      <c r="E47" s="235">
        <v>9</v>
      </c>
      <c r="F47" s="85" t="s">
        <v>94</v>
      </c>
      <c r="G47" s="237">
        <f>(0.073+0.076+0.073)/3</f>
        <v>7.3999999999999996E-2</v>
      </c>
      <c r="H47" s="86">
        <f>0.576-G47</f>
        <v>0.502</v>
      </c>
      <c r="I47" s="88">
        <f>0.588-G47</f>
        <v>0.51400000000000001</v>
      </c>
      <c r="J47" s="88">
        <f>0.582-G47</f>
        <v>0.50800000000000001</v>
      </c>
      <c r="K47" s="88">
        <f>5.4029*H47</f>
        <v>2.7122557999999999</v>
      </c>
      <c r="L47" s="88">
        <f t="shared" ref="L47:M49" si="40">5.4029*I47</f>
        <v>2.7770906000000002</v>
      </c>
      <c r="M47" s="88">
        <f t="shared" si="40"/>
        <v>2.7446731999999998</v>
      </c>
      <c r="N47" s="88">
        <f t="shared" si="37"/>
        <v>2.7446731999999998</v>
      </c>
      <c r="O47" s="88">
        <f t="shared" ref="O47:O52" si="41">N47/5</f>
        <v>0.54893463999999992</v>
      </c>
      <c r="P47" s="88">
        <f t="shared" si="30"/>
        <v>3.9209617142857138E-2</v>
      </c>
      <c r="Q47" s="88">
        <f t="shared" si="31"/>
        <v>3.9209617142857138E-2</v>
      </c>
      <c r="R47" s="88">
        <f t="shared" si="32"/>
        <v>2.4309962628571427</v>
      </c>
      <c r="S47" s="139"/>
      <c r="T47" s="62"/>
      <c r="U47" s="84"/>
    </row>
    <row r="48" spans="2:29" x14ac:dyDescent="0.15">
      <c r="B48" s="194"/>
      <c r="C48" s="197"/>
      <c r="D48" s="251"/>
      <c r="E48" s="235"/>
      <c r="F48" s="85" t="s">
        <v>95</v>
      </c>
      <c r="G48" s="237"/>
      <c r="H48" s="86">
        <f>0.601-G47</f>
        <v>0.52700000000000002</v>
      </c>
      <c r="I48" s="88">
        <f>0.623-G47</f>
        <v>0.54900000000000004</v>
      </c>
      <c r="J48" s="88">
        <f>0.631-G47</f>
        <v>0.55700000000000005</v>
      </c>
      <c r="K48" s="88">
        <f t="shared" ref="K48:K49" si="42">5.4029*H48</f>
        <v>2.8473283</v>
      </c>
      <c r="L48" s="88">
        <f t="shared" si="40"/>
        <v>2.9661921000000002</v>
      </c>
      <c r="M48" s="88">
        <f t="shared" si="40"/>
        <v>3.0094153000000001</v>
      </c>
      <c r="N48" s="88">
        <f t="shared" si="37"/>
        <v>2.9409785666666668</v>
      </c>
      <c r="O48" s="88">
        <f t="shared" si="41"/>
        <v>0.58819571333333331</v>
      </c>
      <c r="P48" s="88">
        <f t="shared" si="30"/>
        <v>4.2013979523809523E-2</v>
      </c>
      <c r="Q48" s="88">
        <f t="shared" si="31"/>
        <v>4.2013979523809523E-2</v>
      </c>
      <c r="R48" s="88">
        <f t="shared" si="32"/>
        <v>2.6048667304761906</v>
      </c>
      <c r="S48" s="139"/>
      <c r="T48" s="62"/>
      <c r="U48" s="84"/>
    </row>
    <row r="49" spans="2:29" x14ac:dyDescent="0.15">
      <c r="B49" s="194"/>
      <c r="C49" s="197"/>
      <c r="D49" s="251"/>
      <c r="E49" s="235"/>
      <c r="F49" s="85" t="s">
        <v>96</v>
      </c>
      <c r="G49" s="237"/>
      <c r="H49" s="86">
        <f>0.612-G47</f>
        <v>0.53800000000000003</v>
      </c>
      <c r="I49" s="88">
        <f>0.621-G47</f>
        <v>0.54700000000000004</v>
      </c>
      <c r="J49" s="88">
        <f>0.629-G47</f>
        <v>0.55500000000000005</v>
      </c>
      <c r="K49" s="88">
        <f t="shared" si="42"/>
        <v>2.9067601999999999</v>
      </c>
      <c r="L49" s="88">
        <f t="shared" si="40"/>
        <v>2.9553863000000002</v>
      </c>
      <c r="M49" s="88">
        <f t="shared" si="40"/>
        <v>2.9986095000000001</v>
      </c>
      <c r="N49" s="88">
        <f t="shared" si="37"/>
        <v>2.9535853333333333</v>
      </c>
      <c r="O49" s="88">
        <f t="shared" si="41"/>
        <v>0.59071706666666668</v>
      </c>
      <c r="P49" s="88">
        <f t="shared" si="30"/>
        <v>4.2194076190476194E-2</v>
      </c>
      <c r="Q49" s="88">
        <f t="shared" si="31"/>
        <v>4.2194076190476194E-2</v>
      </c>
      <c r="R49" s="88">
        <f t="shared" si="32"/>
        <v>2.616032723809524</v>
      </c>
      <c r="S49" s="141">
        <f>AVERAGE(R47:R49)</f>
        <v>2.5506319057142859</v>
      </c>
      <c r="T49" s="88">
        <f>STDEV(R47:R49)</f>
        <v>0.10375781962416823</v>
      </c>
      <c r="U49" s="87">
        <f>T49/SQRT(3)</f>
        <v>5.9904605090542164E-2</v>
      </c>
    </row>
    <row r="50" spans="2:29" x14ac:dyDescent="0.15">
      <c r="B50" s="193" t="s">
        <v>38</v>
      </c>
      <c r="C50" s="196">
        <v>0.53749999999999998</v>
      </c>
      <c r="D50" s="250">
        <v>241.06666666666663</v>
      </c>
      <c r="E50" s="248">
        <v>11</v>
      </c>
      <c r="F50" s="138" t="s">
        <v>94</v>
      </c>
      <c r="G50" s="239">
        <v>6.533333333333334E-2</v>
      </c>
      <c r="H50" s="106">
        <f>0.752-G50</f>
        <v>0.68666666666666665</v>
      </c>
      <c r="I50" s="110">
        <f>0.872-G50</f>
        <v>0.80666666666666664</v>
      </c>
      <c r="J50" s="110">
        <f>0.852-G50</f>
        <v>0.78666666666666663</v>
      </c>
      <c r="K50" s="110">
        <f>3.3959*H50</f>
        <v>2.3318513333333333</v>
      </c>
      <c r="L50" s="110">
        <f t="shared" ref="L50:M52" si="43">3.3959*I50</f>
        <v>2.7393593333333333</v>
      </c>
      <c r="M50" s="110">
        <f t="shared" si="43"/>
        <v>2.6714413333333331</v>
      </c>
      <c r="N50" s="110">
        <f t="shared" ref="N50:N61" si="44">AVERAGE(K50:M50)</f>
        <v>2.5808839999999997</v>
      </c>
      <c r="O50" s="110">
        <f t="shared" si="41"/>
        <v>0.51617679999999999</v>
      </c>
      <c r="P50" s="110">
        <f t="shared" si="30"/>
        <v>3.6869771428571431E-2</v>
      </c>
      <c r="Q50" s="110">
        <f t="shared" si="31"/>
        <v>3.6869771428571431E-2</v>
      </c>
      <c r="R50" s="110">
        <f t="shared" si="32"/>
        <v>2.2859258285714286</v>
      </c>
      <c r="S50" s="142"/>
      <c r="T50" s="110"/>
      <c r="U50" s="107"/>
    </row>
    <row r="51" spans="2:29" x14ac:dyDescent="0.15">
      <c r="B51" s="194"/>
      <c r="C51" s="197"/>
      <c r="D51" s="251"/>
      <c r="E51" s="235"/>
      <c r="F51" s="85" t="s">
        <v>95</v>
      </c>
      <c r="G51" s="237"/>
      <c r="H51" s="86">
        <f>0.782-G50</f>
        <v>0.71666666666666667</v>
      </c>
      <c r="I51" s="110">
        <f>0.8982-G50</f>
        <v>0.83286666666666664</v>
      </c>
      <c r="J51" s="110">
        <f>0.882-G50</f>
        <v>0.81666666666666665</v>
      </c>
      <c r="K51" s="88">
        <f t="shared" ref="K51:K52" si="45">3.3959*H51</f>
        <v>2.4337283333333333</v>
      </c>
      <c r="L51" s="88">
        <f t="shared" si="43"/>
        <v>2.8283319133333333</v>
      </c>
      <c r="M51" s="88">
        <f t="shared" si="43"/>
        <v>2.7733183333333336</v>
      </c>
      <c r="N51" s="88">
        <f t="shared" si="44"/>
        <v>2.6784595266666664</v>
      </c>
      <c r="O51" s="88">
        <f t="shared" si="41"/>
        <v>0.53569190533333333</v>
      </c>
      <c r="P51" s="88">
        <f t="shared" si="30"/>
        <v>3.8263707523809525E-2</v>
      </c>
      <c r="Q51" s="88">
        <f t="shared" si="31"/>
        <v>3.8263707523809525E-2</v>
      </c>
      <c r="R51" s="88">
        <f t="shared" si="32"/>
        <v>2.3723498664761906</v>
      </c>
      <c r="S51" s="141"/>
      <c r="T51" s="88"/>
      <c r="U51" s="87"/>
    </row>
    <row r="52" spans="2:29" x14ac:dyDescent="0.15">
      <c r="B52" s="208"/>
      <c r="C52" s="209"/>
      <c r="D52" s="252"/>
      <c r="E52" s="249"/>
      <c r="F52" s="95" t="s">
        <v>96</v>
      </c>
      <c r="G52" s="240"/>
      <c r="H52" s="96">
        <f>0.882-G50</f>
        <v>0.81666666666666665</v>
      </c>
      <c r="I52" s="158">
        <f>0.832-G50</f>
        <v>0.76666666666666661</v>
      </c>
      <c r="J52" s="158">
        <f>0.792-G50</f>
        <v>0.72666666666666668</v>
      </c>
      <c r="K52" s="98">
        <f t="shared" si="45"/>
        <v>2.7733183333333336</v>
      </c>
      <c r="L52" s="98">
        <f t="shared" si="43"/>
        <v>2.6035233333333334</v>
      </c>
      <c r="M52" s="98">
        <f t="shared" si="43"/>
        <v>2.4676873333333336</v>
      </c>
      <c r="N52" s="98">
        <f t="shared" si="44"/>
        <v>2.6148430000000005</v>
      </c>
      <c r="O52" s="98">
        <f t="shared" si="41"/>
        <v>0.52296860000000012</v>
      </c>
      <c r="P52" s="98">
        <f t="shared" si="30"/>
        <v>3.735490000000001E-2</v>
      </c>
      <c r="Q52" s="98">
        <f t="shared" si="31"/>
        <v>3.735490000000001E-2</v>
      </c>
      <c r="R52" s="98">
        <f t="shared" si="32"/>
        <v>2.3160038000000007</v>
      </c>
      <c r="S52" s="143">
        <f>AVERAGE(R50:R52)</f>
        <v>2.32475983168254</v>
      </c>
      <c r="T52" s="98">
        <f>STDEV(R50:R52)</f>
        <v>4.3872310744479372E-2</v>
      </c>
      <c r="U52" s="97">
        <f>T52/SQRT(3)</f>
        <v>2.5329690418296077E-2</v>
      </c>
    </row>
    <row r="53" spans="2:29" x14ac:dyDescent="0.15">
      <c r="B53" s="194" t="s">
        <v>32</v>
      </c>
      <c r="C53" s="197">
        <v>0.53749999999999998</v>
      </c>
      <c r="D53" s="251">
        <v>312.84999999999997</v>
      </c>
      <c r="E53" s="235">
        <v>14</v>
      </c>
      <c r="F53" s="85" t="s">
        <v>94</v>
      </c>
      <c r="G53" s="237">
        <f>(0.073+0.077+0.072)/3</f>
        <v>7.3999999999999996E-2</v>
      </c>
      <c r="H53" s="86">
        <f>0.968-G53</f>
        <v>0.89400000000000002</v>
      </c>
      <c r="I53" s="88">
        <f>1.012-G53</f>
        <v>0.93800000000000006</v>
      </c>
      <c r="J53" s="88">
        <f>0.992-G53</f>
        <v>0.91800000000000004</v>
      </c>
      <c r="K53" s="88">
        <f>5.388*H53</f>
        <v>4.816872</v>
      </c>
      <c r="L53" s="88">
        <f t="shared" ref="L53:M55" si="46">5.388*I53</f>
        <v>5.0539440000000004</v>
      </c>
      <c r="M53" s="88">
        <f t="shared" si="46"/>
        <v>4.9461839999999997</v>
      </c>
      <c r="N53" s="88">
        <f t="shared" si="44"/>
        <v>4.9390000000000001</v>
      </c>
      <c r="O53" s="88">
        <f t="shared" ref="O53:O55" si="47">N53/10</f>
        <v>0.49390000000000001</v>
      </c>
      <c r="P53" s="88">
        <f t="shared" si="30"/>
        <v>3.527857142857143E-2</v>
      </c>
      <c r="Q53" s="88">
        <f t="shared" si="31"/>
        <v>3.527857142857143E-2</v>
      </c>
      <c r="R53" s="88">
        <f t="shared" si="32"/>
        <v>2.1872714285714285</v>
      </c>
      <c r="S53" s="141"/>
      <c r="T53" s="88"/>
      <c r="U53" s="87"/>
    </row>
    <row r="54" spans="2:29" x14ac:dyDescent="0.15">
      <c r="B54" s="194"/>
      <c r="C54" s="197"/>
      <c r="D54" s="251"/>
      <c r="E54" s="235"/>
      <c r="F54" s="85" t="s">
        <v>95</v>
      </c>
      <c r="G54" s="237"/>
      <c r="H54" s="86">
        <f>0.889-G53</f>
        <v>0.81500000000000006</v>
      </c>
      <c r="I54" s="88">
        <f>0.856-G53</f>
        <v>0.78200000000000003</v>
      </c>
      <c r="J54" s="88">
        <f>0.855-G53</f>
        <v>0.78100000000000003</v>
      </c>
      <c r="K54" s="110">
        <f t="shared" ref="K54:K55" si="48">5.388*H54</f>
        <v>4.3912200000000006</v>
      </c>
      <c r="L54" s="110">
        <f t="shared" si="46"/>
        <v>4.2134160000000005</v>
      </c>
      <c r="M54" s="110">
        <f t="shared" si="46"/>
        <v>4.2080279999999997</v>
      </c>
      <c r="N54" s="88">
        <f t="shared" si="44"/>
        <v>4.2708880000000002</v>
      </c>
      <c r="O54" s="88">
        <f t="shared" si="47"/>
        <v>0.42708880000000005</v>
      </c>
      <c r="P54" s="88">
        <f t="shared" si="30"/>
        <v>3.0506342857142859E-2</v>
      </c>
      <c r="Q54" s="88">
        <f t="shared" si="31"/>
        <v>3.0506342857142859E-2</v>
      </c>
      <c r="R54" s="88">
        <f t="shared" si="32"/>
        <v>1.8913932571428573</v>
      </c>
      <c r="S54" s="141"/>
      <c r="T54" s="88"/>
      <c r="U54" s="87"/>
    </row>
    <row r="55" spans="2:29" x14ac:dyDescent="0.15">
      <c r="B55" s="194"/>
      <c r="C55" s="197"/>
      <c r="D55" s="251"/>
      <c r="E55" s="235"/>
      <c r="F55" s="85" t="s">
        <v>96</v>
      </c>
      <c r="G55" s="237"/>
      <c r="H55" s="86">
        <f>0.913-G53</f>
        <v>0.83900000000000008</v>
      </c>
      <c r="I55" s="88">
        <f>0.937-G53</f>
        <v>0.8630000000000001</v>
      </c>
      <c r="J55" s="88">
        <f>0.949-G53</f>
        <v>0.875</v>
      </c>
      <c r="K55" s="110">
        <f t="shared" si="48"/>
        <v>4.5205320000000002</v>
      </c>
      <c r="L55" s="110">
        <f t="shared" si="46"/>
        <v>4.6498440000000008</v>
      </c>
      <c r="M55" s="110">
        <f t="shared" si="46"/>
        <v>4.7145000000000001</v>
      </c>
      <c r="N55" s="88">
        <f t="shared" si="44"/>
        <v>4.628292000000001</v>
      </c>
      <c r="O55" s="88">
        <f t="shared" si="47"/>
        <v>0.46282920000000011</v>
      </c>
      <c r="P55" s="88">
        <f t="shared" si="30"/>
        <v>3.3059228571428581E-2</v>
      </c>
      <c r="Q55" s="88">
        <f t="shared" si="31"/>
        <v>3.3059228571428581E-2</v>
      </c>
      <c r="R55" s="88">
        <f t="shared" si="32"/>
        <v>2.0496721714285719</v>
      </c>
      <c r="S55" s="141">
        <f>AVERAGE(R53:R55)</f>
        <v>2.0427789523809525</v>
      </c>
      <c r="T55" s="88">
        <f>STDEV(R53:R55)</f>
        <v>0.14805948275476175</v>
      </c>
      <c r="U55" s="87">
        <f>T55/SQRT(3)</f>
        <v>8.5482182224538447E-2</v>
      </c>
    </row>
    <row r="56" spans="2:29" x14ac:dyDescent="0.15">
      <c r="B56" s="193" t="s">
        <v>36</v>
      </c>
      <c r="C56" s="196">
        <v>0.53749999999999998</v>
      </c>
      <c r="D56" s="250">
        <v>384.84999999999997</v>
      </c>
      <c r="E56" s="248">
        <v>17</v>
      </c>
      <c r="F56" s="138" t="s">
        <v>94</v>
      </c>
      <c r="G56" s="239">
        <v>7.2333333333333319E-2</v>
      </c>
      <c r="H56" s="106">
        <f>1.503-G56</f>
        <v>1.4306666666666665</v>
      </c>
      <c r="I56" s="110">
        <f>1.231-G56</f>
        <v>1.1586666666666667</v>
      </c>
      <c r="J56" s="110">
        <f>1.214-G56</f>
        <v>1.1416666666666666</v>
      </c>
      <c r="K56" s="110">
        <f>3.9395*H56</f>
        <v>5.6361113333333321</v>
      </c>
      <c r="L56" s="110">
        <f t="shared" ref="L56:M58" si="49">3.9395*I56</f>
        <v>4.5645673333333336</v>
      </c>
      <c r="M56" s="110">
        <f t="shared" si="49"/>
        <v>4.4975958333333326</v>
      </c>
      <c r="N56" s="110">
        <f t="shared" si="44"/>
        <v>4.8994248333333319</v>
      </c>
      <c r="O56" s="110">
        <f>N56/10</f>
        <v>0.48994248333333318</v>
      </c>
      <c r="P56" s="110">
        <f t="shared" si="30"/>
        <v>3.4995891666666654E-2</v>
      </c>
      <c r="Q56" s="110">
        <f t="shared" si="31"/>
        <v>3.4995891666666654E-2</v>
      </c>
      <c r="R56" s="110">
        <f t="shared" si="32"/>
        <v>2.1697452833333326</v>
      </c>
      <c r="S56" s="144"/>
      <c r="T56" s="117"/>
      <c r="U56" s="105"/>
      <c r="V56" s="40"/>
    </row>
    <row r="57" spans="2:29" x14ac:dyDescent="0.15">
      <c r="B57" s="194"/>
      <c r="C57" s="197"/>
      <c r="D57" s="251"/>
      <c r="E57" s="235"/>
      <c r="F57" s="85" t="s">
        <v>95</v>
      </c>
      <c r="G57" s="237"/>
      <c r="H57" s="86">
        <f>0.959-G56</f>
        <v>0.8866666666666666</v>
      </c>
      <c r="I57" s="88">
        <f>1.121-G56</f>
        <v>1.0486666666666666</v>
      </c>
      <c r="J57" s="88">
        <f>0.972-G56</f>
        <v>0.89966666666666661</v>
      </c>
      <c r="K57" s="88">
        <f t="shared" ref="K57:K58" si="50">3.9395*H57</f>
        <v>3.4930233333333329</v>
      </c>
      <c r="L57" s="88">
        <f t="shared" si="49"/>
        <v>4.1312223333333327</v>
      </c>
      <c r="M57" s="88">
        <f t="shared" si="49"/>
        <v>3.5442368333333327</v>
      </c>
      <c r="N57" s="88">
        <f t="shared" si="44"/>
        <v>3.7228274999999993</v>
      </c>
      <c r="O57" s="88">
        <f>N57/10</f>
        <v>0.37228274999999994</v>
      </c>
      <c r="P57" s="88">
        <f t="shared" si="30"/>
        <v>2.6591624999999997E-2</v>
      </c>
      <c r="Q57" s="88">
        <f t="shared" si="31"/>
        <v>2.6591624999999997E-2</v>
      </c>
      <c r="R57" s="88">
        <f t="shared" si="32"/>
        <v>1.6486807499999998</v>
      </c>
      <c r="S57" s="139"/>
      <c r="T57" s="62"/>
      <c r="U57" s="84"/>
      <c r="V57" s="40"/>
    </row>
    <row r="58" spans="2:29" x14ac:dyDescent="0.15">
      <c r="B58" s="208"/>
      <c r="C58" s="209"/>
      <c r="D58" s="252"/>
      <c r="E58" s="249"/>
      <c r="F58" s="95" t="s">
        <v>96</v>
      </c>
      <c r="G58" s="240"/>
      <c r="H58" s="96">
        <f>0.868-G56</f>
        <v>0.79566666666666663</v>
      </c>
      <c r="I58" s="98">
        <f>0.983-G56</f>
        <v>0.91066666666666662</v>
      </c>
      <c r="J58" s="98">
        <f>0.905-G56</f>
        <v>0.83266666666666667</v>
      </c>
      <c r="K58" s="98">
        <f t="shared" si="50"/>
        <v>3.134528833333333</v>
      </c>
      <c r="L58" s="98">
        <f t="shared" si="49"/>
        <v>3.587571333333333</v>
      </c>
      <c r="M58" s="98">
        <f t="shared" si="49"/>
        <v>3.2802903333333333</v>
      </c>
      <c r="N58" s="98">
        <f t="shared" si="44"/>
        <v>3.3341301666666663</v>
      </c>
      <c r="O58" s="98">
        <f>N58/10</f>
        <v>0.33341301666666662</v>
      </c>
      <c r="P58" s="98">
        <f t="shared" si="30"/>
        <v>2.3815215476190473E-2</v>
      </c>
      <c r="Q58" s="98">
        <f t="shared" si="31"/>
        <v>2.3815215476190473E-2</v>
      </c>
      <c r="R58" s="98">
        <f t="shared" si="32"/>
        <v>1.4765433595238093</v>
      </c>
      <c r="S58" s="143">
        <f>AVERAGE(R56:R58)</f>
        <v>1.7649897976190472</v>
      </c>
      <c r="T58" s="98">
        <f>STDEV(R56:R58)</f>
        <v>0.36094053902525736</v>
      </c>
      <c r="U58" s="97">
        <f>T58/SQRT(3)</f>
        <v>0.20838911736768098</v>
      </c>
      <c r="V58" s="40"/>
    </row>
    <row r="59" spans="2:29" x14ac:dyDescent="0.15">
      <c r="B59" s="194" t="s">
        <v>33</v>
      </c>
      <c r="C59" s="197">
        <v>0.54583333333333328</v>
      </c>
      <c r="D59" s="251">
        <v>433.01666666666665</v>
      </c>
      <c r="E59" s="235">
        <v>19</v>
      </c>
      <c r="F59" s="85" t="s">
        <v>94</v>
      </c>
      <c r="G59" s="237">
        <f>(0.07+0.074+0.071)/3</f>
        <v>7.166666666666667E-2</v>
      </c>
      <c r="H59" s="86">
        <f>0.452-G59</f>
        <v>0.38033333333333336</v>
      </c>
      <c r="I59" s="88">
        <f>0.463-G59</f>
        <v>0.39133333333333337</v>
      </c>
      <c r="J59" s="88">
        <f>0.461-G59</f>
        <v>0.38933333333333336</v>
      </c>
      <c r="K59" s="88">
        <f>5.1849*H59</f>
        <v>1.9719903000000001</v>
      </c>
      <c r="L59" s="88">
        <f t="shared" ref="L59:M61" si="51">5.1849*I59</f>
        <v>2.0290242000000003</v>
      </c>
      <c r="M59" s="88">
        <f t="shared" si="51"/>
        <v>2.0186544</v>
      </c>
      <c r="N59" s="88">
        <f t="shared" si="44"/>
        <v>2.0065563000000002</v>
      </c>
      <c r="O59" s="88">
        <f>N59/5</f>
        <v>0.40131126000000006</v>
      </c>
      <c r="P59" s="88">
        <f t="shared" si="30"/>
        <v>2.8665090000000004E-2</v>
      </c>
      <c r="Q59" s="88">
        <f t="shared" si="31"/>
        <v>2.8665090000000004E-2</v>
      </c>
      <c r="R59" s="88">
        <f t="shared" si="32"/>
        <v>1.7772355800000001</v>
      </c>
      <c r="S59" s="139"/>
      <c r="T59" s="62"/>
      <c r="U59" s="84"/>
    </row>
    <row r="60" spans="2:29" x14ac:dyDescent="0.15">
      <c r="B60" s="194"/>
      <c r="C60" s="197"/>
      <c r="D60" s="251"/>
      <c r="E60" s="235"/>
      <c r="F60" s="85" t="s">
        <v>95</v>
      </c>
      <c r="G60" s="237"/>
      <c r="H60" s="86">
        <f>0.403-G59</f>
        <v>0.33133333333333337</v>
      </c>
      <c r="I60" s="88">
        <f>0.411-G59</f>
        <v>0.33933333333333332</v>
      </c>
      <c r="J60" s="88">
        <f>0.418-G59</f>
        <v>0.34633333333333333</v>
      </c>
      <c r="K60" s="110">
        <f t="shared" ref="K60:K61" si="52">5.1849*H60</f>
        <v>1.7179302000000001</v>
      </c>
      <c r="L60" s="110">
        <f t="shared" si="51"/>
        <v>1.7594093999999998</v>
      </c>
      <c r="M60" s="110">
        <f t="shared" si="51"/>
        <v>1.7957037</v>
      </c>
      <c r="N60" s="88">
        <f t="shared" si="44"/>
        <v>1.7576810999999999</v>
      </c>
      <c r="O60" s="88">
        <f>N60/5</f>
        <v>0.35153621999999995</v>
      </c>
      <c r="P60" s="88">
        <f t="shared" si="30"/>
        <v>2.5109729999999997E-2</v>
      </c>
      <c r="Q60" s="88">
        <f t="shared" si="31"/>
        <v>2.5109729999999997E-2</v>
      </c>
      <c r="R60" s="88">
        <f t="shared" si="32"/>
        <v>1.5568032599999997</v>
      </c>
      <c r="S60" s="139"/>
      <c r="T60" s="62"/>
      <c r="U60" s="84"/>
    </row>
    <row r="61" spans="2:29" ht="14" thickBot="1" x14ac:dyDescent="0.2">
      <c r="B61" s="195"/>
      <c r="C61" s="198"/>
      <c r="D61" s="255"/>
      <c r="E61" s="236"/>
      <c r="F61" s="85" t="s">
        <v>96</v>
      </c>
      <c r="G61" s="238"/>
      <c r="H61" s="86">
        <f>0.4-G59</f>
        <v>0.32833333333333337</v>
      </c>
      <c r="I61" s="88">
        <f>0.413-G59</f>
        <v>0.34133333333333332</v>
      </c>
      <c r="J61" s="88">
        <f>0.403-G59</f>
        <v>0.33133333333333337</v>
      </c>
      <c r="K61" s="110">
        <f t="shared" si="52"/>
        <v>1.7023755</v>
      </c>
      <c r="L61" s="110">
        <f t="shared" si="51"/>
        <v>1.7697791999999999</v>
      </c>
      <c r="M61" s="110">
        <f t="shared" si="51"/>
        <v>1.7179302000000001</v>
      </c>
      <c r="N61" s="88">
        <f t="shared" si="44"/>
        <v>1.7300283000000001</v>
      </c>
      <c r="O61" s="88">
        <f>N61/5</f>
        <v>0.34600565999999999</v>
      </c>
      <c r="P61" s="120">
        <f t="shared" si="30"/>
        <v>2.4714690000000001E-2</v>
      </c>
      <c r="Q61" s="120">
        <f t="shared" si="31"/>
        <v>2.4714690000000001E-2</v>
      </c>
      <c r="R61" s="120">
        <f t="shared" si="32"/>
        <v>1.53231078</v>
      </c>
      <c r="S61" s="145">
        <f>AVERAGE(R59:R61)</f>
        <v>1.6221165399999997</v>
      </c>
      <c r="T61" s="120">
        <f>STDEV(R59:R61)</f>
        <v>0.13489406147799407</v>
      </c>
      <c r="U61" s="119">
        <f>T61/SQRT(3)</f>
        <v>7.7881122706401809E-2</v>
      </c>
    </row>
    <row r="62" spans="2:29" ht="17" thickBot="1" x14ac:dyDescent="0.2">
      <c r="B62" s="244" t="s">
        <v>74</v>
      </c>
      <c r="C62" s="245"/>
      <c r="D62" s="245"/>
      <c r="E62" s="245"/>
      <c r="F62" s="245"/>
      <c r="G62" s="245"/>
      <c r="H62" s="245"/>
      <c r="I62" s="245"/>
      <c r="J62" s="245"/>
      <c r="K62" s="245"/>
      <c r="L62" s="245"/>
      <c r="M62" s="245"/>
      <c r="N62" s="245"/>
      <c r="O62" s="245"/>
      <c r="P62" s="245"/>
      <c r="Q62" s="245"/>
      <c r="R62" s="245"/>
      <c r="S62" s="245"/>
      <c r="T62" s="245"/>
      <c r="U62" s="246"/>
      <c r="W62" s="247" t="s">
        <v>106</v>
      </c>
      <c r="X62" s="247"/>
      <c r="Y62" s="247"/>
    </row>
    <row r="63" spans="2:29" ht="30" x14ac:dyDescent="0.15">
      <c r="B63" s="129" t="s">
        <v>0</v>
      </c>
      <c r="C63" s="72" t="s">
        <v>1</v>
      </c>
      <c r="D63" s="72" t="s">
        <v>2</v>
      </c>
      <c r="E63" s="130" t="s">
        <v>20</v>
      </c>
      <c r="F63" s="131"/>
      <c r="G63" s="131" t="s">
        <v>21</v>
      </c>
      <c r="H63" s="232" t="s">
        <v>22</v>
      </c>
      <c r="I63" s="233"/>
      <c r="J63" s="233"/>
      <c r="K63" s="234" t="s">
        <v>104</v>
      </c>
      <c r="L63" s="234"/>
      <c r="M63" s="234"/>
      <c r="N63" s="72" t="s">
        <v>23</v>
      </c>
      <c r="O63" s="72" t="s">
        <v>24</v>
      </c>
      <c r="P63" s="72" t="s">
        <v>24</v>
      </c>
      <c r="Q63" s="72" t="s">
        <v>102</v>
      </c>
      <c r="R63" s="130" t="s">
        <v>102</v>
      </c>
      <c r="S63" s="72" t="s">
        <v>103</v>
      </c>
      <c r="T63" s="72" t="s">
        <v>84</v>
      </c>
      <c r="U63" s="132" t="s">
        <v>62</v>
      </c>
      <c r="W63" s="62" t="s">
        <v>2</v>
      </c>
      <c r="X63" s="83" t="str">
        <f>S63</f>
        <v>Average NO3 concentration</v>
      </c>
      <c r="Y63" s="83" t="str">
        <f>U63</f>
        <v>Standard error</v>
      </c>
      <c r="Z63" s="62"/>
      <c r="AA63" s="133"/>
      <c r="AB63" s="133"/>
      <c r="AC63" s="133"/>
    </row>
    <row r="64" spans="2:29" ht="14" x14ac:dyDescent="0.15">
      <c r="B64" s="134"/>
      <c r="C64" s="135"/>
      <c r="D64" s="136"/>
      <c r="E64" s="136"/>
      <c r="F64" s="137"/>
      <c r="G64" s="137"/>
      <c r="H64" s="136"/>
      <c r="I64" s="136"/>
      <c r="J64" s="136"/>
      <c r="K64" s="80"/>
      <c r="L64" s="80"/>
      <c r="M64" s="80"/>
      <c r="N64" s="80" t="s">
        <v>25</v>
      </c>
      <c r="O64" s="80" t="s">
        <v>18</v>
      </c>
      <c r="P64" s="80" t="s">
        <v>26</v>
      </c>
      <c r="Q64" s="80" t="s">
        <v>26</v>
      </c>
      <c r="R64" s="76" t="s">
        <v>18</v>
      </c>
      <c r="S64" s="80" t="s">
        <v>18</v>
      </c>
      <c r="T64" s="80"/>
      <c r="U64" s="82"/>
      <c r="W64" s="62">
        <v>0</v>
      </c>
      <c r="X64" s="88">
        <f>S67</f>
        <v>6.3746115644444439</v>
      </c>
      <c r="Y64" s="88">
        <f>U67</f>
        <v>0.20966317212505126</v>
      </c>
      <c r="Z64" s="88"/>
      <c r="AA64" s="133"/>
      <c r="AB64" s="133"/>
      <c r="AC64" s="133"/>
    </row>
    <row r="65" spans="2:29" x14ac:dyDescent="0.15">
      <c r="B65" s="194" t="s">
        <v>8</v>
      </c>
      <c r="C65" s="197">
        <v>0.4465277777777778</v>
      </c>
      <c r="D65" s="231">
        <v>0</v>
      </c>
      <c r="E65" s="235">
        <v>1</v>
      </c>
      <c r="F65" s="85" t="s">
        <v>94</v>
      </c>
      <c r="G65" s="237">
        <f>(0.083+0.071)/2</f>
        <v>7.6999999999999999E-2</v>
      </c>
      <c r="H65" s="86">
        <f>0.751-G65</f>
        <v>0.67400000000000004</v>
      </c>
      <c r="I65" s="88">
        <f>0.762-G65</f>
        <v>0.68500000000000005</v>
      </c>
      <c r="J65" s="88">
        <f>0.771-G65</f>
        <v>0.69400000000000006</v>
      </c>
      <c r="K65" s="88">
        <f>5.5946*H65</f>
        <v>3.7707603999999999</v>
      </c>
      <c r="L65" s="88">
        <f t="shared" ref="L65:M67" si="53">5.5946*I65</f>
        <v>3.8323010000000002</v>
      </c>
      <c r="M65" s="88">
        <f t="shared" si="53"/>
        <v>3.8826524</v>
      </c>
      <c r="N65" s="88">
        <f>AVERAGE(K65:M65)</f>
        <v>3.8285712666666663</v>
      </c>
      <c r="O65" s="88">
        <f t="shared" ref="O65:O79" si="54">N65/2.5</f>
        <v>1.5314285066666664</v>
      </c>
      <c r="P65" s="88">
        <f>O65/14</f>
        <v>0.10938775047619045</v>
      </c>
      <c r="Q65" s="88">
        <f>P65</f>
        <v>0.10938775047619045</v>
      </c>
      <c r="R65" s="88">
        <f>Q65*62</f>
        <v>6.7820405295238082</v>
      </c>
      <c r="S65" s="139"/>
      <c r="T65" s="62"/>
      <c r="U65" s="84"/>
      <c r="W65" s="62">
        <f>D68</f>
        <v>49.316666666666663</v>
      </c>
      <c r="X65" s="88">
        <f>S70</f>
        <v>6.3262016101587299</v>
      </c>
      <c r="Y65" s="88">
        <f>U70</f>
        <v>0.27995690441457849</v>
      </c>
      <c r="Z65" s="88"/>
      <c r="AA65" s="140"/>
      <c r="AB65" s="140"/>
      <c r="AC65" s="140"/>
    </row>
    <row r="66" spans="2:29" x14ac:dyDescent="0.15">
      <c r="B66" s="194"/>
      <c r="C66" s="197"/>
      <c r="D66" s="231"/>
      <c r="E66" s="235"/>
      <c r="F66" s="85" t="s">
        <v>95</v>
      </c>
      <c r="G66" s="237"/>
      <c r="H66" s="86">
        <f>0.695-G65</f>
        <v>0.61799999999999999</v>
      </c>
      <c r="I66" s="88">
        <f>0.705-G65</f>
        <v>0.628</v>
      </c>
      <c r="J66" s="88">
        <f>0.725-G65</f>
        <v>0.64800000000000002</v>
      </c>
      <c r="K66" s="88">
        <f t="shared" ref="K66:K67" si="55">5.5946*H66</f>
        <v>3.4574628000000001</v>
      </c>
      <c r="L66" s="88">
        <f t="shared" si="53"/>
        <v>3.5134087999999997</v>
      </c>
      <c r="M66" s="88">
        <f t="shared" si="53"/>
        <v>3.6253007999999998</v>
      </c>
      <c r="N66" s="88">
        <f t="shared" ref="N66:N67" si="56">AVERAGE(K66:M66)</f>
        <v>3.5320574666666666</v>
      </c>
      <c r="O66" s="88">
        <f t="shared" si="54"/>
        <v>1.4128229866666666</v>
      </c>
      <c r="P66" s="88">
        <f t="shared" ref="P66:P91" si="57">O66/14</f>
        <v>0.10091592761904762</v>
      </c>
      <c r="Q66" s="88">
        <f t="shared" ref="Q66:Q91" si="58">P66</f>
        <v>0.10091592761904762</v>
      </c>
      <c r="R66" s="88">
        <f t="shared" ref="R66:R91" si="59">Q66*62</f>
        <v>6.2567875123809529</v>
      </c>
      <c r="S66" s="139"/>
      <c r="T66" s="62"/>
      <c r="U66" s="84"/>
      <c r="W66" s="62">
        <f>D71</f>
        <v>96.566666666666663</v>
      </c>
      <c r="X66" s="88">
        <f>S73</f>
        <v>6.1792383847619048</v>
      </c>
      <c r="Y66" s="88">
        <f>U73</f>
        <v>0.12451782421734103</v>
      </c>
      <c r="Z66" s="88"/>
      <c r="AA66" s="140"/>
      <c r="AB66" s="140"/>
      <c r="AC66" s="140"/>
    </row>
    <row r="67" spans="2:29" x14ac:dyDescent="0.15">
      <c r="B67" s="194"/>
      <c r="C67" s="197"/>
      <c r="D67" s="231"/>
      <c r="E67" s="235"/>
      <c r="F67" s="85" t="s">
        <v>96</v>
      </c>
      <c r="G67" s="237"/>
      <c r="H67" s="86">
        <f>0.687-G65</f>
        <v>0.6100000000000001</v>
      </c>
      <c r="I67" s="88">
        <f>0.685-G65</f>
        <v>0.6080000000000001</v>
      </c>
      <c r="J67" s="88">
        <f>0.701-G65</f>
        <v>0.624</v>
      </c>
      <c r="K67" s="88">
        <f t="shared" si="55"/>
        <v>3.4127060000000005</v>
      </c>
      <c r="L67" s="88">
        <f t="shared" si="53"/>
        <v>3.4015168000000005</v>
      </c>
      <c r="M67" s="88">
        <f t="shared" si="53"/>
        <v>3.4910304000000001</v>
      </c>
      <c r="N67" s="88">
        <f t="shared" si="56"/>
        <v>3.4350844000000005</v>
      </c>
      <c r="O67" s="88">
        <f t="shared" si="54"/>
        <v>1.3740337600000001</v>
      </c>
      <c r="P67" s="88">
        <f t="shared" si="57"/>
        <v>9.8145268571428579E-2</v>
      </c>
      <c r="Q67" s="88">
        <f t="shared" si="58"/>
        <v>9.8145268571428579E-2</v>
      </c>
      <c r="R67" s="88">
        <f t="shared" si="59"/>
        <v>6.0850066514285714</v>
      </c>
      <c r="S67" s="141">
        <f>AVERAGE(R65:R67)</f>
        <v>6.3746115644444439</v>
      </c>
      <c r="T67" s="88">
        <f>STDEV(R65:R67)</f>
        <v>0.36314726659664753</v>
      </c>
      <c r="U67" s="87">
        <f>T67/SQRT(3)</f>
        <v>0.20966317212505126</v>
      </c>
      <c r="W67" s="146">
        <f>D74</f>
        <v>145.39999999999998</v>
      </c>
      <c r="X67" s="88">
        <f>S76</f>
        <v>5.8662234133333335</v>
      </c>
      <c r="Y67" s="88">
        <f>U76</f>
        <v>0.18385500402489699</v>
      </c>
      <c r="Z67" s="88"/>
      <c r="AA67" s="140"/>
      <c r="AB67" s="140"/>
      <c r="AC67" s="140"/>
    </row>
    <row r="68" spans="2:29" x14ac:dyDescent="0.15">
      <c r="B68" s="193" t="s">
        <v>10</v>
      </c>
      <c r="C68" s="196">
        <v>0.50138888888888888</v>
      </c>
      <c r="D68" s="250">
        <f>12+19/60+13+24+D65</f>
        <v>49.316666666666663</v>
      </c>
      <c r="E68" s="248">
        <v>3</v>
      </c>
      <c r="F68" s="138" t="s">
        <v>94</v>
      </c>
      <c r="G68" s="239">
        <f>(0.086+0.084)/2</f>
        <v>8.4999999999999992E-2</v>
      </c>
      <c r="H68" s="106">
        <f>0.638-G68</f>
        <v>0.55300000000000005</v>
      </c>
      <c r="I68" s="110">
        <f>0.643-G68</f>
        <v>0.55800000000000005</v>
      </c>
      <c r="J68" s="110">
        <f>0.863-G68</f>
        <v>0.77800000000000002</v>
      </c>
      <c r="K68" s="110">
        <f>5.7436*H68</f>
        <v>3.1762108000000002</v>
      </c>
      <c r="L68" s="110">
        <f t="shared" ref="L68:M73" si="60">5.7436*I68</f>
        <v>3.2049288000000002</v>
      </c>
      <c r="M68" s="110">
        <f t="shared" si="60"/>
        <v>4.4685208000000003</v>
      </c>
      <c r="N68" s="110">
        <f>AVERAGE(K68:M68)</f>
        <v>3.6165534666666672</v>
      </c>
      <c r="O68" s="110">
        <f t="shared" si="54"/>
        <v>1.4466213866666668</v>
      </c>
      <c r="P68" s="110">
        <f t="shared" si="57"/>
        <v>0.10333009904761906</v>
      </c>
      <c r="Q68" s="110">
        <f t="shared" si="58"/>
        <v>0.10333009904761906</v>
      </c>
      <c r="R68" s="110">
        <f t="shared" si="59"/>
        <v>6.4064661409523813</v>
      </c>
      <c r="S68" s="142"/>
      <c r="T68" s="110"/>
      <c r="U68" s="107"/>
      <c r="W68" s="62">
        <f>D77</f>
        <v>193.01666666666665</v>
      </c>
      <c r="X68" s="88">
        <f>S79</f>
        <v>5.2926808400000001</v>
      </c>
      <c r="Y68" s="88">
        <f>U79</f>
        <v>0.28557940948655125</v>
      </c>
      <c r="Z68" s="88"/>
      <c r="AA68" s="140"/>
      <c r="AB68" s="140"/>
      <c r="AC68" s="140"/>
    </row>
    <row r="69" spans="2:29" x14ac:dyDescent="0.15">
      <c r="B69" s="194"/>
      <c r="C69" s="197"/>
      <c r="D69" s="251"/>
      <c r="E69" s="235"/>
      <c r="F69" s="85" t="s">
        <v>95</v>
      </c>
      <c r="G69" s="237"/>
      <c r="H69" s="86">
        <f>0.68-G68</f>
        <v>0.59500000000000008</v>
      </c>
      <c r="I69" s="88">
        <f>0.696-G68</f>
        <v>0.61099999999999999</v>
      </c>
      <c r="J69" s="88">
        <f>0.874-G68</f>
        <v>0.78900000000000003</v>
      </c>
      <c r="K69" s="88">
        <f t="shared" ref="K69:K73" si="61">5.7436*H69</f>
        <v>3.4174420000000003</v>
      </c>
      <c r="L69" s="88">
        <f t="shared" si="60"/>
        <v>3.5093395999999997</v>
      </c>
      <c r="M69" s="88">
        <f t="shared" si="60"/>
        <v>4.5317004000000001</v>
      </c>
      <c r="N69" s="88">
        <f t="shared" ref="N69:N70" si="62">AVERAGE(K69:M69)</f>
        <v>3.8194940000000002</v>
      </c>
      <c r="O69" s="88">
        <f t="shared" si="54"/>
        <v>1.5277976</v>
      </c>
      <c r="P69" s="88">
        <f t="shared" si="57"/>
        <v>0.1091284</v>
      </c>
      <c r="Q69" s="88">
        <f t="shared" si="58"/>
        <v>0.1091284</v>
      </c>
      <c r="R69" s="88">
        <f t="shared" si="59"/>
        <v>6.7659608000000002</v>
      </c>
      <c r="S69" s="141"/>
      <c r="T69" s="88"/>
      <c r="U69" s="87"/>
      <c r="W69" s="62">
        <f>D80</f>
        <v>241.96666666666667</v>
      </c>
      <c r="X69" s="88">
        <f>S82</f>
        <v>4.7536562844444452</v>
      </c>
      <c r="Y69" s="88">
        <f>U82</f>
        <v>0.32387587637059484</v>
      </c>
      <c r="Z69" s="88"/>
      <c r="AA69" s="140"/>
      <c r="AB69" s="140"/>
      <c r="AC69" s="140"/>
    </row>
    <row r="70" spans="2:29" x14ac:dyDescent="0.15">
      <c r="B70" s="208"/>
      <c r="C70" s="209"/>
      <c r="D70" s="252"/>
      <c r="E70" s="249"/>
      <c r="F70" s="95" t="s">
        <v>96</v>
      </c>
      <c r="G70" s="240"/>
      <c r="H70" s="96">
        <f>0.576-G68</f>
        <v>0.49099999999999999</v>
      </c>
      <c r="I70" s="98">
        <f>0.584-G68</f>
        <v>0.499</v>
      </c>
      <c r="J70" s="98">
        <f>0.807-G68</f>
        <v>0.72200000000000009</v>
      </c>
      <c r="K70" s="98">
        <f t="shared" si="61"/>
        <v>2.8201076</v>
      </c>
      <c r="L70" s="98">
        <f t="shared" si="60"/>
        <v>2.8660563999999997</v>
      </c>
      <c r="M70" s="98">
        <f t="shared" si="60"/>
        <v>4.1468792000000008</v>
      </c>
      <c r="N70" s="98">
        <f t="shared" si="62"/>
        <v>3.2776810666666667</v>
      </c>
      <c r="O70" s="98">
        <f t="shared" si="54"/>
        <v>1.3110724266666667</v>
      </c>
      <c r="P70" s="98">
        <f t="shared" si="57"/>
        <v>9.3648030476190483E-2</v>
      </c>
      <c r="Q70" s="98">
        <f t="shared" si="58"/>
        <v>9.3648030476190483E-2</v>
      </c>
      <c r="R70" s="98">
        <f t="shared" si="59"/>
        <v>5.8061778895238101</v>
      </c>
      <c r="S70" s="143">
        <f>AVERAGE(R68:R70)</f>
        <v>6.3262016101587299</v>
      </c>
      <c r="T70" s="98">
        <f>STDEV(R68:R70)</f>
        <v>0.48489958237575365</v>
      </c>
      <c r="U70" s="97">
        <f>T70/SQRT(3)</f>
        <v>0.27995690441457849</v>
      </c>
      <c r="W70" s="62">
        <f>D83</f>
        <v>313.64999999999998</v>
      </c>
      <c r="X70" s="88">
        <f>S85</f>
        <v>4.4227953904761916</v>
      </c>
      <c r="Y70" s="88">
        <f>U85</f>
        <v>5.2069668226013971E-2</v>
      </c>
      <c r="Z70" s="88"/>
      <c r="AA70" s="140"/>
      <c r="AB70" s="140"/>
      <c r="AC70" s="140"/>
    </row>
    <row r="71" spans="2:29" x14ac:dyDescent="0.15">
      <c r="B71" s="194" t="s">
        <v>27</v>
      </c>
      <c r="C71" s="197">
        <v>0.47013888888888888</v>
      </c>
      <c r="D71" s="251">
        <f>11+15/60+12+24+D68</f>
        <v>96.566666666666663</v>
      </c>
      <c r="E71" s="235">
        <v>5</v>
      </c>
      <c r="F71" s="85" t="s">
        <v>94</v>
      </c>
      <c r="G71" s="237">
        <f>(0.086+0.084)/2</f>
        <v>8.4999999999999992E-2</v>
      </c>
      <c r="H71" s="86">
        <f>0.621-G71</f>
        <v>0.53600000000000003</v>
      </c>
      <c r="I71" s="88">
        <f>0.73-G71</f>
        <v>0.64500000000000002</v>
      </c>
      <c r="J71" s="88">
        <f>0.736-G71</f>
        <v>0.65100000000000002</v>
      </c>
      <c r="K71" s="88">
        <f t="shared" si="61"/>
        <v>3.0785696000000002</v>
      </c>
      <c r="L71" s="88">
        <f t="shared" si="60"/>
        <v>3.7046220000000001</v>
      </c>
      <c r="M71" s="88">
        <f t="shared" si="60"/>
        <v>3.7390835999999998</v>
      </c>
      <c r="N71" s="88">
        <f>AVERAGE(K71:M71)</f>
        <v>3.5074250666666664</v>
      </c>
      <c r="O71" s="88">
        <f t="shared" si="54"/>
        <v>1.4029700266666665</v>
      </c>
      <c r="P71" s="88">
        <f t="shared" si="57"/>
        <v>0.10021214476190475</v>
      </c>
      <c r="Q71" s="88">
        <f t="shared" si="58"/>
        <v>0.10021214476190475</v>
      </c>
      <c r="R71" s="88">
        <f t="shared" si="59"/>
        <v>6.2131529752380947</v>
      </c>
      <c r="S71" s="141"/>
      <c r="T71" s="88"/>
      <c r="U71" s="87"/>
      <c r="W71" s="62">
        <f>D86</f>
        <v>385.65000000000003</v>
      </c>
      <c r="X71" s="88">
        <f>S88</f>
        <v>4.220467641269841</v>
      </c>
      <c r="Y71" s="88">
        <f>U88</f>
        <v>8.6885617904838064E-2</v>
      </c>
      <c r="Z71" s="88"/>
      <c r="AA71" s="140"/>
      <c r="AB71" s="140"/>
      <c r="AC71" s="140"/>
    </row>
    <row r="72" spans="2:29" ht="15" customHeight="1" x14ac:dyDescent="0.15">
      <c r="B72" s="194"/>
      <c r="C72" s="197"/>
      <c r="D72" s="251"/>
      <c r="E72" s="235"/>
      <c r="F72" s="85" t="s">
        <v>95</v>
      </c>
      <c r="G72" s="237"/>
      <c r="H72" s="86">
        <f>0.613-G71</f>
        <v>0.52800000000000002</v>
      </c>
      <c r="I72" s="88">
        <f>0.698-G71</f>
        <v>0.61299999999999999</v>
      </c>
      <c r="J72" s="88">
        <f>0.698-G71</f>
        <v>0.61299999999999999</v>
      </c>
      <c r="K72" s="88">
        <f t="shared" si="61"/>
        <v>3.0326208000000001</v>
      </c>
      <c r="L72" s="88">
        <f t="shared" si="60"/>
        <v>3.5208268</v>
      </c>
      <c r="M72" s="88">
        <f t="shared" si="60"/>
        <v>3.5208268</v>
      </c>
      <c r="N72" s="88">
        <f t="shared" ref="N72:N79" si="63">AVERAGE(K72:M72)</f>
        <v>3.3580914666666666</v>
      </c>
      <c r="O72" s="88">
        <f t="shared" si="54"/>
        <v>1.3432365866666667</v>
      </c>
      <c r="P72" s="88">
        <f t="shared" si="57"/>
        <v>9.5945470476190481E-2</v>
      </c>
      <c r="Q72" s="88">
        <f t="shared" si="58"/>
        <v>9.5945470476190481E-2</v>
      </c>
      <c r="R72" s="88">
        <f t="shared" si="59"/>
        <v>5.94861916952381</v>
      </c>
      <c r="S72" s="141"/>
      <c r="T72" s="88"/>
      <c r="U72" s="87"/>
      <c r="W72" s="146">
        <f>D89</f>
        <v>433.88333333333333</v>
      </c>
      <c r="X72" s="88">
        <f>S91</f>
        <v>4.0759568800000006</v>
      </c>
      <c r="Y72" s="88">
        <f>U91</f>
        <v>0.31280561134068269</v>
      </c>
      <c r="Z72" s="88"/>
      <c r="AA72" s="140"/>
      <c r="AB72" s="140"/>
      <c r="AC72" s="140"/>
    </row>
    <row r="73" spans="2:29" ht="15" customHeight="1" x14ac:dyDescent="0.15">
      <c r="B73" s="194"/>
      <c r="C73" s="197"/>
      <c r="D73" s="251"/>
      <c r="E73" s="235"/>
      <c r="F73" s="85" t="s">
        <v>96</v>
      </c>
      <c r="G73" s="237"/>
      <c r="H73" s="86">
        <f>0.699-G71</f>
        <v>0.61399999999999999</v>
      </c>
      <c r="I73" s="88">
        <f>0.715-G71</f>
        <v>0.63</v>
      </c>
      <c r="J73" s="88">
        <f>0.721-G71</f>
        <v>0.63600000000000001</v>
      </c>
      <c r="K73" s="88">
        <f t="shared" si="61"/>
        <v>3.5265703999999998</v>
      </c>
      <c r="L73" s="88">
        <f t="shared" si="60"/>
        <v>3.618468</v>
      </c>
      <c r="M73" s="88">
        <f t="shared" si="60"/>
        <v>3.6529295999999998</v>
      </c>
      <c r="N73" s="88">
        <f t="shared" si="63"/>
        <v>3.5993226666666662</v>
      </c>
      <c r="O73" s="88">
        <f t="shared" si="54"/>
        <v>1.4397290666666664</v>
      </c>
      <c r="P73" s="88">
        <f t="shared" si="57"/>
        <v>0.10283779047619046</v>
      </c>
      <c r="Q73" s="88">
        <f t="shared" si="58"/>
        <v>0.10283779047619046</v>
      </c>
      <c r="R73" s="88">
        <f t="shared" si="59"/>
        <v>6.3759430095238088</v>
      </c>
      <c r="S73" s="141">
        <f>AVERAGE(R71:R73)</f>
        <v>6.1792383847619048</v>
      </c>
      <c r="T73" s="88">
        <f>STDEV(R71:R73)</f>
        <v>0.21567119799236503</v>
      </c>
      <c r="U73" s="87">
        <f>T73/SQRT(3)</f>
        <v>0.12451782421734103</v>
      </c>
      <c r="W73" s="93"/>
      <c r="X73" s="88"/>
      <c r="Y73" s="88"/>
      <c r="Z73" s="88"/>
      <c r="AA73" s="140"/>
      <c r="AB73" s="140"/>
      <c r="AC73" s="140"/>
    </row>
    <row r="74" spans="2:29" x14ac:dyDescent="0.15">
      <c r="B74" s="193" t="s">
        <v>29</v>
      </c>
      <c r="C74" s="196">
        <v>0.50486111111111109</v>
      </c>
      <c r="D74" s="250">
        <f>50/60+24+24+D71</f>
        <v>145.39999999999998</v>
      </c>
      <c r="E74" s="248">
        <v>7</v>
      </c>
      <c r="F74" s="138" t="s">
        <v>94</v>
      </c>
      <c r="G74" s="239">
        <f>(0.065+0.073+0.067)/3</f>
        <v>6.8333333333333343E-2</v>
      </c>
      <c r="H74" s="106">
        <f>0.716-G74</f>
        <v>0.64766666666666661</v>
      </c>
      <c r="I74" s="110">
        <f>0.733-G74</f>
        <v>0.66466666666666663</v>
      </c>
      <c r="J74" s="110">
        <f>0.742-G74</f>
        <v>0.67366666666666664</v>
      </c>
      <c r="K74" s="110">
        <f>5.2957*H74</f>
        <v>3.4298483666666666</v>
      </c>
      <c r="L74" s="110">
        <f t="shared" ref="L74:M76" si="64">5.2957*I74</f>
        <v>3.5198752666666664</v>
      </c>
      <c r="M74" s="110">
        <f t="shared" si="64"/>
        <v>3.5675365666666665</v>
      </c>
      <c r="N74" s="110">
        <f t="shared" si="63"/>
        <v>3.5057533999999997</v>
      </c>
      <c r="O74" s="110">
        <f t="shared" si="54"/>
        <v>1.4023013599999998</v>
      </c>
      <c r="P74" s="110">
        <f t="shared" si="57"/>
        <v>0.10016438285714284</v>
      </c>
      <c r="Q74" s="110">
        <f t="shared" si="58"/>
        <v>0.10016438285714284</v>
      </c>
      <c r="R74" s="110">
        <f t="shared" si="59"/>
        <v>6.2101917371428561</v>
      </c>
      <c r="S74" s="144"/>
      <c r="T74" s="117"/>
      <c r="U74" s="105"/>
      <c r="W74" s="62"/>
      <c r="X74" s="88"/>
      <c r="Y74" s="88"/>
      <c r="Z74" s="88"/>
      <c r="AA74" s="88"/>
    </row>
    <row r="75" spans="2:29" x14ac:dyDescent="0.15">
      <c r="B75" s="194"/>
      <c r="C75" s="197"/>
      <c r="D75" s="251"/>
      <c r="E75" s="235"/>
      <c r="F75" s="85" t="s">
        <v>95</v>
      </c>
      <c r="G75" s="237"/>
      <c r="H75" s="86">
        <f>0.682-G74</f>
        <v>0.61366666666666669</v>
      </c>
      <c r="I75" s="88">
        <f>0.678-G74</f>
        <v>0.60966666666666669</v>
      </c>
      <c r="J75" s="88">
        <f>0.702-G74</f>
        <v>0.6336666666666666</v>
      </c>
      <c r="K75" s="88">
        <f t="shared" ref="K75:K76" si="65">5.2957*H75</f>
        <v>3.249794566666667</v>
      </c>
      <c r="L75" s="88">
        <f t="shared" si="64"/>
        <v>3.2286117666666669</v>
      </c>
      <c r="M75" s="88">
        <f t="shared" si="64"/>
        <v>3.3557085666666664</v>
      </c>
      <c r="N75" s="88">
        <f t="shared" si="63"/>
        <v>3.2780383</v>
      </c>
      <c r="O75" s="88">
        <f t="shared" si="54"/>
        <v>1.3112153200000001</v>
      </c>
      <c r="P75" s="88">
        <f t="shared" si="57"/>
        <v>9.3658237142857148E-2</v>
      </c>
      <c r="Q75" s="88">
        <f t="shared" si="58"/>
        <v>9.3658237142857148E-2</v>
      </c>
      <c r="R75" s="88">
        <f t="shared" si="59"/>
        <v>5.8068107028571436</v>
      </c>
      <c r="S75" s="139"/>
      <c r="T75" s="62"/>
      <c r="U75" s="84"/>
      <c r="Z75" s="88"/>
      <c r="AA75" s="88"/>
    </row>
    <row r="76" spans="2:29" x14ac:dyDescent="0.15">
      <c r="B76" s="208"/>
      <c r="C76" s="209"/>
      <c r="D76" s="252"/>
      <c r="E76" s="249"/>
      <c r="F76" s="95" t="s">
        <v>96</v>
      </c>
      <c r="G76" s="240"/>
      <c r="H76" s="96">
        <f>0.662-G74</f>
        <v>0.59366666666666668</v>
      </c>
      <c r="I76" s="98">
        <f>0.66-G74</f>
        <v>0.59166666666666667</v>
      </c>
      <c r="J76" s="98">
        <f>0.668-G74</f>
        <v>0.59966666666666668</v>
      </c>
      <c r="K76" s="98">
        <f t="shared" si="65"/>
        <v>3.1438805666666667</v>
      </c>
      <c r="L76" s="98">
        <f t="shared" si="64"/>
        <v>3.1332891666666667</v>
      </c>
      <c r="M76" s="98">
        <f t="shared" si="64"/>
        <v>3.1756547666666668</v>
      </c>
      <c r="N76" s="98">
        <f t="shared" si="63"/>
        <v>3.1509415000000001</v>
      </c>
      <c r="O76" s="98">
        <f t="shared" si="54"/>
        <v>1.2603766000000001</v>
      </c>
      <c r="P76" s="98">
        <f t="shared" si="57"/>
        <v>9.0026900000000007E-2</v>
      </c>
      <c r="Q76" s="98">
        <f t="shared" si="58"/>
        <v>9.0026900000000007E-2</v>
      </c>
      <c r="R76" s="98">
        <f t="shared" si="59"/>
        <v>5.5816678000000008</v>
      </c>
      <c r="S76" s="143">
        <f>AVERAGE(R74:R76)</f>
        <v>5.8662234133333335</v>
      </c>
      <c r="T76" s="98">
        <f>STDEV(R74:R76)</f>
        <v>0.318446208196902</v>
      </c>
      <c r="U76" s="97">
        <f>T76/SQRT(3)</f>
        <v>0.18385500402489699</v>
      </c>
      <c r="W76" s="140"/>
      <c r="Z76" s="88"/>
      <c r="AA76" s="88"/>
    </row>
    <row r="77" spans="2:29" x14ac:dyDescent="0.15">
      <c r="B77" s="194" t="s">
        <v>30</v>
      </c>
      <c r="C77" s="197">
        <v>0.48888888888888887</v>
      </c>
      <c r="D77" s="251">
        <f>11+37/60+12+24+D74</f>
        <v>193.01666666666665</v>
      </c>
      <c r="E77" s="235">
        <v>9</v>
      </c>
      <c r="F77" s="85" t="s">
        <v>94</v>
      </c>
      <c r="G77" s="237">
        <f>(0.073+0.076+0.073)/3</f>
        <v>7.3999999999999996E-2</v>
      </c>
      <c r="H77" s="86">
        <f>0.616-G77</f>
        <v>0.54200000000000004</v>
      </c>
      <c r="I77" s="88">
        <f>0.635-G77</f>
        <v>0.56100000000000005</v>
      </c>
      <c r="J77" s="88">
        <f>0.645-G77</f>
        <v>0.57100000000000006</v>
      </c>
      <c r="K77" s="88">
        <f>5.4029*H77</f>
        <v>2.9283718000000003</v>
      </c>
      <c r="L77" s="88">
        <f t="shared" ref="L77:M79" si="66">5.4029*I77</f>
        <v>3.0310269000000001</v>
      </c>
      <c r="M77" s="88">
        <f t="shared" si="66"/>
        <v>3.0850559000000004</v>
      </c>
      <c r="N77" s="88">
        <f t="shared" si="63"/>
        <v>3.0148182000000006</v>
      </c>
      <c r="O77" s="88">
        <f t="shared" si="54"/>
        <v>1.2059272800000003</v>
      </c>
      <c r="P77" s="88">
        <f t="shared" si="57"/>
        <v>8.6137662857142874E-2</v>
      </c>
      <c r="Q77" s="88">
        <f t="shared" si="58"/>
        <v>8.6137662857142874E-2</v>
      </c>
      <c r="R77" s="88">
        <f t="shared" si="59"/>
        <v>5.3405350971428582</v>
      </c>
      <c r="S77" s="139"/>
      <c r="T77" s="62"/>
      <c r="U77" s="84"/>
      <c r="Z77" s="88"/>
      <c r="AA77" s="88"/>
    </row>
    <row r="78" spans="2:29" x14ac:dyDescent="0.15">
      <c r="B78" s="194"/>
      <c r="C78" s="197"/>
      <c r="D78" s="251"/>
      <c r="E78" s="235"/>
      <c r="F78" s="85" t="s">
        <v>95</v>
      </c>
      <c r="G78" s="237"/>
      <c r="H78" s="86">
        <f>0.558-G77</f>
        <v>0.48400000000000004</v>
      </c>
      <c r="I78" s="88">
        <f>0.573-G77</f>
        <v>0.49899999999999994</v>
      </c>
      <c r="J78" s="88">
        <f>0.588-G77</f>
        <v>0.51400000000000001</v>
      </c>
      <c r="K78" s="88">
        <f t="shared" ref="K78:K79" si="67">5.4029*H78</f>
        <v>2.6150036000000001</v>
      </c>
      <c r="L78" s="88">
        <f t="shared" si="66"/>
        <v>2.6960470999999995</v>
      </c>
      <c r="M78" s="88">
        <f t="shared" si="66"/>
        <v>2.7770906000000002</v>
      </c>
      <c r="N78" s="88">
        <f t="shared" si="63"/>
        <v>2.6960470999999999</v>
      </c>
      <c r="O78" s="88">
        <f t="shared" si="54"/>
        <v>1.0784188399999999</v>
      </c>
      <c r="P78" s="88">
        <f t="shared" si="57"/>
        <v>7.7029917142857132E-2</v>
      </c>
      <c r="Q78" s="88">
        <f t="shared" si="58"/>
        <v>7.7029917142857132E-2</v>
      </c>
      <c r="R78" s="88">
        <f t="shared" si="59"/>
        <v>4.775854862857142</v>
      </c>
      <c r="S78" s="139"/>
      <c r="T78" s="62"/>
      <c r="U78" s="84"/>
      <c r="Z78" s="88"/>
      <c r="AA78" s="88"/>
    </row>
    <row r="79" spans="2:29" x14ac:dyDescent="0.15">
      <c r="B79" s="194"/>
      <c r="C79" s="197"/>
      <c r="D79" s="251"/>
      <c r="E79" s="235"/>
      <c r="F79" s="85" t="s">
        <v>96</v>
      </c>
      <c r="G79" s="237"/>
      <c r="H79" s="86">
        <f>0.667-G77</f>
        <v>0.59300000000000008</v>
      </c>
      <c r="I79" s="88">
        <f>0.679-G77</f>
        <v>0.60500000000000009</v>
      </c>
      <c r="J79" s="88">
        <f>0.682-G77</f>
        <v>0.6080000000000001</v>
      </c>
      <c r="K79" s="88">
        <f t="shared" si="67"/>
        <v>3.2039197000000001</v>
      </c>
      <c r="L79" s="88">
        <f t="shared" si="66"/>
        <v>3.2687545000000005</v>
      </c>
      <c r="M79" s="88">
        <f t="shared" si="66"/>
        <v>3.2849632000000004</v>
      </c>
      <c r="N79" s="88">
        <f t="shared" si="63"/>
        <v>3.2525458</v>
      </c>
      <c r="O79" s="88">
        <f t="shared" si="54"/>
        <v>1.3010183200000001</v>
      </c>
      <c r="P79" s="88">
        <f t="shared" si="57"/>
        <v>9.2929880000000006E-2</v>
      </c>
      <c r="Q79" s="88">
        <f t="shared" si="58"/>
        <v>9.2929880000000006E-2</v>
      </c>
      <c r="R79" s="88">
        <f t="shared" si="59"/>
        <v>5.7616525600000008</v>
      </c>
      <c r="S79" s="141">
        <f>AVERAGE(R77:R79)</f>
        <v>5.2926808400000001</v>
      </c>
      <c r="T79" s="88">
        <f>STDEV(R77:R79)</f>
        <v>0.4946380468262242</v>
      </c>
      <c r="U79" s="87">
        <f>T79/SQRT(3)</f>
        <v>0.28557940948655125</v>
      </c>
      <c r="Z79" s="88"/>
      <c r="AA79" s="88"/>
    </row>
    <row r="80" spans="2:29" x14ac:dyDescent="0.15">
      <c r="B80" s="193" t="s">
        <v>38</v>
      </c>
      <c r="C80" s="196">
        <v>0.52847222222222223</v>
      </c>
      <c r="D80" s="250">
        <v>241.96666666666667</v>
      </c>
      <c r="E80" s="248">
        <v>11</v>
      </c>
      <c r="F80" s="138" t="s">
        <v>94</v>
      </c>
      <c r="G80" s="239">
        <v>6.533333333333334E-2</v>
      </c>
      <c r="H80" s="106">
        <f>0.711-G80</f>
        <v>0.64566666666666661</v>
      </c>
      <c r="I80" s="110">
        <f>0.723-G80</f>
        <v>0.65766666666666662</v>
      </c>
      <c r="J80" s="110">
        <f>0.827-G80</f>
        <v>0.7616666666666666</v>
      </c>
      <c r="K80" s="110">
        <f>3.3959*H80</f>
        <v>2.1926194333333333</v>
      </c>
      <c r="L80" s="110">
        <f t="shared" ref="L80:M82" si="68">3.3959*I80</f>
        <v>2.2333702333333334</v>
      </c>
      <c r="M80" s="110">
        <f t="shared" si="68"/>
        <v>2.5865438333333333</v>
      </c>
      <c r="N80" s="110">
        <f t="shared" ref="N80:N91" si="69">AVERAGE(K80:M80)</f>
        <v>2.3375111666666668</v>
      </c>
      <c r="O80" s="110">
        <f>N80/2.5</f>
        <v>0.9350044666666667</v>
      </c>
      <c r="P80" s="110">
        <f t="shared" si="57"/>
        <v>6.6786033333333342E-2</v>
      </c>
      <c r="Q80" s="110">
        <f t="shared" si="58"/>
        <v>6.6786033333333342E-2</v>
      </c>
      <c r="R80" s="110">
        <f t="shared" si="59"/>
        <v>4.140734066666667</v>
      </c>
      <c r="S80" s="142"/>
      <c r="T80" s="110"/>
      <c r="U80" s="107"/>
      <c r="Z80" s="88"/>
      <c r="AA80" s="88"/>
    </row>
    <row r="81" spans="1:27" x14ac:dyDescent="0.15">
      <c r="B81" s="194"/>
      <c r="C81" s="197"/>
      <c r="D81" s="251"/>
      <c r="E81" s="235"/>
      <c r="F81" s="85" t="s">
        <v>95</v>
      </c>
      <c r="G81" s="237"/>
      <c r="H81" s="86">
        <f>0.812-G80</f>
        <v>0.7466666666666667</v>
      </c>
      <c r="I81" s="88">
        <f>0.814-G80</f>
        <v>0.74866666666666659</v>
      </c>
      <c r="J81" s="88">
        <f>1.003-G80</f>
        <v>0.93766666666666654</v>
      </c>
      <c r="K81" s="88">
        <f t="shared" ref="K81:K82" si="70">3.3959*H81</f>
        <v>2.5356053333333337</v>
      </c>
      <c r="L81" s="88">
        <f t="shared" si="68"/>
        <v>2.5423971333333331</v>
      </c>
      <c r="M81" s="88">
        <f t="shared" si="68"/>
        <v>3.1842222333333332</v>
      </c>
      <c r="N81" s="88">
        <f t="shared" si="69"/>
        <v>2.7540749000000004</v>
      </c>
      <c r="O81" s="88">
        <f>N81/2.5</f>
        <v>1.1016299600000001</v>
      </c>
      <c r="P81" s="88">
        <f t="shared" si="57"/>
        <v>7.8687854285714301E-2</v>
      </c>
      <c r="Q81" s="88">
        <f t="shared" si="58"/>
        <v>7.8687854285714301E-2</v>
      </c>
      <c r="R81" s="88">
        <f t="shared" si="59"/>
        <v>4.878646965714287</v>
      </c>
      <c r="S81" s="141"/>
      <c r="T81" s="88"/>
      <c r="U81" s="87"/>
      <c r="Z81" s="88"/>
      <c r="AA81" s="88"/>
    </row>
    <row r="82" spans="1:27" x14ac:dyDescent="0.15">
      <c r="B82" s="208"/>
      <c r="C82" s="209"/>
      <c r="D82" s="252"/>
      <c r="E82" s="249"/>
      <c r="F82" s="95" t="s">
        <v>96</v>
      </c>
      <c r="G82" s="240"/>
      <c r="H82" s="96">
        <f>0.878-G80</f>
        <v>0.81266666666666665</v>
      </c>
      <c r="I82" s="98">
        <f>0.883-G80</f>
        <v>0.81766666666666665</v>
      </c>
      <c r="J82" s="98">
        <f>1.049-G80</f>
        <v>0.98366666666666658</v>
      </c>
      <c r="K82" s="98">
        <f t="shared" si="70"/>
        <v>2.7597347333333335</v>
      </c>
      <c r="L82" s="98">
        <f t="shared" si="68"/>
        <v>2.7767142333333332</v>
      </c>
      <c r="M82" s="98">
        <f t="shared" si="68"/>
        <v>3.3404336333333333</v>
      </c>
      <c r="N82" s="98">
        <f t="shared" si="69"/>
        <v>2.9589608666666667</v>
      </c>
      <c r="O82" s="98">
        <f>N82/2.5</f>
        <v>1.1835843466666667</v>
      </c>
      <c r="P82" s="98">
        <f t="shared" si="57"/>
        <v>8.4541739047619052E-2</v>
      </c>
      <c r="Q82" s="98">
        <f t="shared" si="58"/>
        <v>8.4541739047619052E-2</v>
      </c>
      <c r="R82" s="98">
        <f t="shared" si="59"/>
        <v>5.2415878209523816</v>
      </c>
      <c r="S82" s="143">
        <f>AVERAGE(R80:R82)</f>
        <v>4.7536562844444452</v>
      </c>
      <c r="T82" s="98">
        <f>STDEV(R80:R82)</f>
        <v>0.56096947321976665</v>
      </c>
      <c r="U82" s="97">
        <f>T82/SQRT(3)</f>
        <v>0.32387587637059484</v>
      </c>
      <c r="Z82" s="88"/>
      <c r="AA82" s="88"/>
    </row>
    <row r="83" spans="1:27" x14ac:dyDescent="0.15">
      <c r="B83" s="194" t="s">
        <v>32</v>
      </c>
      <c r="C83" s="197">
        <v>0.51527777777777783</v>
      </c>
      <c r="D83" s="251">
        <v>313.64999999999998</v>
      </c>
      <c r="E83" s="235">
        <v>14</v>
      </c>
      <c r="F83" s="85" t="s">
        <v>94</v>
      </c>
      <c r="G83" s="237">
        <f>(0.073+0.077+0.072)/3</f>
        <v>7.3999999999999996E-2</v>
      </c>
      <c r="H83" s="86">
        <f>0.984-G83</f>
        <v>0.91</v>
      </c>
      <c r="I83" s="88">
        <f>1.005-G83</f>
        <v>0.93099999999999994</v>
      </c>
      <c r="J83" s="88">
        <f>1.035-G83</f>
        <v>0.96099999999999997</v>
      </c>
      <c r="K83" s="88">
        <f>5.388*H83</f>
        <v>4.9030800000000001</v>
      </c>
      <c r="L83" s="88">
        <f t="shared" ref="L83:M85" si="71">5.388*I83</f>
        <v>5.0162279999999999</v>
      </c>
      <c r="M83" s="88">
        <f t="shared" si="71"/>
        <v>5.1778680000000001</v>
      </c>
      <c r="N83" s="88">
        <f t="shared" si="69"/>
        <v>5.0323920000000006</v>
      </c>
      <c r="O83" s="88">
        <f>N83/5</f>
        <v>1.0064784000000002</v>
      </c>
      <c r="P83" s="88">
        <f t="shared" si="57"/>
        <v>7.1891314285714297E-2</v>
      </c>
      <c r="Q83" s="88">
        <f t="shared" si="58"/>
        <v>7.1891314285714297E-2</v>
      </c>
      <c r="R83" s="88">
        <f t="shared" si="59"/>
        <v>4.4572614857142865</v>
      </c>
      <c r="S83" s="141"/>
      <c r="T83" s="88"/>
      <c r="U83" s="87"/>
      <c r="Z83" s="88"/>
      <c r="AA83" s="88"/>
    </row>
    <row r="84" spans="1:27" x14ac:dyDescent="0.15">
      <c r="B84" s="194"/>
      <c r="C84" s="197"/>
      <c r="D84" s="251"/>
      <c r="E84" s="235"/>
      <c r="F84" s="85" t="s">
        <v>95</v>
      </c>
      <c r="G84" s="237"/>
      <c r="H84" s="86">
        <f>0.984-G83</f>
        <v>0.91</v>
      </c>
      <c r="I84" s="88">
        <f>1.028-G83</f>
        <v>0.95400000000000007</v>
      </c>
      <c r="J84" s="88">
        <f>1.033-G83</f>
        <v>0.95899999999999996</v>
      </c>
      <c r="K84" s="88">
        <f t="shared" ref="K84:K85" si="72">5.388*H84</f>
        <v>4.9030800000000001</v>
      </c>
      <c r="L84" s="88">
        <f t="shared" si="71"/>
        <v>5.1401520000000005</v>
      </c>
      <c r="M84" s="88">
        <f t="shared" si="71"/>
        <v>5.1670919999999994</v>
      </c>
      <c r="N84" s="88">
        <f t="shared" si="69"/>
        <v>5.0701080000000003</v>
      </c>
      <c r="O84" s="88">
        <f>N84/5</f>
        <v>1.0140216</v>
      </c>
      <c r="P84" s="88">
        <f t="shared" si="57"/>
        <v>7.2430114285714289E-2</v>
      </c>
      <c r="Q84" s="88">
        <f t="shared" si="58"/>
        <v>7.2430114285714289E-2</v>
      </c>
      <c r="R84" s="88">
        <f t="shared" si="59"/>
        <v>4.4906670857142856</v>
      </c>
      <c r="S84" s="141"/>
      <c r="T84" s="88"/>
      <c r="U84" s="87"/>
      <c r="Z84" s="88"/>
      <c r="AA84" s="88"/>
    </row>
    <row r="85" spans="1:27" x14ac:dyDescent="0.15">
      <c r="B85" s="194"/>
      <c r="C85" s="197"/>
      <c r="D85" s="251"/>
      <c r="E85" s="235"/>
      <c r="F85" s="85" t="s">
        <v>96</v>
      </c>
      <c r="G85" s="237"/>
      <c r="H85" s="86">
        <f>0.962-G83</f>
        <v>0.88800000000000001</v>
      </c>
      <c r="I85" s="88">
        <f>0.982-G83</f>
        <v>0.90800000000000003</v>
      </c>
      <c r="J85" s="88">
        <f>0.994-G83</f>
        <v>0.92</v>
      </c>
      <c r="K85" s="88">
        <f t="shared" si="72"/>
        <v>4.7845440000000004</v>
      </c>
      <c r="L85" s="88">
        <f t="shared" si="71"/>
        <v>4.8923040000000002</v>
      </c>
      <c r="M85" s="88">
        <f t="shared" si="71"/>
        <v>4.9569600000000005</v>
      </c>
      <c r="N85" s="88">
        <f t="shared" si="69"/>
        <v>4.877936</v>
      </c>
      <c r="O85" s="88">
        <f>N85/5</f>
        <v>0.97558719999999999</v>
      </c>
      <c r="P85" s="88">
        <f t="shared" si="57"/>
        <v>6.9684800000000005E-2</v>
      </c>
      <c r="Q85" s="88">
        <f t="shared" si="58"/>
        <v>6.9684800000000005E-2</v>
      </c>
      <c r="R85" s="88">
        <f t="shared" si="59"/>
        <v>4.3204576000000001</v>
      </c>
      <c r="S85" s="141">
        <f>AVERAGE(R83:R85)</f>
        <v>4.4227953904761916</v>
      </c>
      <c r="T85" s="88">
        <f>STDEV(R83:R85)</f>
        <v>9.0187310900710999E-2</v>
      </c>
      <c r="U85" s="87">
        <f>T85/SQRT(3)</f>
        <v>5.2069668226013971E-2</v>
      </c>
    </row>
    <row r="86" spans="1:27" x14ac:dyDescent="0.15">
      <c r="B86" s="193" t="s">
        <v>36</v>
      </c>
      <c r="C86" s="196">
        <v>0.4916666666666667</v>
      </c>
      <c r="D86" s="262">
        <v>385.65000000000003</v>
      </c>
      <c r="E86" s="248">
        <v>17</v>
      </c>
      <c r="F86" s="138" t="s">
        <v>94</v>
      </c>
      <c r="G86" s="239">
        <v>7.2333333333333319E-2</v>
      </c>
      <c r="H86" s="106">
        <v>0.57899999999999996</v>
      </c>
      <c r="I86" s="110">
        <v>0.59899999999999998</v>
      </c>
      <c r="J86" s="110">
        <v>0.60099999999999998</v>
      </c>
      <c r="K86" s="110">
        <f>3.9395*H86</f>
        <v>2.2809704999999996</v>
      </c>
      <c r="L86" s="110">
        <f t="shared" ref="L86:M88" si="73">3.9395*I86</f>
        <v>2.3597604999999997</v>
      </c>
      <c r="M86" s="110">
        <f t="shared" si="73"/>
        <v>2.3676394999999997</v>
      </c>
      <c r="N86" s="110">
        <f t="shared" si="69"/>
        <v>2.3361234999999994</v>
      </c>
      <c r="O86" s="110">
        <f t="shared" ref="O86:O91" si="74">N86/2.5</f>
        <v>0.93444939999999976</v>
      </c>
      <c r="P86" s="110">
        <f t="shared" si="57"/>
        <v>6.6746385714285691E-2</v>
      </c>
      <c r="Q86" s="110">
        <f t="shared" si="58"/>
        <v>6.6746385714285691E-2</v>
      </c>
      <c r="R86" s="110">
        <f t="shared" si="59"/>
        <v>4.1382759142857131</v>
      </c>
      <c r="S86" s="144"/>
      <c r="T86" s="117"/>
      <c r="U86" s="105"/>
    </row>
    <row r="87" spans="1:27" x14ac:dyDescent="0.15">
      <c r="B87" s="194"/>
      <c r="C87" s="197"/>
      <c r="D87" s="231"/>
      <c r="E87" s="235"/>
      <c r="F87" s="85" t="s">
        <v>95</v>
      </c>
      <c r="G87" s="237"/>
      <c r="H87" s="86">
        <v>0.59</v>
      </c>
      <c r="I87" s="88">
        <v>0.58599999999999997</v>
      </c>
      <c r="J87" s="88">
        <v>0.59899999999999998</v>
      </c>
      <c r="K87" s="88">
        <f t="shared" ref="K87:K88" si="75">3.9395*H87</f>
        <v>2.3243049999999998</v>
      </c>
      <c r="L87" s="88">
        <f t="shared" si="73"/>
        <v>2.3085469999999999</v>
      </c>
      <c r="M87" s="88">
        <f t="shared" si="73"/>
        <v>2.3597604999999997</v>
      </c>
      <c r="N87" s="88">
        <f t="shared" si="69"/>
        <v>2.3308708333333334</v>
      </c>
      <c r="O87" s="88">
        <f t="shared" si="74"/>
        <v>0.93234833333333333</v>
      </c>
      <c r="P87" s="88">
        <f t="shared" si="57"/>
        <v>6.659630952380953E-2</v>
      </c>
      <c r="Q87" s="88">
        <f t="shared" si="58"/>
        <v>6.659630952380953E-2</v>
      </c>
      <c r="R87" s="88">
        <f t="shared" si="59"/>
        <v>4.1289711904761912</v>
      </c>
      <c r="S87" s="139"/>
      <c r="T87" s="62"/>
      <c r="U87" s="84"/>
    </row>
    <row r="88" spans="1:27" x14ac:dyDescent="0.15">
      <c r="B88" s="208"/>
      <c r="C88" s="209"/>
      <c r="D88" s="263"/>
      <c r="E88" s="249"/>
      <c r="F88" s="95" t="s">
        <v>96</v>
      </c>
      <c r="G88" s="240"/>
      <c r="H88" s="96">
        <v>0.61399999999999999</v>
      </c>
      <c r="I88" s="98">
        <v>0.61699999999999999</v>
      </c>
      <c r="J88" s="98">
        <v>0.65800000000000003</v>
      </c>
      <c r="K88" s="98">
        <f t="shared" si="75"/>
        <v>2.4188529999999999</v>
      </c>
      <c r="L88" s="98">
        <f t="shared" si="73"/>
        <v>2.4306714999999999</v>
      </c>
      <c r="M88" s="98">
        <f t="shared" si="73"/>
        <v>2.5921910000000001</v>
      </c>
      <c r="N88" s="98">
        <f t="shared" si="69"/>
        <v>2.4805718333333329</v>
      </c>
      <c r="O88" s="98">
        <f t="shared" si="74"/>
        <v>0.99222873333333317</v>
      </c>
      <c r="P88" s="98">
        <f t="shared" si="57"/>
        <v>7.0873480952380941E-2</v>
      </c>
      <c r="Q88" s="98">
        <f t="shared" si="58"/>
        <v>7.0873480952380941E-2</v>
      </c>
      <c r="R88" s="98">
        <f t="shared" si="59"/>
        <v>4.3941558190476186</v>
      </c>
      <c r="S88" s="143">
        <f>AVERAGE(R86:R88)</f>
        <v>4.220467641269841</v>
      </c>
      <c r="T88" s="98">
        <f>STDEV(R86:R88)</f>
        <v>0.15049030465819566</v>
      </c>
      <c r="U88" s="97">
        <f>T88/SQRT(3)</f>
        <v>8.6885617904838064E-2</v>
      </c>
    </row>
    <row r="89" spans="1:27" x14ac:dyDescent="0.15">
      <c r="B89" s="257" t="s">
        <v>33</v>
      </c>
      <c r="C89" s="260">
        <v>0.52500000000000002</v>
      </c>
      <c r="D89" s="251">
        <v>433.88333333333333</v>
      </c>
      <c r="E89" s="235">
        <v>19</v>
      </c>
      <c r="F89" s="85" t="s">
        <v>94</v>
      </c>
      <c r="G89" s="237">
        <f>(0.07+0.074+0.071)/3</f>
        <v>7.166666666666667E-2</v>
      </c>
      <c r="H89" s="86">
        <f>0.565-G89</f>
        <v>0.49333333333333329</v>
      </c>
      <c r="I89" s="88">
        <f>0.575-G89</f>
        <v>0.5033333333333333</v>
      </c>
      <c r="J89" s="88">
        <f>0.593-G89</f>
        <v>0.52133333333333332</v>
      </c>
      <c r="K89" s="88">
        <f>5.1849*H89</f>
        <v>2.5578839999999996</v>
      </c>
      <c r="L89" s="88">
        <f t="shared" ref="L89:M91" si="76">5.1849*I89</f>
        <v>2.6097329999999999</v>
      </c>
      <c r="M89" s="88">
        <f t="shared" si="76"/>
        <v>2.7030611999999996</v>
      </c>
      <c r="N89" s="88">
        <f t="shared" si="69"/>
        <v>2.6235594</v>
      </c>
      <c r="O89" s="88">
        <f t="shared" si="74"/>
        <v>1.04942376</v>
      </c>
      <c r="P89" s="88">
        <f t="shared" si="57"/>
        <v>7.4958839999999999E-2</v>
      </c>
      <c r="Q89" s="88">
        <f t="shared" si="58"/>
        <v>7.4958839999999999E-2</v>
      </c>
      <c r="R89" s="88">
        <f t="shared" si="59"/>
        <v>4.6474480800000002</v>
      </c>
      <c r="S89" s="139"/>
      <c r="T89" s="62"/>
      <c r="U89" s="84"/>
    </row>
    <row r="90" spans="1:27" x14ac:dyDescent="0.15">
      <c r="B90" s="257"/>
      <c r="C90" s="260"/>
      <c r="D90" s="251"/>
      <c r="E90" s="235"/>
      <c r="F90" s="85" t="s">
        <v>95</v>
      </c>
      <c r="G90" s="237"/>
      <c r="H90" s="86">
        <f>0.443-G89</f>
        <v>0.37133333333333335</v>
      </c>
      <c r="I90" s="88">
        <f>0.474-G89</f>
        <v>0.40233333333333332</v>
      </c>
      <c r="J90" s="88">
        <f>0.464-G89</f>
        <v>0.39233333333333337</v>
      </c>
      <c r="K90" s="88">
        <f t="shared" ref="K90:K91" si="77">5.1849*H90</f>
        <v>1.9253262</v>
      </c>
      <c r="L90" s="88">
        <f t="shared" si="76"/>
        <v>2.0860580999999998</v>
      </c>
      <c r="M90" s="88">
        <f t="shared" si="76"/>
        <v>2.0342091</v>
      </c>
      <c r="N90" s="88">
        <f t="shared" si="69"/>
        <v>2.0151977999999997</v>
      </c>
      <c r="O90" s="88">
        <f t="shared" si="74"/>
        <v>0.80607911999999993</v>
      </c>
      <c r="P90" s="88">
        <f t="shared" si="57"/>
        <v>5.7577079999999996E-2</v>
      </c>
      <c r="Q90" s="88">
        <f t="shared" si="58"/>
        <v>5.7577079999999996E-2</v>
      </c>
      <c r="R90" s="88">
        <f t="shared" si="59"/>
        <v>3.5697789599999998</v>
      </c>
      <c r="S90" s="139"/>
      <c r="T90" s="62"/>
      <c r="U90" s="84"/>
    </row>
    <row r="91" spans="1:27" ht="14" thickBot="1" x14ac:dyDescent="0.2">
      <c r="A91" s="56"/>
      <c r="B91" s="259"/>
      <c r="C91" s="261"/>
      <c r="D91" s="255"/>
      <c r="E91" s="236"/>
      <c r="F91" s="127" t="s">
        <v>96</v>
      </c>
      <c r="G91" s="238"/>
      <c r="H91" s="118">
        <f>0.503-G89</f>
        <v>0.43133333333333335</v>
      </c>
      <c r="I91" s="120">
        <f>0.51-G89</f>
        <v>0.43833333333333335</v>
      </c>
      <c r="J91" s="120">
        <f>0.512-G89</f>
        <v>0.44033333333333335</v>
      </c>
      <c r="K91" s="120">
        <f t="shared" si="77"/>
        <v>2.2364202</v>
      </c>
      <c r="L91" s="120">
        <f t="shared" si="76"/>
        <v>2.2727145000000002</v>
      </c>
      <c r="M91" s="120">
        <f t="shared" si="76"/>
        <v>2.2830843000000001</v>
      </c>
      <c r="N91" s="120">
        <f t="shared" si="69"/>
        <v>2.2640730000000002</v>
      </c>
      <c r="O91" s="120">
        <f t="shared" si="74"/>
        <v>0.90562920000000013</v>
      </c>
      <c r="P91" s="120">
        <f t="shared" si="57"/>
        <v>6.4687800000000004E-2</v>
      </c>
      <c r="Q91" s="120">
        <f t="shared" si="58"/>
        <v>6.4687800000000004E-2</v>
      </c>
      <c r="R91" s="120">
        <f t="shared" si="59"/>
        <v>4.0106435999999999</v>
      </c>
      <c r="S91" s="145">
        <f>AVERAGE(R89:R91)</f>
        <v>4.0759568800000006</v>
      </c>
      <c r="T91" s="120">
        <f>STDEV(R89:R91)</f>
        <v>0.54179521173470579</v>
      </c>
      <c r="U91" s="119">
        <f>T91/SQRT(3)</f>
        <v>0.31280561134068269</v>
      </c>
    </row>
    <row r="92" spans="1:27" x14ac:dyDescent="0.15">
      <c r="B92" s="62"/>
      <c r="C92" s="62"/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62"/>
    </row>
    <row r="93" spans="1:27" x14ac:dyDescent="0.15"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</row>
    <row r="94" spans="1:27" x14ac:dyDescent="0.15"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</row>
    <row r="95" spans="1:27" x14ac:dyDescent="0.15"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</row>
    <row r="96" spans="1:27" x14ac:dyDescent="0.15"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</row>
    <row r="97" spans="2:21" x14ac:dyDescent="0.15">
      <c r="B97" s="62"/>
      <c r="C97" s="62"/>
      <c r="D97" s="62"/>
      <c r="E97" s="62"/>
      <c r="F97" s="62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</row>
    <row r="98" spans="2:21" x14ac:dyDescent="0.15">
      <c r="B98" s="62"/>
      <c r="C98" s="62"/>
      <c r="D98" s="62"/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</row>
    <row r="99" spans="2:21" x14ac:dyDescent="0.15"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</row>
    <row r="100" spans="2:21" x14ac:dyDescent="0.15"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</row>
    <row r="101" spans="2:21" x14ac:dyDescent="0.15">
      <c r="B101" s="62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</row>
    <row r="102" spans="2:21" x14ac:dyDescent="0.15">
      <c r="B102" s="62"/>
      <c r="C102" s="62"/>
      <c r="D102" s="62"/>
      <c r="E102" s="62"/>
      <c r="F102" s="62"/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</row>
    <row r="103" spans="2:21" x14ac:dyDescent="0.15"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</row>
    <row r="104" spans="2:21" x14ac:dyDescent="0.15"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</row>
    <row r="105" spans="2:21" x14ac:dyDescent="0.15"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</row>
    <row r="106" spans="2:21" x14ac:dyDescent="0.15"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</row>
    <row r="107" spans="2:21" x14ac:dyDescent="0.15"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</row>
    <row r="108" spans="2:21" x14ac:dyDescent="0.15"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</row>
    <row r="109" spans="2:21" x14ac:dyDescent="0.15"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</row>
    <row r="110" spans="2:21" x14ac:dyDescent="0.15">
      <c r="B110" s="62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2"/>
      <c r="S110" s="62"/>
      <c r="T110" s="62"/>
      <c r="U110" s="62"/>
    </row>
    <row r="111" spans="2:21" x14ac:dyDescent="0.15"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</row>
    <row r="112" spans="2:21" x14ac:dyDescent="0.15">
      <c r="B112" s="62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2"/>
      <c r="U112" s="62"/>
    </row>
    <row r="113" spans="2:21" x14ac:dyDescent="0.15"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</row>
    <row r="114" spans="2:21" x14ac:dyDescent="0.15">
      <c r="B114" s="62"/>
      <c r="C114" s="62"/>
      <c r="D114" s="62"/>
      <c r="E114" s="62"/>
      <c r="F114" s="62"/>
      <c r="G114" s="62"/>
      <c r="H114" s="62"/>
      <c r="I114" s="62"/>
      <c r="J114" s="62"/>
      <c r="K114" s="62"/>
      <c r="L114" s="62"/>
      <c r="M114" s="62"/>
      <c r="N114" s="62"/>
      <c r="O114" s="62"/>
      <c r="P114" s="62"/>
      <c r="Q114" s="62"/>
      <c r="R114" s="62"/>
      <c r="S114" s="62"/>
      <c r="T114" s="62"/>
      <c r="U114" s="62"/>
    </row>
    <row r="115" spans="2:21" x14ac:dyDescent="0.15"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</row>
    <row r="116" spans="2:21" x14ac:dyDescent="0.15"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</row>
    <row r="117" spans="2:21" x14ac:dyDescent="0.15"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</row>
    <row r="118" spans="2:21" x14ac:dyDescent="0.15">
      <c r="B118" s="62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2"/>
      <c r="U118" s="62"/>
    </row>
    <row r="119" spans="2:21" x14ac:dyDescent="0.15">
      <c r="B119" s="62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2"/>
      <c r="S119" s="62"/>
      <c r="T119" s="62"/>
      <c r="U119" s="62"/>
    </row>
    <row r="120" spans="2:21" x14ac:dyDescent="0.15">
      <c r="B120" s="62"/>
      <c r="C120" s="62"/>
      <c r="D120" s="62"/>
      <c r="E120" s="62"/>
      <c r="F120" s="62"/>
      <c r="G120" s="62"/>
      <c r="H120" s="62"/>
      <c r="I120" s="62"/>
      <c r="J120" s="62"/>
      <c r="K120" s="62"/>
      <c r="L120" s="62"/>
      <c r="M120" s="62"/>
      <c r="N120" s="62"/>
      <c r="O120" s="62"/>
      <c r="P120" s="62"/>
      <c r="Q120" s="62"/>
      <c r="R120" s="62"/>
      <c r="S120" s="62"/>
      <c r="T120" s="62"/>
      <c r="U120" s="62"/>
    </row>
    <row r="121" spans="2:21" x14ac:dyDescent="0.15">
      <c r="B121" s="62"/>
      <c r="C121" s="62"/>
      <c r="D121" s="62"/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2"/>
      <c r="U121" s="62"/>
    </row>
    <row r="122" spans="2:21" x14ac:dyDescent="0.15">
      <c r="B122" s="62"/>
      <c r="C122" s="62"/>
      <c r="D122" s="62"/>
      <c r="E122" s="62"/>
      <c r="F122" s="62"/>
      <c r="G122" s="62"/>
      <c r="H122" s="62"/>
      <c r="I122" s="62"/>
      <c r="J122" s="62"/>
      <c r="K122" s="62"/>
      <c r="L122" s="62"/>
      <c r="M122" s="62"/>
      <c r="N122" s="62"/>
      <c r="O122" s="62"/>
      <c r="P122" s="62"/>
      <c r="Q122" s="62"/>
      <c r="R122" s="62"/>
      <c r="S122" s="62"/>
      <c r="T122" s="62"/>
      <c r="U122" s="62"/>
    </row>
    <row r="123" spans="2:21" x14ac:dyDescent="0.15">
      <c r="B123" s="62"/>
      <c r="C123" s="62"/>
      <c r="D123" s="62"/>
      <c r="E123" s="62"/>
      <c r="F123" s="62"/>
      <c r="G123" s="62"/>
      <c r="H123" s="62"/>
      <c r="I123" s="62"/>
      <c r="J123" s="62"/>
      <c r="K123" s="62"/>
      <c r="L123" s="62"/>
      <c r="M123" s="62"/>
      <c r="N123" s="62"/>
      <c r="O123" s="62"/>
      <c r="P123" s="62"/>
      <c r="Q123" s="62"/>
      <c r="R123" s="62"/>
      <c r="S123" s="62"/>
      <c r="T123" s="62"/>
      <c r="U123" s="62"/>
    </row>
    <row r="124" spans="2:21" x14ac:dyDescent="0.15">
      <c r="B124" s="62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62"/>
      <c r="N124" s="62"/>
      <c r="O124" s="62"/>
      <c r="P124" s="62"/>
      <c r="Q124" s="62"/>
      <c r="R124" s="62"/>
      <c r="S124" s="62"/>
      <c r="T124" s="62"/>
      <c r="U124" s="62"/>
    </row>
    <row r="125" spans="2:21" x14ac:dyDescent="0.15">
      <c r="B125" s="62"/>
      <c r="C125" s="62"/>
      <c r="D125" s="62"/>
      <c r="E125" s="62"/>
      <c r="F125" s="62"/>
      <c r="G125" s="62"/>
      <c r="H125" s="62"/>
      <c r="I125" s="62"/>
      <c r="J125" s="62"/>
      <c r="K125" s="62"/>
      <c r="L125" s="62"/>
      <c r="M125" s="62"/>
      <c r="N125" s="62"/>
      <c r="O125" s="62"/>
      <c r="P125" s="62"/>
      <c r="Q125" s="62"/>
      <c r="R125" s="62"/>
      <c r="S125" s="62"/>
      <c r="T125" s="62"/>
      <c r="U125" s="62"/>
    </row>
    <row r="126" spans="2:21" x14ac:dyDescent="0.15"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2"/>
      <c r="U126" s="62"/>
    </row>
    <row r="127" spans="2:21" x14ac:dyDescent="0.15">
      <c r="B127" s="62"/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62"/>
      <c r="N127" s="62"/>
      <c r="O127" s="62"/>
      <c r="P127" s="62"/>
      <c r="Q127" s="62"/>
      <c r="R127" s="62"/>
      <c r="S127" s="62"/>
      <c r="T127" s="62"/>
      <c r="U127" s="62"/>
    </row>
    <row r="128" spans="2:21" x14ac:dyDescent="0.15">
      <c r="B128" s="62"/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62"/>
      <c r="N128" s="62"/>
      <c r="O128" s="62"/>
      <c r="P128" s="62"/>
      <c r="Q128" s="62"/>
      <c r="R128" s="62"/>
      <c r="S128" s="62"/>
      <c r="T128" s="62"/>
      <c r="U128" s="62"/>
    </row>
    <row r="129" spans="2:21" x14ac:dyDescent="0.15">
      <c r="B129" s="62"/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62"/>
      <c r="N129" s="62"/>
      <c r="O129" s="62"/>
      <c r="P129" s="62"/>
      <c r="Q129" s="62"/>
      <c r="R129" s="62"/>
      <c r="S129" s="62"/>
      <c r="T129" s="62"/>
      <c r="U129" s="62"/>
    </row>
    <row r="130" spans="2:21" x14ac:dyDescent="0.15">
      <c r="B130" s="62"/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62"/>
      <c r="N130" s="62"/>
      <c r="O130" s="62"/>
      <c r="P130" s="62"/>
      <c r="Q130" s="62"/>
      <c r="R130" s="62"/>
      <c r="S130" s="62"/>
      <c r="T130" s="62"/>
      <c r="U130" s="62"/>
    </row>
    <row r="131" spans="2:21" x14ac:dyDescent="0.15">
      <c r="B131" s="62"/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62"/>
      <c r="N131" s="62"/>
      <c r="O131" s="62"/>
      <c r="P131" s="62"/>
      <c r="Q131" s="62"/>
      <c r="R131" s="62"/>
      <c r="S131" s="62"/>
      <c r="T131" s="62"/>
      <c r="U131" s="62"/>
    </row>
    <row r="132" spans="2:21" x14ac:dyDescent="0.15">
      <c r="B132" s="62"/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62"/>
      <c r="N132" s="62"/>
      <c r="O132" s="62"/>
      <c r="P132" s="62"/>
      <c r="Q132" s="62"/>
      <c r="R132" s="62"/>
      <c r="S132" s="62"/>
      <c r="T132" s="62"/>
      <c r="U132" s="62"/>
    </row>
    <row r="133" spans="2:21" x14ac:dyDescent="0.15">
      <c r="B133" s="62"/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62"/>
      <c r="N133" s="62"/>
      <c r="O133" s="62"/>
      <c r="P133" s="62"/>
      <c r="Q133" s="62"/>
      <c r="R133" s="62"/>
      <c r="S133" s="62"/>
      <c r="T133" s="62"/>
      <c r="U133" s="62"/>
    </row>
    <row r="134" spans="2:21" x14ac:dyDescent="0.15"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2"/>
      <c r="U134" s="62"/>
    </row>
    <row r="135" spans="2:21" x14ac:dyDescent="0.15">
      <c r="B135" s="62"/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</row>
    <row r="136" spans="2:21" x14ac:dyDescent="0.15">
      <c r="B136" s="62"/>
      <c r="C136" s="62"/>
      <c r="D136" s="62"/>
      <c r="E136" s="62"/>
      <c r="F136" s="62"/>
      <c r="G136" s="62"/>
      <c r="H136" s="62"/>
      <c r="I136" s="62"/>
      <c r="J136" s="62"/>
      <c r="K136" s="62"/>
      <c r="L136" s="62"/>
      <c r="M136" s="62"/>
      <c r="N136" s="62"/>
      <c r="O136" s="62"/>
      <c r="P136" s="62"/>
      <c r="Q136" s="62"/>
      <c r="R136" s="62"/>
      <c r="S136" s="62"/>
      <c r="T136" s="62"/>
      <c r="U136" s="62"/>
    </row>
    <row r="137" spans="2:21" x14ac:dyDescent="0.15">
      <c r="B137" s="62"/>
      <c r="C137" s="62"/>
      <c r="D137" s="62"/>
      <c r="E137" s="62"/>
      <c r="F137" s="62"/>
      <c r="G137" s="62"/>
      <c r="H137" s="62"/>
      <c r="I137" s="62"/>
      <c r="J137" s="62"/>
      <c r="K137" s="62"/>
      <c r="L137" s="62"/>
      <c r="M137" s="62"/>
      <c r="N137" s="62"/>
      <c r="O137" s="62"/>
      <c r="P137" s="62"/>
      <c r="Q137" s="62"/>
      <c r="R137" s="62"/>
      <c r="S137" s="62"/>
      <c r="T137" s="62"/>
      <c r="U137" s="62"/>
    </row>
    <row r="138" spans="2:21" x14ac:dyDescent="0.15">
      <c r="B138" s="62"/>
      <c r="C138" s="62"/>
      <c r="D138" s="62"/>
      <c r="E138" s="62"/>
      <c r="F138" s="62"/>
      <c r="G138" s="62"/>
      <c r="H138" s="62"/>
      <c r="I138" s="62"/>
      <c r="J138" s="62"/>
      <c r="K138" s="62"/>
      <c r="L138" s="62"/>
      <c r="M138" s="62"/>
      <c r="N138" s="62"/>
      <c r="O138" s="62"/>
      <c r="P138" s="62"/>
      <c r="Q138" s="62"/>
      <c r="R138" s="62"/>
      <c r="S138" s="62"/>
      <c r="T138" s="62"/>
      <c r="U138" s="62"/>
    </row>
    <row r="139" spans="2:21" x14ac:dyDescent="0.15"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</row>
    <row r="140" spans="2:21" x14ac:dyDescent="0.15">
      <c r="B140" s="62"/>
      <c r="C140" s="62"/>
      <c r="D140" s="62"/>
      <c r="E140" s="62"/>
      <c r="F140" s="62"/>
      <c r="G140" s="62"/>
      <c r="H140" s="62"/>
      <c r="I140" s="62"/>
      <c r="J140" s="62"/>
      <c r="K140" s="62"/>
      <c r="L140" s="62"/>
      <c r="M140" s="62"/>
      <c r="N140" s="62"/>
      <c r="O140" s="62"/>
      <c r="P140" s="62"/>
      <c r="Q140" s="62"/>
      <c r="R140" s="62"/>
      <c r="S140" s="62"/>
      <c r="T140" s="62"/>
      <c r="U140" s="62"/>
    </row>
    <row r="141" spans="2:21" x14ac:dyDescent="0.15">
      <c r="B141" s="62"/>
      <c r="C141" s="62"/>
      <c r="D141" s="62"/>
      <c r="E141" s="62"/>
      <c r="F141" s="62"/>
      <c r="G141" s="62"/>
      <c r="H141" s="62"/>
      <c r="I141" s="62"/>
      <c r="J141" s="62"/>
      <c r="K141" s="62"/>
      <c r="L141" s="62"/>
      <c r="M141" s="62"/>
      <c r="N141" s="62"/>
      <c r="O141" s="62"/>
      <c r="P141" s="62"/>
      <c r="Q141" s="62"/>
      <c r="R141" s="62"/>
      <c r="S141" s="62"/>
      <c r="T141" s="62"/>
      <c r="U141" s="62"/>
    </row>
    <row r="142" spans="2:21" x14ac:dyDescent="0.15">
      <c r="B142" s="62"/>
      <c r="C142" s="62"/>
      <c r="D142" s="62"/>
      <c r="E142" s="62"/>
      <c r="F142" s="62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</row>
    <row r="143" spans="2:21" x14ac:dyDescent="0.15">
      <c r="B143" s="62"/>
      <c r="C143" s="62"/>
      <c r="D143" s="62"/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</row>
    <row r="144" spans="2:21" x14ac:dyDescent="0.15"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2"/>
      <c r="U144" s="62"/>
    </row>
    <row r="145" spans="2:21" x14ac:dyDescent="0.15">
      <c r="B145" s="62"/>
      <c r="C145" s="62"/>
      <c r="D145" s="62"/>
      <c r="E145" s="62"/>
      <c r="F145" s="62"/>
      <c r="G145" s="62"/>
      <c r="H145" s="62"/>
      <c r="I145" s="62"/>
      <c r="J145" s="62"/>
      <c r="K145" s="62"/>
      <c r="L145" s="62"/>
      <c r="M145" s="62"/>
      <c r="N145" s="62"/>
      <c r="O145" s="62"/>
      <c r="P145" s="62"/>
      <c r="Q145" s="62"/>
      <c r="R145" s="62"/>
      <c r="S145" s="62"/>
      <c r="T145" s="62"/>
      <c r="U145" s="62"/>
    </row>
    <row r="146" spans="2:21" x14ac:dyDescent="0.15">
      <c r="B146" s="62"/>
      <c r="C146" s="62"/>
      <c r="D146" s="62"/>
      <c r="E146" s="62"/>
      <c r="F146" s="62"/>
      <c r="G146" s="62"/>
      <c r="H146" s="62"/>
      <c r="I146" s="62"/>
      <c r="J146" s="62"/>
      <c r="K146" s="62"/>
      <c r="L146" s="62"/>
      <c r="M146" s="62"/>
      <c r="N146" s="62"/>
      <c r="O146" s="62"/>
      <c r="P146" s="62"/>
      <c r="Q146" s="62"/>
      <c r="R146" s="62"/>
      <c r="S146" s="62"/>
      <c r="T146" s="62"/>
      <c r="U146" s="62"/>
    </row>
    <row r="147" spans="2:21" x14ac:dyDescent="0.15">
      <c r="B147" s="62"/>
      <c r="C147" s="62"/>
      <c r="D147" s="62"/>
      <c r="E147" s="62"/>
      <c r="F147" s="62"/>
      <c r="G147" s="62"/>
      <c r="H147" s="62"/>
      <c r="I147" s="62"/>
      <c r="J147" s="62"/>
      <c r="K147" s="62"/>
      <c r="L147" s="62"/>
      <c r="M147" s="62"/>
      <c r="N147" s="62"/>
      <c r="O147" s="62"/>
      <c r="P147" s="62"/>
      <c r="Q147" s="62"/>
      <c r="R147" s="62"/>
      <c r="S147" s="62"/>
      <c r="T147" s="62"/>
      <c r="U147" s="62"/>
    </row>
    <row r="148" spans="2:21" x14ac:dyDescent="0.15">
      <c r="B148" s="62"/>
      <c r="C148" s="62"/>
      <c r="D148" s="62"/>
      <c r="E148" s="62"/>
      <c r="F148" s="62"/>
      <c r="G148" s="62"/>
      <c r="H148" s="62"/>
      <c r="I148" s="62"/>
      <c r="J148" s="62"/>
      <c r="K148" s="62"/>
      <c r="L148" s="62"/>
      <c r="M148" s="62"/>
      <c r="N148" s="62"/>
      <c r="O148" s="62"/>
      <c r="P148" s="62"/>
      <c r="Q148" s="62"/>
      <c r="R148" s="62"/>
      <c r="S148" s="62"/>
      <c r="T148" s="62"/>
      <c r="U148" s="62"/>
    </row>
    <row r="149" spans="2:21" x14ac:dyDescent="0.15">
      <c r="B149" s="62"/>
      <c r="C149" s="62"/>
      <c r="D149" s="62"/>
      <c r="E149" s="62"/>
      <c r="F149" s="62"/>
      <c r="G149" s="62"/>
      <c r="H149" s="62"/>
      <c r="I149" s="62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62"/>
      <c r="U149" s="62"/>
    </row>
    <row r="150" spans="2:21" x14ac:dyDescent="0.15">
      <c r="B150" s="62"/>
      <c r="C150" s="62"/>
      <c r="D150" s="62"/>
      <c r="E150" s="62"/>
      <c r="F150" s="62"/>
      <c r="G150" s="62"/>
      <c r="H150" s="62"/>
      <c r="I150" s="62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62"/>
      <c r="U150" s="62"/>
    </row>
    <row r="151" spans="2:21" x14ac:dyDescent="0.15">
      <c r="B151" s="62"/>
      <c r="C151" s="62"/>
      <c r="D151" s="62"/>
      <c r="E151" s="62"/>
      <c r="F151" s="62"/>
      <c r="G151" s="62"/>
      <c r="H151" s="62"/>
      <c r="I151" s="62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62"/>
      <c r="U151" s="62"/>
    </row>
    <row r="152" spans="2:21" x14ac:dyDescent="0.15"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2"/>
      <c r="U152" s="62"/>
    </row>
    <row r="153" spans="2:21" x14ac:dyDescent="0.15">
      <c r="B153" s="62"/>
      <c r="C153" s="62"/>
      <c r="D153" s="62"/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</row>
    <row r="154" spans="2:21" x14ac:dyDescent="0.15"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2"/>
      <c r="U154" s="62"/>
    </row>
    <row r="155" spans="2:21" x14ac:dyDescent="0.15">
      <c r="B155" s="62"/>
      <c r="C155" s="62"/>
      <c r="D155" s="62"/>
      <c r="E155" s="62"/>
      <c r="F155" s="62"/>
      <c r="G155" s="62"/>
      <c r="H155" s="62"/>
      <c r="I155" s="62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62"/>
      <c r="U155" s="62"/>
    </row>
    <row r="156" spans="2:21" x14ac:dyDescent="0.15">
      <c r="B156" s="62"/>
      <c r="C156" s="62"/>
      <c r="D156" s="62"/>
      <c r="E156" s="62"/>
      <c r="F156" s="62"/>
      <c r="G156" s="62"/>
      <c r="H156" s="62"/>
      <c r="I156" s="62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62"/>
      <c r="U156" s="62"/>
    </row>
    <row r="157" spans="2:21" x14ac:dyDescent="0.15">
      <c r="B157" s="62"/>
      <c r="C157" s="62"/>
      <c r="D157" s="62"/>
      <c r="E157" s="62"/>
      <c r="F157" s="62"/>
      <c r="G157" s="62"/>
      <c r="H157" s="62"/>
      <c r="I157" s="62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62"/>
      <c r="U157" s="62"/>
    </row>
    <row r="158" spans="2:21" x14ac:dyDescent="0.15"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2"/>
    </row>
    <row r="159" spans="2:21" x14ac:dyDescent="0.15">
      <c r="B159" s="62"/>
      <c r="C159" s="62"/>
      <c r="D159" s="62"/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</row>
    <row r="160" spans="2:21" x14ac:dyDescent="0.15">
      <c r="B160" s="62"/>
      <c r="C160" s="62"/>
      <c r="D160" s="62"/>
      <c r="E160" s="62"/>
      <c r="F160" s="62"/>
      <c r="G160" s="62"/>
      <c r="H160" s="62"/>
      <c r="I160" s="62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62"/>
      <c r="U160" s="62"/>
    </row>
    <row r="161" spans="2:21" x14ac:dyDescent="0.15">
      <c r="B161" s="62"/>
      <c r="C161" s="62"/>
      <c r="D161" s="62"/>
      <c r="E161" s="62"/>
      <c r="F161" s="62"/>
      <c r="G161" s="62"/>
      <c r="H161" s="62"/>
      <c r="I161" s="62"/>
      <c r="J161" s="62"/>
      <c r="K161" s="62"/>
      <c r="L161" s="62"/>
      <c r="M161" s="62"/>
      <c r="N161" s="62"/>
      <c r="O161" s="62"/>
      <c r="P161" s="62"/>
      <c r="Q161" s="62"/>
      <c r="R161" s="62"/>
      <c r="S161" s="62"/>
      <c r="T161" s="62"/>
      <c r="U161" s="62"/>
    </row>
    <row r="162" spans="2:21" x14ac:dyDescent="0.15">
      <c r="B162" s="62"/>
      <c r="C162" s="62"/>
      <c r="D162" s="62"/>
      <c r="E162" s="62"/>
      <c r="F162" s="62"/>
      <c r="G162" s="62"/>
      <c r="H162" s="62"/>
      <c r="I162" s="62"/>
      <c r="J162" s="62"/>
      <c r="K162" s="62"/>
      <c r="L162" s="62"/>
      <c r="M162" s="62"/>
      <c r="N162" s="62"/>
      <c r="O162" s="62"/>
      <c r="P162" s="62"/>
      <c r="Q162" s="62"/>
      <c r="R162" s="62"/>
      <c r="S162" s="62"/>
      <c r="T162" s="62"/>
      <c r="U162" s="62"/>
    </row>
    <row r="163" spans="2:21" x14ac:dyDescent="0.15">
      <c r="B163" s="62"/>
      <c r="C163" s="62"/>
      <c r="D163" s="62"/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</row>
    <row r="164" spans="2:21" x14ac:dyDescent="0.15">
      <c r="B164" s="62"/>
      <c r="C164" s="62"/>
      <c r="D164" s="62"/>
      <c r="E164" s="62"/>
      <c r="F164" s="62"/>
      <c r="G164" s="62"/>
      <c r="H164" s="62"/>
      <c r="I164" s="62"/>
      <c r="J164" s="62"/>
      <c r="K164" s="62"/>
      <c r="L164" s="62"/>
      <c r="M164" s="62"/>
      <c r="N164" s="62"/>
      <c r="O164" s="62"/>
      <c r="P164" s="62"/>
      <c r="Q164" s="62"/>
      <c r="R164" s="62"/>
      <c r="S164" s="62"/>
      <c r="T164" s="62"/>
      <c r="U164" s="62"/>
    </row>
    <row r="165" spans="2:21" x14ac:dyDescent="0.15">
      <c r="B165" s="62"/>
      <c r="C165" s="62"/>
      <c r="D165" s="62"/>
      <c r="E165" s="62"/>
      <c r="F165" s="62"/>
      <c r="G165" s="62"/>
      <c r="H165" s="62"/>
      <c r="I165" s="62"/>
      <c r="J165" s="62"/>
      <c r="K165" s="62"/>
      <c r="L165" s="62"/>
      <c r="M165" s="62"/>
      <c r="N165" s="62"/>
      <c r="O165" s="62"/>
      <c r="P165" s="62"/>
      <c r="Q165" s="62"/>
      <c r="R165" s="62"/>
      <c r="S165" s="62"/>
      <c r="T165" s="62"/>
      <c r="U165" s="62"/>
    </row>
    <row r="166" spans="2:21" x14ac:dyDescent="0.15"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2"/>
      <c r="U166" s="62"/>
    </row>
    <row r="167" spans="2:21" x14ac:dyDescent="0.15"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M167" s="62"/>
      <c r="N167" s="62"/>
      <c r="O167" s="62"/>
      <c r="P167" s="62"/>
      <c r="Q167" s="62"/>
      <c r="R167" s="62"/>
      <c r="S167" s="62"/>
      <c r="T167" s="62"/>
      <c r="U167" s="62"/>
    </row>
    <row r="168" spans="2:21" x14ac:dyDescent="0.15"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</row>
    <row r="169" spans="2:21" x14ac:dyDescent="0.15">
      <c r="B169" s="62"/>
      <c r="C169" s="62"/>
      <c r="D169" s="62"/>
      <c r="E169" s="62"/>
      <c r="F169" s="62"/>
      <c r="G169" s="62"/>
      <c r="H169" s="62"/>
      <c r="I169" s="62"/>
      <c r="J169" s="62"/>
      <c r="K169" s="62"/>
      <c r="L169" s="62"/>
      <c r="M169" s="62"/>
      <c r="N169" s="62"/>
      <c r="O169" s="62"/>
      <c r="P169" s="62"/>
      <c r="Q169" s="62"/>
      <c r="R169" s="62"/>
      <c r="S169" s="62"/>
      <c r="T169" s="62"/>
      <c r="U169" s="62"/>
    </row>
    <row r="170" spans="2:21" x14ac:dyDescent="0.15"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2"/>
      <c r="U170" s="62"/>
    </row>
    <row r="171" spans="2:21" x14ac:dyDescent="0.15">
      <c r="B171" s="62"/>
      <c r="C171" s="62"/>
      <c r="D171" s="62"/>
      <c r="E171" s="62"/>
      <c r="F171" s="62"/>
      <c r="G171" s="62"/>
      <c r="H171" s="62"/>
      <c r="I171" s="62"/>
      <c r="J171" s="62"/>
      <c r="K171" s="62"/>
      <c r="L171" s="62"/>
      <c r="M171" s="62"/>
      <c r="N171" s="62"/>
      <c r="O171" s="62"/>
      <c r="P171" s="62"/>
      <c r="Q171" s="62"/>
      <c r="R171" s="62"/>
      <c r="S171" s="62"/>
      <c r="T171" s="62"/>
      <c r="U171" s="62"/>
    </row>
    <row r="172" spans="2:21" x14ac:dyDescent="0.15">
      <c r="B172" s="62"/>
      <c r="C172" s="62"/>
      <c r="D172" s="62"/>
      <c r="E172" s="62"/>
      <c r="F172" s="62"/>
      <c r="G172" s="62"/>
      <c r="H172" s="62"/>
      <c r="I172" s="62"/>
      <c r="J172" s="62"/>
      <c r="K172" s="62"/>
      <c r="L172" s="62"/>
      <c r="M172" s="62"/>
      <c r="N172" s="62"/>
      <c r="O172" s="62"/>
      <c r="P172" s="62"/>
      <c r="Q172" s="62"/>
      <c r="R172" s="62"/>
      <c r="S172" s="62"/>
      <c r="T172" s="62"/>
      <c r="U172" s="62"/>
    </row>
    <row r="173" spans="2:21" x14ac:dyDescent="0.15">
      <c r="B173" s="62"/>
      <c r="C173" s="62"/>
      <c r="D173" s="62"/>
      <c r="E173" s="62"/>
      <c r="F173" s="62"/>
      <c r="G173" s="62"/>
      <c r="H173" s="62"/>
      <c r="I173" s="62"/>
      <c r="J173" s="62"/>
      <c r="K173" s="62"/>
      <c r="L173" s="62"/>
      <c r="M173" s="62"/>
      <c r="N173" s="62"/>
      <c r="O173" s="62"/>
      <c r="P173" s="62"/>
      <c r="Q173" s="62"/>
      <c r="R173" s="62"/>
      <c r="S173" s="62"/>
      <c r="T173" s="62"/>
      <c r="U173" s="62"/>
    </row>
    <row r="174" spans="2:21" x14ac:dyDescent="0.15">
      <c r="B174" s="62"/>
      <c r="C174" s="62"/>
      <c r="D174" s="62"/>
      <c r="E174" s="62"/>
      <c r="F174" s="62"/>
      <c r="G174" s="62"/>
      <c r="H174" s="62"/>
      <c r="I174" s="62"/>
      <c r="J174" s="62"/>
      <c r="K174" s="62"/>
      <c r="L174" s="62"/>
      <c r="M174" s="62"/>
      <c r="N174" s="62"/>
      <c r="O174" s="62"/>
      <c r="P174" s="62"/>
      <c r="Q174" s="62"/>
      <c r="R174" s="62"/>
      <c r="S174" s="62"/>
      <c r="T174" s="62"/>
      <c r="U174" s="62"/>
    </row>
    <row r="175" spans="2:21" x14ac:dyDescent="0.15">
      <c r="B175" s="62"/>
      <c r="C175" s="62"/>
      <c r="D175" s="62"/>
      <c r="E175" s="62"/>
      <c r="F175" s="62"/>
      <c r="G175" s="62"/>
      <c r="H175" s="62"/>
      <c r="I175" s="62"/>
      <c r="J175" s="62"/>
      <c r="K175" s="62"/>
      <c r="L175" s="62"/>
      <c r="M175" s="62"/>
      <c r="N175" s="62"/>
      <c r="O175" s="62"/>
      <c r="P175" s="62"/>
      <c r="Q175" s="62"/>
      <c r="R175" s="62"/>
      <c r="S175" s="62"/>
      <c r="T175" s="62"/>
      <c r="U175" s="62"/>
    </row>
    <row r="176" spans="2:21" x14ac:dyDescent="0.15">
      <c r="B176" s="62"/>
      <c r="C176" s="62"/>
      <c r="D176" s="62"/>
      <c r="E176" s="62"/>
      <c r="F176" s="62"/>
      <c r="G176" s="62"/>
      <c r="H176" s="62"/>
      <c r="I176" s="62"/>
      <c r="J176" s="62"/>
      <c r="K176" s="62"/>
      <c r="L176" s="62"/>
      <c r="M176" s="62"/>
      <c r="N176" s="62"/>
      <c r="O176" s="62"/>
      <c r="P176" s="62"/>
      <c r="Q176" s="62"/>
      <c r="R176" s="62"/>
      <c r="S176" s="62"/>
      <c r="T176" s="62"/>
      <c r="U176" s="62"/>
    </row>
    <row r="177" spans="2:21" x14ac:dyDescent="0.15">
      <c r="B177" s="62"/>
      <c r="C177" s="62"/>
      <c r="D177" s="62"/>
      <c r="E177" s="62"/>
      <c r="F177" s="62"/>
      <c r="G177" s="62"/>
      <c r="H177" s="62"/>
      <c r="I177" s="62"/>
      <c r="J177" s="62"/>
      <c r="K177" s="62"/>
      <c r="L177" s="62"/>
      <c r="M177" s="62"/>
      <c r="N177" s="62"/>
      <c r="O177" s="62"/>
      <c r="P177" s="62"/>
      <c r="Q177" s="62"/>
      <c r="R177" s="62"/>
      <c r="S177" s="62"/>
      <c r="T177" s="62"/>
      <c r="U177" s="62"/>
    </row>
    <row r="178" spans="2:21" x14ac:dyDescent="0.15"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2"/>
      <c r="U178" s="62"/>
    </row>
    <row r="179" spans="2:21" x14ac:dyDescent="0.15">
      <c r="B179" s="62"/>
      <c r="C179" s="62"/>
      <c r="D179" s="62"/>
      <c r="E179" s="62"/>
      <c r="F179" s="62"/>
      <c r="G179" s="62"/>
      <c r="H179" s="62"/>
      <c r="I179" s="62"/>
      <c r="J179" s="62"/>
      <c r="K179" s="62"/>
      <c r="L179" s="62"/>
      <c r="M179" s="62"/>
      <c r="N179" s="62"/>
      <c r="O179" s="62"/>
      <c r="P179" s="62"/>
      <c r="Q179" s="62"/>
      <c r="R179" s="62"/>
      <c r="S179" s="62"/>
      <c r="T179" s="62"/>
      <c r="U179" s="62"/>
    </row>
    <row r="180" spans="2:21" x14ac:dyDescent="0.15">
      <c r="B180" s="62"/>
      <c r="C180" s="62"/>
      <c r="D180" s="62"/>
      <c r="E180" s="62"/>
      <c r="F180" s="62"/>
      <c r="G180" s="62"/>
      <c r="H180" s="62"/>
      <c r="I180" s="62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62"/>
      <c r="U180" s="62"/>
    </row>
    <row r="181" spans="2:21" x14ac:dyDescent="0.15">
      <c r="B181" s="62"/>
      <c r="C181" s="62"/>
      <c r="D181" s="62"/>
      <c r="E181" s="62"/>
      <c r="F181" s="62"/>
      <c r="G181" s="62"/>
      <c r="H181" s="62"/>
      <c r="I181" s="62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62"/>
      <c r="U181" s="62"/>
    </row>
    <row r="182" spans="2:21" x14ac:dyDescent="0.15">
      <c r="B182" s="62"/>
      <c r="C182" s="62"/>
      <c r="D182" s="62"/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</row>
    <row r="183" spans="2:21" x14ac:dyDescent="0.15">
      <c r="B183" s="62"/>
      <c r="C183" s="62"/>
      <c r="D183" s="62"/>
      <c r="E183" s="62"/>
      <c r="F183" s="62"/>
      <c r="G183" s="62"/>
      <c r="H183" s="62"/>
      <c r="I183" s="62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62"/>
      <c r="U183" s="62"/>
    </row>
    <row r="184" spans="2:21" x14ac:dyDescent="0.15">
      <c r="B184" s="62"/>
      <c r="C184" s="62"/>
      <c r="D184" s="62"/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</row>
    <row r="185" spans="2:21" x14ac:dyDescent="0.15">
      <c r="B185" s="62"/>
      <c r="C185" s="62"/>
      <c r="D185" s="62"/>
      <c r="E185" s="62"/>
      <c r="F185" s="62"/>
      <c r="G185" s="62"/>
      <c r="H185" s="62"/>
      <c r="I185" s="62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62"/>
      <c r="U185" s="62"/>
    </row>
    <row r="186" spans="2:21" x14ac:dyDescent="0.15">
      <c r="B186" s="62"/>
      <c r="C186" s="62"/>
      <c r="D186" s="62"/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</row>
    <row r="187" spans="2:21" x14ac:dyDescent="0.15">
      <c r="B187" s="62"/>
      <c r="C187" s="62"/>
      <c r="D187" s="62"/>
      <c r="E187" s="62"/>
      <c r="F187" s="62"/>
      <c r="G187" s="62"/>
      <c r="H187" s="62"/>
      <c r="I187" s="62"/>
      <c r="J187" s="62"/>
      <c r="K187" s="62"/>
      <c r="L187" s="62"/>
      <c r="M187" s="62"/>
      <c r="N187" s="62"/>
      <c r="O187" s="62"/>
      <c r="P187" s="62"/>
      <c r="Q187" s="62"/>
      <c r="R187" s="62"/>
      <c r="S187" s="62"/>
      <c r="T187" s="62"/>
      <c r="U187" s="62"/>
    </row>
    <row r="188" spans="2:21" x14ac:dyDescent="0.15">
      <c r="B188" s="62"/>
      <c r="C188" s="62"/>
      <c r="D188" s="62"/>
      <c r="E188" s="62"/>
      <c r="F188" s="62"/>
      <c r="G188" s="62"/>
      <c r="H188" s="62"/>
      <c r="I188" s="62"/>
      <c r="J188" s="62"/>
      <c r="K188" s="62"/>
      <c r="L188" s="62"/>
      <c r="M188" s="62"/>
      <c r="N188" s="62"/>
      <c r="O188" s="62"/>
      <c r="P188" s="62"/>
      <c r="Q188" s="62"/>
      <c r="R188" s="62"/>
      <c r="S188" s="62"/>
      <c r="T188" s="62"/>
      <c r="U188" s="62"/>
    </row>
    <row r="189" spans="2:21" x14ac:dyDescent="0.15">
      <c r="B189" s="62"/>
      <c r="C189" s="62"/>
      <c r="D189" s="62"/>
      <c r="E189" s="62"/>
      <c r="F189" s="62"/>
      <c r="G189" s="62"/>
      <c r="H189" s="62"/>
      <c r="I189" s="62"/>
      <c r="J189" s="62"/>
      <c r="K189" s="62"/>
      <c r="L189" s="62"/>
      <c r="M189" s="62"/>
      <c r="N189" s="62"/>
      <c r="O189" s="62"/>
      <c r="P189" s="62"/>
      <c r="Q189" s="62"/>
      <c r="R189" s="62"/>
      <c r="S189" s="62"/>
      <c r="T189" s="62"/>
      <c r="U189" s="62"/>
    </row>
    <row r="190" spans="2:21" x14ac:dyDescent="0.15">
      <c r="B190" s="62"/>
      <c r="C190" s="62"/>
      <c r="D190" s="62"/>
      <c r="E190" s="62"/>
      <c r="F190" s="62"/>
      <c r="G190" s="62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62"/>
      <c r="S190" s="62"/>
      <c r="T190" s="62"/>
      <c r="U190" s="62"/>
    </row>
    <row r="191" spans="2:21" x14ac:dyDescent="0.15">
      <c r="B191" s="62"/>
      <c r="C191" s="62"/>
      <c r="D191" s="62"/>
      <c r="E191" s="62"/>
      <c r="F191" s="62"/>
      <c r="G191" s="62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62"/>
      <c r="S191" s="62"/>
      <c r="T191" s="62"/>
      <c r="U191" s="62"/>
    </row>
    <row r="192" spans="2:21" x14ac:dyDescent="0.15">
      <c r="B192" s="62"/>
      <c r="C192" s="62"/>
      <c r="D192" s="62"/>
      <c r="E192" s="62"/>
      <c r="F192" s="62"/>
      <c r="G192" s="62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62"/>
      <c r="S192" s="62"/>
      <c r="T192" s="62"/>
      <c r="U192" s="62"/>
    </row>
    <row r="193" spans="2:21" x14ac:dyDescent="0.15">
      <c r="B193" s="62"/>
      <c r="C193" s="62"/>
      <c r="D193" s="62"/>
      <c r="E193" s="62"/>
      <c r="F193" s="62"/>
      <c r="G193" s="62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62"/>
      <c r="S193" s="62"/>
      <c r="T193" s="62"/>
      <c r="U193" s="62"/>
    </row>
    <row r="194" spans="2:21" x14ac:dyDescent="0.15">
      <c r="B194" s="62"/>
      <c r="C194" s="62"/>
      <c r="D194" s="62"/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</row>
    <row r="195" spans="2:21" x14ac:dyDescent="0.15">
      <c r="B195" s="62"/>
      <c r="C195" s="62"/>
      <c r="D195" s="62"/>
      <c r="E195" s="62"/>
      <c r="F195" s="62"/>
      <c r="G195" s="62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62"/>
      <c r="S195" s="62"/>
      <c r="T195" s="62"/>
      <c r="U195" s="62"/>
    </row>
    <row r="196" spans="2:21" x14ac:dyDescent="0.15">
      <c r="B196" s="62"/>
      <c r="C196" s="62"/>
      <c r="D196" s="62"/>
      <c r="E196" s="62"/>
      <c r="F196" s="62"/>
      <c r="G196" s="62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62"/>
      <c r="S196" s="62"/>
      <c r="T196" s="62"/>
      <c r="U196" s="62"/>
    </row>
    <row r="197" spans="2:21" x14ac:dyDescent="0.15">
      <c r="B197" s="62"/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</row>
    <row r="198" spans="2:21" x14ac:dyDescent="0.15">
      <c r="B198" s="62"/>
      <c r="C198" s="62"/>
      <c r="D198" s="62"/>
      <c r="E198" s="62"/>
      <c r="F198" s="62"/>
      <c r="G198" s="62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62"/>
      <c r="S198" s="62"/>
      <c r="T198" s="62"/>
      <c r="U198" s="62"/>
    </row>
    <row r="199" spans="2:21" x14ac:dyDescent="0.15">
      <c r="B199" s="62"/>
      <c r="C199" s="62"/>
      <c r="D199" s="62"/>
      <c r="E199" s="62"/>
      <c r="F199" s="62"/>
      <c r="G199" s="62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62"/>
      <c r="S199" s="62"/>
      <c r="T199" s="62"/>
      <c r="U199" s="62"/>
    </row>
    <row r="200" spans="2:21" x14ac:dyDescent="0.15">
      <c r="B200" s="62"/>
      <c r="C200" s="62"/>
      <c r="D200" s="62"/>
      <c r="E200" s="62"/>
      <c r="F200" s="62"/>
      <c r="G200" s="62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62"/>
      <c r="S200" s="62"/>
      <c r="T200" s="62"/>
      <c r="U200" s="62"/>
    </row>
    <row r="201" spans="2:21" x14ac:dyDescent="0.15">
      <c r="B201" s="62"/>
      <c r="C201" s="62"/>
      <c r="D201" s="62"/>
      <c r="E201" s="62"/>
      <c r="F201" s="62"/>
      <c r="G201" s="62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62"/>
      <c r="S201" s="62"/>
      <c r="T201" s="62"/>
      <c r="U201" s="62"/>
    </row>
    <row r="202" spans="2:21" x14ac:dyDescent="0.15">
      <c r="B202" s="62"/>
      <c r="C202" s="62"/>
      <c r="D202" s="62"/>
      <c r="E202" s="62"/>
      <c r="F202" s="62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</row>
    <row r="203" spans="2:21" x14ac:dyDescent="0.15">
      <c r="B203" s="62"/>
      <c r="C203" s="62"/>
      <c r="D203" s="62"/>
      <c r="E203" s="62"/>
      <c r="F203" s="62"/>
      <c r="G203" s="62"/>
      <c r="H203" s="62"/>
      <c r="I203" s="62"/>
      <c r="J203" s="62"/>
      <c r="K203" s="62"/>
      <c r="L203" s="62"/>
      <c r="M203" s="62"/>
      <c r="N203" s="62"/>
      <c r="O203" s="62"/>
      <c r="P203" s="62"/>
      <c r="Q203" s="62"/>
      <c r="R203" s="62"/>
      <c r="S203" s="62"/>
      <c r="T203" s="62"/>
      <c r="U203" s="62"/>
    </row>
    <row r="204" spans="2:21" x14ac:dyDescent="0.15">
      <c r="B204" s="62"/>
      <c r="C204" s="62"/>
      <c r="D204" s="62"/>
      <c r="E204" s="62"/>
      <c r="F204" s="62"/>
      <c r="G204" s="62"/>
      <c r="H204" s="62"/>
      <c r="I204" s="62"/>
      <c r="J204" s="62"/>
      <c r="K204" s="62"/>
      <c r="L204" s="62"/>
      <c r="M204" s="62"/>
      <c r="N204" s="62"/>
      <c r="O204" s="62"/>
      <c r="P204" s="62"/>
      <c r="Q204" s="62"/>
      <c r="R204" s="62"/>
      <c r="S204" s="62"/>
      <c r="T204" s="62"/>
      <c r="U204" s="62"/>
    </row>
    <row r="205" spans="2:21" x14ac:dyDescent="0.15">
      <c r="B205" s="62"/>
      <c r="C205" s="62"/>
      <c r="D205" s="62"/>
      <c r="E205" s="62"/>
      <c r="F205" s="62"/>
      <c r="G205" s="62"/>
      <c r="H205" s="62"/>
      <c r="I205" s="62"/>
      <c r="J205" s="62"/>
      <c r="K205" s="62"/>
      <c r="L205" s="62"/>
      <c r="M205" s="62"/>
      <c r="N205" s="62"/>
      <c r="O205" s="62"/>
      <c r="P205" s="62"/>
      <c r="Q205" s="62"/>
      <c r="R205" s="62"/>
      <c r="S205" s="62"/>
      <c r="T205" s="62"/>
      <c r="U205" s="62"/>
    </row>
    <row r="206" spans="2:21" x14ac:dyDescent="0.15">
      <c r="B206" s="62"/>
      <c r="C206" s="62"/>
      <c r="D206" s="62"/>
      <c r="E206" s="62"/>
      <c r="F206" s="62"/>
      <c r="G206" s="62"/>
      <c r="H206" s="62"/>
      <c r="I206" s="62"/>
      <c r="J206" s="62"/>
      <c r="K206" s="62"/>
      <c r="L206" s="62"/>
      <c r="M206" s="62"/>
      <c r="N206" s="62"/>
      <c r="O206" s="62"/>
      <c r="P206" s="62"/>
      <c r="Q206" s="62"/>
      <c r="R206" s="62"/>
      <c r="S206" s="62"/>
      <c r="T206" s="62"/>
      <c r="U206" s="62"/>
    </row>
    <row r="207" spans="2:21" x14ac:dyDescent="0.15">
      <c r="B207" s="62"/>
      <c r="C207" s="62"/>
      <c r="D207" s="62"/>
      <c r="E207" s="62"/>
      <c r="F207" s="62"/>
      <c r="G207" s="62"/>
      <c r="H207" s="62"/>
      <c r="I207" s="62"/>
      <c r="J207" s="62"/>
      <c r="K207" s="62"/>
      <c r="L207" s="62"/>
      <c r="M207" s="62"/>
      <c r="N207" s="62"/>
      <c r="O207" s="62"/>
      <c r="P207" s="62"/>
      <c r="Q207" s="62"/>
      <c r="R207" s="62"/>
      <c r="S207" s="62"/>
      <c r="T207" s="62"/>
      <c r="U207" s="62"/>
    </row>
    <row r="208" spans="2:21" x14ac:dyDescent="0.15">
      <c r="B208" s="62"/>
      <c r="C208" s="62"/>
      <c r="D208" s="62"/>
      <c r="E208" s="62"/>
      <c r="F208" s="62"/>
      <c r="G208" s="62"/>
      <c r="H208" s="62"/>
      <c r="I208" s="62"/>
      <c r="J208" s="62"/>
      <c r="K208" s="62"/>
      <c r="L208" s="62"/>
      <c r="M208" s="62"/>
      <c r="N208" s="62"/>
      <c r="O208" s="62"/>
      <c r="P208" s="62"/>
      <c r="Q208" s="62"/>
      <c r="R208" s="62"/>
      <c r="S208" s="62"/>
      <c r="T208" s="62"/>
      <c r="U208" s="62"/>
    </row>
    <row r="209" spans="2:21" x14ac:dyDescent="0.15">
      <c r="B209" s="62"/>
      <c r="C209" s="62"/>
      <c r="D209" s="62"/>
      <c r="E209" s="62"/>
      <c r="F209" s="62"/>
      <c r="G209" s="62"/>
      <c r="H209" s="62"/>
      <c r="I209" s="62"/>
      <c r="J209" s="62"/>
      <c r="K209" s="62"/>
      <c r="L209" s="62"/>
      <c r="M209" s="62"/>
      <c r="N209" s="62"/>
      <c r="O209" s="62"/>
      <c r="P209" s="62"/>
      <c r="Q209" s="62"/>
      <c r="R209" s="62"/>
      <c r="S209" s="62"/>
      <c r="T209" s="62"/>
      <c r="U209" s="62"/>
    </row>
    <row r="210" spans="2:21" x14ac:dyDescent="0.15">
      <c r="B210" s="62"/>
      <c r="C210" s="62"/>
      <c r="D210" s="62"/>
      <c r="E210" s="62"/>
      <c r="F210" s="62"/>
      <c r="G210" s="62"/>
      <c r="H210" s="62"/>
      <c r="I210" s="62"/>
      <c r="J210" s="62"/>
      <c r="K210" s="62"/>
      <c r="L210" s="62"/>
      <c r="M210" s="62"/>
      <c r="N210" s="62"/>
      <c r="O210" s="62"/>
      <c r="P210" s="62"/>
      <c r="Q210" s="62"/>
      <c r="R210" s="62"/>
      <c r="S210" s="62"/>
      <c r="T210" s="62"/>
      <c r="U210" s="62"/>
    </row>
    <row r="211" spans="2:21" x14ac:dyDescent="0.15">
      <c r="B211" s="62"/>
      <c r="C211" s="62"/>
      <c r="D211" s="62"/>
      <c r="E211" s="62"/>
      <c r="F211" s="62"/>
      <c r="G211" s="62"/>
      <c r="H211" s="62"/>
      <c r="I211" s="62"/>
      <c r="J211" s="62"/>
      <c r="K211" s="62"/>
      <c r="L211" s="62"/>
      <c r="M211" s="62"/>
      <c r="N211" s="62"/>
      <c r="O211" s="62"/>
      <c r="P211" s="62"/>
      <c r="Q211" s="62"/>
      <c r="R211" s="62"/>
      <c r="S211" s="62"/>
      <c r="T211" s="62"/>
      <c r="U211" s="62"/>
    </row>
    <row r="212" spans="2:21" x14ac:dyDescent="0.15">
      <c r="B212" s="62"/>
      <c r="C212" s="62"/>
      <c r="D212" s="62"/>
      <c r="E212" s="62"/>
      <c r="F212" s="62"/>
      <c r="G212" s="62"/>
      <c r="H212" s="62"/>
      <c r="I212" s="62"/>
      <c r="J212" s="62"/>
      <c r="K212" s="62"/>
      <c r="L212" s="62"/>
      <c r="M212" s="62"/>
      <c r="N212" s="62"/>
      <c r="O212" s="62"/>
      <c r="P212" s="62"/>
      <c r="Q212" s="62"/>
      <c r="R212" s="62"/>
      <c r="S212" s="62"/>
      <c r="T212" s="62"/>
      <c r="U212" s="62"/>
    </row>
    <row r="213" spans="2:21" x14ac:dyDescent="0.15">
      <c r="B213" s="62"/>
      <c r="C213" s="62"/>
      <c r="D213" s="62"/>
      <c r="E213" s="62"/>
      <c r="F213" s="62"/>
      <c r="G213" s="62"/>
      <c r="H213" s="62"/>
      <c r="I213" s="62"/>
      <c r="J213" s="62"/>
      <c r="K213" s="62"/>
      <c r="L213" s="62"/>
      <c r="M213" s="62"/>
      <c r="N213" s="62"/>
      <c r="O213" s="62"/>
      <c r="P213" s="62"/>
      <c r="Q213" s="62"/>
      <c r="R213" s="62"/>
      <c r="S213" s="62"/>
      <c r="T213" s="62"/>
      <c r="U213" s="62"/>
    </row>
    <row r="214" spans="2:21" x14ac:dyDescent="0.15">
      <c r="B214" s="62"/>
      <c r="C214" s="62"/>
      <c r="D214" s="62"/>
      <c r="E214" s="62"/>
      <c r="F214" s="62"/>
      <c r="G214" s="62"/>
      <c r="H214" s="62"/>
      <c r="I214" s="62"/>
      <c r="J214" s="62"/>
      <c r="K214" s="62"/>
      <c r="L214" s="62"/>
      <c r="M214" s="62"/>
      <c r="N214" s="62"/>
      <c r="O214" s="62"/>
      <c r="P214" s="62"/>
      <c r="Q214" s="62"/>
      <c r="R214" s="62"/>
      <c r="S214" s="62"/>
      <c r="T214" s="62"/>
      <c r="U214" s="62"/>
    </row>
    <row r="215" spans="2:21" x14ac:dyDescent="0.15">
      <c r="B215" s="62"/>
      <c r="C215" s="62"/>
      <c r="D215" s="62"/>
      <c r="E215" s="62"/>
      <c r="F215" s="62"/>
      <c r="G215" s="62"/>
      <c r="H215" s="62"/>
      <c r="I215" s="62"/>
      <c r="J215" s="62"/>
      <c r="K215" s="62"/>
      <c r="L215" s="62"/>
      <c r="M215" s="62"/>
      <c r="N215" s="62"/>
      <c r="O215" s="62"/>
      <c r="P215" s="62"/>
      <c r="Q215" s="62"/>
      <c r="R215" s="62"/>
      <c r="S215" s="62"/>
      <c r="T215" s="62"/>
      <c r="U215" s="62"/>
    </row>
    <row r="216" spans="2:21" x14ac:dyDescent="0.15">
      <c r="B216" s="62"/>
      <c r="C216" s="62"/>
      <c r="D216" s="62"/>
      <c r="E216" s="62"/>
      <c r="F216" s="62"/>
      <c r="G216" s="62"/>
      <c r="H216" s="62"/>
      <c r="I216" s="62"/>
      <c r="J216" s="62"/>
      <c r="K216" s="62"/>
      <c r="L216" s="62"/>
      <c r="M216" s="62"/>
      <c r="N216" s="62"/>
      <c r="O216" s="62"/>
      <c r="P216" s="62"/>
      <c r="Q216" s="62"/>
      <c r="R216" s="62"/>
      <c r="S216" s="62"/>
      <c r="T216" s="62"/>
      <c r="U216" s="62"/>
    </row>
    <row r="217" spans="2:21" x14ac:dyDescent="0.15">
      <c r="B217" s="62"/>
      <c r="C217" s="62"/>
      <c r="D217" s="62"/>
      <c r="E217" s="62"/>
      <c r="F217" s="62"/>
      <c r="G217" s="62"/>
      <c r="H217" s="62"/>
      <c r="I217" s="62"/>
      <c r="J217" s="62"/>
      <c r="K217" s="62"/>
      <c r="L217" s="62"/>
      <c r="M217" s="62"/>
      <c r="N217" s="62"/>
      <c r="O217" s="62"/>
      <c r="P217" s="62"/>
      <c r="Q217" s="62"/>
      <c r="R217" s="62"/>
      <c r="S217" s="62"/>
      <c r="T217" s="62"/>
      <c r="U217" s="62"/>
    </row>
    <row r="218" spans="2:21" x14ac:dyDescent="0.15">
      <c r="B218" s="62"/>
      <c r="C218" s="62"/>
      <c r="D218" s="62"/>
      <c r="E218" s="62"/>
      <c r="F218" s="62"/>
      <c r="G218" s="62"/>
      <c r="H218" s="62"/>
      <c r="I218" s="62"/>
      <c r="J218" s="62"/>
      <c r="K218" s="62"/>
      <c r="L218" s="62"/>
      <c r="M218" s="62"/>
      <c r="N218" s="62"/>
      <c r="O218" s="62"/>
      <c r="P218" s="62"/>
      <c r="Q218" s="62"/>
      <c r="R218" s="62"/>
      <c r="S218" s="62"/>
      <c r="T218" s="62"/>
      <c r="U218" s="62"/>
    </row>
    <row r="219" spans="2:21" x14ac:dyDescent="0.15">
      <c r="B219" s="62"/>
      <c r="C219" s="62"/>
      <c r="D219" s="62"/>
      <c r="E219" s="62"/>
      <c r="F219" s="62"/>
      <c r="G219" s="62"/>
      <c r="H219" s="62"/>
      <c r="I219" s="62"/>
      <c r="J219" s="62"/>
      <c r="K219" s="62"/>
      <c r="L219" s="62"/>
      <c r="M219" s="62"/>
      <c r="N219" s="62"/>
      <c r="O219" s="62"/>
      <c r="P219" s="62"/>
      <c r="Q219" s="62"/>
      <c r="R219" s="62"/>
      <c r="S219" s="62"/>
      <c r="T219" s="62"/>
      <c r="U219" s="62"/>
    </row>
    <row r="220" spans="2:21" x14ac:dyDescent="0.15">
      <c r="B220" s="62"/>
      <c r="C220" s="62"/>
      <c r="D220" s="62"/>
      <c r="E220" s="62"/>
      <c r="F220" s="62"/>
      <c r="G220" s="62"/>
      <c r="H220" s="62"/>
      <c r="I220" s="62"/>
      <c r="J220" s="62"/>
      <c r="K220" s="62"/>
      <c r="L220" s="62"/>
      <c r="M220" s="62"/>
      <c r="N220" s="62"/>
      <c r="O220" s="62"/>
      <c r="P220" s="62"/>
      <c r="Q220" s="62"/>
      <c r="R220" s="62"/>
      <c r="S220" s="62"/>
      <c r="T220" s="62"/>
      <c r="U220" s="62"/>
    </row>
    <row r="221" spans="2:21" x14ac:dyDescent="0.15">
      <c r="B221" s="62"/>
      <c r="C221" s="62"/>
      <c r="D221" s="62"/>
      <c r="E221" s="62"/>
      <c r="F221" s="62"/>
      <c r="G221" s="62"/>
      <c r="H221" s="62"/>
      <c r="I221" s="62"/>
      <c r="J221" s="62"/>
      <c r="K221" s="62"/>
      <c r="L221" s="62"/>
      <c r="M221" s="62"/>
      <c r="N221" s="62"/>
      <c r="O221" s="62"/>
      <c r="P221" s="62"/>
      <c r="Q221" s="62"/>
      <c r="R221" s="62"/>
      <c r="S221" s="62"/>
      <c r="T221" s="62"/>
      <c r="U221" s="62"/>
    </row>
    <row r="222" spans="2:21" x14ac:dyDescent="0.15">
      <c r="B222" s="62"/>
      <c r="C222" s="62"/>
      <c r="D222" s="62"/>
      <c r="E222" s="62"/>
      <c r="F222" s="62"/>
      <c r="G222" s="62"/>
      <c r="H222" s="62"/>
      <c r="I222" s="62"/>
      <c r="J222" s="62"/>
      <c r="K222" s="62"/>
      <c r="L222" s="62"/>
      <c r="M222" s="62"/>
      <c r="N222" s="62"/>
      <c r="O222" s="62"/>
      <c r="P222" s="62"/>
      <c r="Q222" s="62"/>
      <c r="R222" s="62"/>
      <c r="S222" s="62"/>
      <c r="T222" s="62"/>
      <c r="U222" s="62"/>
    </row>
    <row r="223" spans="2:21" x14ac:dyDescent="0.15">
      <c r="B223" s="62"/>
      <c r="C223" s="62"/>
      <c r="D223" s="62"/>
      <c r="E223" s="62"/>
      <c r="F223" s="62"/>
      <c r="G223" s="62"/>
      <c r="H223" s="62"/>
      <c r="I223" s="62"/>
      <c r="J223" s="62"/>
      <c r="K223" s="62"/>
      <c r="L223" s="62"/>
      <c r="M223" s="62"/>
      <c r="N223" s="62"/>
      <c r="O223" s="62"/>
      <c r="P223" s="62"/>
      <c r="Q223" s="62"/>
      <c r="R223" s="62"/>
      <c r="S223" s="62"/>
      <c r="T223" s="62"/>
      <c r="U223" s="62"/>
    </row>
    <row r="224" spans="2:21" x14ac:dyDescent="0.15">
      <c r="B224" s="62"/>
      <c r="C224" s="62"/>
      <c r="D224" s="62"/>
      <c r="E224" s="62"/>
      <c r="F224" s="62"/>
      <c r="G224" s="62"/>
      <c r="H224" s="62"/>
      <c r="I224" s="62"/>
      <c r="J224" s="62"/>
      <c r="K224" s="62"/>
      <c r="L224" s="62"/>
      <c r="M224" s="62"/>
      <c r="N224" s="62"/>
      <c r="O224" s="62"/>
      <c r="P224" s="62"/>
      <c r="Q224" s="62"/>
      <c r="R224" s="62"/>
      <c r="S224" s="62"/>
      <c r="T224" s="62"/>
      <c r="U224" s="62"/>
    </row>
    <row r="225" spans="2:21" x14ac:dyDescent="0.15">
      <c r="B225" s="62"/>
      <c r="C225" s="62"/>
      <c r="D225" s="62"/>
      <c r="E225" s="62"/>
      <c r="F225" s="62"/>
      <c r="G225" s="62"/>
      <c r="H225" s="62"/>
      <c r="I225" s="62"/>
      <c r="J225" s="62"/>
      <c r="K225" s="62"/>
      <c r="L225" s="62"/>
      <c r="M225" s="62"/>
      <c r="N225" s="62"/>
      <c r="O225" s="62"/>
      <c r="P225" s="62"/>
      <c r="Q225" s="62"/>
      <c r="R225" s="62"/>
      <c r="S225" s="62"/>
      <c r="T225" s="62"/>
      <c r="U225" s="62"/>
    </row>
    <row r="226" spans="2:21" x14ac:dyDescent="0.15">
      <c r="B226" s="62"/>
      <c r="C226" s="62"/>
      <c r="D226" s="62"/>
      <c r="E226" s="62"/>
      <c r="F226" s="62"/>
      <c r="G226" s="62"/>
      <c r="H226" s="62"/>
      <c r="I226" s="62"/>
      <c r="J226" s="62"/>
      <c r="K226" s="62"/>
      <c r="L226" s="62"/>
      <c r="M226" s="62"/>
      <c r="N226" s="62"/>
      <c r="O226" s="62"/>
      <c r="P226" s="62"/>
      <c r="Q226" s="62"/>
      <c r="R226" s="62"/>
      <c r="S226" s="62"/>
      <c r="T226" s="62"/>
      <c r="U226" s="62"/>
    </row>
    <row r="227" spans="2:21" x14ac:dyDescent="0.15">
      <c r="B227" s="62"/>
      <c r="C227" s="62"/>
      <c r="D227" s="62"/>
      <c r="E227" s="62"/>
      <c r="F227" s="62"/>
      <c r="G227" s="62"/>
      <c r="H227" s="62"/>
      <c r="I227" s="62"/>
      <c r="J227" s="62"/>
      <c r="K227" s="62"/>
      <c r="L227" s="62"/>
      <c r="M227" s="62"/>
      <c r="N227" s="62"/>
      <c r="O227" s="62"/>
      <c r="P227" s="62"/>
      <c r="Q227" s="62"/>
      <c r="R227" s="62"/>
      <c r="S227" s="62"/>
      <c r="T227" s="62"/>
      <c r="U227" s="62"/>
    </row>
    <row r="228" spans="2:21" x14ac:dyDescent="0.15">
      <c r="B228" s="62"/>
      <c r="C228" s="62"/>
      <c r="D228" s="62"/>
      <c r="E228" s="62"/>
      <c r="F228" s="62"/>
      <c r="G228" s="62"/>
      <c r="H228" s="62"/>
      <c r="I228" s="62"/>
      <c r="J228" s="62"/>
      <c r="K228" s="62"/>
      <c r="L228" s="62"/>
      <c r="M228" s="62"/>
      <c r="N228" s="62"/>
      <c r="O228" s="62"/>
      <c r="P228" s="62"/>
      <c r="Q228" s="62"/>
      <c r="R228" s="62"/>
      <c r="S228" s="62"/>
      <c r="T228" s="62"/>
      <c r="U228" s="62"/>
    </row>
    <row r="229" spans="2:21" x14ac:dyDescent="0.15">
      <c r="B229" s="62"/>
      <c r="C229" s="62"/>
      <c r="D229" s="62"/>
      <c r="E229" s="62"/>
      <c r="F229" s="62"/>
      <c r="G229" s="62"/>
      <c r="H229" s="62"/>
      <c r="I229" s="62"/>
      <c r="J229" s="62"/>
      <c r="K229" s="62"/>
      <c r="L229" s="62"/>
      <c r="M229" s="62"/>
      <c r="N229" s="62"/>
      <c r="O229" s="62"/>
      <c r="P229" s="62"/>
      <c r="Q229" s="62"/>
      <c r="R229" s="62"/>
      <c r="S229" s="62"/>
      <c r="T229" s="62"/>
      <c r="U229" s="62"/>
    </row>
    <row r="230" spans="2:21" x14ac:dyDescent="0.15">
      <c r="B230" s="62"/>
      <c r="C230" s="62"/>
      <c r="D230" s="62"/>
      <c r="E230" s="62"/>
      <c r="F230" s="62"/>
      <c r="G230" s="62"/>
      <c r="H230" s="62"/>
      <c r="I230" s="62"/>
      <c r="J230" s="62"/>
      <c r="K230" s="62"/>
      <c r="L230" s="62"/>
      <c r="M230" s="62"/>
      <c r="N230" s="62"/>
      <c r="O230" s="62"/>
      <c r="P230" s="62"/>
      <c r="Q230" s="62"/>
      <c r="R230" s="62"/>
      <c r="S230" s="62"/>
      <c r="T230" s="62"/>
      <c r="U230" s="62"/>
    </row>
    <row r="231" spans="2:21" x14ac:dyDescent="0.15"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62"/>
      <c r="N231" s="62"/>
      <c r="O231" s="62"/>
      <c r="P231" s="62"/>
      <c r="Q231" s="62"/>
      <c r="R231" s="62"/>
      <c r="S231" s="62"/>
      <c r="T231" s="62"/>
      <c r="U231" s="62"/>
    </row>
    <row r="232" spans="2:21" x14ac:dyDescent="0.15">
      <c r="B232" s="62"/>
      <c r="C232" s="62"/>
      <c r="D232" s="62"/>
      <c r="E232" s="62"/>
      <c r="F232" s="62"/>
      <c r="G232" s="62"/>
      <c r="H232" s="62"/>
      <c r="I232" s="62"/>
      <c r="J232" s="62"/>
      <c r="K232" s="62"/>
      <c r="L232" s="62"/>
      <c r="M232" s="62"/>
      <c r="N232" s="62"/>
      <c r="O232" s="62"/>
      <c r="P232" s="62"/>
      <c r="Q232" s="62"/>
      <c r="R232" s="62"/>
      <c r="S232" s="62"/>
      <c r="T232" s="62"/>
      <c r="U232" s="62"/>
    </row>
    <row r="233" spans="2:21" x14ac:dyDescent="0.15">
      <c r="B233" s="62"/>
      <c r="C233" s="62"/>
      <c r="D233" s="62"/>
      <c r="E233" s="62"/>
      <c r="F233" s="62"/>
      <c r="G233" s="62"/>
      <c r="H233" s="62"/>
      <c r="I233" s="62"/>
      <c r="J233" s="62"/>
      <c r="K233" s="62"/>
      <c r="L233" s="62"/>
      <c r="M233" s="62"/>
      <c r="N233" s="62"/>
      <c r="O233" s="62"/>
      <c r="P233" s="62"/>
      <c r="Q233" s="62"/>
      <c r="R233" s="62"/>
      <c r="S233" s="62"/>
      <c r="T233" s="62"/>
      <c r="U233" s="62"/>
    </row>
    <row r="234" spans="2:21" x14ac:dyDescent="0.15">
      <c r="B234" s="62"/>
      <c r="C234" s="62"/>
      <c r="D234" s="62"/>
      <c r="E234" s="62"/>
      <c r="F234" s="62"/>
      <c r="G234" s="62"/>
      <c r="H234" s="62"/>
      <c r="I234" s="62"/>
      <c r="J234" s="62"/>
      <c r="K234" s="62"/>
      <c r="L234" s="62"/>
      <c r="M234" s="62"/>
      <c r="N234" s="62"/>
      <c r="O234" s="62"/>
      <c r="P234" s="62"/>
      <c r="Q234" s="62"/>
      <c r="R234" s="62"/>
      <c r="S234" s="62"/>
      <c r="T234" s="62"/>
      <c r="U234" s="62"/>
    </row>
    <row r="235" spans="2:21" x14ac:dyDescent="0.15">
      <c r="B235" s="62"/>
      <c r="C235" s="62"/>
      <c r="D235" s="62"/>
      <c r="E235" s="62"/>
      <c r="F235" s="62"/>
      <c r="G235" s="62"/>
      <c r="H235" s="62"/>
      <c r="I235" s="62"/>
      <c r="J235" s="62"/>
      <c r="K235" s="62"/>
      <c r="L235" s="62"/>
      <c r="M235" s="62"/>
      <c r="N235" s="62"/>
      <c r="O235" s="62"/>
      <c r="P235" s="62"/>
      <c r="Q235" s="62"/>
      <c r="R235" s="62"/>
      <c r="S235" s="62"/>
      <c r="T235" s="62"/>
      <c r="U235" s="62"/>
    </row>
    <row r="236" spans="2:21" x14ac:dyDescent="0.15">
      <c r="B236" s="62"/>
      <c r="C236" s="62"/>
      <c r="D236" s="62"/>
      <c r="E236" s="62"/>
      <c r="F236" s="62"/>
      <c r="G236" s="62"/>
      <c r="H236" s="62"/>
      <c r="I236" s="62"/>
      <c r="J236" s="62"/>
      <c r="K236" s="62"/>
      <c r="L236" s="62"/>
      <c r="M236" s="62"/>
      <c r="N236" s="62"/>
      <c r="O236" s="62"/>
      <c r="P236" s="62"/>
      <c r="Q236" s="62"/>
      <c r="R236" s="62"/>
      <c r="S236" s="62"/>
      <c r="T236" s="62"/>
      <c r="U236" s="62"/>
    </row>
    <row r="237" spans="2:21" x14ac:dyDescent="0.15">
      <c r="B237" s="62"/>
      <c r="C237" s="62"/>
      <c r="D237" s="62"/>
      <c r="E237" s="62"/>
      <c r="F237" s="62"/>
      <c r="G237" s="62"/>
      <c r="H237" s="62"/>
      <c r="I237" s="62"/>
      <c r="J237" s="62"/>
      <c r="K237" s="62"/>
      <c r="L237" s="62"/>
      <c r="M237" s="62"/>
      <c r="N237" s="62"/>
      <c r="O237" s="62"/>
      <c r="P237" s="62"/>
      <c r="Q237" s="62"/>
      <c r="R237" s="62"/>
      <c r="S237" s="62"/>
      <c r="T237" s="62"/>
      <c r="U237" s="62"/>
    </row>
    <row r="238" spans="2:21" x14ac:dyDescent="0.15">
      <c r="B238" s="62"/>
      <c r="C238" s="62"/>
      <c r="D238" s="62"/>
      <c r="E238" s="62"/>
      <c r="F238" s="62"/>
      <c r="G238" s="62"/>
      <c r="H238" s="62"/>
      <c r="I238" s="62"/>
      <c r="J238" s="62"/>
      <c r="K238" s="62"/>
      <c r="L238" s="62"/>
      <c r="M238" s="62"/>
      <c r="N238" s="62"/>
      <c r="O238" s="62"/>
      <c r="P238" s="62"/>
      <c r="Q238" s="62"/>
      <c r="R238" s="62"/>
      <c r="S238" s="62"/>
      <c r="T238" s="62"/>
      <c r="U238" s="62"/>
    </row>
    <row r="239" spans="2:21" x14ac:dyDescent="0.15">
      <c r="B239" s="62"/>
      <c r="C239" s="62"/>
      <c r="D239" s="62"/>
      <c r="E239" s="62"/>
      <c r="F239" s="62"/>
      <c r="G239" s="62"/>
      <c r="H239" s="62"/>
      <c r="I239" s="62"/>
      <c r="J239" s="62"/>
      <c r="K239" s="62"/>
      <c r="L239" s="62"/>
      <c r="M239" s="62"/>
      <c r="N239" s="62"/>
      <c r="O239" s="62"/>
      <c r="P239" s="62"/>
      <c r="Q239" s="62"/>
      <c r="R239" s="62"/>
      <c r="S239" s="62"/>
      <c r="T239" s="62"/>
      <c r="U239" s="62"/>
    </row>
    <row r="240" spans="2:21" x14ac:dyDescent="0.15">
      <c r="B240" s="62"/>
      <c r="C240" s="62"/>
      <c r="D240" s="62"/>
      <c r="E240" s="62"/>
      <c r="F240" s="62"/>
      <c r="G240" s="62"/>
      <c r="H240" s="62"/>
      <c r="I240" s="62"/>
      <c r="J240" s="62"/>
      <c r="K240" s="62"/>
      <c r="L240" s="62"/>
      <c r="M240" s="62"/>
      <c r="N240" s="62"/>
      <c r="O240" s="62"/>
      <c r="P240" s="62"/>
      <c r="Q240" s="62"/>
      <c r="R240" s="62"/>
      <c r="S240" s="62"/>
      <c r="T240" s="62"/>
      <c r="U240" s="62"/>
    </row>
    <row r="241" spans="2:21" x14ac:dyDescent="0.15">
      <c r="B241" s="62"/>
      <c r="C241" s="62"/>
      <c r="D241" s="62"/>
      <c r="E241" s="62"/>
      <c r="F241" s="62"/>
      <c r="G241" s="62"/>
      <c r="H241" s="62"/>
      <c r="I241" s="62"/>
      <c r="J241" s="62"/>
      <c r="K241" s="62"/>
      <c r="L241" s="62"/>
      <c r="M241" s="62"/>
      <c r="N241" s="62"/>
      <c r="O241" s="62"/>
      <c r="P241" s="62"/>
      <c r="Q241" s="62"/>
      <c r="R241" s="62"/>
      <c r="S241" s="62"/>
      <c r="T241" s="62"/>
      <c r="U241" s="62"/>
    </row>
    <row r="242" spans="2:21" x14ac:dyDescent="0.15">
      <c r="B242" s="62"/>
      <c r="C242" s="62"/>
      <c r="D242" s="62"/>
      <c r="E242" s="62"/>
      <c r="F242" s="62"/>
      <c r="G242" s="62"/>
      <c r="H242" s="62"/>
      <c r="I242" s="62"/>
      <c r="J242" s="62"/>
      <c r="K242" s="62"/>
      <c r="L242" s="62"/>
      <c r="M242" s="62"/>
      <c r="N242" s="62"/>
      <c r="O242" s="62"/>
      <c r="P242" s="62"/>
      <c r="Q242" s="62"/>
      <c r="R242" s="62"/>
      <c r="S242" s="62"/>
      <c r="T242" s="62"/>
      <c r="U242" s="62"/>
    </row>
    <row r="243" spans="2:21" x14ac:dyDescent="0.15">
      <c r="B243" s="62"/>
      <c r="C243" s="62"/>
      <c r="D243" s="62"/>
      <c r="E243" s="62"/>
      <c r="F243" s="62"/>
      <c r="G243" s="62"/>
      <c r="H243" s="62"/>
      <c r="I243" s="62"/>
      <c r="J243" s="62"/>
      <c r="K243" s="62"/>
      <c r="L243" s="62"/>
      <c r="M243" s="62"/>
      <c r="N243" s="62"/>
      <c r="O243" s="62"/>
      <c r="P243" s="62"/>
      <c r="Q243" s="62"/>
      <c r="R243" s="62"/>
      <c r="S243" s="62"/>
      <c r="T243" s="62"/>
      <c r="U243" s="62"/>
    </row>
    <row r="244" spans="2:21" x14ac:dyDescent="0.15">
      <c r="B244" s="62"/>
      <c r="C244" s="62"/>
      <c r="D244" s="62"/>
      <c r="E244" s="62"/>
      <c r="F244" s="62"/>
      <c r="G244" s="62"/>
      <c r="H244" s="62"/>
      <c r="I244" s="62"/>
      <c r="J244" s="62"/>
      <c r="K244" s="62"/>
      <c r="L244" s="62"/>
      <c r="M244" s="62"/>
      <c r="N244" s="62"/>
      <c r="O244" s="62"/>
      <c r="P244" s="62"/>
      <c r="Q244" s="62"/>
      <c r="R244" s="62"/>
      <c r="S244" s="62"/>
      <c r="T244" s="62"/>
      <c r="U244" s="62"/>
    </row>
    <row r="245" spans="2:21" x14ac:dyDescent="0.15">
      <c r="B245" s="62"/>
      <c r="C245" s="62"/>
      <c r="D245" s="62"/>
      <c r="E245" s="62"/>
      <c r="F245" s="62"/>
      <c r="G245" s="62"/>
      <c r="H245" s="62"/>
      <c r="I245" s="62"/>
      <c r="J245" s="62"/>
      <c r="K245" s="62"/>
      <c r="L245" s="62"/>
      <c r="M245" s="62"/>
      <c r="N245" s="62"/>
      <c r="O245" s="62"/>
      <c r="P245" s="62"/>
      <c r="Q245" s="62"/>
      <c r="R245" s="62"/>
      <c r="S245" s="62"/>
      <c r="T245" s="62"/>
      <c r="U245" s="62"/>
    </row>
    <row r="246" spans="2:21" x14ac:dyDescent="0.15">
      <c r="B246" s="62"/>
      <c r="C246" s="62"/>
      <c r="D246" s="62"/>
      <c r="E246" s="62"/>
      <c r="F246" s="62"/>
      <c r="G246" s="62"/>
      <c r="H246" s="62"/>
      <c r="I246" s="62"/>
      <c r="J246" s="62"/>
      <c r="K246" s="62"/>
      <c r="L246" s="62"/>
      <c r="M246" s="62"/>
      <c r="N246" s="62"/>
      <c r="O246" s="62"/>
      <c r="P246" s="62"/>
      <c r="Q246" s="62"/>
      <c r="R246" s="62"/>
      <c r="S246" s="62"/>
      <c r="T246" s="62"/>
      <c r="U246" s="62"/>
    </row>
    <row r="247" spans="2:21" x14ac:dyDescent="0.15">
      <c r="B247" s="62"/>
      <c r="C247" s="62"/>
      <c r="D247" s="62"/>
      <c r="E247" s="62"/>
      <c r="F247" s="62"/>
      <c r="G247" s="62"/>
      <c r="H247" s="62"/>
      <c r="I247" s="62"/>
      <c r="J247" s="62"/>
      <c r="K247" s="62"/>
      <c r="L247" s="62"/>
      <c r="M247" s="62"/>
      <c r="N247" s="62"/>
      <c r="O247" s="62"/>
      <c r="P247" s="62"/>
      <c r="Q247" s="62"/>
      <c r="R247" s="62"/>
      <c r="S247" s="62"/>
      <c r="T247" s="62"/>
      <c r="U247" s="62"/>
    </row>
    <row r="248" spans="2:21" x14ac:dyDescent="0.15">
      <c r="B248" s="62"/>
      <c r="C248" s="62"/>
      <c r="D248" s="62"/>
      <c r="E248" s="62"/>
      <c r="F248" s="62"/>
      <c r="G248" s="62"/>
      <c r="H248" s="62"/>
      <c r="I248" s="62"/>
      <c r="J248" s="62"/>
      <c r="K248" s="62"/>
      <c r="L248" s="62"/>
      <c r="M248" s="62"/>
      <c r="N248" s="62"/>
      <c r="O248" s="62"/>
      <c r="P248" s="62"/>
      <c r="Q248" s="62"/>
      <c r="R248" s="62"/>
      <c r="S248" s="62"/>
      <c r="T248" s="62"/>
      <c r="U248" s="62"/>
    </row>
    <row r="249" spans="2:21" x14ac:dyDescent="0.15">
      <c r="B249" s="62"/>
      <c r="C249" s="62"/>
      <c r="D249" s="62"/>
      <c r="E249" s="62"/>
      <c r="F249" s="62"/>
      <c r="G249" s="62"/>
      <c r="H249" s="62"/>
      <c r="I249" s="62"/>
      <c r="J249" s="62"/>
      <c r="K249" s="62"/>
      <c r="L249" s="62"/>
      <c r="M249" s="62"/>
      <c r="N249" s="62"/>
      <c r="O249" s="62"/>
      <c r="P249" s="62"/>
      <c r="Q249" s="62"/>
      <c r="R249" s="62"/>
      <c r="S249" s="62"/>
      <c r="T249" s="62"/>
      <c r="U249" s="62"/>
    </row>
    <row r="250" spans="2:21" x14ac:dyDescent="0.15">
      <c r="B250" s="62"/>
      <c r="C250" s="62"/>
      <c r="D250" s="62"/>
      <c r="E250" s="62"/>
      <c r="F250" s="62"/>
      <c r="G250" s="62"/>
      <c r="H250" s="62"/>
      <c r="I250" s="62"/>
      <c r="J250" s="62"/>
      <c r="K250" s="62"/>
      <c r="L250" s="62"/>
      <c r="M250" s="62"/>
      <c r="N250" s="62"/>
      <c r="O250" s="62"/>
      <c r="P250" s="62"/>
      <c r="Q250" s="62"/>
      <c r="R250" s="62"/>
      <c r="S250" s="62"/>
      <c r="T250" s="62"/>
      <c r="U250" s="62"/>
    </row>
    <row r="251" spans="2:21" x14ac:dyDescent="0.15">
      <c r="B251" s="62"/>
      <c r="C251" s="62"/>
      <c r="D251" s="62"/>
      <c r="E251" s="62"/>
      <c r="F251" s="62"/>
      <c r="G251" s="62"/>
      <c r="H251" s="62"/>
      <c r="I251" s="62"/>
      <c r="J251" s="62"/>
      <c r="K251" s="62"/>
      <c r="L251" s="62"/>
      <c r="M251" s="62"/>
      <c r="N251" s="62"/>
      <c r="O251" s="62"/>
      <c r="P251" s="62"/>
      <c r="Q251" s="62"/>
      <c r="R251" s="62"/>
      <c r="S251" s="62"/>
      <c r="T251" s="62"/>
      <c r="U251" s="62"/>
    </row>
    <row r="252" spans="2:21" x14ac:dyDescent="0.15">
      <c r="B252" s="62"/>
      <c r="C252" s="62"/>
      <c r="D252" s="62"/>
      <c r="E252" s="62"/>
      <c r="F252" s="62"/>
      <c r="G252" s="62"/>
      <c r="H252" s="62"/>
      <c r="I252" s="62"/>
      <c r="J252" s="62"/>
      <c r="K252" s="62"/>
      <c r="L252" s="62"/>
      <c r="M252" s="62"/>
      <c r="N252" s="62"/>
      <c r="O252" s="62"/>
      <c r="P252" s="62"/>
      <c r="Q252" s="62"/>
      <c r="R252" s="62"/>
      <c r="S252" s="62"/>
      <c r="T252" s="62"/>
      <c r="U252" s="62"/>
    </row>
    <row r="253" spans="2:21" x14ac:dyDescent="0.15">
      <c r="B253" s="62"/>
      <c r="C253" s="62"/>
      <c r="D253" s="62"/>
      <c r="E253" s="62"/>
      <c r="F253" s="62"/>
      <c r="G253" s="62"/>
      <c r="H253" s="62"/>
      <c r="I253" s="62"/>
      <c r="J253" s="62"/>
      <c r="K253" s="62"/>
      <c r="L253" s="62"/>
      <c r="M253" s="62"/>
      <c r="N253" s="62"/>
      <c r="O253" s="62"/>
      <c r="P253" s="62"/>
      <c r="Q253" s="62"/>
      <c r="R253" s="62"/>
      <c r="S253" s="62"/>
      <c r="T253" s="62"/>
      <c r="U253" s="62"/>
    </row>
    <row r="254" spans="2:21" x14ac:dyDescent="0.15">
      <c r="B254" s="62"/>
      <c r="C254" s="62"/>
      <c r="D254" s="62"/>
      <c r="E254" s="62"/>
      <c r="F254" s="62"/>
      <c r="G254" s="62"/>
      <c r="H254" s="62"/>
      <c r="I254" s="62"/>
      <c r="J254" s="62"/>
      <c r="K254" s="62"/>
      <c r="L254" s="62"/>
      <c r="M254" s="62"/>
      <c r="N254" s="62"/>
      <c r="O254" s="62"/>
      <c r="P254" s="62"/>
      <c r="Q254" s="62"/>
      <c r="R254" s="62"/>
      <c r="S254" s="62"/>
      <c r="T254" s="62"/>
      <c r="U254" s="62"/>
    </row>
    <row r="255" spans="2:21" x14ac:dyDescent="0.15">
      <c r="B255" s="62"/>
      <c r="C255" s="62"/>
      <c r="D255" s="62"/>
      <c r="E255" s="62"/>
      <c r="F255" s="62"/>
      <c r="G255" s="62"/>
      <c r="H255" s="62"/>
      <c r="I255" s="62"/>
      <c r="J255" s="62"/>
      <c r="K255" s="62"/>
      <c r="L255" s="62"/>
      <c r="M255" s="62"/>
      <c r="N255" s="62"/>
      <c r="O255" s="62"/>
      <c r="P255" s="62"/>
      <c r="Q255" s="62"/>
      <c r="R255" s="62"/>
      <c r="S255" s="62"/>
      <c r="T255" s="62"/>
      <c r="U255" s="62"/>
    </row>
    <row r="256" spans="2:21" x14ac:dyDescent="0.15">
      <c r="B256" s="62"/>
      <c r="C256" s="62"/>
      <c r="D256" s="62"/>
      <c r="E256" s="62"/>
      <c r="F256" s="62"/>
      <c r="G256" s="62"/>
      <c r="H256" s="62"/>
      <c r="I256" s="62"/>
      <c r="J256" s="62"/>
      <c r="K256" s="62"/>
      <c r="L256" s="62"/>
      <c r="M256" s="62"/>
      <c r="N256" s="62"/>
      <c r="O256" s="62"/>
      <c r="P256" s="62"/>
      <c r="Q256" s="62"/>
      <c r="R256" s="62"/>
      <c r="S256" s="62"/>
      <c r="T256" s="62"/>
      <c r="U256" s="62"/>
    </row>
    <row r="257" spans="2:21" x14ac:dyDescent="0.15">
      <c r="B257" s="62"/>
      <c r="C257" s="62"/>
      <c r="D257" s="62"/>
      <c r="E257" s="62"/>
      <c r="F257" s="62"/>
      <c r="G257" s="62"/>
      <c r="H257" s="62"/>
      <c r="I257" s="62"/>
      <c r="J257" s="62"/>
      <c r="K257" s="62"/>
      <c r="L257" s="62"/>
      <c r="M257" s="62"/>
      <c r="N257" s="62"/>
      <c r="O257" s="62"/>
      <c r="P257" s="62"/>
      <c r="Q257" s="62"/>
      <c r="R257" s="62"/>
      <c r="S257" s="62"/>
      <c r="T257" s="62"/>
      <c r="U257" s="62"/>
    </row>
    <row r="258" spans="2:21" x14ac:dyDescent="0.15">
      <c r="B258" s="62"/>
      <c r="C258" s="62"/>
      <c r="D258" s="62"/>
      <c r="E258" s="62"/>
      <c r="F258" s="62"/>
      <c r="G258" s="62"/>
      <c r="H258" s="62"/>
      <c r="I258" s="62"/>
      <c r="J258" s="62"/>
      <c r="K258" s="62"/>
      <c r="L258" s="62"/>
      <c r="M258" s="62"/>
      <c r="N258" s="62"/>
      <c r="O258" s="62"/>
      <c r="P258" s="62"/>
      <c r="Q258" s="62"/>
      <c r="R258" s="62"/>
      <c r="S258" s="62"/>
      <c r="T258" s="62"/>
      <c r="U258" s="62"/>
    </row>
    <row r="259" spans="2:21" x14ac:dyDescent="0.15">
      <c r="B259" s="62"/>
      <c r="C259" s="62"/>
      <c r="D259" s="62"/>
      <c r="E259" s="62"/>
      <c r="F259" s="62"/>
      <c r="G259" s="62"/>
      <c r="H259" s="62"/>
      <c r="I259" s="62"/>
      <c r="J259" s="62"/>
      <c r="K259" s="62"/>
      <c r="L259" s="62"/>
      <c r="M259" s="62"/>
      <c r="N259" s="62"/>
      <c r="O259" s="62"/>
      <c r="P259" s="62"/>
      <c r="Q259" s="62"/>
      <c r="R259" s="62"/>
      <c r="S259" s="62"/>
      <c r="T259" s="62"/>
      <c r="U259" s="62"/>
    </row>
    <row r="260" spans="2:21" x14ac:dyDescent="0.15">
      <c r="B260" s="62"/>
      <c r="C260" s="62"/>
      <c r="D260" s="62"/>
      <c r="E260" s="62"/>
      <c r="F260" s="62"/>
      <c r="G260" s="62"/>
      <c r="H260" s="62"/>
      <c r="I260" s="62"/>
      <c r="J260" s="62"/>
      <c r="K260" s="62"/>
      <c r="L260" s="62"/>
      <c r="M260" s="62"/>
      <c r="N260" s="62"/>
      <c r="O260" s="62"/>
      <c r="P260" s="62"/>
      <c r="Q260" s="62"/>
      <c r="R260" s="62"/>
      <c r="S260" s="62"/>
      <c r="T260" s="62"/>
      <c r="U260" s="62"/>
    </row>
    <row r="261" spans="2:21" x14ac:dyDescent="0.15">
      <c r="B261" s="62"/>
      <c r="C261" s="62"/>
      <c r="D261" s="62"/>
      <c r="E261" s="62"/>
      <c r="F261" s="62"/>
      <c r="G261" s="62"/>
      <c r="H261" s="62"/>
      <c r="I261" s="62"/>
      <c r="J261" s="62"/>
      <c r="K261" s="62"/>
      <c r="L261" s="62"/>
      <c r="M261" s="62"/>
      <c r="N261" s="62"/>
      <c r="O261" s="62"/>
      <c r="P261" s="62"/>
      <c r="Q261" s="62"/>
      <c r="R261" s="62"/>
      <c r="S261" s="62"/>
      <c r="T261" s="62"/>
      <c r="U261" s="62"/>
    </row>
    <row r="262" spans="2:21" x14ac:dyDescent="0.15">
      <c r="B262" s="62"/>
      <c r="C262" s="62"/>
      <c r="D262" s="62"/>
      <c r="E262" s="62"/>
      <c r="F262" s="62"/>
      <c r="G262" s="62"/>
      <c r="H262" s="62"/>
      <c r="I262" s="62"/>
      <c r="J262" s="62"/>
      <c r="K262" s="62"/>
      <c r="L262" s="62"/>
      <c r="M262" s="62"/>
      <c r="N262" s="62"/>
      <c r="O262" s="62"/>
      <c r="P262" s="62"/>
      <c r="Q262" s="62"/>
      <c r="R262" s="62"/>
      <c r="S262" s="62"/>
      <c r="T262" s="62"/>
      <c r="U262" s="62"/>
    </row>
    <row r="263" spans="2:21" x14ac:dyDescent="0.15">
      <c r="B263" s="62"/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  <c r="N263" s="62"/>
      <c r="O263" s="62"/>
      <c r="P263" s="62"/>
      <c r="Q263" s="62"/>
      <c r="R263" s="62"/>
      <c r="S263" s="62"/>
      <c r="T263" s="62"/>
      <c r="U263" s="62"/>
    </row>
    <row r="264" spans="2:21" x14ac:dyDescent="0.15">
      <c r="B264" s="62"/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  <c r="N264" s="62"/>
      <c r="O264" s="62"/>
      <c r="P264" s="62"/>
      <c r="Q264" s="62"/>
      <c r="R264" s="62"/>
      <c r="S264" s="62"/>
      <c r="T264" s="62"/>
      <c r="U264" s="62"/>
    </row>
    <row r="265" spans="2:21" x14ac:dyDescent="0.15">
      <c r="B265" s="62"/>
      <c r="C265" s="62"/>
      <c r="D265" s="62"/>
      <c r="E265" s="62"/>
      <c r="F265" s="62"/>
      <c r="G265" s="62"/>
      <c r="H265" s="62"/>
      <c r="I265" s="62"/>
      <c r="J265" s="62"/>
      <c r="K265" s="62"/>
      <c r="L265" s="62"/>
      <c r="M265" s="62"/>
      <c r="N265" s="62"/>
      <c r="O265" s="62"/>
      <c r="P265" s="62"/>
      <c r="Q265" s="62"/>
      <c r="R265" s="62"/>
      <c r="S265" s="62"/>
      <c r="T265" s="62"/>
      <c r="U265" s="62"/>
    </row>
    <row r="266" spans="2:21" x14ac:dyDescent="0.15">
      <c r="B266" s="62"/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  <c r="O266" s="62"/>
      <c r="P266" s="62"/>
      <c r="Q266" s="62"/>
      <c r="R266" s="62"/>
      <c r="S266" s="62"/>
      <c r="T266" s="62"/>
      <c r="U266" s="62"/>
    </row>
    <row r="267" spans="2:21" x14ac:dyDescent="0.15">
      <c r="B267" s="62"/>
      <c r="C267" s="62"/>
      <c r="D267" s="62"/>
      <c r="E267" s="62"/>
      <c r="F267" s="62"/>
      <c r="G267" s="62"/>
      <c r="H267" s="62"/>
      <c r="I267" s="62"/>
      <c r="J267" s="62"/>
      <c r="K267" s="62"/>
      <c r="L267" s="62"/>
      <c r="M267" s="62"/>
      <c r="N267" s="62"/>
      <c r="O267" s="62"/>
      <c r="P267" s="62"/>
      <c r="Q267" s="62"/>
      <c r="R267" s="62"/>
      <c r="S267" s="62"/>
      <c r="T267" s="62"/>
      <c r="U267" s="62"/>
    </row>
    <row r="268" spans="2:21" x14ac:dyDescent="0.15">
      <c r="B268" s="62"/>
      <c r="C268" s="62"/>
      <c r="D268" s="62"/>
      <c r="E268" s="62"/>
      <c r="F268" s="62"/>
      <c r="G268" s="62"/>
      <c r="H268" s="62"/>
      <c r="I268" s="62"/>
      <c r="J268" s="62"/>
      <c r="K268" s="62"/>
      <c r="L268" s="62"/>
      <c r="M268" s="62"/>
      <c r="N268" s="62"/>
      <c r="O268" s="62"/>
      <c r="P268" s="62"/>
      <c r="Q268" s="62"/>
      <c r="R268" s="62"/>
      <c r="S268" s="62"/>
      <c r="T268" s="62"/>
      <c r="U268" s="62"/>
    </row>
    <row r="269" spans="2:21" x14ac:dyDescent="0.15">
      <c r="B269" s="62"/>
      <c r="C269" s="62"/>
      <c r="D269" s="62"/>
      <c r="E269" s="62"/>
      <c r="F269" s="62"/>
      <c r="G269" s="62"/>
      <c r="H269" s="62"/>
      <c r="I269" s="62"/>
      <c r="J269" s="62"/>
      <c r="K269" s="62"/>
      <c r="L269" s="62"/>
      <c r="M269" s="62"/>
      <c r="N269" s="62"/>
      <c r="O269" s="62"/>
      <c r="P269" s="62"/>
      <c r="Q269" s="62"/>
      <c r="R269" s="62"/>
      <c r="S269" s="62"/>
      <c r="T269" s="62"/>
      <c r="U269" s="62"/>
    </row>
    <row r="270" spans="2:21" x14ac:dyDescent="0.15">
      <c r="B270" s="62"/>
      <c r="C270" s="62"/>
      <c r="D270" s="62"/>
      <c r="E270" s="62"/>
      <c r="F270" s="62"/>
      <c r="G270" s="62"/>
      <c r="H270" s="62"/>
      <c r="I270" s="62"/>
      <c r="J270" s="62"/>
      <c r="K270" s="62"/>
      <c r="L270" s="62"/>
      <c r="M270" s="62"/>
      <c r="N270" s="62"/>
      <c r="O270" s="62"/>
      <c r="P270" s="62"/>
      <c r="Q270" s="62"/>
      <c r="R270" s="62"/>
      <c r="S270" s="62"/>
      <c r="T270" s="62"/>
      <c r="U270" s="62"/>
    </row>
    <row r="271" spans="2:21" x14ac:dyDescent="0.15">
      <c r="B271" s="62"/>
      <c r="C271" s="62"/>
      <c r="D271" s="62"/>
      <c r="E271" s="62"/>
      <c r="F271" s="62"/>
      <c r="G271" s="62"/>
      <c r="H271" s="62"/>
      <c r="I271" s="62"/>
      <c r="J271" s="62"/>
      <c r="K271" s="62"/>
      <c r="L271" s="62"/>
      <c r="M271" s="62"/>
      <c r="N271" s="62"/>
      <c r="O271" s="62"/>
      <c r="P271" s="62"/>
      <c r="Q271" s="62"/>
      <c r="R271" s="62"/>
      <c r="S271" s="62"/>
      <c r="T271" s="62"/>
      <c r="U271" s="62"/>
    </row>
    <row r="272" spans="2:21" x14ac:dyDescent="0.15"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  <c r="M272" s="62"/>
      <c r="N272" s="62"/>
      <c r="O272" s="62"/>
      <c r="P272" s="62"/>
      <c r="Q272" s="62"/>
      <c r="R272" s="62"/>
      <c r="S272" s="62"/>
      <c r="T272" s="62"/>
      <c r="U272" s="62"/>
    </row>
    <row r="273" spans="2:21" x14ac:dyDescent="0.15">
      <c r="B273" s="62"/>
      <c r="C273" s="62"/>
      <c r="D273" s="62"/>
      <c r="E273" s="62"/>
      <c r="F273" s="62"/>
      <c r="G273" s="62"/>
      <c r="H273" s="62"/>
      <c r="I273" s="62"/>
      <c r="J273" s="62"/>
      <c r="K273" s="62"/>
      <c r="L273" s="62"/>
      <c r="M273" s="62"/>
      <c r="N273" s="62"/>
      <c r="O273" s="62"/>
      <c r="P273" s="62"/>
      <c r="Q273" s="62"/>
      <c r="R273" s="62"/>
      <c r="S273" s="62"/>
      <c r="T273" s="62"/>
      <c r="U273" s="62"/>
    </row>
    <row r="274" spans="2:21" x14ac:dyDescent="0.15">
      <c r="B274" s="62"/>
      <c r="C274" s="62"/>
      <c r="D274" s="62"/>
      <c r="E274" s="62"/>
      <c r="F274" s="62"/>
      <c r="G274" s="62"/>
      <c r="H274" s="62"/>
      <c r="I274" s="62"/>
      <c r="J274" s="62"/>
      <c r="K274" s="62"/>
      <c r="L274" s="62"/>
      <c r="M274" s="62"/>
      <c r="N274" s="62"/>
      <c r="O274" s="62"/>
      <c r="P274" s="62"/>
      <c r="Q274" s="62"/>
      <c r="R274" s="62"/>
      <c r="S274" s="62"/>
      <c r="T274" s="62"/>
      <c r="U274" s="62"/>
    </row>
    <row r="275" spans="2:21" x14ac:dyDescent="0.15">
      <c r="B275" s="62"/>
      <c r="C275" s="62"/>
      <c r="D275" s="62"/>
      <c r="E275" s="62"/>
      <c r="F275" s="62"/>
      <c r="G275" s="62"/>
      <c r="H275" s="62"/>
      <c r="I275" s="62"/>
      <c r="J275" s="62"/>
      <c r="K275" s="62"/>
      <c r="L275" s="62"/>
      <c r="M275" s="62"/>
      <c r="N275" s="62"/>
      <c r="O275" s="62"/>
      <c r="P275" s="62"/>
      <c r="Q275" s="62"/>
      <c r="R275" s="62"/>
      <c r="S275" s="62"/>
      <c r="T275" s="62"/>
      <c r="U275" s="62"/>
    </row>
    <row r="276" spans="2:21" x14ac:dyDescent="0.15">
      <c r="B276" s="62"/>
      <c r="C276" s="62"/>
      <c r="D276" s="62"/>
      <c r="E276" s="62"/>
      <c r="F276" s="62"/>
      <c r="G276" s="62"/>
      <c r="H276" s="62"/>
      <c r="I276" s="62"/>
      <c r="J276" s="62"/>
      <c r="K276" s="62"/>
      <c r="L276" s="62"/>
      <c r="M276" s="62"/>
      <c r="N276" s="62"/>
      <c r="O276" s="62"/>
      <c r="P276" s="62"/>
      <c r="Q276" s="62"/>
      <c r="R276" s="62"/>
      <c r="S276" s="62"/>
      <c r="T276" s="62"/>
      <c r="U276" s="62"/>
    </row>
    <row r="277" spans="2:21" x14ac:dyDescent="0.15">
      <c r="B277" s="62"/>
      <c r="C277" s="62"/>
      <c r="D277" s="62"/>
      <c r="E277" s="62"/>
      <c r="F277" s="62"/>
      <c r="G277" s="62"/>
      <c r="H277" s="62"/>
      <c r="I277" s="62"/>
      <c r="J277" s="62"/>
      <c r="K277" s="62"/>
      <c r="L277" s="62"/>
      <c r="M277" s="62"/>
      <c r="N277" s="62"/>
      <c r="O277" s="62"/>
      <c r="P277" s="62"/>
      <c r="Q277" s="62"/>
      <c r="R277" s="62"/>
      <c r="S277" s="62"/>
      <c r="T277" s="62"/>
      <c r="U277" s="62"/>
    </row>
    <row r="278" spans="2:21" x14ac:dyDescent="0.15">
      <c r="B278" s="62"/>
      <c r="C278" s="62"/>
      <c r="D278" s="62"/>
      <c r="E278" s="62"/>
      <c r="F278" s="62"/>
      <c r="G278" s="62"/>
      <c r="H278" s="62"/>
      <c r="I278" s="62"/>
      <c r="J278" s="62"/>
      <c r="K278" s="62"/>
      <c r="L278" s="62"/>
      <c r="M278" s="62"/>
      <c r="N278" s="62"/>
      <c r="O278" s="62"/>
      <c r="P278" s="62"/>
      <c r="Q278" s="62"/>
      <c r="R278" s="62"/>
      <c r="S278" s="62"/>
      <c r="T278" s="62"/>
      <c r="U278" s="62"/>
    </row>
    <row r="279" spans="2:21" x14ac:dyDescent="0.15">
      <c r="B279" s="62"/>
      <c r="C279" s="62"/>
      <c r="D279" s="62"/>
      <c r="E279" s="62"/>
      <c r="F279" s="62"/>
      <c r="G279" s="62"/>
      <c r="H279" s="62"/>
      <c r="I279" s="62"/>
      <c r="J279" s="62"/>
      <c r="K279" s="62"/>
      <c r="L279" s="62"/>
      <c r="M279" s="62"/>
      <c r="N279" s="62"/>
      <c r="O279" s="62"/>
      <c r="P279" s="62"/>
      <c r="Q279" s="62"/>
      <c r="R279" s="62"/>
      <c r="S279" s="62"/>
      <c r="T279" s="62"/>
      <c r="U279" s="62"/>
    </row>
    <row r="280" spans="2:21" x14ac:dyDescent="0.15">
      <c r="B280" s="62"/>
      <c r="C280" s="62"/>
      <c r="D280" s="62"/>
      <c r="E280" s="62"/>
      <c r="F280" s="62"/>
      <c r="G280" s="62"/>
      <c r="H280" s="62"/>
      <c r="I280" s="62"/>
      <c r="J280" s="62"/>
      <c r="K280" s="62"/>
      <c r="L280" s="62"/>
      <c r="M280" s="62"/>
      <c r="N280" s="62"/>
      <c r="O280" s="62"/>
      <c r="P280" s="62"/>
      <c r="Q280" s="62"/>
      <c r="R280" s="62"/>
      <c r="S280" s="62"/>
      <c r="T280" s="62"/>
      <c r="U280" s="62"/>
    </row>
    <row r="281" spans="2:21" x14ac:dyDescent="0.15">
      <c r="B281" s="62"/>
      <c r="C281" s="62"/>
      <c r="D281" s="62"/>
      <c r="E281" s="62"/>
      <c r="F281" s="62"/>
      <c r="G281" s="62"/>
      <c r="H281" s="62"/>
      <c r="I281" s="62"/>
      <c r="J281" s="62"/>
      <c r="K281" s="62"/>
      <c r="L281" s="62"/>
      <c r="M281" s="62"/>
      <c r="N281" s="62"/>
      <c r="O281" s="62"/>
      <c r="P281" s="62"/>
      <c r="Q281" s="62"/>
      <c r="R281" s="62"/>
      <c r="S281" s="62"/>
      <c r="T281" s="62"/>
      <c r="U281" s="62"/>
    </row>
    <row r="282" spans="2:21" x14ac:dyDescent="0.15">
      <c r="B282" s="62"/>
      <c r="C282" s="62"/>
      <c r="D282" s="62"/>
      <c r="E282" s="62"/>
      <c r="F282" s="62"/>
      <c r="G282" s="62"/>
      <c r="H282" s="62"/>
      <c r="I282" s="62"/>
      <c r="J282" s="62"/>
      <c r="K282" s="62"/>
      <c r="L282" s="62"/>
      <c r="M282" s="62"/>
      <c r="N282" s="62"/>
      <c r="O282" s="62"/>
      <c r="P282" s="62"/>
      <c r="Q282" s="62"/>
      <c r="R282" s="62"/>
      <c r="S282" s="62"/>
      <c r="T282" s="62"/>
      <c r="U282" s="62"/>
    </row>
    <row r="283" spans="2:21" x14ac:dyDescent="0.15">
      <c r="B283" s="62"/>
      <c r="C283" s="62"/>
      <c r="D283" s="62"/>
      <c r="E283" s="62"/>
      <c r="F283" s="62"/>
      <c r="G283" s="62"/>
      <c r="H283" s="62"/>
      <c r="I283" s="62"/>
      <c r="J283" s="62"/>
      <c r="K283" s="62"/>
      <c r="L283" s="62"/>
      <c r="M283" s="62"/>
      <c r="N283" s="62"/>
      <c r="O283" s="62"/>
      <c r="P283" s="62"/>
      <c r="Q283" s="62"/>
      <c r="R283" s="62"/>
      <c r="S283" s="62"/>
      <c r="T283" s="62"/>
      <c r="U283" s="62"/>
    </row>
    <row r="284" spans="2:21" x14ac:dyDescent="0.15">
      <c r="B284" s="62"/>
      <c r="C284" s="62"/>
      <c r="D284" s="62"/>
      <c r="E284" s="62"/>
      <c r="F284" s="62"/>
      <c r="G284" s="62"/>
      <c r="H284" s="62"/>
      <c r="I284" s="62"/>
      <c r="J284" s="62"/>
      <c r="K284" s="62"/>
      <c r="L284" s="62"/>
      <c r="M284" s="62"/>
      <c r="N284" s="62"/>
      <c r="O284" s="62"/>
      <c r="P284" s="62"/>
      <c r="Q284" s="62"/>
      <c r="R284" s="62"/>
      <c r="S284" s="62"/>
      <c r="T284" s="62"/>
      <c r="U284" s="62"/>
    </row>
    <row r="285" spans="2:21" x14ac:dyDescent="0.15">
      <c r="B285" s="62"/>
      <c r="C285" s="62"/>
      <c r="D285" s="62"/>
      <c r="E285" s="62"/>
      <c r="F285" s="62"/>
      <c r="G285" s="62"/>
      <c r="H285" s="62"/>
      <c r="I285" s="62"/>
      <c r="J285" s="62"/>
      <c r="K285" s="62"/>
      <c r="L285" s="62"/>
      <c r="M285" s="62"/>
      <c r="N285" s="62"/>
      <c r="O285" s="62"/>
      <c r="P285" s="62"/>
      <c r="Q285" s="62"/>
      <c r="R285" s="62"/>
      <c r="S285" s="62"/>
      <c r="T285" s="62"/>
      <c r="U285" s="62"/>
    </row>
    <row r="286" spans="2:21" x14ac:dyDescent="0.15">
      <c r="B286" s="62"/>
      <c r="C286" s="62"/>
      <c r="D286" s="62"/>
      <c r="E286" s="62"/>
      <c r="F286" s="62"/>
      <c r="G286" s="62"/>
      <c r="H286" s="62"/>
      <c r="I286" s="62"/>
      <c r="J286" s="62"/>
      <c r="K286" s="62"/>
      <c r="L286" s="62"/>
      <c r="M286" s="62"/>
      <c r="N286" s="62"/>
      <c r="O286" s="62"/>
      <c r="P286" s="62"/>
      <c r="Q286" s="62"/>
      <c r="R286" s="62"/>
      <c r="S286" s="62"/>
      <c r="T286" s="62"/>
      <c r="U286" s="62"/>
    </row>
    <row r="287" spans="2:21" x14ac:dyDescent="0.15">
      <c r="B287" s="62"/>
      <c r="C287" s="62"/>
      <c r="D287" s="62"/>
      <c r="E287" s="62"/>
      <c r="F287" s="62"/>
      <c r="G287" s="62"/>
      <c r="H287" s="62"/>
      <c r="I287" s="62"/>
      <c r="J287" s="62"/>
      <c r="K287" s="62"/>
      <c r="L287" s="62"/>
      <c r="M287" s="62"/>
      <c r="N287" s="62"/>
      <c r="O287" s="62"/>
      <c r="P287" s="62"/>
      <c r="Q287" s="62"/>
      <c r="R287" s="62"/>
      <c r="S287" s="62"/>
      <c r="T287" s="62"/>
      <c r="U287" s="62"/>
    </row>
    <row r="288" spans="2:21" x14ac:dyDescent="0.15">
      <c r="B288" s="62"/>
      <c r="C288" s="62"/>
      <c r="D288" s="62"/>
      <c r="E288" s="62"/>
      <c r="F288" s="62"/>
      <c r="G288" s="62"/>
      <c r="H288" s="62"/>
      <c r="I288" s="62"/>
      <c r="J288" s="62"/>
      <c r="K288" s="62"/>
      <c r="L288" s="62"/>
      <c r="M288" s="62"/>
      <c r="N288" s="62"/>
      <c r="O288" s="62"/>
      <c r="P288" s="62"/>
      <c r="Q288" s="62"/>
      <c r="R288" s="62"/>
      <c r="S288" s="62"/>
      <c r="T288" s="62"/>
      <c r="U288" s="62"/>
    </row>
    <row r="289" spans="2:21" x14ac:dyDescent="0.15">
      <c r="B289" s="62"/>
      <c r="C289" s="62"/>
      <c r="D289" s="62"/>
      <c r="E289" s="62"/>
      <c r="F289" s="62"/>
      <c r="G289" s="62"/>
      <c r="H289" s="62"/>
      <c r="I289" s="62"/>
      <c r="J289" s="62"/>
      <c r="K289" s="62"/>
      <c r="L289" s="62"/>
      <c r="M289" s="62"/>
      <c r="N289" s="62"/>
      <c r="O289" s="62"/>
      <c r="P289" s="62"/>
      <c r="Q289" s="62"/>
      <c r="R289" s="62"/>
      <c r="S289" s="62"/>
      <c r="T289" s="62"/>
      <c r="U289" s="62"/>
    </row>
    <row r="290" spans="2:21" x14ac:dyDescent="0.15">
      <c r="B290" s="62"/>
      <c r="C290" s="62"/>
      <c r="D290" s="62"/>
      <c r="E290" s="62"/>
      <c r="F290" s="62"/>
      <c r="G290" s="62"/>
      <c r="H290" s="62"/>
      <c r="I290" s="62"/>
      <c r="J290" s="62"/>
      <c r="K290" s="62"/>
      <c r="L290" s="62"/>
      <c r="M290" s="62"/>
      <c r="N290" s="62"/>
      <c r="O290" s="62"/>
      <c r="P290" s="62"/>
      <c r="Q290" s="62"/>
      <c r="R290" s="62"/>
      <c r="S290" s="62"/>
      <c r="T290" s="62"/>
      <c r="U290" s="62"/>
    </row>
    <row r="291" spans="2:21" x14ac:dyDescent="0.15">
      <c r="B291" s="62"/>
      <c r="C291" s="62"/>
      <c r="D291" s="62"/>
      <c r="E291" s="62"/>
      <c r="F291" s="62"/>
      <c r="G291" s="62"/>
      <c r="H291" s="62"/>
      <c r="I291" s="62"/>
      <c r="J291" s="62"/>
      <c r="K291" s="62"/>
      <c r="L291" s="62"/>
      <c r="M291" s="62"/>
      <c r="N291" s="62"/>
      <c r="O291" s="62"/>
      <c r="P291" s="62"/>
      <c r="Q291" s="62"/>
      <c r="R291" s="62"/>
      <c r="S291" s="62"/>
      <c r="T291" s="62"/>
      <c r="U291" s="62"/>
    </row>
    <row r="292" spans="2:21" x14ac:dyDescent="0.15">
      <c r="B292" s="62"/>
      <c r="C292" s="62"/>
      <c r="D292" s="62"/>
      <c r="E292" s="62"/>
      <c r="F292" s="62"/>
      <c r="G292" s="62"/>
      <c r="H292" s="62"/>
      <c r="I292" s="62"/>
      <c r="J292" s="62"/>
      <c r="K292" s="62"/>
      <c r="L292" s="62"/>
      <c r="M292" s="62"/>
      <c r="N292" s="62"/>
      <c r="O292" s="62"/>
      <c r="P292" s="62"/>
      <c r="Q292" s="62"/>
      <c r="R292" s="62"/>
      <c r="S292" s="62"/>
      <c r="T292" s="62"/>
      <c r="U292" s="62"/>
    </row>
    <row r="293" spans="2:21" x14ac:dyDescent="0.15">
      <c r="B293" s="62"/>
      <c r="C293" s="62"/>
      <c r="D293" s="62"/>
      <c r="E293" s="62"/>
      <c r="F293" s="62"/>
      <c r="G293" s="62"/>
      <c r="H293" s="62"/>
      <c r="I293" s="62"/>
      <c r="J293" s="62"/>
      <c r="K293" s="62"/>
      <c r="L293" s="62"/>
      <c r="M293" s="62"/>
      <c r="N293" s="62"/>
      <c r="O293" s="62"/>
      <c r="P293" s="62"/>
      <c r="Q293" s="62"/>
      <c r="R293" s="62"/>
      <c r="S293" s="62"/>
      <c r="T293" s="62"/>
      <c r="U293" s="62"/>
    </row>
    <row r="294" spans="2:21" x14ac:dyDescent="0.15">
      <c r="B294" s="62"/>
      <c r="C294" s="62"/>
      <c r="D294" s="62"/>
      <c r="E294" s="62"/>
      <c r="F294" s="62"/>
      <c r="G294" s="62"/>
      <c r="H294" s="62"/>
      <c r="I294" s="62"/>
      <c r="J294" s="62"/>
      <c r="K294" s="62"/>
      <c r="L294" s="62"/>
      <c r="M294" s="62"/>
      <c r="N294" s="62"/>
      <c r="O294" s="62"/>
      <c r="P294" s="62"/>
      <c r="Q294" s="62"/>
      <c r="R294" s="62"/>
      <c r="S294" s="62"/>
      <c r="T294" s="62"/>
      <c r="U294" s="62"/>
    </row>
    <row r="295" spans="2:21" x14ac:dyDescent="0.15">
      <c r="B295" s="62"/>
      <c r="C295" s="62"/>
      <c r="D295" s="62"/>
      <c r="E295" s="62"/>
      <c r="F295" s="62"/>
      <c r="G295" s="62"/>
      <c r="H295" s="62"/>
      <c r="I295" s="62"/>
      <c r="J295" s="62"/>
      <c r="K295" s="62"/>
      <c r="L295" s="62"/>
      <c r="M295" s="62"/>
      <c r="N295" s="62"/>
      <c r="O295" s="62"/>
      <c r="P295" s="62"/>
      <c r="Q295" s="62"/>
      <c r="R295" s="62"/>
      <c r="S295" s="62"/>
      <c r="T295" s="62"/>
      <c r="U295" s="62"/>
    </row>
    <row r="296" spans="2:21" x14ac:dyDescent="0.15">
      <c r="B296" s="62"/>
      <c r="C296" s="62"/>
      <c r="D296" s="62"/>
      <c r="E296" s="62"/>
      <c r="F296" s="62"/>
      <c r="G296" s="62"/>
      <c r="H296" s="62"/>
      <c r="I296" s="62"/>
      <c r="J296" s="62"/>
      <c r="K296" s="62"/>
      <c r="L296" s="62"/>
      <c r="M296" s="62"/>
      <c r="N296" s="62"/>
      <c r="O296" s="62"/>
      <c r="P296" s="62"/>
      <c r="Q296" s="62"/>
      <c r="R296" s="62"/>
      <c r="S296" s="62"/>
      <c r="T296" s="62"/>
      <c r="U296" s="62"/>
    </row>
    <row r="297" spans="2:21" x14ac:dyDescent="0.15">
      <c r="B297" s="62"/>
      <c r="C297" s="62"/>
      <c r="D297" s="62"/>
      <c r="E297" s="62"/>
      <c r="F297" s="62"/>
      <c r="G297" s="62"/>
      <c r="H297" s="62"/>
      <c r="I297" s="62"/>
      <c r="J297" s="62"/>
      <c r="K297" s="62"/>
      <c r="L297" s="62"/>
      <c r="M297" s="62"/>
      <c r="N297" s="62"/>
      <c r="O297" s="62"/>
      <c r="P297" s="62"/>
      <c r="Q297" s="62"/>
      <c r="R297" s="62"/>
      <c r="S297" s="62"/>
      <c r="T297" s="62"/>
      <c r="U297" s="62"/>
    </row>
    <row r="298" spans="2:21" x14ac:dyDescent="0.15">
      <c r="B298" s="62"/>
      <c r="C298" s="62"/>
      <c r="D298" s="62"/>
      <c r="E298" s="62"/>
      <c r="F298" s="62"/>
      <c r="G298" s="62"/>
      <c r="H298" s="62"/>
      <c r="I298" s="62"/>
      <c r="J298" s="62"/>
      <c r="K298" s="62"/>
      <c r="L298" s="62"/>
      <c r="M298" s="62"/>
      <c r="N298" s="62"/>
      <c r="O298" s="62"/>
      <c r="P298" s="62"/>
      <c r="Q298" s="62"/>
      <c r="R298" s="62"/>
      <c r="S298" s="62"/>
      <c r="T298" s="62"/>
      <c r="U298" s="62"/>
    </row>
    <row r="299" spans="2:21" x14ac:dyDescent="0.15">
      <c r="B299" s="62"/>
      <c r="C299" s="62"/>
      <c r="D299" s="62"/>
      <c r="E299" s="62"/>
      <c r="F299" s="62"/>
      <c r="G299" s="62"/>
      <c r="H299" s="62"/>
      <c r="I299" s="62"/>
      <c r="J299" s="62"/>
      <c r="K299" s="62"/>
      <c r="L299" s="62"/>
      <c r="M299" s="62"/>
      <c r="N299" s="62"/>
      <c r="O299" s="62"/>
      <c r="P299" s="62"/>
      <c r="Q299" s="62"/>
      <c r="R299" s="62"/>
      <c r="S299" s="62"/>
      <c r="T299" s="62"/>
      <c r="U299" s="62"/>
    </row>
    <row r="300" spans="2:21" x14ac:dyDescent="0.15">
      <c r="B300" s="62"/>
      <c r="C300" s="62"/>
      <c r="D300" s="62"/>
      <c r="E300" s="62"/>
      <c r="F300" s="62"/>
      <c r="G300" s="62"/>
      <c r="H300" s="62"/>
      <c r="I300" s="62"/>
      <c r="J300" s="62"/>
      <c r="K300" s="62"/>
      <c r="L300" s="62"/>
      <c r="M300" s="62"/>
      <c r="N300" s="62"/>
      <c r="O300" s="62"/>
      <c r="P300" s="62"/>
      <c r="Q300" s="62"/>
      <c r="R300" s="62"/>
      <c r="S300" s="62"/>
      <c r="T300" s="62"/>
      <c r="U300" s="62"/>
    </row>
    <row r="301" spans="2:21" x14ac:dyDescent="0.15">
      <c r="B301" s="62"/>
      <c r="C301" s="62"/>
      <c r="D301" s="62"/>
      <c r="E301" s="62"/>
      <c r="F301" s="62"/>
      <c r="G301" s="62"/>
      <c r="H301" s="62"/>
      <c r="I301" s="62"/>
      <c r="J301" s="62"/>
      <c r="K301" s="62"/>
      <c r="L301" s="62"/>
      <c r="M301" s="62"/>
      <c r="N301" s="62"/>
      <c r="O301" s="62"/>
      <c r="P301" s="62"/>
      <c r="Q301" s="62"/>
      <c r="R301" s="62"/>
      <c r="S301" s="62"/>
      <c r="T301" s="62"/>
      <c r="U301" s="62"/>
    </row>
    <row r="302" spans="2:21" x14ac:dyDescent="0.15">
      <c r="B302" s="62"/>
      <c r="C302" s="62"/>
      <c r="D302" s="62"/>
      <c r="E302" s="62"/>
      <c r="F302" s="62"/>
      <c r="G302" s="62"/>
      <c r="H302" s="62"/>
      <c r="I302" s="62"/>
      <c r="J302" s="62"/>
      <c r="K302" s="62"/>
      <c r="L302" s="62"/>
      <c r="M302" s="62"/>
      <c r="N302" s="62"/>
      <c r="O302" s="62"/>
      <c r="P302" s="62"/>
      <c r="Q302" s="62"/>
      <c r="R302" s="62"/>
      <c r="S302" s="62"/>
      <c r="T302" s="62"/>
      <c r="U302" s="62"/>
    </row>
    <row r="303" spans="2:21" x14ac:dyDescent="0.15">
      <c r="B303" s="62"/>
      <c r="C303" s="62"/>
      <c r="D303" s="62"/>
      <c r="E303" s="62"/>
      <c r="F303" s="62"/>
      <c r="G303" s="62"/>
      <c r="H303" s="62"/>
      <c r="I303" s="62"/>
      <c r="J303" s="62"/>
      <c r="K303" s="62"/>
      <c r="L303" s="62"/>
      <c r="M303" s="62"/>
      <c r="N303" s="62"/>
      <c r="O303" s="62"/>
      <c r="P303" s="62"/>
      <c r="Q303" s="62"/>
      <c r="R303" s="62"/>
      <c r="S303" s="62"/>
      <c r="T303" s="62"/>
      <c r="U303" s="62"/>
    </row>
    <row r="304" spans="2:21" x14ac:dyDescent="0.15">
      <c r="B304" s="62"/>
      <c r="C304" s="62"/>
      <c r="D304" s="62"/>
      <c r="E304" s="62"/>
      <c r="F304" s="62"/>
      <c r="G304" s="62"/>
      <c r="H304" s="62"/>
      <c r="I304" s="62"/>
      <c r="J304" s="62"/>
      <c r="K304" s="62"/>
      <c r="L304" s="62"/>
      <c r="M304" s="62"/>
      <c r="N304" s="62"/>
      <c r="O304" s="62"/>
      <c r="P304" s="62"/>
      <c r="Q304" s="62"/>
      <c r="R304" s="62"/>
      <c r="S304" s="62"/>
      <c r="T304" s="62"/>
      <c r="U304" s="62"/>
    </row>
    <row r="305" spans="2:21" x14ac:dyDescent="0.15">
      <c r="B305" s="62"/>
      <c r="C305" s="62"/>
      <c r="D305" s="62"/>
      <c r="E305" s="62"/>
      <c r="F305" s="62"/>
      <c r="G305" s="62"/>
      <c r="H305" s="62"/>
      <c r="I305" s="62"/>
      <c r="J305" s="62"/>
      <c r="K305" s="62"/>
      <c r="L305" s="62"/>
      <c r="M305" s="62"/>
      <c r="N305" s="62"/>
      <c r="O305" s="62"/>
      <c r="P305" s="62"/>
      <c r="Q305" s="62"/>
      <c r="R305" s="62"/>
      <c r="S305" s="62"/>
      <c r="T305" s="62"/>
      <c r="U305" s="62"/>
    </row>
    <row r="306" spans="2:21" x14ac:dyDescent="0.15">
      <c r="B306" s="62"/>
      <c r="C306" s="62"/>
      <c r="D306" s="62"/>
      <c r="E306" s="62"/>
      <c r="F306" s="62"/>
      <c r="G306" s="62"/>
      <c r="H306" s="62"/>
      <c r="I306" s="62"/>
      <c r="J306" s="62"/>
      <c r="K306" s="62"/>
      <c r="L306" s="62"/>
      <c r="M306" s="62"/>
      <c r="N306" s="62"/>
      <c r="O306" s="62"/>
      <c r="P306" s="62"/>
      <c r="Q306" s="62"/>
      <c r="R306" s="62"/>
      <c r="S306" s="62"/>
      <c r="T306" s="62"/>
      <c r="U306" s="62"/>
    </row>
    <row r="307" spans="2:21" x14ac:dyDescent="0.15">
      <c r="B307" s="62"/>
      <c r="C307" s="62"/>
      <c r="D307" s="62"/>
      <c r="E307" s="62"/>
      <c r="F307" s="62"/>
      <c r="G307" s="62"/>
      <c r="H307" s="62"/>
      <c r="I307" s="62"/>
      <c r="J307" s="62"/>
      <c r="K307" s="62"/>
      <c r="L307" s="62"/>
      <c r="M307" s="62"/>
      <c r="N307" s="62"/>
      <c r="O307" s="62"/>
      <c r="P307" s="62"/>
      <c r="Q307" s="62"/>
      <c r="R307" s="62"/>
      <c r="S307" s="62"/>
      <c r="T307" s="62"/>
      <c r="U307" s="62"/>
    </row>
    <row r="308" spans="2:21" x14ac:dyDescent="0.15">
      <c r="B308" s="62"/>
      <c r="C308" s="62"/>
      <c r="D308" s="62"/>
      <c r="E308" s="62"/>
      <c r="F308" s="62"/>
      <c r="G308" s="62"/>
      <c r="H308" s="62"/>
      <c r="I308" s="62"/>
      <c r="J308" s="62"/>
      <c r="K308" s="62"/>
      <c r="L308" s="62"/>
      <c r="M308" s="62"/>
      <c r="N308" s="62"/>
      <c r="O308" s="62"/>
      <c r="P308" s="62"/>
      <c r="Q308" s="62"/>
      <c r="R308" s="62"/>
      <c r="S308" s="62"/>
      <c r="T308" s="62"/>
      <c r="U308" s="62"/>
    </row>
    <row r="309" spans="2:21" x14ac:dyDescent="0.15">
      <c r="B309" s="62"/>
      <c r="C309" s="62"/>
      <c r="D309" s="62"/>
      <c r="E309" s="62"/>
      <c r="F309" s="62"/>
      <c r="G309" s="62"/>
      <c r="H309" s="62"/>
      <c r="I309" s="62"/>
      <c r="J309" s="62"/>
      <c r="K309" s="62"/>
      <c r="L309" s="62"/>
      <c r="M309" s="62"/>
      <c r="N309" s="62"/>
      <c r="O309" s="62"/>
      <c r="P309" s="62"/>
      <c r="Q309" s="62"/>
      <c r="R309" s="62"/>
      <c r="S309" s="62"/>
      <c r="T309" s="62"/>
      <c r="U309" s="62"/>
    </row>
    <row r="310" spans="2:21" x14ac:dyDescent="0.15">
      <c r="B310" s="62"/>
      <c r="C310" s="62"/>
      <c r="D310" s="62"/>
      <c r="E310" s="62"/>
      <c r="F310" s="62"/>
      <c r="G310" s="62"/>
      <c r="H310" s="62"/>
      <c r="I310" s="62"/>
      <c r="J310" s="62"/>
      <c r="K310" s="62"/>
      <c r="L310" s="62"/>
      <c r="M310" s="62"/>
      <c r="N310" s="62"/>
      <c r="O310" s="62"/>
      <c r="P310" s="62"/>
      <c r="Q310" s="62"/>
      <c r="R310" s="62"/>
      <c r="S310" s="62"/>
      <c r="T310" s="62"/>
      <c r="U310" s="62"/>
    </row>
    <row r="311" spans="2:21" x14ac:dyDescent="0.15">
      <c r="B311" s="62"/>
      <c r="C311" s="62"/>
      <c r="D311" s="62"/>
      <c r="E311" s="62"/>
      <c r="F311" s="62"/>
      <c r="G311" s="62"/>
      <c r="H311" s="62"/>
      <c r="I311" s="62"/>
      <c r="J311" s="62"/>
      <c r="K311" s="62"/>
      <c r="L311" s="62"/>
      <c r="M311" s="62"/>
      <c r="N311" s="62"/>
      <c r="O311" s="62"/>
      <c r="P311" s="62"/>
      <c r="Q311" s="62"/>
      <c r="R311" s="62"/>
      <c r="S311" s="62"/>
      <c r="T311" s="62"/>
      <c r="U311" s="62"/>
    </row>
    <row r="312" spans="2:21" x14ac:dyDescent="0.15">
      <c r="B312" s="62"/>
      <c r="C312" s="62"/>
      <c r="D312" s="62"/>
      <c r="E312" s="62"/>
      <c r="F312" s="62"/>
      <c r="G312" s="62"/>
      <c r="H312" s="62"/>
      <c r="I312" s="62"/>
      <c r="J312" s="62"/>
      <c r="K312" s="62"/>
      <c r="L312" s="62"/>
      <c r="M312" s="62"/>
      <c r="N312" s="62"/>
      <c r="O312" s="62"/>
      <c r="P312" s="62"/>
      <c r="Q312" s="62"/>
      <c r="R312" s="62"/>
      <c r="S312" s="62"/>
      <c r="T312" s="62"/>
      <c r="U312" s="62"/>
    </row>
    <row r="313" spans="2:21" x14ac:dyDescent="0.15">
      <c r="B313" s="62"/>
      <c r="C313" s="62"/>
      <c r="D313" s="62"/>
      <c r="E313" s="62"/>
      <c r="F313" s="62"/>
      <c r="G313" s="62"/>
      <c r="H313" s="62"/>
      <c r="I313" s="62"/>
      <c r="J313" s="62"/>
      <c r="K313" s="62"/>
      <c r="L313" s="62"/>
      <c r="M313" s="62"/>
      <c r="N313" s="62"/>
      <c r="O313" s="62"/>
      <c r="P313" s="62"/>
      <c r="Q313" s="62"/>
      <c r="R313" s="62"/>
      <c r="S313" s="62"/>
      <c r="T313" s="62"/>
      <c r="U313" s="62"/>
    </row>
    <row r="314" spans="2:21" x14ac:dyDescent="0.15">
      <c r="B314" s="62"/>
      <c r="C314" s="62"/>
      <c r="D314" s="62"/>
      <c r="E314" s="62"/>
      <c r="F314" s="62"/>
      <c r="G314" s="62"/>
      <c r="H314" s="62"/>
      <c r="I314" s="62"/>
      <c r="J314" s="62"/>
      <c r="K314" s="62"/>
      <c r="L314" s="62"/>
      <c r="M314" s="62"/>
      <c r="N314" s="62"/>
      <c r="O314" s="62"/>
      <c r="P314" s="62"/>
      <c r="Q314" s="62"/>
      <c r="R314" s="62"/>
      <c r="S314" s="62"/>
      <c r="T314" s="62"/>
      <c r="U314" s="62"/>
    </row>
    <row r="315" spans="2:21" x14ac:dyDescent="0.15">
      <c r="B315" s="62"/>
      <c r="C315" s="62"/>
      <c r="D315" s="62"/>
      <c r="E315" s="62"/>
      <c r="F315" s="62"/>
      <c r="G315" s="62"/>
      <c r="H315" s="62"/>
      <c r="I315" s="62"/>
      <c r="J315" s="62"/>
      <c r="K315" s="62"/>
      <c r="L315" s="62"/>
      <c r="M315" s="62"/>
      <c r="N315" s="62"/>
      <c r="O315" s="62"/>
      <c r="P315" s="62"/>
      <c r="Q315" s="62"/>
      <c r="R315" s="62"/>
      <c r="S315" s="62"/>
      <c r="T315" s="62"/>
      <c r="U315" s="62"/>
    </row>
    <row r="316" spans="2:21" x14ac:dyDescent="0.15">
      <c r="B316" s="62"/>
      <c r="C316" s="62"/>
      <c r="D316" s="62"/>
      <c r="E316" s="62"/>
      <c r="F316" s="62"/>
      <c r="G316" s="62"/>
      <c r="H316" s="62"/>
      <c r="I316" s="62"/>
      <c r="J316" s="62"/>
      <c r="K316" s="62"/>
      <c r="L316" s="62"/>
      <c r="M316" s="62"/>
      <c r="N316" s="62"/>
      <c r="O316" s="62"/>
      <c r="P316" s="62"/>
      <c r="Q316" s="62"/>
      <c r="R316" s="62"/>
      <c r="S316" s="62"/>
      <c r="T316" s="62"/>
      <c r="U316" s="62"/>
    </row>
    <row r="317" spans="2:21" x14ac:dyDescent="0.15">
      <c r="B317" s="62"/>
      <c r="C317" s="62"/>
      <c r="D317" s="62"/>
      <c r="E317" s="62"/>
      <c r="F317" s="62"/>
      <c r="G317" s="62"/>
      <c r="H317" s="62"/>
      <c r="I317" s="62"/>
      <c r="J317" s="62"/>
      <c r="K317" s="62"/>
      <c r="L317" s="62"/>
      <c r="M317" s="62"/>
      <c r="N317" s="62"/>
      <c r="O317" s="62"/>
      <c r="P317" s="62"/>
      <c r="Q317" s="62"/>
      <c r="R317" s="62"/>
      <c r="S317" s="62"/>
      <c r="T317" s="62"/>
      <c r="U317" s="62"/>
    </row>
    <row r="318" spans="2:21" x14ac:dyDescent="0.15">
      <c r="B318" s="62"/>
      <c r="C318" s="62"/>
      <c r="D318" s="62"/>
      <c r="E318" s="62"/>
      <c r="F318" s="62"/>
      <c r="G318" s="62"/>
      <c r="H318" s="62"/>
      <c r="I318" s="62"/>
      <c r="J318" s="62"/>
      <c r="K318" s="62"/>
      <c r="L318" s="62"/>
      <c r="M318" s="62"/>
      <c r="N318" s="62"/>
      <c r="O318" s="62"/>
      <c r="P318" s="62"/>
      <c r="Q318" s="62"/>
      <c r="R318" s="62"/>
      <c r="S318" s="62"/>
      <c r="T318" s="62"/>
      <c r="U318" s="62"/>
    </row>
    <row r="319" spans="2:21" x14ac:dyDescent="0.15">
      <c r="B319" s="62"/>
      <c r="C319" s="62"/>
      <c r="D319" s="62"/>
      <c r="E319" s="62"/>
      <c r="F319" s="62"/>
      <c r="G319" s="62"/>
      <c r="H319" s="62"/>
      <c r="I319" s="62"/>
      <c r="J319" s="62"/>
      <c r="K319" s="62"/>
      <c r="L319" s="62"/>
      <c r="M319" s="62"/>
      <c r="N319" s="62"/>
      <c r="O319" s="62"/>
      <c r="P319" s="62"/>
      <c r="Q319" s="62"/>
      <c r="R319" s="62"/>
      <c r="S319" s="62"/>
      <c r="T319" s="62"/>
      <c r="U319" s="62"/>
    </row>
    <row r="320" spans="2:21" x14ac:dyDescent="0.15">
      <c r="B320" s="62"/>
      <c r="C320" s="62"/>
      <c r="D320" s="62"/>
      <c r="E320" s="62"/>
      <c r="F320" s="62"/>
      <c r="G320" s="62"/>
      <c r="H320" s="62"/>
      <c r="I320" s="62"/>
      <c r="J320" s="62"/>
      <c r="K320" s="62"/>
      <c r="L320" s="62"/>
      <c r="M320" s="62"/>
      <c r="N320" s="62"/>
      <c r="O320" s="62"/>
      <c r="P320" s="62"/>
      <c r="Q320" s="62"/>
      <c r="R320" s="62"/>
      <c r="S320" s="62"/>
      <c r="T320" s="62"/>
      <c r="U320" s="62"/>
    </row>
    <row r="321" spans="2:21" x14ac:dyDescent="0.15">
      <c r="B321" s="62"/>
      <c r="C321" s="62"/>
      <c r="D321" s="62"/>
      <c r="E321" s="62"/>
      <c r="F321" s="62"/>
      <c r="G321" s="62"/>
      <c r="H321" s="62"/>
      <c r="I321" s="62"/>
      <c r="J321" s="62"/>
      <c r="K321" s="62"/>
      <c r="L321" s="62"/>
      <c r="M321" s="62"/>
      <c r="N321" s="62"/>
      <c r="O321" s="62"/>
      <c r="P321" s="62"/>
      <c r="Q321" s="62"/>
      <c r="R321" s="62"/>
      <c r="S321" s="62"/>
      <c r="T321" s="62"/>
      <c r="U321" s="62"/>
    </row>
    <row r="322" spans="2:21" x14ac:dyDescent="0.15">
      <c r="B322" s="62"/>
      <c r="C322" s="62"/>
      <c r="D322" s="62"/>
      <c r="E322" s="62"/>
      <c r="F322" s="62"/>
      <c r="G322" s="62"/>
      <c r="H322" s="62"/>
      <c r="I322" s="62"/>
      <c r="J322" s="62"/>
      <c r="K322" s="62"/>
      <c r="L322" s="62"/>
      <c r="M322" s="62"/>
      <c r="N322" s="62"/>
      <c r="O322" s="62"/>
      <c r="P322" s="62"/>
      <c r="Q322" s="62"/>
      <c r="R322" s="62"/>
      <c r="S322" s="62"/>
      <c r="T322" s="62"/>
      <c r="U322" s="62"/>
    </row>
    <row r="323" spans="2:21" x14ac:dyDescent="0.15">
      <c r="B323" s="62"/>
      <c r="C323" s="62"/>
      <c r="D323" s="62"/>
      <c r="E323" s="62"/>
      <c r="F323" s="62"/>
      <c r="G323" s="62"/>
      <c r="H323" s="62"/>
      <c r="I323" s="62"/>
      <c r="J323" s="62"/>
      <c r="K323" s="62"/>
      <c r="L323" s="62"/>
      <c r="M323" s="62"/>
      <c r="N323" s="62"/>
      <c r="O323" s="62"/>
      <c r="P323" s="62"/>
      <c r="Q323" s="62"/>
      <c r="R323" s="62"/>
      <c r="S323" s="62"/>
      <c r="T323" s="62"/>
      <c r="U323" s="62"/>
    </row>
    <row r="324" spans="2:21" x14ac:dyDescent="0.15">
      <c r="B324" s="62"/>
      <c r="C324" s="62"/>
      <c r="D324" s="62"/>
      <c r="E324" s="62"/>
      <c r="F324" s="62"/>
      <c r="G324" s="62"/>
      <c r="H324" s="62"/>
      <c r="I324" s="62"/>
      <c r="J324" s="62"/>
      <c r="K324" s="62"/>
      <c r="L324" s="62"/>
      <c r="M324" s="62"/>
      <c r="N324" s="62"/>
      <c r="O324" s="62"/>
      <c r="P324" s="62"/>
      <c r="Q324" s="62"/>
      <c r="R324" s="62"/>
      <c r="S324" s="62"/>
      <c r="T324" s="62"/>
      <c r="U324" s="62"/>
    </row>
    <row r="325" spans="2:21" x14ac:dyDescent="0.15">
      <c r="B325" s="62"/>
      <c r="C325" s="62"/>
      <c r="D325" s="62"/>
      <c r="E325" s="62"/>
      <c r="F325" s="62"/>
      <c r="G325" s="62"/>
      <c r="H325" s="62"/>
      <c r="I325" s="62"/>
      <c r="J325" s="62"/>
      <c r="K325" s="62"/>
      <c r="L325" s="62"/>
      <c r="M325" s="62"/>
      <c r="N325" s="62"/>
      <c r="O325" s="62"/>
      <c r="P325" s="62"/>
      <c r="Q325" s="62"/>
      <c r="R325" s="62"/>
      <c r="S325" s="62"/>
      <c r="T325" s="62"/>
      <c r="U325" s="62"/>
    </row>
    <row r="326" spans="2:21" x14ac:dyDescent="0.15">
      <c r="B326" s="62"/>
      <c r="C326" s="62"/>
      <c r="D326" s="62"/>
      <c r="E326" s="62"/>
      <c r="F326" s="62"/>
      <c r="G326" s="62"/>
      <c r="H326" s="62"/>
      <c r="I326" s="62"/>
      <c r="J326" s="62"/>
      <c r="K326" s="62"/>
      <c r="L326" s="62"/>
      <c r="M326" s="62"/>
      <c r="N326" s="62"/>
      <c r="O326" s="62"/>
      <c r="P326" s="62"/>
      <c r="Q326" s="62"/>
      <c r="R326" s="62"/>
      <c r="S326" s="62"/>
      <c r="T326" s="62"/>
      <c r="U326" s="62"/>
    </row>
    <row r="327" spans="2:21" x14ac:dyDescent="0.15">
      <c r="B327" s="62"/>
      <c r="C327" s="62"/>
      <c r="D327" s="62"/>
      <c r="E327" s="62"/>
      <c r="F327" s="62"/>
      <c r="G327" s="62"/>
      <c r="H327" s="62"/>
      <c r="I327" s="62"/>
      <c r="J327" s="62"/>
      <c r="K327" s="62"/>
      <c r="L327" s="62"/>
      <c r="M327" s="62"/>
      <c r="N327" s="62"/>
      <c r="O327" s="62"/>
      <c r="P327" s="62"/>
      <c r="Q327" s="62"/>
      <c r="R327" s="62"/>
      <c r="S327" s="62"/>
      <c r="T327" s="62"/>
      <c r="U327" s="62"/>
    </row>
    <row r="328" spans="2:21" x14ac:dyDescent="0.15">
      <c r="B328" s="62"/>
      <c r="C328" s="62"/>
      <c r="D328" s="62"/>
      <c r="E328" s="62"/>
      <c r="F328" s="62"/>
      <c r="G328" s="62"/>
      <c r="H328" s="62"/>
      <c r="I328" s="62"/>
      <c r="J328" s="62"/>
      <c r="K328" s="62"/>
      <c r="L328" s="62"/>
      <c r="M328" s="62"/>
      <c r="N328" s="62"/>
      <c r="O328" s="62"/>
      <c r="P328" s="62"/>
      <c r="Q328" s="62"/>
      <c r="R328" s="62"/>
      <c r="S328" s="62"/>
      <c r="T328" s="62"/>
      <c r="U328" s="62"/>
    </row>
    <row r="329" spans="2:21" x14ac:dyDescent="0.15">
      <c r="B329" s="62"/>
      <c r="C329" s="62"/>
      <c r="D329" s="62"/>
      <c r="E329" s="62"/>
      <c r="F329" s="62"/>
      <c r="G329" s="62"/>
      <c r="H329" s="62"/>
      <c r="I329" s="62"/>
      <c r="J329" s="62"/>
      <c r="K329" s="62"/>
      <c r="L329" s="62"/>
      <c r="M329" s="62"/>
      <c r="N329" s="62"/>
      <c r="O329" s="62"/>
      <c r="P329" s="62"/>
      <c r="Q329" s="62"/>
      <c r="R329" s="62"/>
      <c r="S329" s="62"/>
      <c r="T329" s="62"/>
      <c r="U329" s="62"/>
    </row>
    <row r="330" spans="2:21" x14ac:dyDescent="0.15">
      <c r="B330" s="62"/>
      <c r="C330" s="62"/>
      <c r="D330" s="62"/>
      <c r="E330" s="62"/>
      <c r="F330" s="62"/>
      <c r="G330" s="62"/>
      <c r="H330" s="62"/>
      <c r="I330" s="62"/>
      <c r="J330" s="62"/>
      <c r="K330" s="62"/>
      <c r="L330" s="62"/>
      <c r="M330" s="62"/>
      <c r="N330" s="62"/>
      <c r="O330" s="62"/>
      <c r="P330" s="62"/>
      <c r="Q330" s="62"/>
      <c r="R330" s="62"/>
      <c r="S330" s="62"/>
      <c r="T330" s="62"/>
      <c r="U330" s="62"/>
    </row>
    <row r="331" spans="2:21" x14ac:dyDescent="0.15">
      <c r="B331" s="62"/>
      <c r="C331" s="62"/>
      <c r="D331" s="62"/>
      <c r="E331" s="62"/>
      <c r="F331" s="62"/>
      <c r="G331" s="62"/>
      <c r="H331" s="62"/>
      <c r="I331" s="62"/>
      <c r="J331" s="62"/>
      <c r="K331" s="62"/>
      <c r="L331" s="62"/>
      <c r="M331" s="62"/>
      <c r="N331" s="62"/>
      <c r="O331" s="62"/>
      <c r="P331" s="62"/>
      <c r="Q331" s="62"/>
      <c r="R331" s="62"/>
      <c r="S331" s="62"/>
      <c r="T331" s="62"/>
      <c r="U331" s="62"/>
    </row>
    <row r="332" spans="2:21" x14ac:dyDescent="0.15">
      <c r="B332" s="62"/>
      <c r="C332" s="62"/>
      <c r="D332" s="62"/>
      <c r="E332" s="62"/>
      <c r="F332" s="62"/>
      <c r="G332" s="62"/>
      <c r="H332" s="62"/>
      <c r="I332" s="62"/>
      <c r="J332" s="62"/>
      <c r="K332" s="62"/>
      <c r="L332" s="62"/>
      <c r="M332" s="62"/>
      <c r="N332" s="62"/>
      <c r="O332" s="62"/>
      <c r="P332" s="62"/>
      <c r="Q332" s="62"/>
      <c r="R332" s="62"/>
      <c r="S332" s="62"/>
      <c r="T332" s="62"/>
      <c r="U332" s="62"/>
    </row>
    <row r="333" spans="2:21" x14ac:dyDescent="0.15">
      <c r="B333" s="62"/>
      <c r="C333" s="62"/>
      <c r="D333" s="62"/>
      <c r="E333" s="62"/>
      <c r="F333" s="62"/>
      <c r="G333" s="62"/>
      <c r="H333" s="62"/>
      <c r="I333" s="62"/>
      <c r="J333" s="62"/>
      <c r="K333" s="62"/>
      <c r="L333" s="62"/>
      <c r="M333" s="62"/>
      <c r="N333" s="62"/>
      <c r="O333" s="62"/>
      <c r="P333" s="62"/>
      <c r="Q333" s="62"/>
      <c r="R333" s="62"/>
      <c r="S333" s="62"/>
      <c r="T333" s="62"/>
      <c r="U333" s="62"/>
    </row>
    <row r="334" spans="2:21" x14ac:dyDescent="0.15">
      <c r="B334" s="62"/>
      <c r="C334" s="62"/>
      <c r="D334" s="62"/>
      <c r="E334" s="62"/>
      <c r="F334" s="62"/>
      <c r="G334" s="62"/>
      <c r="H334" s="62"/>
      <c r="I334" s="62"/>
      <c r="J334" s="62"/>
      <c r="K334" s="62"/>
      <c r="L334" s="62"/>
      <c r="M334" s="62"/>
      <c r="N334" s="62"/>
      <c r="O334" s="62"/>
      <c r="P334" s="62"/>
      <c r="Q334" s="62"/>
      <c r="R334" s="62"/>
      <c r="S334" s="62"/>
      <c r="T334" s="62"/>
      <c r="U334" s="62"/>
    </row>
    <row r="335" spans="2:21" x14ac:dyDescent="0.15">
      <c r="B335" s="62"/>
      <c r="C335" s="62"/>
      <c r="D335" s="62"/>
      <c r="E335" s="62"/>
      <c r="F335" s="62"/>
      <c r="G335" s="62"/>
      <c r="H335" s="62"/>
      <c r="I335" s="62"/>
      <c r="J335" s="62"/>
      <c r="K335" s="62"/>
      <c r="L335" s="62"/>
      <c r="M335" s="62"/>
      <c r="N335" s="62"/>
      <c r="O335" s="62"/>
      <c r="P335" s="62"/>
      <c r="Q335" s="62"/>
      <c r="R335" s="62"/>
      <c r="S335" s="62"/>
      <c r="T335" s="62"/>
      <c r="U335" s="62"/>
    </row>
    <row r="336" spans="2:21" x14ac:dyDescent="0.15">
      <c r="B336" s="62"/>
      <c r="C336" s="62"/>
      <c r="D336" s="62"/>
      <c r="E336" s="62"/>
      <c r="F336" s="62"/>
      <c r="G336" s="62"/>
      <c r="H336" s="62"/>
      <c r="I336" s="62"/>
      <c r="J336" s="62"/>
      <c r="K336" s="62"/>
      <c r="L336" s="62"/>
      <c r="M336" s="62"/>
      <c r="N336" s="62"/>
      <c r="O336" s="62"/>
      <c r="P336" s="62"/>
      <c r="Q336" s="62"/>
      <c r="R336" s="62"/>
      <c r="S336" s="62"/>
      <c r="T336" s="62"/>
      <c r="U336" s="62"/>
    </row>
    <row r="337" spans="2:21" x14ac:dyDescent="0.15">
      <c r="B337" s="62"/>
      <c r="C337" s="62"/>
      <c r="D337" s="62"/>
      <c r="E337" s="62"/>
      <c r="F337" s="62"/>
      <c r="G337" s="62"/>
      <c r="H337" s="62"/>
      <c r="I337" s="62"/>
      <c r="J337" s="62"/>
      <c r="K337" s="62"/>
      <c r="L337" s="62"/>
      <c r="M337" s="62"/>
      <c r="N337" s="62"/>
      <c r="O337" s="62"/>
      <c r="P337" s="62"/>
      <c r="Q337" s="62"/>
      <c r="R337" s="62"/>
      <c r="S337" s="62"/>
      <c r="T337" s="62"/>
      <c r="U337" s="62"/>
    </row>
    <row r="338" spans="2:21" x14ac:dyDescent="0.15">
      <c r="B338" s="62"/>
      <c r="C338" s="62"/>
      <c r="D338" s="62"/>
      <c r="E338" s="62"/>
      <c r="F338" s="62"/>
      <c r="G338" s="62"/>
      <c r="H338" s="62"/>
      <c r="I338" s="62"/>
      <c r="J338" s="62"/>
      <c r="K338" s="62"/>
      <c r="L338" s="62"/>
      <c r="M338" s="62"/>
      <c r="N338" s="62"/>
      <c r="O338" s="62"/>
      <c r="P338" s="62"/>
      <c r="Q338" s="62"/>
      <c r="R338" s="62"/>
      <c r="S338" s="62"/>
      <c r="T338" s="62"/>
      <c r="U338" s="62"/>
    </row>
    <row r="339" spans="2:21" x14ac:dyDescent="0.15">
      <c r="B339" s="62"/>
      <c r="C339" s="62"/>
      <c r="D339" s="62"/>
      <c r="E339" s="62"/>
      <c r="F339" s="62"/>
      <c r="G339" s="62"/>
      <c r="H339" s="62"/>
      <c r="I339" s="62"/>
      <c r="J339" s="62"/>
      <c r="K339" s="62"/>
      <c r="L339" s="62"/>
      <c r="M339" s="62"/>
      <c r="N339" s="62"/>
      <c r="O339" s="62"/>
      <c r="P339" s="62"/>
      <c r="Q339" s="62"/>
      <c r="R339" s="62"/>
      <c r="S339" s="62"/>
      <c r="T339" s="62"/>
      <c r="U339" s="62"/>
    </row>
    <row r="340" spans="2:21" x14ac:dyDescent="0.15">
      <c r="B340" s="62"/>
      <c r="C340" s="62"/>
      <c r="D340" s="62"/>
      <c r="E340" s="62"/>
      <c r="F340" s="62"/>
      <c r="G340" s="62"/>
      <c r="H340" s="62"/>
      <c r="I340" s="62"/>
      <c r="J340" s="62"/>
      <c r="K340" s="62"/>
      <c r="L340" s="62"/>
      <c r="M340" s="62"/>
      <c r="N340" s="62"/>
      <c r="O340" s="62"/>
      <c r="P340" s="62"/>
      <c r="Q340" s="62"/>
      <c r="R340" s="62"/>
      <c r="S340" s="62"/>
      <c r="T340" s="62"/>
      <c r="U340" s="62"/>
    </row>
    <row r="341" spans="2:21" x14ac:dyDescent="0.15">
      <c r="B341" s="62"/>
      <c r="C341" s="62"/>
      <c r="D341" s="62"/>
      <c r="E341" s="62"/>
      <c r="F341" s="62"/>
      <c r="G341" s="62"/>
      <c r="H341" s="62"/>
      <c r="I341" s="62"/>
      <c r="J341" s="62"/>
      <c r="K341" s="62"/>
      <c r="L341" s="62"/>
      <c r="M341" s="62"/>
      <c r="N341" s="62"/>
      <c r="O341" s="62"/>
      <c r="P341" s="62"/>
      <c r="Q341" s="62"/>
      <c r="R341" s="62"/>
      <c r="S341" s="62"/>
      <c r="T341" s="62"/>
      <c r="U341" s="62"/>
    </row>
    <row r="342" spans="2:21" x14ac:dyDescent="0.15">
      <c r="B342" s="62"/>
      <c r="C342" s="62"/>
      <c r="D342" s="62"/>
      <c r="E342" s="62"/>
      <c r="F342" s="62"/>
      <c r="G342" s="62"/>
      <c r="H342" s="62"/>
      <c r="I342" s="62"/>
      <c r="J342" s="62"/>
      <c r="K342" s="62"/>
      <c r="L342" s="62"/>
      <c r="M342" s="62"/>
      <c r="N342" s="62"/>
      <c r="O342" s="62"/>
      <c r="P342" s="62"/>
      <c r="Q342" s="62"/>
      <c r="R342" s="62"/>
      <c r="S342" s="62"/>
      <c r="T342" s="62"/>
      <c r="U342" s="62"/>
    </row>
    <row r="343" spans="2:21" x14ac:dyDescent="0.15">
      <c r="B343" s="62"/>
      <c r="C343" s="62"/>
      <c r="D343" s="62"/>
      <c r="E343" s="62"/>
      <c r="F343" s="62"/>
      <c r="G343" s="62"/>
      <c r="H343" s="62"/>
      <c r="I343" s="62"/>
      <c r="J343" s="62"/>
      <c r="K343" s="62"/>
      <c r="L343" s="62"/>
      <c r="M343" s="62"/>
      <c r="N343" s="62"/>
      <c r="O343" s="62"/>
      <c r="P343" s="62"/>
      <c r="Q343" s="62"/>
      <c r="R343" s="62"/>
      <c r="S343" s="62"/>
      <c r="T343" s="62"/>
      <c r="U343" s="62"/>
    </row>
    <row r="344" spans="2:21" x14ac:dyDescent="0.15">
      <c r="B344" s="62"/>
      <c r="C344" s="62"/>
      <c r="D344" s="62"/>
      <c r="E344" s="62"/>
      <c r="F344" s="62"/>
      <c r="G344" s="62"/>
      <c r="H344" s="62"/>
      <c r="I344" s="62"/>
      <c r="J344" s="62"/>
      <c r="K344" s="62"/>
      <c r="L344" s="62"/>
      <c r="M344" s="62"/>
      <c r="N344" s="62"/>
      <c r="O344" s="62"/>
      <c r="P344" s="62"/>
      <c r="Q344" s="62"/>
      <c r="R344" s="62"/>
      <c r="S344" s="62"/>
      <c r="T344" s="62"/>
      <c r="U344" s="62"/>
    </row>
    <row r="345" spans="2:21" x14ac:dyDescent="0.15">
      <c r="B345" s="62"/>
      <c r="C345" s="62"/>
      <c r="D345" s="62"/>
      <c r="E345" s="62"/>
      <c r="F345" s="62"/>
      <c r="G345" s="62"/>
      <c r="H345" s="62"/>
      <c r="I345" s="62"/>
      <c r="J345" s="62"/>
      <c r="K345" s="62"/>
      <c r="L345" s="62"/>
      <c r="M345" s="62"/>
      <c r="N345" s="62"/>
      <c r="O345" s="62"/>
      <c r="P345" s="62"/>
      <c r="Q345" s="62"/>
      <c r="R345" s="62"/>
      <c r="S345" s="62"/>
      <c r="T345" s="62"/>
      <c r="U345" s="62"/>
    </row>
    <row r="346" spans="2:21" x14ac:dyDescent="0.15">
      <c r="B346" s="62"/>
      <c r="C346" s="62"/>
      <c r="D346" s="62"/>
      <c r="E346" s="62"/>
      <c r="F346" s="62"/>
      <c r="G346" s="62"/>
      <c r="H346" s="62"/>
      <c r="I346" s="62"/>
      <c r="J346" s="62"/>
      <c r="K346" s="62"/>
      <c r="L346" s="62"/>
      <c r="M346" s="62"/>
      <c r="N346" s="62"/>
      <c r="O346" s="62"/>
      <c r="P346" s="62"/>
      <c r="Q346" s="62"/>
      <c r="R346" s="62"/>
      <c r="S346" s="62"/>
      <c r="T346" s="62"/>
      <c r="U346" s="62"/>
    </row>
    <row r="347" spans="2:21" x14ac:dyDescent="0.15">
      <c r="B347" s="62"/>
      <c r="C347" s="62"/>
      <c r="D347" s="62"/>
      <c r="E347" s="62"/>
      <c r="F347" s="62"/>
      <c r="G347" s="62"/>
      <c r="H347" s="62"/>
      <c r="I347" s="62"/>
      <c r="J347" s="62"/>
      <c r="K347" s="62"/>
      <c r="L347" s="62"/>
      <c r="M347" s="62"/>
      <c r="N347" s="62"/>
      <c r="O347" s="62"/>
      <c r="P347" s="62"/>
      <c r="Q347" s="62"/>
      <c r="R347" s="62"/>
      <c r="S347" s="62"/>
      <c r="T347" s="62"/>
      <c r="U347" s="62"/>
    </row>
    <row r="348" spans="2:21" x14ac:dyDescent="0.15">
      <c r="B348" s="62"/>
      <c r="C348" s="62"/>
      <c r="D348" s="62"/>
      <c r="E348" s="62"/>
      <c r="F348" s="62"/>
      <c r="G348" s="62"/>
      <c r="H348" s="62"/>
      <c r="I348" s="62"/>
      <c r="J348" s="62"/>
      <c r="K348" s="62"/>
      <c r="L348" s="62"/>
      <c r="M348" s="62"/>
      <c r="N348" s="62"/>
      <c r="O348" s="62"/>
      <c r="P348" s="62"/>
      <c r="Q348" s="62"/>
      <c r="R348" s="62"/>
      <c r="S348" s="62"/>
      <c r="T348" s="62"/>
      <c r="U348" s="62"/>
    </row>
    <row r="349" spans="2:21" x14ac:dyDescent="0.15">
      <c r="B349" s="62"/>
      <c r="C349" s="62"/>
      <c r="D349" s="62"/>
      <c r="E349" s="62"/>
      <c r="F349" s="62"/>
      <c r="G349" s="62"/>
      <c r="H349" s="62"/>
      <c r="I349" s="62"/>
      <c r="J349" s="62"/>
      <c r="K349" s="62"/>
      <c r="L349" s="62"/>
      <c r="M349" s="62"/>
      <c r="N349" s="62"/>
      <c r="O349" s="62"/>
      <c r="P349" s="62"/>
      <c r="Q349" s="62"/>
      <c r="R349" s="62"/>
      <c r="S349" s="62"/>
      <c r="T349" s="62"/>
      <c r="U349" s="62"/>
    </row>
    <row r="350" spans="2:21" x14ac:dyDescent="0.15">
      <c r="B350" s="62"/>
      <c r="C350" s="62"/>
      <c r="D350" s="62"/>
      <c r="E350" s="62"/>
      <c r="F350" s="62"/>
      <c r="G350" s="62"/>
      <c r="H350" s="62"/>
      <c r="I350" s="62"/>
      <c r="J350" s="62"/>
      <c r="K350" s="62"/>
      <c r="L350" s="62"/>
      <c r="M350" s="62"/>
      <c r="N350" s="62"/>
      <c r="O350" s="62"/>
      <c r="P350" s="62"/>
      <c r="Q350" s="62"/>
      <c r="R350" s="62"/>
      <c r="S350" s="62"/>
      <c r="T350" s="62"/>
      <c r="U350" s="62"/>
    </row>
    <row r="351" spans="2:21" x14ac:dyDescent="0.15">
      <c r="B351" s="62"/>
      <c r="C351" s="62"/>
      <c r="D351" s="62"/>
      <c r="E351" s="62"/>
      <c r="F351" s="62"/>
      <c r="G351" s="62"/>
      <c r="H351" s="62"/>
      <c r="I351" s="62"/>
      <c r="J351" s="62"/>
      <c r="K351" s="62"/>
      <c r="L351" s="62"/>
      <c r="M351" s="62"/>
      <c r="N351" s="62"/>
      <c r="O351" s="62"/>
      <c r="P351" s="62"/>
      <c r="Q351" s="62"/>
      <c r="R351" s="62"/>
      <c r="S351" s="62"/>
      <c r="T351" s="62"/>
      <c r="U351" s="62"/>
    </row>
    <row r="352" spans="2:21" x14ac:dyDescent="0.15">
      <c r="B352" s="62"/>
      <c r="C352" s="62"/>
      <c r="D352" s="62"/>
      <c r="E352" s="62"/>
      <c r="F352" s="62"/>
      <c r="G352" s="62"/>
      <c r="H352" s="62"/>
      <c r="I352" s="62"/>
      <c r="J352" s="62"/>
      <c r="K352" s="62"/>
      <c r="L352" s="62"/>
      <c r="M352" s="62"/>
      <c r="N352" s="62"/>
      <c r="O352" s="62"/>
      <c r="P352" s="62"/>
      <c r="Q352" s="62"/>
      <c r="R352" s="62"/>
      <c r="S352" s="62"/>
      <c r="T352" s="62"/>
      <c r="U352" s="62"/>
    </row>
    <row r="353" spans="2:21" x14ac:dyDescent="0.15">
      <c r="B353" s="62"/>
      <c r="C353" s="62"/>
      <c r="D353" s="62"/>
      <c r="E353" s="62"/>
      <c r="F353" s="62"/>
      <c r="G353" s="62"/>
      <c r="H353" s="62"/>
      <c r="I353" s="62"/>
      <c r="J353" s="62"/>
      <c r="K353" s="62"/>
      <c r="L353" s="62"/>
      <c r="M353" s="62"/>
      <c r="N353" s="62"/>
      <c r="O353" s="62"/>
      <c r="P353" s="62"/>
      <c r="Q353" s="62"/>
      <c r="R353" s="62"/>
      <c r="S353" s="62"/>
      <c r="T353" s="62"/>
      <c r="U353" s="62"/>
    </row>
    <row r="354" spans="2:21" x14ac:dyDescent="0.15">
      <c r="B354" s="62"/>
      <c r="C354" s="62"/>
      <c r="D354" s="62"/>
      <c r="E354" s="62"/>
      <c r="F354" s="62"/>
      <c r="G354" s="62"/>
      <c r="H354" s="62"/>
      <c r="I354" s="62"/>
      <c r="J354" s="62"/>
      <c r="K354" s="62"/>
      <c r="L354" s="62"/>
      <c r="M354" s="62"/>
      <c r="N354" s="62"/>
      <c r="O354" s="62"/>
      <c r="P354" s="62"/>
      <c r="Q354" s="62"/>
      <c r="R354" s="62"/>
      <c r="S354" s="62"/>
      <c r="T354" s="62"/>
      <c r="U354" s="62"/>
    </row>
    <row r="355" spans="2:21" x14ac:dyDescent="0.15">
      <c r="B355" s="62"/>
      <c r="C355" s="62"/>
      <c r="D355" s="62"/>
      <c r="E355" s="62"/>
      <c r="F355" s="62"/>
      <c r="G355" s="62"/>
      <c r="H355" s="62"/>
      <c r="I355" s="62"/>
      <c r="J355" s="62"/>
      <c r="K355" s="62"/>
      <c r="L355" s="62"/>
      <c r="M355" s="62"/>
      <c r="N355" s="62"/>
      <c r="O355" s="62"/>
      <c r="P355" s="62"/>
      <c r="Q355" s="62"/>
      <c r="R355" s="62"/>
      <c r="S355" s="62"/>
      <c r="T355" s="62"/>
      <c r="U355" s="62"/>
    </row>
    <row r="356" spans="2:21" x14ac:dyDescent="0.15">
      <c r="B356" s="62"/>
      <c r="C356" s="62"/>
      <c r="D356" s="62"/>
      <c r="E356" s="62"/>
      <c r="F356" s="62"/>
      <c r="G356" s="62"/>
      <c r="H356" s="62"/>
      <c r="I356" s="62"/>
      <c r="J356" s="62"/>
      <c r="K356" s="62"/>
      <c r="L356" s="62"/>
      <c r="M356" s="62"/>
      <c r="N356" s="62"/>
      <c r="O356" s="62"/>
      <c r="P356" s="62"/>
      <c r="Q356" s="62"/>
      <c r="R356" s="62"/>
      <c r="S356" s="62"/>
      <c r="T356" s="62"/>
      <c r="U356" s="62"/>
    </row>
    <row r="357" spans="2:21" x14ac:dyDescent="0.15">
      <c r="B357" s="62"/>
      <c r="C357" s="62"/>
      <c r="D357" s="62"/>
      <c r="E357" s="62"/>
      <c r="F357" s="62"/>
      <c r="G357" s="62"/>
      <c r="H357" s="62"/>
      <c r="I357" s="62"/>
      <c r="J357" s="62"/>
      <c r="K357" s="62"/>
      <c r="L357" s="62"/>
      <c r="M357" s="62"/>
      <c r="N357" s="62"/>
      <c r="O357" s="62"/>
      <c r="P357" s="62"/>
      <c r="Q357" s="62"/>
      <c r="R357" s="62"/>
      <c r="S357" s="62"/>
      <c r="T357" s="62"/>
      <c r="U357" s="62"/>
    </row>
    <row r="358" spans="2:21" x14ac:dyDescent="0.15">
      <c r="B358" s="62"/>
      <c r="C358" s="62"/>
      <c r="D358" s="62"/>
      <c r="E358" s="62"/>
      <c r="F358" s="62"/>
      <c r="G358" s="62"/>
      <c r="H358" s="62"/>
      <c r="I358" s="62"/>
      <c r="J358" s="62"/>
      <c r="K358" s="62"/>
      <c r="L358" s="62"/>
      <c r="M358" s="62"/>
      <c r="N358" s="62"/>
      <c r="O358" s="62"/>
      <c r="P358" s="62"/>
      <c r="Q358" s="62"/>
      <c r="R358" s="62"/>
      <c r="S358" s="62"/>
      <c r="T358" s="62"/>
      <c r="U358" s="62"/>
    </row>
    <row r="359" spans="2:21" x14ac:dyDescent="0.15">
      <c r="B359" s="62"/>
      <c r="C359" s="62"/>
      <c r="D359" s="62"/>
      <c r="E359" s="62"/>
      <c r="F359" s="62"/>
      <c r="G359" s="62"/>
      <c r="H359" s="62"/>
      <c r="I359" s="62"/>
      <c r="J359" s="62"/>
      <c r="K359" s="62"/>
      <c r="L359" s="62"/>
      <c r="M359" s="62"/>
      <c r="N359" s="62"/>
      <c r="O359" s="62"/>
      <c r="P359" s="62"/>
      <c r="Q359" s="62"/>
      <c r="R359" s="62"/>
      <c r="S359" s="62"/>
      <c r="T359" s="62"/>
      <c r="U359" s="62"/>
    </row>
    <row r="360" spans="2:21" x14ac:dyDescent="0.15">
      <c r="B360" s="62"/>
      <c r="C360" s="62"/>
      <c r="D360" s="62"/>
      <c r="E360" s="62"/>
      <c r="F360" s="62"/>
      <c r="G360" s="62"/>
      <c r="H360" s="62"/>
      <c r="I360" s="62"/>
      <c r="J360" s="62"/>
      <c r="K360" s="62"/>
      <c r="L360" s="62"/>
      <c r="M360" s="62"/>
      <c r="N360" s="62"/>
      <c r="O360" s="62"/>
      <c r="P360" s="62"/>
      <c r="Q360" s="62"/>
      <c r="R360" s="62"/>
      <c r="S360" s="62"/>
      <c r="T360" s="62"/>
      <c r="U360" s="62"/>
    </row>
    <row r="361" spans="2:21" x14ac:dyDescent="0.15">
      <c r="B361" s="62"/>
      <c r="C361" s="62"/>
      <c r="D361" s="62"/>
      <c r="E361" s="62"/>
      <c r="F361" s="62"/>
      <c r="G361" s="62"/>
      <c r="H361" s="62"/>
      <c r="I361" s="62"/>
      <c r="J361" s="62"/>
      <c r="K361" s="62"/>
      <c r="L361" s="62"/>
      <c r="M361" s="62"/>
      <c r="N361" s="62"/>
      <c r="O361" s="62"/>
      <c r="P361" s="62"/>
      <c r="Q361" s="62"/>
      <c r="R361" s="62"/>
      <c r="S361" s="62"/>
      <c r="T361" s="62"/>
      <c r="U361" s="62"/>
    </row>
    <row r="362" spans="2:21" x14ac:dyDescent="0.15">
      <c r="B362" s="62"/>
      <c r="C362" s="62"/>
      <c r="D362" s="62"/>
      <c r="E362" s="62"/>
      <c r="F362" s="62"/>
      <c r="G362" s="62"/>
      <c r="H362" s="62"/>
      <c r="I362" s="62"/>
      <c r="J362" s="62"/>
      <c r="K362" s="62"/>
      <c r="L362" s="62"/>
      <c r="M362" s="62"/>
      <c r="N362" s="62"/>
      <c r="O362" s="62"/>
      <c r="P362" s="62"/>
      <c r="Q362" s="62"/>
      <c r="R362" s="62"/>
      <c r="S362" s="62"/>
      <c r="T362" s="62"/>
      <c r="U362" s="62"/>
    </row>
    <row r="363" spans="2:21" x14ac:dyDescent="0.15">
      <c r="B363" s="62"/>
      <c r="C363" s="62"/>
      <c r="D363" s="62"/>
      <c r="E363" s="62"/>
      <c r="F363" s="62"/>
      <c r="G363" s="62"/>
      <c r="H363" s="62"/>
      <c r="I363" s="62"/>
      <c r="J363" s="62"/>
      <c r="K363" s="62"/>
      <c r="L363" s="62"/>
      <c r="M363" s="62"/>
      <c r="N363" s="62"/>
      <c r="O363" s="62"/>
      <c r="P363" s="62"/>
      <c r="Q363" s="62"/>
      <c r="R363" s="62"/>
      <c r="S363" s="62"/>
      <c r="T363" s="62"/>
      <c r="U363" s="62"/>
    </row>
    <row r="364" spans="2:21" x14ac:dyDescent="0.15">
      <c r="B364" s="62"/>
      <c r="C364" s="62"/>
      <c r="D364" s="62"/>
      <c r="E364" s="62"/>
      <c r="F364" s="62"/>
      <c r="G364" s="62"/>
      <c r="H364" s="62"/>
      <c r="I364" s="62"/>
      <c r="J364" s="62"/>
      <c r="K364" s="62"/>
      <c r="L364" s="62"/>
      <c r="M364" s="62"/>
      <c r="N364" s="62"/>
      <c r="O364" s="62"/>
      <c r="P364" s="62"/>
      <c r="Q364" s="62"/>
      <c r="R364" s="62"/>
      <c r="S364" s="62"/>
      <c r="T364" s="62"/>
      <c r="U364" s="62"/>
    </row>
    <row r="365" spans="2:21" x14ac:dyDescent="0.15">
      <c r="B365" s="62"/>
      <c r="C365" s="62"/>
      <c r="D365" s="62"/>
      <c r="E365" s="62"/>
      <c r="F365" s="62"/>
      <c r="G365" s="62"/>
      <c r="H365" s="62"/>
      <c r="I365" s="62"/>
      <c r="J365" s="62"/>
      <c r="K365" s="62"/>
      <c r="L365" s="62"/>
      <c r="M365" s="62"/>
      <c r="N365" s="62"/>
      <c r="O365" s="62"/>
      <c r="P365" s="62"/>
      <c r="Q365" s="62"/>
      <c r="R365" s="62"/>
      <c r="S365" s="62"/>
      <c r="T365" s="62"/>
      <c r="U365" s="62"/>
    </row>
    <row r="366" spans="2:21" x14ac:dyDescent="0.15">
      <c r="B366" s="62"/>
      <c r="C366" s="62"/>
      <c r="D366" s="62"/>
      <c r="E366" s="62"/>
      <c r="F366" s="62"/>
      <c r="G366" s="62"/>
      <c r="H366" s="62"/>
      <c r="I366" s="62"/>
      <c r="J366" s="62"/>
      <c r="K366" s="62"/>
      <c r="L366" s="62"/>
      <c r="M366" s="62"/>
      <c r="N366" s="62"/>
      <c r="O366" s="62"/>
      <c r="P366" s="62"/>
      <c r="Q366" s="62"/>
      <c r="R366" s="62"/>
      <c r="S366" s="62"/>
      <c r="T366" s="62"/>
      <c r="U366" s="62"/>
    </row>
    <row r="367" spans="2:21" x14ac:dyDescent="0.15">
      <c r="B367" s="62"/>
      <c r="C367" s="62"/>
      <c r="D367" s="62"/>
      <c r="E367" s="62"/>
      <c r="F367" s="62"/>
      <c r="G367" s="62"/>
      <c r="H367" s="62"/>
      <c r="I367" s="62"/>
      <c r="J367" s="62"/>
      <c r="K367" s="62"/>
      <c r="L367" s="62"/>
      <c r="M367" s="62"/>
      <c r="N367" s="62"/>
      <c r="O367" s="62"/>
      <c r="P367" s="62"/>
      <c r="Q367" s="62"/>
      <c r="R367" s="62"/>
      <c r="S367" s="62"/>
      <c r="T367" s="62"/>
      <c r="U367" s="62"/>
    </row>
    <row r="368" spans="2:21" x14ac:dyDescent="0.15">
      <c r="B368" s="62"/>
      <c r="C368" s="62"/>
      <c r="D368" s="62"/>
      <c r="E368" s="62"/>
      <c r="F368" s="62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  <c r="S368" s="62"/>
      <c r="T368" s="62"/>
      <c r="U368" s="62"/>
    </row>
    <row r="369" spans="2:21" x14ac:dyDescent="0.15">
      <c r="B369" s="62"/>
      <c r="C369" s="62"/>
      <c r="D369" s="62"/>
      <c r="E369" s="62"/>
      <c r="F369" s="62"/>
      <c r="G369" s="62"/>
      <c r="H369" s="62"/>
      <c r="I369" s="62"/>
      <c r="J369" s="62"/>
      <c r="K369" s="62"/>
      <c r="L369" s="62"/>
      <c r="M369" s="62"/>
      <c r="N369" s="62"/>
      <c r="O369" s="62"/>
      <c r="P369" s="62"/>
      <c r="Q369" s="62"/>
      <c r="R369" s="62"/>
      <c r="S369" s="62"/>
      <c r="T369" s="62"/>
      <c r="U369" s="62"/>
    </row>
    <row r="370" spans="2:21" x14ac:dyDescent="0.15">
      <c r="B370" s="62"/>
      <c r="C370" s="62"/>
      <c r="D370" s="62"/>
      <c r="E370" s="62"/>
      <c r="F370" s="62"/>
      <c r="G370" s="62"/>
      <c r="H370" s="62"/>
      <c r="I370" s="62"/>
      <c r="J370" s="62"/>
      <c r="K370" s="62"/>
      <c r="L370" s="62"/>
      <c r="M370" s="62"/>
      <c r="N370" s="62"/>
      <c r="O370" s="62"/>
      <c r="P370" s="62"/>
      <c r="Q370" s="62"/>
      <c r="R370" s="62"/>
      <c r="S370" s="62"/>
      <c r="T370" s="62"/>
      <c r="U370" s="62"/>
    </row>
    <row r="371" spans="2:21" x14ac:dyDescent="0.15">
      <c r="B371" s="62"/>
      <c r="C371" s="62"/>
      <c r="D371" s="62"/>
      <c r="E371" s="62"/>
      <c r="F371" s="62"/>
      <c r="G371" s="62"/>
      <c r="H371" s="62"/>
      <c r="I371" s="62"/>
      <c r="J371" s="62"/>
      <c r="K371" s="62"/>
      <c r="L371" s="62"/>
      <c r="M371" s="62"/>
      <c r="N371" s="62"/>
      <c r="O371" s="62"/>
      <c r="P371" s="62"/>
      <c r="Q371" s="62"/>
      <c r="R371" s="62"/>
      <c r="S371" s="62"/>
      <c r="T371" s="62"/>
      <c r="U371" s="62"/>
    </row>
    <row r="372" spans="2:21" x14ac:dyDescent="0.15">
      <c r="B372" s="62"/>
      <c r="C372" s="62"/>
      <c r="D372" s="62"/>
      <c r="E372" s="62"/>
      <c r="F372" s="62"/>
      <c r="G372" s="62"/>
      <c r="H372" s="62"/>
      <c r="I372" s="62"/>
      <c r="J372" s="62"/>
      <c r="K372" s="62"/>
      <c r="L372" s="62"/>
      <c r="M372" s="62"/>
      <c r="N372" s="62"/>
      <c r="O372" s="62"/>
      <c r="P372" s="62"/>
      <c r="Q372" s="62"/>
      <c r="R372" s="62"/>
      <c r="S372" s="62"/>
      <c r="T372" s="62"/>
      <c r="U372" s="62"/>
    </row>
    <row r="373" spans="2:21" x14ac:dyDescent="0.15">
      <c r="B373" s="62"/>
      <c r="C373" s="62"/>
      <c r="D373" s="62"/>
      <c r="E373" s="62"/>
      <c r="F373" s="62"/>
      <c r="G373" s="62"/>
      <c r="H373" s="62"/>
      <c r="I373" s="62"/>
      <c r="J373" s="62"/>
      <c r="K373" s="62"/>
      <c r="L373" s="62"/>
      <c r="M373" s="62"/>
      <c r="N373" s="62"/>
      <c r="O373" s="62"/>
      <c r="P373" s="62"/>
      <c r="Q373" s="62"/>
      <c r="R373" s="62"/>
      <c r="S373" s="62"/>
      <c r="T373" s="62"/>
      <c r="U373" s="62"/>
    </row>
    <row r="374" spans="2:21" x14ac:dyDescent="0.15">
      <c r="B374" s="62"/>
      <c r="C374" s="62"/>
      <c r="D374" s="62"/>
      <c r="E374" s="62"/>
      <c r="F374" s="62"/>
      <c r="G374" s="62"/>
      <c r="H374" s="62"/>
      <c r="I374" s="62"/>
      <c r="J374" s="62"/>
      <c r="K374" s="62"/>
      <c r="L374" s="62"/>
      <c r="M374" s="62"/>
      <c r="N374" s="62"/>
      <c r="O374" s="62"/>
      <c r="P374" s="62"/>
      <c r="Q374" s="62"/>
      <c r="R374" s="62"/>
      <c r="S374" s="62"/>
      <c r="T374" s="62"/>
      <c r="U374" s="62"/>
    </row>
    <row r="375" spans="2:21" x14ac:dyDescent="0.15">
      <c r="B375" s="62"/>
      <c r="C375" s="62"/>
      <c r="D375" s="62"/>
      <c r="E375" s="62"/>
      <c r="F375" s="62"/>
      <c r="G375" s="62"/>
      <c r="H375" s="62"/>
      <c r="I375" s="62"/>
      <c r="J375" s="62"/>
      <c r="K375" s="62"/>
      <c r="L375" s="62"/>
      <c r="M375" s="62"/>
      <c r="N375" s="62"/>
      <c r="O375" s="62"/>
      <c r="P375" s="62"/>
      <c r="Q375" s="62"/>
      <c r="R375" s="62"/>
      <c r="S375" s="62"/>
      <c r="T375" s="62"/>
      <c r="U375" s="62"/>
    </row>
    <row r="376" spans="2:21" x14ac:dyDescent="0.15">
      <c r="B376" s="62"/>
      <c r="C376" s="62"/>
      <c r="D376" s="62"/>
      <c r="E376" s="62"/>
      <c r="F376" s="62"/>
      <c r="G376" s="62"/>
      <c r="H376" s="62"/>
      <c r="I376" s="62"/>
      <c r="J376" s="62"/>
      <c r="K376" s="62"/>
      <c r="L376" s="62"/>
      <c r="M376" s="62"/>
      <c r="N376" s="62"/>
      <c r="O376" s="62"/>
      <c r="P376" s="62"/>
      <c r="Q376" s="62"/>
      <c r="R376" s="62"/>
      <c r="S376" s="62"/>
      <c r="T376" s="62"/>
      <c r="U376" s="62"/>
    </row>
    <row r="377" spans="2:21" x14ac:dyDescent="0.15">
      <c r="B377" s="62"/>
      <c r="C377" s="62"/>
      <c r="D377" s="62"/>
      <c r="E377" s="62"/>
      <c r="F377" s="62"/>
      <c r="G377" s="62"/>
      <c r="H377" s="62"/>
      <c r="I377" s="62"/>
      <c r="J377" s="62"/>
      <c r="K377" s="62"/>
      <c r="L377" s="62"/>
      <c r="M377" s="62"/>
      <c r="N377" s="62"/>
      <c r="O377" s="62"/>
      <c r="P377" s="62"/>
      <c r="Q377" s="62"/>
      <c r="R377" s="62"/>
      <c r="S377" s="62"/>
      <c r="T377" s="62"/>
      <c r="U377" s="62"/>
    </row>
    <row r="378" spans="2:21" x14ac:dyDescent="0.15">
      <c r="B378" s="62"/>
      <c r="C378" s="62"/>
      <c r="D378" s="62"/>
      <c r="E378" s="62"/>
      <c r="F378" s="62"/>
      <c r="G378" s="62"/>
      <c r="H378" s="62"/>
      <c r="I378" s="62"/>
      <c r="J378" s="62"/>
      <c r="K378" s="62"/>
      <c r="L378" s="62"/>
      <c r="M378" s="62"/>
      <c r="N378" s="62"/>
      <c r="O378" s="62"/>
      <c r="P378" s="62"/>
      <c r="Q378" s="62"/>
      <c r="R378" s="62"/>
      <c r="S378" s="62"/>
      <c r="T378" s="62"/>
      <c r="U378" s="62"/>
    </row>
    <row r="379" spans="2:21" x14ac:dyDescent="0.15">
      <c r="B379" s="62"/>
      <c r="C379" s="62"/>
      <c r="D379" s="62"/>
      <c r="E379" s="62"/>
      <c r="F379" s="62"/>
      <c r="G379" s="62"/>
      <c r="H379" s="62"/>
      <c r="I379" s="62"/>
      <c r="J379" s="62"/>
      <c r="K379" s="62"/>
      <c r="L379" s="62"/>
      <c r="M379" s="62"/>
      <c r="N379" s="62"/>
      <c r="O379" s="62"/>
      <c r="P379" s="62"/>
      <c r="Q379" s="62"/>
      <c r="R379" s="62"/>
      <c r="S379" s="62"/>
      <c r="T379" s="62"/>
      <c r="U379" s="62"/>
    </row>
    <row r="380" spans="2:21" x14ac:dyDescent="0.15">
      <c r="B380" s="62"/>
      <c r="C380" s="62"/>
      <c r="D380" s="62"/>
      <c r="E380" s="62"/>
      <c r="F380" s="62"/>
      <c r="G380" s="62"/>
      <c r="H380" s="62"/>
      <c r="I380" s="62"/>
      <c r="J380" s="62"/>
      <c r="K380" s="62"/>
      <c r="L380" s="62"/>
      <c r="M380" s="62"/>
      <c r="N380" s="62"/>
      <c r="O380" s="62"/>
      <c r="P380" s="62"/>
      <c r="Q380" s="62"/>
      <c r="R380" s="62"/>
      <c r="S380" s="62"/>
      <c r="T380" s="62"/>
      <c r="U380" s="62"/>
    </row>
    <row r="381" spans="2:21" x14ac:dyDescent="0.15">
      <c r="B381" s="62"/>
      <c r="C381" s="62"/>
      <c r="D381" s="62"/>
      <c r="E381" s="62"/>
      <c r="F381" s="62"/>
      <c r="G381" s="62"/>
      <c r="H381" s="62"/>
      <c r="I381" s="62"/>
      <c r="J381" s="62"/>
      <c r="K381" s="62"/>
      <c r="L381" s="62"/>
      <c r="M381" s="62"/>
      <c r="N381" s="62"/>
      <c r="O381" s="62"/>
      <c r="P381" s="62"/>
      <c r="Q381" s="62"/>
      <c r="R381" s="62"/>
      <c r="S381" s="62"/>
      <c r="T381" s="62"/>
      <c r="U381" s="62"/>
    </row>
    <row r="382" spans="2:21" x14ac:dyDescent="0.15">
      <c r="B382" s="62"/>
      <c r="C382" s="62"/>
      <c r="D382" s="62"/>
      <c r="E382" s="62"/>
      <c r="F382" s="62"/>
      <c r="G382" s="62"/>
      <c r="H382" s="62"/>
      <c r="I382" s="62"/>
      <c r="J382" s="62"/>
      <c r="K382" s="62"/>
      <c r="L382" s="62"/>
      <c r="M382" s="62"/>
      <c r="N382" s="62"/>
      <c r="O382" s="62"/>
      <c r="P382" s="62"/>
      <c r="Q382" s="62"/>
      <c r="R382" s="62"/>
      <c r="S382" s="62"/>
      <c r="T382" s="62"/>
      <c r="U382" s="62"/>
    </row>
    <row r="383" spans="2:21" x14ac:dyDescent="0.15">
      <c r="B383" s="62"/>
      <c r="C383" s="62"/>
      <c r="D383" s="62"/>
      <c r="E383" s="62"/>
      <c r="F383" s="62"/>
      <c r="G383" s="62"/>
      <c r="H383" s="62"/>
      <c r="I383" s="62"/>
      <c r="J383" s="62"/>
      <c r="K383" s="62"/>
      <c r="L383" s="62"/>
      <c r="M383" s="62"/>
      <c r="N383" s="62"/>
      <c r="O383" s="62"/>
      <c r="P383" s="62"/>
      <c r="Q383" s="62"/>
      <c r="R383" s="62"/>
      <c r="S383" s="62"/>
      <c r="T383" s="62"/>
      <c r="U383" s="62"/>
    </row>
    <row r="384" spans="2:21" x14ac:dyDescent="0.15">
      <c r="B384" s="62"/>
      <c r="C384" s="62"/>
      <c r="D384" s="62"/>
      <c r="E384" s="62"/>
      <c r="F384" s="62"/>
      <c r="G384" s="62"/>
      <c r="H384" s="62"/>
      <c r="I384" s="62"/>
      <c r="J384" s="62"/>
      <c r="K384" s="62"/>
      <c r="L384" s="62"/>
      <c r="M384" s="62"/>
      <c r="N384" s="62"/>
      <c r="O384" s="62"/>
      <c r="P384" s="62"/>
      <c r="Q384" s="62"/>
      <c r="R384" s="62"/>
      <c r="S384" s="62"/>
      <c r="T384" s="62"/>
      <c r="U384" s="62"/>
    </row>
    <row r="385" spans="2:21" x14ac:dyDescent="0.15">
      <c r="B385" s="62"/>
      <c r="C385" s="62"/>
      <c r="D385" s="62"/>
      <c r="E385" s="62"/>
      <c r="F385" s="62"/>
      <c r="G385" s="62"/>
      <c r="H385" s="62"/>
      <c r="I385" s="62"/>
      <c r="J385" s="62"/>
      <c r="K385" s="62"/>
      <c r="L385" s="62"/>
      <c r="M385" s="62"/>
      <c r="N385" s="62"/>
      <c r="O385" s="62"/>
      <c r="P385" s="62"/>
      <c r="Q385" s="62"/>
      <c r="R385" s="62"/>
      <c r="S385" s="62"/>
      <c r="T385" s="62"/>
      <c r="U385" s="62"/>
    </row>
    <row r="386" spans="2:21" x14ac:dyDescent="0.15">
      <c r="B386" s="62"/>
      <c r="C386" s="62"/>
      <c r="D386" s="62"/>
      <c r="E386" s="62"/>
      <c r="F386" s="62"/>
      <c r="G386" s="62"/>
      <c r="H386" s="62"/>
      <c r="I386" s="62"/>
      <c r="J386" s="62"/>
      <c r="K386" s="62"/>
      <c r="L386" s="62"/>
      <c r="M386" s="62"/>
      <c r="N386" s="62"/>
      <c r="O386" s="62"/>
      <c r="P386" s="62"/>
      <c r="Q386" s="62"/>
      <c r="R386" s="62"/>
      <c r="S386" s="62"/>
      <c r="T386" s="62"/>
      <c r="U386" s="62"/>
    </row>
    <row r="387" spans="2:21" x14ac:dyDescent="0.15">
      <c r="B387" s="62"/>
      <c r="C387" s="62"/>
      <c r="D387" s="62"/>
      <c r="E387" s="62"/>
      <c r="F387" s="62"/>
      <c r="G387" s="62"/>
      <c r="H387" s="62"/>
      <c r="I387" s="62"/>
      <c r="J387" s="62"/>
      <c r="K387" s="62"/>
      <c r="L387" s="62"/>
      <c r="M387" s="62"/>
      <c r="N387" s="62"/>
      <c r="O387" s="62"/>
      <c r="P387" s="62"/>
      <c r="Q387" s="62"/>
      <c r="R387" s="62"/>
      <c r="S387" s="62"/>
      <c r="T387" s="62"/>
      <c r="U387" s="62"/>
    </row>
    <row r="388" spans="2:21" x14ac:dyDescent="0.15">
      <c r="B388" s="62"/>
      <c r="C388" s="62"/>
      <c r="D388" s="62"/>
      <c r="E388" s="62"/>
      <c r="F388" s="62"/>
      <c r="G388" s="62"/>
      <c r="H388" s="62"/>
      <c r="I388" s="62"/>
      <c r="J388" s="62"/>
      <c r="K388" s="62"/>
      <c r="L388" s="62"/>
      <c r="M388" s="62"/>
      <c r="N388" s="62"/>
      <c r="O388" s="62"/>
      <c r="P388" s="62"/>
      <c r="Q388" s="62"/>
      <c r="R388" s="62"/>
      <c r="S388" s="62"/>
      <c r="T388" s="62"/>
      <c r="U388" s="62"/>
    </row>
    <row r="389" spans="2:21" x14ac:dyDescent="0.15">
      <c r="B389" s="62"/>
      <c r="C389" s="62"/>
      <c r="D389" s="62"/>
      <c r="E389" s="62"/>
      <c r="F389" s="62"/>
      <c r="G389" s="62"/>
      <c r="H389" s="62"/>
      <c r="I389" s="62"/>
      <c r="J389" s="62"/>
      <c r="K389" s="62"/>
      <c r="L389" s="62"/>
      <c r="M389" s="62"/>
      <c r="N389" s="62"/>
      <c r="O389" s="62"/>
      <c r="P389" s="62"/>
      <c r="Q389" s="62"/>
      <c r="R389" s="62"/>
      <c r="S389" s="62"/>
      <c r="T389" s="62"/>
      <c r="U389" s="62"/>
    </row>
    <row r="390" spans="2:21" x14ac:dyDescent="0.15">
      <c r="B390" s="62"/>
      <c r="C390" s="62"/>
      <c r="D390" s="62"/>
      <c r="E390" s="62"/>
      <c r="F390" s="62"/>
      <c r="G390" s="62"/>
      <c r="H390" s="62"/>
      <c r="I390" s="62"/>
      <c r="J390" s="62"/>
      <c r="K390" s="62"/>
      <c r="L390" s="62"/>
      <c r="M390" s="62"/>
      <c r="N390" s="62"/>
      <c r="O390" s="62"/>
      <c r="P390" s="62"/>
      <c r="Q390" s="62"/>
      <c r="R390" s="62"/>
      <c r="S390" s="62"/>
      <c r="T390" s="62"/>
      <c r="U390" s="62"/>
    </row>
    <row r="391" spans="2:21" x14ac:dyDescent="0.15">
      <c r="B391" s="62"/>
      <c r="C391" s="62"/>
      <c r="D391" s="62"/>
      <c r="E391" s="62"/>
      <c r="F391" s="62"/>
      <c r="G391" s="62"/>
      <c r="H391" s="62"/>
      <c r="I391" s="62"/>
      <c r="J391" s="62"/>
      <c r="K391" s="62"/>
      <c r="L391" s="62"/>
      <c r="M391" s="62"/>
      <c r="N391" s="62"/>
      <c r="O391" s="62"/>
      <c r="P391" s="62"/>
      <c r="Q391" s="62"/>
      <c r="R391" s="62"/>
      <c r="S391" s="62"/>
      <c r="T391" s="62"/>
      <c r="U391" s="62"/>
    </row>
    <row r="392" spans="2:21" x14ac:dyDescent="0.15">
      <c r="B392" s="62"/>
      <c r="C392" s="62"/>
      <c r="D392" s="62"/>
      <c r="E392" s="62"/>
      <c r="F392" s="62"/>
      <c r="G392" s="62"/>
      <c r="H392" s="62"/>
      <c r="I392" s="62"/>
      <c r="J392" s="62"/>
      <c r="K392" s="62"/>
      <c r="L392" s="62"/>
      <c r="M392" s="62"/>
      <c r="N392" s="62"/>
      <c r="O392" s="62"/>
      <c r="P392" s="62"/>
      <c r="Q392" s="62"/>
      <c r="R392" s="62"/>
      <c r="S392" s="62"/>
      <c r="T392" s="62"/>
      <c r="U392" s="62"/>
    </row>
    <row r="393" spans="2:21" x14ac:dyDescent="0.15">
      <c r="B393" s="62"/>
      <c r="C393" s="62"/>
      <c r="D393" s="62"/>
      <c r="E393" s="62"/>
      <c r="F393" s="62"/>
      <c r="G393" s="62"/>
      <c r="H393" s="62"/>
      <c r="I393" s="62"/>
      <c r="J393" s="62"/>
      <c r="K393" s="62"/>
      <c r="L393" s="62"/>
      <c r="M393" s="62"/>
      <c r="N393" s="62"/>
      <c r="O393" s="62"/>
      <c r="P393" s="62"/>
      <c r="Q393" s="62"/>
      <c r="R393" s="62"/>
      <c r="S393" s="62"/>
      <c r="T393" s="62"/>
      <c r="U393" s="62"/>
    </row>
    <row r="394" spans="2:21" x14ac:dyDescent="0.15">
      <c r="B394" s="62"/>
      <c r="C394" s="62"/>
      <c r="D394" s="62"/>
      <c r="E394" s="62"/>
      <c r="F394" s="62"/>
      <c r="G394" s="62"/>
      <c r="H394" s="62"/>
      <c r="I394" s="62"/>
      <c r="J394" s="62"/>
      <c r="K394" s="62"/>
      <c r="L394" s="62"/>
      <c r="M394" s="62"/>
      <c r="N394" s="62"/>
      <c r="O394" s="62"/>
      <c r="P394" s="62"/>
      <c r="Q394" s="62"/>
      <c r="R394" s="62"/>
      <c r="S394" s="62"/>
      <c r="T394" s="62"/>
      <c r="U394" s="62"/>
    </row>
    <row r="395" spans="2:21" x14ac:dyDescent="0.15">
      <c r="B395" s="62"/>
      <c r="C395" s="62"/>
      <c r="D395" s="62"/>
      <c r="E395" s="62"/>
      <c r="F395" s="62"/>
      <c r="G395" s="62"/>
      <c r="H395" s="62"/>
      <c r="I395" s="62"/>
      <c r="J395" s="62"/>
      <c r="K395" s="62"/>
      <c r="L395" s="62"/>
      <c r="M395" s="62"/>
      <c r="N395" s="62"/>
      <c r="O395" s="62"/>
      <c r="P395" s="62"/>
      <c r="Q395" s="62"/>
      <c r="R395" s="62"/>
      <c r="S395" s="62"/>
      <c r="T395" s="62"/>
      <c r="U395" s="62"/>
    </row>
    <row r="396" spans="2:21" x14ac:dyDescent="0.15">
      <c r="B396" s="62"/>
      <c r="C396" s="62"/>
      <c r="D396" s="62"/>
      <c r="E396" s="62"/>
      <c r="F396" s="62"/>
      <c r="G396" s="62"/>
      <c r="H396" s="62"/>
      <c r="I396" s="62"/>
      <c r="J396" s="62"/>
      <c r="K396" s="62"/>
      <c r="L396" s="62"/>
      <c r="M396" s="62"/>
      <c r="N396" s="62"/>
      <c r="O396" s="62"/>
      <c r="P396" s="62"/>
      <c r="Q396" s="62"/>
      <c r="R396" s="62"/>
      <c r="S396" s="62"/>
      <c r="T396" s="62"/>
      <c r="U396" s="62"/>
    </row>
    <row r="397" spans="2:21" x14ac:dyDescent="0.15">
      <c r="B397" s="62"/>
      <c r="C397" s="62"/>
      <c r="D397" s="62"/>
      <c r="E397" s="62"/>
      <c r="F397" s="62"/>
      <c r="G397" s="62"/>
      <c r="H397" s="62"/>
      <c r="I397" s="62"/>
      <c r="J397" s="62"/>
      <c r="K397" s="62"/>
      <c r="L397" s="62"/>
      <c r="M397" s="62"/>
      <c r="N397" s="62"/>
      <c r="O397" s="62"/>
      <c r="P397" s="62"/>
      <c r="Q397" s="62"/>
      <c r="R397" s="62"/>
      <c r="S397" s="62"/>
      <c r="T397" s="62"/>
      <c r="U397" s="62"/>
    </row>
    <row r="398" spans="2:21" x14ac:dyDescent="0.15">
      <c r="B398" s="62"/>
      <c r="C398" s="62"/>
      <c r="D398" s="62"/>
      <c r="E398" s="62"/>
      <c r="F398" s="62"/>
      <c r="G398" s="62"/>
      <c r="H398" s="62"/>
      <c r="I398" s="62"/>
      <c r="J398" s="62"/>
      <c r="K398" s="62"/>
      <c r="L398" s="62"/>
      <c r="M398" s="62"/>
      <c r="N398" s="62"/>
      <c r="O398" s="62"/>
      <c r="P398" s="62"/>
      <c r="Q398" s="62"/>
      <c r="R398" s="62"/>
      <c r="S398" s="62"/>
      <c r="T398" s="62"/>
      <c r="U398" s="62"/>
    </row>
    <row r="399" spans="2:21" x14ac:dyDescent="0.15">
      <c r="B399" s="62"/>
      <c r="C399" s="62"/>
      <c r="D399" s="62"/>
      <c r="E399" s="62"/>
      <c r="F399" s="62"/>
      <c r="G399" s="62"/>
      <c r="H399" s="62"/>
      <c r="I399" s="62"/>
      <c r="J399" s="62"/>
      <c r="K399" s="62"/>
      <c r="L399" s="62"/>
      <c r="M399" s="62"/>
      <c r="N399" s="62"/>
      <c r="O399" s="62"/>
      <c r="P399" s="62"/>
      <c r="Q399" s="62"/>
      <c r="R399" s="62"/>
      <c r="S399" s="62"/>
      <c r="T399" s="62"/>
      <c r="U399" s="62"/>
    </row>
    <row r="400" spans="2:21" x14ac:dyDescent="0.15">
      <c r="B400" s="62"/>
      <c r="C400" s="62"/>
      <c r="D400" s="62"/>
      <c r="E400" s="62"/>
      <c r="F400" s="62"/>
      <c r="G400" s="62"/>
      <c r="H400" s="62"/>
      <c r="I400" s="62"/>
      <c r="J400" s="62"/>
      <c r="K400" s="62"/>
      <c r="L400" s="62"/>
      <c r="M400" s="62"/>
      <c r="N400" s="62"/>
      <c r="O400" s="62"/>
      <c r="P400" s="62"/>
      <c r="Q400" s="62"/>
      <c r="R400" s="62"/>
      <c r="S400" s="62"/>
      <c r="T400" s="62"/>
      <c r="U400" s="62"/>
    </row>
    <row r="401" spans="2:21" x14ac:dyDescent="0.15">
      <c r="B401" s="62"/>
      <c r="C401" s="62"/>
      <c r="D401" s="62"/>
      <c r="E401" s="62"/>
      <c r="F401" s="62"/>
      <c r="G401" s="62"/>
      <c r="H401" s="62"/>
      <c r="I401" s="62"/>
      <c r="J401" s="62"/>
      <c r="K401" s="62"/>
      <c r="L401" s="62"/>
      <c r="M401" s="62"/>
      <c r="N401" s="62"/>
      <c r="O401" s="62"/>
      <c r="P401" s="62"/>
      <c r="Q401" s="62"/>
      <c r="R401" s="62"/>
      <c r="S401" s="62"/>
      <c r="T401" s="62"/>
      <c r="U401" s="62"/>
    </row>
    <row r="402" spans="2:21" x14ac:dyDescent="0.15">
      <c r="B402" s="62"/>
      <c r="C402" s="62"/>
      <c r="D402" s="62"/>
      <c r="E402" s="62"/>
      <c r="F402" s="62"/>
      <c r="G402" s="62"/>
      <c r="H402" s="62"/>
      <c r="I402" s="62"/>
      <c r="J402" s="62"/>
      <c r="K402" s="62"/>
      <c r="L402" s="62"/>
      <c r="M402" s="62"/>
      <c r="N402" s="62"/>
      <c r="O402" s="62"/>
      <c r="P402" s="62"/>
      <c r="Q402" s="62"/>
      <c r="R402" s="62"/>
      <c r="S402" s="62"/>
      <c r="T402" s="62"/>
      <c r="U402" s="62"/>
    </row>
    <row r="403" spans="2:21" x14ac:dyDescent="0.15">
      <c r="B403" s="62"/>
      <c r="C403" s="62"/>
      <c r="D403" s="62"/>
      <c r="E403" s="62"/>
      <c r="F403" s="62"/>
      <c r="G403" s="62"/>
      <c r="H403" s="62"/>
      <c r="I403" s="62"/>
      <c r="J403" s="62"/>
      <c r="K403" s="62"/>
      <c r="L403" s="62"/>
      <c r="M403" s="62"/>
      <c r="N403" s="62"/>
      <c r="O403" s="62"/>
      <c r="P403" s="62"/>
      <c r="Q403" s="62"/>
      <c r="R403" s="62"/>
      <c r="S403" s="62"/>
      <c r="T403" s="62"/>
      <c r="U403" s="62"/>
    </row>
    <row r="404" spans="2:21" x14ac:dyDescent="0.15">
      <c r="B404" s="62"/>
      <c r="C404" s="62"/>
      <c r="D404" s="62"/>
      <c r="E404" s="62"/>
      <c r="F404" s="62"/>
      <c r="G404" s="62"/>
      <c r="H404" s="62"/>
      <c r="I404" s="62"/>
      <c r="J404" s="62"/>
      <c r="K404" s="62"/>
      <c r="L404" s="62"/>
      <c r="M404" s="62"/>
      <c r="N404" s="62"/>
      <c r="O404" s="62"/>
      <c r="P404" s="62"/>
      <c r="Q404" s="62"/>
      <c r="R404" s="62"/>
      <c r="S404" s="62"/>
      <c r="T404" s="62"/>
      <c r="U404" s="62"/>
    </row>
    <row r="405" spans="2:21" x14ac:dyDescent="0.15">
      <c r="B405" s="62"/>
      <c r="C405" s="62"/>
      <c r="D405" s="62"/>
      <c r="E405" s="62"/>
      <c r="F405" s="62"/>
      <c r="G405" s="62"/>
      <c r="H405" s="62"/>
      <c r="I405" s="62"/>
      <c r="J405" s="62"/>
      <c r="K405" s="62"/>
      <c r="L405" s="62"/>
      <c r="M405" s="62"/>
      <c r="N405" s="62"/>
      <c r="O405" s="62"/>
      <c r="P405" s="62"/>
      <c r="Q405" s="62"/>
      <c r="R405" s="62"/>
      <c r="S405" s="62"/>
      <c r="T405" s="62"/>
      <c r="U405" s="62"/>
    </row>
    <row r="406" spans="2:21" x14ac:dyDescent="0.15">
      <c r="B406" s="62"/>
      <c r="C406" s="62"/>
      <c r="D406" s="62"/>
      <c r="E406" s="62"/>
      <c r="F406" s="62"/>
      <c r="G406" s="62"/>
      <c r="H406" s="62"/>
      <c r="I406" s="62"/>
      <c r="J406" s="62"/>
      <c r="K406" s="62"/>
      <c r="L406" s="62"/>
      <c r="M406" s="62"/>
      <c r="N406" s="62"/>
      <c r="O406" s="62"/>
      <c r="P406" s="62"/>
      <c r="Q406" s="62"/>
      <c r="R406" s="62"/>
      <c r="S406" s="62"/>
      <c r="T406" s="62"/>
      <c r="U406" s="62"/>
    </row>
    <row r="407" spans="2:21" x14ac:dyDescent="0.15">
      <c r="B407" s="62"/>
      <c r="C407" s="62"/>
      <c r="D407" s="62"/>
      <c r="E407" s="62"/>
      <c r="F407" s="62"/>
      <c r="G407" s="62"/>
      <c r="H407" s="62"/>
      <c r="I407" s="62"/>
      <c r="J407" s="62"/>
      <c r="K407" s="62"/>
      <c r="L407" s="62"/>
      <c r="M407" s="62"/>
      <c r="N407" s="62"/>
      <c r="O407" s="62"/>
      <c r="P407" s="62"/>
      <c r="Q407" s="62"/>
      <c r="R407" s="62"/>
      <c r="S407" s="62"/>
      <c r="T407" s="62"/>
      <c r="U407" s="62"/>
    </row>
    <row r="408" spans="2:21" x14ac:dyDescent="0.15">
      <c r="B408" s="62"/>
      <c r="C408" s="62"/>
      <c r="D408" s="62"/>
      <c r="E408" s="62"/>
      <c r="F408" s="62"/>
      <c r="G408" s="62"/>
      <c r="H408" s="62"/>
      <c r="I408" s="62"/>
      <c r="J408" s="62"/>
      <c r="K408" s="62"/>
      <c r="L408" s="62"/>
      <c r="M408" s="62"/>
      <c r="N408" s="62"/>
      <c r="O408" s="62"/>
      <c r="P408" s="62"/>
      <c r="Q408" s="62"/>
      <c r="R408" s="62"/>
      <c r="S408" s="62"/>
      <c r="T408" s="62"/>
      <c r="U408" s="62"/>
    </row>
    <row r="409" spans="2:21" x14ac:dyDescent="0.15">
      <c r="B409" s="62"/>
      <c r="C409" s="62"/>
      <c r="D409" s="62"/>
      <c r="E409" s="62"/>
      <c r="F409" s="62"/>
      <c r="G409" s="62"/>
      <c r="H409" s="62"/>
      <c r="I409" s="62"/>
      <c r="J409" s="62"/>
      <c r="K409" s="62"/>
      <c r="L409" s="62"/>
      <c r="M409" s="62"/>
      <c r="N409" s="62"/>
      <c r="O409" s="62"/>
      <c r="P409" s="62"/>
      <c r="Q409" s="62"/>
      <c r="R409" s="62"/>
      <c r="S409" s="62"/>
      <c r="T409" s="62"/>
      <c r="U409" s="62"/>
    </row>
    <row r="410" spans="2:21" x14ac:dyDescent="0.15">
      <c r="B410" s="62"/>
      <c r="C410" s="62"/>
      <c r="D410" s="62"/>
      <c r="E410" s="62"/>
      <c r="F410" s="62"/>
      <c r="G410" s="62"/>
      <c r="H410" s="62"/>
      <c r="I410" s="62"/>
      <c r="J410" s="62"/>
      <c r="K410" s="62"/>
      <c r="L410" s="62"/>
      <c r="M410" s="62"/>
      <c r="N410" s="62"/>
      <c r="O410" s="62"/>
      <c r="P410" s="62"/>
      <c r="Q410" s="62"/>
      <c r="R410" s="62"/>
      <c r="S410" s="62"/>
      <c r="T410" s="62"/>
      <c r="U410" s="62"/>
    </row>
    <row r="411" spans="2:21" x14ac:dyDescent="0.15">
      <c r="B411" s="62"/>
      <c r="C411" s="62"/>
      <c r="D411" s="62"/>
      <c r="E411" s="62"/>
      <c r="F411" s="62"/>
      <c r="G411" s="62"/>
      <c r="H411" s="62"/>
      <c r="I411" s="62"/>
      <c r="J411" s="62"/>
      <c r="K411" s="62"/>
      <c r="L411" s="62"/>
      <c r="M411" s="62"/>
      <c r="N411" s="62"/>
      <c r="O411" s="62"/>
      <c r="P411" s="62"/>
      <c r="Q411" s="62"/>
      <c r="R411" s="62"/>
      <c r="S411" s="62"/>
      <c r="T411" s="62"/>
      <c r="U411" s="62"/>
    </row>
    <row r="412" spans="2:21" x14ac:dyDescent="0.15">
      <c r="B412" s="62"/>
      <c r="C412" s="62"/>
      <c r="D412" s="62"/>
      <c r="E412" s="62"/>
      <c r="F412" s="62"/>
      <c r="G412" s="62"/>
      <c r="H412" s="62"/>
      <c r="I412" s="62"/>
      <c r="J412" s="62"/>
      <c r="K412" s="62"/>
      <c r="L412" s="62"/>
      <c r="M412" s="62"/>
      <c r="N412" s="62"/>
      <c r="O412" s="62"/>
      <c r="P412" s="62"/>
      <c r="Q412" s="62"/>
      <c r="R412" s="62"/>
      <c r="S412" s="62"/>
      <c r="T412" s="62"/>
      <c r="U412" s="62"/>
    </row>
    <row r="413" spans="2:21" x14ac:dyDescent="0.15">
      <c r="B413" s="62"/>
      <c r="C413" s="62"/>
      <c r="D413" s="62"/>
      <c r="E413" s="62"/>
      <c r="F413" s="62"/>
      <c r="G413" s="62"/>
      <c r="H413" s="62"/>
      <c r="I413" s="62"/>
      <c r="J413" s="62"/>
      <c r="K413" s="62"/>
      <c r="L413" s="62"/>
      <c r="M413" s="62"/>
      <c r="N413" s="62"/>
      <c r="O413" s="62"/>
      <c r="P413" s="62"/>
      <c r="Q413" s="62"/>
      <c r="R413" s="62"/>
      <c r="S413" s="62"/>
      <c r="T413" s="62"/>
      <c r="U413" s="62"/>
    </row>
    <row r="414" spans="2:21" x14ac:dyDescent="0.15">
      <c r="B414" s="62"/>
      <c r="C414" s="62"/>
      <c r="D414" s="62"/>
      <c r="E414" s="62"/>
      <c r="F414" s="62"/>
      <c r="G414" s="62"/>
      <c r="H414" s="62"/>
      <c r="I414" s="62"/>
      <c r="J414" s="62"/>
      <c r="K414" s="62"/>
      <c r="L414" s="62"/>
      <c r="M414" s="62"/>
      <c r="N414" s="62"/>
      <c r="O414" s="62"/>
      <c r="P414" s="62"/>
      <c r="Q414" s="62"/>
      <c r="R414" s="62"/>
      <c r="S414" s="62"/>
      <c r="T414" s="62"/>
      <c r="U414" s="62"/>
    </row>
    <row r="415" spans="2:21" x14ac:dyDescent="0.15">
      <c r="B415" s="62"/>
      <c r="C415" s="62"/>
      <c r="D415" s="62"/>
      <c r="E415" s="62"/>
      <c r="F415" s="62"/>
      <c r="G415" s="62"/>
      <c r="H415" s="62"/>
      <c r="I415" s="62"/>
      <c r="J415" s="62"/>
      <c r="K415" s="62"/>
      <c r="L415" s="62"/>
      <c r="M415" s="62"/>
      <c r="N415" s="62"/>
      <c r="O415" s="62"/>
      <c r="P415" s="62"/>
      <c r="Q415" s="62"/>
      <c r="R415" s="62"/>
      <c r="S415" s="62"/>
      <c r="T415" s="62"/>
      <c r="U415" s="62"/>
    </row>
    <row r="416" spans="2:21" x14ac:dyDescent="0.15">
      <c r="B416" s="62"/>
      <c r="C416" s="62"/>
      <c r="D416" s="62"/>
      <c r="E416" s="62"/>
      <c r="F416" s="62"/>
      <c r="G416" s="62"/>
      <c r="H416" s="62"/>
      <c r="I416" s="62"/>
      <c r="J416" s="62"/>
      <c r="K416" s="62"/>
      <c r="L416" s="62"/>
      <c r="M416" s="62"/>
      <c r="N416" s="62"/>
      <c r="O416" s="62"/>
      <c r="P416" s="62"/>
      <c r="Q416" s="62"/>
      <c r="R416" s="62"/>
      <c r="S416" s="62"/>
      <c r="T416" s="62"/>
      <c r="U416" s="62"/>
    </row>
    <row r="417" spans="2:21" x14ac:dyDescent="0.15">
      <c r="B417" s="62"/>
      <c r="C417" s="62"/>
      <c r="D417" s="62"/>
      <c r="E417" s="62"/>
      <c r="F417" s="62"/>
      <c r="G417" s="62"/>
      <c r="H417" s="62"/>
      <c r="I417" s="62"/>
      <c r="J417" s="62"/>
      <c r="K417" s="62"/>
      <c r="L417" s="62"/>
      <c r="M417" s="62"/>
      <c r="N417" s="62"/>
      <c r="O417" s="62"/>
      <c r="P417" s="62"/>
      <c r="Q417" s="62"/>
      <c r="R417" s="62"/>
      <c r="S417" s="62"/>
      <c r="T417" s="62"/>
      <c r="U417" s="62"/>
    </row>
    <row r="418" spans="2:21" x14ac:dyDescent="0.15">
      <c r="B418" s="62"/>
      <c r="C418" s="62"/>
      <c r="D418" s="62"/>
      <c r="E418" s="62"/>
      <c r="F418" s="62"/>
      <c r="G418" s="62"/>
      <c r="H418" s="62"/>
      <c r="I418" s="62"/>
      <c r="J418" s="62"/>
      <c r="K418" s="62"/>
      <c r="L418" s="62"/>
      <c r="M418" s="62"/>
      <c r="N418" s="62"/>
      <c r="O418" s="62"/>
      <c r="P418" s="62"/>
      <c r="Q418" s="62"/>
      <c r="R418" s="62"/>
      <c r="S418" s="62"/>
      <c r="T418" s="62"/>
      <c r="U418" s="62"/>
    </row>
    <row r="419" spans="2:21" x14ac:dyDescent="0.15">
      <c r="B419" s="62"/>
      <c r="C419" s="62"/>
      <c r="D419" s="62"/>
      <c r="E419" s="62"/>
      <c r="F419" s="62"/>
      <c r="G419" s="62"/>
      <c r="H419" s="62"/>
      <c r="I419" s="62"/>
      <c r="J419" s="62"/>
      <c r="K419" s="62"/>
      <c r="L419" s="62"/>
      <c r="M419" s="62"/>
      <c r="N419" s="62"/>
      <c r="O419" s="62"/>
      <c r="P419" s="62"/>
      <c r="Q419" s="62"/>
      <c r="R419" s="62"/>
      <c r="S419" s="62"/>
      <c r="T419" s="62"/>
      <c r="U419" s="62"/>
    </row>
    <row r="420" spans="2:21" x14ac:dyDescent="0.15">
      <c r="B420" s="62"/>
      <c r="C420" s="62"/>
      <c r="D420" s="62"/>
      <c r="E420" s="62"/>
      <c r="F420" s="62"/>
      <c r="G420" s="62"/>
      <c r="H420" s="62"/>
      <c r="I420" s="62"/>
      <c r="J420" s="62"/>
      <c r="K420" s="62"/>
      <c r="L420" s="62"/>
      <c r="M420" s="62"/>
      <c r="N420" s="62"/>
      <c r="O420" s="62"/>
      <c r="P420" s="62"/>
      <c r="Q420" s="62"/>
      <c r="R420" s="62"/>
      <c r="S420" s="62"/>
      <c r="T420" s="62"/>
      <c r="U420" s="62"/>
    </row>
    <row r="421" spans="2:21" x14ac:dyDescent="0.15">
      <c r="B421" s="62"/>
      <c r="C421" s="62"/>
      <c r="D421" s="62"/>
      <c r="E421" s="62"/>
      <c r="F421" s="62"/>
      <c r="G421" s="62"/>
      <c r="H421" s="62"/>
      <c r="I421" s="62"/>
      <c r="J421" s="62"/>
      <c r="K421" s="62"/>
      <c r="L421" s="62"/>
      <c r="M421" s="62"/>
      <c r="N421" s="62"/>
      <c r="O421" s="62"/>
      <c r="P421" s="62"/>
      <c r="Q421" s="62"/>
      <c r="R421" s="62"/>
      <c r="S421" s="62"/>
      <c r="T421" s="62"/>
      <c r="U421" s="62"/>
    </row>
    <row r="422" spans="2:21" x14ac:dyDescent="0.15">
      <c r="B422" s="62"/>
      <c r="C422" s="62"/>
      <c r="D422" s="62"/>
      <c r="E422" s="62"/>
      <c r="F422" s="62"/>
      <c r="G422" s="62"/>
      <c r="H422" s="62"/>
      <c r="I422" s="62"/>
      <c r="J422" s="62"/>
      <c r="K422" s="62"/>
      <c r="L422" s="62"/>
      <c r="M422" s="62"/>
      <c r="N422" s="62"/>
      <c r="O422" s="62"/>
      <c r="P422" s="62"/>
      <c r="Q422" s="62"/>
      <c r="R422" s="62"/>
      <c r="S422" s="62"/>
      <c r="T422" s="62"/>
      <c r="U422" s="62"/>
    </row>
    <row r="423" spans="2:21" x14ac:dyDescent="0.15">
      <c r="B423" s="62"/>
      <c r="C423" s="62"/>
      <c r="D423" s="62"/>
      <c r="E423" s="62"/>
      <c r="F423" s="62"/>
      <c r="G423" s="62"/>
      <c r="H423" s="62"/>
      <c r="I423" s="62"/>
      <c r="J423" s="62"/>
      <c r="K423" s="62"/>
      <c r="L423" s="62"/>
      <c r="M423" s="62"/>
      <c r="N423" s="62"/>
      <c r="O423" s="62"/>
      <c r="P423" s="62"/>
      <c r="Q423" s="62"/>
      <c r="R423" s="62"/>
      <c r="S423" s="62"/>
      <c r="T423" s="62"/>
      <c r="U423" s="62"/>
    </row>
    <row r="424" spans="2:21" x14ac:dyDescent="0.15">
      <c r="B424" s="62"/>
      <c r="C424" s="62"/>
      <c r="D424" s="62"/>
      <c r="E424" s="62"/>
      <c r="F424" s="62"/>
      <c r="G424" s="62"/>
      <c r="H424" s="62"/>
      <c r="I424" s="62"/>
      <c r="J424" s="62"/>
      <c r="K424" s="62"/>
      <c r="L424" s="62"/>
      <c r="M424" s="62"/>
      <c r="N424" s="62"/>
      <c r="O424" s="62"/>
      <c r="P424" s="62"/>
      <c r="Q424" s="62"/>
      <c r="R424" s="62"/>
      <c r="S424" s="62"/>
      <c r="T424" s="62"/>
      <c r="U424" s="62"/>
    </row>
    <row r="425" spans="2:21" x14ac:dyDescent="0.15">
      <c r="B425" s="62"/>
      <c r="C425" s="62"/>
      <c r="D425" s="62"/>
      <c r="E425" s="62"/>
      <c r="F425" s="62"/>
      <c r="G425" s="62"/>
      <c r="H425" s="62"/>
      <c r="I425" s="62"/>
      <c r="J425" s="62"/>
      <c r="K425" s="62"/>
      <c r="L425" s="62"/>
      <c r="M425" s="62"/>
      <c r="N425" s="62"/>
      <c r="O425" s="62"/>
      <c r="P425" s="62"/>
      <c r="Q425" s="62"/>
      <c r="R425" s="62"/>
      <c r="S425" s="62"/>
      <c r="T425" s="62"/>
      <c r="U425" s="62"/>
    </row>
    <row r="426" spans="2:21" x14ac:dyDescent="0.15">
      <c r="B426" s="62"/>
      <c r="C426" s="62"/>
      <c r="D426" s="62"/>
      <c r="E426" s="62"/>
      <c r="F426" s="62"/>
      <c r="G426" s="62"/>
      <c r="H426" s="62"/>
      <c r="I426" s="62"/>
      <c r="J426" s="62"/>
      <c r="K426" s="62"/>
      <c r="L426" s="62"/>
      <c r="M426" s="62"/>
      <c r="N426" s="62"/>
      <c r="O426" s="62"/>
      <c r="P426" s="62"/>
      <c r="Q426" s="62"/>
      <c r="R426" s="62"/>
      <c r="S426" s="62"/>
      <c r="T426" s="62"/>
      <c r="U426" s="62"/>
    </row>
    <row r="427" spans="2:21" x14ac:dyDescent="0.15">
      <c r="B427" s="62"/>
      <c r="C427" s="62"/>
      <c r="D427" s="62"/>
      <c r="E427" s="62"/>
      <c r="F427" s="62"/>
      <c r="G427" s="62"/>
      <c r="H427" s="62"/>
      <c r="I427" s="62"/>
      <c r="J427" s="62"/>
      <c r="K427" s="62"/>
      <c r="L427" s="62"/>
      <c r="M427" s="62"/>
      <c r="N427" s="62"/>
      <c r="O427" s="62"/>
      <c r="P427" s="62"/>
      <c r="Q427" s="62"/>
      <c r="R427" s="62"/>
      <c r="S427" s="62"/>
      <c r="T427" s="62"/>
      <c r="U427" s="62"/>
    </row>
    <row r="428" spans="2:21" x14ac:dyDescent="0.15">
      <c r="B428" s="62"/>
      <c r="C428" s="62"/>
      <c r="D428" s="62"/>
      <c r="E428" s="62"/>
      <c r="F428" s="62"/>
      <c r="G428" s="62"/>
      <c r="H428" s="62"/>
      <c r="I428" s="62"/>
      <c r="J428" s="62"/>
      <c r="K428" s="62"/>
      <c r="L428" s="62"/>
      <c r="M428" s="62"/>
      <c r="N428" s="62"/>
      <c r="O428" s="62"/>
      <c r="P428" s="62"/>
      <c r="Q428" s="62"/>
      <c r="R428" s="62"/>
      <c r="S428" s="62"/>
      <c r="T428" s="62"/>
      <c r="U428" s="62"/>
    </row>
    <row r="429" spans="2:21" x14ac:dyDescent="0.15">
      <c r="B429" s="62"/>
      <c r="C429" s="62"/>
      <c r="D429" s="62"/>
      <c r="E429" s="62"/>
      <c r="F429" s="62"/>
      <c r="G429" s="62"/>
      <c r="H429" s="62"/>
      <c r="I429" s="62"/>
      <c r="J429" s="62"/>
      <c r="K429" s="62"/>
      <c r="L429" s="62"/>
      <c r="M429" s="62"/>
      <c r="N429" s="62"/>
      <c r="O429" s="62"/>
      <c r="P429" s="62"/>
      <c r="Q429" s="62"/>
      <c r="R429" s="62"/>
      <c r="S429" s="62"/>
      <c r="T429" s="62"/>
      <c r="U429" s="62"/>
    </row>
    <row r="430" spans="2:21" x14ac:dyDescent="0.15">
      <c r="B430" s="62"/>
      <c r="C430" s="62"/>
      <c r="D430" s="62"/>
      <c r="E430" s="62"/>
      <c r="F430" s="62"/>
      <c r="G430" s="62"/>
      <c r="H430" s="62"/>
      <c r="I430" s="62"/>
      <c r="J430" s="62"/>
      <c r="K430" s="62"/>
      <c r="L430" s="62"/>
      <c r="M430" s="62"/>
      <c r="N430" s="62"/>
      <c r="O430" s="62"/>
      <c r="P430" s="62"/>
      <c r="Q430" s="62"/>
      <c r="R430" s="62"/>
      <c r="S430" s="62"/>
      <c r="T430" s="62"/>
      <c r="U430" s="62"/>
    </row>
    <row r="431" spans="2:21" x14ac:dyDescent="0.15">
      <c r="B431" s="62"/>
      <c r="C431" s="62"/>
      <c r="D431" s="62"/>
      <c r="E431" s="62"/>
      <c r="F431" s="62"/>
      <c r="G431" s="62"/>
      <c r="H431" s="62"/>
      <c r="I431" s="62"/>
      <c r="J431" s="62"/>
      <c r="K431" s="62"/>
      <c r="L431" s="62"/>
      <c r="M431" s="62"/>
      <c r="N431" s="62"/>
      <c r="O431" s="62"/>
      <c r="P431" s="62"/>
      <c r="Q431" s="62"/>
      <c r="R431" s="62"/>
      <c r="S431" s="62"/>
      <c r="T431" s="62"/>
      <c r="U431" s="62"/>
    </row>
    <row r="432" spans="2:21" x14ac:dyDescent="0.15">
      <c r="B432" s="62"/>
      <c r="C432" s="62"/>
      <c r="D432" s="62"/>
      <c r="E432" s="62"/>
      <c r="F432" s="62"/>
      <c r="G432" s="62"/>
      <c r="H432" s="62"/>
      <c r="I432" s="62"/>
      <c r="J432" s="62"/>
      <c r="K432" s="62"/>
      <c r="L432" s="62"/>
      <c r="M432" s="62"/>
      <c r="N432" s="62"/>
      <c r="O432" s="62"/>
      <c r="P432" s="62"/>
      <c r="Q432" s="62"/>
      <c r="R432" s="62"/>
      <c r="S432" s="62"/>
      <c r="T432" s="62"/>
      <c r="U432" s="62"/>
    </row>
    <row r="433" spans="2:21" x14ac:dyDescent="0.15">
      <c r="B433" s="62"/>
      <c r="C433" s="62"/>
      <c r="D433" s="62"/>
      <c r="E433" s="62"/>
      <c r="F433" s="62"/>
      <c r="G433" s="62"/>
      <c r="H433" s="62"/>
      <c r="I433" s="62"/>
      <c r="J433" s="62"/>
      <c r="K433" s="62"/>
      <c r="L433" s="62"/>
      <c r="M433" s="62"/>
      <c r="N433" s="62"/>
      <c r="O433" s="62"/>
      <c r="P433" s="62"/>
      <c r="Q433" s="62"/>
      <c r="R433" s="62"/>
      <c r="S433" s="62"/>
      <c r="T433" s="62"/>
      <c r="U433" s="62"/>
    </row>
    <row r="434" spans="2:21" x14ac:dyDescent="0.15">
      <c r="B434" s="62"/>
      <c r="C434" s="62"/>
      <c r="D434" s="62"/>
      <c r="E434" s="62"/>
      <c r="F434" s="62"/>
      <c r="G434" s="62"/>
      <c r="H434" s="62"/>
      <c r="I434" s="62"/>
      <c r="J434" s="62"/>
      <c r="K434" s="62"/>
      <c r="L434" s="62"/>
      <c r="M434" s="62"/>
      <c r="N434" s="62"/>
      <c r="O434" s="62"/>
      <c r="P434" s="62"/>
      <c r="Q434" s="62"/>
      <c r="R434" s="62"/>
      <c r="S434" s="62"/>
      <c r="T434" s="62"/>
      <c r="U434" s="62"/>
    </row>
    <row r="435" spans="2:21" x14ac:dyDescent="0.15">
      <c r="B435" s="62"/>
      <c r="C435" s="62"/>
      <c r="D435" s="62"/>
      <c r="E435" s="62"/>
      <c r="F435" s="62"/>
      <c r="G435" s="62"/>
      <c r="H435" s="62"/>
      <c r="I435" s="62"/>
      <c r="J435" s="62"/>
      <c r="K435" s="62"/>
      <c r="L435" s="62"/>
      <c r="M435" s="62"/>
      <c r="N435" s="62"/>
      <c r="O435" s="62"/>
      <c r="P435" s="62"/>
      <c r="Q435" s="62"/>
      <c r="R435" s="62"/>
      <c r="S435" s="62"/>
      <c r="T435" s="62"/>
      <c r="U435" s="62"/>
    </row>
    <row r="436" spans="2:21" x14ac:dyDescent="0.15">
      <c r="B436" s="62"/>
      <c r="C436" s="62"/>
      <c r="D436" s="62"/>
      <c r="E436" s="62"/>
      <c r="F436" s="62"/>
      <c r="G436" s="62"/>
      <c r="H436" s="62"/>
      <c r="I436" s="62"/>
      <c r="J436" s="62"/>
      <c r="K436" s="62"/>
      <c r="L436" s="62"/>
      <c r="M436" s="62"/>
      <c r="N436" s="62"/>
      <c r="O436" s="62"/>
      <c r="P436" s="62"/>
      <c r="Q436" s="62"/>
      <c r="R436" s="62"/>
      <c r="S436" s="62"/>
      <c r="T436" s="62"/>
      <c r="U436" s="62"/>
    </row>
    <row r="437" spans="2:21" x14ac:dyDescent="0.15">
      <c r="B437" s="62"/>
      <c r="C437" s="62"/>
      <c r="D437" s="62"/>
      <c r="E437" s="62"/>
      <c r="F437" s="62"/>
      <c r="G437" s="62"/>
      <c r="H437" s="62"/>
      <c r="I437" s="62"/>
      <c r="J437" s="62"/>
      <c r="K437" s="62"/>
      <c r="L437" s="62"/>
      <c r="M437" s="62"/>
      <c r="N437" s="62"/>
      <c r="O437" s="62"/>
      <c r="P437" s="62"/>
      <c r="Q437" s="62"/>
      <c r="R437" s="62"/>
      <c r="S437" s="62"/>
      <c r="T437" s="62"/>
      <c r="U437" s="62"/>
    </row>
    <row r="438" spans="2:21" x14ac:dyDescent="0.15">
      <c r="B438" s="62"/>
      <c r="C438" s="62"/>
      <c r="D438" s="62"/>
      <c r="E438" s="62"/>
      <c r="F438" s="62"/>
      <c r="G438" s="62"/>
      <c r="H438" s="62"/>
      <c r="I438" s="62"/>
      <c r="J438" s="62"/>
      <c r="K438" s="62"/>
      <c r="L438" s="62"/>
      <c r="M438" s="62"/>
      <c r="N438" s="62"/>
      <c r="O438" s="62"/>
      <c r="P438" s="62"/>
      <c r="Q438" s="62"/>
      <c r="R438" s="62"/>
      <c r="S438" s="62"/>
      <c r="T438" s="62"/>
      <c r="U438" s="62"/>
    </row>
    <row r="439" spans="2:21" x14ac:dyDescent="0.15">
      <c r="B439" s="62"/>
      <c r="C439" s="62"/>
      <c r="D439" s="62"/>
      <c r="E439" s="62"/>
      <c r="F439" s="62"/>
      <c r="G439" s="62"/>
      <c r="H439" s="62"/>
      <c r="I439" s="62"/>
      <c r="J439" s="62"/>
      <c r="K439" s="62"/>
      <c r="L439" s="62"/>
      <c r="M439" s="62"/>
      <c r="N439" s="62"/>
      <c r="O439" s="62"/>
      <c r="P439" s="62"/>
      <c r="Q439" s="62"/>
      <c r="R439" s="62"/>
      <c r="S439" s="62"/>
      <c r="T439" s="62"/>
      <c r="U439" s="62"/>
    </row>
    <row r="440" spans="2:21" x14ac:dyDescent="0.15">
      <c r="B440" s="62"/>
      <c r="C440" s="62"/>
      <c r="D440" s="62"/>
      <c r="E440" s="62"/>
      <c r="F440" s="62"/>
      <c r="G440" s="62"/>
      <c r="H440" s="62"/>
      <c r="I440" s="62"/>
      <c r="J440" s="62"/>
      <c r="K440" s="62"/>
      <c r="L440" s="62"/>
      <c r="M440" s="62"/>
      <c r="N440" s="62"/>
      <c r="O440" s="62"/>
      <c r="P440" s="62"/>
      <c r="Q440" s="62"/>
      <c r="R440" s="62"/>
      <c r="S440" s="62"/>
      <c r="T440" s="62"/>
      <c r="U440" s="62"/>
    </row>
    <row r="441" spans="2:21" x14ac:dyDescent="0.15">
      <c r="B441" s="62"/>
      <c r="C441" s="62"/>
      <c r="D441" s="62"/>
      <c r="E441" s="62"/>
      <c r="F441" s="62"/>
      <c r="G441" s="62"/>
      <c r="H441" s="62"/>
      <c r="I441" s="62"/>
      <c r="J441" s="62"/>
      <c r="K441" s="62"/>
      <c r="L441" s="62"/>
      <c r="M441" s="62"/>
      <c r="N441" s="62"/>
      <c r="O441" s="62"/>
      <c r="P441" s="62"/>
      <c r="Q441" s="62"/>
      <c r="R441" s="62"/>
      <c r="S441" s="62"/>
      <c r="T441" s="62"/>
      <c r="U441" s="62"/>
    </row>
    <row r="442" spans="2:21" x14ac:dyDescent="0.15">
      <c r="B442" s="62"/>
      <c r="C442" s="62"/>
      <c r="D442" s="62"/>
      <c r="E442" s="62"/>
      <c r="F442" s="62"/>
      <c r="G442" s="62"/>
      <c r="H442" s="62"/>
      <c r="I442" s="62"/>
      <c r="J442" s="62"/>
      <c r="K442" s="62"/>
      <c r="L442" s="62"/>
      <c r="M442" s="62"/>
      <c r="N442" s="62"/>
      <c r="O442" s="62"/>
      <c r="P442" s="62"/>
      <c r="Q442" s="62"/>
      <c r="R442" s="62"/>
      <c r="S442" s="62"/>
      <c r="T442" s="62"/>
      <c r="U442" s="62"/>
    </row>
    <row r="443" spans="2:21" x14ac:dyDescent="0.15">
      <c r="B443" s="62"/>
      <c r="C443" s="62"/>
      <c r="D443" s="62"/>
      <c r="E443" s="62"/>
      <c r="F443" s="62"/>
      <c r="G443" s="62"/>
      <c r="H443" s="62"/>
      <c r="I443" s="62"/>
      <c r="J443" s="62"/>
      <c r="K443" s="62"/>
      <c r="L443" s="62"/>
      <c r="M443" s="62"/>
      <c r="N443" s="62"/>
      <c r="O443" s="62"/>
      <c r="P443" s="62"/>
      <c r="Q443" s="62"/>
      <c r="R443" s="62"/>
      <c r="S443" s="62"/>
      <c r="T443" s="62"/>
      <c r="U443" s="62"/>
    </row>
    <row r="444" spans="2:21" x14ac:dyDescent="0.15">
      <c r="B444" s="62"/>
      <c r="C444" s="62"/>
      <c r="D444" s="62"/>
      <c r="E444" s="62"/>
      <c r="F444" s="62"/>
      <c r="G444" s="62"/>
      <c r="H444" s="62"/>
      <c r="I444" s="62"/>
      <c r="J444" s="62"/>
      <c r="K444" s="62"/>
      <c r="L444" s="62"/>
      <c r="M444" s="62"/>
      <c r="N444" s="62"/>
      <c r="O444" s="62"/>
      <c r="P444" s="62"/>
      <c r="Q444" s="62"/>
      <c r="R444" s="62"/>
      <c r="S444" s="62"/>
      <c r="T444" s="62"/>
      <c r="U444" s="62"/>
    </row>
    <row r="445" spans="2:21" x14ac:dyDescent="0.15">
      <c r="B445" s="62"/>
      <c r="C445" s="62"/>
      <c r="D445" s="62"/>
      <c r="E445" s="62"/>
      <c r="F445" s="62"/>
      <c r="G445" s="62"/>
      <c r="H445" s="62"/>
      <c r="I445" s="62"/>
      <c r="J445" s="62"/>
      <c r="K445" s="62"/>
      <c r="L445" s="62"/>
      <c r="M445" s="62"/>
      <c r="N445" s="62"/>
      <c r="O445" s="62"/>
      <c r="P445" s="62"/>
      <c r="Q445" s="62"/>
      <c r="R445" s="62"/>
      <c r="S445" s="62"/>
      <c r="T445" s="62"/>
      <c r="U445" s="62"/>
    </row>
    <row r="446" spans="2:21" x14ac:dyDescent="0.15">
      <c r="B446" s="62"/>
      <c r="C446" s="62"/>
      <c r="D446" s="62"/>
      <c r="E446" s="62"/>
      <c r="F446" s="62"/>
      <c r="G446" s="62"/>
      <c r="H446" s="62"/>
      <c r="I446" s="62"/>
      <c r="J446" s="62"/>
      <c r="K446" s="62"/>
      <c r="L446" s="62"/>
      <c r="M446" s="62"/>
      <c r="N446" s="62"/>
      <c r="O446" s="62"/>
      <c r="P446" s="62"/>
      <c r="Q446" s="62"/>
      <c r="R446" s="62"/>
      <c r="S446" s="62"/>
      <c r="T446" s="62"/>
      <c r="U446" s="62"/>
    </row>
    <row r="447" spans="2:21" x14ac:dyDescent="0.15">
      <c r="B447" s="62"/>
      <c r="C447" s="62"/>
      <c r="D447" s="62"/>
      <c r="E447" s="62"/>
      <c r="F447" s="62"/>
      <c r="G447" s="62"/>
      <c r="H447" s="62"/>
      <c r="I447" s="62"/>
      <c r="J447" s="62"/>
      <c r="K447" s="62"/>
      <c r="L447" s="62"/>
      <c r="M447" s="62"/>
      <c r="N447" s="62"/>
      <c r="O447" s="62"/>
      <c r="P447" s="62"/>
      <c r="Q447" s="62"/>
      <c r="R447" s="62"/>
      <c r="S447" s="62"/>
      <c r="T447" s="62"/>
      <c r="U447" s="62"/>
    </row>
    <row r="448" spans="2:21" x14ac:dyDescent="0.15">
      <c r="B448" s="62"/>
      <c r="C448" s="62"/>
      <c r="D448" s="62"/>
      <c r="E448" s="62"/>
      <c r="F448" s="62"/>
      <c r="G448" s="62"/>
      <c r="H448" s="62"/>
      <c r="I448" s="62"/>
      <c r="J448" s="62"/>
      <c r="K448" s="62"/>
      <c r="L448" s="62"/>
      <c r="M448" s="62"/>
      <c r="N448" s="62"/>
      <c r="O448" s="62"/>
      <c r="P448" s="62"/>
      <c r="Q448" s="62"/>
      <c r="R448" s="62"/>
      <c r="S448" s="62"/>
      <c r="T448" s="62"/>
      <c r="U448" s="62"/>
    </row>
    <row r="449" spans="2:21" x14ac:dyDescent="0.15">
      <c r="B449" s="62"/>
      <c r="C449" s="62"/>
      <c r="D449" s="62"/>
      <c r="E449" s="62"/>
      <c r="F449" s="62"/>
      <c r="G449" s="62"/>
      <c r="H449" s="62"/>
      <c r="I449" s="62"/>
      <c r="J449" s="62"/>
      <c r="K449" s="62"/>
      <c r="L449" s="62"/>
      <c r="M449" s="62"/>
      <c r="N449" s="62"/>
      <c r="O449" s="62"/>
      <c r="P449" s="62"/>
      <c r="Q449" s="62"/>
      <c r="R449" s="62"/>
      <c r="S449" s="62"/>
      <c r="T449" s="62"/>
      <c r="U449" s="62"/>
    </row>
    <row r="450" spans="2:21" x14ac:dyDescent="0.15">
      <c r="B450" s="62"/>
      <c r="C450" s="62"/>
      <c r="D450" s="62"/>
      <c r="E450" s="62"/>
      <c r="F450" s="62"/>
      <c r="G450" s="62"/>
      <c r="H450" s="62"/>
      <c r="I450" s="62"/>
      <c r="J450" s="62"/>
      <c r="K450" s="62"/>
      <c r="L450" s="62"/>
      <c r="M450" s="62"/>
      <c r="N450" s="62"/>
      <c r="O450" s="62"/>
      <c r="P450" s="62"/>
      <c r="Q450" s="62"/>
      <c r="R450" s="62"/>
      <c r="S450" s="62"/>
      <c r="T450" s="62"/>
      <c r="U450" s="62"/>
    </row>
    <row r="451" spans="2:21" x14ac:dyDescent="0.15">
      <c r="B451" s="62"/>
      <c r="C451" s="62"/>
      <c r="D451" s="62"/>
      <c r="E451" s="62"/>
      <c r="F451" s="62"/>
      <c r="G451" s="62"/>
      <c r="H451" s="62"/>
      <c r="I451" s="62"/>
      <c r="J451" s="62"/>
      <c r="K451" s="62"/>
      <c r="L451" s="62"/>
      <c r="M451" s="62"/>
      <c r="N451" s="62"/>
      <c r="O451" s="62"/>
      <c r="P451" s="62"/>
      <c r="Q451" s="62"/>
      <c r="R451" s="62"/>
      <c r="S451" s="62"/>
      <c r="T451" s="62"/>
      <c r="U451" s="62"/>
    </row>
    <row r="452" spans="2:21" x14ac:dyDescent="0.15">
      <c r="B452" s="62"/>
      <c r="C452" s="62"/>
      <c r="D452" s="62"/>
      <c r="E452" s="62"/>
      <c r="F452" s="62"/>
      <c r="G452" s="62"/>
      <c r="H452" s="62"/>
      <c r="I452" s="62"/>
      <c r="J452" s="62"/>
      <c r="K452" s="62"/>
      <c r="L452" s="62"/>
      <c r="M452" s="62"/>
      <c r="N452" s="62"/>
      <c r="O452" s="62"/>
      <c r="P452" s="62"/>
      <c r="Q452" s="62"/>
      <c r="R452" s="62"/>
      <c r="S452" s="62"/>
      <c r="T452" s="62"/>
      <c r="U452" s="62"/>
    </row>
    <row r="453" spans="2:21" x14ac:dyDescent="0.15">
      <c r="B453" s="62"/>
      <c r="C453" s="62"/>
      <c r="D453" s="62"/>
      <c r="E453" s="62"/>
      <c r="F453" s="62"/>
      <c r="G453" s="62"/>
      <c r="H453" s="62"/>
      <c r="I453" s="62"/>
      <c r="J453" s="62"/>
      <c r="K453" s="62"/>
      <c r="L453" s="62"/>
      <c r="M453" s="62"/>
      <c r="N453" s="62"/>
      <c r="O453" s="62"/>
      <c r="P453" s="62"/>
      <c r="Q453" s="62"/>
      <c r="R453" s="62"/>
      <c r="S453" s="62"/>
      <c r="T453" s="62"/>
      <c r="U453" s="62"/>
    </row>
    <row r="454" spans="2:21" x14ac:dyDescent="0.15">
      <c r="B454" s="62"/>
      <c r="C454" s="62"/>
      <c r="D454" s="62"/>
      <c r="E454" s="62"/>
      <c r="F454" s="62"/>
      <c r="G454" s="62"/>
      <c r="H454" s="62"/>
      <c r="I454" s="62"/>
      <c r="J454" s="62"/>
      <c r="K454" s="62"/>
      <c r="L454" s="62"/>
      <c r="M454" s="62"/>
      <c r="N454" s="62"/>
      <c r="O454" s="62"/>
      <c r="P454" s="62"/>
      <c r="Q454" s="62"/>
      <c r="R454" s="62"/>
      <c r="S454" s="62"/>
      <c r="T454" s="62"/>
      <c r="U454" s="62"/>
    </row>
    <row r="455" spans="2:21" x14ac:dyDescent="0.15">
      <c r="B455" s="62"/>
      <c r="C455" s="62"/>
      <c r="D455" s="62"/>
      <c r="E455" s="62"/>
      <c r="F455" s="62"/>
      <c r="G455" s="62"/>
      <c r="H455" s="62"/>
      <c r="I455" s="62"/>
      <c r="J455" s="62"/>
      <c r="K455" s="62"/>
      <c r="L455" s="62"/>
      <c r="M455" s="62"/>
      <c r="N455" s="62"/>
      <c r="O455" s="62"/>
      <c r="P455" s="62"/>
      <c r="Q455" s="62"/>
      <c r="R455" s="62"/>
      <c r="S455" s="62"/>
      <c r="T455" s="62"/>
      <c r="U455" s="62"/>
    </row>
    <row r="456" spans="2:21" x14ac:dyDescent="0.15">
      <c r="B456" s="62"/>
      <c r="C456" s="62"/>
      <c r="D456" s="62"/>
      <c r="E456" s="62"/>
      <c r="F456" s="62"/>
      <c r="G456" s="62"/>
      <c r="H456" s="62"/>
      <c r="I456" s="62"/>
      <c r="J456" s="62"/>
      <c r="K456" s="62"/>
      <c r="L456" s="62"/>
      <c r="M456" s="62"/>
      <c r="N456" s="62"/>
      <c r="O456" s="62"/>
      <c r="P456" s="62"/>
      <c r="Q456" s="62"/>
      <c r="R456" s="62"/>
      <c r="S456" s="62"/>
      <c r="T456" s="62"/>
      <c r="U456" s="62"/>
    </row>
    <row r="457" spans="2:21" x14ac:dyDescent="0.15">
      <c r="B457" s="62"/>
      <c r="C457" s="62"/>
      <c r="D457" s="62"/>
      <c r="E457" s="62"/>
      <c r="F457" s="62"/>
      <c r="G457" s="62"/>
      <c r="H457" s="62"/>
      <c r="I457" s="62"/>
      <c r="J457" s="62"/>
      <c r="K457" s="62"/>
      <c r="L457" s="62"/>
      <c r="M457" s="62"/>
      <c r="N457" s="62"/>
      <c r="O457" s="62"/>
      <c r="P457" s="62"/>
      <c r="Q457" s="62"/>
      <c r="R457" s="62"/>
      <c r="S457" s="62"/>
      <c r="T457" s="62"/>
      <c r="U457" s="62"/>
    </row>
    <row r="458" spans="2:21" x14ac:dyDescent="0.15">
      <c r="B458" s="62"/>
      <c r="C458" s="62"/>
      <c r="D458" s="62"/>
      <c r="E458" s="62"/>
      <c r="F458" s="62"/>
      <c r="G458" s="62"/>
      <c r="H458" s="62"/>
      <c r="I458" s="62"/>
      <c r="J458" s="62"/>
      <c r="K458" s="62"/>
      <c r="L458" s="62"/>
      <c r="M458" s="62"/>
      <c r="N458" s="62"/>
      <c r="O458" s="62"/>
      <c r="P458" s="62"/>
      <c r="Q458" s="62"/>
      <c r="R458" s="62"/>
      <c r="S458" s="62"/>
      <c r="T458" s="62"/>
      <c r="U458" s="62"/>
    </row>
    <row r="459" spans="2:21" x14ac:dyDescent="0.15">
      <c r="B459" s="62"/>
      <c r="C459" s="62"/>
      <c r="D459" s="62"/>
      <c r="E459" s="62"/>
      <c r="F459" s="62"/>
      <c r="G459" s="62"/>
      <c r="H459" s="62"/>
      <c r="I459" s="62"/>
      <c r="J459" s="62"/>
      <c r="K459" s="62"/>
      <c r="L459" s="62"/>
      <c r="M459" s="62"/>
      <c r="N459" s="62"/>
      <c r="O459" s="62"/>
      <c r="P459" s="62"/>
      <c r="Q459" s="62"/>
      <c r="R459" s="62"/>
      <c r="S459" s="62"/>
      <c r="T459" s="62"/>
      <c r="U459" s="62"/>
    </row>
    <row r="460" spans="2:21" x14ac:dyDescent="0.15">
      <c r="B460" s="62"/>
      <c r="C460" s="62"/>
      <c r="D460" s="62"/>
      <c r="E460" s="62"/>
      <c r="F460" s="62"/>
      <c r="G460" s="62"/>
      <c r="H460" s="62"/>
      <c r="I460" s="62"/>
      <c r="J460" s="62"/>
      <c r="K460" s="62"/>
      <c r="L460" s="62"/>
      <c r="M460" s="62"/>
      <c r="N460" s="62"/>
      <c r="O460" s="62"/>
      <c r="P460" s="62"/>
      <c r="Q460" s="62"/>
      <c r="R460" s="62"/>
      <c r="S460" s="62"/>
      <c r="T460" s="62"/>
      <c r="U460" s="62"/>
    </row>
    <row r="461" spans="2:21" x14ac:dyDescent="0.15">
      <c r="B461" s="62"/>
      <c r="C461" s="62"/>
      <c r="D461" s="62"/>
      <c r="E461" s="62"/>
      <c r="F461" s="62"/>
      <c r="G461" s="62"/>
      <c r="H461" s="62"/>
      <c r="I461" s="62"/>
      <c r="J461" s="62"/>
      <c r="K461" s="62"/>
      <c r="L461" s="62"/>
      <c r="M461" s="62"/>
      <c r="N461" s="62"/>
      <c r="O461" s="62"/>
      <c r="P461" s="62"/>
      <c r="Q461" s="62"/>
      <c r="R461" s="62"/>
      <c r="S461" s="62"/>
      <c r="T461" s="62"/>
      <c r="U461" s="62"/>
    </row>
    <row r="462" spans="2:21" x14ac:dyDescent="0.15">
      <c r="B462" s="62"/>
      <c r="C462" s="62"/>
      <c r="D462" s="62"/>
      <c r="E462" s="62"/>
      <c r="F462" s="62"/>
      <c r="G462" s="62"/>
      <c r="H462" s="62"/>
      <c r="I462" s="62"/>
      <c r="J462" s="62"/>
      <c r="K462" s="62"/>
      <c r="L462" s="62"/>
      <c r="M462" s="62"/>
      <c r="N462" s="62"/>
      <c r="O462" s="62"/>
      <c r="P462" s="62"/>
      <c r="Q462" s="62"/>
      <c r="R462" s="62"/>
      <c r="S462" s="62"/>
      <c r="T462" s="62"/>
      <c r="U462" s="62"/>
    </row>
    <row r="463" spans="2:21" x14ac:dyDescent="0.15">
      <c r="B463" s="62"/>
      <c r="C463" s="62"/>
      <c r="D463" s="62"/>
      <c r="E463" s="62"/>
      <c r="F463" s="62"/>
      <c r="G463" s="62"/>
      <c r="H463" s="62"/>
      <c r="I463" s="62"/>
      <c r="J463" s="62"/>
      <c r="K463" s="62"/>
      <c r="L463" s="62"/>
      <c r="M463" s="62"/>
      <c r="N463" s="62"/>
      <c r="O463" s="62"/>
      <c r="P463" s="62"/>
      <c r="Q463" s="62"/>
      <c r="R463" s="62"/>
      <c r="S463" s="62"/>
      <c r="T463" s="62"/>
      <c r="U463" s="62"/>
    </row>
    <row r="464" spans="2:21" x14ac:dyDescent="0.15">
      <c r="B464" s="62"/>
      <c r="C464" s="62"/>
      <c r="D464" s="62"/>
      <c r="E464" s="62"/>
      <c r="F464" s="62"/>
      <c r="G464" s="62"/>
      <c r="H464" s="62"/>
      <c r="I464" s="62"/>
      <c r="J464" s="62"/>
      <c r="K464" s="62"/>
      <c r="L464" s="62"/>
      <c r="M464" s="62"/>
      <c r="N464" s="62"/>
      <c r="O464" s="62"/>
      <c r="P464" s="62"/>
      <c r="Q464" s="62"/>
      <c r="R464" s="62"/>
      <c r="S464" s="62"/>
      <c r="T464" s="62"/>
      <c r="U464" s="62"/>
    </row>
    <row r="465" spans="2:21" x14ac:dyDescent="0.15">
      <c r="B465" s="62"/>
      <c r="C465" s="62"/>
      <c r="D465" s="62"/>
      <c r="E465" s="62"/>
      <c r="F465" s="62"/>
      <c r="G465" s="62"/>
      <c r="H465" s="62"/>
      <c r="I465" s="62"/>
      <c r="J465" s="62"/>
      <c r="K465" s="62"/>
      <c r="L465" s="62"/>
      <c r="M465" s="62"/>
      <c r="N465" s="62"/>
      <c r="O465" s="62"/>
      <c r="P465" s="62"/>
      <c r="Q465" s="62"/>
      <c r="R465" s="62"/>
      <c r="S465" s="62"/>
      <c r="T465" s="62"/>
      <c r="U465" s="62"/>
    </row>
    <row r="466" spans="2:21" x14ac:dyDescent="0.15">
      <c r="B466" s="62"/>
      <c r="C466" s="62"/>
      <c r="D466" s="62"/>
      <c r="E466" s="62"/>
      <c r="F466" s="62"/>
      <c r="G466" s="62"/>
      <c r="H466" s="62"/>
      <c r="I466" s="62"/>
      <c r="J466" s="62"/>
      <c r="K466" s="62"/>
      <c r="L466" s="62"/>
      <c r="M466" s="62"/>
      <c r="N466" s="62"/>
      <c r="O466" s="62"/>
      <c r="P466" s="62"/>
      <c r="Q466" s="62"/>
      <c r="R466" s="62"/>
      <c r="S466" s="62"/>
      <c r="T466" s="62"/>
      <c r="U466" s="62"/>
    </row>
    <row r="467" spans="2:21" x14ac:dyDescent="0.15">
      <c r="B467" s="62"/>
      <c r="C467" s="62"/>
      <c r="D467" s="62"/>
      <c r="E467" s="62"/>
      <c r="F467" s="62"/>
      <c r="G467" s="62"/>
      <c r="H467" s="62"/>
      <c r="I467" s="62"/>
      <c r="J467" s="62"/>
      <c r="K467" s="62"/>
      <c r="L467" s="62"/>
      <c r="M467" s="62"/>
      <c r="N467" s="62"/>
      <c r="O467" s="62"/>
      <c r="P467" s="62"/>
      <c r="Q467" s="62"/>
      <c r="R467" s="62"/>
      <c r="S467" s="62"/>
      <c r="T467" s="62"/>
      <c r="U467" s="62"/>
    </row>
    <row r="468" spans="2:21" x14ac:dyDescent="0.15">
      <c r="B468" s="62"/>
      <c r="C468" s="62"/>
      <c r="D468" s="62"/>
      <c r="E468" s="62"/>
      <c r="F468" s="62"/>
      <c r="G468" s="62"/>
      <c r="H468" s="62"/>
      <c r="I468" s="62"/>
      <c r="J468" s="62"/>
      <c r="K468" s="62"/>
      <c r="L468" s="62"/>
      <c r="M468" s="62"/>
      <c r="N468" s="62"/>
      <c r="O468" s="62"/>
      <c r="P468" s="62"/>
      <c r="Q468" s="62"/>
      <c r="R468" s="62"/>
      <c r="S468" s="62"/>
      <c r="T468" s="62"/>
      <c r="U468" s="62"/>
    </row>
    <row r="469" spans="2:21" x14ac:dyDescent="0.15">
      <c r="B469" s="62"/>
      <c r="C469" s="62"/>
      <c r="D469" s="62"/>
      <c r="E469" s="62"/>
      <c r="F469" s="62"/>
      <c r="G469" s="62"/>
      <c r="H469" s="62"/>
      <c r="I469" s="62"/>
      <c r="J469" s="62"/>
      <c r="K469" s="62"/>
      <c r="L469" s="62"/>
      <c r="M469" s="62"/>
      <c r="N469" s="62"/>
      <c r="O469" s="62"/>
      <c r="P469" s="62"/>
      <c r="Q469" s="62"/>
      <c r="R469" s="62"/>
      <c r="S469" s="62"/>
      <c r="T469" s="62"/>
      <c r="U469" s="62"/>
    </row>
    <row r="470" spans="2:21" x14ac:dyDescent="0.15">
      <c r="B470" s="62"/>
      <c r="C470" s="62"/>
      <c r="D470" s="62"/>
      <c r="E470" s="62"/>
      <c r="F470" s="62"/>
      <c r="G470" s="62"/>
      <c r="H470" s="62"/>
      <c r="I470" s="62"/>
      <c r="J470" s="62"/>
      <c r="K470" s="62"/>
      <c r="L470" s="62"/>
      <c r="M470" s="62"/>
      <c r="N470" s="62"/>
      <c r="O470" s="62"/>
      <c r="P470" s="62"/>
      <c r="Q470" s="62"/>
      <c r="R470" s="62"/>
      <c r="S470" s="62"/>
      <c r="T470" s="62"/>
      <c r="U470" s="62"/>
    </row>
    <row r="471" spans="2:21" x14ac:dyDescent="0.15">
      <c r="B471" s="62"/>
      <c r="C471" s="62"/>
      <c r="D471" s="62"/>
      <c r="E471" s="62"/>
      <c r="F471" s="62"/>
      <c r="G471" s="62"/>
      <c r="H471" s="62"/>
      <c r="I471" s="62"/>
      <c r="J471" s="62"/>
      <c r="K471" s="62"/>
      <c r="L471" s="62"/>
      <c r="M471" s="62"/>
      <c r="N471" s="62"/>
      <c r="O471" s="62"/>
      <c r="P471" s="62"/>
      <c r="Q471" s="62"/>
      <c r="R471" s="62"/>
      <c r="S471" s="62"/>
      <c r="T471" s="62"/>
      <c r="U471" s="62"/>
    </row>
    <row r="472" spans="2:21" x14ac:dyDescent="0.15">
      <c r="B472" s="62"/>
      <c r="C472" s="62"/>
      <c r="D472" s="62"/>
      <c r="E472" s="62"/>
      <c r="F472" s="62"/>
      <c r="G472" s="62"/>
      <c r="H472" s="62"/>
      <c r="I472" s="62"/>
      <c r="J472" s="62"/>
      <c r="K472" s="62"/>
      <c r="L472" s="62"/>
      <c r="M472" s="62"/>
      <c r="N472" s="62"/>
      <c r="O472" s="62"/>
      <c r="P472" s="62"/>
      <c r="Q472" s="62"/>
      <c r="R472" s="62"/>
      <c r="S472" s="62"/>
      <c r="T472" s="62"/>
      <c r="U472" s="62"/>
    </row>
    <row r="473" spans="2:21" x14ac:dyDescent="0.15">
      <c r="B473" s="62"/>
      <c r="C473" s="62"/>
      <c r="D473" s="62"/>
      <c r="E473" s="62"/>
      <c r="F473" s="62"/>
      <c r="G473" s="62"/>
      <c r="H473" s="62"/>
      <c r="I473" s="62"/>
      <c r="J473" s="62"/>
      <c r="K473" s="62"/>
      <c r="L473" s="62"/>
      <c r="M473" s="62"/>
      <c r="N473" s="62"/>
      <c r="O473" s="62"/>
      <c r="P473" s="62"/>
      <c r="Q473" s="62"/>
      <c r="R473" s="62"/>
      <c r="S473" s="62"/>
      <c r="T473" s="62"/>
      <c r="U473" s="62"/>
    </row>
    <row r="474" spans="2:21" x14ac:dyDescent="0.15">
      <c r="B474" s="62"/>
      <c r="C474" s="62"/>
      <c r="D474" s="62"/>
      <c r="E474" s="62"/>
      <c r="F474" s="62"/>
      <c r="G474" s="62"/>
      <c r="H474" s="62"/>
      <c r="I474" s="62"/>
      <c r="J474" s="62"/>
      <c r="K474" s="62"/>
      <c r="L474" s="62"/>
      <c r="M474" s="62"/>
      <c r="N474" s="62"/>
      <c r="O474" s="62"/>
      <c r="P474" s="62"/>
      <c r="Q474" s="62"/>
      <c r="R474" s="62"/>
      <c r="S474" s="62"/>
      <c r="T474" s="62"/>
      <c r="U474" s="62"/>
    </row>
    <row r="475" spans="2:21" x14ac:dyDescent="0.15">
      <c r="B475" s="62"/>
      <c r="C475" s="62"/>
      <c r="D475" s="62"/>
      <c r="E475" s="62"/>
      <c r="F475" s="62"/>
      <c r="G475" s="62"/>
      <c r="H475" s="62"/>
      <c r="I475" s="62"/>
      <c r="J475" s="62"/>
      <c r="K475" s="62"/>
      <c r="L475" s="62"/>
      <c r="M475" s="62"/>
      <c r="N475" s="62"/>
      <c r="O475" s="62"/>
      <c r="P475" s="62"/>
      <c r="Q475" s="62"/>
      <c r="R475" s="62"/>
      <c r="S475" s="62"/>
      <c r="T475" s="62"/>
      <c r="U475" s="62"/>
    </row>
    <row r="476" spans="2:21" x14ac:dyDescent="0.15">
      <c r="B476" s="62"/>
      <c r="C476" s="62"/>
      <c r="D476" s="62"/>
      <c r="E476" s="62"/>
      <c r="F476" s="62"/>
      <c r="G476" s="62"/>
      <c r="H476" s="62"/>
      <c r="I476" s="62"/>
      <c r="J476" s="62"/>
      <c r="K476" s="62"/>
      <c r="L476" s="62"/>
      <c r="M476" s="62"/>
      <c r="N476" s="62"/>
      <c r="O476" s="62"/>
      <c r="P476" s="62"/>
      <c r="Q476" s="62"/>
      <c r="R476" s="62"/>
      <c r="S476" s="62"/>
      <c r="T476" s="62"/>
      <c r="U476" s="62"/>
    </row>
    <row r="477" spans="2:21" x14ac:dyDescent="0.15">
      <c r="B477" s="62"/>
      <c r="C477" s="62"/>
      <c r="D477" s="62"/>
      <c r="E477" s="62"/>
      <c r="F477" s="62"/>
      <c r="G477" s="62"/>
      <c r="H477" s="62"/>
      <c r="I477" s="62"/>
      <c r="J477" s="62"/>
      <c r="K477" s="62"/>
      <c r="L477" s="62"/>
      <c r="M477" s="62"/>
      <c r="N477" s="62"/>
      <c r="O477" s="62"/>
      <c r="P477" s="62"/>
      <c r="Q477" s="62"/>
      <c r="R477" s="62"/>
      <c r="S477" s="62"/>
      <c r="T477" s="62"/>
      <c r="U477" s="62"/>
    </row>
    <row r="478" spans="2:21" x14ac:dyDescent="0.15">
      <c r="B478" s="62"/>
      <c r="C478" s="62"/>
      <c r="D478" s="62"/>
      <c r="E478" s="62"/>
      <c r="F478" s="62"/>
      <c r="G478" s="62"/>
      <c r="H478" s="62"/>
      <c r="I478" s="62"/>
      <c r="J478" s="62"/>
      <c r="K478" s="62"/>
      <c r="L478" s="62"/>
      <c r="M478" s="62"/>
      <c r="N478" s="62"/>
      <c r="O478" s="62"/>
      <c r="P478" s="62"/>
      <c r="Q478" s="62"/>
      <c r="R478" s="62"/>
      <c r="S478" s="62"/>
      <c r="T478" s="62"/>
      <c r="U478" s="62"/>
    </row>
    <row r="479" spans="2:21" x14ac:dyDescent="0.15">
      <c r="B479" s="62"/>
      <c r="C479" s="62"/>
      <c r="D479" s="62"/>
      <c r="E479" s="62"/>
      <c r="F479" s="62"/>
      <c r="G479" s="62"/>
      <c r="H479" s="62"/>
      <c r="I479" s="62"/>
      <c r="J479" s="62"/>
      <c r="K479" s="62"/>
      <c r="L479" s="62"/>
      <c r="M479" s="62"/>
      <c r="N479" s="62"/>
      <c r="O479" s="62"/>
      <c r="P479" s="62"/>
      <c r="Q479" s="62"/>
      <c r="R479" s="62"/>
      <c r="S479" s="62"/>
      <c r="T479" s="62"/>
      <c r="U479" s="62"/>
    </row>
    <row r="480" spans="2:21" x14ac:dyDescent="0.15">
      <c r="B480" s="62"/>
      <c r="C480" s="62"/>
      <c r="D480" s="62"/>
      <c r="E480" s="62"/>
      <c r="F480" s="62"/>
      <c r="G480" s="62"/>
      <c r="H480" s="62"/>
      <c r="I480" s="62"/>
      <c r="J480" s="62"/>
      <c r="K480" s="62"/>
      <c r="L480" s="62"/>
      <c r="M480" s="62"/>
      <c r="N480" s="62"/>
      <c r="O480" s="62"/>
      <c r="P480" s="62"/>
      <c r="Q480" s="62"/>
      <c r="R480" s="62"/>
      <c r="S480" s="62"/>
      <c r="T480" s="62"/>
      <c r="U480" s="62"/>
    </row>
    <row r="481" spans="2:21" x14ac:dyDescent="0.15">
      <c r="B481" s="62"/>
      <c r="C481" s="62"/>
      <c r="D481" s="62"/>
      <c r="E481" s="62"/>
      <c r="F481" s="62"/>
      <c r="G481" s="62"/>
      <c r="H481" s="62"/>
      <c r="I481" s="62"/>
      <c r="J481" s="62"/>
      <c r="K481" s="62"/>
      <c r="L481" s="62"/>
      <c r="M481" s="62"/>
      <c r="N481" s="62"/>
      <c r="O481" s="62"/>
      <c r="P481" s="62"/>
      <c r="Q481" s="62"/>
      <c r="R481" s="62"/>
      <c r="S481" s="62"/>
      <c r="T481" s="62"/>
      <c r="U481" s="62"/>
    </row>
    <row r="482" spans="2:21" x14ac:dyDescent="0.15">
      <c r="B482" s="62"/>
      <c r="C482" s="62"/>
      <c r="D482" s="62"/>
      <c r="E482" s="62"/>
      <c r="F482" s="62"/>
      <c r="G482" s="62"/>
      <c r="H482" s="62"/>
      <c r="I482" s="62"/>
      <c r="J482" s="62"/>
      <c r="K482" s="62"/>
      <c r="L482" s="62"/>
      <c r="M482" s="62"/>
      <c r="N482" s="62"/>
      <c r="O482" s="62"/>
      <c r="P482" s="62"/>
      <c r="Q482" s="62"/>
      <c r="R482" s="62"/>
      <c r="S482" s="62"/>
      <c r="T482" s="62"/>
      <c r="U482" s="62"/>
    </row>
    <row r="483" spans="2:21" x14ac:dyDescent="0.15">
      <c r="B483" s="62"/>
      <c r="C483" s="62"/>
      <c r="D483" s="62"/>
      <c r="E483" s="62"/>
      <c r="F483" s="62"/>
      <c r="G483" s="62"/>
      <c r="H483" s="62"/>
      <c r="I483" s="62"/>
      <c r="J483" s="62"/>
      <c r="K483" s="62"/>
      <c r="L483" s="62"/>
      <c r="M483" s="62"/>
      <c r="N483" s="62"/>
      <c r="O483" s="62"/>
      <c r="P483" s="62"/>
      <c r="Q483" s="62"/>
      <c r="R483" s="62"/>
      <c r="S483" s="62"/>
      <c r="T483" s="62"/>
      <c r="U483" s="62"/>
    </row>
    <row r="484" spans="2:21" x14ac:dyDescent="0.15">
      <c r="B484" s="62"/>
      <c r="C484" s="62"/>
      <c r="D484" s="62"/>
      <c r="E484" s="62"/>
      <c r="F484" s="62"/>
      <c r="G484" s="62"/>
      <c r="H484" s="62"/>
      <c r="I484" s="62"/>
      <c r="J484" s="62"/>
      <c r="K484" s="62"/>
      <c r="L484" s="62"/>
      <c r="M484" s="62"/>
      <c r="N484" s="62"/>
      <c r="O484" s="62"/>
      <c r="P484" s="62"/>
      <c r="Q484" s="62"/>
      <c r="R484" s="62"/>
      <c r="S484" s="62"/>
      <c r="T484" s="62"/>
      <c r="U484" s="62"/>
    </row>
    <row r="485" spans="2:21" x14ac:dyDescent="0.15">
      <c r="B485" s="62"/>
      <c r="C485" s="62"/>
      <c r="D485" s="62"/>
      <c r="E485" s="62"/>
      <c r="F485" s="62"/>
      <c r="G485" s="62"/>
      <c r="H485" s="62"/>
      <c r="I485" s="62"/>
      <c r="J485" s="62"/>
      <c r="K485" s="62"/>
      <c r="L485" s="62"/>
      <c r="M485" s="62"/>
      <c r="N485" s="62"/>
      <c r="O485" s="62"/>
      <c r="P485" s="62"/>
      <c r="Q485" s="62"/>
      <c r="R485" s="62"/>
      <c r="S485" s="62"/>
      <c r="T485" s="62"/>
      <c r="U485" s="62"/>
    </row>
    <row r="486" spans="2:21" x14ac:dyDescent="0.15">
      <c r="B486" s="62"/>
      <c r="C486" s="62"/>
      <c r="D486" s="62"/>
      <c r="E486" s="62"/>
      <c r="F486" s="62"/>
      <c r="G486" s="62"/>
      <c r="H486" s="62"/>
      <c r="I486" s="62"/>
      <c r="J486" s="62"/>
      <c r="K486" s="62"/>
      <c r="L486" s="62"/>
      <c r="M486" s="62"/>
      <c r="N486" s="62"/>
      <c r="O486" s="62"/>
      <c r="P486" s="62"/>
      <c r="Q486" s="62"/>
      <c r="R486" s="62"/>
      <c r="S486" s="62"/>
      <c r="T486" s="62"/>
      <c r="U486" s="62"/>
    </row>
    <row r="487" spans="2:21" x14ac:dyDescent="0.15">
      <c r="B487" s="62"/>
      <c r="C487" s="62"/>
      <c r="D487" s="62"/>
      <c r="E487" s="62"/>
      <c r="F487" s="62"/>
      <c r="G487" s="62"/>
      <c r="H487" s="62"/>
      <c r="I487" s="62"/>
      <c r="J487" s="62"/>
      <c r="K487" s="62"/>
      <c r="L487" s="62"/>
      <c r="M487" s="62"/>
      <c r="N487" s="62"/>
      <c r="O487" s="62"/>
      <c r="P487" s="62"/>
      <c r="Q487" s="62"/>
      <c r="R487" s="62"/>
      <c r="S487" s="62"/>
      <c r="T487" s="62"/>
      <c r="U487" s="62"/>
    </row>
    <row r="488" spans="2:21" x14ac:dyDescent="0.15">
      <c r="B488" s="62"/>
      <c r="C488" s="62"/>
      <c r="D488" s="62"/>
      <c r="E488" s="62"/>
      <c r="F488" s="62"/>
      <c r="G488" s="62"/>
      <c r="H488" s="62"/>
      <c r="I488" s="62"/>
      <c r="J488" s="62"/>
      <c r="K488" s="62"/>
      <c r="L488" s="62"/>
      <c r="M488" s="62"/>
      <c r="N488" s="62"/>
      <c r="O488" s="62"/>
      <c r="P488" s="62"/>
      <c r="Q488" s="62"/>
      <c r="R488" s="62"/>
      <c r="S488" s="62"/>
      <c r="T488" s="62"/>
      <c r="U488" s="62"/>
    </row>
    <row r="489" spans="2:21" x14ac:dyDescent="0.15">
      <c r="B489" s="62"/>
      <c r="C489" s="62"/>
      <c r="D489" s="62"/>
      <c r="E489" s="62"/>
      <c r="F489" s="62"/>
      <c r="G489" s="62"/>
      <c r="H489" s="62"/>
      <c r="I489" s="62"/>
      <c r="J489" s="62"/>
      <c r="K489" s="62"/>
      <c r="L489" s="62"/>
      <c r="M489" s="62"/>
      <c r="N489" s="62"/>
      <c r="O489" s="62"/>
      <c r="P489" s="62"/>
      <c r="Q489" s="62"/>
      <c r="R489" s="62"/>
      <c r="S489" s="62"/>
      <c r="T489" s="62"/>
      <c r="U489" s="62"/>
    </row>
    <row r="490" spans="2:21" x14ac:dyDescent="0.15">
      <c r="B490" s="62"/>
      <c r="C490" s="62"/>
      <c r="D490" s="62"/>
      <c r="E490" s="62"/>
      <c r="F490" s="62"/>
      <c r="G490" s="62"/>
      <c r="H490" s="62"/>
      <c r="I490" s="62"/>
      <c r="J490" s="62"/>
      <c r="K490" s="62"/>
      <c r="L490" s="62"/>
      <c r="M490" s="62"/>
      <c r="N490" s="62"/>
      <c r="O490" s="62"/>
      <c r="P490" s="62"/>
      <c r="Q490" s="62"/>
      <c r="R490" s="62"/>
      <c r="S490" s="62"/>
      <c r="T490" s="62"/>
      <c r="U490" s="62"/>
    </row>
    <row r="491" spans="2:21" x14ac:dyDescent="0.15">
      <c r="B491" s="62"/>
      <c r="C491" s="62"/>
      <c r="D491" s="62"/>
      <c r="E491" s="62"/>
      <c r="F491" s="62"/>
      <c r="G491" s="62"/>
      <c r="H491" s="62"/>
      <c r="I491" s="62"/>
      <c r="J491" s="62"/>
      <c r="K491" s="62"/>
      <c r="L491" s="62"/>
      <c r="M491" s="62"/>
      <c r="N491" s="62"/>
      <c r="O491" s="62"/>
      <c r="P491" s="62"/>
      <c r="Q491" s="62"/>
      <c r="R491" s="62"/>
      <c r="S491" s="62"/>
      <c r="T491" s="62"/>
      <c r="U491" s="62"/>
    </row>
    <row r="492" spans="2:21" x14ac:dyDescent="0.15">
      <c r="B492" s="62"/>
      <c r="C492" s="62"/>
      <c r="D492" s="62"/>
      <c r="E492" s="62"/>
      <c r="F492" s="62"/>
      <c r="G492" s="62"/>
      <c r="H492" s="62"/>
      <c r="I492" s="62"/>
      <c r="J492" s="62"/>
      <c r="K492" s="62"/>
      <c r="L492" s="62"/>
      <c r="M492" s="62"/>
      <c r="N492" s="62"/>
      <c r="O492" s="62"/>
      <c r="P492" s="62"/>
      <c r="Q492" s="62"/>
      <c r="R492" s="62"/>
      <c r="S492" s="62"/>
      <c r="T492" s="62"/>
      <c r="U492" s="62"/>
    </row>
    <row r="493" spans="2:21" x14ac:dyDescent="0.15">
      <c r="B493" s="62"/>
      <c r="C493" s="62"/>
      <c r="D493" s="62"/>
      <c r="E493" s="62"/>
      <c r="F493" s="62"/>
      <c r="G493" s="62"/>
      <c r="H493" s="62"/>
      <c r="I493" s="62"/>
      <c r="J493" s="62"/>
      <c r="K493" s="62"/>
      <c r="L493" s="62"/>
      <c r="M493" s="62"/>
      <c r="N493" s="62"/>
      <c r="O493" s="62"/>
      <c r="P493" s="62"/>
      <c r="Q493" s="62"/>
      <c r="R493" s="62"/>
      <c r="S493" s="62"/>
      <c r="T493" s="62"/>
      <c r="U493" s="62"/>
    </row>
    <row r="494" spans="2:21" x14ac:dyDescent="0.15">
      <c r="B494" s="62"/>
      <c r="C494" s="62"/>
      <c r="D494" s="62"/>
      <c r="E494" s="62"/>
      <c r="F494" s="62"/>
      <c r="G494" s="62"/>
      <c r="H494" s="62"/>
      <c r="I494" s="62"/>
      <c r="J494" s="62"/>
      <c r="K494" s="62"/>
      <c r="L494" s="62"/>
      <c r="M494" s="62"/>
      <c r="N494" s="62"/>
      <c r="O494" s="62"/>
      <c r="P494" s="62"/>
      <c r="Q494" s="62"/>
      <c r="R494" s="62"/>
      <c r="S494" s="62"/>
      <c r="T494" s="62"/>
      <c r="U494" s="62"/>
    </row>
    <row r="495" spans="2:21" x14ac:dyDescent="0.15">
      <c r="B495" s="62"/>
      <c r="C495" s="62"/>
      <c r="D495" s="62"/>
      <c r="E495" s="62"/>
      <c r="F495" s="62"/>
      <c r="G495" s="62"/>
      <c r="H495" s="62"/>
      <c r="I495" s="62"/>
      <c r="J495" s="62"/>
      <c r="K495" s="62"/>
      <c r="L495" s="62"/>
      <c r="M495" s="62"/>
      <c r="N495" s="62"/>
      <c r="O495" s="62"/>
      <c r="P495" s="62"/>
      <c r="Q495" s="62"/>
      <c r="R495" s="62"/>
      <c r="S495" s="62"/>
      <c r="T495" s="62"/>
      <c r="U495" s="62"/>
    </row>
    <row r="496" spans="2:21" x14ac:dyDescent="0.15">
      <c r="B496" s="62"/>
      <c r="C496" s="62"/>
      <c r="D496" s="62"/>
      <c r="E496" s="62"/>
      <c r="F496" s="62"/>
      <c r="G496" s="62"/>
      <c r="H496" s="62"/>
      <c r="I496" s="62"/>
      <c r="J496" s="62"/>
      <c r="K496" s="62"/>
      <c r="L496" s="62"/>
      <c r="M496" s="62"/>
      <c r="N496" s="62"/>
      <c r="O496" s="62"/>
      <c r="P496" s="62"/>
      <c r="Q496" s="62"/>
      <c r="R496" s="62"/>
      <c r="S496" s="62"/>
      <c r="T496" s="62"/>
      <c r="U496" s="62"/>
    </row>
    <row r="497" spans="2:21" x14ac:dyDescent="0.15">
      <c r="B497" s="62"/>
      <c r="C497" s="62"/>
      <c r="D497" s="62"/>
      <c r="E497" s="62"/>
      <c r="F497" s="62"/>
      <c r="G497" s="62"/>
      <c r="H497" s="62"/>
      <c r="I497" s="62"/>
      <c r="J497" s="62"/>
      <c r="K497" s="62"/>
      <c r="L497" s="62"/>
      <c r="M497" s="62"/>
      <c r="N497" s="62"/>
      <c r="O497" s="62"/>
      <c r="P497" s="62"/>
      <c r="Q497" s="62"/>
      <c r="R497" s="62"/>
      <c r="S497" s="62"/>
      <c r="T497" s="62"/>
      <c r="U497" s="62"/>
    </row>
    <row r="498" spans="2:21" x14ac:dyDescent="0.15">
      <c r="B498" s="62"/>
      <c r="C498" s="62"/>
      <c r="D498" s="62"/>
      <c r="E498" s="62"/>
      <c r="F498" s="62"/>
      <c r="G498" s="62"/>
      <c r="H498" s="62"/>
      <c r="I498" s="62"/>
      <c r="J498" s="62"/>
      <c r="K498" s="62"/>
      <c r="L498" s="62"/>
      <c r="M498" s="62"/>
      <c r="N498" s="62"/>
      <c r="O498" s="62"/>
      <c r="P498" s="62"/>
      <c r="Q498" s="62"/>
      <c r="R498" s="62"/>
      <c r="S498" s="62"/>
      <c r="T498" s="62"/>
      <c r="U498" s="62"/>
    </row>
    <row r="499" spans="2:21" x14ac:dyDescent="0.15">
      <c r="B499" s="62"/>
      <c r="C499" s="62"/>
      <c r="D499" s="62"/>
      <c r="E499" s="62"/>
      <c r="F499" s="62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2"/>
    </row>
    <row r="500" spans="2:21" x14ac:dyDescent="0.15">
      <c r="B500" s="62"/>
      <c r="C500" s="62"/>
      <c r="D500" s="62"/>
      <c r="E500" s="62"/>
      <c r="F500" s="62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2"/>
    </row>
    <row r="501" spans="2:21" x14ac:dyDescent="0.15">
      <c r="B501" s="62"/>
      <c r="C501" s="62"/>
      <c r="D501" s="62"/>
      <c r="E501" s="62"/>
      <c r="F501" s="62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2"/>
    </row>
    <row r="502" spans="2:21" x14ac:dyDescent="0.15">
      <c r="B502" s="62"/>
      <c r="C502" s="62"/>
      <c r="D502" s="62"/>
      <c r="E502" s="62"/>
      <c r="F502" s="62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2"/>
    </row>
    <row r="503" spans="2:21" x14ac:dyDescent="0.15">
      <c r="B503" s="62"/>
      <c r="C503" s="62"/>
      <c r="D503" s="62"/>
      <c r="E503" s="62"/>
      <c r="F503" s="62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2"/>
    </row>
    <row r="504" spans="2:21" x14ac:dyDescent="0.15">
      <c r="B504" s="62"/>
      <c r="C504" s="62"/>
      <c r="D504" s="62"/>
      <c r="E504" s="62"/>
      <c r="F504" s="62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2"/>
    </row>
    <row r="505" spans="2:21" x14ac:dyDescent="0.15">
      <c r="B505" s="62"/>
      <c r="C505" s="62"/>
      <c r="D505" s="62"/>
      <c r="E505" s="62"/>
      <c r="F505" s="62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2"/>
    </row>
    <row r="506" spans="2:21" x14ac:dyDescent="0.15">
      <c r="B506" s="62"/>
      <c r="C506" s="62"/>
      <c r="D506" s="62"/>
      <c r="E506" s="62"/>
      <c r="F506" s="62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2"/>
    </row>
    <row r="507" spans="2:21" x14ac:dyDescent="0.15">
      <c r="B507" s="62"/>
      <c r="C507" s="62"/>
      <c r="D507" s="62"/>
      <c r="E507" s="62"/>
      <c r="F507" s="62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2"/>
    </row>
    <row r="508" spans="2:21" x14ac:dyDescent="0.15">
      <c r="B508" s="62"/>
      <c r="C508" s="62"/>
      <c r="D508" s="62"/>
      <c r="E508" s="62"/>
      <c r="F508" s="62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2"/>
    </row>
    <row r="509" spans="2:21" x14ac:dyDescent="0.15">
      <c r="B509" s="62"/>
      <c r="C509" s="62"/>
      <c r="D509" s="62"/>
      <c r="E509" s="62"/>
      <c r="F509" s="62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2"/>
    </row>
    <row r="510" spans="2:21" x14ac:dyDescent="0.15">
      <c r="B510" s="62"/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2"/>
    </row>
    <row r="511" spans="2:21" x14ac:dyDescent="0.15">
      <c r="B511" s="62"/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2"/>
    </row>
    <row r="512" spans="2:21" x14ac:dyDescent="0.15">
      <c r="B512" s="62"/>
      <c r="C512" s="62"/>
      <c r="D512" s="62"/>
      <c r="E512" s="62"/>
      <c r="F512" s="62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2"/>
    </row>
    <row r="513" spans="2:21" x14ac:dyDescent="0.15">
      <c r="B513" s="62"/>
      <c r="C513" s="62"/>
      <c r="D513" s="62"/>
      <c r="E513" s="62"/>
      <c r="F513" s="62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2"/>
    </row>
    <row r="514" spans="2:21" x14ac:dyDescent="0.15">
      <c r="B514" s="62"/>
      <c r="C514" s="62"/>
      <c r="D514" s="62"/>
      <c r="E514" s="62"/>
      <c r="F514" s="62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2"/>
    </row>
    <row r="515" spans="2:21" x14ac:dyDescent="0.15">
      <c r="B515" s="62"/>
      <c r="C515" s="62"/>
      <c r="D515" s="62"/>
      <c r="E515" s="62"/>
      <c r="F515" s="62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2"/>
    </row>
    <row r="516" spans="2:21" x14ac:dyDescent="0.15">
      <c r="B516" s="62"/>
      <c r="C516" s="62"/>
      <c r="D516" s="62"/>
      <c r="E516" s="62"/>
      <c r="F516" s="62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2"/>
    </row>
    <row r="517" spans="2:21" x14ac:dyDescent="0.15">
      <c r="B517" s="62"/>
      <c r="C517" s="62"/>
      <c r="D517" s="62"/>
      <c r="E517" s="62"/>
      <c r="F517" s="62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2"/>
    </row>
    <row r="518" spans="2:21" x14ac:dyDescent="0.15">
      <c r="B518" s="62"/>
      <c r="C518" s="62"/>
      <c r="D518" s="62"/>
      <c r="E518" s="62"/>
      <c r="F518" s="62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2"/>
    </row>
    <row r="519" spans="2:21" x14ac:dyDescent="0.15">
      <c r="B519" s="62"/>
      <c r="C519" s="62"/>
      <c r="D519" s="62"/>
      <c r="E519" s="62"/>
      <c r="F519" s="62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2"/>
    </row>
    <row r="520" spans="2:21" x14ac:dyDescent="0.15">
      <c r="B520" s="62"/>
      <c r="C520" s="62"/>
      <c r="D520" s="62"/>
      <c r="E520" s="62"/>
      <c r="F520" s="62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2"/>
    </row>
    <row r="521" spans="2:21" x14ac:dyDescent="0.15">
      <c r="B521" s="62"/>
      <c r="C521" s="62"/>
      <c r="D521" s="62"/>
      <c r="E521" s="62"/>
      <c r="F521" s="62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2"/>
    </row>
    <row r="522" spans="2:21" x14ac:dyDescent="0.15">
      <c r="B522" s="62"/>
      <c r="C522" s="62"/>
      <c r="D522" s="62"/>
      <c r="E522" s="62"/>
      <c r="F522" s="62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2"/>
    </row>
    <row r="523" spans="2:21" x14ac:dyDescent="0.15">
      <c r="B523" s="62"/>
      <c r="C523" s="62"/>
      <c r="D523" s="62"/>
      <c r="E523" s="62"/>
      <c r="F523" s="62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2"/>
    </row>
    <row r="524" spans="2:21" x14ac:dyDescent="0.15">
      <c r="B524" s="62"/>
      <c r="C524" s="62"/>
      <c r="D524" s="62"/>
      <c r="E524" s="62"/>
      <c r="F524" s="62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2"/>
    </row>
    <row r="525" spans="2:21" x14ac:dyDescent="0.15">
      <c r="B525" s="62"/>
      <c r="C525" s="62"/>
      <c r="D525" s="62"/>
      <c r="E525" s="62"/>
      <c r="F525" s="62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2"/>
    </row>
    <row r="526" spans="2:21" x14ac:dyDescent="0.15">
      <c r="B526" s="62"/>
      <c r="C526" s="62"/>
      <c r="D526" s="62"/>
      <c r="E526" s="62"/>
      <c r="F526" s="62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2"/>
    </row>
    <row r="527" spans="2:21" x14ac:dyDescent="0.15">
      <c r="B527" s="62"/>
      <c r="C527" s="62"/>
      <c r="D527" s="62"/>
      <c r="E527" s="62"/>
      <c r="F527" s="62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2"/>
    </row>
    <row r="528" spans="2:21" x14ac:dyDescent="0.15">
      <c r="B528" s="62"/>
      <c r="C528" s="62"/>
      <c r="D528" s="62"/>
      <c r="E528" s="62"/>
      <c r="F528" s="62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2"/>
    </row>
    <row r="529" spans="2:21" x14ac:dyDescent="0.15">
      <c r="B529" s="62"/>
      <c r="C529" s="62"/>
      <c r="D529" s="62"/>
      <c r="E529" s="62"/>
      <c r="F529" s="62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2"/>
    </row>
    <row r="530" spans="2:21" x14ac:dyDescent="0.15">
      <c r="B530" s="62"/>
      <c r="C530" s="62"/>
      <c r="D530" s="62"/>
      <c r="E530" s="62"/>
      <c r="F530" s="62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2"/>
    </row>
    <row r="531" spans="2:21" x14ac:dyDescent="0.15">
      <c r="B531" s="62"/>
      <c r="C531" s="62"/>
      <c r="D531" s="62"/>
      <c r="E531" s="62"/>
      <c r="F531" s="62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2"/>
    </row>
    <row r="532" spans="2:21" x14ac:dyDescent="0.15">
      <c r="B532" s="62"/>
      <c r="C532" s="62"/>
      <c r="D532" s="62"/>
      <c r="E532" s="62"/>
      <c r="F532" s="62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2"/>
    </row>
    <row r="533" spans="2:21" x14ac:dyDescent="0.15">
      <c r="B533" s="62"/>
      <c r="C533" s="62"/>
      <c r="D533" s="62"/>
      <c r="E533" s="62"/>
      <c r="F533" s="62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2"/>
    </row>
    <row r="534" spans="2:21" x14ac:dyDescent="0.15">
      <c r="B534" s="62"/>
      <c r="C534" s="62"/>
      <c r="D534" s="62"/>
      <c r="E534" s="62"/>
      <c r="F534" s="62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2"/>
    </row>
    <row r="535" spans="2:21" x14ac:dyDescent="0.15">
      <c r="B535" s="62"/>
      <c r="C535" s="62"/>
      <c r="D535" s="62"/>
      <c r="E535" s="62"/>
      <c r="F535" s="62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2"/>
    </row>
    <row r="536" spans="2:21" x14ac:dyDescent="0.15">
      <c r="B536" s="62"/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2"/>
    </row>
    <row r="537" spans="2:21" x14ac:dyDescent="0.15">
      <c r="B537" s="62"/>
      <c r="C537" s="62"/>
      <c r="D537" s="62"/>
      <c r="E537" s="62"/>
      <c r="F537" s="62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2"/>
    </row>
    <row r="538" spans="2:21" x14ac:dyDescent="0.15">
      <c r="B538" s="62"/>
      <c r="C538" s="62"/>
      <c r="D538" s="62"/>
      <c r="E538" s="62"/>
      <c r="F538" s="62"/>
      <c r="G538" s="62"/>
      <c r="H538" s="62"/>
      <c r="I538" s="62"/>
      <c r="J538" s="62"/>
      <c r="K538" s="62"/>
      <c r="L538" s="62"/>
      <c r="M538" s="62"/>
      <c r="N538" s="62"/>
      <c r="O538" s="62"/>
      <c r="P538" s="62"/>
      <c r="Q538" s="62"/>
      <c r="R538" s="62"/>
      <c r="S538" s="62"/>
      <c r="T538" s="62"/>
      <c r="U538" s="62"/>
    </row>
    <row r="539" spans="2:21" x14ac:dyDescent="0.15">
      <c r="B539" s="62"/>
      <c r="C539" s="62"/>
      <c r="D539" s="62"/>
      <c r="E539" s="62"/>
      <c r="F539" s="62"/>
      <c r="G539" s="62"/>
      <c r="H539" s="62"/>
      <c r="I539" s="62"/>
      <c r="J539" s="62"/>
      <c r="K539" s="62"/>
      <c r="L539" s="62"/>
      <c r="M539" s="62"/>
      <c r="N539" s="62"/>
      <c r="O539" s="62"/>
      <c r="P539" s="62"/>
      <c r="Q539" s="62"/>
      <c r="R539" s="62"/>
      <c r="S539" s="62"/>
      <c r="T539" s="62"/>
      <c r="U539" s="62"/>
    </row>
    <row r="540" spans="2:21" x14ac:dyDescent="0.15">
      <c r="B540" s="62"/>
      <c r="C540" s="62"/>
      <c r="D540" s="62"/>
      <c r="E540" s="62"/>
      <c r="F540" s="62"/>
      <c r="G540" s="62"/>
      <c r="H540" s="62"/>
      <c r="I540" s="62"/>
      <c r="J540" s="62"/>
      <c r="K540" s="62"/>
      <c r="L540" s="62"/>
      <c r="M540" s="62"/>
      <c r="N540" s="62"/>
      <c r="O540" s="62"/>
      <c r="P540" s="62"/>
      <c r="Q540" s="62"/>
      <c r="R540" s="62"/>
      <c r="S540" s="62"/>
      <c r="T540" s="62"/>
      <c r="U540" s="62"/>
    </row>
    <row r="541" spans="2:21" x14ac:dyDescent="0.15">
      <c r="B541" s="62"/>
      <c r="C541" s="62"/>
      <c r="D541" s="62"/>
      <c r="E541" s="62"/>
      <c r="F541" s="62"/>
      <c r="G541" s="62"/>
      <c r="H541" s="62"/>
      <c r="I541" s="62"/>
      <c r="J541" s="62"/>
      <c r="K541" s="62"/>
      <c r="L541" s="62"/>
      <c r="M541" s="62"/>
      <c r="N541" s="62"/>
      <c r="O541" s="62"/>
      <c r="P541" s="62"/>
      <c r="Q541" s="62"/>
      <c r="R541" s="62"/>
      <c r="S541" s="62"/>
      <c r="T541" s="62"/>
      <c r="U541" s="62"/>
    </row>
    <row r="542" spans="2:21" x14ac:dyDescent="0.15">
      <c r="B542" s="62"/>
      <c r="C542" s="62"/>
      <c r="D542" s="62"/>
      <c r="E542" s="62"/>
      <c r="F542" s="62"/>
      <c r="G542" s="62"/>
      <c r="H542" s="62"/>
      <c r="I542" s="62"/>
      <c r="J542" s="62"/>
      <c r="K542" s="62"/>
      <c r="L542" s="62"/>
      <c r="M542" s="62"/>
      <c r="N542" s="62"/>
      <c r="O542" s="62"/>
      <c r="P542" s="62"/>
      <c r="Q542" s="62"/>
      <c r="R542" s="62"/>
      <c r="S542" s="62"/>
      <c r="T542" s="62"/>
      <c r="U542" s="62"/>
    </row>
    <row r="543" spans="2:21" x14ac:dyDescent="0.15">
      <c r="B543" s="62"/>
      <c r="C543" s="62"/>
      <c r="D543" s="62"/>
      <c r="E543" s="62"/>
      <c r="F543" s="62"/>
      <c r="G543" s="62"/>
      <c r="H543" s="62"/>
      <c r="I543" s="62"/>
      <c r="J543" s="62"/>
      <c r="K543" s="62"/>
      <c r="L543" s="62"/>
      <c r="M543" s="62"/>
      <c r="N543" s="62"/>
      <c r="O543" s="62"/>
      <c r="P543" s="62"/>
      <c r="Q543" s="62"/>
      <c r="R543" s="62"/>
      <c r="S543" s="62"/>
      <c r="T543" s="62"/>
      <c r="U543" s="62"/>
    </row>
    <row r="544" spans="2:21" x14ac:dyDescent="0.15">
      <c r="B544" s="62"/>
      <c r="C544" s="62"/>
      <c r="D544" s="62"/>
      <c r="E544" s="62"/>
      <c r="F544" s="62"/>
      <c r="G544" s="62"/>
      <c r="H544" s="62"/>
      <c r="I544" s="62"/>
      <c r="J544" s="62"/>
      <c r="K544" s="62"/>
      <c r="L544" s="62"/>
      <c r="M544" s="62"/>
      <c r="N544" s="62"/>
      <c r="O544" s="62"/>
      <c r="P544" s="62"/>
      <c r="Q544" s="62"/>
      <c r="R544" s="62"/>
      <c r="S544" s="62"/>
      <c r="T544" s="62"/>
      <c r="U544" s="62"/>
    </row>
    <row r="545" spans="2:21" x14ac:dyDescent="0.15">
      <c r="B545" s="62"/>
      <c r="C545" s="62"/>
      <c r="D545" s="62"/>
      <c r="E545" s="62"/>
      <c r="F545" s="62"/>
      <c r="G545" s="62"/>
      <c r="H545" s="62"/>
      <c r="I545" s="62"/>
      <c r="J545" s="62"/>
      <c r="K545" s="62"/>
      <c r="L545" s="62"/>
      <c r="M545" s="62"/>
      <c r="N545" s="62"/>
      <c r="O545" s="62"/>
      <c r="P545" s="62"/>
      <c r="Q545" s="62"/>
      <c r="R545" s="62"/>
      <c r="S545" s="62"/>
      <c r="T545" s="62"/>
      <c r="U545" s="62"/>
    </row>
    <row r="546" spans="2:21" x14ac:dyDescent="0.15">
      <c r="B546" s="62"/>
      <c r="C546" s="62"/>
      <c r="D546" s="62"/>
      <c r="E546" s="62"/>
      <c r="F546" s="62"/>
      <c r="G546" s="62"/>
      <c r="H546" s="62"/>
      <c r="I546" s="62"/>
      <c r="J546" s="62"/>
      <c r="K546" s="62"/>
      <c r="L546" s="62"/>
      <c r="M546" s="62"/>
      <c r="N546" s="62"/>
      <c r="O546" s="62"/>
      <c r="P546" s="62"/>
      <c r="Q546" s="62"/>
      <c r="R546" s="62"/>
      <c r="S546" s="62"/>
      <c r="T546" s="62"/>
      <c r="U546" s="62"/>
    </row>
    <row r="547" spans="2:21" x14ac:dyDescent="0.15">
      <c r="B547" s="62"/>
      <c r="C547" s="62"/>
      <c r="D547" s="62"/>
      <c r="E547" s="62"/>
      <c r="F547" s="62"/>
      <c r="G547" s="62"/>
      <c r="H547" s="62"/>
      <c r="I547" s="62"/>
      <c r="J547" s="62"/>
      <c r="K547" s="62"/>
      <c r="L547" s="62"/>
      <c r="M547" s="62"/>
      <c r="N547" s="62"/>
      <c r="O547" s="62"/>
      <c r="P547" s="62"/>
      <c r="Q547" s="62"/>
      <c r="R547" s="62"/>
      <c r="S547" s="62"/>
      <c r="T547" s="62"/>
      <c r="U547" s="62"/>
    </row>
    <row r="548" spans="2:21" x14ac:dyDescent="0.15">
      <c r="B548" s="62"/>
      <c r="C548" s="62"/>
      <c r="D548" s="62"/>
      <c r="E548" s="62"/>
      <c r="F548" s="62"/>
      <c r="G548" s="62"/>
      <c r="H548" s="62"/>
      <c r="I548" s="62"/>
      <c r="J548" s="62"/>
      <c r="K548" s="62"/>
      <c r="L548" s="62"/>
      <c r="M548" s="62"/>
      <c r="N548" s="62"/>
      <c r="O548" s="62"/>
      <c r="P548" s="62"/>
      <c r="Q548" s="62"/>
      <c r="R548" s="62"/>
      <c r="S548" s="62"/>
      <c r="T548" s="62"/>
      <c r="U548" s="62"/>
    </row>
    <row r="549" spans="2:21" x14ac:dyDescent="0.15">
      <c r="B549" s="62"/>
      <c r="C549" s="62"/>
      <c r="D549" s="62"/>
      <c r="E549" s="62"/>
      <c r="F549" s="62"/>
      <c r="G549" s="62"/>
      <c r="H549" s="62"/>
      <c r="I549" s="62"/>
      <c r="J549" s="62"/>
      <c r="K549" s="62"/>
      <c r="L549" s="62"/>
      <c r="M549" s="62"/>
      <c r="N549" s="62"/>
      <c r="O549" s="62"/>
      <c r="P549" s="62"/>
      <c r="Q549" s="62"/>
      <c r="R549" s="62"/>
      <c r="S549" s="62"/>
      <c r="T549" s="62"/>
      <c r="U549" s="62"/>
    </row>
    <row r="550" spans="2:21" x14ac:dyDescent="0.15">
      <c r="B550" s="62"/>
      <c r="C550" s="62"/>
      <c r="D550" s="62"/>
      <c r="E550" s="62"/>
      <c r="F550" s="62"/>
      <c r="G550" s="62"/>
      <c r="H550" s="62"/>
      <c r="I550" s="62"/>
      <c r="J550" s="62"/>
      <c r="K550" s="62"/>
      <c r="L550" s="62"/>
      <c r="M550" s="62"/>
      <c r="N550" s="62"/>
      <c r="O550" s="62"/>
      <c r="P550" s="62"/>
      <c r="Q550" s="62"/>
      <c r="R550" s="62"/>
      <c r="S550" s="62"/>
      <c r="T550" s="62"/>
      <c r="U550" s="62"/>
    </row>
    <row r="551" spans="2:21" x14ac:dyDescent="0.15">
      <c r="B551" s="62"/>
      <c r="C551" s="62"/>
      <c r="D551" s="62"/>
      <c r="E551" s="62"/>
      <c r="F551" s="62"/>
      <c r="G551" s="62"/>
      <c r="H551" s="62"/>
      <c r="I551" s="62"/>
      <c r="J551" s="62"/>
      <c r="K551" s="62"/>
      <c r="L551" s="62"/>
      <c r="M551" s="62"/>
      <c r="N551" s="62"/>
      <c r="O551" s="62"/>
      <c r="P551" s="62"/>
      <c r="Q551" s="62"/>
      <c r="R551" s="62"/>
      <c r="S551" s="62"/>
      <c r="T551" s="62"/>
      <c r="U551" s="62"/>
    </row>
    <row r="552" spans="2:21" x14ac:dyDescent="0.15">
      <c r="B552" s="62"/>
      <c r="C552" s="62"/>
      <c r="D552" s="62"/>
      <c r="E552" s="62"/>
      <c r="F552" s="62"/>
      <c r="G552" s="62"/>
      <c r="H552" s="62"/>
      <c r="I552" s="62"/>
      <c r="J552" s="62"/>
      <c r="K552" s="62"/>
      <c r="L552" s="62"/>
      <c r="M552" s="62"/>
      <c r="N552" s="62"/>
      <c r="O552" s="62"/>
      <c r="P552" s="62"/>
      <c r="Q552" s="62"/>
      <c r="R552" s="62"/>
      <c r="S552" s="62"/>
      <c r="T552" s="62"/>
      <c r="U552" s="62"/>
    </row>
    <row r="553" spans="2:21" x14ac:dyDescent="0.15">
      <c r="B553" s="62"/>
      <c r="C553" s="62"/>
      <c r="D553" s="62"/>
      <c r="E553" s="62"/>
      <c r="F553" s="62"/>
      <c r="G553" s="62"/>
      <c r="H553" s="62"/>
      <c r="I553" s="62"/>
      <c r="J553" s="62"/>
      <c r="K553" s="62"/>
      <c r="L553" s="62"/>
      <c r="M553" s="62"/>
      <c r="N553" s="62"/>
      <c r="O553" s="62"/>
      <c r="P553" s="62"/>
      <c r="Q553" s="62"/>
      <c r="R553" s="62"/>
      <c r="S553" s="62"/>
      <c r="T553" s="62"/>
      <c r="U553" s="62"/>
    </row>
    <row r="554" spans="2:21" x14ac:dyDescent="0.15">
      <c r="B554" s="62"/>
      <c r="C554" s="62"/>
      <c r="D554" s="62"/>
      <c r="E554" s="62"/>
      <c r="F554" s="62"/>
      <c r="G554" s="62"/>
      <c r="H554" s="62"/>
      <c r="I554" s="62"/>
      <c r="J554" s="62"/>
      <c r="K554" s="62"/>
      <c r="L554" s="62"/>
      <c r="M554" s="62"/>
      <c r="N554" s="62"/>
      <c r="O554" s="62"/>
      <c r="P554" s="62"/>
      <c r="Q554" s="62"/>
      <c r="R554" s="62"/>
      <c r="S554" s="62"/>
      <c r="T554" s="62"/>
      <c r="U554" s="62"/>
    </row>
    <row r="555" spans="2:21" x14ac:dyDescent="0.15">
      <c r="B555" s="62"/>
      <c r="C555" s="62"/>
      <c r="D555" s="62"/>
      <c r="E555" s="62"/>
      <c r="F555" s="62"/>
      <c r="G555" s="62"/>
      <c r="H555" s="62"/>
      <c r="I555" s="62"/>
      <c r="J555" s="62"/>
      <c r="K555" s="62"/>
      <c r="L555" s="62"/>
      <c r="M555" s="62"/>
      <c r="N555" s="62"/>
      <c r="O555" s="62"/>
      <c r="P555" s="62"/>
      <c r="Q555" s="62"/>
      <c r="R555" s="62"/>
      <c r="S555" s="62"/>
      <c r="T555" s="62"/>
      <c r="U555" s="62"/>
    </row>
    <row r="556" spans="2:21" x14ac:dyDescent="0.15">
      <c r="B556" s="62"/>
      <c r="C556" s="62"/>
      <c r="D556" s="62"/>
      <c r="E556" s="62"/>
      <c r="F556" s="62"/>
      <c r="G556" s="62"/>
      <c r="H556" s="62"/>
      <c r="I556" s="62"/>
      <c r="J556" s="62"/>
      <c r="K556" s="62"/>
      <c r="L556" s="62"/>
      <c r="M556" s="62"/>
      <c r="N556" s="62"/>
      <c r="O556" s="62"/>
      <c r="P556" s="62"/>
      <c r="Q556" s="62"/>
      <c r="R556" s="62"/>
      <c r="S556" s="62"/>
      <c r="T556" s="62"/>
      <c r="U556" s="62"/>
    </row>
    <row r="557" spans="2:21" x14ac:dyDescent="0.15">
      <c r="B557" s="62"/>
      <c r="C557" s="62"/>
      <c r="D557" s="62"/>
      <c r="E557" s="62"/>
      <c r="F557" s="62"/>
      <c r="G557" s="62"/>
      <c r="H557" s="62"/>
      <c r="I557" s="62"/>
      <c r="J557" s="62"/>
      <c r="K557" s="62"/>
      <c r="L557" s="62"/>
      <c r="M557" s="62"/>
      <c r="N557" s="62"/>
      <c r="O557" s="62"/>
      <c r="P557" s="62"/>
      <c r="Q557" s="62"/>
      <c r="R557" s="62"/>
      <c r="S557" s="62"/>
      <c r="T557" s="62"/>
      <c r="U557" s="62"/>
    </row>
    <row r="558" spans="2:21" x14ac:dyDescent="0.15">
      <c r="B558" s="62"/>
      <c r="C558" s="62"/>
      <c r="D558" s="62"/>
      <c r="E558" s="62"/>
      <c r="F558" s="62"/>
      <c r="G558" s="62"/>
      <c r="H558" s="62"/>
      <c r="I558" s="62"/>
      <c r="J558" s="62"/>
      <c r="K558" s="62"/>
      <c r="L558" s="62"/>
      <c r="M558" s="62"/>
      <c r="N558" s="62"/>
      <c r="O558" s="62"/>
      <c r="P558" s="62"/>
      <c r="Q558" s="62"/>
      <c r="R558" s="62"/>
      <c r="S558" s="62"/>
      <c r="T558" s="62"/>
      <c r="U558" s="62"/>
    </row>
    <row r="559" spans="2:21" x14ac:dyDescent="0.15">
      <c r="B559" s="62"/>
      <c r="C559" s="62"/>
      <c r="D559" s="62"/>
      <c r="E559" s="62"/>
      <c r="F559" s="62"/>
      <c r="G559" s="62"/>
      <c r="H559" s="62"/>
      <c r="I559" s="62"/>
      <c r="J559" s="62"/>
      <c r="K559" s="62"/>
      <c r="L559" s="62"/>
      <c r="M559" s="62"/>
      <c r="N559" s="62"/>
      <c r="O559" s="62"/>
      <c r="P559" s="62"/>
      <c r="Q559" s="62"/>
      <c r="R559" s="62"/>
      <c r="S559" s="62"/>
      <c r="T559" s="62"/>
      <c r="U559" s="62"/>
    </row>
    <row r="560" spans="2:21" x14ac:dyDescent="0.15">
      <c r="B560" s="62"/>
      <c r="C560" s="62"/>
      <c r="D560" s="62"/>
      <c r="E560" s="62"/>
      <c r="F560" s="62"/>
      <c r="G560" s="62"/>
      <c r="H560" s="62"/>
      <c r="I560" s="62"/>
      <c r="J560" s="62"/>
      <c r="K560" s="62"/>
      <c r="L560" s="62"/>
      <c r="M560" s="62"/>
      <c r="N560" s="62"/>
      <c r="O560" s="62"/>
      <c r="P560" s="62"/>
      <c r="Q560" s="62"/>
      <c r="R560" s="62"/>
      <c r="S560" s="62"/>
      <c r="T560" s="62"/>
      <c r="U560" s="62"/>
    </row>
    <row r="561" spans="2:21" x14ac:dyDescent="0.15">
      <c r="B561" s="62"/>
      <c r="C561" s="62"/>
      <c r="D561" s="62"/>
      <c r="E561" s="62"/>
      <c r="F561" s="62"/>
      <c r="G561" s="62"/>
      <c r="H561" s="62"/>
      <c r="I561" s="62"/>
      <c r="J561" s="62"/>
      <c r="K561" s="62"/>
      <c r="L561" s="62"/>
      <c r="M561" s="62"/>
      <c r="N561" s="62"/>
      <c r="O561" s="62"/>
      <c r="P561" s="62"/>
      <c r="Q561" s="62"/>
      <c r="R561" s="62"/>
      <c r="S561" s="62"/>
      <c r="T561" s="62"/>
      <c r="U561" s="62"/>
    </row>
    <row r="562" spans="2:21" x14ac:dyDescent="0.15">
      <c r="B562" s="62"/>
      <c r="C562" s="62"/>
      <c r="D562" s="62"/>
      <c r="E562" s="62"/>
      <c r="F562" s="62"/>
      <c r="G562" s="62"/>
      <c r="H562" s="62"/>
      <c r="I562" s="62"/>
      <c r="J562" s="62"/>
      <c r="K562" s="62"/>
      <c r="L562" s="62"/>
      <c r="M562" s="62"/>
      <c r="N562" s="62"/>
      <c r="O562" s="62"/>
      <c r="P562" s="62"/>
      <c r="Q562" s="62"/>
      <c r="R562" s="62"/>
      <c r="S562" s="62"/>
      <c r="T562" s="62"/>
      <c r="U562" s="62"/>
    </row>
    <row r="563" spans="2:21" x14ac:dyDescent="0.15">
      <c r="B563" s="62"/>
      <c r="C563" s="62"/>
      <c r="D563" s="62"/>
      <c r="E563" s="62"/>
      <c r="F563" s="62"/>
      <c r="G563" s="62"/>
      <c r="H563" s="62"/>
      <c r="I563" s="62"/>
      <c r="J563" s="62"/>
      <c r="K563" s="62"/>
      <c r="L563" s="62"/>
      <c r="M563" s="62"/>
      <c r="N563" s="62"/>
      <c r="O563" s="62"/>
      <c r="P563" s="62"/>
      <c r="Q563" s="62"/>
      <c r="R563" s="62"/>
      <c r="S563" s="62"/>
      <c r="T563" s="62"/>
      <c r="U563" s="62"/>
    </row>
    <row r="564" spans="2:21" x14ac:dyDescent="0.15">
      <c r="B564" s="62"/>
      <c r="C564" s="62"/>
      <c r="D564" s="62"/>
      <c r="E564" s="62"/>
      <c r="F564" s="62"/>
      <c r="G564" s="62"/>
      <c r="H564" s="62"/>
      <c r="I564" s="62"/>
      <c r="J564" s="62"/>
      <c r="K564" s="62"/>
      <c r="L564" s="62"/>
      <c r="M564" s="62"/>
      <c r="N564" s="62"/>
      <c r="O564" s="62"/>
      <c r="P564" s="62"/>
      <c r="Q564" s="62"/>
      <c r="R564" s="62"/>
      <c r="S564" s="62"/>
      <c r="T564" s="62"/>
      <c r="U564" s="62"/>
    </row>
    <row r="565" spans="2:21" x14ac:dyDescent="0.15">
      <c r="B565" s="62"/>
      <c r="C565" s="62"/>
      <c r="D565" s="62"/>
      <c r="E565" s="62"/>
      <c r="F565" s="62"/>
      <c r="G565" s="62"/>
      <c r="H565" s="62"/>
      <c r="I565" s="62"/>
      <c r="J565" s="62"/>
      <c r="K565" s="62"/>
      <c r="L565" s="62"/>
      <c r="M565" s="62"/>
      <c r="N565" s="62"/>
      <c r="O565" s="62"/>
      <c r="P565" s="62"/>
      <c r="Q565" s="62"/>
      <c r="R565" s="62"/>
      <c r="S565" s="62"/>
      <c r="T565" s="62"/>
      <c r="U565" s="62"/>
    </row>
    <row r="566" spans="2:21" x14ac:dyDescent="0.15">
      <c r="B566" s="62"/>
      <c r="C566" s="62"/>
      <c r="D566" s="62"/>
      <c r="E566" s="62"/>
      <c r="F566" s="62"/>
      <c r="G566" s="62"/>
      <c r="H566" s="62"/>
      <c r="I566" s="62"/>
      <c r="J566" s="62"/>
      <c r="K566" s="62"/>
      <c r="L566" s="62"/>
      <c r="M566" s="62"/>
      <c r="N566" s="62"/>
      <c r="O566" s="62"/>
      <c r="P566" s="62"/>
      <c r="Q566" s="62"/>
      <c r="R566" s="62"/>
      <c r="S566" s="62"/>
      <c r="T566" s="62"/>
      <c r="U566" s="62"/>
    </row>
    <row r="567" spans="2:21" x14ac:dyDescent="0.15">
      <c r="B567" s="62"/>
      <c r="C567" s="62"/>
      <c r="D567" s="62"/>
      <c r="E567" s="62"/>
      <c r="F567" s="62"/>
      <c r="G567" s="62"/>
      <c r="H567" s="62"/>
      <c r="I567" s="62"/>
      <c r="J567" s="62"/>
      <c r="K567" s="62"/>
      <c r="L567" s="62"/>
      <c r="M567" s="62"/>
      <c r="N567" s="62"/>
      <c r="O567" s="62"/>
      <c r="P567" s="62"/>
      <c r="Q567" s="62"/>
      <c r="R567" s="62"/>
      <c r="S567" s="62"/>
      <c r="T567" s="62"/>
      <c r="U567" s="62"/>
    </row>
    <row r="568" spans="2:21" x14ac:dyDescent="0.15">
      <c r="B568" s="62"/>
      <c r="C568" s="62"/>
      <c r="D568" s="62"/>
      <c r="E568" s="62"/>
      <c r="F568" s="62"/>
      <c r="G568" s="62"/>
      <c r="H568" s="62"/>
      <c r="I568" s="62"/>
      <c r="J568" s="62"/>
      <c r="K568" s="62"/>
      <c r="L568" s="62"/>
      <c r="M568" s="62"/>
      <c r="N568" s="62"/>
      <c r="O568" s="62"/>
      <c r="P568" s="62"/>
      <c r="Q568" s="62"/>
      <c r="R568" s="62"/>
      <c r="S568" s="62"/>
      <c r="T568" s="62"/>
      <c r="U568" s="62"/>
    </row>
    <row r="569" spans="2:21" x14ac:dyDescent="0.15">
      <c r="B569" s="62"/>
      <c r="C569" s="62"/>
      <c r="D569" s="62"/>
      <c r="E569" s="62"/>
      <c r="F569" s="62"/>
      <c r="G569" s="62"/>
      <c r="H569" s="62"/>
      <c r="I569" s="62"/>
      <c r="J569" s="62"/>
      <c r="K569" s="62"/>
      <c r="L569" s="62"/>
      <c r="M569" s="62"/>
      <c r="N569" s="62"/>
      <c r="O569" s="62"/>
      <c r="P569" s="62"/>
      <c r="Q569" s="62"/>
      <c r="R569" s="62"/>
      <c r="S569" s="62"/>
      <c r="T569" s="62"/>
      <c r="U569" s="62"/>
    </row>
    <row r="570" spans="2:21" x14ac:dyDescent="0.15">
      <c r="B570" s="62"/>
      <c r="C570" s="62"/>
      <c r="D570" s="62"/>
      <c r="E570" s="62"/>
      <c r="F570" s="62"/>
      <c r="G570" s="62"/>
      <c r="H570" s="62"/>
      <c r="I570" s="62"/>
      <c r="J570" s="62"/>
      <c r="K570" s="62"/>
      <c r="L570" s="62"/>
      <c r="M570" s="62"/>
      <c r="N570" s="62"/>
      <c r="O570" s="62"/>
      <c r="P570" s="62"/>
      <c r="Q570" s="62"/>
      <c r="R570" s="62"/>
      <c r="S570" s="62"/>
      <c r="T570" s="62"/>
      <c r="U570" s="62"/>
    </row>
    <row r="571" spans="2:21" x14ac:dyDescent="0.15">
      <c r="B571" s="62"/>
      <c r="C571" s="62"/>
      <c r="D571" s="62"/>
      <c r="E571" s="62"/>
      <c r="F571" s="62"/>
      <c r="G571" s="62"/>
      <c r="H571" s="62"/>
      <c r="I571" s="62"/>
      <c r="J571" s="62"/>
      <c r="K571" s="62"/>
      <c r="L571" s="62"/>
      <c r="M571" s="62"/>
      <c r="N571" s="62"/>
      <c r="O571" s="62"/>
      <c r="P571" s="62"/>
      <c r="Q571" s="62"/>
      <c r="R571" s="62"/>
      <c r="S571" s="62"/>
      <c r="T571" s="62"/>
      <c r="U571" s="62"/>
    </row>
    <row r="572" spans="2:21" x14ac:dyDescent="0.15">
      <c r="B572" s="62"/>
      <c r="C572" s="62"/>
      <c r="D572" s="62"/>
      <c r="E572" s="62"/>
      <c r="F572" s="62"/>
      <c r="G572" s="62"/>
      <c r="H572" s="62"/>
      <c r="I572" s="62"/>
      <c r="J572" s="62"/>
      <c r="K572" s="62"/>
      <c r="L572" s="62"/>
      <c r="M572" s="62"/>
      <c r="N572" s="62"/>
      <c r="O572" s="62"/>
      <c r="P572" s="62"/>
      <c r="Q572" s="62"/>
      <c r="R572" s="62"/>
      <c r="S572" s="62"/>
      <c r="T572" s="62"/>
      <c r="U572" s="62"/>
    </row>
    <row r="573" spans="2:21" x14ac:dyDescent="0.15">
      <c r="B573" s="62"/>
      <c r="C573" s="62"/>
      <c r="D573" s="62"/>
      <c r="E573" s="62"/>
      <c r="F573" s="62"/>
      <c r="G573" s="62"/>
      <c r="H573" s="62"/>
      <c r="I573" s="62"/>
      <c r="J573" s="62"/>
      <c r="K573" s="62"/>
      <c r="L573" s="62"/>
      <c r="M573" s="62"/>
      <c r="N573" s="62"/>
      <c r="O573" s="62"/>
      <c r="P573" s="62"/>
      <c r="Q573" s="62"/>
      <c r="R573" s="62"/>
      <c r="S573" s="62"/>
      <c r="T573" s="62"/>
      <c r="U573" s="62"/>
    </row>
    <row r="574" spans="2:21" x14ac:dyDescent="0.15">
      <c r="B574" s="62"/>
      <c r="C574" s="62"/>
      <c r="D574" s="62"/>
      <c r="E574" s="62"/>
      <c r="F574" s="62"/>
      <c r="G574" s="62"/>
      <c r="H574" s="62"/>
      <c r="I574" s="62"/>
      <c r="J574" s="62"/>
      <c r="K574" s="62"/>
      <c r="L574" s="62"/>
      <c r="M574" s="62"/>
      <c r="N574" s="62"/>
      <c r="O574" s="62"/>
      <c r="P574" s="62"/>
      <c r="Q574" s="62"/>
      <c r="R574" s="62"/>
      <c r="S574" s="62"/>
      <c r="T574" s="62"/>
      <c r="U574" s="62"/>
    </row>
    <row r="575" spans="2:21" x14ac:dyDescent="0.15">
      <c r="B575" s="62"/>
      <c r="C575" s="62"/>
      <c r="D575" s="62"/>
      <c r="E575" s="62"/>
      <c r="F575" s="62"/>
      <c r="G575" s="62"/>
      <c r="H575" s="62"/>
      <c r="I575" s="62"/>
      <c r="J575" s="62"/>
      <c r="K575" s="62"/>
      <c r="L575" s="62"/>
      <c r="M575" s="62"/>
      <c r="N575" s="62"/>
      <c r="O575" s="62"/>
      <c r="P575" s="62"/>
      <c r="Q575" s="62"/>
      <c r="R575" s="62"/>
      <c r="S575" s="62"/>
      <c r="T575" s="62"/>
      <c r="U575" s="62"/>
    </row>
    <row r="576" spans="2:21" x14ac:dyDescent="0.15">
      <c r="B576" s="62"/>
      <c r="C576" s="62"/>
      <c r="D576" s="62"/>
      <c r="E576" s="62"/>
      <c r="F576" s="62"/>
      <c r="G576" s="62"/>
      <c r="H576" s="62"/>
      <c r="I576" s="62"/>
      <c r="J576" s="62"/>
      <c r="K576" s="62"/>
      <c r="L576" s="62"/>
      <c r="M576" s="62"/>
      <c r="N576" s="62"/>
      <c r="O576" s="62"/>
      <c r="P576" s="62"/>
      <c r="Q576" s="62"/>
      <c r="R576" s="62"/>
      <c r="S576" s="62"/>
      <c r="T576" s="62"/>
      <c r="U576" s="62"/>
    </row>
    <row r="577" spans="2:21" x14ac:dyDescent="0.15">
      <c r="B577" s="62"/>
      <c r="C577" s="62"/>
      <c r="D577" s="62"/>
      <c r="E577" s="62"/>
      <c r="F577" s="62"/>
      <c r="G577" s="62"/>
      <c r="H577" s="62"/>
      <c r="I577" s="62"/>
      <c r="J577" s="62"/>
      <c r="K577" s="62"/>
      <c r="L577" s="62"/>
      <c r="M577" s="62"/>
      <c r="N577" s="62"/>
      <c r="O577" s="62"/>
      <c r="P577" s="62"/>
      <c r="Q577" s="62"/>
      <c r="R577" s="62"/>
      <c r="S577" s="62"/>
      <c r="T577" s="62"/>
      <c r="U577" s="62"/>
    </row>
    <row r="578" spans="2:21" x14ac:dyDescent="0.15">
      <c r="B578" s="62"/>
      <c r="C578" s="62"/>
      <c r="D578" s="62"/>
      <c r="E578" s="62"/>
      <c r="F578" s="62"/>
      <c r="G578" s="62"/>
      <c r="H578" s="62"/>
      <c r="I578" s="62"/>
      <c r="J578" s="62"/>
      <c r="K578" s="62"/>
      <c r="L578" s="62"/>
      <c r="M578" s="62"/>
      <c r="N578" s="62"/>
      <c r="O578" s="62"/>
      <c r="P578" s="62"/>
      <c r="Q578" s="62"/>
      <c r="R578" s="62"/>
      <c r="S578" s="62"/>
      <c r="T578" s="62"/>
      <c r="U578" s="62"/>
    </row>
    <row r="579" spans="2:21" x14ac:dyDescent="0.15">
      <c r="B579" s="62"/>
      <c r="C579" s="62"/>
      <c r="D579" s="62"/>
      <c r="E579" s="62"/>
      <c r="F579" s="62"/>
      <c r="G579" s="62"/>
      <c r="H579" s="62"/>
      <c r="I579" s="62"/>
      <c r="J579" s="62"/>
      <c r="K579" s="62"/>
      <c r="L579" s="62"/>
      <c r="M579" s="62"/>
      <c r="N579" s="62"/>
      <c r="O579" s="62"/>
      <c r="P579" s="62"/>
      <c r="Q579" s="62"/>
      <c r="R579" s="62"/>
      <c r="S579" s="62"/>
      <c r="T579" s="62"/>
      <c r="U579" s="62"/>
    </row>
    <row r="580" spans="2:21" x14ac:dyDescent="0.15">
      <c r="B580" s="62"/>
      <c r="C580" s="62"/>
      <c r="D580" s="62"/>
      <c r="E580" s="62"/>
      <c r="F580" s="62"/>
      <c r="G580" s="62"/>
      <c r="H580" s="62"/>
      <c r="I580" s="62"/>
      <c r="J580" s="62"/>
      <c r="K580" s="62"/>
      <c r="L580" s="62"/>
      <c r="M580" s="62"/>
      <c r="N580" s="62"/>
      <c r="O580" s="62"/>
      <c r="P580" s="62"/>
      <c r="Q580" s="62"/>
      <c r="R580" s="62"/>
      <c r="S580" s="62"/>
      <c r="T580" s="62"/>
      <c r="U580" s="62"/>
    </row>
    <row r="581" spans="2:21" x14ac:dyDescent="0.15">
      <c r="B581" s="62"/>
      <c r="C581" s="62"/>
      <c r="D581" s="62"/>
      <c r="E581" s="62"/>
      <c r="F581" s="62"/>
      <c r="G581" s="62"/>
      <c r="H581" s="62"/>
      <c r="I581" s="62"/>
      <c r="J581" s="62"/>
      <c r="K581" s="62"/>
      <c r="L581" s="62"/>
      <c r="M581" s="62"/>
      <c r="N581" s="62"/>
      <c r="O581" s="62"/>
      <c r="P581" s="62"/>
      <c r="Q581" s="62"/>
      <c r="R581" s="62"/>
      <c r="S581" s="62"/>
      <c r="T581" s="62"/>
      <c r="U581" s="62"/>
    </row>
    <row r="582" spans="2:21" x14ac:dyDescent="0.15">
      <c r="B582" s="62"/>
      <c r="C582" s="62"/>
      <c r="D582" s="62"/>
      <c r="E582" s="62"/>
      <c r="F582" s="62"/>
      <c r="G582" s="62"/>
      <c r="H582" s="62"/>
      <c r="I582" s="62"/>
      <c r="J582" s="62"/>
      <c r="K582" s="62"/>
      <c r="L582" s="62"/>
      <c r="M582" s="62"/>
      <c r="N582" s="62"/>
      <c r="O582" s="62"/>
      <c r="P582" s="62"/>
      <c r="Q582" s="62"/>
      <c r="R582" s="62"/>
      <c r="S582" s="62"/>
      <c r="T582" s="62"/>
      <c r="U582" s="62"/>
    </row>
    <row r="583" spans="2:21" x14ac:dyDescent="0.15">
      <c r="B583" s="62"/>
      <c r="C583" s="62"/>
      <c r="D583" s="62"/>
      <c r="E583" s="62"/>
      <c r="F583" s="62"/>
      <c r="G583" s="62"/>
      <c r="H583" s="62"/>
      <c r="I583" s="62"/>
      <c r="J583" s="62"/>
      <c r="K583" s="62"/>
      <c r="L583" s="62"/>
      <c r="M583" s="62"/>
      <c r="N583" s="62"/>
      <c r="O583" s="62"/>
      <c r="P583" s="62"/>
      <c r="Q583" s="62"/>
      <c r="R583" s="62"/>
      <c r="S583" s="62"/>
      <c r="T583" s="62"/>
      <c r="U583" s="62"/>
    </row>
    <row r="584" spans="2:21" x14ac:dyDescent="0.15">
      <c r="B584" s="62"/>
      <c r="C584" s="62"/>
      <c r="D584" s="62"/>
      <c r="E584" s="62"/>
      <c r="F584" s="62"/>
      <c r="G584" s="62"/>
      <c r="H584" s="62"/>
      <c r="I584" s="62"/>
      <c r="J584" s="62"/>
      <c r="K584" s="62"/>
      <c r="L584" s="62"/>
      <c r="M584" s="62"/>
      <c r="N584" s="62"/>
      <c r="O584" s="62"/>
      <c r="P584" s="62"/>
      <c r="Q584" s="62"/>
      <c r="R584" s="62"/>
      <c r="S584" s="62"/>
      <c r="T584" s="62"/>
      <c r="U584" s="62"/>
    </row>
    <row r="585" spans="2:21" x14ac:dyDescent="0.15">
      <c r="B585" s="62"/>
      <c r="C585" s="62"/>
      <c r="D585" s="62"/>
      <c r="E585" s="62"/>
      <c r="F585" s="62"/>
      <c r="G585" s="62"/>
      <c r="H585" s="62"/>
      <c r="I585" s="62"/>
      <c r="J585" s="62"/>
      <c r="K585" s="62"/>
      <c r="L585" s="62"/>
      <c r="M585" s="62"/>
      <c r="N585" s="62"/>
      <c r="O585" s="62"/>
      <c r="P585" s="62"/>
      <c r="Q585" s="62"/>
      <c r="R585" s="62"/>
      <c r="S585" s="62"/>
      <c r="T585" s="62"/>
      <c r="U585" s="62"/>
    </row>
    <row r="586" spans="2:21" x14ac:dyDescent="0.15">
      <c r="B586" s="62"/>
      <c r="C586" s="62"/>
      <c r="D586" s="62"/>
      <c r="E586" s="62"/>
      <c r="F586" s="62"/>
      <c r="G586" s="62"/>
      <c r="H586" s="62"/>
      <c r="I586" s="62"/>
      <c r="J586" s="62"/>
      <c r="K586" s="62"/>
      <c r="L586" s="62"/>
      <c r="M586" s="62"/>
      <c r="N586" s="62"/>
      <c r="O586" s="62"/>
      <c r="P586" s="62"/>
      <c r="Q586" s="62"/>
      <c r="R586" s="62"/>
      <c r="S586" s="62"/>
      <c r="T586" s="62"/>
      <c r="U586" s="62"/>
    </row>
    <row r="587" spans="2:21" x14ac:dyDescent="0.15">
      <c r="B587" s="62"/>
      <c r="C587" s="62"/>
      <c r="D587" s="62"/>
      <c r="E587" s="62"/>
      <c r="F587" s="62"/>
      <c r="G587" s="62"/>
      <c r="H587" s="62"/>
      <c r="I587" s="62"/>
      <c r="J587" s="62"/>
      <c r="K587" s="62"/>
      <c r="L587" s="62"/>
      <c r="M587" s="62"/>
      <c r="N587" s="62"/>
      <c r="O587" s="62"/>
      <c r="P587" s="62"/>
      <c r="Q587" s="62"/>
      <c r="R587" s="62"/>
      <c r="S587" s="62"/>
      <c r="T587" s="62"/>
      <c r="U587" s="62"/>
    </row>
    <row r="588" spans="2:21" x14ac:dyDescent="0.15">
      <c r="B588" s="62"/>
      <c r="C588" s="62"/>
      <c r="D588" s="62"/>
      <c r="E588" s="62"/>
      <c r="F588" s="62"/>
      <c r="G588" s="62"/>
      <c r="H588" s="62"/>
      <c r="I588" s="62"/>
      <c r="J588" s="62"/>
      <c r="K588" s="62"/>
      <c r="L588" s="62"/>
      <c r="M588" s="62"/>
      <c r="N588" s="62"/>
      <c r="O588" s="62"/>
      <c r="P588" s="62"/>
      <c r="Q588" s="62"/>
      <c r="R588" s="62"/>
      <c r="S588" s="62"/>
      <c r="T588" s="62"/>
      <c r="U588" s="62"/>
    </row>
    <row r="589" spans="2:21" x14ac:dyDescent="0.15">
      <c r="B589" s="62"/>
      <c r="C589" s="62"/>
      <c r="D589" s="62"/>
      <c r="E589" s="62"/>
      <c r="F589" s="62"/>
      <c r="G589" s="62"/>
      <c r="H589" s="62"/>
      <c r="I589" s="62"/>
      <c r="J589" s="62"/>
      <c r="K589" s="62"/>
      <c r="L589" s="62"/>
      <c r="M589" s="62"/>
      <c r="N589" s="62"/>
      <c r="O589" s="62"/>
      <c r="P589" s="62"/>
      <c r="Q589" s="62"/>
      <c r="R589" s="62"/>
      <c r="S589" s="62"/>
      <c r="T589" s="62"/>
      <c r="U589" s="62"/>
    </row>
    <row r="590" spans="2:21" x14ac:dyDescent="0.15">
      <c r="B590" s="62"/>
      <c r="C590" s="62"/>
      <c r="D590" s="62"/>
      <c r="E590" s="62"/>
      <c r="F590" s="62"/>
      <c r="G590" s="62"/>
      <c r="H590" s="62"/>
      <c r="I590" s="62"/>
      <c r="J590" s="62"/>
      <c r="K590" s="62"/>
      <c r="L590" s="62"/>
      <c r="M590" s="62"/>
      <c r="N590" s="62"/>
      <c r="O590" s="62"/>
      <c r="P590" s="62"/>
      <c r="Q590" s="62"/>
      <c r="R590" s="62"/>
      <c r="S590" s="62"/>
      <c r="T590" s="62"/>
      <c r="U590" s="62"/>
    </row>
    <row r="591" spans="2:21" x14ac:dyDescent="0.15">
      <c r="B591" s="62"/>
      <c r="C591" s="62"/>
      <c r="D591" s="62"/>
      <c r="E591" s="62"/>
      <c r="F591" s="62"/>
      <c r="G591" s="62"/>
      <c r="H591" s="62"/>
      <c r="I591" s="62"/>
      <c r="J591" s="62"/>
      <c r="K591" s="62"/>
      <c r="L591" s="62"/>
      <c r="M591" s="62"/>
      <c r="N591" s="62"/>
      <c r="O591" s="62"/>
      <c r="P591" s="62"/>
      <c r="Q591" s="62"/>
      <c r="R591" s="62"/>
      <c r="S591" s="62"/>
      <c r="T591" s="62"/>
      <c r="U591" s="62"/>
    </row>
    <row r="592" spans="2:21" x14ac:dyDescent="0.15">
      <c r="B592" s="62"/>
      <c r="C592" s="62"/>
      <c r="D592" s="62"/>
      <c r="E592" s="62"/>
      <c r="F592" s="62"/>
      <c r="G592" s="62"/>
      <c r="H592" s="62"/>
      <c r="I592" s="62"/>
      <c r="J592" s="62"/>
      <c r="K592" s="62"/>
      <c r="L592" s="62"/>
      <c r="M592" s="62"/>
      <c r="N592" s="62"/>
      <c r="O592" s="62"/>
      <c r="P592" s="62"/>
      <c r="Q592" s="62"/>
      <c r="R592" s="62"/>
      <c r="S592" s="62"/>
      <c r="T592" s="62"/>
      <c r="U592" s="62"/>
    </row>
    <row r="593" spans="2:21" x14ac:dyDescent="0.15">
      <c r="B593" s="62"/>
      <c r="C593" s="62"/>
      <c r="D593" s="62"/>
      <c r="E593" s="62"/>
      <c r="F593" s="62"/>
      <c r="G593" s="62"/>
      <c r="H593" s="62"/>
      <c r="I593" s="62"/>
      <c r="J593" s="62"/>
      <c r="K593" s="62"/>
      <c r="L593" s="62"/>
      <c r="M593" s="62"/>
      <c r="N593" s="62"/>
      <c r="O593" s="62"/>
      <c r="P593" s="62"/>
      <c r="Q593" s="62"/>
      <c r="R593" s="62"/>
      <c r="S593" s="62"/>
      <c r="T593" s="62"/>
      <c r="U593" s="62"/>
    </row>
    <row r="594" spans="2:21" x14ac:dyDescent="0.15">
      <c r="B594" s="62"/>
      <c r="C594" s="62"/>
      <c r="D594" s="62"/>
      <c r="E594" s="62"/>
      <c r="F594" s="62"/>
      <c r="G594" s="62"/>
      <c r="H594" s="62"/>
      <c r="I594" s="62"/>
      <c r="J594" s="62"/>
      <c r="K594" s="62"/>
      <c r="L594" s="62"/>
      <c r="M594" s="62"/>
      <c r="N594" s="62"/>
      <c r="O594" s="62"/>
      <c r="P594" s="62"/>
      <c r="Q594" s="62"/>
      <c r="R594" s="62"/>
      <c r="S594" s="62"/>
      <c r="T594" s="62"/>
      <c r="U594" s="62"/>
    </row>
    <row r="595" spans="2:21" x14ac:dyDescent="0.15">
      <c r="B595" s="62"/>
      <c r="C595" s="62"/>
      <c r="D595" s="62"/>
      <c r="E595" s="62"/>
      <c r="F595" s="62"/>
      <c r="G595" s="62"/>
      <c r="H595" s="62"/>
      <c r="I595" s="62"/>
      <c r="J595" s="62"/>
      <c r="K595" s="62"/>
      <c r="L595" s="62"/>
      <c r="M595" s="62"/>
      <c r="N595" s="62"/>
      <c r="O595" s="62"/>
      <c r="P595" s="62"/>
      <c r="Q595" s="62"/>
      <c r="R595" s="62"/>
      <c r="S595" s="62"/>
      <c r="T595" s="62"/>
      <c r="U595" s="62"/>
    </row>
    <row r="596" spans="2:21" x14ac:dyDescent="0.15">
      <c r="B596" s="62"/>
      <c r="C596" s="62"/>
      <c r="D596" s="62"/>
      <c r="E596" s="62"/>
      <c r="F596" s="62"/>
      <c r="G596" s="62"/>
      <c r="H596" s="62"/>
      <c r="I596" s="62"/>
      <c r="J596" s="62"/>
      <c r="K596" s="62"/>
      <c r="L596" s="62"/>
      <c r="M596" s="62"/>
      <c r="N596" s="62"/>
      <c r="O596" s="62"/>
      <c r="P596" s="62"/>
      <c r="Q596" s="62"/>
      <c r="R596" s="62"/>
      <c r="S596" s="62"/>
      <c r="T596" s="62"/>
      <c r="U596" s="62"/>
    </row>
    <row r="597" spans="2:21" x14ac:dyDescent="0.15">
      <c r="B597" s="62"/>
      <c r="C597" s="62"/>
      <c r="D597" s="62"/>
      <c r="E597" s="62"/>
      <c r="F597" s="62"/>
      <c r="G597" s="62"/>
      <c r="H597" s="62"/>
      <c r="I597" s="62"/>
      <c r="J597" s="62"/>
      <c r="K597" s="62"/>
      <c r="L597" s="62"/>
      <c r="M597" s="62"/>
      <c r="N597" s="62"/>
      <c r="O597" s="62"/>
      <c r="P597" s="62"/>
      <c r="Q597" s="62"/>
      <c r="R597" s="62"/>
      <c r="S597" s="62"/>
      <c r="T597" s="62"/>
      <c r="U597" s="62"/>
    </row>
    <row r="598" spans="2:21" x14ac:dyDescent="0.15">
      <c r="B598" s="62"/>
      <c r="C598" s="62"/>
      <c r="D598" s="62"/>
      <c r="E598" s="62"/>
      <c r="F598" s="62"/>
      <c r="G598" s="62"/>
      <c r="H598" s="62"/>
      <c r="I598" s="62"/>
      <c r="J598" s="62"/>
      <c r="K598" s="62"/>
      <c r="L598" s="62"/>
      <c r="M598" s="62"/>
      <c r="N598" s="62"/>
      <c r="O598" s="62"/>
      <c r="P598" s="62"/>
      <c r="Q598" s="62"/>
      <c r="R598" s="62"/>
      <c r="S598" s="62"/>
      <c r="T598" s="62"/>
      <c r="U598" s="62"/>
    </row>
    <row r="599" spans="2:21" x14ac:dyDescent="0.15">
      <c r="B599" s="62"/>
      <c r="C599" s="62"/>
      <c r="D599" s="62"/>
      <c r="E599" s="62"/>
      <c r="F599" s="62"/>
      <c r="G599" s="62"/>
      <c r="H599" s="62"/>
      <c r="I599" s="62"/>
      <c r="J599" s="62"/>
      <c r="K599" s="62"/>
      <c r="L599" s="62"/>
      <c r="M599" s="62"/>
      <c r="N599" s="62"/>
      <c r="O599" s="62"/>
      <c r="P599" s="62"/>
      <c r="Q599" s="62"/>
      <c r="R599" s="62"/>
      <c r="S599" s="62"/>
      <c r="T599" s="62"/>
      <c r="U599" s="62"/>
    </row>
    <row r="600" spans="2:21" x14ac:dyDescent="0.15">
      <c r="B600" s="62"/>
      <c r="C600" s="62"/>
      <c r="D600" s="62"/>
      <c r="E600" s="62"/>
      <c r="F600" s="62"/>
      <c r="G600" s="62"/>
      <c r="H600" s="62"/>
      <c r="I600" s="62"/>
      <c r="J600" s="62"/>
      <c r="K600" s="62"/>
      <c r="L600" s="62"/>
      <c r="M600" s="62"/>
      <c r="N600" s="62"/>
      <c r="O600" s="62"/>
      <c r="P600" s="62"/>
      <c r="Q600" s="62"/>
      <c r="R600" s="62"/>
      <c r="S600" s="62"/>
      <c r="T600" s="62"/>
      <c r="U600" s="62"/>
    </row>
    <row r="601" spans="2:21" x14ac:dyDescent="0.15">
      <c r="B601" s="62"/>
      <c r="C601" s="62"/>
      <c r="D601" s="62"/>
      <c r="E601" s="62"/>
      <c r="F601" s="62"/>
      <c r="G601" s="62"/>
      <c r="H601" s="62"/>
      <c r="I601" s="62"/>
      <c r="J601" s="62"/>
      <c r="K601" s="62"/>
      <c r="L601" s="62"/>
      <c r="M601" s="62"/>
      <c r="N601" s="62"/>
      <c r="O601" s="62"/>
      <c r="P601" s="62"/>
      <c r="Q601" s="62"/>
      <c r="R601" s="62"/>
      <c r="S601" s="62"/>
      <c r="T601" s="62"/>
      <c r="U601" s="62"/>
    </row>
    <row r="602" spans="2:21" x14ac:dyDescent="0.15">
      <c r="B602" s="62"/>
      <c r="C602" s="62"/>
      <c r="D602" s="62"/>
      <c r="E602" s="62"/>
      <c r="F602" s="62"/>
      <c r="G602" s="62"/>
      <c r="H602" s="62"/>
      <c r="I602" s="62"/>
      <c r="J602" s="62"/>
      <c r="K602" s="62"/>
      <c r="L602" s="62"/>
      <c r="M602" s="62"/>
      <c r="N602" s="62"/>
      <c r="O602" s="62"/>
      <c r="P602" s="62"/>
      <c r="Q602" s="62"/>
      <c r="R602" s="62"/>
      <c r="S602" s="62"/>
      <c r="T602" s="62"/>
      <c r="U602" s="62"/>
    </row>
    <row r="603" spans="2:21" x14ac:dyDescent="0.15">
      <c r="B603" s="62"/>
      <c r="C603" s="62"/>
      <c r="D603" s="62"/>
      <c r="E603" s="62"/>
      <c r="F603" s="62"/>
      <c r="G603" s="62"/>
      <c r="H603" s="62"/>
      <c r="I603" s="62"/>
      <c r="J603" s="62"/>
      <c r="K603" s="62"/>
      <c r="L603" s="62"/>
      <c r="M603" s="62"/>
      <c r="N603" s="62"/>
      <c r="O603" s="62"/>
      <c r="P603" s="62"/>
      <c r="Q603" s="62"/>
      <c r="R603" s="62"/>
      <c r="S603" s="62"/>
      <c r="T603" s="62"/>
      <c r="U603" s="62"/>
    </row>
    <row r="604" spans="2:21" x14ac:dyDescent="0.15">
      <c r="B604" s="62"/>
      <c r="C604" s="62"/>
      <c r="D604" s="62"/>
      <c r="E604" s="62"/>
      <c r="F604" s="62"/>
      <c r="G604" s="62"/>
      <c r="H604" s="62"/>
      <c r="I604" s="62"/>
      <c r="J604" s="62"/>
      <c r="K604" s="62"/>
      <c r="L604" s="62"/>
      <c r="M604" s="62"/>
      <c r="N604" s="62"/>
      <c r="O604" s="62"/>
      <c r="P604" s="62"/>
      <c r="Q604" s="62"/>
      <c r="R604" s="62"/>
      <c r="S604" s="62"/>
      <c r="T604" s="62"/>
      <c r="U604" s="62"/>
    </row>
  </sheetData>
  <mergeCells count="151">
    <mergeCell ref="W32:Y32"/>
    <mergeCell ref="W62:Y62"/>
    <mergeCell ref="B89:B91"/>
    <mergeCell ref="C89:C91"/>
    <mergeCell ref="D89:D91"/>
    <mergeCell ref="E89:E91"/>
    <mergeCell ref="G89:G91"/>
    <mergeCell ref="B86:B88"/>
    <mergeCell ref="C86:C88"/>
    <mergeCell ref="D86:D88"/>
    <mergeCell ref="E86:E88"/>
    <mergeCell ref="G86:G88"/>
    <mergeCell ref="B83:B85"/>
    <mergeCell ref="C83:C85"/>
    <mergeCell ref="D83:D85"/>
    <mergeCell ref="E83:E85"/>
    <mergeCell ref="G83:G85"/>
    <mergeCell ref="B80:B82"/>
    <mergeCell ref="C80:C82"/>
    <mergeCell ref="D80:D82"/>
    <mergeCell ref="E80:E82"/>
    <mergeCell ref="G80:G82"/>
    <mergeCell ref="B77:B79"/>
    <mergeCell ref="C77:C79"/>
    <mergeCell ref="D77:D79"/>
    <mergeCell ref="E77:E79"/>
    <mergeCell ref="G77:G79"/>
    <mergeCell ref="B74:B76"/>
    <mergeCell ref="C74:C76"/>
    <mergeCell ref="D74:D76"/>
    <mergeCell ref="E74:E76"/>
    <mergeCell ref="G74:G76"/>
    <mergeCell ref="B71:B73"/>
    <mergeCell ref="C71:C73"/>
    <mergeCell ref="D71:D73"/>
    <mergeCell ref="E71:E73"/>
    <mergeCell ref="G71:G73"/>
    <mergeCell ref="B68:B70"/>
    <mergeCell ref="C68:C70"/>
    <mergeCell ref="D68:D70"/>
    <mergeCell ref="E68:E70"/>
    <mergeCell ref="G68:G70"/>
    <mergeCell ref="B65:B67"/>
    <mergeCell ref="C65:C67"/>
    <mergeCell ref="D65:D67"/>
    <mergeCell ref="E65:E67"/>
    <mergeCell ref="G65:G67"/>
    <mergeCell ref="C50:C52"/>
    <mergeCell ref="D50:D52"/>
    <mergeCell ref="E50:E52"/>
    <mergeCell ref="G50:G52"/>
    <mergeCell ref="B59:B61"/>
    <mergeCell ref="C59:C61"/>
    <mergeCell ref="D59:D61"/>
    <mergeCell ref="E59:E61"/>
    <mergeCell ref="G59:G61"/>
    <mergeCell ref="B56:B58"/>
    <mergeCell ref="C56:C58"/>
    <mergeCell ref="D56:D58"/>
    <mergeCell ref="E56:E58"/>
    <mergeCell ref="G56:G58"/>
    <mergeCell ref="B29:B31"/>
    <mergeCell ref="C29:C31"/>
    <mergeCell ref="D29:D31"/>
    <mergeCell ref="E29:E31"/>
    <mergeCell ref="G29:G31"/>
    <mergeCell ref="B47:B49"/>
    <mergeCell ref="C47:C49"/>
    <mergeCell ref="D47:D49"/>
    <mergeCell ref="E47:E49"/>
    <mergeCell ref="G47:G49"/>
    <mergeCell ref="B44:B46"/>
    <mergeCell ref="C44:C46"/>
    <mergeCell ref="D44:D46"/>
    <mergeCell ref="E44:E46"/>
    <mergeCell ref="G44:G46"/>
    <mergeCell ref="B26:B28"/>
    <mergeCell ref="C26:C28"/>
    <mergeCell ref="D26:D28"/>
    <mergeCell ref="E26:E28"/>
    <mergeCell ref="G26:G28"/>
    <mergeCell ref="B23:B25"/>
    <mergeCell ref="C23:C25"/>
    <mergeCell ref="D23:D25"/>
    <mergeCell ref="E23:E25"/>
    <mergeCell ref="G23:G25"/>
    <mergeCell ref="E14:E16"/>
    <mergeCell ref="G14:G16"/>
    <mergeCell ref="B11:B13"/>
    <mergeCell ref="C11:C13"/>
    <mergeCell ref="D11:D13"/>
    <mergeCell ref="E11:E13"/>
    <mergeCell ref="G11:G13"/>
    <mergeCell ref="B20:B22"/>
    <mergeCell ref="C20:C22"/>
    <mergeCell ref="D20:D22"/>
    <mergeCell ref="E20:E22"/>
    <mergeCell ref="G20:G22"/>
    <mergeCell ref="B17:B19"/>
    <mergeCell ref="C17:C19"/>
    <mergeCell ref="D17:D19"/>
    <mergeCell ref="E17:E19"/>
    <mergeCell ref="G17:G19"/>
    <mergeCell ref="A1:U1"/>
    <mergeCell ref="B2:U2"/>
    <mergeCell ref="Z2:AA2"/>
    <mergeCell ref="H3:J3"/>
    <mergeCell ref="K3:M3"/>
    <mergeCell ref="W2:Y2"/>
    <mergeCell ref="B32:U32"/>
    <mergeCell ref="H33:J33"/>
    <mergeCell ref="K33:M33"/>
    <mergeCell ref="B8:B10"/>
    <mergeCell ref="C8:C10"/>
    <mergeCell ref="D8:D10"/>
    <mergeCell ref="E8:E10"/>
    <mergeCell ref="G8:G10"/>
    <mergeCell ref="H4:J4"/>
    <mergeCell ref="K4:M4"/>
    <mergeCell ref="B5:B7"/>
    <mergeCell ref="C5:C7"/>
    <mergeCell ref="D5:D7"/>
    <mergeCell ref="E5:E7"/>
    <mergeCell ref="G5:G7"/>
    <mergeCell ref="B14:B16"/>
    <mergeCell ref="C14:C16"/>
    <mergeCell ref="D14:D16"/>
    <mergeCell ref="B62:U62"/>
    <mergeCell ref="H63:J63"/>
    <mergeCell ref="K63:M63"/>
    <mergeCell ref="B35:B37"/>
    <mergeCell ref="C35:C37"/>
    <mergeCell ref="D35:D37"/>
    <mergeCell ref="E35:E37"/>
    <mergeCell ref="G35:G37"/>
    <mergeCell ref="B38:B40"/>
    <mergeCell ref="C38:C40"/>
    <mergeCell ref="D38:D40"/>
    <mergeCell ref="E38:E40"/>
    <mergeCell ref="G38:G40"/>
    <mergeCell ref="B41:B43"/>
    <mergeCell ref="C41:C43"/>
    <mergeCell ref="D41:D43"/>
    <mergeCell ref="E41:E43"/>
    <mergeCell ref="G41:G43"/>
    <mergeCell ref="B53:B55"/>
    <mergeCell ref="C53:C55"/>
    <mergeCell ref="D53:D55"/>
    <mergeCell ref="E53:E55"/>
    <mergeCell ref="G53:G55"/>
    <mergeCell ref="B50:B5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AED31B-3F63-4AD4-9F6D-B4C711341C03}">
  <ds:schemaRefs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bb877b61-73df-4c71-aa42-e1c67dd7a708"/>
  </ds:schemaRefs>
</ds:datastoreItem>
</file>

<file path=customXml/itemProps2.xml><?xml version="1.0" encoding="utf-8"?>
<ds:datastoreItem xmlns:ds="http://schemas.openxmlformats.org/officeDocument/2006/customXml" ds:itemID="{0C11A1A2-EE2B-41C4-BF79-322443446D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593D27-544A-4A45-91B3-E762B03016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Information Sheet</vt:lpstr>
      <vt:lpstr>Growth curves CeBER</vt:lpstr>
      <vt:lpstr>Growth curves UTEX #1926</vt:lpstr>
      <vt:lpstr>C-phycocyanin CeBER</vt:lpstr>
      <vt:lpstr>C-phycocyanin UTEX #1926</vt:lpstr>
      <vt:lpstr>Nitrate content CeBER</vt:lpstr>
      <vt:lpstr>Nitrate content UTEX #1926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Karen Ssekimpi</dc:creator>
  <cp:keywords/>
  <dc:description/>
  <cp:lastModifiedBy>Karen Ssekimpi</cp:lastModifiedBy>
  <cp:revision/>
  <dcterms:created xsi:type="dcterms:W3CDTF">2022-03-23T18:08:52Z</dcterms:created>
  <dcterms:modified xsi:type="dcterms:W3CDTF">2023-04-02T19:31:34Z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