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ren/Desktop/Thesis/Excel for submission/"/>
    </mc:Choice>
  </mc:AlternateContent>
  <xr:revisionPtr revIDLastSave="0" documentId="13_ncr:1_{97DCA0C8-2F32-5C46-B74C-781B9885E0CA}" xr6:coauthVersionLast="47" xr6:coauthVersionMax="47" xr10:uidLastSave="{00000000-0000-0000-0000-000000000000}"/>
  <bookViews>
    <workbookView xWindow="0" yWindow="500" windowWidth="25600" windowHeight="14260" xr2:uid="{00000000-000D-0000-FFFF-FFFF00000000}"/>
  </bookViews>
  <sheets>
    <sheet name="Information Sheet" sheetId="30" r:id="rId1"/>
    <sheet name="Growth curves CeBER" sheetId="31" r:id="rId2"/>
    <sheet name="Growth curves UTEX #1926" sheetId="32" r:id="rId3"/>
    <sheet name="C-phycocyanin CeBER" sheetId="7" r:id="rId4"/>
    <sheet name="C-phycocyanin UTEX #1926" sheetId="35" r:id="rId5"/>
    <sheet name="Nitrate content CeBER" sheetId="13" r:id="rId6"/>
    <sheet name="Nitrate content UTEX #1926" sheetId="34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4" i="35" l="1"/>
  <c r="M114" i="35"/>
  <c r="L115" i="35"/>
  <c r="M115" i="35"/>
  <c r="L116" i="35"/>
  <c r="M116" i="35"/>
  <c r="L117" i="35"/>
  <c r="M117" i="35"/>
  <c r="L118" i="35"/>
  <c r="M118" i="35"/>
  <c r="L119" i="35"/>
  <c r="M119" i="35"/>
  <c r="L120" i="35"/>
  <c r="M120" i="35"/>
  <c r="L121" i="35"/>
  <c r="M121" i="35"/>
  <c r="L122" i="35"/>
  <c r="M122" i="35"/>
  <c r="L123" i="35"/>
  <c r="M123" i="35"/>
  <c r="L124" i="35"/>
  <c r="M124" i="35"/>
  <c r="L125" i="35"/>
  <c r="M125" i="35"/>
  <c r="L126" i="35"/>
  <c r="M126" i="35"/>
  <c r="L127" i="35"/>
  <c r="M127" i="35"/>
  <c r="L128" i="35"/>
  <c r="M128" i="35"/>
  <c r="L129" i="35"/>
  <c r="M129" i="35"/>
  <c r="L130" i="35"/>
  <c r="M130" i="35"/>
  <c r="L131" i="35"/>
  <c r="M131" i="35"/>
  <c r="L132" i="35"/>
  <c r="M132" i="35"/>
  <c r="L133" i="35"/>
  <c r="M133" i="35"/>
  <c r="L134" i="35"/>
  <c r="M134" i="35"/>
  <c r="L135" i="35"/>
  <c r="M135" i="35"/>
  <c r="L136" i="35"/>
  <c r="M136" i="35"/>
  <c r="L137" i="35"/>
  <c r="M137" i="35"/>
  <c r="L138" i="35"/>
  <c r="M138" i="35"/>
  <c r="L139" i="35"/>
  <c r="M139" i="35"/>
  <c r="L140" i="35"/>
  <c r="M140" i="35"/>
  <c r="L141" i="35"/>
  <c r="M141" i="35"/>
  <c r="L142" i="35"/>
  <c r="M142" i="35"/>
  <c r="L143" i="35"/>
  <c r="M143" i="35"/>
  <c r="L144" i="35"/>
  <c r="M144" i="35"/>
  <c r="L145" i="35"/>
  <c r="M145" i="35"/>
  <c r="L146" i="35"/>
  <c r="M146" i="35"/>
  <c r="L147" i="35"/>
  <c r="M147" i="35"/>
  <c r="L148" i="35"/>
  <c r="M148" i="35"/>
  <c r="L149" i="35"/>
  <c r="M149" i="35"/>
  <c r="L150" i="35"/>
  <c r="M150" i="35"/>
  <c r="L151" i="35"/>
  <c r="M151" i="35"/>
  <c r="L152" i="35"/>
  <c r="M152" i="35"/>
  <c r="L153" i="35"/>
  <c r="M153" i="35"/>
  <c r="L154" i="35"/>
  <c r="M154" i="35"/>
  <c r="L155" i="35"/>
  <c r="M155" i="35"/>
  <c r="L156" i="35"/>
  <c r="M156" i="35"/>
  <c r="L157" i="35"/>
  <c r="M157" i="35"/>
  <c r="L158" i="35"/>
  <c r="M158" i="35"/>
  <c r="L159" i="35"/>
  <c r="M159" i="35"/>
  <c r="L160" i="35"/>
  <c r="M160" i="35"/>
  <c r="L161" i="35"/>
  <c r="M161" i="35"/>
  <c r="L162" i="35"/>
  <c r="M162" i="35"/>
  <c r="L163" i="35"/>
  <c r="M163" i="35"/>
  <c r="M113" i="35"/>
  <c r="L113" i="35"/>
  <c r="M60" i="35"/>
  <c r="M61" i="35"/>
  <c r="M62" i="35"/>
  <c r="M63" i="35"/>
  <c r="M64" i="35"/>
  <c r="M65" i="35"/>
  <c r="M66" i="35"/>
  <c r="M67" i="35"/>
  <c r="M68" i="35"/>
  <c r="M69" i="35"/>
  <c r="M70" i="35"/>
  <c r="M71" i="35"/>
  <c r="M72" i="35"/>
  <c r="M73" i="35"/>
  <c r="M74" i="35"/>
  <c r="M75" i="35"/>
  <c r="M76" i="35"/>
  <c r="M77" i="35"/>
  <c r="M78" i="35"/>
  <c r="M79" i="35"/>
  <c r="M80" i="35"/>
  <c r="M81" i="35"/>
  <c r="M82" i="35"/>
  <c r="M83" i="35"/>
  <c r="M84" i="35"/>
  <c r="M85" i="35"/>
  <c r="M86" i="35"/>
  <c r="M87" i="35"/>
  <c r="M88" i="35"/>
  <c r="M89" i="35"/>
  <c r="M90" i="35"/>
  <c r="M91" i="35"/>
  <c r="M92" i="35"/>
  <c r="M93" i="35"/>
  <c r="M94" i="35"/>
  <c r="M95" i="35"/>
  <c r="M96" i="35"/>
  <c r="M97" i="35"/>
  <c r="M98" i="35"/>
  <c r="M99" i="35"/>
  <c r="M100" i="35"/>
  <c r="M101" i="35"/>
  <c r="M102" i="35"/>
  <c r="M103" i="35"/>
  <c r="M104" i="35"/>
  <c r="M105" i="35"/>
  <c r="M106" i="35"/>
  <c r="M107" i="35"/>
  <c r="M108" i="35"/>
  <c r="M109" i="35"/>
  <c r="L109" i="35"/>
  <c r="L60" i="35"/>
  <c r="L61" i="35"/>
  <c r="L62" i="35"/>
  <c r="L63" i="35"/>
  <c r="L64" i="35"/>
  <c r="L65" i="35"/>
  <c r="L66" i="35"/>
  <c r="L67" i="35"/>
  <c r="L68" i="35"/>
  <c r="L69" i="35"/>
  <c r="L70" i="35"/>
  <c r="L71" i="35"/>
  <c r="L72" i="35"/>
  <c r="L73" i="35"/>
  <c r="L74" i="35"/>
  <c r="L75" i="35"/>
  <c r="L76" i="35"/>
  <c r="L77" i="35"/>
  <c r="L78" i="35"/>
  <c r="L79" i="35"/>
  <c r="L80" i="35"/>
  <c r="L81" i="35"/>
  <c r="L82" i="35"/>
  <c r="L83" i="35"/>
  <c r="L84" i="35"/>
  <c r="L85" i="35"/>
  <c r="L86" i="35"/>
  <c r="L87" i="35"/>
  <c r="L88" i="35"/>
  <c r="L89" i="35"/>
  <c r="L90" i="35"/>
  <c r="L91" i="35"/>
  <c r="L92" i="35"/>
  <c r="L93" i="35"/>
  <c r="L94" i="35"/>
  <c r="L95" i="35"/>
  <c r="L96" i="35"/>
  <c r="L97" i="35"/>
  <c r="L98" i="35"/>
  <c r="L99" i="35"/>
  <c r="L100" i="35"/>
  <c r="L101" i="35"/>
  <c r="L102" i="35"/>
  <c r="L103" i="35"/>
  <c r="L104" i="35"/>
  <c r="L105" i="35"/>
  <c r="L106" i="35"/>
  <c r="L107" i="35"/>
  <c r="L108" i="35"/>
  <c r="M59" i="35"/>
  <c r="L59" i="35"/>
  <c r="M55" i="35"/>
  <c r="M54" i="35"/>
  <c r="M52" i="35"/>
  <c r="M51" i="35"/>
  <c r="M6" i="35"/>
  <c r="M7" i="35"/>
  <c r="M8" i="35"/>
  <c r="M9" i="35"/>
  <c r="M10" i="35"/>
  <c r="M11" i="35"/>
  <c r="M12" i="35"/>
  <c r="M13" i="35"/>
  <c r="M14" i="35"/>
  <c r="M15" i="35"/>
  <c r="M16" i="35"/>
  <c r="M17" i="35"/>
  <c r="M18" i="35"/>
  <c r="M19" i="35"/>
  <c r="M20" i="35"/>
  <c r="M21" i="35"/>
  <c r="M22" i="35"/>
  <c r="M23" i="35"/>
  <c r="M24" i="35"/>
  <c r="M25" i="35"/>
  <c r="M26" i="35"/>
  <c r="M27" i="35"/>
  <c r="M28" i="35"/>
  <c r="M29" i="35"/>
  <c r="M30" i="35"/>
  <c r="M31" i="35"/>
  <c r="M32" i="35"/>
  <c r="M33" i="35"/>
  <c r="M34" i="35"/>
  <c r="M35" i="35"/>
  <c r="M36" i="35"/>
  <c r="M37" i="35"/>
  <c r="M38" i="35"/>
  <c r="M39" i="35"/>
  <c r="M40" i="35"/>
  <c r="M41" i="35"/>
  <c r="M42" i="35"/>
  <c r="M43" i="35"/>
  <c r="M44" i="35"/>
  <c r="M45" i="35"/>
  <c r="M46" i="35"/>
  <c r="M47" i="35"/>
  <c r="M48" i="35"/>
  <c r="M49" i="35"/>
  <c r="L52" i="35"/>
  <c r="L53" i="35"/>
  <c r="L54" i="35"/>
  <c r="L55" i="35"/>
  <c r="L6" i="35"/>
  <c r="L7" i="35"/>
  <c r="L8" i="35"/>
  <c r="L9" i="35"/>
  <c r="L10" i="35"/>
  <c r="L11" i="35"/>
  <c r="L12" i="35"/>
  <c r="L13" i="35"/>
  <c r="L14" i="35"/>
  <c r="L15" i="35"/>
  <c r="L16" i="35"/>
  <c r="L17" i="35"/>
  <c r="L18" i="35"/>
  <c r="L19" i="35"/>
  <c r="L20" i="35"/>
  <c r="L21" i="35"/>
  <c r="L22" i="35"/>
  <c r="L23" i="35"/>
  <c r="L24" i="35"/>
  <c r="L25" i="35"/>
  <c r="L26" i="35"/>
  <c r="L27" i="35"/>
  <c r="L28" i="35"/>
  <c r="L29" i="35"/>
  <c r="L30" i="35"/>
  <c r="L31" i="35"/>
  <c r="L32" i="35"/>
  <c r="L33" i="35"/>
  <c r="L34" i="35"/>
  <c r="L35" i="35"/>
  <c r="L36" i="35"/>
  <c r="L37" i="35"/>
  <c r="L38" i="35"/>
  <c r="L39" i="35"/>
  <c r="L40" i="35"/>
  <c r="L41" i="35"/>
  <c r="L42" i="35"/>
  <c r="L43" i="35"/>
  <c r="L44" i="35"/>
  <c r="L45" i="35"/>
  <c r="L46" i="35"/>
  <c r="L47" i="35"/>
  <c r="L48" i="35"/>
  <c r="L49" i="35"/>
  <c r="L50" i="35"/>
  <c r="L51" i="35"/>
  <c r="M5" i="35"/>
  <c r="L5" i="35"/>
  <c r="L163" i="7"/>
  <c r="M163" i="7"/>
  <c r="L114" i="7"/>
  <c r="M114" i="7"/>
  <c r="L115" i="7"/>
  <c r="M115" i="7"/>
  <c r="L116" i="7"/>
  <c r="M116" i="7"/>
  <c r="L117" i="7"/>
  <c r="M117" i="7"/>
  <c r="L118" i="7"/>
  <c r="M118" i="7"/>
  <c r="L119" i="7"/>
  <c r="M119" i="7"/>
  <c r="L120" i="7"/>
  <c r="M120" i="7"/>
  <c r="L121" i="7"/>
  <c r="M121" i="7"/>
  <c r="L122" i="7"/>
  <c r="M122" i="7"/>
  <c r="L123" i="7"/>
  <c r="M123" i="7"/>
  <c r="L124" i="7"/>
  <c r="M124" i="7"/>
  <c r="L125" i="7"/>
  <c r="M125" i="7"/>
  <c r="L126" i="7"/>
  <c r="M126" i="7"/>
  <c r="L127" i="7"/>
  <c r="M127" i="7"/>
  <c r="L128" i="7"/>
  <c r="M128" i="7"/>
  <c r="L129" i="7"/>
  <c r="M129" i="7"/>
  <c r="L130" i="7"/>
  <c r="M130" i="7"/>
  <c r="L131" i="7"/>
  <c r="M131" i="7"/>
  <c r="L132" i="7"/>
  <c r="M132" i="7"/>
  <c r="L133" i="7"/>
  <c r="M133" i="7"/>
  <c r="L134" i="7"/>
  <c r="M134" i="7"/>
  <c r="L135" i="7"/>
  <c r="M135" i="7"/>
  <c r="L136" i="7"/>
  <c r="M136" i="7"/>
  <c r="L137" i="7"/>
  <c r="M137" i="7"/>
  <c r="L138" i="7"/>
  <c r="M138" i="7"/>
  <c r="L139" i="7"/>
  <c r="M139" i="7"/>
  <c r="L140" i="7"/>
  <c r="M140" i="7"/>
  <c r="L141" i="7"/>
  <c r="M141" i="7"/>
  <c r="L142" i="7"/>
  <c r="M142" i="7"/>
  <c r="L143" i="7"/>
  <c r="M143" i="7"/>
  <c r="L144" i="7"/>
  <c r="M144" i="7"/>
  <c r="L145" i="7"/>
  <c r="M145" i="7"/>
  <c r="L146" i="7"/>
  <c r="M146" i="7"/>
  <c r="L147" i="7"/>
  <c r="M147" i="7"/>
  <c r="L148" i="7"/>
  <c r="M148" i="7"/>
  <c r="L149" i="7"/>
  <c r="M149" i="7"/>
  <c r="L150" i="7"/>
  <c r="M150" i="7"/>
  <c r="L151" i="7"/>
  <c r="M151" i="7"/>
  <c r="L152" i="7"/>
  <c r="M152" i="7"/>
  <c r="L153" i="7"/>
  <c r="M153" i="7"/>
  <c r="L154" i="7"/>
  <c r="M154" i="7"/>
  <c r="L155" i="7"/>
  <c r="M155" i="7"/>
  <c r="L156" i="7"/>
  <c r="M156" i="7"/>
  <c r="L157" i="7"/>
  <c r="M157" i="7"/>
  <c r="L158" i="7"/>
  <c r="M158" i="7"/>
  <c r="L159" i="7"/>
  <c r="M159" i="7"/>
  <c r="L160" i="7"/>
  <c r="M160" i="7"/>
  <c r="L161" i="7"/>
  <c r="M161" i="7"/>
  <c r="L162" i="7"/>
  <c r="M162" i="7"/>
  <c r="M113" i="7"/>
  <c r="L113" i="7"/>
  <c r="L60" i="7"/>
  <c r="M60" i="7"/>
  <c r="L61" i="7"/>
  <c r="M61" i="7"/>
  <c r="L62" i="7"/>
  <c r="M62" i="7"/>
  <c r="L63" i="7"/>
  <c r="M63" i="7"/>
  <c r="L64" i="7"/>
  <c r="M64" i="7"/>
  <c r="L65" i="7"/>
  <c r="M65" i="7"/>
  <c r="L66" i="7"/>
  <c r="M66" i="7"/>
  <c r="L67" i="7"/>
  <c r="M67" i="7"/>
  <c r="L68" i="7"/>
  <c r="M68" i="7"/>
  <c r="L69" i="7"/>
  <c r="M69" i="7"/>
  <c r="L70" i="7"/>
  <c r="M70" i="7"/>
  <c r="L71" i="7"/>
  <c r="M71" i="7"/>
  <c r="L72" i="7"/>
  <c r="M72" i="7"/>
  <c r="L73" i="7"/>
  <c r="M73" i="7"/>
  <c r="L74" i="7"/>
  <c r="M74" i="7"/>
  <c r="L75" i="7"/>
  <c r="M75" i="7"/>
  <c r="L76" i="7"/>
  <c r="M76" i="7"/>
  <c r="L77" i="7"/>
  <c r="M77" i="7"/>
  <c r="L78" i="7"/>
  <c r="M78" i="7"/>
  <c r="L79" i="7"/>
  <c r="M79" i="7"/>
  <c r="L80" i="7"/>
  <c r="M80" i="7"/>
  <c r="L81" i="7"/>
  <c r="M81" i="7"/>
  <c r="L82" i="7"/>
  <c r="M82" i="7"/>
  <c r="L83" i="7"/>
  <c r="M83" i="7"/>
  <c r="L84" i="7"/>
  <c r="M84" i="7"/>
  <c r="L85" i="7"/>
  <c r="M85" i="7"/>
  <c r="L86" i="7"/>
  <c r="M86" i="7"/>
  <c r="L87" i="7"/>
  <c r="M87" i="7"/>
  <c r="L88" i="7"/>
  <c r="M88" i="7"/>
  <c r="L89" i="7"/>
  <c r="M89" i="7"/>
  <c r="L90" i="7"/>
  <c r="M90" i="7"/>
  <c r="L91" i="7"/>
  <c r="M91" i="7"/>
  <c r="L92" i="7"/>
  <c r="M92" i="7"/>
  <c r="L93" i="7"/>
  <c r="M93" i="7"/>
  <c r="L94" i="7"/>
  <c r="M94" i="7"/>
  <c r="L95" i="7"/>
  <c r="M95" i="7"/>
  <c r="L96" i="7"/>
  <c r="M96" i="7"/>
  <c r="L97" i="7"/>
  <c r="M97" i="7"/>
  <c r="L98" i="7"/>
  <c r="M98" i="7"/>
  <c r="L99" i="7"/>
  <c r="M99" i="7"/>
  <c r="L100" i="7"/>
  <c r="M100" i="7"/>
  <c r="L101" i="7"/>
  <c r="M101" i="7"/>
  <c r="L102" i="7"/>
  <c r="M102" i="7"/>
  <c r="L103" i="7"/>
  <c r="M103" i="7"/>
  <c r="L104" i="7"/>
  <c r="M104" i="7"/>
  <c r="L105" i="7"/>
  <c r="M105" i="7"/>
  <c r="L106" i="7"/>
  <c r="M106" i="7"/>
  <c r="L107" i="7"/>
  <c r="M107" i="7"/>
  <c r="L108" i="7"/>
  <c r="M108" i="7"/>
  <c r="L109" i="7"/>
  <c r="M109" i="7"/>
  <c r="M59" i="7"/>
  <c r="L59" i="7"/>
  <c r="L6" i="7"/>
  <c r="M6" i="7"/>
  <c r="L7" i="7"/>
  <c r="M7" i="7"/>
  <c r="L8" i="7"/>
  <c r="M8" i="7"/>
  <c r="L9" i="7"/>
  <c r="M9" i="7"/>
  <c r="L10" i="7"/>
  <c r="M10" i="7"/>
  <c r="L11" i="7"/>
  <c r="M11" i="7"/>
  <c r="L12" i="7"/>
  <c r="M12" i="7"/>
  <c r="L13" i="7"/>
  <c r="M13" i="7"/>
  <c r="L14" i="7"/>
  <c r="M14" i="7"/>
  <c r="L15" i="7"/>
  <c r="M15" i="7"/>
  <c r="L16" i="7"/>
  <c r="M16" i="7"/>
  <c r="L17" i="7"/>
  <c r="M17" i="7"/>
  <c r="L18" i="7"/>
  <c r="M18" i="7"/>
  <c r="L19" i="7"/>
  <c r="M19" i="7"/>
  <c r="L20" i="7"/>
  <c r="M20" i="7"/>
  <c r="L21" i="7"/>
  <c r="M21" i="7"/>
  <c r="L22" i="7"/>
  <c r="M22" i="7"/>
  <c r="L23" i="7"/>
  <c r="M23" i="7"/>
  <c r="L24" i="7"/>
  <c r="M24" i="7"/>
  <c r="L25" i="7"/>
  <c r="M25" i="7"/>
  <c r="L26" i="7"/>
  <c r="M26" i="7"/>
  <c r="L27" i="7"/>
  <c r="M27" i="7"/>
  <c r="L28" i="7"/>
  <c r="M28" i="7"/>
  <c r="L29" i="7"/>
  <c r="M29" i="7"/>
  <c r="L30" i="7"/>
  <c r="M30" i="7"/>
  <c r="L31" i="7"/>
  <c r="M31" i="7"/>
  <c r="L32" i="7"/>
  <c r="M32" i="7"/>
  <c r="L33" i="7"/>
  <c r="M33" i="7"/>
  <c r="L34" i="7"/>
  <c r="M34" i="7"/>
  <c r="L35" i="7"/>
  <c r="M35" i="7"/>
  <c r="L36" i="7"/>
  <c r="M36" i="7"/>
  <c r="L37" i="7"/>
  <c r="M37" i="7"/>
  <c r="L38" i="7"/>
  <c r="M38" i="7"/>
  <c r="L39" i="7"/>
  <c r="M39" i="7"/>
  <c r="L40" i="7"/>
  <c r="M40" i="7"/>
  <c r="L41" i="7"/>
  <c r="M41" i="7"/>
  <c r="L42" i="7"/>
  <c r="M42" i="7"/>
  <c r="L43" i="7"/>
  <c r="M43" i="7"/>
  <c r="L44" i="7"/>
  <c r="M44" i="7"/>
  <c r="L45" i="7"/>
  <c r="M45" i="7"/>
  <c r="L46" i="7"/>
  <c r="M46" i="7"/>
  <c r="L47" i="7"/>
  <c r="M47" i="7"/>
  <c r="L48" i="7"/>
  <c r="M48" i="7"/>
  <c r="L49" i="7"/>
  <c r="M49" i="7"/>
  <c r="L50" i="7"/>
  <c r="M50" i="7"/>
  <c r="L51" i="7"/>
  <c r="M51" i="7"/>
  <c r="L52" i="7"/>
  <c r="M52" i="7"/>
  <c r="L53" i="7"/>
  <c r="M53" i="7"/>
  <c r="L54" i="7"/>
  <c r="M54" i="7"/>
  <c r="L55" i="7"/>
  <c r="M55" i="7"/>
  <c r="M5" i="7"/>
  <c r="L5" i="7"/>
  <c r="I100" i="34"/>
  <c r="L100" i="34" s="1"/>
  <c r="H98" i="34"/>
  <c r="K98" i="34" s="1"/>
  <c r="J99" i="34"/>
  <c r="M99" i="34" s="1"/>
  <c r="J100" i="34"/>
  <c r="M100" i="34" s="1"/>
  <c r="H100" i="34"/>
  <c r="I99" i="34"/>
  <c r="L99" i="34" s="1"/>
  <c r="H99" i="34"/>
  <c r="K99" i="34" s="1"/>
  <c r="J98" i="34"/>
  <c r="M98" i="34" s="1"/>
  <c r="I98" i="34"/>
  <c r="I96" i="34"/>
  <c r="L96" i="34" s="1"/>
  <c r="J95" i="34"/>
  <c r="M95" i="34" s="1"/>
  <c r="H95" i="34"/>
  <c r="K95" i="34" s="1"/>
  <c r="I95" i="34"/>
  <c r="J97" i="34"/>
  <c r="M97" i="34" s="1"/>
  <c r="J96" i="34"/>
  <c r="M96" i="34" s="1"/>
  <c r="I97" i="34"/>
  <c r="L97" i="34" s="1"/>
  <c r="L95" i="34"/>
  <c r="H97" i="34"/>
  <c r="K97" i="34" s="1"/>
  <c r="H96" i="34"/>
  <c r="H89" i="34"/>
  <c r="I89" i="34"/>
  <c r="J91" i="34"/>
  <c r="J90" i="34"/>
  <c r="I91" i="34"/>
  <c r="I90" i="34"/>
  <c r="H91" i="34"/>
  <c r="H90" i="34"/>
  <c r="L98" i="34"/>
  <c r="K96" i="34"/>
  <c r="K100" i="34"/>
  <c r="J67" i="34"/>
  <c r="M67" i="34" s="1"/>
  <c r="J66" i="34"/>
  <c r="M66" i="34" s="1"/>
  <c r="J65" i="34"/>
  <c r="M65" i="34" s="1"/>
  <c r="I67" i="34"/>
  <c r="I66" i="34"/>
  <c r="L66" i="34" s="1"/>
  <c r="I65" i="34"/>
  <c r="L65" i="34" s="1"/>
  <c r="H67" i="34"/>
  <c r="K67" i="34" s="1"/>
  <c r="H66" i="34"/>
  <c r="H65" i="34"/>
  <c r="K65" i="34" s="1"/>
  <c r="I87" i="34"/>
  <c r="J88" i="34"/>
  <c r="J87" i="34"/>
  <c r="J86" i="34"/>
  <c r="I86" i="34"/>
  <c r="I85" i="34"/>
  <c r="H88" i="34"/>
  <c r="H86" i="34"/>
  <c r="I88" i="34"/>
  <c r="H87" i="34"/>
  <c r="H84" i="34"/>
  <c r="H83" i="34"/>
  <c r="I84" i="34"/>
  <c r="J85" i="34"/>
  <c r="J84" i="34"/>
  <c r="I83" i="34"/>
  <c r="H85" i="34"/>
  <c r="J83" i="34"/>
  <c r="I82" i="34"/>
  <c r="H82" i="34"/>
  <c r="J82" i="34"/>
  <c r="J80" i="34"/>
  <c r="I80" i="34"/>
  <c r="H80" i="34"/>
  <c r="Y69" i="34"/>
  <c r="X69" i="34"/>
  <c r="L67" i="34"/>
  <c r="K66" i="34"/>
  <c r="J64" i="34"/>
  <c r="M64" i="34" s="1"/>
  <c r="J63" i="34"/>
  <c r="M63" i="34" s="1"/>
  <c r="J62" i="34"/>
  <c r="M62" i="34" s="1"/>
  <c r="I64" i="34"/>
  <c r="L64" i="34" s="1"/>
  <c r="I63" i="34"/>
  <c r="L63" i="34" s="1"/>
  <c r="I62" i="34"/>
  <c r="L62" i="34" s="1"/>
  <c r="H64" i="34"/>
  <c r="K64" i="34" s="1"/>
  <c r="K63" i="34"/>
  <c r="H63" i="34"/>
  <c r="H62" i="34"/>
  <c r="K62" i="34" s="1"/>
  <c r="J61" i="34"/>
  <c r="I61" i="34"/>
  <c r="I60" i="34"/>
  <c r="J59" i="34"/>
  <c r="I59" i="34"/>
  <c r="H61" i="34"/>
  <c r="H60" i="34"/>
  <c r="H59" i="34"/>
  <c r="J56" i="34"/>
  <c r="J58" i="34"/>
  <c r="J57" i="34"/>
  <c r="I58" i="34"/>
  <c r="I56" i="34"/>
  <c r="I57" i="34"/>
  <c r="H58" i="34"/>
  <c r="H57" i="34"/>
  <c r="H56" i="34"/>
  <c r="J55" i="34"/>
  <c r="J54" i="34"/>
  <c r="J53" i="34"/>
  <c r="I55" i="34"/>
  <c r="I54" i="34"/>
  <c r="I53" i="34"/>
  <c r="H55" i="34"/>
  <c r="H54" i="34"/>
  <c r="H53" i="34"/>
  <c r="J51" i="34"/>
  <c r="J50" i="34"/>
  <c r="J52" i="34"/>
  <c r="I52" i="34"/>
  <c r="I51" i="34"/>
  <c r="I50" i="34"/>
  <c r="H52" i="34"/>
  <c r="H51" i="34"/>
  <c r="H50" i="34"/>
  <c r="J48" i="34"/>
  <c r="J47" i="34"/>
  <c r="H49" i="34"/>
  <c r="H48" i="34"/>
  <c r="H47" i="34"/>
  <c r="J49" i="34"/>
  <c r="I49" i="34"/>
  <c r="I48" i="34"/>
  <c r="I47" i="34"/>
  <c r="Y36" i="34"/>
  <c r="X36" i="34"/>
  <c r="Y3" i="34"/>
  <c r="X3" i="34"/>
  <c r="J33" i="34"/>
  <c r="M33" i="34" s="1"/>
  <c r="I33" i="34"/>
  <c r="L33" i="34" s="1"/>
  <c r="H33" i="34"/>
  <c r="K33" i="34" s="1"/>
  <c r="H34" i="34"/>
  <c r="K34" i="34" s="1"/>
  <c r="I34" i="34"/>
  <c r="J34" i="34"/>
  <c r="M34" i="34" s="1"/>
  <c r="J32" i="34"/>
  <c r="M32" i="34" s="1"/>
  <c r="I32" i="34"/>
  <c r="L32" i="34" s="1"/>
  <c r="H32" i="34"/>
  <c r="K32" i="34" s="1"/>
  <c r="H30" i="34"/>
  <c r="I30" i="34"/>
  <c r="L30" i="34" s="1"/>
  <c r="J31" i="34"/>
  <c r="M31" i="34" s="1"/>
  <c r="J29" i="34"/>
  <c r="M29" i="34" s="1"/>
  <c r="J30" i="34"/>
  <c r="I31" i="34"/>
  <c r="L31" i="34" s="1"/>
  <c r="I29" i="34"/>
  <c r="L29" i="34" s="1"/>
  <c r="H31" i="34"/>
  <c r="K31" i="34" s="1"/>
  <c r="K30" i="34"/>
  <c r="H29" i="34"/>
  <c r="K29" i="34" s="1"/>
  <c r="M30" i="34"/>
  <c r="L34" i="34"/>
  <c r="I27" i="34"/>
  <c r="J26" i="34"/>
  <c r="I25" i="34"/>
  <c r="J25" i="34"/>
  <c r="J24" i="34"/>
  <c r="J23" i="34"/>
  <c r="I24" i="34"/>
  <c r="I23" i="34"/>
  <c r="H25" i="34"/>
  <c r="H24" i="34"/>
  <c r="H23" i="34"/>
  <c r="J20" i="34"/>
  <c r="I22" i="34"/>
  <c r="I20" i="34"/>
  <c r="H22" i="34"/>
  <c r="H21" i="34"/>
  <c r="H20" i="34"/>
  <c r="H19" i="34"/>
  <c r="J19" i="34"/>
  <c r="J18" i="34"/>
  <c r="I18" i="34"/>
  <c r="H18" i="34"/>
  <c r="J21" i="34"/>
  <c r="I21" i="34"/>
  <c r="I19" i="34"/>
  <c r="H17" i="34"/>
  <c r="Y69" i="13"/>
  <c r="X69" i="13"/>
  <c r="J98" i="13"/>
  <c r="I98" i="13"/>
  <c r="H98" i="13"/>
  <c r="I99" i="13"/>
  <c r="J100" i="13"/>
  <c r="I100" i="13"/>
  <c r="H100" i="13"/>
  <c r="J99" i="13"/>
  <c r="H99" i="13"/>
  <c r="I95" i="13"/>
  <c r="I97" i="13"/>
  <c r="H96" i="13"/>
  <c r="J96" i="13"/>
  <c r="J97" i="13"/>
  <c r="H97" i="13"/>
  <c r="I96" i="13"/>
  <c r="H95" i="13"/>
  <c r="J95" i="13"/>
  <c r="L95" i="13" l="1"/>
  <c r="M95" i="13"/>
  <c r="L96" i="13"/>
  <c r="M96" i="13"/>
  <c r="L97" i="13"/>
  <c r="M97" i="13"/>
  <c r="L98" i="13"/>
  <c r="M98" i="13"/>
  <c r="L99" i="13"/>
  <c r="M99" i="13"/>
  <c r="L100" i="13"/>
  <c r="M100" i="13"/>
  <c r="K95" i="13"/>
  <c r="K96" i="13"/>
  <c r="K97" i="13"/>
  <c r="K98" i="13"/>
  <c r="K99" i="13"/>
  <c r="K100" i="13"/>
  <c r="J89" i="13"/>
  <c r="I91" i="13"/>
  <c r="I90" i="13"/>
  <c r="I89" i="13"/>
  <c r="H91" i="13"/>
  <c r="H90" i="13"/>
  <c r="H89" i="13"/>
  <c r="J88" i="13"/>
  <c r="I88" i="13"/>
  <c r="I87" i="13"/>
  <c r="H88" i="13"/>
  <c r="H87" i="13"/>
  <c r="J86" i="13"/>
  <c r="I86" i="13"/>
  <c r="H86" i="13"/>
  <c r="H85" i="13"/>
  <c r="H84" i="13"/>
  <c r="H83" i="13"/>
  <c r="K81" i="13"/>
  <c r="J82" i="13"/>
  <c r="M82" i="13" s="1"/>
  <c r="I82" i="13"/>
  <c r="L82" i="13" s="1"/>
  <c r="H82" i="13"/>
  <c r="K82" i="13" s="1"/>
  <c r="J81" i="13"/>
  <c r="M81" i="13" s="1"/>
  <c r="I81" i="13"/>
  <c r="L81" i="13" s="1"/>
  <c r="H81" i="13"/>
  <c r="J80" i="13"/>
  <c r="M80" i="13" s="1"/>
  <c r="I80" i="13"/>
  <c r="L80" i="13" s="1"/>
  <c r="H80" i="13"/>
  <c r="K80" i="13" s="1"/>
  <c r="I78" i="13"/>
  <c r="J79" i="13"/>
  <c r="H77" i="13"/>
  <c r="I77" i="13"/>
  <c r="J77" i="13"/>
  <c r="H78" i="13"/>
  <c r="I79" i="13"/>
  <c r="H79" i="13"/>
  <c r="J78" i="13"/>
  <c r="Y36" i="13" l="1"/>
  <c r="X36" i="13"/>
  <c r="J65" i="13"/>
  <c r="I65" i="13"/>
  <c r="H65" i="13"/>
  <c r="J66" i="13"/>
  <c r="M66" i="13" s="1"/>
  <c r="J67" i="13"/>
  <c r="I67" i="13"/>
  <c r="H67" i="13"/>
  <c r="I66" i="13"/>
  <c r="L66" i="13" s="1"/>
  <c r="H66" i="13"/>
  <c r="J64" i="13"/>
  <c r="J63" i="13"/>
  <c r="J62" i="13"/>
  <c r="I64" i="13"/>
  <c r="L64" i="13" s="1"/>
  <c r="I63" i="13"/>
  <c r="H64" i="13"/>
  <c r="H63" i="13"/>
  <c r="K63" i="13" s="1"/>
  <c r="H62" i="13"/>
  <c r="L63" i="13"/>
  <c r="I62" i="13"/>
  <c r="K62" i="13"/>
  <c r="L62" i="13"/>
  <c r="M62" i="13"/>
  <c r="M63" i="13"/>
  <c r="M64" i="13"/>
  <c r="L65" i="13"/>
  <c r="M65" i="13"/>
  <c r="L67" i="13"/>
  <c r="M67" i="13"/>
  <c r="K64" i="13"/>
  <c r="K65" i="13"/>
  <c r="K66" i="13"/>
  <c r="K67" i="13"/>
  <c r="H60" i="13"/>
  <c r="J59" i="13"/>
  <c r="I59" i="13"/>
  <c r="H59" i="13"/>
  <c r="J60" i="13"/>
  <c r="I60" i="13"/>
  <c r="H61" i="13"/>
  <c r="H56" i="13"/>
  <c r="H57" i="13"/>
  <c r="I57" i="13"/>
  <c r="J57" i="13"/>
  <c r="I56" i="13"/>
  <c r="H55" i="13"/>
  <c r="I55" i="13"/>
  <c r="J55" i="13"/>
  <c r="J56" i="13"/>
  <c r="J54" i="13"/>
  <c r="J53" i="13"/>
  <c r="I54" i="13"/>
  <c r="I53" i="13"/>
  <c r="H54" i="13"/>
  <c r="H53" i="13"/>
  <c r="J50" i="13"/>
  <c r="I50" i="13"/>
  <c r="J51" i="13"/>
  <c r="I51" i="13"/>
  <c r="H51" i="13"/>
  <c r="J52" i="13"/>
  <c r="I52" i="13"/>
  <c r="H52" i="13"/>
  <c r="H50" i="13"/>
  <c r="J47" i="13"/>
  <c r="I47" i="13"/>
  <c r="H47" i="13"/>
  <c r="I49" i="13"/>
  <c r="I48" i="13"/>
  <c r="H48" i="13"/>
  <c r="J49" i="13"/>
  <c r="J48" i="13"/>
  <c r="H49" i="13"/>
  <c r="J46" i="13"/>
  <c r="J45" i="13"/>
  <c r="J44" i="13"/>
  <c r="I46" i="13"/>
  <c r="I45" i="13"/>
  <c r="I44" i="13"/>
  <c r="H46" i="13"/>
  <c r="H45" i="13"/>
  <c r="H44" i="13"/>
  <c r="W3" i="13"/>
  <c r="Y3" i="13"/>
  <c r="X3" i="13"/>
  <c r="I33" i="13"/>
  <c r="J33" i="13"/>
  <c r="M33" i="13" s="1"/>
  <c r="J34" i="13"/>
  <c r="I34" i="13"/>
  <c r="J32" i="13"/>
  <c r="I32" i="13"/>
  <c r="H34" i="13"/>
  <c r="H33" i="13"/>
  <c r="H32" i="13"/>
  <c r="J30" i="13"/>
  <c r="J29" i="13"/>
  <c r="M29" i="13" s="1"/>
  <c r="I31" i="13"/>
  <c r="I30" i="13"/>
  <c r="L30" i="13" s="1"/>
  <c r="I29" i="13"/>
  <c r="H31" i="13"/>
  <c r="K31" i="13" s="1"/>
  <c r="H30" i="13"/>
  <c r="H29" i="13"/>
  <c r="K29" i="13" s="1"/>
  <c r="J31" i="13"/>
  <c r="M31" i="13" s="1"/>
  <c r="J27" i="13"/>
  <c r="J26" i="13"/>
  <c r="H27" i="13"/>
  <c r="I27" i="13"/>
  <c r="J28" i="13"/>
  <c r="I28" i="13"/>
  <c r="I26" i="13"/>
  <c r="H28" i="13"/>
  <c r="H26" i="13"/>
  <c r="J12" i="13"/>
  <c r="J11" i="13"/>
  <c r="I13" i="13"/>
  <c r="I12" i="13"/>
  <c r="I11" i="13"/>
  <c r="H13" i="13"/>
  <c r="H12" i="13"/>
  <c r="H11" i="13"/>
  <c r="K32" i="13"/>
  <c r="L32" i="13"/>
  <c r="M32" i="13"/>
  <c r="K33" i="13"/>
  <c r="L33" i="13"/>
  <c r="K34" i="13"/>
  <c r="L34" i="13"/>
  <c r="M34" i="13"/>
  <c r="L28" i="13"/>
  <c r="M28" i="13"/>
  <c r="L29" i="13"/>
  <c r="M30" i="13"/>
  <c r="L31" i="13"/>
  <c r="K30" i="13"/>
  <c r="O163" i="35"/>
  <c r="O162" i="35"/>
  <c r="O161" i="35"/>
  <c r="O160" i="35"/>
  <c r="O159" i="35"/>
  <c r="O158" i="35"/>
  <c r="O157" i="35"/>
  <c r="O156" i="35"/>
  <c r="O155" i="35"/>
  <c r="O154" i="35"/>
  <c r="O153" i="35"/>
  <c r="O152" i="35"/>
  <c r="O151" i="35"/>
  <c r="O150" i="35"/>
  <c r="O149" i="35"/>
  <c r="O148" i="35"/>
  <c r="O147" i="35"/>
  <c r="O146" i="35"/>
  <c r="O145" i="35"/>
  <c r="O144" i="35"/>
  <c r="O143" i="35"/>
  <c r="O142" i="35"/>
  <c r="O141" i="35"/>
  <c r="O140" i="35"/>
  <c r="O139" i="35"/>
  <c r="O138" i="35"/>
  <c r="O137" i="35"/>
  <c r="O136" i="35"/>
  <c r="O135" i="35"/>
  <c r="O134" i="35"/>
  <c r="O133" i="35"/>
  <c r="O132" i="35"/>
  <c r="O131" i="35"/>
  <c r="O130" i="35"/>
  <c r="O129" i="35"/>
  <c r="O128" i="35"/>
  <c r="O127" i="35"/>
  <c r="O126" i="35"/>
  <c r="O125" i="35"/>
  <c r="O124" i="35"/>
  <c r="O123" i="35"/>
  <c r="O122" i="35"/>
  <c r="O121" i="35"/>
  <c r="O120" i="35"/>
  <c r="O119" i="35"/>
  <c r="O118" i="35"/>
  <c r="O117" i="35"/>
  <c r="O116" i="35"/>
  <c r="O114" i="35"/>
  <c r="O113" i="35"/>
  <c r="O115" i="35"/>
  <c r="O109" i="35"/>
  <c r="O108" i="35"/>
  <c r="O107" i="35"/>
  <c r="O106" i="35"/>
  <c r="O105" i="35"/>
  <c r="O104" i="35"/>
  <c r="O103" i="35"/>
  <c r="O102" i="35"/>
  <c r="O101" i="35"/>
  <c r="O100" i="35"/>
  <c r="O99" i="35"/>
  <c r="O98" i="35"/>
  <c r="O97" i="35"/>
  <c r="O96" i="35"/>
  <c r="O95" i="35"/>
  <c r="O94" i="35"/>
  <c r="O93" i="35"/>
  <c r="O92" i="35"/>
  <c r="O91" i="35"/>
  <c r="O90" i="35"/>
  <c r="O89" i="35"/>
  <c r="O88" i="35"/>
  <c r="O87" i="35"/>
  <c r="O86" i="35"/>
  <c r="O85" i="35"/>
  <c r="O84" i="35"/>
  <c r="O83" i="35"/>
  <c r="O82" i="35"/>
  <c r="O81" i="35"/>
  <c r="O80" i="35"/>
  <c r="O79" i="35"/>
  <c r="O78" i="35"/>
  <c r="O77" i="35"/>
  <c r="O76" i="35"/>
  <c r="O75" i="35"/>
  <c r="O74" i="35"/>
  <c r="O73" i="35"/>
  <c r="O72" i="35"/>
  <c r="O71" i="35"/>
  <c r="O70" i="35"/>
  <c r="O69" i="35"/>
  <c r="O68" i="35"/>
  <c r="O67" i="35"/>
  <c r="O66" i="35"/>
  <c r="O65" i="35"/>
  <c r="O64" i="35"/>
  <c r="O63" i="35"/>
  <c r="O62" i="35"/>
  <c r="O61" i="35"/>
  <c r="O60" i="35"/>
  <c r="O59" i="35"/>
  <c r="O55" i="35"/>
  <c r="O54" i="35"/>
  <c r="O53" i="35"/>
  <c r="O52" i="35"/>
  <c r="O51" i="35"/>
  <c r="O50" i="35"/>
  <c r="O49" i="35"/>
  <c r="O48" i="35"/>
  <c r="O47" i="35"/>
  <c r="O46" i="35"/>
  <c r="O45" i="35"/>
  <c r="O44" i="35"/>
  <c r="O43" i="35"/>
  <c r="O42" i="35"/>
  <c r="O41" i="35"/>
  <c r="O40" i="35"/>
  <c r="O39" i="35"/>
  <c r="O38" i="35"/>
  <c r="O37" i="35"/>
  <c r="O36" i="35"/>
  <c r="O35" i="35"/>
  <c r="O34" i="35"/>
  <c r="O33" i="35"/>
  <c r="O32" i="35"/>
  <c r="O31" i="35"/>
  <c r="O30" i="35"/>
  <c r="O29" i="35"/>
  <c r="O28" i="35"/>
  <c r="O27" i="35"/>
  <c r="O26" i="35"/>
  <c r="O25" i="35"/>
  <c r="O24" i="35"/>
  <c r="O23" i="35"/>
  <c r="O22" i="35" l="1"/>
  <c r="P22" i="35" s="1"/>
  <c r="O21" i="35"/>
  <c r="P21" i="35" s="1"/>
  <c r="O20" i="35"/>
  <c r="P20" i="35" s="1"/>
  <c r="O19" i="35"/>
  <c r="P19" i="35" s="1"/>
  <c r="O18" i="35"/>
  <c r="O17" i="35"/>
  <c r="O16" i="35"/>
  <c r="O15" i="35"/>
  <c r="Q15" i="35" s="1"/>
  <c r="O14" i="35"/>
  <c r="O13" i="35"/>
  <c r="P13" i="35" s="1"/>
  <c r="Q13" i="35" s="1"/>
  <c r="O12" i="35"/>
  <c r="O11" i="35"/>
  <c r="P11" i="35" s="1"/>
  <c r="Q11" i="35" s="1"/>
  <c r="O10" i="35"/>
  <c r="O9" i="35"/>
  <c r="O8" i="35"/>
  <c r="O7" i="35"/>
  <c r="O6" i="35"/>
  <c r="O5" i="35"/>
  <c r="P163" i="35"/>
  <c r="Q163" i="35" s="1"/>
  <c r="P162" i="35"/>
  <c r="Q162" i="35" s="1"/>
  <c r="P161" i="35"/>
  <c r="Q161" i="35" s="1"/>
  <c r="P160" i="35"/>
  <c r="Q160" i="35" s="1"/>
  <c r="P159" i="35"/>
  <c r="Q159" i="35" s="1"/>
  <c r="P158" i="35"/>
  <c r="Q158" i="35" s="1"/>
  <c r="P157" i="35"/>
  <c r="Q157" i="35" s="1"/>
  <c r="P156" i="35"/>
  <c r="Q156" i="35" s="1"/>
  <c r="P155" i="35"/>
  <c r="Q155" i="35" s="1"/>
  <c r="P154" i="35"/>
  <c r="Q154" i="35" s="1"/>
  <c r="P153" i="35"/>
  <c r="Q153" i="35" s="1"/>
  <c r="P152" i="35"/>
  <c r="Q152" i="35" s="1"/>
  <c r="P151" i="35"/>
  <c r="Q151" i="35" s="1"/>
  <c r="P150" i="35"/>
  <c r="Q150" i="35" s="1"/>
  <c r="P149" i="35"/>
  <c r="Q149" i="35" s="1"/>
  <c r="P148" i="35"/>
  <c r="Q148" i="35" s="1"/>
  <c r="P147" i="35"/>
  <c r="Q147" i="35" s="1"/>
  <c r="P146" i="35"/>
  <c r="P145" i="35"/>
  <c r="Q145" i="35" s="1"/>
  <c r="P144" i="35"/>
  <c r="Q144" i="35" s="1"/>
  <c r="P143" i="35"/>
  <c r="Q143" i="35" s="1"/>
  <c r="P142" i="35"/>
  <c r="Q142" i="35" s="1"/>
  <c r="P141" i="35"/>
  <c r="Q141" i="35" s="1"/>
  <c r="P140" i="35"/>
  <c r="Q140" i="35" s="1"/>
  <c r="P139" i="35"/>
  <c r="Q139" i="35" s="1"/>
  <c r="P138" i="35"/>
  <c r="Q138" i="35" s="1"/>
  <c r="P137" i="35"/>
  <c r="Q137" i="35" s="1"/>
  <c r="P136" i="35"/>
  <c r="Q136" i="35" s="1"/>
  <c r="K136" i="35"/>
  <c r="J136" i="35"/>
  <c r="I136" i="35"/>
  <c r="H136" i="35"/>
  <c r="P135" i="35"/>
  <c r="Q135" i="35" s="1"/>
  <c r="K135" i="35"/>
  <c r="J135" i="35"/>
  <c r="I135" i="35"/>
  <c r="H135" i="35"/>
  <c r="P134" i="35"/>
  <c r="Q134" i="35" s="1"/>
  <c r="K134" i="35"/>
  <c r="J134" i="35"/>
  <c r="I134" i="35"/>
  <c r="H134" i="35"/>
  <c r="Q133" i="35"/>
  <c r="K133" i="35"/>
  <c r="J133" i="35"/>
  <c r="I133" i="35"/>
  <c r="H133" i="35"/>
  <c r="P132" i="35"/>
  <c r="K132" i="35"/>
  <c r="J132" i="35"/>
  <c r="I132" i="35"/>
  <c r="H132" i="35"/>
  <c r="P131" i="35"/>
  <c r="K131" i="35"/>
  <c r="J131" i="35"/>
  <c r="I131" i="35"/>
  <c r="H131" i="35"/>
  <c r="N131" i="35" s="1"/>
  <c r="P130" i="35"/>
  <c r="P129" i="35"/>
  <c r="P128" i="35"/>
  <c r="P127" i="35"/>
  <c r="K127" i="35"/>
  <c r="J127" i="35"/>
  <c r="I127" i="35"/>
  <c r="H127" i="35"/>
  <c r="P126" i="35"/>
  <c r="K126" i="35"/>
  <c r="J126" i="35"/>
  <c r="I126" i="35"/>
  <c r="H126" i="35"/>
  <c r="Q125" i="35"/>
  <c r="K125" i="35"/>
  <c r="J125" i="35"/>
  <c r="I125" i="35"/>
  <c r="H125" i="35"/>
  <c r="P124" i="35"/>
  <c r="K124" i="35"/>
  <c r="J124" i="35"/>
  <c r="I124" i="35"/>
  <c r="H124" i="35"/>
  <c r="P123" i="35"/>
  <c r="K123" i="35"/>
  <c r="J123" i="35"/>
  <c r="I123" i="35"/>
  <c r="H123" i="35"/>
  <c r="P122" i="35"/>
  <c r="K122" i="35"/>
  <c r="J122" i="35"/>
  <c r="I122" i="35"/>
  <c r="H122" i="35"/>
  <c r="P121" i="35"/>
  <c r="Q121" i="35" s="1"/>
  <c r="P120" i="35"/>
  <c r="Q120" i="35" s="1"/>
  <c r="P119" i="35"/>
  <c r="P118" i="35"/>
  <c r="P117" i="35"/>
  <c r="Q117" i="35" s="1"/>
  <c r="P116" i="35"/>
  <c r="Q116" i="35" s="1"/>
  <c r="P115" i="35"/>
  <c r="Q115" i="35" s="1"/>
  <c r="K115" i="35"/>
  <c r="J115" i="35"/>
  <c r="I115" i="35"/>
  <c r="H115" i="35"/>
  <c r="P114" i="35"/>
  <c r="Q114" i="35" s="1"/>
  <c r="K114" i="35"/>
  <c r="J114" i="35"/>
  <c r="I114" i="35"/>
  <c r="H114" i="35"/>
  <c r="P113" i="35"/>
  <c r="Q113" i="35" s="1"/>
  <c r="K113" i="35"/>
  <c r="J113" i="35"/>
  <c r="I113" i="35"/>
  <c r="H113" i="35"/>
  <c r="P109" i="35"/>
  <c r="Q109" i="35" s="1"/>
  <c r="P108" i="35"/>
  <c r="Q108" i="35" s="1"/>
  <c r="P107" i="35"/>
  <c r="Q107" i="35" s="1"/>
  <c r="P106" i="35"/>
  <c r="Q106" i="35" s="1"/>
  <c r="P105" i="35"/>
  <c r="Q105" i="35" s="1"/>
  <c r="P104" i="35"/>
  <c r="Q104" i="35" s="1"/>
  <c r="P103" i="35"/>
  <c r="Q103" i="35" s="1"/>
  <c r="P102" i="35"/>
  <c r="Q102" i="35" s="1"/>
  <c r="P101" i="35"/>
  <c r="Q101" i="35" s="1"/>
  <c r="P100" i="35"/>
  <c r="Q100" i="35" s="1"/>
  <c r="P99" i="35"/>
  <c r="Q99" i="35" s="1"/>
  <c r="P98" i="35"/>
  <c r="Q98" i="35" s="1"/>
  <c r="P97" i="35"/>
  <c r="Q97" i="35" s="1"/>
  <c r="P96" i="35"/>
  <c r="Q96" i="35" s="1"/>
  <c r="P95" i="35"/>
  <c r="Q95" i="35" s="1"/>
  <c r="P94" i="35"/>
  <c r="Q94" i="35" s="1"/>
  <c r="P93" i="35"/>
  <c r="Q93" i="35" s="1"/>
  <c r="P92" i="35"/>
  <c r="Q92" i="35" s="1"/>
  <c r="P91" i="35"/>
  <c r="Q91" i="35" s="1"/>
  <c r="P90" i="35"/>
  <c r="Q90" i="35" s="1"/>
  <c r="P89" i="35"/>
  <c r="Q89" i="35" s="1"/>
  <c r="P88" i="35"/>
  <c r="Q88" i="35" s="1"/>
  <c r="P87" i="35"/>
  <c r="Q87" i="35" s="1"/>
  <c r="P86" i="35"/>
  <c r="Q86" i="35" s="1"/>
  <c r="P85" i="35"/>
  <c r="Q85" i="35" s="1"/>
  <c r="P84" i="35"/>
  <c r="Q84" i="35" s="1"/>
  <c r="P83" i="35"/>
  <c r="Q83" i="35" s="1"/>
  <c r="P82" i="35"/>
  <c r="Q82" i="35" s="1"/>
  <c r="K82" i="35"/>
  <c r="J82" i="35"/>
  <c r="I82" i="35"/>
  <c r="H82" i="35"/>
  <c r="P81" i="35"/>
  <c r="Q81" i="35" s="1"/>
  <c r="K81" i="35"/>
  <c r="J81" i="35"/>
  <c r="I81" i="35"/>
  <c r="H81" i="35"/>
  <c r="P80" i="35"/>
  <c r="Q80" i="35" s="1"/>
  <c r="K80" i="35"/>
  <c r="J80" i="35"/>
  <c r="I80" i="35"/>
  <c r="H80" i="35"/>
  <c r="P79" i="35"/>
  <c r="K79" i="35"/>
  <c r="J79" i="35"/>
  <c r="I79" i="35"/>
  <c r="H79" i="35"/>
  <c r="P78" i="35"/>
  <c r="K78" i="35"/>
  <c r="J78" i="35"/>
  <c r="I78" i="35"/>
  <c r="H78" i="35"/>
  <c r="P77" i="35"/>
  <c r="K77" i="35"/>
  <c r="J77" i="35"/>
  <c r="I77" i="35"/>
  <c r="H77" i="35"/>
  <c r="P76" i="35"/>
  <c r="P75" i="35"/>
  <c r="P74" i="35"/>
  <c r="P73" i="35"/>
  <c r="K73" i="35"/>
  <c r="J73" i="35"/>
  <c r="I73" i="35"/>
  <c r="H73" i="35"/>
  <c r="Q72" i="35"/>
  <c r="K72" i="35"/>
  <c r="J72" i="35"/>
  <c r="I72" i="35"/>
  <c r="H72" i="35"/>
  <c r="P71" i="35"/>
  <c r="K71" i="35"/>
  <c r="J71" i="35"/>
  <c r="I71" i="35"/>
  <c r="H71" i="35"/>
  <c r="P70" i="35"/>
  <c r="K70" i="35"/>
  <c r="J70" i="35"/>
  <c r="I70" i="35"/>
  <c r="H70" i="35"/>
  <c r="P69" i="35"/>
  <c r="K69" i="35"/>
  <c r="J69" i="35"/>
  <c r="I69" i="35"/>
  <c r="H69" i="35"/>
  <c r="P68" i="35"/>
  <c r="K68" i="35"/>
  <c r="J68" i="35"/>
  <c r="I68" i="35"/>
  <c r="H68" i="35"/>
  <c r="P67" i="35"/>
  <c r="Q67" i="35" s="1"/>
  <c r="P66" i="35"/>
  <c r="Q66" i="35" s="1"/>
  <c r="P65" i="35"/>
  <c r="Q65" i="35" s="1"/>
  <c r="P64" i="35"/>
  <c r="Q64" i="35" s="1"/>
  <c r="P63" i="35"/>
  <c r="Q63" i="35" s="1"/>
  <c r="P62" i="35"/>
  <c r="Q62" i="35" s="1"/>
  <c r="P61" i="35"/>
  <c r="Q61" i="35" s="1"/>
  <c r="K61" i="35"/>
  <c r="J61" i="35"/>
  <c r="I61" i="35"/>
  <c r="H61" i="35"/>
  <c r="P60" i="35"/>
  <c r="Q60" i="35" s="1"/>
  <c r="K60" i="35"/>
  <c r="J60" i="35"/>
  <c r="I60" i="35"/>
  <c r="H60" i="35"/>
  <c r="P59" i="35"/>
  <c r="Q59" i="35" s="1"/>
  <c r="K59" i="35"/>
  <c r="J59" i="35"/>
  <c r="I59" i="35"/>
  <c r="H59" i="35"/>
  <c r="K5" i="35"/>
  <c r="P55" i="35"/>
  <c r="Q55" i="35" s="1"/>
  <c r="P54" i="35"/>
  <c r="Q54" i="35" s="1"/>
  <c r="P53" i="35"/>
  <c r="Q53" i="35" s="1"/>
  <c r="P52" i="35"/>
  <c r="Q52" i="35" s="1"/>
  <c r="P51" i="35"/>
  <c r="Q51" i="35" s="1"/>
  <c r="P50" i="35"/>
  <c r="Q50" i="35" s="1"/>
  <c r="P49" i="35"/>
  <c r="Q49" i="35" s="1"/>
  <c r="P48" i="35"/>
  <c r="Q48" i="35" s="1"/>
  <c r="P47" i="35"/>
  <c r="Q47" i="35" s="1"/>
  <c r="P46" i="35"/>
  <c r="Q46" i="35" s="1"/>
  <c r="P45" i="35"/>
  <c r="Q45" i="35" s="1"/>
  <c r="P44" i="35"/>
  <c r="Q44" i="35" s="1"/>
  <c r="P43" i="35"/>
  <c r="Q43" i="35" s="1"/>
  <c r="P42" i="35"/>
  <c r="Q42" i="35" s="1"/>
  <c r="P41" i="35"/>
  <c r="Q41" i="35" s="1"/>
  <c r="P40" i="35"/>
  <c r="Q40" i="35" s="1"/>
  <c r="P39" i="35"/>
  <c r="Q39" i="35" s="1"/>
  <c r="P38" i="35"/>
  <c r="Q38" i="35" s="1"/>
  <c r="P37" i="35"/>
  <c r="Q37" i="35" s="1"/>
  <c r="P36" i="35"/>
  <c r="Q36" i="35" s="1"/>
  <c r="P35" i="35"/>
  <c r="P34" i="35"/>
  <c r="Q34" i="35" s="1"/>
  <c r="P33" i="35"/>
  <c r="Q33" i="35" s="1"/>
  <c r="P32" i="35"/>
  <c r="Q32" i="35" s="1"/>
  <c r="P31" i="35"/>
  <c r="Q31" i="35" s="1"/>
  <c r="P30" i="35"/>
  <c r="Q30" i="35" s="1"/>
  <c r="P29" i="35"/>
  <c r="Q29" i="35" s="1"/>
  <c r="P28" i="35"/>
  <c r="Q28" i="35" s="1"/>
  <c r="K28" i="35"/>
  <c r="J28" i="35"/>
  <c r="I28" i="35"/>
  <c r="H28" i="35"/>
  <c r="P27" i="35"/>
  <c r="Q27" i="35" s="1"/>
  <c r="K27" i="35"/>
  <c r="J27" i="35"/>
  <c r="I27" i="35"/>
  <c r="H27" i="35"/>
  <c r="P26" i="35"/>
  <c r="Q26" i="35" s="1"/>
  <c r="K26" i="35"/>
  <c r="J26" i="35"/>
  <c r="I26" i="35"/>
  <c r="H26" i="35"/>
  <c r="P25" i="35"/>
  <c r="K25" i="35"/>
  <c r="J25" i="35"/>
  <c r="I25" i="35"/>
  <c r="H25" i="35"/>
  <c r="Q24" i="35"/>
  <c r="K24" i="35"/>
  <c r="J24" i="35"/>
  <c r="I24" i="35"/>
  <c r="H24" i="35"/>
  <c r="P23" i="35"/>
  <c r="K23" i="35"/>
  <c r="J23" i="35"/>
  <c r="I23" i="35"/>
  <c r="H23" i="35"/>
  <c r="N23" i="35" s="1"/>
  <c r="K19" i="35"/>
  <c r="J19" i="35"/>
  <c r="I19" i="35"/>
  <c r="H19" i="35"/>
  <c r="P18" i="35"/>
  <c r="K18" i="35"/>
  <c r="J18" i="35"/>
  <c r="I18" i="35"/>
  <c r="H18" i="35"/>
  <c r="Q17" i="35"/>
  <c r="K17" i="35"/>
  <c r="J17" i="35"/>
  <c r="I17" i="35"/>
  <c r="H17" i="35"/>
  <c r="P16" i="35"/>
  <c r="K16" i="35"/>
  <c r="J16" i="35"/>
  <c r="I16" i="35"/>
  <c r="H16" i="35"/>
  <c r="K15" i="35"/>
  <c r="J15" i="35"/>
  <c r="I15" i="35"/>
  <c r="H15" i="35"/>
  <c r="P14" i="35"/>
  <c r="K14" i="35"/>
  <c r="J14" i="35"/>
  <c r="I14" i="35"/>
  <c r="H14" i="35"/>
  <c r="P12" i="35"/>
  <c r="Q12" i="35" s="1"/>
  <c r="P10" i="35"/>
  <c r="Q10" i="35" s="1"/>
  <c r="P9" i="35"/>
  <c r="Q9" i="35" s="1"/>
  <c r="P8" i="35"/>
  <c r="Q8" i="35" s="1"/>
  <c r="P7" i="35"/>
  <c r="Q7" i="35" s="1"/>
  <c r="K7" i="35"/>
  <c r="J7" i="35"/>
  <c r="I7" i="35"/>
  <c r="H7" i="35"/>
  <c r="P6" i="35"/>
  <c r="Q6" i="35" s="1"/>
  <c r="K6" i="35"/>
  <c r="J6" i="35"/>
  <c r="I6" i="35"/>
  <c r="H6" i="35"/>
  <c r="P5" i="35"/>
  <c r="Q5" i="35" s="1"/>
  <c r="J5" i="35"/>
  <c r="I5" i="35"/>
  <c r="H5" i="35"/>
  <c r="G161" i="35"/>
  <c r="F161" i="35"/>
  <c r="G158" i="35"/>
  <c r="F158" i="35"/>
  <c r="G155" i="35"/>
  <c r="F155" i="35"/>
  <c r="G152" i="35"/>
  <c r="F152" i="35"/>
  <c r="G149" i="35"/>
  <c r="F149" i="35"/>
  <c r="Q146" i="35"/>
  <c r="G146" i="35"/>
  <c r="F146" i="35"/>
  <c r="G140" i="35"/>
  <c r="F140" i="35"/>
  <c r="G137" i="35"/>
  <c r="F137" i="35"/>
  <c r="H139" i="35" s="1"/>
  <c r="Q131" i="35"/>
  <c r="Q130" i="35"/>
  <c r="G128" i="35"/>
  <c r="J129" i="35" s="1"/>
  <c r="F128" i="35"/>
  <c r="I130" i="35" s="1"/>
  <c r="Q123" i="35"/>
  <c r="Q119" i="35"/>
  <c r="G119" i="35"/>
  <c r="K120" i="35" s="1"/>
  <c r="F119" i="35"/>
  <c r="H119" i="35" s="1"/>
  <c r="D119" i="35"/>
  <c r="D122" i="35" s="1"/>
  <c r="Q118" i="35"/>
  <c r="G116" i="35"/>
  <c r="J117" i="35" s="1"/>
  <c r="F116" i="35"/>
  <c r="D116" i="35"/>
  <c r="AD113" i="35" s="1"/>
  <c r="AD112" i="35"/>
  <c r="AG111" i="35"/>
  <c r="AE111" i="35"/>
  <c r="G107" i="35"/>
  <c r="F107" i="35"/>
  <c r="I107" i="35" s="1"/>
  <c r="G104" i="35"/>
  <c r="F104" i="35"/>
  <c r="G101" i="35"/>
  <c r="F101" i="35"/>
  <c r="I103" i="35" s="1"/>
  <c r="G98" i="35"/>
  <c r="F98" i="35"/>
  <c r="G95" i="35"/>
  <c r="F95" i="35"/>
  <c r="I95" i="35" s="1"/>
  <c r="G92" i="35"/>
  <c r="F92" i="35"/>
  <c r="G86" i="35"/>
  <c r="F86" i="35"/>
  <c r="F89" i="35" s="1"/>
  <c r="I91" i="35" s="1"/>
  <c r="G83" i="35"/>
  <c r="F83" i="35"/>
  <c r="I83" i="35" s="1"/>
  <c r="Q76" i="35"/>
  <c r="Q75" i="35"/>
  <c r="G74" i="35"/>
  <c r="F74" i="35"/>
  <c r="H76" i="35" s="1"/>
  <c r="Q73" i="35"/>
  <c r="Q70" i="35"/>
  <c r="G65" i="35"/>
  <c r="F65" i="35"/>
  <c r="I67" i="35" s="1"/>
  <c r="D65" i="35"/>
  <c r="D68" i="35" s="1"/>
  <c r="G62" i="35"/>
  <c r="F62" i="35"/>
  <c r="D62" i="35"/>
  <c r="AD59" i="35" s="1"/>
  <c r="AD58" i="35"/>
  <c r="AG57" i="35"/>
  <c r="AE57" i="35"/>
  <c r="G53" i="35"/>
  <c r="J54" i="35" s="1"/>
  <c r="F53" i="35"/>
  <c r="I55" i="35" s="1"/>
  <c r="G50" i="35"/>
  <c r="J52" i="35" s="1"/>
  <c r="F50" i="35"/>
  <c r="H52" i="35" s="1"/>
  <c r="G47" i="35"/>
  <c r="K49" i="35" s="1"/>
  <c r="F47" i="35"/>
  <c r="H48" i="35" s="1"/>
  <c r="G44" i="35"/>
  <c r="J46" i="35" s="1"/>
  <c r="F44" i="35"/>
  <c r="H44" i="35" s="1"/>
  <c r="G41" i="35"/>
  <c r="J42" i="35" s="1"/>
  <c r="F41" i="35"/>
  <c r="I43" i="35" s="1"/>
  <c r="G38" i="35"/>
  <c r="J38" i="35" s="1"/>
  <c r="F38" i="35"/>
  <c r="H40" i="35" s="1"/>
  <c r="Q35" i="35"/>
  <c r="G32" i="35"/>
  <c r="J34" i="35" s="1"/>
  <c r="F32" i="35"/>
  <c r="H32" i="35" s="1"/>
  <c r="G29" i="35"/>
  <c r="J30" i="35" s="1"/>
  <c r="F29" i="35"/>
  <c r="I31" i="35" s="1"/>
  <c r="Q25" i="35"/>
  <c r="Q23" i="35"/>
  <c r="Q21" i="35"/>
  <c r="G20" i="35"/>
  <c r="K22" i="35" s="1"/>
  <c r="F20" i="35"/>
  <c r="I22" i="35" s="1"/>
  <c r="Q16" i="35"/>
  <c r="G11" i="35"/>
  <c r="J13" i="35" s="1"/>
  <c r="F11" i="35"/>
  <c r="H11" i="35" s="1"/>
  <c r="G8" i="35"/>
  <c r="J9" i="35" s="1"/>
  <c r="F8" i="35"/>
  <c r="I10" i="35" s="1"/>
  <c r="D8" i="35"/>
  <c r="D11" i="35" s="1"/>
  <c r="AD7" i="35" s="1"/>
  <c r="AD5" i="35"/>
  <c r="AG4" i="35"/>
  <c r="AE4" i="35"/>
  <c r="G161" i="7"/>
  <c r="F161" i="7"/>
  <c r="G158" i="7"/>
  <c r="F158" i="7"/>
  <c r="G155" i="7"/>
  <c r="F155" i="7"/>
  <c r="G152" i="7"/>
  <c r="K152" i="7" s="1"/>
  <c r="F152" i="7"/>
  <c r="I152" i="7" s="1"/>
  <c r="G149" i="7"/>
  <c r="F149" i="7"/>
  <c r="G146" i="7"/>
  <c r="F146" i="7"/>
  <c r="G140" i="7"/>
  <c r="G143" i="7" s="1"/>
  <c r="F140" i="7"/>
  <c r="F143" i="7" s="1"/>
  <c r="G137" i="7"/>
  <c r="F137" i="7"/>
  <c r="G128" i="7"/>
  <c r="F128" i="7"/>
  <c r="G119" i="7"/>
  <c r="F119" i="7"/>
  <c r="G116" i="7"/>
  <c r="F116" i="7"/>
  <c r="G107" i="7"/>
  <c r="F107" i="7"/>
  <c r="H109" i="7" s="1"/>
  <c r="G104" i="7"/>
  <c r="K106" i="7" s="1"/>
  <c r="F104" i="7"/>
  <c r="G101" i="7"/>
  <c r="F101" i="7"/>
  <c r="G98" i="7"/>
  <c r="K98" i="7" s="1"/>
  <c r="F98" i="7"/>
  <c r="I100" i="7" s="1"/>
  <c r="G95" i="7"/>
  <c r="F95" i="7"/>
  <c r="G92" i="7"/>
  <c r="F92" i="7"/>
  <c r="H94" i="7" s="1"/>
  <c r="G86" i="7"/>
  <c r="G89" i="7" s="1"/>
  <c r="F86" i="7"/>
  <c r="F89" i="7" s="1"/>
  <c r="G83" i="7"/>
  <c r="F83" i="7"/>
  <c r="G74" i="7"/>
  <c r="F74" i="7"/>
  <c r="G65" i="7"/>
  <c r="F65" i="7"/>
  <c r="G62" i="7"/>
  <c r="F62" i="7"/>
  <c r="AG57" i="7"/>
  <c r="AE57" i="7"/>
  <c r="AG111" i="7"/>
  <c r="AE111" i="7"/>
  <c r="O163" i="7"/>
  <c r="O162" i="7"/>
  <c r="P162" i="7" s="1"/>
  <c r="Q162" i="7" s="1"/>
  <c r="O161" i="7"/>
  <c r="P161" i="7" s="1"/>
  <c r="Q161" i="7" s="1"/>
  <c r="O160" i="7"/>
  <c r="O159" i="7"/>
  <c r="P159" i="7" s="1"/>
  <c r="Q159" i="7" s="1"/>
  <c r="O158" i="7"/>
  <c r="P158" i="7" s="1"/>
  <c r="Q158" i="7" s="1"/>
  <c r="O157" i="7"/>
  <c r="O156" i="7"/>
  <c r="P156" i="7" s="1"/>
  <c r="Q156" i="7" s="1"/>
  <c r="O155" i="7"/>
  <c r="O154" i="7"/>
  <c r="P154" i="7" s="1"/>
  <c r="Q154" i="7" s="1"/>
  <c r="O153" i="7"/>
  <c r="O152" i="7"/>
  <c r="O151" i="7"/>
  <c r="O150" i="7"/>
  <c r="O149" i="7"/>
  <c r="O148" i="7"/>
  <c r="P148" i="7" s="1"/>
  <c r="Q148" i="7" s="1"/>
  <c r="O147" i="7"/>
  <c r="O146" i="7"/>
  <c r="P146" i="7" s="1"/>
  <c r="Q146" i="7" s="1"/>
  <c r="O145" i="7"/>
  <c r="P145" i="7" s="1"/>
  <c r="Q145" i="7" s="1"/>
  <c r="O144" i="7"/>
  <c r="O143" i="7"/>
  <c r="O142" i="7"/>
  <c r="O141" i="7"/>
  <c r="P141" i="7" s="1"/>
  <c r="Q141" i="7" s="1"/>
  <c r="O140" i="7"/>
  <c r="O139" i="7"/>
  <c r="O138" i="7"/>
  <c r="O137" i="7"/>
  <c r="P137" i="7" s="1"/>
  <c r="Q137" i="7" s="1"/>
  <c r="O136" i="7"/>
  <c r="P136" i="7" s="1"/>
  <c r="Q136" i="7" s="1"/>
  <c r="O135" i="7"/>
  <c r="O134" i="7"/>
  <c r="O133" i="7"/>
  <c r="O132" i="7"/>
  <c r="O131" i="7"/>
  <c r="O130" i="7"/>
  <c r="O129" i="7"/>
  <c r="O128" i="7"/>
  <c r="O127" i="7"/>
  <c r="O126" i="7"/>
  <c r="P126" i="7" s="1"/>
  <c r="O125" i="7"/>
  <c r="O124" i="7"/>
  <c r="Q124" i="7" s="1"/>
  <c r="O123" i="7"/>
  <c r="O122" i="7"/>
  <c r="P122" i="7" s="1"/>
  <c r="O121" i="7"/>
  <c r="O120" i="7"/>
  <c r="P120" i="7" s="1"/>
  <c r="Q120" i="7" s="1"/>
  <c r="O119" i="7"/>
  <c r="O118" i="7"/>
  <c r="O117" i="7"/>
  <c r="O116" i="7"/>
  <c r="O115" i="7"/>
  <c r="O114" i="7"/>
  <c r="O113" i="7"/>
  <c r="P113" i="7" s="1"/>
  <c r="Q113" i="7" s="1"/>
  <c r="P163" i="7"/>
  <c r="Q163" i="7" s="1"/>
  <c r="K162" i="7"/>
  <c r="H163" i="7"/>
  <c r="P160" i="7"/>
  <c r="Q160" i="7" s="1"/>
  <c r="P157" i="7"/>
  <c r="Q157" i="7" s="1"/>
  <c r="P155" i="7"/>
  <c r="Q155" i="7" s="1"/>
  <c r="J157" i="7"/>
  <c r="H156" i="7"/>
  <c r="P153" i="7"/>
  <c r="Q153" i="7" s="1"/>
  <c r="P152" i="7"/>
  <c r="Q152" i="7" s="1"/>
  <c r="P151" i="7"/>
  <c r="Q151" i="7" s="1"/>
  <c r="P150" i="7"/>
  <c r="Q150" i="7" s="1"/>
  <c r="P149" i="7"/>
  <c r="Q149" i="7" s="1"/>
  <c r="K151" i="7"/>
  <c r="H151" i="7"/>
  <c r="P147" i="7"/>
  <c r="Q147" i="7" s="1"/>
  <c r="J148" i="7"/>
  <c r="P144" i="7"/>
  <c r="Q144" i="7" s="1"/>
  <c r="P143" i="7"/>
  <c r="Q143" i="7" s="1"/>
  <c r="P142" i="7"/>
  <c r="Q142" i="7" s="1"/>
  <c r="P140" i="7"/>
  <c r="Q140" i="7" s="1"/>
  <c r="P139" i="7"/>
  <c r="Q139" i="7" s="1"/>
  <c r="P138" i="7"/>
  <c r="Q138" i="7" s="1"/>
  <c r="J137" i="7"/>
  <c r="H138" i="7"/>
  <c r="K136" i="7"/>
  <c r="J136" i="7"/>
  <c r="I136" i="7"/>
  <c r="H136" i="7"/>
  <c r="P135" i="7"/>
  <c r="Q135" i="7" s="1"/>
  <c r="K135" i="7"/>
  <c r="J135" i="7"/>
  <c r="I135" i="7"/>
  <c r="H135" i="7"/>
  <c r="P134" i="7"/>
  <c r="Q134" i="7" s="1"/>
  <c r="K134" i="7"/>
  <c r="J134" i="7"/>
  <c r="I134" i="7"/>
  <c r="H134" i="7"/>
  <c r="K133" i="7"/>
  <c r="J133" i="7"/>
  <c r="I133" i="7"/>
  <c r="H133" i="7"/>
  <c r="K132" i="7"/>
  <c r="J132" i="7"/>
  <c r="I132" i="7"/>
  <c r="H132" i="7"/>
  <c r="K131" i="7"/>
  <c r="J131" i="7"/>
  <c r="I131" i="7"/>
  <c r="H131" i="7"/>
  <c r="K129" i="7"/>
  <c r="Q127" i="7"/>
  <c r="K127" i="7"/>
  <c r="J127" i="7"/>
  <c r="I127" i="7"/>
  <c r="H127" i="7"/>
  <c r="K126" i="7"/>
  <c r="J126" i="7"/>
  <c r="I126" i="7"/>
  <c r="H126" i="7"/>
  <c r="Q125" i="7"/>
  <c r="K125" i="7"/>
  <c r="J125" i="7"/>
  <c r="I125" i="7"/>
  <c r="H125" i="7"/>
  <c r="K124" i="7"/>
  <c r="J124" i="7"/>
  <c r="I124" i="7"/>
  <c r="H124" i="7"/>
  <c r="Q123" i="7"/>
  <c r="K123" i="7"/>
  <c r="J123" i="7"/>
  <c r="I123" i="7"/>
  <c r="H123" i="7"/>
  <c r="K122" i="7"/>
  <c r="J122" i="7"/>
  <c r="I122" i="7"/>
  <c r="H122" i="7"/>
  <c r="P121" i="7"/>
  <c r="Q121" i="7" s="1"/>
  <c r="P119" i="7"/>
  <c r="Q119" i="7" s="1"/>
  <c r="K121" i="7"/>
  <c r="I120" i="7"/>
  <c r="D119" i="7"/>
  <c r="P118" i="7"/>
  <c r="Q118" i="7" s="1"/>
  <c r="P117" i="7"/>
  <c r="Q117" i="7" s="1"/>
  <c r="P116" i="7"/>
  <c r="Q116" i="7" s="1"/>
  <c r="K117" i="7"/>
  <c r="D116" i="7"/>
  <c r="AD113" i="7" s="1"/>
  <c r="P115" i="7"/>
  <c r="Q115" i="7" s="1"/>
  <c r="K115" i="7"/>
  <c r="J115" i="7"/>
  <c r="I115" i="7"/>
  <c r="H115" i="7"/>
  <c r="P114" i="7"/>
  <c r="Q114" i="7" s="1"/>
  <c r="K114" i="7"/>
  <c r="J114" i="7"/>
  <c r="I114" i="7"/>
  <c r="H114" i="7"/>
  <c r="AD112" i="7"/>
  <c r="K113" i="7"/>
  <c r="J113" i="7"/>
  <c r="I113" i="7"/>
  <c r="H113" i="7"/>
  <c r="O109" i="7"/>
  <c r="P109" i="7" s="1"/>
  <c r="Q109" i="7" s="1"/>
  <c r="O108" i="7"/>
  <c r="P108" i="7" s="1"/>
  <c r="Q108" i="7" s="1"/>
  <c r="O107" i="7"/>
  <c r="P107" i="7" s="1"/>
  <c r="Q107" i="7" s="1"/>
  <c r="O106" i="7"/>
  <c r="P106" i="7" s="1"/>
  <c r="Q106" i="7" s="1"/>
  <c r="O105" i="7"/>
  <c r="P105" i="7" s="1"/>
  <c r="Q105" i="7" s="1"/>
  <c r="O104" i="7"/>
  <c r="P104" i="7" s="1"/>
  <c r="Q104" i="7" s="1"/>
  <c r="O103" i="7"/>
  <c r="P103" i="7" s="1"/>
  <c r="Q103" i="7" s="1"/>
  <c r="O102" i="7"/>
  <c r="P102" i="7" s="1"/>
  <c r="Q102" i="7" s="1"/>
  <c r="O101" i="7"/>
  <c r="P101" i="7" s="1"/>
  <c r="Q101" i="7" s="1"/>
  <c r="O100" i="7"/>
  <c r="P100" i="7" s="1"/>
  <c r="Q100" i="7" s="1"/>
  <c r="O99" i="7"/>
  <c r="P99" i="7" s="1"/>
  <c r="Q99" i="7" s="1"/>
  <c r="O98" i="7"/>
  <c r="P98" i="7" s="1"/>
  <c r="Q98" i="7" s="1"/>
  <c r="O97" i="7"/>
  <c r="P97" i="7" s="1"/>
  <c r="Q97" i="7" s="1"/>
  <c r="O96" i="7"/>
  <c r="P96" i="7" s="1"/>
  <c r="Q96" i="7" s="1"/>
  <c r="O95" i="7"/>
  <c r="P95" i="7" s="1"/>
  <c r="Q95" i="7" s="1"/>
  <c r="O94" i="7"/>
  <c r="P94" i="7" s="1"/>
  <c r="Q94" i="7" s="1"/>
  <c r="O93" i="7"/>
  <c r="P93" i="7" s="1"/>
  <c r="Q93" i="7" s="1"/>
  <c r="O92" i="7"/>
  <c r="P92" i="7" s="1"/>
  <c r="Q92" i="7" s="1"/>
  <c r="O91" i="7"/>
  <c r="P91" i="7" s="1"/>
  <c r="Q91" i="7" s="1"/>
  <c r="O90" i="7"/>
  <c r="P90" i="7" s="1"/>
  <c r="Q90" i="7" s="1"/>
  <c r="O89" i="7"/>
  <c r="P89" i="7" s="1"/>
  <c r="Q89" i="7" s="1"/>
  <c r="O88" i="7"/>
  <c r="P88" i="7" s="1"/>
  <c r="Q88" i="7" s="1"/>
  <c r="O87" i="7"/>
  <c r="O86" i="7"/>
  <c r="P86" i="7" s="1"/>
  <c r="Q86" i="7" s="1"/>
  <c r="O85" i="7"/>
  <c r="P85" i="7" s="1"/>
  <c r="Q85" i="7" s="1"/>
  <c r="O84" i="7"/>
  <c r="P84" i="7" s="1"/>
  <c r="Q84" i="7" s="1"/>
  <c r="O83" i="7"/>
  <c r="P83" i="7" s="1"/>
  <c r="Q83" i="7" s="1"/>
  <c r="O82" i="7"/>
  <c r="P82" i="7" s="1"/>
  <c r="Q82" i="7" s="1"/>
  <c r="O81" i="7"/>
  <c r="P81" i="7" s="1"/>
  <c r="Q81" i="7" s="1"/>
  <c r="O80" i="7"/>
  <c r="P80" i="7" s="1"/>
  <c r="Q80" i="7" s="1"/>
  <c r="O79" i="7"/>
  <c r="Q79" i="7" s="1"/>
  <c r="O78" i="7"/>
  <c r="Q78" i="7" s="1"/>
  <c r="O77" i="7"/>
  <c r="Q77" i="7" s="1"/>
  <c r="O76" i="7"/>
  <c r="P76" i="7" s="1"/>
  <c r="O75" i="7"/>
  <c r="P75" i="7" s="1"/>
  <c r="O74" i="7"/>
  <c r="P74" i="7" s="1"/>
  <c r="O73" i="7"/>
  <c r="Q73" i="7" s="1"/>
  <c r="O72" i="7"/>
  <c r="P72" i="7" s="1"/>
  <c r="O71" i="7"/>
  <c r="P71" i="7" s="1"/>
  <c r="O70" i="7"/>
  <c r="P70" i="7" s="1"/>
  <c r="O69" i="7"/>
  <c r="P69" i="7" s="1"/>
  <c r="O68" i="7"/>
  <c r="P68" i="7" s="1"/>
  <c r="O67" i="7"/>
  <c r="P67" i="7" s="1"/>
  <c r="Q67" i="7" s="1"/>
  <c r="O66" i="7"/>
  <c r="P66" i="7" s="1"/>
  <c r="Q66" i="7" s="1"/>
  <c r="O65" i="7"/>
  <c r="P65" i="7" s="1"/>
  <c r="Q65" i="7" s="1"/>
  <c r="O64" i="7"/>
  <c r="P64" i="7" s="1"/>
  <c r="Q64" i="7" s="1"/>
  <c r="O63" i="7"/>
  <c r="P63" i="7" s="1"/>
  <c r="Q63" i="7" s="1"/>
  <c r="O62" i="7"/>
  <c r="P62" i="7" s="1"/>
  <c r="Q62" i="7" s="1"/>
  <c r="O61" i="7"/>
  <c r="P61" i="7" s="1"/>
  <c r="Q61" i="7" s="1"/>
  <c r="O60" i="7"/>
  <c r="P60" i="7" s="1"/>
  <c r="Q60" i="7" s="1"/>
  <c r="O59" i="7"/>
  <c r="P59" i="7" s="1"/>
  <c r="Q59" i="7" s="1"/>
  <c r="K107" i="7"/>
  <c r="J103" i="7"/>
  <c r="I102" i="7"/>
  <c r="K95" i="7"/>
  <c r="H97" i="7"/>
  <c r="P87" i="7"/>
  <c r="Q87" i="7" s="1"/>
  <c r="K86" i="7"/>
  <c r="I88" i="7"/>
  <c r="K83" i="7"/>
  <c r="H85" i="7"/>
  <c r="K82" i="7"/>
  <c r="J82" i="7"/>
  <c r="I82" i="7"/>
  <c r="H82" i="7"/>
  <c r="K81" i="7"/>
  <c r="J81" i="7"/>
  <c r="I81" i="7"/>
  <c r="H81" i="7"/>
  <c r="K80" i="7"/>
  <c r="J80" i="7"/>
  <c r="I80" i="7"/>
  <c r="H80" i="7"/>
  <c r="K79" i="7"/>
  <c r="J79" i="7"/>
  <c r="I79" i="7"/>
  <c r="H79" i="7"/>
  <c r="K78" i="7"/>
  <c r="J78" i="7"/>
  <c r="I78" i="7"/>
  <c r="H78" i="7"/>
  <c r="K77" i="7"/>
  <c r="J77" i="7"/>
  <c r="I77" i="7"/>
  <c r="H77" i="7"/>
  <c r="K76" i="7"/>
  <c r="K73" i="7"/>
  <c r="J73" i="7"/>
  <c r="I73" i="7"/>
  <c r="H73" i="7"/>
  <c r="K72" i="7"/>
  <c r="J72" i="7"/>
  <c r="I72" i="7"/>
  <c r="H72" i="7"/>
  <c r="K71" i="7"/>
  <c r="J71" i="7"/>
  <c r="I71" i="7"/>
  <c r="H71" i="7"/>
  <c r="K70" i="7"/>
  <c r="J70" i="7"/>
  <c r="I70" i="7"/>
  <c r="H70" i="7"/>
  <c r="K69" i="7"/>
  <c r="J69" i="7"/>
  <c r="I69" i="7"/>
  <c r="H69" i="7"/>
  <c r="K68" i="7"/>
  <c r="J68" i="7"/>
  <c r="I68" i="7"/>
  <c r="H68" i="7"/>
  <c r="K67" i="7"/>
  <c r="I67" i="7"/>
  <c r="D65" i="7"/>
  <c r="D68" i="7" s="1"/>
  <c r="K64" i="7"/>
  <c r="D62" i="7"/>
  <c r="AD59" i="7" s="1"/>
  <c r="K61" i="7"/>
  <c r="J61" i="7"/>
  <c r="I61" i="7"/>
  <c r="H61" i="7"/>
  <c r="K60" i="7"/>
  <c r="J60" i="7"/>
  <c r="I60" i="7"/>
  <c r="H60" i="7"/>
  <c r="AD58" i="7"/>
  <c r="K59" i="7"/>
  <c r="J59" i="7"/>
  <c r="I59" i="7"/>
  <c r="H59" i="7"/>
  <c r="J94" i="34"/>
  <c r="I94" i="34"/>
  <c r="H94" i="34"/>
  <c r="K94" i="34" s="1"/>
  <c r="J93" i="34"/>
  <c r="M93" i="34" s="1"/>
  <c r="I93" i="34"/>
  <c r="H93" i="34"/>
  <c r="K93" i="34" s="1"/>
  <c r="J92" i="34"/>
  <c r="M92" i="34" s="1"/>
  <c r="I92" i="34"/>
  <c r="L92" i="34" s="1"/>
  <c r="H92" i="34"/>
  <c r="M91" i="34"/>
  <c r="L91" i="34"/>
  <c r="L90" i="34"/>
  <c r="K90" i="34"/>
  <c r="J89" i="34"/>
  <c r="M89" i="34" s="1"/>
  <c r="M88" i="34"/>
  <c r="M87" i="34"/>
  <c r="K87" i="34"/>
  <c r="L84" i="34"/>
  <c r="L83" i="34"/>
  <c r="K82" i="34"/>
  <c r="J81" i="34"/>
  <c r="I81" i="34"/>
  <c r="H81" i="34"/>
  <c r="K81" i="34" s="1"/>
  <c r="M80" i="34"/>
  <c r="J79" i="34"/>
  <c r="M79" i="34" s="1"/>
  <c r="I79" i="34"/>
  <c r="L79" i="34" s="1"/>
  <c r="H79" i="34"/>
  <c r="K79" i="34" s="1"/>
  <c r="J78" i="34"/>
  <c r="M78" i="34" s="1"/>
  <c r="I78" i="34"/>
  <c r="H78" i="34"/>
  <c r="J77" i="34"/>
  <c r="M77" i="34" s="1"/>
  <c r="I77" i="34"/>
  <c r="L77" i="34" s="1"/>
  <c r="H77" i="34"/>
  <c r="K61" i="34"/>
  <c r="J60" i="34"/>
  <c r="M60" i="34" s="1"/>
  <c r="L59" i="34"/>
  <c r="L58" i="34"/>
  <c r="K58" i="34"/>
  <c r="K57" i="34"/>
  <c r="M56" i="34"/>
  <c r="M55" i="34"/>
  <c r="L55" i="34"/>
  <c r="L54" i="34"/>
  <c r="K54" i="34"/>
  <c r="M52" i="34"/>
  <c r="L51" i="34"/>
  <c r="K50" i="34"/>
  <c r="K49" i="34"/>
  <c r="M48" i="34"/>
  <c r="M47" i="34"/>
  <c r="L47" i="34"/>
  <c r="J46" i="34"/>
  <c r="M46" i="34" s="1"/>
  <c r="I46" i="34"/>
  <c r="H46" i="34"/>
  <c r="J45" i="34"/>
  <c r="M45" i="34" s="1"/>
  <c r="I45" i="34"/>
  <c r="L45" i="34" s="1"/>
  <c r="H45" i="34"/>
  <c r="J44" i="34"/>
  <c r="M44" i="34" s="1"/>
  <c r="I44" i="34"/>
  <c r="L44" i="34" s="1"/>
  <c r="H44" i="34"/>
  <c r="J28" i="34"/>
  <c r="M28" i="34" s="1"/>
  <c r="I28" i="34"/>
  <c r="H28" i="34"/>
  <c r="J27" i="34"/>
  <c r="M27" i="34" s="1"/>
  <c r="H27" i="34"/>
  <c r="M26" i="34"/>
  <c r="I26" i="34"/>
  <c r="L26" i="34" s="1"/>
  <c r="H26" i="34"/>
  <c r="M23" i="34"/>
  <c r="K23" i="34"/>
  <c r="J22" i="34"/>
  <c r="L20" i="34"/>
  <c r="K20" i="34"/>
  <c r="J17" i="34"/>
  <c r="I17" i="34"/>
  <c r="L17" i="34" s="1"/>
  <c r="K17" i="34"/>
  <c r="J16" i="34"/>
  <c r="M16" i="34" s="1"/>
  <c r="I16" i="34"/>
  <c r="H16" i="34"/>
  <c r="J15" i="34"/>
  <c r="I15" i="34"/>
  <c r="L15" i="34" s="1"/>
  <c r="H15" i="34"/>
  <c r="J14" i="34"/>
  <c r="I14" i="34"/>
  <c r="L14" i="34" s="1"/>
  <c r="H14" i="34"/>
  <c r="K14" i="34" s="1"/>
  <c r="J13" i="34"/>
  <c r="I13" i="34"/>
  <c r="H13" i="34"/>
  <c r="K13" i="34" s="1"/>
  <c r="J12" i="34"/>
  <c r="I12" i="34"/>
  <c r="H12" i="34"/>
  <c r="K12" i="34" s="1"/>
  <c r="J11" i="34"/>
  <c r="M11" i="34" s="1"/>
  <c r="I11" i="34"/>
  <c r="L11" i="34" s="1"/>
  <c r="H11" i="34"/>
  <c r="K11" i="34" s="1"/>
  <c r="H6" i="34"/>
  <c r="N100" i="34"/>
  <c r="N99" i="34"/>
  <c r="N98" i="34"/>
  <c r="N97" i="34"/>
  <c r="N96" i="34"/>
  <c r="O96" i="34" s="1"/>
  <c r="P96" i="34" s="1"/>
  <c r="Q96" i="34" s="1"/>
  <c r="R96" i="34" s="1"/>
  <c r="N95" i="34"/>
  <c r="L94" i="34"/>
  <c r="M94" i="34"/>
  <c r="L93" i="34"/>
  <c r="K92" i="34"/>
  <c r="K91" i="34"/>
  <c r="M90" i="34"/>
  <c r="L89" i="34"/>
  <c r="K89" i="34"/>
  <c r="L88" i="34"/>
  <c r="K88" i="34"/>
  <c r="L87" i="34"/>
  <c r="K86" i="34"/>
  <c r="M86" i="34"/>
  <c r="L86" i="34"/>
  <c r="M85" i="34"/>
  <c r="K85" i="34"/>
  <c r="L85" i="34"/>
  <c r="K84" i="34"/>
  <c r="M84" i="34"/>
  <c r="M83" i="34"/>
  <c r="K83" i="34"/>
  <c r="L82" i="34"/>
  <c r="M82" i="34"/>
  <c r="M81" i="34"/>
  <c r="L81" i="34"/>
  <c r="L80" i="34"/>
  <c r="K80" i="34"/>
  <c r="W79" i="34"/>
  <c r="W78" i="34"/>
  <c r="K78" i="34"/>
  <c r="L78" i="34"/>
  <c r="W77" i="34"/>
  <c r="K77" i="34"/>
  <c r="W76" i="34"/>
  <c r="W75" i="34"/>
  <c r="W74" i="34"/>
  <c r="G74" i="34"/>
  <c r="W73" i="34"/>
  <c r="W72" i="34"/>
  <c r="W71" i="34"/>
  <c r="G71" i="34"/>
  <c r="I73" i="34" s="1"/>
  <c r="L73" i="34" s="1"/>
  <c r="N67" i="34"/>
  <c r="N66" i="34"/>
  <c r="N65" i="34"/>
  <c r="N64" i="34"/>
  <c r="N63" i="34"/>
  <c r="O63" i="34" s="1"/>
  <c r="P63" i="34" s="1"/>
  <c r="Q63" i="34" s="1"/>
  <c r="R63" i="34" s="1"/>
  <c r="N62" i="34"/>
  <c r="L61" i="34"/>
  <c r="M61" i="34"/>
  <c r="L60" i="34"/>
  <c r="K60" i="34"/>
  <c r="M59" i="34"/>
  <c r="K59" i="34"/>
  <c r="M58" i="34"/>
  <c r="M57" i="34"/>
  <c r="L57" i="34"/>
  <c r="L56" i="34"/>
  <c r="K56" i="34"/>
  <c r="K55" i="34"/>
  <c r="M54" i="34"/>
  <c r="K53" i="34"/>
  <c r="M53" i="34"/>
  <c r="L53" i="34"/>
  <c r="L52" i="34"/>
  <c r="K52" i="34"/>
  <c r="M51" i="34"/>
  <c r="K51" i="34"/>
  <c r="M50" i="34"/>
  <c r="L50" i="34"/>
  <c r="M49" i="34"/>
  <c r="L49" i="34"/>
  <c r="L48" i="34"/>
  <c r="K48" i="34"/>
  <c r="K47" i="34"/>
  <c r="W46" i="34"/>
  <c r="L46" i="34"/>
  <c r="K46" i="34"/>
  <c r="W45" i="34"/>
  <c r="K45" i="34"/>
  <c r="W44" i="34"/>
  <c r="K44" i="34"/>
  <c r="W43" i="34"/>
  <c r="W42" i="34"/>
  <c r="W41" i="34"/>
  <c r="G41" i="34"/>
  <c r="W40" i="34"/>
  <c r="W39" i="34"/>
  <c r="W38" i="34"/>
  <c r="G38" i="34"/>
  <c r="H40" i="34" s="1"/>
  <c r="K40" i="34" s="1"/>
  <c r="N34" i="34"/>
  <c r="N33" i="34"/>
  <c r="O33" i="34" s="1"/>
  <c r="P33" i="34" s="1"/>
  <c r="Q33" i="34" s="1"/>
  <c r="R33" i="34" s="1"/>
  <c r="N32" i="34"/>
  <c r="O32" i="34" s="1"/>
  <c r="P32" i="34" s="1"/>
  <c r="Q32" i="34" s="1"/>
  <c r="R32" i="34" s="1"/>
  <c r="N31" i="34"/>
  <c r="O31" i="34" s="1"/>
  <c r="P31" i="34" s="1"/>
  <c r="Q31" i="34" s="1"/>
  <c r="R31" i="34" s="1"/>
  <c r="N30" i="34"/>
  <c r="N29" i="34"/>
  <c r="L28" i="34"/>
  <c r="K28" i="34"/>
  <c r="L27" i="34"/>
  <c r="K27" i="34"/>
  <c r="K26" i="34"/>
  <c r="M25" i="34"/>
  <c r="L25" i="34"/>
  <c r="K25" i="34"/>
  <c r="N25" i="34" s="1"/>
  <c r="O25" i="34" s="1"/>
  <c r="P25" i="34" s="1"/>
  <c r="Q25" i="34" s="1"/>
  <c r="R25" i="34" s="1"/>
  <c r="M24" i="34"/>
  <c r="L24" i="34"/>
  <c r="K24" i="34"/>
  <c r="L23" i="34"/>
  <c r="M22" i="34"/>
  <c r="L22" i="34"/>
  <c r="K22" i="34"/>
  <c r="M21" i="34"/>
  <c r="L21" i="34"/>
  <c r="K21" i="34"/>
  <c r="M20" i="34"/>
  <c r="M19" i="34"/>
  <c r="L19" i="34"/>
  <c r="K19" i="34"/>
  <c r="M18" i="34"/>
  <c r="L18" i="34"/>
  <c r="K18" i="34"/>
  <c r="M17" i="34"/>
  <c r="L16" i="34"/>
  <c r="K16" i="34"/>
  <c r="M15" i="34"/>
  <c r="K15" i="34"/>
  <c r="M14" i="34"/>
  <c r="W13" i="34"/>
  <c r="M13" i="34"/>
  <c r="L13" i="34"/>
  <c r="W12" i="34"/>
  <c r="L12" i="34"/>
  <c r="M12" i="34"/>
  <c r="W11" i="34"/>
  <c r="W10" i="34"/>
  <c r="W9" i="34"/>
  <c r="W8" i="34"/>
  <c r="G8" i="34"/>
  <c r="W7" i="34"/>
  <c r="W6" i="34"/>
  <c r="W5" i="34"/>
  <c r="G5" i="34"/>
  <c r="H7" i="34" s="1"/>
  <c r="K7" i="34" s="1"/>
  <c r="N100" i="13"/>
  <c r="N99" i="13"/>
  <c r="N98" i="13"/>
  <c r="N97" i="13"/>
  <c r="N96" i="13"/>
  <c r="N95" i="13"/>
  <c r="J94" i="13"/>
  <c r="M94" i="13" s="1"/>
  <c r="I94" i="13"/>
  <c r="L94" i="13" s="1"/>
  <c r="H94" i="13"/>
  <c r="K94" i="13" s="1"/>
  <c r="J93" i="13"/>
  <c r="M93" i="13" s="1"/>
  <c r="I93" i="13"/>
  <c r="L93" i="13" s="1"/>
  <c r="H93" i="13"/>
  <c r="K93" i="13" s="1"/>
  <c r="J92" i="13"/>
  <c r="M92" i="13" s="1"/>
  <c r="I92" i="13"/>
  <c r="L92" i="13" s="1"/>
  <c r="H92" i="13"/>
  <c r="K92" i="13" s="1"/>
  <c r="J91" i="13"/>
  <c r="M91" i="13" s="1"/>
  <c r="L91" i="13"/>
  <c r="K91" i="13"/>
  <c r="J90" i="13"/>
  <c r="M90" i="13" s="1"/>
  <c r="L90" i="13"/>
  <c r="K90" i="13"/>
  <c r="M89" i="13"/>
  <c r="L89" i="13"/>
  <c r="K89" i="13"/>
  <c r="K88" i="13"/>
  <c r="M88" i="13"/>
  <c r="L88" i="13"/>
  <c r="J87" i="13"/>
  <c r="M87" i="13" s="1"/>
  <c r="L87" i="13"/>
  <c r="K87" i="13"/>
  <c r="M86" i="13"/>
  <c r="L86" i="13"/>
  <c r="K86" i="13"/>
  <c r="J85" i="13"/>
  <c r="M85" i="13" s="1"/>
  <c r="I85" i="13"/>
  <c r="L85" i="13" s="1"/>
  <c r="K85" i="13"/>
  <c r="J84" i="13"/>
  <c r="M84" i="13" s="1"/>
  <c r="I84" i="13"/>
  <c r="L84" i="13" s="1"/>
  <c r="K84" i="13"/>
  <c r="J83" i="13"/>
  <c r="M83" i="13" s="1"/>
  <c r="I83" i="13"/>
  <c r="L83" i="13" s="1"/>
  <c r="K83" i="13"/>
  <c r="W79" i="13"/>
  <c r="M79" i="13"/>
  <c r="L79" i="13"/>
  <c r="K79" i="13"/>
  <c r="W78" i="13"/>
  <c r="K78" i="13"/>
  <c r="M78" i="13"/>
  <c r="L78" i="13"/>
  <c r="W77" i="13"/>
  <c r="M77" i="13"/>
  <c r="L77" i="13"/>
  <c r="K77" i="13"/>
  <c r="W76" i="13"/>
  <c r="W75" i="13"/>
  <c r="W74" i="13"/>
  <c r="G74" i="13"/>
  <c r="W73" i="13"/>
  <c r="W72" i="13"/>
  <c r="W71" i="13"/>
  <c r="G71" i="13"/>
  <c r="W46" i="13"/>
  <c r="W45" i="13"/>
  <c r="W44" i="13"/>
  <c r="W43" i="13"/>
  <c r="W42" i="13"/>
  <c r="W41" i="13"/>
  <c r="W40" i="13"/>
  <c r="W39" i="13"/>
  <c r="W38" i="13"/>
  <c r="N67" i="13"/>
  <c r="N66" i="13"/>
  <c r="N65" i="13"/>
  <c r="N64" i="13"/>
  <c r="N63" i="13"/>
  <c r="N62" i="13"/>
  <c r="J61" i="13"/>
  <c r="M61" i="13" s="1"/>
  <c r="I61" i="13"/>
  <c r="L61" i="13" s="1"/>
  <c r="K61" i="13"/>
  <c r="M60" i="13"/>
  <c r="L60" i="13"/>
  <c r="K60" i="13"/>
  <c r="K59" i="13"/>
  <c r="M59" i="13"/>
  <c r="L59" i="13"/>
  <c r="J58" i="13"/>
  <c r="M58" i="13" s="1"/>
  <c r="I58" i="13"/>
  <c r="L58" i="13" s="1"/>
  <c r="H58" i="13"/>
  <c r="K58" i="13" s="1"/>
  <c r="M57" i="13"/>
  <c r="L57" i="13"/>
  <c r="K57" i="13"/>
  <c r="M56" i="13"/>
  <c r="L56" i="13"/>
  <c r="K56" i="13"/>
  <c r="M55" i="13"/>
  <c r="L55" i="13"/>
  <c r="K55" i="13"/>
  <c r="M54" i="13"/>
  <c r="L54" i="13"/>
  <c r="K54" i="13"/>
  <c r="M53" i="13"/>
  <c r="L53" i="13"/>
  <c r="K53" i="13"/>
  <c r="M52" i="13"/>
  <c r="L52" i="13"/>
  <c r="K52" i="13"/>
  <c r="M51" i="13"/>
  <c r="L51" i="13"/>
  <c r="K51" i="13"/>
  <c r="M50" i="13"/>
  <c r="L50" i="13"/>
  <c r="K50" i="13"/>
  <c r="M49" i="13"/>
  <c r="L49" i="13"/>
  <c r="K49" i="13"/>
  <c r="M48" i="13"/>
  <c r="L48" i="13"/>
  <c r="K48" i="13"/>
  <c r="M47" i="13"/>
  <c r="L47" i="13"/>
  <c r="K47" i="13"/>
  <c r="M46" i="13"/>
  <c r="L46" i="13"/>
  <c r="K46" i="13"/>
  <c r="M45" i="13"/>
  <c r="L45" i="13"/>
  <c r="K45" i="13"/>
  <c r="M44" i="13"/>
  <c r="L44" i="13"/>
  <c r="K44" i="13"/>
  <c r="G41" i="13"/>
  <c r="G38" i="13"/>
  <c r="R131" i="35" l="1"/>
  <c r="N53" i="34"/>
  <c r="O53" i="34" s="1"/>
  <c r="P53" i="34" s="1"/>
  <c r="Q53" i="34" s="1"/>
  <c r="R53" i="34" s="1"/>
  <c r="I7" i="34"/>
  <c r="L7" i="34" s="1"/>
  <c r="N94" i="34"/>
  <c r="O94" i="34" s="1"/>
  <c r="P94" i="34" s="1"/>
  <c r="Q94" i="34" s="1"/>
  <c r="R94" i="34" s="1"/>
  <c r="J74" i="34"/>
  <c r="M74" i="34" s="1"/>
  <c r="H76" i="34"/>
  <c r="K76" i="34" s="1"/>
  <c r="I74" i="34"/>
  <c r="H74" i="34"/>
  <c r="J76" i="34"/>
  <c r="M76" i="34" s="1"/>
  <c r="I76" i="34"/>
  <c r="L76" i="34" s="1"/>
  <c r="I40" i="34"/>
  <c r="L40" i="34" s="1"/>
  <c r="J71" i="34"/>
  <c r="M71" i="34" s="1"/>
  <c r="N24" i="34"/>
  <c r="O24" i="34" s="1"/>
  <c r="P24" i="34" s="1"/>
  <c r="Q24" i="34" s="1"/>
  <c r="R24" i="34" s="1"/>
  <c r="H5" i="34"/>
  <c r="K5" i="34" s="1"/>
  <c r="I6" i="34"/>
  <c r="J7" i="34"/>
  <c r="H38" i="34"/>
  <c r="K38" i="34" s="1"/>
  <c r="I39" i="34"/>
  <c r="L39" i="34" s="1"/>
  <c r="J40" i="34"/>
  <c r="H72" i="34"/>
  <c r="K72" i="34" s="1"/>
  <c r="J75" i="34"/>
  <c r="N93" i="34"/>
  <c r="O93" i="34" s="1"/>
  <c r="P93" i="34" s="1"/>
  <c r="Q93" i="34" s="1"/>
  <c r="R93" i="34" s="1"/>
  <c r="H39" i="34"/>
  <c r="H73" i="34"/>
  <c r="K73" i="34" s="1"/>
  <c r="I75" i="34"/>
  <c r="I9" i="34"/>
  <c r="L9" i="34" s="1"/>
  <c r="H8" i="34"/>
  <c r="H9" i="34"/>
  <c r="K9" i="34" s="1"/>
  <c r="H10" i="34"/>
  <c r="J9" i="34"/>
  <c r="M9" i="34" s="1"/>
  <c r="I8" i="34"/>
  <c r="I10" i="34"/>
  <c r="L10" i="34" s="1"/>
  <c r="J8" i="34"/>
  <c r="I5" i="34"/>
  <c r="L5" i="34" s="1"/>
  <c r="J6" i="34"/>
  <c r="M6" i="34" s="1"/>
  <c r="J10" i="34"/>
  <c r="M10" i="34" s="1"/>
  <c r="I38" i="34"/>
  <c r="L38" i="34" s="1"/>
  <c r="J39" i="34"/>
  <c r="M39" i="34" s="1"/>
  <c r="H71" i="34"/>
  <c r="K71" i="34" s="1"/>
  <c r="I72" i="34"/>
  <c r="L72" i="34" s="1"/>
  <c r="N72" i="34" s="1"/>
  <c r="O72" i="34" s="1"/>
  <c r="P72" i="34" s="1"/>
  <c r="Q72" i="34" s="1"/>
  <c r="R72" i="34" s="1"/>
  <c r="J73" i="34"/>
  <c r="M73" i="34" s="1"/>
  <c r="N16" i="34"/>
  <c r="O16" i="34" s="1"/>
  <c r="P16" i="34" s="1"/>
  <c r="Q16" i="34" s="1"/>
  <c r="R16" i="34" s="1"/>
  <c r="I43" i="34"/>
  <c r="H42" i="34"/>
  <c r="K42" i="34" s="1"/>
  <c r="I41" i="34"/>
  <c r="J41" i="34"/>
  <c r="M41" i="34" s="1"/>
  <c r="H43" i="34"/>
  <c r="J43" i="34"/>
  <c r="M43" i="34" s="1"/>
  <c r="I42" i="34"/>
  <c r="H41" i="34"/>
  <c r="J42" i="34"/>
  <c r="J5" i="34"/>
  <c r="M5" i="34" s="1"/>
  <c r="J38" i="34"/>
  <c r="I71" i="34"/>
  <c r="L71" i="34" s="1"/>
  <c r="N71" i="34" s="1"/>
  <c r="O71" i="34" s="1"/>
  <c r="P71" i="34" s="1"/>
  <c r="Q71" i="34" s="1"/>
  <c r="R71" i="34" s="1"/>
  <c r="J72" i="34"/>
  <c r="M72" i="34" s="1"/>
  <c r="H75" i="34"/>
  <c r="K75" i="34" s="1"/>
  <c r="I42" i="13"/>
  <c r="I41" i="13"/>
  <c r="J42" i="13"/>
  <c r="M42" i="13" s="1"/>
  <c r="H43" i="13"/>
  <c r="J43" i="13"/>
  <c r="J41" i="13"/>
  <c r="H41" i="13"/>
  <c r="K41" i="13" s="1"/>
  <c r="H42" i="13"/>
  <c r="I43" i="13"/>
  <c r="J39" i="13"/>
  <c r="M39" i="13" s="1"/>
  <c r="I38" i="13"/>
  <c r="J38" i="13"/>
  <c r="H40" i="13"/>
  <c r="I40" i="13"/>
  <c r="L40" i="13" s="1"/>
  <c r="H39" i="13"/>
  <c r="J40" i="13"/>
  <c r="I39" i="13"/>
  <c r="H38" i="13"/>
  <c r="K38" i="13" s="1"/>
  <c r="J73" i="13"/>
  <c r="I72" i="13"/>
  <c r="H71" i="13"/>
  <c r="I73" i="13"/>
  <c r="L73" i="13" s="1"/>
  <c r="H72" i="13"/>
  <c r="H73" i="13"/>
  <c r="J71" i="13"/>
  <c r="J72" i="13"/>
  <c r="M72" i="13" s="1"/>
  <c r="I71" i="13"/>
  <c r="H75" i="13"/>
  <c r="K75" i="13" s="1"/>
  <c r="H76" i="13"/>
  <c r="K76" i="13" s="1"/>
  <c r="I75" i="13"/>
  <c r="J74" i="13"/>
  <c r="I74" i="13"/>
  <c r="L74" i="13" s="1"/>
  <c r="J76" i="13"/>
  <c r="M76" i="13" s="1"/>
  <c r="H74" i="13"/>
  <c r="I76" i="13"/>
  <c r="K8" i="35"/>
  <c r="H20" i="35"/>
  <c r="H31" i="35"/>
  <c r="J33" i="35"/>
  <c r="I42" i="35"/>
  <c r="K44" i="35"/>
  <c r="I46" i="35"/>
  <c r="J51" i="35"/>
  <c r="H53" i="35"/>
  <c r="H55" i="35"/>
  <c r="N71" i="35"/>
  <c r="N80" i="35"/>
  <c r="R80" i="35" s="1"/>
  <c r="V80" i="35" s="1"/>
  <c r="H39" i="35"/>
  <c r="G35" i="35"/>
  <c r="N19" i="35"/>
  <c r="H21" i="35"/>
  <c r="I38" i="35"/>
  <c r="K40" i="35"/>
  <c r="K116" i="35"/>
  <c r="I13" i="35"/>
  <c r="H22" i="35"/>
  <c r="I30" i="35"/>
  <c r="K32" i="35"/>
  <c r="I34" i="35"/>
  <c r="H43" i="35"/>
  <c r="J45" i="35"/>
  <c r="H47" i="35"/>
  <c r="J50" i="35"/>
  <c r="I52" i="35"/>
  <c r="I54" i="35"/>
  <c r="N123" i="35"/>
  <c r="R123" i="35" s="1"/>
  <c r="V123" i="35" s="1"/>
  <c r="I138" i="35"/>
  <c r="AD60" i="35"/>
  <c r="J88" i="35"/>
  <c r="K87" i="35"/>
  <c r="J87" i="35"/>
  <c r="K86" i="35"/>
  <c r="K88" i="35"/>
  <c r="J100" i="35"/>
  <c r="K99" i="35"/>
  <c r="J99" i="35"/>
  <c r="K98" i="35"/>
  <c r="K100" i="35"/>
  <c r="H117" i="35"/>
  <c r="I116" i="35"/>
  <c r="H116" i="35"/>
  <c r="H118" i="35"/>
  <c r="I117" i="35"/>
  <c r="J159" i="35"/>
  <c r="K158" i="35"/>
  <c r="J158" i="35"/>
  <c r="K160" i="35"/>
  <c r="J160" i="35"/>
  <c r="K159" i="35"/>
  <c r="I9" i="35"/>
  <c r="K11" i="35"/>
  <c r="J41" i="35"/>
  <c r="AD6" i="35"/>
  <c r="H62" i="35"/>
  <c r="I64" i="35"/>
  <c r="H63" i="35"/>
  <c r="I62" i="35"/>
  <c r="K67" i="35"/>
  <c r="J67" i="35"/>
  <c r="K66" i="35"/>
  <c r="J65" i="35"/>
  <c r="J76" i="35"/>
  <c r="K75" i="35"/>
  <c r="J75" i="35"/>
  <c r="K74" i="35"/>
  <c r="K76" i="35"/>
  <c r="J84" i="35"/>
  <c r="K83" i="35"/>
  <c r="J83" i="35"/>
  <c r="J85" i="35"/>
  <c r="K84" i="35"/>
  <c r="G89" i="35"/>
  <c r="J96" i="35"/>
  <c r="K95" i="35"/>
  <c r="J95" i="35"/>
  <c r="J97" i="35"/>
  <c r="K96" i="35"/>
  <c r="K103" i="35"/>
  <c r="J103" i="35"/>
  <c r="K102" i="35"/>
  <c r="J101" i="35"/>
  <c r="J108" i="35"/>
  <c r="K107" i="35"/>
  <c r="J107" i="35"/>
  <c r="J109" i="35"/>
  <c r="K108" i="35"/>
  <c r="AD114" i="35"/>
  <c r="J119" i="35"/>
  <c r="K121" i="35"/>
  <c r="J120" i="35"/>
  <c r="K119" i="35"/>
  <c r="K130" i="35"/>
  <c r="J130" i="35"/>
  <c r="K129" i="35"/>
  <c r="J128" i="35"/>
  <c r="J139" i="35"/>
  <c r="K138" i="35"/>
  <c r="J138" i="35"/>
  <c r="K137" i="35"/>
  <c r="K139" i="35"/>
  <c r="I148" i="35"/>
  <c r="H148" i="35"/>
  <c r="I147" i="35"/>
  <c r="H147" i="35"/>
  <c r="I146" i="35"/>
  <c r="H146" i="35"/>
  <c r="J151" i="35"/>
  <c r="K150" i="35"/>
  <c r="J150" i="35"/>
  <c r="K149" i="35"/>
  <c r="J149" i="35"/>
  <c r="K151" i="35"/>
  <c r="J155" i="35"/>
  <c r="K157" i="35"/>
  <c r="J157" i="35"/>
  <c r="K156" i="35"/>
  <c r="J156" i="35"/>
  <c r="K155" i="35"/>
  <c r="J163" i="35"/>
  <c r="K162" i="35"/>
  <c r="J162" i="35"/>
  <c r="K161" i="35"/>
  <c r="J161" i="35"/>
  <c r="K163" i="35"/>
  <c r="I8" i="35"/>
  <c r="K9" i="35"/>
  <c r="J10" i="35"/>
  <c r="I11" i="35"/>
  <c r="H12" i="35"/>
  <c r="K13" i="35"/>
  <c r="J20" i="35"/>
  <c r="J21" i="35"/>
  <c r="N21" i="35" s="1"/>
  <c r="R21" i="35" s="1"/>
  <c r="V21" i="35" s="1"/>
  <c r="J22" i="35"/>
  <c r="N28" i="35"/>
  <c r="R28" i="35" s="1"/>
  <c r="V28" i="35" s="1"/>
  <c r="H29" i="35"/>
  <c r="K30" i="35"/>
  <c r="J31" i="35"/>
  <c r="I32" i="35"/>
  <c r="H33" i="35"/>
  <c r="K34" i="35"/>
  <c r="J35" i="35"/>
  <c r="K38" i="35"/>
  <c r="J39" i="35"/>
  <c r="I40" i="35"/>
  <c r="H41" i="35"/>
  <c r="K42" i="35"/>
  <c r="J43" i="35"/>
  <c r="I44" i="35"/>
  <c r="H45" i="35"/>
  <c r="K46" i="35"/>
  <c r="J47" i="35"/>
  <c r="I48" i="35"/>
  <c r="H49" i="35"/>
  <c r="H51" i="35"/>
  <c r="K52" i="35"/>
  <c r="K54" i="35"/>
  <c r="J55" i="35"/>
  <c r="J121" i="35"/>
  <c r="K128" i="35"/>
  <c r="J137" i="35"/>
  <c r="J92" i="35"/>
  <c r="K94" i="35"/>
  <c r="J93" i="35"/>
  <c r="K92" i="35"/>
  <c r="J104" i="35"/>
  <c r="K106" i="35"/>
  <c r="J105" i="35"/>
  <c r="K104" i="35"/>
  <c r="F143" i="35"/>
  <c r="H141" i="35"/>
  <c r="I140" i="35"/>
  <c r="H140" i="35"/>
  <c r="I142" i="35"/>
  <c r="H142" i="35"/>
  <c r="I141" i="35"/>
  <c r="K154" i="35"/>
  <c r="J154" i="35"/>
  <c r="K153" i="35"/>
  <c r="J153" i="35"/>
  <c r="K152" i="35"/>
  <c r="J152" i="35"/>
  <c r="H10" i="35"/>
  <c r="N10" i="35" s="1"/>
  <c r="N30" i="35"/>
  <c r="K48" i="35"/>
  <c r="N52" i="35"/>
  <c r="I118" i="35"/>
  <c r="J64" i="35"/>
  <c r="K63" i="35"/>
  <c r="J63" i="35"/>
  <c r="K62" i="35"/>
  <c r="K64" i="35"/>
  <c r="H86" i="35"/>
  <c r="I88" i="35"/>
  <c r="H87" i="35"/>
  <c r="I86" i="35"/>
  <c r="H94" i="35"/>
  <c r="I93" i="35"/>
  <c r="H93" i="35"/>
  <c r="I92" i="35"/>
  <c r="I94" i="35"/>
  <c r="H98" i="35"/>
  <c r="I100" i="35"/>
  <c r="H99" i="35"/>
  <c r="I98" i="35"/>
  <c r="H106" i="35"/>
  <c r="I105" i="35"/>
  <c r="H105" i="35"/>
  <c r="I104" i="35"/>
  <c r="I106" i="35"/>
  <c r="J147" i="35"/>
  <c r="K146" i="35"/>
  <c r="J146" i="35"/>
  <c r="K148" i="35"/>
  <c r="J148" i="35"/>
  <c r="K147" i="35"/>
  <c r="H153" i="35"/>
  <c r="I152" i="35"/>
  <c r="H152" i="35"/>
  <c r="I154" i="35"/>
  <c r="H154" i="35"/>
  <c r="I153" i="35"/>
  <c r="I160" i="35"/>
  <c r="H160" i="35"/>
  <c r="I159" i="35"/>
  <c r="H159" i="35"/>
  <c r="I158" i="35"/>
  <c r="H158" i="35"/>
  <c r="N158" i="35" s="1"/>
  <c r="R158" i="35" s="1"/>
  <c r="N5" i="35"/>
  <c r="J8" i="35"/>
  <c r="H9" i="35"/>
  <c r="K10" i="35"/>
  <c r="J11" i="35"/>
  <c r="I12" i="35"/>
  <c r="H13" i="35"/>
  <c r="N14" i="35"/>
  <c r="N18" i="35"/>
  <c r="K20" i="35"/>
  <c r="K21" i="35"/>
  <c r="N25" i="35"/>
  <c r="R25" i="35" s="1"/>
  <c r="V25" i="35" s="1"/>
  <c r="N26" i="35"/>
  <c r="R26" i="35" s="1"/>
  <c r="I29" i="35"/>
  <c r="H30" i="35"/>
  <c r="K31" i="35"/>
  <c r="J32" i="35"/>
  <c r="N32" i="35" s="1"/>
  <c r="I33" i="35"/>
  <c r="H34" i="35"/>
  <c r="K35" i="35"/>
  <c r="J36" i="35"/>
  <c r="H38" i="35"/>
  <c r="K39" i="35"/>
  <c r="J40" i="35"/>
  <c r="I41" i="35"/>
  <c r="H42" i="35"/>
  <c r="K43" i="35"/>
  <c r="J44" i="35"/>
  <c r="I45" i="35"/>
  <c r="H46" i="35"/>
  <c r="K47" i="35"/>
  <c r="J48" i="35"/>
  <c r="I49" i="35"/>
  <c r="H50" i="35"/>
  <c r="N50" i="35" s="1"/>
  <c r="R50" i="35" s="1"/>
  <c r="V50" i="35" s="1"/>
  <c r="I51" i="35"/>
  <c r="H54" i="35"/>
  <c r="N54" i="35" s="1"/>
  <c r="K55" i="35"/>
  <c r="I63" i="35"/>
  <c r="K65" i="35"/>
  <c r="J74" i="35"/>
  <c r="K85" i="35"/>
  <c r="I87" i="35"/>
  <c r="K93" i="35"/>
  <c r="K97" i="35"/>
  <c r="I99" i="35"/>
  <c r="K101" i="35"/>
  <c r="K105" i="35"/>
  <c r="K109" i="35"/>
  <c r="J12" i="35"/>
  <c r="J29" i="35"/>
  <c r="J49" i="35"/>
  <c r="H66" i="35"/>
  <c r="I65" i="35"/>
  <c r="H65" i="35"/>
  <c r="N65" i="35" s="1"/>
  <c r="H67" i="35"/>
  <c r="I66" i="35"/>
  <c r="H74" i="35"/>
  <c r="I76" i="35"/>
  <c r="H75" i="35"/>
  <c r="I74" i="35"/>
  <c r="I85" i="35"/>
  <c r="H85" i="35"/>
  <c r="N85" i="35" s="1"/>
  <c r="R85" i="35" s="1"/>
  <c r="V85" i="35" s="1"/>
  <c r="I84" i="35"/>
  <c r="H83" i="35"/>
  <c r="H90" i="35"/>
  <c r="I89" i="35"/>
  <c r="H89" i="35"/>
  <c r="H91" i="35"/>
  <c r="I90" i="35"/>
  <c r="I97" i="35"/>
  <c r="H97" i="35"/>
  <c r="I96" i="35"/>
  <c r="H95" i="35"/>
  <c r="H102" i="35"/>
  <c r="N102" i="35" s="1"/>
  <c r="I101" i="35"/>
  <c r="H101" i="35"/>
  <c r="H103" i="35"/>
  <c r="I102" i="35"/>
  <c r="I109" i="35"/>
  <c r="H109" i="35"/>
  <c r="I108" i="35"/>
  <c r="H107" i="35"/>
  <c r="N107" i="35" s="1"/>
  <c r="R107" i="35" s="1"/>
  <c r="K118" i="35"/>
  <c r="J118" i="35"/>
  <c r="K117" i="35"/>
  <c r="J116" i="35"/>
  <c r="H121" i="35"/>
  <c r="I120" i="35"/>
  <c r="H120" i="35"/>
  <c r="I119" i="35"/>
  <c r="I121" i="35"/>
  <c r="H129" i="35"/>
  <c r="I128" i="35"/>
  <c r="H128" i="35"/>
  <c r="N128" i="35" s="1"/>
  <c r="H130" i="35"/>
  <c r="I129" i="35"/>
  <c r="H137" i="35"/>
  <c r="I139" i="35"/>
  <c r="H138" i="35"/>
  <c r="I137" i="35"/>
  <c r="K142" i="35"/>
  <c r="J142" i="35"/>
  <c r="K141" i="35"/>
  <c r="J141" i="35"/>
  <c r="K140" i="35"/>
  <c r="J140" i="35"/>
  <c r="H149" i="35"/>
  <c r="I151" i="35"/>
  <c r="H151" i="35"/>
  <c r="I150" i="35"/>
  <c r="H150" i="35"/>
  <c r="I149" i="35"/>
  <c r="H157" i="35"/>
  <c r="I156" i="35"/>
  <c r="N156" i="35" s="1"/>
  <c r="R156" i="35" s="1"/>
  <c r="V156" i="35" s="1"/>
  <c r="H156" i="35"/>
  <c r="I155" i="35"/>
  <c r="H155" i="35"/>
  <c r="I157" i="35"/>
  <c r="H161" i="35"/>
  <c r="I163" i="35"/>
  <c r="H163" i="35"/>
  <c r="I162" i="35"/>
  <c r="H162" i="35"/>
  <c r="I161" i="35"/>
  <c r="H8" i="35"/>
  <c r="N8" i="35" s="1"/>
  <c r="K12" i="35"/>
  <c r="I20" i="35"/>
  <c r="I21" i="35"/>
  <c r="N24" i="35"/>
  <c r="R24" i="35"/>
  <c r="K29" i="35"/>
  <c r="K33" i="35"/>
  <c r="I39" i="35"/>
  <c r="K41" i="35"/>
  <c r="K45" i="35"/>
  <c r="I47" i="35"/>
  <c r="K51" i="35"/>
  <c r="J53" i="35"/>
  <c r="N53" i="35" s="1"/>
  <c r="R53" i="35" s="1"/>
  <c r="J62" i="35"/>
  <c r="H64" i="35"/>
  <c r="J66" i="35"/>
  <c r="I75" i="35"/>
  <c r="N75" i="35" s="1"/>
  <c r="R75" i="35" s="1"/>
  <c r="V75" i="35" s="1"/>
  <c r="H84" i="35"/>
  <c r="J86" i="35"/>
  <c r="H88" i="35"/>
  <c r="H92" i="35"/>
  <c r="J94" i="35"/>
  <c r="H96" i="35"/>
  <c r="N96" i="35" s="1"/>
  <c r="J98" i="35"/>
  <c r="H100" i="35"/>
  <c r="N100" i="35" s="1"/>
  <c r="R100" i="35" s="1"/>
  <c r="V100" i="35" s="1"/>
  <c r="J102" i="35"/>
  <c r="H104" i="35"/>
  <c r="J106" i="35"/>
  <c r="H108" i="35"/>
  <c r="N122" i="35"/>
  <c r="N134" i="35"/>
  <c r="R134" i="35" s="1"/>
  <c r="V134" i="35" s="1"/>
  <c r="N68" i="35"/>
  <c r="N72" i="35"/>
  <c r="R72" i="35" s="1"/>
  <c r="N61" i="35"/>
  <c r="R61" i="35" s="1"/>
  <c r="N124" i="35"/>
  <c r="N132" i="35"/>
  <c r="N136" i="35"/>
  <c r="R136" i="35" s="1"/>
  <c r="V136" i="35" s="1"/>
  <c r="N89" i="34"/>
  <c r="O89" i="34" s="1"/>
  <c r="P89" i="34" s="1"/>
  <c r="Q89" i="34" s="1"/>
  <c r="R89" i="34" s="1"/>
  <c r="O100" i="34"/>
  <c r="P100" i="34" s="1"/>
  <c r="Q100" i="34" s="1"/>
  <c r="R100" i="34" s="1"/>
  <c r="O99" i="34"/>
  <c r="P99" i="34" s="1"/>
  <c r="Q99" i="34" s="1"/>
  <c r="R99" i="34" s="1"/>
  <c r="O97" i="34"/>
  <c r="P97" i="34" s="1"/>
  <c r="Q97" i="34" s="1"/>
  <c r="R97" i="34" s="1"/>
  <c r="O95" i="34"/>
  <c r="P95" i="34" s="1"/>
  <c r="Q95" i="34" s="1"/>
  <c r="R95" i="34" s="1"/>
  <c r="O98" i="34"/>
  <c r="P98" i="34" s="1"/>
  <c r="Q98" i="34" s="1"/>
  <c r="R98" i="34" s="1"/>
  <c r="O67" i="34"/>
  <c r="P67" i="34" s="1"/>
  <c r="Q67" i="34" s="1"/>
  <c r="R67" i="34" s="1"/>
  <c r="O66" i="34"/>
  <c r="P66" i="34" s="1"/>
  <c r="Q66" i="34" s="1"/>
  <c r="R66" i="34" s="1"/>
  <c r="O65" i="34"/>
  <c r="P65" i="34" s="1"/>
  <c r="Q65" i="34" s="1"/>
  <c r="R65" i="34" s="1"/>
  <c r="O62" i="34"/>
  <c r="P62" i="34" s="1"/>
  <c r="Q62" i="34" s="1"/>
  <c r="R62" i="34" s="1"/>
  <c r="O64" i="34"/>
  <c r="P64" i="34" s="1"/>
  <c r="Q64" i="34" s="1"/>
  <c r="R64" i="34" s="1"/>
  <c r="N61" i="34"/>
  <c r="O61" i="34" s="1"/>
  <c r="P61" i="34" s="1"/>
  <c r="Q61" i="34" s="1"/>
  <c r="R61" i="34" s="1"/>
  <c r="N58" i="34"/>
  <c r="O58" i="34" s="1"/>
  <c r="P58" i="34" s="1"/>
  <c r="Q58" i="34" s="1"/>
  <c r="R58" i="34" s="1"/>
  <c r="N57" i="34"/>
  <c r="O57" i="34" s="1"/>
  <c r="P57" i="34" s="1"/>
  <c r="Q57" i="34" s="1"/>
  <c r="R57" i="34" s="1"/>
  <c r="N50" i="34"/>
  <c r="O50" i="34" s="1"/>
  <c r="P50" i="34" s="1"/>
  <c r="Q50" i="34" s="1"/>
  <c r="R50" i="34" s="1"/>
  <c r="O29" i="34"/>
  <c r="P29" i="34" s="1"/>
  <c r="Q29" i="34" s="1"/>
  <c r="R29" i="34" s="1"/>
  <c r="O34" i="34"/>
  <c r="P34" i="34" s="1"/>
  <c r="Q34" i="34" s="1"/>
  <c r="R34" i="34" s="1"/>
  <c r="O30" i="34"/>
  <c r="P30" i="34" s="1"/>
  <c r="Q30" i="34" s="1"/>
  <c r="R30" i="34" s="1"/>
  <c r="N20" i="34"/>
  <c r="O20" i="34" s="1"/>
  <c r="P20" i="34" s="1"/>
  <c r="Q20" i="34" s="1"/>
  <c r="R20" i="34" s="1"/>
  <c r="N21" i="34"/>
  <c r="O21" i="34" s="1"/>
  <c r="P21" i="34" s="1"/>
  <c r="Q21" i="34" s="1"/>
  <c r="R21" i="34" s="1"/>
  <c r="O100" i="13"/>
  <c r="P100" i="13" s="1"/>
  <c r="Q100" i="13" s="1"/>
  <c r="R100" i="13" s="1"/>
  <c r="O99" i="13"/>
  <c r="P99" i="13" s="1"/>
  <c r="Q99" i="13" s="1"/>
  <c r="R99" i="13" s="1"/>
  <c r="O98" i="13"/>
  <c r="P98" i="13" s="1"/>
  <c r="Q98" i="13" s="1"/>
  <c r="R98" i="13" s="1"/>
  <c r="O97" i="13"/>
  <c r="P97" i="13" s="1"/>
  <c r="Q97" i="13" s="1"/>
  <c r="R97" i="13" s="1"/>
  <c r="O96" i="13"/>
  <c r="P96" i="13" s="1"/>
  <c r="Q96" i="13" s="1"/>
  <c r="R96" i="13" s="1"/>
  <c r="O95" i="13"/>
  <c r="P95" i="13" s="1"/>
  <c r="Q95" i="13" s="1"/>
  <c r="R95" i="13" s="1"/>
  <c r="O66" i="13"/>
  <c r="P66" i="13" s="1"/>
  <c r="Q66" i="13" s="1"/>
  <c r="R66" i="13" s="1"/>
  <c r="O63" i="13"/>
  <c r="P63" i="13" s="1"/>
  <c r="Q63" i="13" s="1"/>
  <c r="R63" i="13" s="1"/>
  <c r="O67" i="13"/>
  <c r="P67" i="13" s="1"/>
  <c r="Q67" i="13" s="1"/>
  <c r="R67" i="13" s="1"/>
  <c r="O62" i="13"/>
  <c r="P62" i="13" s="1"/>
  <c r="Q62" i="13" s="1"/>
  <c r="R62" i="13" s="1"/>
  <c r="O64" i="13"/>
  <c r="P64" i="13" s="1"/>
  <c r="Q64" i="13" s="1"/>
  <c r="R64" i="13" s="1"/>
  <c r="O65" i="13"/>
  <c r="P65" i="13" s="1"/>
  <c r="Q65" i="13" s="1"/>
  <c r="R65" i="13" s="1"/>
  <c r="Q18" i="35"/>
  <c r="Q126" i="35"/>
  <c r="Q79" i="35"/>
  <c r="N113" i="35"/>
  <c r="R113" i="35" s="1"/>
  <c r="N127" i="35"/>
  <c r="N133" i="35"/>
  <c r="R133" i="35" s="1"/>
  <c r="N159" i="35"/>
  <c r="N135" i="35"/>
  <c r="R135" i="35" s="1"/>
  <c r="V135" i="35" s="1"/>
  <c r="P125" i="35"/>
  <c r="P133" i="35"/>
  <c r="Q14" i="35"/>
  <c r="R14" i="35" s="1"/>
  <c r="P72" i="35"/>
  <c r="Q22" i="35"/>
  <c r="N70" i="35"/>
  <c r="R70" i="35" s="1"/>
  <c r="V70" i="35" s="1"/>
  <c r="N78" i="35"/>
  <c r="N79" i="35"/>
  <c r="R79" i="35" s="1"/>
  <c r="V79" i="35" s="1"/>
  <c r="N82" i="35"/>
  <c r="Q77" i="35"/>
  <c r="P17" i="35"/>
  <c r="P24" i="35"/>
  <c r="Q20" i="35"/>
  <c r="N15" i="35"/>
  <c r="R15" i="35" s="1"/>
  <c r="N6" i="35"/>
  <c r="R6" i="35" s="1"/>
  <c r="V6" i="35" s="1"/>
  <c r="N7" i="35"/>
  <c r="N16" i="35"/>
  <c r="R16" i="35" s="1"/>
  <c r="V16" i="35" s="1"/>
  <c r="N27" i="35"/>
  <c r="R27" i="35" s="1"/>
  <c r="V27" i="35" s="1"/>
  <c r="Q19" i="35"/>
  <c r="P15" i="35"/>
  <c r="R7" i="35"/>
  <c r="V7" i="35" s="1"/>
  <c r="R23" i="35"/>
  <c r="D14" i="35"/>
  <c r="V131" i="35"/>
  <c r="AD61" i="35"/>
  <c r="D71" i="35"/>
  <c r="Q69" i="35"/>
  <c r="Q71" i="35"/>
  <c r="Q74" i="35"/>
  <c r="F35" i="35"/>
  <c r="Q78" i="35"/>
  <c r="Q128" i="35"/>
  <c r="R82" i="35"/>
  <c r="AD115" i="35"/>
  <c r="D125" i="35"/>
  <c r="Q122" i="35"/>
  <c r="Q68" i="35"/>
  <c r="Q127" i="35"/>
  <c r="Q132" i="35"/>
  <c r="Q124" i="35"/>
  <c r="Q129" i="35"/>
  <c r="G143" i="35"/>
  <c r="H142" i="7"/>
  <c r="J142" i="7"/>
  <c r="Q71" i="7"/>
  <c r="J152" i="7"/>
  <c r="P125" i="7"/>
  <c r="J120" i="7"/>
  <c r="K161" i="7"/>
  <c r="K147" i="7"/>
  <c r="I119" i="7"/>
  <c r="N124" i="7"/>
  <c r="R124" i="7" s="1"/>
  <c r="J116" i="7"/>
  <c r="N135" i="7"/>
  <c r="R135" i="7" s="1"/>
  <c r="V135" i="7" s="1"/>
  <c r="J156" i="7"/>
  <c r="H121" i="7"/>
  <c r="P124" i="7"/>
  <c r="I150" i="7"/>
  <c r="I121" i="7"/>
  <c r="Q122" i="7"/>
  <c r="Q126" i="7"/>
  <c r="J146" i="7"/>
  <c r="Q72" i="7"/>
  <c r="H119" i="7"/>
  <c r="J129" i="7"/>
  <c r="H139" i="7"/>
  <c r="H149" i="7"/>
  <c r="K154" i="7"/>
  <c r="I155" i="7"/>
  <c r="K116" i="7"/>
  <c r="J118" i="7"/>
  <c r="J119" i="7"/>
  <c r="H120" i="7"/>
  <c r="J121" i="7"/>
  <c r="N123" i="7"/>
  <c r="R123" i="7" s="1"/>
  <c r="P123" i="7"/>
  <c r="P127" i="7"/>
  <c r="J128" i="7"/>
  <c r="H137" i="7"/>
  <c r="K138" i="7"/>
  <c r="H140" i="7"/>
  <c r="H141" i="7"/>
  <c r="I149" i="7"/>
  <c r="J150" i="7"/>
  <c r="I151" i="7"/>
  <c r="I153" i="7"/>
  <c r="J155" i="7"/>
  <c r="K156" i="7"/>
  <c r="I162" i="7"/>
  <c r="K118" i="7"/>
  <c r="K128" i="7"/>
  <c r="J130" i="7"/>
  <c r="I137" i="7"/>
  <c r="I140" i="7"/>
  <c r="I141" i="7"/>
  <c r="I142" i="7"/>
  <c r="J151" i="7"/>
  <c r="H152" i="7"/>
  <c r="J153" i="7"/>
  <c r="H154" i="7"/>
  <c r="H161" i="7"/>
  <c r="J138" i="7"/>
  <c r="I163" i="7"/>
  <c r="Q74" i="7"/>
  <c r="J117" i="7"/>
  <c r="K130" i="7"/>
  <c r="I138" i="7"/>
  <c r="K140" i="7"/>
  <c r="H150" i="7"/>
  <c r="K153" i="7"/>
  <c r="J154" i="7"/>
  <c r="K157" i="7"/>
  <c r="I161" i="7"/>
  <c r="H162" i="7"/>
  <c r="Q129" i="7"/>
  <c r="P129" i="7"/>
  <c r="Q131" i="7"/>
  <c r="P131" i="7"/>
  <c r="Q132" i="7"/>
  <c r="P132" i="7"/>
  <c r="Q133" i="7"/>
  <c r="P133" i="7"/>
  <c r="I118" i="7"/>
  <c r="I117" i="7"/>
  <c r="I116" i="7"/>
  <c r="H118" i="7"/>
  <c r="H117" i="7"/>
  <c r="H116" i="7"/>
  <c r="I130" i="7"/>
  <c r="I129" i="7"/>
  <c r="I128" i="7"/>
  <c r="H130" i="7"/>
  <c r="H129" i="7"/>
  <c r="H128" i="7"/>
  <c r="D122" i="7"/>
  <c r="AD114" i="7"/>
  <c r="Q128" i="7"/>
  <c r="P128" i="7"/>
  <c r="Q130" i="7"/>
  <c r="P130" i="7"/>
  <c r="I158" i="7"/>
  <c r="I159" i="7"/>
  <c r="H158" i="7"/>
  <c r="H160" i="7"/>
  <c r="H159" i="7"/>
  <c r="I160" i="7"/>
  <c r="K141" i="7"/>
  <c r="J140" i="7"/>
  <c r="K142" i="7"/>
  <c r="J141" i="7"/>
  <c r="K160" i="7"/>
  <c r="J159" i="7"/>
  <c r="K159" i="7"/>
  <c r="J158" i="7"/>
  <c r="J160" i="7"/>
  <c r="I139" i="7"/>
  <c r="K158" i="7"/>
  <c r="J163" i="7"/>
  <c r="J162" i="7"/>
  <c r="J161" i="7"/>
  <c r="K163" i="7"/>
  <c r="I148" i="7"/>
  <c r="H147" i="7"/>
  <c r="H146" i="7"/>
  <c r="H148" i="7"/>
  <c r="I147" i="7"/>
  <c r="K119" i="7"/>
  <c r="K120" i="7"/>
  <c r="K139" i="7"/>
  <c r="J139" i="7"/>
  <c r="K137" i="7"/>
  <c r="I146" i="7"/>
  <c r="K148" i="7"/>
  <c r="J147" i="7"/>
  <c r="K146" i="7"/>
  <c r="K149" i="7"/>
  <c r="I154" i="7"/>
  <c r="H153" i="7"/>
  <c r="I156" i="7"/>
  <c r="H155" i="7"/>
  <c r="K155" i="7"/>
  <c r="H157" i="7"/>
  <c r="K150" i="7"/>
  <c r="J149" i="7"/>
  <c r="I157" i="7"/>
  <c r="P79" i="7"/>
  <c r="P78" i="7"/>
  <c r="Q70" i="7"/>
  <c r="Q68" i="7"/>
  <c r="H66" i="7"/>
  <c r="Q76" i="7"/>
  <c r="H86" i="7"/>
  <c r="H98" i="7"/>
  <c r="I86" i="7"/>
  <c r="I98" i="7"/>
  <c r="I101" i="7"/>
  <c r="J63" i="7"/>
  <c r="P73" i="7"/>
  <c r="K105" i="7"/>
  <c r="AD60" i="7"/>
  <c r="J62" i="7"/>
  <c r="J64" i="7"/>
  <c r="P77" i="7"/>
  <c r="I90" i="7"/>
  <c r="J100" i="7"/>
  <c r="K100" i="7"/>
  <c r="I87" i="7"/>
  <c r="H67" i="7"/>
  <c r="J74" i="7"/>
  <c r="J76" i="7"/>
  <c r="H84" i="7"/>
  <c r="J85" i="7"/>
  <c r="J88" i="7"/>
  <c r="H96" i="7"/>
  <c r="K103" i="7"/>
  <c r="H83" i="7"/>
  <c r="I84" i="7"/>
  <c r="J87" i="7"/>
  <c r="K88" i="7"/>
  <c r="H95" i="7"/>
  <c r="I96" i="7"/>
  <c r="I99" i="7"/>
  <c r="J102" i="7"/>
  <c r="I109" i="7"/>
  <c r="H65" i="7"/>
  <c r="J66" i="7"/>
  <c r="I83" i="7"/>
  <c r="J86" i="7"/>
  <c r="K87" i="7"/>
  <c r="J99" i="7"/>
  <c r="J101" i="7"/>
  <c r="K102" i="7"/>
  <c r="H107" i="7"/>
  <c r="H108" i="7"/>
  <c r="J67" i="7"/>
  <c r="J65" i="7"/>
  <c r="J75" i="7"/>
  <c r="I85" i="7"/>
  <c r="I97" i="7"/>
  <c r="J104" i="7"/>
  <c r="I107" i="7"/>
  <c r="I108" i="7"/>
  <c r="Q75" i="7"/>
  <c r="Q69" i="7"/>
  <c r="H76" i="7"/>
  <c r="H75" i="7"/>
  <c r="H74" i="7"/>
  <c r="I75" i="7"/>
  <c r="I74" i="7"/>
  <c r="I76" i="7"/>
  <c r="I64" i="7"/>
  <c r="I63" i="7"/>
  <c r="I62" i="7"/>
  <c r="H64" i="7"/>
  <c r="H63" i="7"/>
  <c r="H62" i="7"/>
  <c r="D71" i="7"/>
  <c r="AD61" i="7"/>
  <c r="I104" i="7"/>
  <c r="I105" i="7"/>
  <c r="H104" i="7"/>
  <c r="I106" i="7"/>
  <c r="H105" i="7"/>
  <c r="H106" i="7"/>
  <c r="K62" i="7"/>
  <c r="K63" i="7"/>
  <c r="I65" i="7"/>
  <c r="I66" i="7"/>
  <c r="K94" i="7"/>
  <c r="J93" i="7"/>
  <c r="J94" i="7"/>
  <c r="K93" i="7"/>
  <c r="J92" i="7"/>
  <c r="K65" i="7"/>
  <c r="K66" i="7"/>
  <c r="K92" i="7"/>
  <c r="K74" i="7"/>
  <c r="K75" i="7"/>
  <c r="J84" i="7"/>
  <c r="K85" i="7"/>
  <c r="H88" i="7"/>
  <c r="H92" i="7"/>
  <c r="K96" i="7"/>
  <c r="J95" i="7"/>
  <c r="K97" i="7"/>
  <c r="J96" i="7"/>
  <c r="J97" i="7"/>
  <c r="K108" i="7"/>
  <c r="J107" i="7"/>
  <c r="K109" i="7"/>
  <c r="J108" i="7"/>
  <c r="J109" i="7"/>
  <c r="J83" i="7"/>
  <c r="K84" i="7"/>
  <c r="H87" i="7"/>
  <c r="I92" i="7"/>
  <c r="H93" i="7"/>
  <c r="I93" i="7"/>
  <c r="I94" i="7"/>
  <c r="H103" i="7"/>
  <c r="K104" i="7"/>
  <c r="I95" i="7"/>
  <c r="J98" i="7"/>
  <c r="K99" i="7"/>
  <c r="H100" i="7"/>
  <c r="K101" i="7"/>
  <c r="H102" i="7"/>
  <c r="I103" i="7"/>
  <c r="J106" i="7"/>
  <c r="H99" i="7"/>
  <c r="H101" i="7"/>
  <c r="J105" i="7"/>
  <c r="N92" i="34"/>
  <c r="O92" i="34" s="1"/>
  <c r="P92" i="34" s="1"/>
  <c r="Q92" i="34" s="1"/>
  <c r="R92" i="34" s="1"/>
  <c r="N84" i="34"/>
  <c r="O84" i="34" s="1"/>
  <c r="P84" i="34" s="1"/>
  <c r="Q84" i="34" s="1"/>
  <c r="R84" i="34" s="1"/>
  <c r="N80" i="34"/>
  <c r="O80" i="34" s="1"/>
  <c r="P80" i="34" s="1"/>
  <c r="Q80" i="34" s="1"/>
  <c r="R80" i="34" s="1"/>
  <c r="N73" i="34"/>
  <c r="O73" i="34" s="1"/>
  <c r="P73" i="34" s="1"/>
  <c r="Q73" i="34" s="1"/>
  <c r="R73" i="34" s="1"/>
  <c r="N83" i="34"/>
  <c r="O83" i="34" s="1"/>
  <c r="P83" i="34" s="1"/>
  <c r="Q83" i="34" s="1"/>
  <c r="R83" i="34" s="1"/>
  <c r="N91" i="34"/>
  <c r="O91" i="34" s="1"/>
  <c r="P91" i="34" s="1"/>
  <c r="Q91" i="34" s="1"/>
  <c r="R91" i="34" s="1"/>
  <c r="N82" i="34"/>
  <c r="O82" i="34" s="1"/>
  <c r="P82" i="34" s="1"/>
  <c r="Q82" i="34" s="1"/>
  <c r="R82" i="34" s="1"/>
  <c r="N77" i="34"/>
  <c r="O77" i="34" s="1"/>
  <c r="P77" i="34" s="1"/>
  <c r="Q77" i="34" s="1"/>
  <c r="R77" i="34" s="1"/>
  <c r="N88" i="34"/>
  <c r="O88" i="34" s="1"/>
  <c r="P88" i="34" s="1"/>
  <c r="Q88" i="34" s="1"/>
  <c r="R88" i="34" s="1"/>
  <c r="L43" i="34"/>
  <c r="N44" i="34"/>
  <c r="O44" i="34" s="1"/>
  <c r="P44" i="34" s="1"/>
  <c r="Q44" i="34" s="1"/>
  <c r="R44" i="34" s="1"/>
  <c r="N47" i="34"/>
  <c r="O47" i="34" s="1"/>
  <c r="P47" i="34" s="1"/>
  <c r="Q47" i="34" s="1"/>
  <c r="R47" i="34" s="1"/>
  <c r="N51" i="34"/>
  <c r="O51" i="34" s="1"/>
  <c r="P51" i="34" s="1"/>
  <c r="Q51" i="34" s="1"/>
  <c r="R51" i="34" s="1"/>
  <c r="N59" i="34"/>
  <c r="O59" i="34" s="1"/>
  <c r="P59" i="34" s="1"/>
  <c r="Q59" i="34" s="1"/>
  <c r="R59" i="34" s="1"/>
  <c r="N45" i="34"/>
  <c r="O45" i="34" s="1"/>
  <c r="P45" i="34" s="1"/>
  <c r="Q45" i="34" s="1"/>
  <c r="R45" i="34" s="1"/>
  <c r="N48" i="34"/>
  <c r="O48" i="34" s="1"/>
  <c r="P48" i="34" s="1"/>
  <c r="Q48" i="34" s="1"/>
  <c r="R48" i="34" s="1"/>
  <c r="N60" i="34"/>
  <c r="O60" i="34" s="1"/>
  <c r="P60" i="34" s="1"/>
  <c r="Q60" i="34" s="1"/>
  <c r="R60" i="34" s="1"/>
  <c r="N26" i="34"/>
  <c r="O26" i="34" s="1"/>
  <c r="P26" i="34" s="1"/>
  <c r="Q26" i="34" s="1"/>
  <c r="R26" i="34" s="1"/>
  <c r="L6" i="34"/>
  <c r="N27" i="34"/>
  <c r="O27" i="34" s="1"/>
  <c r="P27" i="34" s="1"/>
  <c r="Q27" i="34" s="1"/>
  <c r="R27" i="34" s="1"/>
  <c r="N14" i="34"/>
  <c r="O14" i="34" s="1"/>
  <c r="P14" i="34" s="1"/>
  <c r="Q14" i="34" s="1"/>
  <c r="R14" i="34" s="1"/>
  <c r="N11" i="34"/>
  <c r="O11" i="34" s="1"/>
  <c r="P11" i="34" s="1"/>
  <c r="Q11" i="34" s="1"/>
  <c r="R11" i="34" s="1"/>
  <c r="N12" i="34"/>
  <c r="O12" i="34" s="1"/>
  <c r="P12" i="34" s="1"/>
  <c r="Q12" i="34" s="1"/>
  <c r="R12" i="34" s="1"/>
  <c r="N13" i="34"/>
  <c r="O13" i="34" s="1"/>
  <c r="P13" i="34" s="1"/>
  <c r="Q13" i="34" s="1"/>
  <c r="R13" i="34" s="1"/>
  <c r="M8" i="34"/>
  <c r="N15" i="34"/>
  <c r="O15" i="34" s="1"/>
  <c r="P15" i="34" s="1"/>
  <c r="Q15" i="34" s="1"/>
  <c r="R15" i="34" s="1"/>
  <c r="N19" i="34"/>
  <c r="O19" i="34" s="1"/>
  <c r="P19" i="34" s="1"/>
  <c r="Q19" i="34" s="1"/>
  <c r="R19" i="34" s="1"/>
  <c r="N22" i="34"/>
  <c r="O22" i="34" s="1"/>
  <c r="P22" i="34" s="1"/>
  <c r="Q22" i="34" s="1"/>
  <c r="R22" i="34" s="1"/>
  <c r="N28" i="34"/>
  <c r="O28" i="34" s="1"/>
  <c r="P28" i="34" s="1"/>
  <c r="Q28" i="34" s="1"/>
  <c r="R28" i="34" s="1"/>
  <c r="N46" i="34"/>
  <c r="O46" i="34" s="1"/>
  <c r="P46" i="34" s="1"/>
  <c r="Q46" i="34" s="1"/>
  <c r="R46" i="34" s="1"/>
  <c r="K6" i="34"/>
  <c r="M7" i="34"/>
  <c r="N7" i="34" s="1"/>
  <c r="O7" i="34" s="1"/>
  <c r="P7" i="34" s="1"/>
  <c r="Q7" i="34" s="1"/>
  <c r="R7" i="34" s="1"/>
  <c r="K8" i="34"/>
  <c r="K10" i="34"/>
  <c r="N17" i="34"/>
  <c r="O17" i="34" s="1"/>
  <c r="P17" i="34" s="1"/>
  <c r="Q17" i="34" s="1"/>
  <c r="R17" i="34" s="1"/>
  <c r="N18" i="34"/>
  <c r="O18" i="34" s="1"/>
  <c r="P18" i="34" s="1"/>
  <c r="Q18" i="34" s="1"/>
  <c r="R18" i="34" s="1"/>
  <c r="L8" i="34"/>
  <c r="N23" i="34"/>
  <c r="O23" i="34" s="1"/>
  <c r="P23" i="34" s="1"/>
  <c r="Q23" i="34" s="1"/>
  <c r="R23" i="34" s="1"/>
  <c r="N49" i="34"/>
  <c r="O49" i="34" s="1"/>
  <c r="P49" i="34" s="1"/>
  <c r="Q49" i="34" s="1"/>
  <c r="R49" i="34" s="1"/>
  <c r="L42" i="34"/>
  <c r="N56" i="34"/>
  <c r="O56" i="34" s="1"/>
  <c r="P56" i="34" s="1"/>
  <c r="Q56" i="34" s="1"/>
  <c r="R56" i="34" s="1"/>
  <c r="N81" i="34"/>
  <c r="O81" i="34" s="1"/>
  <c r="P81" i="34" s="1"/>
  <c r="Q81" i="34" s="1"/>
  <c r="R81" i="34" s="1"/>
  <c r="M38" i="34"/>
  <c r="N38" i="34" s="1"/>
  <c r="O38" i="34" s="1"/>
  <c r="P38" i="34" s="1"/>
  <c r="Q38" i="34" s="1"/>
  <c r="R38" i="34" s="1"/>
  <c r="K39" i="34"/>
  <c r="M40" i="34"/>
  <c r="N40" i="34" s="1"/>
  <c r="O40" i="34" s="1"/>
  <c r="P40" i="34" s="1"/>
  <c r="Q40" i="34" s="1"/>
  <c r="R40" i="34" s="1"/>
  <c r="K41" i="34"/>
  <c r="M42" i="34"/>
  <c r="K43" i="34"/>
  <c r="N54" i="34"/>
  <c r="O54" i="34" s="1"/>
  <c r="P54" i="34" s="1"/>
  <c r="Q54" i="34" s="1"/>
  <c r="R54" i="34" s="1"/>
  <c r="N55" i="34"/>
  <c r="O55" i="34" s="1"/>
  <c r="P55" i="34" s="1"/>
  <c r="Q55" i="34" s="1"/>
  <c r="R55" i="34" s="1"/>
  <c r="N86" i="34"/>
  <c r="O86" i="34" s="1"/>
  <c r="P86" i="34" s="1"/>
  <c r="Q86" i="34" s="1"/>
  <c r="R86" i="34" s="1"/>
  <c r="L41" i="34"/>
  <c r="N52" i="34"/>
  <c r="O52" i="34" s="1"/>
  <c r="P52" i="34" s="1"/>
  <c r="Q52" i="34" s="1"/>
  <c r="R52" i="34" s="1"/>
  <c r="N79" i="34"/>
  <c r="O79" i="34" s="1"/>
  <c r="P79" i="34" s="1"/>
  <c r="Q79" i="34" s="1"/>
  <c r="R79" i="34" s="1"/>
  <c r="N90" i="34"/>
  <c r="O90" i="34" s="1"/>
  <c r="P90" i="34" s="1"/>
  <c r="Q90" i="34" s="1"/>
  <c r="R90" i="34" s="1"/>
  <c r="L74" i="34"/>
  <c r="L75" i="34"/>
  <c r="K74" i="34"/>
  <c r="M75" i="34"/>
  <c r="N78" i="34"/>
  <c r="O78" i="34" s="1"/>
  <c r="P78" i="34" s="1"/>
  <c r="Q78" i="34" s="1"/>
  <c r="R78" i="34" s="1"/>
  <c r="N85" i="34"/>
  <c r="O85" i="34" s="1"/>
  <c r="P85" i="34" s="1"/>
  <c r="Q85" i="34" s="1"/>
  <c r="R85" i="34" s="1"/>
  <c r="N87" i="34"/>
  <c r="O87" i="34" s="1"/>
  <c r="P87" i="34" s="1"/>
  <c r="Q87" i="34" s="1"/>
  <c r="R87" i="34" s="1"/>
  <c r="N78" i="13"/>
  <c r="O78" i="13" s="1"/>
  <c r="P78" i="13" s="1"/>
  <c r="Q78" i="13" s="1"/>
  <c r="R78" i="13" s="1"/>
  <c r="N45" i="13"/>
  <c r="O45" i="13" s="1"/>
  <c r="P45" i="13" s="1"/>
  <c r="Q45" i="13" s="1"/>
  <c r="R45" i="13" s="1"/>
  <c r="N83" i="13"/>
  <c r="O83" i="13" s="1"/>
  <c r="P83" i="13" s="1"/>
  <c r="Q83" i="13" s="1"/>
  <c r="R83" i="13" s="1"/>
  <c r="N44" i="13"/>
  <c r="O44" i="13" s="1"/>
  <c r="P44" i="13" s="1"/>
  <c r="Q44" i="13" s="1"/>
  <c r="R44" i="13" s="1"/>
  <c r="N56" i="13"/>
  <c r="O56" i="13" s="1"/>
  <c r="P56" i="13" s="1"/>
  <c r="Q56" i="13" s="1"/>
  <c r="R56" i="13" s="1"/>
  <c r="N94" i="13"/>
  <c r="O94" i="13" s="1"/>
  <c r="P94" i="13" s="1"/>
  <c r="Q94" i="13" s="1"/>
  <c r="R94" i="13" s="1"/>
  <c r="N49" i="13"/>
  <c r="O49" i="13" s="1"/>
  <c r="P49" i="13" s="1"/>
  <c r="Q49" i="13" s="1"/>
  <c r="R49" i="13" s="1"/>
  <c r="L41" i="13"/>
  <c r="M43" i="13"/>
  <c r="N46" i="13"/>
  <c r="O46" i="13" s="1"/>
  <c r="P46" i="13" s="1"/>
  <c r="Q46" i="13" s="1"/>
  <c r="R46" i="13" s="1"/>
  <c r="N58" i="13"/>
  <c r="O58" i="13" s="1"/>
  <c r="P58" i="13" s="1"/>
  <c r="Q58" i="13" s="1"/>
  <c r="R58" i="13" s="1"/>
  <c r="L76" i="13"/>
  <c r="N84" i="13"/>
  <c r="O84" i="13" s="1"/>
  <c r="P84" i="13" s="1"/>
  <c r="Q84" i="13" s="1"/>
  <c r="R84" i="13" s="1"/>
  <c r="N86" i="13"/>
  <c r="O86" i="13" s="1"/>
  <c r="P86" i="13" s="1"/>
  <c r="Q86" i="13" s="1"/>
  <c r="R86" i="13" s="1"/>
  <c r="N88" i="13"/>
  <c r="O88" i="13" s="1"/>
  <c r="P88" i="13" s="1"/>
  <c r="Q88" i="13" s="1"/>
  <c r="R88" i="13" s="1"/>
  <c r="N93" i="13"/>
  <c r="O93" i="13" s="1"/>
  <c r="P93" i="13" s="1"/>
  <c r="Q93" i="13" s="1"/>
  <c r="R93" i="13" s="1"/>
  <c r="L39" i="13"/>
  <c r="L43" i="13"/>
  <c r="N51" i="13"/>
  <c r="O51" i="13" s="1"/>
  <c r="P51" i="13" s="1"/>
  <c r="Q51" i="13" s="1"/>
  <c r="R51" i="13" s="1"/>
  <c r="N53" i="13"/>
  <c r="O53" i="13" s="1"/>
  <c r="P53" i="13" s="1"/>
  <c r="Q53" i="13" s="1"/>
  <c r="R53" i="13" s="1"/>
  <c r="N55" i="13"/>
  <c r="O55" i="13" s="1"/>
  <c r="P55" i="13" s="1"/>
  <c r="Q55" i="13" s="1"/>
  <c r="R55" i="13" s="1"/>
  <c r="N59" i="13"/>
  <c r="O59" i="13" s="1"/>
  <c r="P59" i="13" s="1"/>
  <c r="Q59" i="13" s="1"/>
  <c r="R59" i="13" s="1"/>
  <c r="L38" i="13"/>
  <c r="K40" i="13"/>
  <c r="L42" i="13"/>
  <c r="N48" i="13"/>
  <c r="O48" i="13" s="1"/>
  <c r="P48" i="13" s="1"/>
  <c r="Q48" i="13" s="1"/>
  <c r="R48" i="13" s="1"/>
  <c r="N61" i="13"/>
  <c r="O61" i="13" s="1"/>
  <c r="P61" i="13" s="1"/>
  <c r="Q61" i="13" s="1"/>
  <c r="R61" i="13" s="1"/>
  <c r="N79" i="13"/>
  <c r="O79" i="13" s="1"/>
  <c r="P79" i="13" s="1"/>
  <c r="Q79" i="13" s="1"/>
  <c r="R79" i="13" s="1"/>
  <c r="M38" i="13"/>
  <c r="M40" i="13"/>
  <c r="N50" i="13"/>
  <c r="O50" i="13" s="1"/>
  <c r="P50" i="13" s="1"/>
  <c r="Q50" i="13" s="1"/>
  <c r="R50" i="13" s="1"/>
  <c r="M74" i="13"/>
  <c r="N81" i="13"/>
  <c r="O81" i="13" s="1"/>
  <c r="P81" i="13" s="1"/>
  <c r="Q81" i="13" s="1"/>
  <c r="R81" i="13" s="1"/>
  <c r="N87" i="13"/>
  <c r="O87" i="13" s="1"/>
  <c r="P87" i="13" s="1"/>
  <c r="Q87" i="13" s="1"/>
  <c r="R87" i="13" s="1"/>
  <c r="N89" i="13"/>
  <c r="O89" i="13" s="1"/>
  <c r="P89" i="13" s="1"/>
  <c r="Q89" i="13" s="1"/>
  <c r="R89" i="13" s="1"/>
  <c r="N77" i="13"/>
  <c r="O77" i="13" s="1"/>
  <c r="P77" i="13" s="1"/>
  <c r="Q77" i="13" s="1"/>
  <c r="R77" i="13" s="1"/>
  <c r="N85" i="13"/>
  <c r="O85" i="13" s="1"/>
  <c r="P85" i="13" s="1"/>
  <c r="Q85" i="13" s="1"/>
  <c r="R85" i="13" s="1"/>
  <c r="N91" i="13"/>
  <c r="O91" i="13" s="1"/>
  <c r="P91" i="13" s="1"/>
  <c r="Q91" i="13" s="1"/>
  <c r="R91" i="13" s="1"/>
  <c r="M73" i="13"/>
  <c r="K72" i="13"/>
  <c r="M71" i="13"/>
  <c r="K71" i="13"/>
  <c r="L71" i="13"/>
  <c r="K73" i="13"/>
  <c r="L72" i="13"/>
  <c r="N80" i="13"/>
  <c r="O80" i="13" s="1"/>
  <c r="P80" i="13" s="1"/>
  <c r="Q80" i="13" s="1"/>
  <c r="N82" i="13"/>
  <c r="O82" i="13" s="1"/>
  <c r="P82" i="13" s="1"/>
  <c r="Q82" i="13" s="1"/>
  <c r="R82" i="13" s="1"/>
  <c r="N90" i="13"/>
  <c r="O90" i="13" s="1"/>
  <c r="P90" i="13" s="1"/>
  <c r="Q90" i="13" s="1"/>
  <c r="R90" i="13" s="1"/>
  <c r="N92" i="13"/>
  <c r="O92" i="13" s="1"/>
  <c r="P92" i="13" s="1"/>
  <c r="Q92" i="13" s="1"/>
  <c r="R92" i="13" s="1"/>
  <c r="L75" i="13"/>
  <c r="K74" i="13"/>
  <c r="J75" i="13"/>
  <c r="M75" i="13" s="1"/>
  <c r="N52" i="13"/>
  <c r="O52" i="13" s="1"/>
  <c r="P52" i="13" s="1"/>
  <c r="Q52" i="13" s="1"/>
  <c r="R52" i="13" s="1"/>
  <c r="K43" i="13"/>
  <c r="M41" i="13"/>
  <c r="N47" i="13"/>
  <c r="O47" i="13" s="1"/>
  <c r="P47" i="13" s="1"/>
  <c r="Q47" i="13" s="1"/>
  <c r="R47" i="13" s="1"/>
  <c r="N54" i="13"/>
  <c r="O54" i="13" s="1"/>
  <c r="P54" i="13" s="1"/>
  <c r="Q54" i="13" s="1"/>
  <c r="R54" i="13" s="1"/>
  <c r="N57" i="13"/>
  <c r="O57" i="13" s="1"/>
  <c r="P57" i="13" s="1"/>
  <c r="Q57" i="13" s="1"/>
  <c r="R57" i="13" s="1"/>
  <c r="N60" i="13"/>
  <c r="O60" i="13" s="1"/>
  <c r="P60" i="13" s="1"/>
  <c r="Q60" i="13" s="1"/>
  <c r="R60" i="13" s="1"/>
  <c r="K42" i="13"/>
  <c r="K39" i="13"/>
  <c r="S94" i="34" l="1"/>
  <c r="X77" i="34" s="1"/>
  <c r="N75" i="34"/>
  <c r="O75" i="34" s="1"/>
  <c r="P75" i="34" s="1"/>
  <c r="Q75" i="34" s="1"/>
  <c r="R75" i="34" s="1"/>
  <c r="N5" i="34"/>
  <c r="O5" i="34" s="1"/>
  <c r="P5" i="34" s="1"/>
  <c r="Q5" i="34" s="1"/>
  <c r="R5" i="34" s="1"/>
  <c r="S73" i="34"/>
  <c r="X70" i="34" s="1"/>
  <c r="T94" i="34"/>
  <c r="U94" i="34" s="1"/>
  <c r="Y77" i="34" s="1"/>
  <c r="T46" i="34"/>
  <c r="U46" i="34" s="1"/>
  <c r="Y39" i="34" s="1"/>
  <c r="S55" i="34"/>
  <c r="X42" i="34" s="1"/>
  <c r="N6" i="34"/>
  <c r="O6" i="34" s="1"/>
  <c r="P6" i="34" s="1"/>
  <c r="Q6" i="34" s="1"/>
  <c r="R6" i="34" s="1"/>
  <c r="T79" i="34"/>
  <c r="U79" i="34" s="1"/>
  <c r="Y72" i="34" s="1"/>
  <c r="S46" i="34"/>
  <c r="X39" i="34" s="1"/>
  <c r="S16" i="34"/>
  <c r="T16" i="34"/>
  <c r="N39" i="34"/>
  <c r="O39" i="34" s="1"/>
  <c r="P39" i="34" s="1"/>
  <c r="Q39" i="34" s="1"/>
  <c r="R39" i="34" s="1"/>
  <c r="S40" i="34" s="1"/>
  <c r="X37" i="34" s="1"/>
  <c r="X7" i="34"/>
  <c r="T73" i="34"/>
  <c r="U73" i="34" s="1"/>
  <c r="Y70" i="34" s="1"/>
  <c r="N76" i="13"/>
  <c r="O76" i="13" s="1"/>
  <c r="P76" i="13" s="1"/>
  <c r="Q76" i="13" s="1"/>
  <c r="R76" i="13" s="1"/>
  <c r="N39" i="13"/>
  <c r="O39" i="13" s="1"/>
  <c r="P39" i="13" s="1"/>
  <c r="Q39" i="13" s="1"/>
  <c r="R39" i="13" s="1"/>
  <c r="N42" i="13"/>
  <c r="O42" i="13" s="1"/>
  <c r="P42" i="13" s="1"/>
  <c r="Q42" i="13" s="1"/>
  <c r="R42" i="13" s="1"/>
  <c r="N46" i="35"/>
  <c r="R46" i="35" s="1"/>
  <c r="V46" i="35" s="1"/>
  <c r="N76" i="35"/>
  <c r="N114" i="35"/>
  <c r="R114" i="35" s="1"/>
  <c r="V114" i="35" s="1"/>
  <c r="Z123" i="35" s="1"/>
  <c r="N151" i="35"/>
  <c r="N66" i="35"/>
  <c r="R66" i="35" s="1"/>
  <c r="V66" i="35" s="1"/>
  <c r="Z66" i="35" s="1"/>
  <c r="N44" i="35"/>
  <c r="R44" i="35" s="1"/>
  <c r="N11" i="35"/>
  <c r="R11" i="35" s="1"/>
  <c r="V11" i="35" s="1"/>
  <c r="N153" i="35"/>
  <c r="N106" i="35"/>
  <c r="R106" i="35" s="1"/>
  <c r="V106" i="35" s="1"/>
  <c r="N98" i="35"/>
  <c r="R98" i="35" s="1"/>
  <c r="V98" i="35" s="1"/>
  <c r="R19" i="35"/>
  <c r="N125" i="35"/>
  <c r="R125" i="35" s="1"/>
  <c r="N163" i="35"/>
  <c r="R163" i="35" s="1"/>
  <c r="V163" i="35" s="1"/>
  <c r="N157" i="35"/>
  <c r="R157" i="35" s="1"/>
  <c r="V157" i="35" s="1"/>
  <c r="N55" i="35"/>
  <c r="R55" i="35" s="1"/>
  <c r="V55" i="35" s="1"/>
  <c r="N59" i="35"/>
  <c r="R59" i="35" s="1"/>
  <c r="V59" i="35" s="1"/>
  <c r="N38" i="35"/>
  <c r="R38" i="35" s="1"/>
  <c r="N13" i="35"/>
  <c r="R13" i="35" s="1"/>
  <c r="V13" i="35" s="1"/>
  <c r="Z13" i="35" s="1"/>
  <c r="N22" i="35"/>
  <c r="N126" i="35"/>
  <c r="R126" i="35" s="1"/>
  <c r="V126" i="35" s="1"/>
  <c r="Z126" i="35" s="1"/>
  <c r="N20" i="35"/>
  <c r="R20" i="35" s="1"/>
  <c r="N67" i="35"/>
  <c r="R67" i="35" s="1"/>
  <c r="V67" i="35" s="1"/>
  <c r="N60" i="35"/>
  <c r="R60" i="35" s="1"/>
  <c r="V60" i="35" s="1"/>
  <c r="N43" i="35"/>
  <c r="R43" i="35" s="1"/>
  <c r="V43" i="35" s="1"/>
  <c r="N34" i="35"/>
  <c r="R34" i="35" s="1"/>
  <c r="V34" i="35" s="1"/>
  <c r="N40" i="35"/>
  <c r="R40" i="35" s="1"/>
  <c r="V40" i="35" s="1"/>
  <c r="N139" i="35"/>
  <c r="R139" i="35" s="1"/>
  <c r="V139" i="35" s="1"/>
  <c r="N130" i="35"/>
  <c r="N119" i="35"/>
  <c r="R119" i="35" s="1"/>
  <c r="K37" i="35"/>
  <c r="K36" i="35"/>
  <c r="J37" i="35"/>
  <c r="N115" i="35"/>
  <c r="R115" i="35" s="1"/>
  <c r="V115" i="35" s="1"/>
  <c r="N48" i="35"/>
  <c r="R48" i="35" s="1"/>
  <c r="V61" i="35"/>
  <c r="Z70" i="35" s="1"/>
  <c r="H36" i="35"/>
  <c r="I35" i="35"/>
  <c r="I37" i="35"/>
  <c r="H37" i="35"/>
  <c r="I36" i="35"/>
  <c r="H35" i="35"/>
  <c r="N77" i="35"/>
  <c r="R77" i="35" s="1"/>
  <c r="R124" i="35"/>
  <c r="V124" i="35" s="1"/>
  <c r="Z124" i="35" s="1"/>
  <c r="N81" i="35"/>
  <c r="R81" i="35" s="1"/>
  <c r="V81" i="35" s="1"/>
  <c r="N104" i="35"/>
  <c r="R104" i="35" s="1"/>
  <c r="N161" i="35"/>
  <c r="R161" i="35" s="1"/>
  <c r="N155" i="35"/>
  <c r="R155" i="35" s="1"/>
  <c r="S157" i="35" s="1"/>
  <c r="AE126" i="35" s="1"/>
  <c r="N149" i="35"/>
  <c r="R149" i="35" s="1"/>
  <c r="V149" i="35" s="1"/>
  <c r="N129" i="35"/>
  <c r="N83" i="35"/>
  <c r="R83" i="35" s="1"/>
  <c r="V83" i="35" s="1"/>
  <c r="N31" i="35"/>
  <c r="N42" i="35"/>
  <c r="N99" i="35"/>
  <c r="N17" i="35"/>
  <c r="R17" i="35" s="1"/>
  <c r="V17" i="35" s="1"/>
  <c r="K91" i="35"/>
  <c r="J91" i="35"/>
  <c r="K90" i="35"/>
  <c r="J89" i="35"/>
  <c r="J90" i="35"/>
  <c r="K89" i="35"/>
  <c r="N63" i="35"/>
  <c r="R63" i="35" s="1"/>
  <c r="V63" i="35" s="1"/>
  <c r="Z63" i="35" s="1"/>
  <c r="N9" i="35"/>
  <c r="R9" i="35" s="1"/>
  <c r="V9" i="35" s="1"/>
  <c r="Z9" i="35" s="1"/>
  <c r="N92" i="35"/>
  <c r="J143" i="35"/>
  <c r="K145" i="35"/>
  <c r="J145" i="35"/>
  <c r="K144" i="35"/>
  <c r="J144" i="35"/>
  <c r="K143" i="35"/>
  <c r="R68" i="35"/>
  <c r="N69" i="35"/>
  <c r="R69" i="35" s="1"/>
  <c r="N162" i="35"/>
  <c r="N150" i="35"/>
  <c r="R150" i="35" s="1"/>
  <c r="V150" i="35" s="1"/>
  <c r="N138" i="35"/>
  <c r="N121" i="35"/>
  <c r="R121" i="35" s="1"/>
  <c r="V121" i="35" s="1"/>
  <c r="N109" i="35"/>
  <c r="R109" i="35" s="1"/>
  <c r="V109" i="35" s="1"/>
  <c r="N101" i="35"/>
  <c r="R101" i="35" s="1"/>
  <c r="N97" i="35"/>
  <c r="R97" i="35" s="1"/>
  <c r="V97" i="35" s="1"/>
  <c r="N89" i="35"/>
  <c r="R89" i="35" s="1"/>
  <c r="N47" i="35"/>
  <c r="R47" i="35" s="1"/>
  <c r="V47" i="35" s="1"/>
  <c r="N45" i="35"/>
  <c r="R45" i="35" s="1"/>
  <c r="V45" i="35" s="1"/>
  <c r="N41" i="35"/>
  <c r="R41" i="35" s="1"/>
  <c r="V41" i="35" s="1"/>
  <c r="N152" i="35"/>
  <c r="N105" i="35"/>
  <c r="R105" i="35" s="1"/>
  <c r="V105" i="35" s="1"/>
  <c r="N93" i="35"/>
  <c r="N87" i="35"/>
  <c r="R87" i="35" s="1"/>
  <c r="V87" i="35" s="1"/>
  <c r="N142" i="35"/>
  <c r="N33" i="35"/>
  <c r="R33" i="35" s="1"/>
  <c r="V33" i="35" s="1"/>
  <c r="N64" i="35"/>
  <c r="R64" i="35" s="1"/>
  <c r="V64" i="35" s="1"/>
  <c r="Z64" i="35" s="1"/>
  <c r="N116" i="35"/>
  <c r="R116" i="35" s="1"/>
  <c r="H145" i="35"/>
  <c r="I144" i="35"/>
  <c r="H144" i="35"/>
  <c r="I143" i="35"/>
  <c r="H143" i="35"/>
  <c r="I145" i="35"/>
  <c r="V24" i="35"/>
  <c r="N73" i="35"/>
  <c r="R73" i="35" s="1"/>
  <c r="V73" i="35" s="1"/>
  <c r="Z73" i="35" s="1"/>
  <c r="N88" i="35"/>
  <c r="R88" i="35" s="1"/>
  <c r="V88" i="35" s="1"/>
  <c r="N137" i="35"/>
  <c r="R137" i="35" s="1"/>
  <c r="N120" i="35"/>
  <c r="R120" i="35" s="1"/>
  <c r="V120" i="35" s="1"/>
  <c r="N108" i="35"/>
  <c r="R108" i="35" s="1"/>
  <c r="V108" i="35" s="1"/>
  <c r="N103" i="35"/>
  <c r="R103" i="35" s="1"/>
  <c r="V103" i="35" s="1"/>
  <c r="N95" i="35"/>
  <c r="R95" i="35" s="1"/>
  <c r="N74" i="35"/>
  <c r="N39" i="35"/>
  <c r="R39" i="35" s="1"/>
  <c r="V39" i="35" s="1"/>
  <c r="N51" i="35"/>
  <c r="R51" i="35" s="1"/>
  <c r="N154" i="35"/>
  <c r="R154" i="35" s="1"/>
  <c r="V154" i="35" s="1"/>
  <c r="N86" i="35"/>
  <c r="N49" i="35"/>
  <c r="R49" i="35" s="1"/>
  <c r="V49" i="35" s="1"/>
  <c r="N12" i="35"/>
  <c r="R12" i="35" s="1"/>
  <c r="N146" i="35"/>
  <c r="R146" i="35" s="1"/>
  <c r="V146" i="35" s="1"/>
  <c r="N148" i="35"/>
  <c r="R148" i="35" s="1"/>
  <c r="V148" i="35" s="1"/>
  <c r="N62" i="35"/>
  <c r="R62" i="35" s="1"/>
  <c r="V62" i="35" s="1"/>
  <c r="N117" i="35"/>
  <c r="R117" i="35" s="1"/>
  <c r="V117" i="35" s="1"/>
  <c r="Z117" i="35" s="1"/>
  <c r="T91" i="34"/>
  <c r="U91" i="34" s="1"/>
  <c r="S91" i="34"/>
  <c r="X76" i="34" s="1"/>
  <c r="T100" i="34"/>
  <c r="U100" i="34" s="1"/>
  <c r="Y79" i="34" s="1"/>
  <c r="S100" i="34"/>
  <c r="X79" i="34" s="1"/>
  <c r="T97" i="34"/>
  <c r="U97" i="34" s="1"/>
  <c r="Y78" i="34" s="1"/>
  <c r="S97" i="34"/>
  <c r="X78" i="34" s="1"/>
  <c r="S67" i="34"/>
  <c r="X46" i="34" s="1"/>
  <c r="T67" i="34"/>
  <c r="U67" i="34" s="1"/>
  <c r="Y46" i="34" s="1"/>
  <c r="T88" i="34"/>
  <c r="U88" i="34" s="1"/>
  <c r="Y75" i="34" s="1"/>
  <c r="S85" i="34"/>
  <c r="X74" i="34" s="1"/>
  <c r="T85" i="34"/>
  <c r="T82" i="34"/>
  <c r="U82" i="34" s="1"/>
  <c r="Y73" i="34" s="1"/>
  <c r="T64" i="34"/>
  <c r="U64" i="34" s="1"/>
  <c r="Y45" i="34" s="1"/>
  <c r="S64" i="34"/>
  <c r="X45" i="34" s="1"/>
  <c r="T61" i="34"/>
  <c r="U61" i="34" s="1"/>
  <c r="Y44" i="34" s="1"/>
  <c r="S61" i="34"/>
  <c r="X44" i="34" s="1"/>
  <c r="T52" i="34"/>
  <c r="U52" i="34" s="1"/>
  <c r="Y41" i="34" s="1"/>
  <c r="N43" i="34"/>
  <c r="O43" i="34" s="1"/>
  <c r="P43" i="34" s="1"/>
  <c r="Q43" i="34" s="1"/>
  <c r="R43" i="34" s="1"/>
  <c r="S34" i="34"/>
  <c r="X13" i="34" s="1"/>
  <c r="T34" i="34"/>
  <c r="U34" i="34" s="1"/>
  <c r="Y13" i="34" s="1"/>
  <c r="T31" i="34"/>
  <c r="U31" i="34" s="1"/>
  <c r="Y12" i="34" s="1"/>
  <c r="S31" i="34"/>
  <c r="X12" i="34" s="1"/>
  <c r="S28" i="34"/>
  <c r="X11" i="34" s="1"/>
  <c r="T28" i="34"/>
  <c r="U28" i="34" s="1"/>
  <c r="Y11" i="34" s="1"/>
  <c r="S22" i="34"/>
  <c r="X9" i="34" s="1"/>
  <c r="T22" i="34"/>
  <c r="U22" i="34" s="1"/>
  <c r="Y9" i="34" s="1"/>
  <c r="S100" i="13"/>
  <c r="X79" i="13" s="1"/>
  <c r="T100" i="13"/>
  <c r="U100" i="13" s="1"/>
  <c r="Y79" i="13" s="1"/>
  <c r="T97" i="13"/>
  <c r="U97" i="13" s="1"/>
  <c r="Y78" i="13" s="1"/>
  <c r="S97" i="13"/>
  <c r="X78" i="13" s="1"/>
  <c r="T91" i="13"/>
  <c r="U91" i="13" s="1"/>
  <c r="Y76" i="13" s="1"/>
  <c r="T85" i="13"/>
  <c r="U85" i="13" s="1"/>
  <c r="Y74" i="13" s="1"/>
  <c r="T67" i="13"/>
  <c r="U67" i="13" s="1"/>
  <c r="Y46" i="13" s="1"/>
  <c r="S67" i="13"/>
  <c r="X46" i="13" s="1"/>
  <c r="T64" i="13"/>
  <c r="U64" i="13" s="1"/>
  <c r="Y45" i="13" s="1"/>
  <c r="S64" i="13"/>
  <c r="X45" i="13" s="1"/>
  <c r="T61" i="13"/>
  <c r="U61" i="13" s="1"/>
  <c r="Y44" i="13" s="1"/>
  <c r="S58" i="13"/>
  <c r="X43" i="13" s="1"/>
  <c r="T55" i="13"/>
  <c r="U55" i="13" s="1"/>
  <c r="Y42" i="13" s="1"/>
  <c r="T46" i="13"/>
  <c r="U46" i="13" s="1"/>
  <c r="Y39" i="13" s="1"/>
  <c r="N43" i="13"/>
  <c r="O43" i="13" s="1"/>
  <c r="P43" i="13" s="1"/>
  <c r="Q43" i="13" s="1"/>
  <c r="R43" i="13" s="1"/>
  <c r="S136" i="35"/>
  <c r="AE119" i="35" s="1"/>
  <c r="V133" i="35"/>
  <c r="Z121" i="35"/>
  <c r="V125" i="35"/>
  <c r="R18" i="35"/>
  <c r="V18" i="35" s="1"/>
  <c r="V72" i="35"/>
  <c r="Z72" i="35" s="1"/>
  <c r="Z16" i="35"/>
  <c r="V15" i="35"/>
  <c r="Z15" i="35" s="1"/>
  <c r="V161" i="35"/>
  <c r="V119" i="35"/>
  <c r="V82" i="35"/>
  <c r="V14" i="35"/>
  <c r="T16" i="35"/>
  <c r="U16" i="35" s="1"/>
  <c r="AF8" i="35" s="1"/>
  <c r="S16" i="35"/>
  <c r="AE8" i="35" s="1"/>
  <c r="V155" i="35"/>
  <c r="V38" i="35"/>
  <c r="V158" i="35"/>
  <c r="V53" i="35"/>
  <c r="R99" i="35"/>
  <c r="V99" i="35" s="1"/>
  <c r="V44" i="35"/>
  <c r="R162" i="35"/>
  <c r="V162" i="35" s="1"/>
  <c r="R159" i="35"/>
  <c r="V159" i="35" s="1"/>
  <c r="R132" i="35"/>
  <c r="R32" i="35"/>
  <c r="V26" i="35"/>
  <c r="T28" i="35"/>
  <c r="U28" i="35" s="1"/>
  <c r="AF12" i="35" s="1"/>
  <c r="S28" i="35"/>
  <c r="AE12" i="35" s="1"/>
  <c r="R102" i="35"/>
  <c r="V102" i="35" s="1"/>
  <c r="R122" i="35"/>
  <c r="R127" i="35"/>
  <c r="V101" i="35"/>
  <c r="V68" i="35"/>
  <c r="T136" i="35"/>
  <c r="U136" i="35" s="1"/>
  <c r="AF119" i="35" s="1"/>
  <c r="D128" i="35"/>
  <c r="AD116" i="35"/>
  <c r="R92" i="35"/>
  <c r="R78" i="35"/>
  <c r="V78" i="35" s="1"/>
  <c r="R71" i="35"/>
  <c r="R8" i="35"/>
  <c r="R42" i="35"/>
  <c r="V42" i="35" s="1"/>
  <c r="AD8" i="35"/>
  <c r="D17" i="35"/>
  <c r="V23" i="35"/>
  <c r="T25" i="35"/>
  <c r="U25" i="35" s="1"/>
  <c r="AF11" i="35" s="1"/>
  <c r="S25" i="35"/>
  <c r="AE11" i="35" s="1"/>
  <c r="R128" i="35"/>
  <c r="R152" i="35"/>
  <c r="V107" i="35"/>
  <c r="R22" i="35"/>
  <c r="V22" i="35" s="1"/>
  <c r="R52" i="35"/>
  <c r="V52" i="35" s="1"/>
  <c r="R65" i="35"/>
  <c r="X61" i="35"/>
  <c r="Y61" i="35" s="1"/>
  <c r="AH58" i="35" s="1"/>
  <c r="W61" i="35"/>
  <c r="AG58" i="35" s="1"/>
  <c r="R96" i="35"/>
  <c r="V96" i="35" s="1"/>
  <c r="R129" i="35"/>
  <c r="V129" i="35" s="1"/>
  <c r="V113" i="35"/>
  <c r="T115" i="35"/>
  <c r="U115" i="35" s="1"/>
  <c r="AF112" i="35" s="1"/>
  <c r="R76" i="35"/>
  <c r="V76" i="35" s="1"/>
  <c r="V77" i="35"/>
  <c r="R142" i="35"/>
  <c r="V142" i="35" s="1"/>
  <c r="R151" i="35"/>
  <c r="V151" i="35" s="1"/>
  <c r="R130" i="35"/>
  <c r="V130" i="35" s="1"/>
  <c r="R86" i="35"/>
  <c r="X136" i="35"/>
  <c r="Y136" i="35" s="1"/>
  <c r="AH119" i="35" s="1"/>
  <c r="W136" i="35"/>
  <c r="AG119" i="35" s="1"/>
  <c r="R54" i="35"/>
  <c r="V54" i="35" s="1"/>
  <c r="R74" i="35"/>
  <c r="R10" i="35"/>
  <c r="V10" i="35" s="1"/>
  <c r="Z10" i="35" s="1"/>
  <c r="R31" i="35"/>
  <c r="V31" i="35" s="1"/>
  <c r="AD62" i="35"/>
  <c r="D74" i="35"/>
  <c r="R30" i="35"/>
  <c r="V30" i="35" s="1"/>
  <c r="V19" i="35"/>
  <c r="R5" i="35"/>
  <c r="N134" i="7"/>
  <c r="R134" i="7" s="1"/>
  <c r="V134" i="7" s="1"/>
  <c r="N152" i="7"/>
  <c r="R152" i="7" s="1"/>
  <c r="N155" i="7"/>
  <c r="R155" i="7" s="1"/>
  <c r="N136" i="7"/>
  <c r="R136" i="7" s="1"/>
  <c r="V136" i="7" s="1"/>
  <c r="N122" i="7"/>
  <c r="R122" i="7" s="1"/>
  <c r="S124" i="7" s="1"/>
  <c r="AE115" i="7" s="1"/>
  <c r="N127" i="7"/>
  <c r="R127" i="7" s="1"/>
  <c r="V127" i="7" s="1"/>
  <c r="N132" i="7"/>
  <c r="N121" i="7"/>
  <c r="R121" i="7" s="1"/>
  <c r="V121" i="7" s="1"/>
  <c r="N115" i="7"/>
  <c r="R115" i="7" s="1"/>
  <c r="V115" i="7" s="1"/>
  <c r="V124" i="7"/>
  <c r="V123" i="7"/>
  <c r="N163" i="7"/>
  <c r="R163" i="7" s="1"/>
  <c r="V163" i="7" s="1"/>
  <c r="N142" i="7"/>
  <c r="R142" i="7" s="1"/>
  <c r="V142" i="7" s="1"/>
  <c r="N125" i="7"/>
  <c r="R125" i="7" s="1"/>
  <c r="N129" i="7"/>
  <c r="R129" i="7" s="1"/>
  <c r="V129" i="7" s="1"/>
  <c r="N119" i="7"/>
  <c r="R119" i="7" s="1"/>
  <c r="N126" i="7"/>
  <c r="R126" i="7" s="1"/>
  <c r="V126" i="7" s="1"/>
  <c r="N149" i="7"/>
  <c r="R149" i="7" s="1"/>
  <c r="N114" i="7"/>
  <c r="R114" i="7" s="1"/>
  <c r="V114" i="7" s="1"/>
  <c r="N162" i="7"/>
  <c r="R162" i="7" s="1"/>
  <c r="V162" i="7" s="1"/>
  <c r="N118" i="7"/>
  <c r="R118" i="7" s="1"/>
  <c r="V118" i="7" s="1"/>
  <c r="N141" i="7"/>
  <c r="R141" i="7" s="1"/>
  <c r="V141" i="7" s="1"/>
  <c r="N137" i="7"/>
  <c r="R137" i="7" s="1"/>
  <c r="V137" i="7" s="1"/>
  <c r="R132" i="7"/>
  <c r="V132" i="7" s="1"/>
  <c r="N120" i="7"/>
  <c r="R120" i="7" s="1"/>
  <c r="V120" i="7" s="1"/>
  <c r="N128" i="7"/>
  <c r="R128" i="7" s="1"/>
  <c r="V152" i="7"/>
  <c r="V125" i="7"/>
  <c r="N139" i="7"/>
  <c r="R139" i="7" s="1"/>
  <c r="V139" i="7" s="1"/>
  <c r="N113" i="7"/>
  <c r="R113" i="7" s="1"/>
  <c r="N138" i="7"/>
  <c r="R138" i="7" s="1"/>
  <c r="V138" i="7" s="1"/>
  <c r="N133" i="7"/>
  <c r="R133" i="7" s="1"/>
  <c r="V133" i="7" s="1"/>
  <c r="N156" i="7"/>
  <c r="R156" i="7" s="1"/>
  <c r="V156" i="7" s="1"/>
  <c r="N131" i="7"/>
  <c r="R131" i="7" s="1"/>
  <c r="D125" i="7"/>
  <c r="AD115" i="7"/>
  <c r="N117" i="7"/>
  <c r="R117" i="7" s="1"/>
  <c r="V117" i="7" s="1"/>
  <c r="N151" i="7"/>
  <c r="R151" i="7" s="1"/>
  <c r="V151" i="7" s="1"/>
  <c r="I145" i="7"/>
  <c r="H144" i="7"/>
  <c r="H145" i="7"/>
  <c r="I144" i="7"/>
  <c r="I143" i="7"/>
  <c r="H143" i="7"/>
  <c r="N157" i="7"/>
  <c r="R157" i="7" s="1"/>
  <c r="V157" i="7" s="1"/>
  <c r="N148" i="7"/>
  <c r="R148" i="7" s="1"/>
  <c r="V148" i="7" s="1"/>
  <c r="K143" i="7"/>
  <c r="K144" i="7"/>
  <c r="J143" i="7"/>
  <c r="K145" i="7"/>
  <c r="J145" i="7"/>
  <c r="J144" i="7"/>
  <c r="N68" i="7"/>
  <c r="R68" i="7" s="1"/>
  <c r="V68" i="7" s="1"/>
  <c r="N98" i="7"/>
  <c r="R98" i="7" s="1"/>
  <c r="I89" i="7"/>
  <c r="N82" i="7"/>
  <c r="R82" i="7" s="1"/>
  <c r="V82" i="7" s="1"/>
  <c r="N81" i="7"/>
  <c r="R81" i="7" s="1"/>
  <c r="V81" i="7" s="1"/>
  <c r="N61" i="7"/>
  <c r="R61" i="7" s="1"/>
  <c r="V61" i="7" s="1"/>
  <c r="N88" i="7"/>
  <c r="R88" i="7" s="1"/>
  <c r="V88" i="7" s="1"/>
  <c r="N97" i="7"/>
  <c r="R97" i="7" s="1"/>
  <c r="V97" i="7" s="1"/>
  <c r="H90" i="7"/>
  <c r="I91" i="7"/>
  <c r="N86" i="7"/>
  <c r="R86" i="7" s="1"/>
  <c r="V86" i="7" s="1"/>
  <c r="N79" i="7"/>
  <c r="R79" i="7" s="1"/>
  <c r="V79" i="7" s="1"/>
  <c r="N77" i="7"/>
  <c r="R77" i="7" s="1"/>
  <c r="V77" i="7" s="1"/>
  <c r="N59" i="7"/>
  <c r="R59" i="7" s="1"/>
  <c r="N80" i="7"/>
  <c r="R80" i="7" s="1"/>
  <c r="V80" i="7" s="1"/>
  <c r="N64" i="7"/>
  <c r="R64" i="7" s="1"/>
  <c r="V64" i="7" s="1"/>
  <c r="N107" i="7"/>
  <c r="R107" i="7" s="1"/>
  <c r="V107" i="7" s="1"/>
  <c r="N71" i="7"/>
  <c r="R71" i="7" s="1"/>
  <c r="V71" i="7" s="1"/>
  <c r="N109" i="7"/>
  <c r="R109" i="7" s="1"/>
  <c r="V109" i="7" s="1"/>
  <c r="H89" i="7"/>
  <c r="N100" i="7"/>
  <c r="R100" i="7" s="1"/>
  <c r="V100" i="7" s="1"/>
  <c r="N103" i="7"/>
  <c r="R103" i="7" s="1"/>
  <c r="V103" i="7" s="1"/>
  <c r="H91" i="7"/>
  <c r="N76" i="7"/>
  <c r="R76" i="7" s="1"/>
  <c r="V76" i="7" s="1"/>
  <c r="N60" i="7"/>
  <c r="R60" i="7" s="1"/>
  <c r="V60" i="7" s="1"/>
  <c r="N73" i="7"/>
  <c r="R73" i="7" s="1"/>
  <c r="V73" i="7" s="1"/>
  <c r="N94" i="7"/>
  <c r="R94" i="7" s="1"/>
  <c r="V94" i="7" s="1"/>
  <c r="N83" i="7"/>
  <c r="R83" i="7" s="1"/>
  <c r="V83" i="7" s="1"/>
  <c r="N85" i="7"/>
  <c r="R85" i="7" s="1"/>
  <c r="V85" i="7" s="1"/>
  <c r="N72" i="7"/>
  <c r="R72" i="7" s="1"/>
  <c r="N70" i="7"/>
  <c r="R70" i="7" s="1"/>
  <c r="V70" i="7" s="1"/>
  <c r="N67" i="7"/>
  <c r="R67" i="7" s="1"/>
  <c r="V67" i="7" s="1"/>
  <c r="Z67" i="7" s="1"/>
  <c r="N102" i="7"/>
  <c r="R102" i="7" s="1"/>
  <c r="V102" i="7" s="1"/>
  <c r="N78" i="7"/>
  <c r="R78" i="7" s="1"/>
  <c r="V78" i="7" s="1"/>
  <c r="N69" i="7"/>
  <c r="R69" i="7" s="1"/>
  <c r="V98" i="7"/>
  <c r="K91" i="7"/>
  <c r="J90" i="7"/>
  <c r="J91" i="7"/>
  <c r="K89" i="7"/>
  <c r="J89" i="7"/>
  <c r="K90" i="7"/>
  <c r="N106" i="7"/>
  <c r="R106" i="7" s="1"/>
  <c r="V106" i="7" s="1"/>
  <c r="D74" i="7"/>
  <c r="AD62" i="7"/>
  <c r="N95" i="7"/>
  <c r="R95" i="7" s="1"/>
  <c r="S82" i="34"/>
  <c r="X73" i="34" s="1"/>
  <c r="N74" i="34"/>
  <c r="O74" i="34" s="1"/>
  <c r="P74" i="34" s="1"/>
  <c r="Q74" i="34" s="1"/>
  <c r="R74" i="34" s="1"/>
  <c r="N76" i="34"/>
  <c r="O76" i="34" s="1"/>
  <c r="P76" i="34" s="1"/>
  <c r="Q76" i="34" s="1"/>
  <c r="R76" i="34" s="1"/>
  <c r="S49" i="34"/>
  <c r="X40" i="34" s="1"/>
  <c r="S52" i="34"/>
  <c r="X41" i="34" s="1"/>
  <c r="N42" i="34"/>
  <c r="O42" i="34" s="1"/>
  <c r="P42" i="34" s="1"/>
  <c r="Q42" i="34" s="1"/>
  <c r="R42" i="34" s="1"/>
  <c r="N10" i="34"/>
  <c r="O10" i="34" s="1"/>
  <c r="P10" i="34" s="1"/>
  <c r="Q10" i="34" s="1"/>
  <c r="R10" i="34" s="1"/>
  <c r="Y76" i="34"/>
  <c r="S7" i="34"/>
  <c r="X4" i="34" s="1"/>
  <c r="T7" i="34"/>
  <c r="U7" i="34" s="1"/>
  <c r="Y4" i="34" s="1"/>
  <c r="S58" i="34"/>
  <c r="X43" i="34" s="1"/>
  <c r="T58" i="34"/>
  <c r="U58" i="34" s="1"/>
  <c r="Y43" i="34" s="1"/>
  <c r="T19" i="34"/>
  <c r="U19" i="34" s="1"/>
  <c r="Y8" i="34" s="1"/>
  <c r="S19" i="34"/>
  <c r="X8" i="34" s="1"/>
  <c r="T55" i="34"/>
  <c r="U55" i="34" s="1"/>
  <c r="Y42" i="34" s="1"/>
  <c r="T49" i="34"/>
  <c r="U49" i="34" s="1"/>
  <c r="Y40" i="34" s="1"/>
  <c r="S79" i="34"/>
  <c r="X72" i="34" s="1"/>
  <c r="T25" i="34"/>
  <c r="U25" i="34" s="1"/>
  <c r="Y10" i="34" s="1"/>
  <c r="S25" i="34"/>
  <c r="X10" i="34" s="1"/>
  <c r="U16" i="34"/>
  <c r="Y7" i="34" s="1"/>
  <c r="S13" i="34"/>
  <c r="X6" i="34" s="1"/>
  <c r="T13" i="34"/>
  <c r="U13" i="34" s="1"/>
  <c r="Y6" i="34" s="1"/>
  <c r="S88" i="34"/>
  <c r="X75" i="34" s="1"/>
  <c r="N41" i="34"/>
  <c r="O41" i="34" s="1"/>
  <c r="P41" i="34" s="1"/>
  <c r="Q41" i="34" s="1"/>
  <c r="R41" i="34" s="1"/>
  <c r="N8" i="34"/>
  <c r="O8" i="34" s="1"/>
  <c r="P8" i="34" s="1"/>
  <c r="Q8" i="34" s="1"/>
  <c r="R8" i="34" s="1"/>
  <c r="N9" i="34"/>
  <c r="O9" i="34" s="1"/>
  <c r="P9" i="34" s="1"/>
  <c r="Q9" i="34" s="1"/>
  <c r="R9" i="34" s="1"/>
  <c r="N38" i="13"/>
  <c r="O38" i="13" s="1"/>
  <c r="P38" i="13" s="1"/>
  <c r="Q38" i="13" s="1"/>
  <c r="R38" i="13" s="1"/>
  <c r="T88" i="13"/>
  <c r="U88" i="13" s="1"/>
  <c r="Y75" i="13" s="1"/>
  <c r="S46" i="13"/>
  <c r="X39" i="13" s="1"/>
  <c r="N75" i="13"/>
  <c r="O75" i="13" s="1"/>
  <c r="P75" i="13" s="1"/>
  <c r="Q75" i="13" s="1"/>
  <c r="R75" i="13" s="1"/>
  <c r="N74" i="13"/>
  <c r="O74" i="13" s="1"/>
  <c r="P74" i="13" s="1"/>
  <c r="Q74" i="13" s="1"/>
  <c r="R74" i="13" s="1"/>
  <c r="T58" i="13"/>
  <c r="U58" i="13" s="1"/>
  <c r="Y43" i="13" s="1"/>
  <c r="S91" i="13"/>
  <c r="S88" i="13"/>
  <c r="X75" i="13" s="1"/>
  <c r="T52" i="13"/>
  <c r="U52" i="13" s="1"/>
  <c r="Y41" i="13" s="1"/>
  <c r="N72" i="13"/>
  <c r="O72" i="13" s="1"/>
  <c r="P72" i="13" s="1"/>
  <c r="Q72" i="13" s="1"/>
  <c r="R72" i="13" s="1"/>
  <c r="N40" i="13"/>
  <c r="O40" i="13" s="1"/>
  <c r="P40" i="13" s="1"/>
  <c r="Q40" i="13" s="1"/>
  <c r="R40" i="13" s="1"/>
  <c r="T82" i="13"/>
  <c r="U82" i="13" s="1"/>
  <c r="Y73" i="13" s="1"/>
  <c r="S82" i="13"/>
  <c r="X73" i="13" s="1"/>
  <c r="S94" i="13"/>
  <c r="X77" i="13" s="1"/>
  <c r="T94" i="13"/>
  <c r="U94" i="13" s="1"/>
  <c r="Y77" i="13" s="1"/>
  <c r="S79" i="13"/>
  <c r="X72" i="13" s="1"/>
  <c r="T79" i="13"/>
  <c r="U79" i="13" s="1"/>
  <c r="Y72" i="13" s="1"/>
  <c r="N71" i="13"/>
  <c r="O71" i="13" s="1"/>
  <c r="P71" i="13" s="1"/>
  <c r="Q71" i="13" s="1"/>
  <c r="R71" i="13" s="1"/>
  <c r="S85" i="13"/>
  <c r="N73" i="13"/>
  <c r="O73" i="13" s="1"/>
  <c r="P73" i="13" s="1"/>
  <c r="Q73" i="13" s="1"/>
  <c r="R73" i="13" s="1"/>
  <c r="S52" i="13"/>
  <c r="X41" i="13" s="1"/>
  <c r="S55" i="13"/>
  <c r="X42" i="13" s="1"/>
  <c r="N41" i="13"/>
  <c r="O41" i="13" s="1"/>
  <c r="P41" i="13" s="1"/>
  <c r="Q41" i="13" s="1"/>
  <c r="R41" i="13" s="1"/>
  <c r="T49" i="13"/>
  <c r="U49" i="13" s="1"/>
  <c r="Y40" i="13" s="1"/>
  <c r="S49" i="13"/>
  <c r="X40" i="13" s="1"/>
  <c r="S61" i="13"/>
  <c r="X44" i="13" s="1"/>
  <c r="T100" i="35" l="1"/>
  <c r="U100" i="35" s="1"/>
  <c r="AF71" i="35" s="1"/>
  <c r="T61" i="35"/>
  <c r="U61" i="35" s="1"/>
  <c r="AF58" i="35" s="1"/>
  <c r="S61" i="35"/>
  <c r="AE58" i="35" s="1"/>
  <c r="S19" i="35"/>
  <c r="AE9" i="35" s="1"/>
  <c r="T40" i="34"/>
  <c r="U40" i="34" s="1"/>
  <c r="Y37" i="34" s="1"/>
  <c r="S79" i="35"/>
  <c r="AE64" i="35" s="1"/>
  <c r="S82" i="35"/>
  <c r="AE65" i="35" s="1"/>
  <c r="N94" i="35"/>
  <c r="R94" i="35" s="1"/>
  <c r="V94" i="35" s="1"/>
  <c r="N29" i="35"/>
  <c r="R29" i="35" s="1"/>
  <c r="V29" i="35" s="1"/>
  <c r="N160" i="35"/>
  <c r="R160" i="35" s="1"/>
  <c r="V160" i="35" s="1"/>
  <c r="N91" i="35"/>
  <c r="R91" i="35" s="1"/>
  <c r="V91" i="35" s="1"/>
  <c r="N37" i="35"/>
  <c r="R37" i="35" s="1"/>
  <c r="V37" i="35" s="1"/>
  <c r="S115" i="35"/>
  <c r="AE112" i="35" s="1"/>
  <c r="T82" i="35"/>
  <c r="U82" i="35" s="1"/>
  <c r="AF65" i="35" s="1"/>
  <c r="Z120" i="35"/>
  <c r="X19" i="35"/>
  <c r="Y19" i="35" s="1"/>
  <c r="AH9" i="35" s="1"/>
  <c r="Z130" i="35"/>
  <c r="X82" i="35"/>
  <c r="Y82" i="35" s="1"/>
  <c r="AH65" i="35" s="1"/>
  <c r="N140" i="35"/>
  <c r="R140" i="35" s="1"/>
  <c r="V140" i="35" s="1"/>
  <c r="N141" i="35"/>
  <c r="R141" i="35" s="1"/>
  <c r="V141" i="35" s="1"/>
  <c r="N84" i="35"/>
  <c r="R84" i="35" s="1"/>
  <c r="V84" i="35" s="1"/>
  <c r="V69" i="35"/>
  <c r="Z69" i="35" s="1"/>
  <c r="S70" i="35"/>
  <c r="AE61" i="35" s="1"/>
  <c r="T70" i="35"/>
  <c r="U70" i="35" s="1"/>
  <c r="AF61" i="35" s="1"/>
  <c r="V12" i="35"/>
  <c r="Z12" i="35" s="1"/>
  <c r="T13" i="35"/>
  <c r="U13" i="35" s="1"/>
  <c r="AF7" i="35" s="1"/>
  <c r="V48" i="35"/>
  <c r="W49" i="35" s="1"/>
  <c r="AG19" i="35" s="1"/>
  <c r="T49" i="35"/>
  <c r="U49" i="35" s="1"/>
  <c r="AF19" i="35" s="1"/>
  <c r="N35" i="35"/>
  <c r="R35" i="35" s="1"/>
  <c r="T103" i="35"/>
  <c r="U103" i="35" s="1"/>
  <c r="AF72" i="35" s="1"/>
  <c r="T40" i="35"/>
  <c r="U40" i="35" s="1"/>
  <c r="AF16" i="35" s="1"/>
  <c r="T157" i="35"/>
  <c r="U157" i="35" s="1"/>
  <c r="AF126" i="35" s="1"/>
  <c r="T19" i="35"/>
  <c r="U19" i="35" s="1"/>
  <c r="AF9" i="35" s="1"/>
  <c r="N90" i="35"/>
  <c r="R90" i="35" s="1"/>
  <c r="V90" i="35" s="1"/>
  <c r="N118" i="35"/>
  <c r="R118" i="35" s="1"/>
  <c r="V118" i="35" s="1"/>
  <c r="Z118" i="35" s="1"/>
  <c r="Z67" i="35"/>
  <c r="S121" i="35"/>
  <c r="AE114" i="35" s="1"/>
  <c r="N143" i="35"/>
  <c r="N145" i="35"/>
  <c r="R145" i="35" s="1"/>
  <c r="V145" i="35" s="1"/>
  <c r="N147" i="35"/>
  <c r="R147" i="35" s="1"/>
  <c r="V147" i="35" s="1"/>
  <c r="W148" i="35" s="1"/>
  <c r="AG123" i="35" s="1"/>
  <c r="Z76" i="35"/>
  <c r="S103" i="35"/>
  <c r="AE72" i="35" s="1"/>
  <c r="T85" i="35"/>
  <c r="U85" i="35" s="1"/>
  <c r="AF66" i="35" s="1"/>
  <c r="S40" i="35"/>
  <c r="AE16" i="35" s="1"/>
  <c r="T121" i="35"/>
  <c r="U121" i="35" s="1"/>
  <c r="AF114" i="35" s="1"/>
  <c r="T163" i="35"/>
  <c r="U163" i="35" s="1"/>
  <c r="AF128" i="35" s="1"/>
  <c r="N144" i="35"/>
  <c r="R144" i="35" s="1"/>
  <c r="V144" i="35" s="1"/>
  <c r="N36" i="35"/>
  <c r="X136" i="7"/>
  <c r="Y136" i="7" s="1"/>
  <c r="AH119" i="7" s="1"/>
  <c r="T136" i="7"/>
  <c r="U136" i="7" s="1"/>
  <c r="AF119" i="7" s="1"/>
  <c r="Z76" i="7"/>
  <c r="Z64" i="7"/>
  <c r="Z120" i="7"/>
  <c r="Z70" i="7"/>
  <c r="Z73" i="7"/>
  <c r="Z117" i="7"/>
  <c r="U85" i="34"/>
  <c r="Y74" i="34" s="1"/>
  <c r="S76" i="34"/>
  <c r="X71" i="34" s="1"/>
  <c r="T76" i="13"/>
  <c r="U76" i="13" s="1"/>
  <c r="Y71" i="13" s="1"/>
  <c r="S76" i="13"/>
  <c r="X71" i="13" s="1"/>
  <c r="S40" i="13"/>
  <c r="X37" i="13" s="1"/>
  <c r="S160" i="35"/>
  <c r="AE127" i="35" s="1"/>
  <c r="S151" i="35"/>
  <c r="AE124" i="35" s="1"/>
  <c r="S64" i="35"/>
  <c r="AE59" i="35" s="1"/>
  <c r="T46" i="35"/>
  <c r="U46" i="35" s="1"/>
  <c r="AF18" i="35" s="1"/>
  <c r="S46" i="35"/>
  <c r="AE18" i="35" s="1"/>
  <c r="S43" i="35"/>
  <c r="AE17" i="35" s="1"/>
  <c r="T43" i="35"/>
  <c r="U43" i="35" s="1"/>
  <c r="AF17" i="35" s="1"/>
  <c r="V116" i="35"/>
  <c r="V137" i="35"/>
  <c r="T22" i="35"/>
  <c r="U22" i="35" s="1"/>
  <c r="AF10" i="35" s="1"/>
  <c r="S22" i="35"/>
  <c r="AE10" i="35" s="1"/>
  <c r="V20" i="35"/>
  <c r="V32" i="35"/>
  <c r="S34" i="35"/>
  <c r="AE14" i="35" s="1"/>
  <c r="T34" i="35"/>
  <c r="U34" i="35" s="1"/>
  <c r="AF14" i="35" s="1"/>
  <c r="V86" i="35"/>
  <c r="T88" i="35"/>
  <c r="U88" i="35" s="1"/>
  <c r="AF67" i="35" s="1"/>
  <c r="S88" i="35"/>
  <c r="AE67" i="35" s="1"/>
  <c r="S67" i="35"/>
  <c r="AE60" i="35" s="1"/>
  <c r="V65" i="35"/>
  <c r="T67" i="35"/>
  <c r="U67" i="35" s="1"/>
  <c r="AF60" i="35" s="1"/>
  <c r="V152" i="35"/>
  <c r="T124" i="35"/>
  <c r="U124" i="35" s="1"/>
  <c r="AF115" i="35" s="1"/>
  <c r="V122" i="35"/>
  <c r="S124" i="35"/>
  <c r="AE115" i="35" s="1"/>
  <c r="W85" i="35"/>
  <c r="AG66" i="35" s="1"/>
  <c r="X85" i="35"/>
  <c r="Y85" i="35" s="1"/>
  <c r="AH66" i="35" s="1"/>
  <c r="S142" i="35"/>
  <c r="AE121" i="35" s="1"/>
  <c r="X40" i="35"/>
  <c r="Y40" i="35" s="1"/>
  <c r="AH16" i="35" s="1"/>
  <c r="W40" i="35"/>
  <c r="AG16" i="35" s="1"/>
  <c r="X157" i="35"/>
  <c r="Y157" i="35" s="1"/>
  <c r="AH126" i="35" s="1"/>
  <c r="W157" i="35"/>
  <c r="AG126" i="35" s="1"/>
  <c r="T76" i="35"/>
  <c r="U76" i="35" s="1"/>
  <c r="AF63" i="35" s="1"/>
  <c r="V74" i="35"/>
  <c r="S76" i="35"/>
  <c r="AE63" i="35" s="1"/>
  <c r="T79" i="35"/>
  <c r="U79" i="35" s="1"/>
  <c r="AF64" i="35" s="1"/>
  <c r="X115" i="35"/>
  <c r="Y115" i="35" s="1"/>
  <c r="AH112" i="35" s="1"/>
  <c r="W115" i="35"/>
  <c r="AG112" i="35" s="1"/>
  <c r="R153" i="35"/>
  <c r="V153" i="35" s="1"/>
  <c r="X79" i="35"/>
  <c r="Y79" i="35" s="1"/>
  <c r="AH64" i="35" s="1"/>
  <c r="W79" i="35"/>
  <c r="AG64" i="35" s="1"/>
  <c r="S13" i="35"/>
  <c r="AE7" i="35" s="1"/>
  <c r="S49" i="35"/>
  <c r="AE19" i="35" s="1"/>
  <c r="T64" i="35"/>
  <c r="U64" i="35" s="1"/>
  <c r="AF59" i="35" s="1"/>
  <c r="S109" i="35"/>
  <c r="AE74" i="35" s="1"/>
  <c r="S100" i="35"/>
  <c r="AE71" i="35" s="1"/>
  <c r="T130" i="35"/>
  <c r="U130" i="35" s="1"/>
  <c r="AF117" i="35" s="1"/>
  <c r="S130" i="35"/>
  <c r="AE117" i="35" s="1"/>
  <c r="V128" i="35"/>
  <c r="S91" i="35"/>
  <c r="AE68" i="35" s="1"/>
  <c r="V89" i="35"/>
  <c r="V92" i="35"/>
  <c r="W28" i="35"/>
  <c r="AG12" i="35" s="1"/>
  <c r="X28" i="35"/>
  <c r="Y28" i="35" s="1"/>
  <c r="AH12" i="35" s="1"/>
  <c r="S85" i="35"/>
  <c r="AE66" i="35" s="1"/>
  <c r="X46" i="35"/>
  <c r="Y46" i="35" s="1"/>
  <c r="AH18" i="35" s="1"/>
  <c r="W46" i="35"/>
  <c r="AG18" i="35" s="1"/>
  <c r="T151" i="35"/>
  <c r="U151" i="35" s="1"/>
  <c r="AF124" i="35" s="1"/>
  <c r="X55" i="35"/>
  <c r="Y55" i="35" s="1"/>
  <c r="AH21" i="35" s="1"/>
  <c r="W55" i="35"/>
  <c r="AG21" i="35" s="1"/>
  <c r="T160" i="35"/>
  <c r="U160" i="35" s="1"/>
  <c r="AF127" i="35" s="1"/>
  <c r="X16" i="35"/>
  <c r="Y16" i="35" s="1"/>
  <c r="AH8" i="35" s="1"/>
  <c r="W16" i="35"/>
  <c r="AG8" i="35" s="1"/>
  <c r="S163" i="35"/>
  <c r="AE128" i="35" s="1"/>
  <c r="W31" i="35"/>
  <c r="AG13" i="35" s="1"/>
  <c r="X31" i="35"/>
  <c r="Y31" i="35" s="1"/>
  <c r="AH13" i="35" s="1"/>
  <c r="D20" i="35"/>
  <c r="AD9" i="35"/>
  <c r="Z18" i="35"/>
  <c r="V71" i="35"/>
  <c r="T73" i="35"/>
  <c r="U73" i="35" s="1"/>
  <c r="AF62" i="35" s="1"/>
  <c r="S73" i="35"/>
  <c r="AE62" i="35" s="1"/>
  <c r="R143" i="35"/>
  <c r="X151" i="35"/>
  <c r="Y151" i="35" s="1"/>
  <c r="AH124" i="35" s="1"/>
  <c r="W151" i="35"/>
  <c r="AG124" i="35" s="1"/>
  <c r="T55" i="35"/>
  <c r="U55" i="35" s="1"/>
  <c r="AF21" i="35" s="1"/>
  <c r="S31" i="35"/>
  <c r="AE13" i="35" s="1"/>
  <c r="R93" i="35"/>
  <c r="V93" i="35" s="1"/>
  <c r="X64" i="35"/>
  <c r="Y64" i="35" s="1"/>
  <c r="AH59" i="35" s="1"/>
  <c r="Z62" i="35"/>
  <c r="W64" i="35"/>
  <c r="AG59" i="35" s="1"/>
  <c r="X109" i="35"/>
  <c r="Y109" i="35" s="1"/>
  <c r="AH74" i="35" s="1"/>
  <c r="W109" i="35"/>
  <c r="AG74" i="35" s="1"/>
  <c r="T148" i="35"/>
  <c r="U148" i="35" s="1"/>
  <c r="AF123" i="35" s="1"/>
  <c r="T10" i="35"/>
  <c r="U10" i="35" s="1"/>
  <c r="AF6" i="35" s="1"/>
  <c r="S10" i="35"/>
  <c r="AE6" i="35" s="1"/>
  <c r="V8" i="35"/>
  <c r="D131" i="35"/>
  <c r="AD117" i="35"/>
  <c r="V132" i="35"/>
  <c r="T133" i="35"/>
  <c r="U133" i="35" s="1"/>
  <c r="AF118" i="35" s="1"/>
  <c r="S133" i="35"/>
  <c r="AE118" i="35" s="1"/>
  <c r="Z125" i="35"/>
  <c r="X163" i="35"/>
  <c r="Y163" i="35" s="1"/>
  <c r="AH128" i="35" s="1"/>
  <c r="W163" i="35"/>
  <c r="AG128" i="35" s="1"/>
  <c r="S7" i="35"/>
  <c r="AE5" i="35" s="1"/>
  <c r="V5" i="35"/>
  <c r="Z11" i="35" s="1"/>
  <c r="T7" i="35"/>
  <c r="U7" i="35" s="1"/>
  <c r="AF5" i="35" s="1"/>
  <c r="D77" i="35"/>
  <c r="Z78" i="35" s="1"/>
  <c r="AD63" i="35"/>
  <c r="V35" i="35"/>
  <c r="Z19" i="35"/>
  <c r="T31" i="35"/>
  <c r="U31" i="35" s="1"/>
  <c r="AF13" i="35" s="1"/>
  <c r="R36" i="35"/>
  <c r="V36" i="35" s="1"/>
  <c r="R138" i="35"/>
  <c r="V138" i="35" s="1"/>
  <c r="W19" i="35"/>
  <c r="AG9" i="35" s="1"/>
  <c r="V51" i="35"/>
  <c r="T52" i="35"/>
  <c r="U52" i="35" s="1"/>
  <c r="AF20" i="35" s="1"/>
  <c r="S52" i="35"/>
  <c r="AE20" i="35" s="1"/>
  <c r="Z129" i="35"/>
  <c r="X13" i="35"/>
  <c r="Y13" i="35" s="1"/>
  <c r="AH7" i="35" s="1"/>
  <c r="W13" i="35"/>
  <c r="AG7" i="35" s="1"/>
  <c r="W43" i="35"/>
  <c r="AG17" i="35" s="1"/>
  <c r="X43" i="35"/>
  <c r="Y43" i="35" s="1"/>
  <c r="AH17" i="35" s="1"/>
  <c r="T109" i="35"/>
  <c r="U109" i="35" s="1"/>
  <c r="AF74" i="35" s="1"/>
  <c r="X100" i="35"/>
  <c r="Y100" i="35" s="1"/>
  <c r="AH71" i="35" s="1"/>
  <c r="W100" i="35"/>
  <c r="AG71" i="35" s="1"/>
  <c r="W82" i="35"/>
  <c r="AG65" i="35" s="1"/>
  <c r="X25" i="35"/>
  <c r="Y25" i="35" s="1"/>
  <c r="AH11" i="35" s="1"/>
  <c r="W25" i="35"/>
  <c r="AG11" i="35" s="1"/>
  <c r="X70" i="35"/>
  <c r="Y70" i="35" s="1"/>
  <c r="AH61" i="35" s="1"/>
  <c r="Z68" i="35"/>
  <c r="W70" i="35"/>
  <c r="AG61" i="35" s="1"/>
  <c r="X103" i="35"/>
  <c r="Y103" i="35" s="1"/>
  <c r="AH72" i="35" s="1"/>
  <c r="W103" i="35"/>
  <c r="AG72" i="35" s="1"/>
  <c r="V127" i="35"/>
  <c r="S127" i="35"/>
  <c r="AE116" i="35" s="1"/>
  <c r="T127" i="35"/>
  <c r="U127" i="35" s="1"/>
  <c r="AF116" i="35" s="1"/>
  <c r="T97" i="35"/>
  <c r="U97" i="35" s="1"/>
  <c r="AF70" i="35" s="1"/>
  <c r="S97" i="35"/>
  <c r="AE70" i="35" s="1"/>
  <c r="V95" i="35"/>
  <c r="T106" i="35"/>
  <c r="U106" i="35" s="1"/>
  <c r="AF73" i="35" s="1"/>
  <c r="S106" i="35"/>
  <c r="AE73" i="35" s="1"/>
  <c r="V104" i="35"/>
  <c r="Z75" i="35"/>
  <c r="S55" i="35"/>
  <c r="AE21" i="35" s="1"/>
  <c r="X160" i="35"/>
  <c r="Y160" i="35" s="1"/>
  <c r="AH127" i="35" s="1"/>
  <c r="W160" i="35"/>
  <c r="AG127" i="35" s="1"/>
  <c r="W121" i="35"/>
  <c r="AG114" i="35" s="1"/>
  <c r="Z119" i="35"/>
  <c r="X121" i="35"/>
  <c r="Y121" i="35" s="1"/>
  <c r="AH114" i="35" s="1"/>
  <c r="Z118" i="7"/>
  <c r="Z126" i="7"/>
  <c r="Z123" i="7"/>
  <c r="Z127" i="7"/>
  <c r="Z124" i="7"/>
  <c r="Z121" i="7"/>
  <c r="W136" i="7"/>
  <c r="AG119" i="7" s="1"/>
  <c r="S136" i="7"/>
  <c r="AE119" i="7" s="1"/>
  <c r="W127" i="7"/>
  <c r="AG116" i="7" s="1"/>
  <c r="S115" i="7"/>
  <c r="AE112" i="7" s="1"/>
  <c r="N90" i="7"/>
  <c r="R90" i="7" s="1"/>
  <c r="V90" i="7" s="1"/>
  <c r="V113" i="7"/>
  <c r="X115" i="7" s="1"/>
  <c r="Y115" i="7" s="1"/>
  <c r="AH112" i="7" s="1"/>
  <c r="N147" i="7"/>
  <c r="R147" i="7" s="1"/>
  <c r="V147" i="7" s="1"/>
  <c r="N150" i="7"/>
  <c r="R150" i="7" s="1"/>
  <c r="N161" i="7"/>
  <c r="R161" i="7" s="1"/>
  <c r="T163" i="7" s="1"/>
  <c r="U163" i="7" s="1"/>
  <c r="AF128" i="7" s="1"/>
  <c r="N140" i="7"/>
  <c r="R140" i="7" s="1"/>
  <c r="V140" i="7" s="1"/>
  <c r="N130" i="7"/>
  <c r="R130" i="7" s="1"/>
  <c r="V130" i="7" s="1"/>
  <c r="N154" i="7"/>
  <c r="R154" i="7" s="1"/>
  <c r="V154" i="7" s="1"/>
  <c r="V119" i="7"/>
  <c r="S121" i="7"/>
  <c r="AE114" i="7" s="1"/>
  <c r="N158" i="7"/>
  <c r="R158" i="7" s="1"/>
  <c r="V158" i="7" s="1"/>
  <c r="V149" i="7"/>
  <c r="N116" i="7"/>
  <c r="R116" i="7" s="1"/>
  <c r="T118" i="7" s="1"/>
  <c r="U118" i="7" s="1"/>
  <c r="AF113" i="7" s="1"/>
  <c r="S127" i="7"/>
  <c r="AE116" i="7" s="1"/>
  <c r="T127" i="7"/>
  <c r="U127" i="7" s="1"/>
  <c r="AF116" i="7" s="1"/>
  <c r="N160" i="7"/>
  <c r="R160" i="7" s="1"/>
  <c r="V160" i="7" s="1"/>
  <c r="V116" i="7"/>
  <c r="T124" i="7"/>
  <c r="U124" i="7" s="1"/>
  <c r="AF115" i="7" s="1"/>
  <c r="T115" i="7"/>
  <c r="U115" i="7" s="1"/>
  <c r="AF112" i="7" s="1"/>
  <c r="S139" i="7"/>
  <c r="AE120" i="7" s="1"/>
  <c r="V122" i="7"/>
  <c r="N146" i="7"/>
  <c r="R146" i="7" s="1"/>
  <c r="V146" i="7" s="1"/>
  <c r="T121" i="7"/>
  <c r="U121" i="7" s="1"/>
  <c r="AF114" i="7" s="1"/>
  <c r="N92" i="7"/>
  <c r="R92" i="7" s="1"/>
  <c r="V92" i="7" s="1"/>
  <c r="N66" i="7"/>
  <c r="R66" i="7" s="1"/>
  <c r="V66" i="7" s="1"/>
  <c r="Z66" i="7" s="1"/>
  <c r="N84" i="7"/>
  <c r="R84" i="7" s="1"/>
  <c r="V84" i="7" s="1"/>
  <c r="N153" i="7"/>
  <c r="R153" i="7" s="1"/>
  <c r="V153" i="7" s="1"/>
  <c r="X127" i="7"/>
  <c r="Y127" i="7" s="1"/>
  <c r="AH116" i="7" s="1"/>
  <c r="T139" i="7"/>
  <c r="U139" i="7" s="1"/>
  <c r="AF120" i="7" s="1"/>
  <c r="T133" i="7"/>
  <c r="U133" i="7" s="1"/>
  <c r="AF118" i="7" s="1"/>
  <c r="S133" i="7"/>
  <c r="AE118" i="7" s="1"/>
  <c r="V131" i="7"/>
  <c r="N104" i="7"/>
  <c r="R104" i="7" s="1"/>
  <c r="V104" i="7" s="1"/>
  <c r="N101" i="7"/>
  <c r="R101" i="7" s="1"/>
  <c r="T103" i="7" s="1"/>
  <c r="U103" i="7" s="1"/>
  <c r="AF72" i="7" s="1"/>
  <c r="D128" i="7"/>
  <c r="Z129" i="7" s="1"/>
  <c r="AD116" i="7"/>
  <c r="V128" i="7"/>
  <c r="W115" i="7"/>
  <c r="AG112" i="7" s="1"/>
  <c r="N159" i="7"/>
  <c r="R159" i="7" s="1"/>
  <c r="V159" i="7" s="1"/>
  <c r="T157" i="7"/>
  <c r="U157" i="7" s="1"/>
  <c r="AF126" i="7" s="1"/>
  <c r="S157" i="7"/>
  <c r="AE126" i="7" s="1"/>
  <c r="V155" i="7"/>
  <c r="N145" i="7"/>
  <c r="R145" i="7" s="1"/>
  <c r="V145" i="7" s="1"/>
  <c r="W139" i="7"/>
  <c r="AG120" i="7" s="1"/>
  <c r="X139" i="7"/>
  <c r="Y139" i="7" s="1"/>
  <c r="AH120" i="7" s="1"/>
  <c r="N62" i="7"/>
  <c r="R62" i="7" s="1"/>
  <c r="V62" i="7" s="1"/>
  <c r="N99" i="7"/>
  <c r="R99" i="7" s="1"/>
  <c r="V99" i="7" s="1"/>
  <c r="N74" i="7"/>
  <c r="R74" i="7" s="1"/>
  <c r="V74" i="7" s="1"/>
  <c r="N93" i="7"/>
  <c r="R93" i="7" s="1"/>
  <c r="V93" i="7" s="1"/>
  <c r="S82" i="7"/>
  <c r="AE65" i="7" s="1"/>
  <c r="T82" i="7"/>
  <c r="U82" i="7" s="1"/>
  <c r="AF65" i="7" s="1"/>
  <c r="N96" i="7"/>
  <c r="R96" i="7" s="1"/>
  <c r="V96" i="7" s="1"/>
  <c r="W82" i="7"/>
  <c r="AG65" i="7" s="1"/>
  <c r="S61" i="7"/>
  <c r="AE58" i="7" s="1"/>
  <c r="N75" i="7"/>
  <c r="R75" i="7" s="1"/>
  <c r="V75" i="7" s="1"/>
  <c r="Z75" i="7" s="1"/>
  <c r="N105" i="7"/>
  <c r="R105" i="7" s="1"/>
  <c r="V105" i="7" s="1"/>
  <c r="N87" i="7"/>
  <c r="R87" i="7" s="1"/>
  <c r="V87" i="7" s="1"/>
  <c r="N91" i="7"/>
  <c r="R91" i="7" s="1"/>
  <c r="V91" i="7" s="1"/>
  <c r="S79" i="7"/>
  <c r="AE64" i="7" s="1"/>
  <c r="N108" i="7"/>
  <c r="R108" i="7" s="1"/>
  <c r="V108" i="7" s="1"/>
  <c r="X82" i="7"/>
  <c r="Y82" i="7" s="1"/>
  <c r="AH65" i="7" s="1"/>
  <c r="V59" i="7"/>
  <c r="W61" i="7" s="1"/>
  <c r="AG58" i="7" s="1"/>
  <c r="N63" i="7"/>
  <c r="R63" i="7" s="1"/>
  <c r="V63" i="7" s="1"/>
  <c r="Z63" i="7" s="1"/>
  <c r="N65" i="7"/>
  <c r="R65" i="7" s="1"/>
  <c r="V65" i="7" s="1"/>
  <c r="T61" i="7"/>
  <c r="U61" i="7" s="1"/>
  <c r="AF58" i="7" s="1"/>
  <c r="T79" i="7"/>
  <c r="U79" i="7" s="1"/>
  <c r="AF64" i="7" s="1"/>
  <c r="V69" i="7"/>
  <c r="Z69" i="7" s="1"/>
  <c r="T70" i="7"/>
  <c r="U70" i="7" s="1"/>
  <c r="AF61" i="7" s="1"/>
  <c r="S70" i="7"/>
  <c r="AE61" i="7" s="1"/>
  <c r="S73" i="7"/>
  <c r="AE62" i="7" s="1"/>
  <c r="V72" i="7"/>
  <c r="Z72" i="7" s="1"/>
  <c r="T73" i="7"/>
  <c r="U73" i="7" s="1"/>
  <c r="AF62" i="7" s="1"/>
  <c r="V95" i="7"/>
  <c r="X79" i="7"/>
  <c r="Y79" i="7" s="1"/>
  <c r="W79" i="7"/>
  <c r="D77" i="7"/>
  <c r="Z79" i="7" s="1"/>
  <c r="AD63" i="7"/>
  <c r="T76" i="34"/>
  <c r="U76" i="34" s="1"/>
  <c r="Y71" i="34" s="1"/>
  <c r="T10" i="34"/>
  <c r="U10" i="34" s="1"/>
  <c r="Y5" i="34" s="1"/>
  <c r="S10" i="34"/>
  <c r="X5" i="34" s="1"/>
  <c r="T43" i="34"/>
  <c r="U43" i="34" s="1"/>
  <c r="Y38" i="34" s="1"/>
  <c r="S43" i="34"/>
  <c r="X38" i="34" s="1"/>
  <c r="T40" i="13"/>
  <c r="U40" i="13" s="1"/>
  <c r="Y37" i="13" s="1"/>
  <c r="X76" i="13"/>
  <c r="X74" i="13"/>
  <c r="T73" i="13"/>
  <c r="U73" i="13" s="1"/>
  <c r="Y70" i="13" s="1"/>
  <c r="S73" i="13"/>
  <c r="X70" i="13" s="1"/>
  <c r="T43" i="13"/>
  <c r="U43" i="13" s="1"/>
  <c r="Y38" i="13" s="1"/>
  <c r="S43" i="13"/>
  <c r="X38" i="13" s="1"/>
  <c r="X148" i="35" l="1"/>
  <c r="Y148" i="35" s="1"/>
  <c r="AH123" i="35" s="1"/>
  <c r="T142" i="35"/>
  <c r="U142" i="35" s="1"/>
  <c r="AF121" i="35" s="1"/>
  <c r="S118" i="35"/>
  <c r="AE113" i="35" s="1"/>
  <c r="T91" i="35"/>
  <c r="U91" i="35" s="1"/>
  <c r="AF68" i="35" s="1"/>
  <c r="X49" i="35"/>
  <c r="Y49" i="35" s="1"/>
  <c r="AH19" i="35" s="1"/>
  <c r="Z122" i="7"/>
  <c r="Z116" i="7"/>
  <c r="AA118" i="7" s="1"/>
  <c r="Z74" i="7"/>
  <c r="AA76" i="7" s="1"/>
  <c r="S148" i="35"/>
  <c r="AE123" i="35" s="1"/>
  <c r="S94" i="35"/>
  <c r="AE69" i="35" s="1"/>
  <c r="T118" i="35"/>
  <c r="U118" i="35" s="1"/>
  <c r="AF113" i="35" s="1"/>
  <c r="S139" i="35"/>
  <c r="AE120" i="35" s="1"/>
  <c r="Z130" i="7"/>
  <c r="Z128" i="7"/>
  <c r="Z71" i="7"/>
  <c r="AA73" i="7" s="1"/>
  <c r="Z78" i="7"/>
  <c r="X118" i="7"/>
  <c r="Y118" i="7" s="1"/>
  <c r="AH113" i="7" s="1"/>
  <c r="S154" i="35"/>
  <c r="AE125" i="35" s="1"/>
  <c r="S37" i="35"/>
  <c r="AE15" i="35" s="1"/>
  <c r="Z127" i="35"/>
  <c r="AA127" i="35" s="1"/>
  <c r="X127" i="35"/>
  <c r="Y127" i="35" s="1"/>
  <c r="AH116" i="35" s="1"/>
  <c r="W127" i="35"/>
  <c r="AG116" i="35" s="1"/>
  <c r="X73" i="35"/>
  <c r="Y73" i="35" s="1"/>
  <c r="AH62" i="35" s="1"/>
  <c r="Z71" i="35"/>
  <c r="W73" i="35"/>
  <c r="AG62" i="35" s="1"/>
  <c r="Z74" i="35"/>
  <c r="X76" i="35"/>
  <c r="Y76" i="35" s="1"/>
  <c r="AH63" i="35" s="1"/>
  <c r="W76" i="35"/>
  <c r="AG63" i="35" s="1"/>
  <c r="W67" i="35"/>
  <c r="AG60" i="35" s="1"/>
  <c r="X67" i="35"/>
  <c r="Y67" i="35" s="1"/>
  <c r="AH60" i="35" s="1"/>
  <c r="Z65" i="35"/>
  <c r="X97" i="35"/>
  <c r="Y97" i="35" s="1"/>
  <c r="AH70" i="35" s="1"/>
  <c r="W97" i="35"/>
  <c r="AG70" i="35" s="1"/>
  <c r="W52" i="35"/>
  <c r="AG20" i="35" s="1"/>
  <c r="X52" i="35"/>
  <c r="Y52" i="35" s="1"/>
  <c r="AH20" i="35" s="1"/>
  <c r="W37" i="35"/>
  <c r="AG15" i="35" s="1"/>
  <c r="X37" i="35"/>
  <c r="Y37" i="35" s="1"/>
  <c r="AH15" i="35" s="1"/>
  <c r="D80" i="35"/>
  <c r="AD64" i="35"/>
  <c r="Z79" i="35"/>
  <c r="AB127" i="35"/>
  <c r="T145" i="35"/>
  <c r="U145" i="35" s="1"/>
  <c r="AF122" i="35" s="1"/>
  <c r="S145" i="35"/>
  <c r="AE122" i="35" s="1"/>
  <c r="V143" i="35"/>
  <c r="Z14" i="35"/>
  <c r="T94" i="35"/>
  <c r="U94" i="35" s="1"/>
  <c r="AF69" i="35" s="1"/>
  <c r="Z77" i="35"/>
  <c r="X124" i="35"/>
  <c r="Y124" i="35" s="1"/>
  <c r="AH115" i="35" s="1"/>
  <c r="Z122" i="35"/>
  <c r="W124" i="35"/>
  <c r="AG115" i="35" s="1"/>
  <c r="T154" i="35"/>
  <c r="U154" i="35" s="1"/>
  <c r="AF125" i="35" s="1"/>
  <c r="T139" i="35"/>
  <c r="U139" i="35" s="1"/>
  <c r="AF120" i="35" s="1"/>
  <c r="X118" i="35"/>
  <c r="Y118" i="35" s="1"/>
  <c r="AH113" i="35" s="1"/>
  <c r="Z116" i="35"/>
  <c r="W118" i="35"/>
  <c r="AG113" i="35" s="1"/>
  <c r="AB13" i="35"/>
  <c r="AA13" i="35"/>
  <c r="W7" i="35"/>
  <c r="AG5" i="35" s="1"/>
  <c r="X7" i="35"/>
  <c r="Y7" i="35" s="1"/>
  <c r="AH5" i="35" s="1"/>
  <c r="Z17" i="35"/>
  <c r="D134" i="35"/>
  <c r="AD118" i="35"/>
  <c r="Z133" i="35"/>
  <c r="D23" i="35"/>
  <c r="AD10" i="35"/>
  <c r="Z21" i="35"/>
  <c r="W94" i="35"/>
  <c r="AG69" i="35" s="1"/>
  <c r="X94" i="35"/>
  <c r="Y94" i="35" s="1"/>
  <c r="AH69" i="35" s="1"/>
  <c r="Z22" i="35"/>
  <c r="AB70" i="35"/>
  <c r="AA70" i="35"/>
  <c r="Z132" i="35"/>
  <c r="X133" i="35"/>
  <c r="Y133" i="35" s="1"/>
  <c r="AH118" i="35" s="1"/>
  <c r="W133" i="35"/>
  <c r="AG118" i="35" s="1"/>
  <c r="Z8" i="35"/>
  <c r="W10" i="35"/>
  <c r="AG6" i="35" s="1"/>
  <c r="X10" i="35"/>
  <c r="Y10" i="35" s="1"/>
  <c r="AH6" i="35" s="1"/>
  <c r="AB64" i="35"/>
  <c r="AA64" i="35"/>
  <c r="W88" i="35"/>
  <c r="AG67" i="35" s="1"/>
  <c r="X88" i="35"/>
  <c r="Y88" i="35" s="1"/>
  <c r="AH67" i="35" s="1"/>
  <c r="AA121" i="35"/>
  <c r="AB121" i="35"/>
  <c r="X106" i="35"/>
  <c r="Y106" i="35" s="1"/>
  <c r="AH73" i="35" s="1"/>
  <c r="W106" i="35"/>
  <c r="AG73" i="35" s="1"/>
  <c r="Z23" i="35"/>
  <c r="T37" i="35"/>
  <c r="U37" i="35" s="1"/>
  <c r="AF15" i="35" s="1"/>
  <c r="Z131" i="35"/>
  <c r="X91" i="35"/>
  <c r="Y91" i="35" s="1"/>
  <c r="AH68" i="35" s="1"/>
  <c r="W91" i="35"/>
  <c r="AG68" i="35" s="1"/>
  <c r="Z128" i="35"/>
  <c r="X130" i="35"/>
  <c r="Y130" i="35" s="1"/>
  <c r="AH117" i="35" s="1"/>
  <c r="W130" i="35"/>
  <c r="AG117" i="35" s="1"/>
  <c r="W142" i="35"/>
  <c r="AG121" i="35" s="1"/>
  <c r="X142" i="35"/>
  <c r="Y142" i="35" s="1"/>
  <c r="AH121" i="35" s="1"/>
  <c r="X154" i="35"/>
  <c r="Y154" i="35" s="1"/>
  <c r="AH125" i="35" s="1"/>
  <c r="W154" i="35"/>
  <c r="AG125" i="35" s="1"/>
  <c r="X34" i="35"/>
  <c r="Y34" i="35" s="1"/>
  <c r="AH14" i="35" s="1"/>
  <c r="W34" i="35"/>
  <c r="AG14" i="35" s="1"/>
  <c r="W22" i="35"/>
  <c r="AG10" i="35" s="1"/>
  <c r="Z20" i="35"/>
  <c r="X22" i="35"/>
  <c r="Y22" i="35" s="1"/>
  <c r="AH10" i="35" s="1"/>
  <c r="W139" i="35"/>
  <c r="AG120" i="35" s="1"/>
  <c r="X139" i="35"/>
  <c r="Y139" i="35" s="1"/>
  <c r="AH120" i="35" s="1"/>
  <c r="W133" i="7"/>
  <c r="AB124" i="7"/>
  <c r="AA124" i="7"/>
  <c r="W121" i="7"/>
  <c r="AG114" i="7" s="1"/>
  <c r="Z119" i="7"/>
  <c r="Z125" i="7"/>
  <c r="X133" i="7"/>
  <c r="Y133" i="7" s="1"/>
  <c r="AH118" i="7" s="1"/>
  <c r="X124" i="7"/>
  <c r="Y124" i="7" s="1"/>
  <c r="AH115" i="7" s="1"/>
  <c r="W118" i="7"/>
  <c r="AG113" i="7" s="1"/>
  <c r="W124" i="7"/>
  <c r="AG115" i="7" s="1"/>
  <c r="X109" i="7"/>
  <c r="Y109" i="7" s="1"/>
  <c r="AH74" i="7" s="1"/>
  <c r="Z77" i="7"/>
  <c r="N89" i="7"/>
  <c r="R89" i="7" s="1"/>
  <c r="T91" i="7" s="1"/>
  <c r="U91" i="7" s="1"/>
  <c r="AF68" i="7" s="1"/>
  <c r="Z62" i="7"/>
  <c r="Z68" i="7"/>
  <c r="AB76" i="7"/>
  <c r="S76" i="7"/>
  <c r="AE63" i="7" s="1"/>
  <c r="Z65" i="7"/>
  <c r="S160" i="7"/>
  <c r="AE127" i="7" s="1"/>
  <c r="T160" i="7"/>
  <c r="U160" i="7" s="1"/>
  <c r="AF127" i="7" s="1"/>
  <c r="T154" i="7"/>
  <c r="U154" i="7" s="1"/>
  <c r="AF125" i="7" s="1"/>
  <c r="W154" i="7"/>
  <c r="AG125" i="7" s="1"/>
  <c r="S154" i="7"/>
  <c r="AE125" i="7" s="1"/>
  <c r="X154" i="7"/>
  <c r="Y154" i="7" s="1"/>
  <c r="AH125" i="7" s="1"/>
  <c r="V150" i="7"/>
  <c r="S151" i="7"/>
  <c r="AE124" i="7" s="1"/>
  <c r="T151" i="7"/>
  <c r="U151" i="7" s="1"/>
  <c r="AF124" i="7" s="1"/>
  <c r="S130" i="7"/>
  <c r="AE117" i="7" s="1"/>
  <c r="T130" i="7"/>
  <c r="U130" i="7" s="1"/>
  <c r="AF117" i="7" s="1"/>
  <c r="S142" i="7"/>
  <c r="AE121" i="7" s="1"/>
  <c r="W67" i="7"/>
  <c r="AG60" i="7" s="1"/>
  <c r="T142" i="7"/>
  <c r="U142" i="7" s="1"/>
  <c r="AF121" i="7" s="1"/>
  <c r="S118" i="7"/>
  <c r="AE113" i="7" s="1"/>
  <c r="V161" i="7"/>
  <c r="S163" i="7"/>
  <c r="AE128" i="7" s="1"/>
  <c r="W109" i="7"/>
  <c r="AG74" i="7" s="1"/>
  <c r="T85" i="7"/>
  <c r="U85" i="7" s="1"/>
  <c r="AF66" i="7" s="1"/>
  <c r="W85" i="7"/>
  <c r="AG66" i="7" s="1"/>
  <c r="T148" i="7"/>
  <c r="U148" i="7" s="1"/>
  <c r="AF123" i="7" s="1"/>
  <c r="S148" i="7"/>
  <c r="AE123" i="7" s="1"/>
  <c r="V101" i="7"/>
  <c r="S85" i="7"/>
  <c r="AE66" i="7" s="1"/>
  <c r="X121" i="7"/>
  <c r="Y121" i="7" s="1"/>
  <c r="AH114" i="7" s="1"/>
  <c r="X85" i="7"/>
  <c r="Y85" i="7" s="1"/>
  <c r="AH66" i="7" s="1"/>
  <c r="W100" i="7"/>
  <c r="AG71" i="7" s="1"/>
  <c r="S103" i="7"/>
  <c r="AE72" i="7" s="1"/>
  <c r="X100" i="7"/>
  <c r="Y100" i="7" s="1"/>
  <c r="AH71" i="7" s="1"/>
  <c r="T88" i="7"/>
  <c r="U88" i="7" s="1"/>
  <c r="AF67" i="7" s="1"/>
  <c r="T94" i="7"/>
  <c r="U94" i="7" s="1"/>
  <c r="AF69" i="7" s="1"/>
  <c r="S94" i="7"/>
  <c r="AE69" i="7" s="1"/>
  <c r="N143" i="7"/>
  <c r="R143" i="7" s="1"/>
  <c r="S88" i="7"/>
  <c r="AE67" i="7" s="1"/>
  <c r="N144" i="7"/>
  <c r="R144" i="7" s="1"/>
  <c r="V144" i="7" s="1"/>
  <c r="X142" i="7"/>
  <c r="Y142" i="7" s="1"/>
  <c r="AH121" i="7" s="1"/>
  <c r="W142" i="7"/>
  <c r="AG121" i="7" s="1"/>
  <c r="W160" i="7"/>
  <c r="AG127" i="7" s="1"/>
  <c r="X160" i="7"/>
  <c r="Y160" i="7" s="1"/>
  <c r="AH127" i="7" s="1"/>
  <c r="AG118" i="7"/>
  <c r="X157" i="7"/>
  <c r="Y157" i="7" s="1"/>
  <c r="AH126" i="7" s="1"/>
  <c r="W157" i="7"/>
  <c r="AG126" i="7" s="1"/>
  <c r="X130" i="7"/>
  <c r="Y130" i="7" s="1"/>
  <c r="AH117" i="7" s="1"/>
  <c r="W130" i="7"/>
  <c r="AG117" i="7" s="1"/>
  <c r="D131" i="7"/>
  <c r="Z131" i="7" s="1"/>
  <c r="AD117" i="7"/>
  <c r="W148" i="7"/>
  <c r="AG123" i="7" s="1"/>
  <c r="X148" i="7"/>
  <c r="Y148" i="7" s="1"/>
  <c r="AH123" i="7" s="1"/>
  <c r="T106" i="7"/>
  <c r="U106" i="7" s="1"/>
  <c r="AF73" i="7" s="1"/>
  <c r="T76" i="7"/>
  <c r="U76" i="7" s="1"/>
  <c r="AF63" i="7" s="1"/>
  <c r="T97" i="7"/>
  <c r="U97" i="7" s="1"/>
  <c r="AF70" i="7" s="1"/>
  <c r="S97" i="7"/>
  <c r="AE70" i="7" s="1"/>
  <c r="X67" i="7"/>
  <c r="Y67" i="7" s="1"/>
  <c r="AH60" i="7" s="1"/>
  <c r="S106" i="7"/>
  <c r="AE73" i="7" s="1"/>
  <c r="T100" i="7"/>
  <c r="U100" i="7" s="1"/>
  <c r="AF71" i="7" s="1"/>
  <c r="S100" i="7"/>
  <c r="AE71" i="7" s="1"/>
  <c r="S109" i="7"/>
  <c r="AE74" i="7" s="1"/>
  <c r="T109" i="7"/>
  <c r="U109" i="7" s="1"/>
  <c r="AF74" i="7" s="1"/>
  <c r="X88" i="7"/>
  <c r="Y88" i="7" s="1"/>
  <c r="AH67" i="7" s="1"/>
  <c r="W88" i="7"/>
  <c r="AG67" i="7" s="1"/>
  <c r="S64" i="7"/>
  <c r="AE59" i="7" s="1"/>
  <c r="T64" i="7"/>
  <c r="U64" i="7" s="1"/>
  <c r="AF59" i="7" s="1"/>
  <c r="X61" i="7"/>
  <c r="Y61" i="7" s="1"/>
  <c r="AH58" i="7" s="1"/>
  <c r="T67" i="7"/>
  <c r="U67" i="7" s="1"/>
  <c r="AF60" i="7" s="1"/>
  <c r="S67" i="7"/>
  <c r="AE60" i="7" s="1"/>
  <c r="W73" i="7"/>
  <c r="AG62" i="7" s="1"/>
  <c r="X73" i="7"/>
  <c r="Y73" i="7" s="1"/>
  <c r="AH62" i="7" s="1"/>
  <c r="X70" i="7"/>
  <c r="Y70" i="7" s="1"/>
  <c r="AH61" i="7" s="1"/>
  <c r="W70" i="7"/>
  <c r="AG61" i="7" s="1"/>
  <c r="AD64" i="7"/>
  <c r="D80" i="7"/>
  <c r="AH64" i="7"/>
  <c r="S91" i="7"/>
  <c r="AE68" i="7" s="1"/>
  <c r="V89" i="7"/>
  <c r="AG64" i="7"/>
  <c r="X64" i="7"/>
  <c r="Y64" i="7" s="1"/>
  <c r="AH59" i="7" s="1"/>
  <c r="W64" i="7"/>
  <c r="AG59" i="7" s="1"/>
  <c r="X97" i="7"/>
  <c r="Y97" i="7" s="1"/>
  <c r="AH70" i="7" s="1"/>
  <c r="W97" i="7"/>
  <c r="AG70" i="7" s="1"/>
  <c r="W106" i="7"/>
  <c r="AG73" i="7" s="1"/>
  <c r="X106" i="7"/>
  <c r="Y106" i="7" s="1"/>
  <c r="AH73" i="7" s="1"/>
  <c r="W94" i="7"/>
  <c r="AG69" i="7" s="1"/>
  <c r="X94" i="7"/>
  <c r="Y94" i="7" s="1"/>
  <c r="AH69" i="7" s="1"/>
  <c r="X76" i="7"/>
  <c r="Y76" i="7" s="1"/>
  <c r="AH63" i="7" s="1"/>
  <c r="W76" i="7"/>
  <c r="AG63" i="7" s="1"/>
  <c r="AA130" i="7" l="1"/>
  <c r="AB118" i="7"/>
  <c r="AB130" i="7"/>
  <c r="Z132" i="7"/>
  <c r="AA133" i="7" s="1"/>
  <c r="Z133" i="7"/>
  <c r="Z81" i="7"/>
  <c r="Z82" i="7"/>
  <c r="Z80" i="7"/>
  <c r="AB73" i="7"/>
  <c r="AB133" i="35"/>
  <c r="AA133" i="35"/>
  <c r="AB76" i="35"/>
  <c r="AA76" i="35"/>
  <c r="D137" i="35"/>
  <c r="AD119" i="35"/>
  <c r="Z135" i="35"/>
  <c r="Z134" i="35"/>
  <c r="Z136" i="35"/>
  <c r="AB118" i="35"/>
  <c r="AA118" i="35"/>
  <c r="AA16" i="35"/>
  <c r="AB16" i="35"/>
  <c r="D83" i="35"/>
  <c r="AD65" i="35"/>
  <c r="Z81" i="35"/>
  <c r="Z80" i="35"/>
  <c r="Z82" i="35"/>
  <c r="D26" i="35"/>
  <c r="AD11" i="35"/>
  <c r="Z25" i="35"/>
  <c r="Z24" i="35"/>
  <c r="AB19" i="35"/>
  <c r="AA19" i="35"/>
  <c r="AB124" i="35"/>
  <c r="AA124" i="35"/>
  <c r="X145" i="35"/>
  <c r="Y145" i="35" s="1"/>
  <c r="AH122" i="35" s="1"/>
  <c r="W145" i="35"/>
  <c r="AG122" i="35" s="1"/>
  <c r="AA73" i="35"/>
  <c r="AB73" i="35"/>
  <c r="AA22" i="35"/>
  <c r="AB22" i="35"/>
  <c r="AB79" i="35"/>
  <c r="AA79" i="35"/>
  <c r="AB130" i="35"/>
  <c r="AA130" i="35"/>
  <c r="AA10" i="35"/>
  <c r="AB10" i="35"/>
  <c r="AA67" i="35"/>
  <c r="AB67" i="35"/>
  <c r="AA121" i="7"/>
  <c r="AB121" i="7"/>
  <c r="W163" i="7"/>
  <c r="AG128" i="7" s="1"/>
  <c r="AB127" i="7"/>
  <c r="AA127" i="7"/>
  <c r="AB70" i="7"/>
  <c r="AA70" i="7"/>
  <c r="AA79" i="7"/>
  <c r="AB79" i="7"/>
  <c r="AB64" i="7"/>
  <c r="AA64" i="7"/>
  <c r="AA67" i="7"/>
  <c r="AB67" i="7"/>
  <c r="X163" i="7"/>
  <c r="Y163" i="7" s="1"/>
  <c r="AH128" i="7" s="1"/>
  <c r="W151" i="7"/>
  <c r="AG124" i="7" s="1"/>
  <c r="X151" i="7"/>
  <c r="Y151" i="7" s="1"/>
  <c r="AH124" i="7" s="1"/>
  <c r="S145" i="7"/>
  <c r="AE122" i="7" s="1"/>
  <c r="W103" i="7"/>
  <c r="AG72" i="7" s="1"/>
  <c r="X103" i="7"/>
  <c r="Y103" i="7" s="1"/>
  <c r="AH72" i="7" s="1"/>
  <c r="T145" i="7"/>
  <c r="U145" i="7" s="1"/>
  <c r="AF122" i="7" s="1"/>
  <c r="V143" i="7"/>
  <c r="AD118" i="7"/>
  <c r="D134" i="7"/>
  <c r="D83" i="7"/>
  <c r="AD65" i="7"/>
  <c r="W91" i="7"/>
  <c r="AG68" i="7" s="1"/>
  <c r="X91" i="7"/>
  <c r="Y91" i="7" s="1"/>
  <c r="AH68" i="7" s="1"/>
  <c r="AB133" i="7" l="1"/>
  <c r="AA82" i="7"/>
  <c r="AB25" i="35"/>
  <c r="Z85" i="7"/>
  <c r="Z83" i="7"/>
  <c r="Z84" i="7"/>
  <c r="Z136" i="7"/>
  <c r="Z135" i="7"/>
  <c r="Z134" i="7"/>
  <c r="AB82" i="7"/>
  <c r="AA25" i="35"/>
  <c r="AB82" i="35"/>
  <c r="AA82" i="35"/>
  <c r="AB136" i="35"/>
  <c r="AA136" i="35"/>
  <c r="D140" i="35"/>
  <c r="AD120" i="35"/>
  <c r="Z139" i="35"/>
  <c r="Z138" i="35"/>
  <c r="Z137" i="35"/>
  <c r="D29" i="35"/>
  <c r="AD12" i="35"/>
  <c r="Z27" i="35"/>
  <c r="Z28" i="35"/>
  <c r="Z26" i="35"/>
  <c r="AD66" i="35"/>
  <c r="D86" i="35"/>
  <c r="Z85" i="35"/>
  <c r="Z84" i="35"/>
  <c r="Z83" i="35"/>
  <c r="X145" i="7"/>
  <c r="Y145" i="7" s="1"/>
  <c r="AH122" i="7" s="1"/>
  <c r="W145" i="7"/>
  <c r="AG122" i="7" s="1"/>
  <c r="AD119" i="7"/>
  <c r="D137" i="7"/>
  <c r="D86" i="7"/>
  <c r="AD66" i="7"/>
  <c r="Z88" i="7" l="1"/>
  <c r="Z87" i="7"/>
  <c r="Z86" i="7"/>
  <c r="Z138" i="7"/>
  <c r="Z139" i="7"/>
  <c r="Z137" i="7"/>
  <c r="AA136" i="7"/>
  <c r="AB136" i="7"/>
  <c r="AA85" i="7"/>
  <c r="AB85" i="7"/>
  <c r="D89" i="35"/>
  <c r="AD67" i="35"/>
  <c r="D92" i="35"/>
  <c r="Z88" i="35"/>
  <c r="Z87" i="35"/>
  <c r="Z86" i="35"/>
  <c r="AA85" i="35"/>
  <c r="AB85" i="35"/>
  <c r="AA28" i="35"/>
  <c r="AB28" i="35"/>
  <c r="D32" i="35"/>
  <c r="AD13" i="35"/>
  <c r="Z31" i="35"/>
  <c r="Z30" i="35"/>
  <c r="Z29" i="35"/>
  <c r="AA139" i="35"/>
  <c r="AB139" i="35"/>
  <c r="D146" i="35"/>
  <c r="D143" i="35"/>
  <c r="AD121" i="35"/>
  <c r="Z141" i="35"/>
  <c r="Z142" i="35"/>
  <c r="Z140" i="35"/>
  <c r="D140" i="7"/>
  <c r="AD120" i="7"/>
  <c r="D89" i="7"/>
  <c r="D92" i="7"/>
  <c r="AD67" i="7"/>
  <c r="AD68" i="7" l="1"/>
  <c r="Z90" i="7"/>
  <c r="Z91" i="7"/>
  <c r="Z89" i="7"/>
  <c r="AB88" i="7"/>
  <c r="AA88" i="7"/>
  <c r="Z142" i="7"/>
  <c r="Z141" i="7"/>
  <c r="Z140" i="7"/>
  <c r="AA139" i="7"/>
  <c r="AB139" i="7"/>
  <c r="Z94" i="7"/>
  <c r="Z93" i="7"/>
  <c r="Z92" i="7"/>
  <c r="AB142" i="35"/>
  <c r="AA142" i="35"/>
  <c r="AD122" i="35"/>
  <c r="Z145" i="35"/>
  <c r="Z144" i="35"/>
  <c r="Z143" i="35"/>
  <c r="AA31" i="35"/>
  <c r="AB31" i="35"/>
  <c r="D35" i="35"/>
  <c r="AD14" i="35"/>
  <c r="D38" i="35"/>
  <c r="Z34" i="35"/>
  <c r="Z33" i="35"/>
  <c r="Z32" i="35"/>
  <c r="D95" i="35"/>
  <c r="AD69" i="35"/>
  <c r="Z94" i="35"/>
  <c r="Z93" i="35"/>
  <c r="Z92" i="35"/>
  <c r="AD123" i="35"/>
  <c r="D149" i="35"/>
  <c r="Z148" i="35"/>
  <c r="Z146" i="35"/>
  <c r="Z147" i="35"/>
  <c r="AB88" i="35"/>
  <c r="AA88" i="35"/>
  <c r="AD68" i="35"/>
  <c r="Z91" i="35"/>
  <c r="Z90" i="35"/>
  <c r="Z89" i="35"/>
  <c r="AD121" i="7"/>
  <c r="D143" i="7"/>
  <c r="D146" i="7"/>
  <c r="D95" i="7"/>
  <c r="AD69" i="7"/>
  <c r="AG4" i="7"/>
  <c r="AE4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41" i="7"/>
  <c r="O40" i="7"/>
  <c r="O39" i="7"/>
  <c r="O38" i="7"/>
  <c r="O37" i="7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7" i="7"/>
  <c r="O6" i="7"/>
  <c r="O5" i="7"/>
  <c r="O9" i="7"/>
  <c r="O8" i="7"/>
  <c r="O10" i="7"/>
  <c r="I76" i="32"/>
  <c r="N76" i="32" s="1"/>
  <c r="H76" i="32"/>
  <c r="K76" i="32" s="1"/>
  <c r="P76" i="32" s="1"/>
  <c r="G76" i="32"/>
  <c r="J76" i="32" s="1"/>
  <c r="F76" i="32"/>
  <c r="K75" i="32"/>
  <c r="P75" i="32" s="1"/>
  <c r="H75" i="32"/>
  <c r="G75" i="32"/>
  <c r="J75" i="32" s="1"/>
  <c r="O75" i="32" s="1"/>
  <c r="F75" i="32"/>
  <c r="I75" i="32" s="1"/>
  <c r="K74" i="32"/>
  <c r="J74" i="32"/>
  <c r="O74" i="32" s="1"/>
  <c r="H74" i="32"/>
  <c r="G74" i="32"/>
  <c r="F74" i="32"/>
  <c r="I74" i="32" s="1"/>
  <c r="M74" i="32" s="1"/>
  <c r="J73" i="32"/>
  <c r="I73" i="32"/>
  <c r="H73" i="32"/>
  <c r="K73" i="32" s="1"/>
  <c r="G73" i="32"/>
  <c r="F73" i="32"/>
  <c r="I72" i="32"/>
  <c r="N72" i="32" s="1"/>
  <c r="H72" i="32"/>
  <c r="K72" i="32" s="1"/>
  <c r="G72" i="32"/>
  <c r="J72" i="32" s="1"/>
  <c r="F72" i="32"/>
  <c r="K71" i="32"/>
  <c r="H71" i="32"/>
  <c r="G71" i="32"/>
  <c r="J71" i="32" s="1"/>
  <c r="O71" i="32" s="1"/>
  <c r="F71" i="32"/>
  <c r="I71" i="32" s="1"/>
  <c r="K70" i="32"/>
  <c r="J70" i="32"/>
  <c r="O70" i="32" s="1"/>
  <c r="H70" i="32"/>
  <c r="G70" i="32"/>
  <c r="F70" i="32"/>
  <c r="I70" i="32" s="1"/>
  <c r="J69" i="32"/>
  <c r="I69" i="32"/>
  <c r="H69" i="32"/>
  <c r="K69" i="32" s="1"/>
  <c r="G69" i="32"/>
  <c r="F69" i="32"/>
  <c r="I68" i="32"/>
  <c r="N68" i="32" s="1"/>
  <c r="H68" i="32"/>
  <c r="K68" i="32" s="1"/>
  <c r="P68" i="32" s="1"/>
  <c r="G68" i="32"/>
  <c r="J68" i="32" s="1"/>
  <c r="F68" i="32"/>
  <c r="K67" i="32"/>
  <c r="P67" i="32" s="1"/>
  <c r="H67" i="32"/>
  <c r="G67" i="32"/>
  <c r="J67" i="32" s="1"/>
  <c r="O67" i="32" s="1"/>
  <c r="F67" i="32"/>
  <c r="I67" i="32" s="1"/>
  <c r="K66" i="32"/>
  <c r="J66" i="32"/>
  <c r="O66" i="32" s="1"/>
  <c r="H66" i="32"/>
  <c r="G66" i="32"/>
  <c r="F66" i="32"/>
  <c r="I66" i="32" s="1"/>
  <c r="M66" i="32" s="1"/>
  <c r="J65" i="32"/>
  <c r="I65" i="32"/>
  <c r="H65" i="32"/>
  <c r="K65" i="32" s="1"/>
  <c r="G65" i="32"/>
  <c r="F65" i="32"/>
  <c r="I64" i="32"/>
  <c r="N64" i="32" s="1"/>
  <c r="H64" i="32"/>
  <c r="K64" i="32" s="1"/>
  <c r="G64" i="32"/>
  <c r="J64" i="32" s="1"/>
  <c r="F64" i="32"/>
  <c r="K63" i="32"/>
  <c r="J63" i="32"/>
  <c r="H63" i="32"/>
  <c r="F63" i="32"/>
  <c r="I63" i="32" s="1"/>
  <c r="K62" i="32"/>
  <c r="J62" i="32"/>
  <c r="I62" i="32"/>
  <c r="K61" i="32"/>
  <c r="J61" i="32"/>
  <c r="I61" i="32"/>
  <c r="N61" i="32" s="1"/>
  <c r="K60" i="32"/>
  <c r="J60" i="32"/>
  <c r="I60" i="32"/>
  <c r="D60" i="32"/>
  <c r="D61" i="32" s="1"/>
  <c r="D62" i="32" s="1"/>
  <c r="D63" i="32" s="1"/>
  <c r="D64" i="32" s="1"/>
  <c r="D65" i="32" s="1"/>
  <c r="D66" i="32" s="1"/>
  <c r="D67" i="32" s="1"/>
  <c r="D68" i="32" s="1"/>
  <c r="D69" i="32" s="1"/>
  <c r="D70" i="32" s="1"/>
  <c r="D71" i="32" s="1"/>
  <c r="K59" i="32"/>
  <c r="J59" i="32"/>
  <c r="O59" i="32" s="1"/>
  <c r="I59" i="32"/>
  <c r="N59" i="32" s="1"/>
  <c r="K58" i="32"/>
  <c r="J58" i="32"/>
  <c r="O58" i="32" s="1"/>
  <c r="T58" i="32" s="1"/>
  <c r="I58" i="32"/>
  <c r="L58" i="32" s="1"/>
  <c r="K57" i="32"/>
  <c r="J57" i="32"/>
  <c r="Y57" i="32" s="1"/>
  <c r="I57" i="32"/>
  <c r="X57" i="32" s="1"/>
  <c r="D57" i="32"/>
  <c r="D58" i="32" s="1"/>
  <c r="D59" i="32" s="1"/>
  <c r="K56" i="32"/>
  <c r="J56" i="32"/>
  <c r="O56" i="32" s="1"/>
  <c r="I56" i="32"/>
  <c r="N56" i="32" s="1"/>
  <c r="K55" i="32"/>
  <c r="J55" i="32"/>
  <c r="I55" i="32"/>
  <c r="N55" i="32" s="1"/>
  <c r="J51" i="32"/>
  <c r="O51" i="32" s="1"/>
  <c r="H51" i="32"/>
  <c r="K51" i="32" s="1"/>
  <c r="P51" i="32" s="1"/>
  <c r="G51" i="32"/>
  <c r="F51" i="32"/>
  <c r="I51" i="32" s="1"/>
  <c r="K50" i="32"/>
  <c r="I50" i="32"/>
  <c r="H50" i="32"/>
  <c r="G50" i="32"/>
  <c r="J50" i="32" s="1"/>
  <c r="F50" i="32"/>
  <c r="J49" i="32"/>
  <c r="H49" i="32"/>
  <c r="K49" i="32" s="1"/>
  <c r="G49" i="32"/>
  <c r="F49" i="32"/>
  <c r="I49" i="32" s="1"/>
  <c r="K48" i="32"/>
  <c r="P48" i="32" s="1"/>
  <c r="I48" i="32"/>
  <c r="H48" i="32"/>
  <c r="G48" i="32"/>
  <c r="J48" i="32" s="1"/>
  <c r="F48" i="32"/>
  <c r="J47" i="32"/>
  <c r="H47" i="32"/>
  <c r="K47" i="32" s="1"/>
  <c r="P47" i="32" s="1"/>
  <c r="G47" i="32"/>
  <c r="F47" i="32"/>
  <c r="I47" i="32" s="1"/>
  <c r="K46" i="32"/>
  <c r="I46" i="32"/>
  <c r="H46" i="32"/>
  <c r="G46" i="32"/>
  <c r="J46" i="32" s="1"/>
  <c r="F46" i="32"/>
  <c r="J45" i="32"/>
  <c r="H45" i="32"/>
  <c r="K45" i="32" s="1"/>
  <c r="P45" i="32" s="1"/>
  <c r="G45" i="32"/>
  <c r="F45" i="32"/>
  <c r="I45" i="32" s="1"/>
  <c r="K44" i="32"/>
  <c r="I44" i="32"/>
  <c r="H44" i="32"/>
  <c r="G44" i="32"/>
  <c r="J44" i="32" s="1"/>
  <c r="F44" i="32"/>
  <c r="J43" i="32"/>
  <c r="H43" i="32"/>
  <c r="K43" i="32" s="1"/>
  <c r="G43" i="32"/>
  <c r="F43" i="32"/>
  <c r="I43" i="32" s="1"/>
  <c r="N43" i="32" s="1"/>
  <c r="K42" i="32"/>
  <c r="I42" i="32"/>
  <c r="H42" i="32"/>
  <c r="G42" i="32"/>
  <c r="J42" i="32" s="1"/>
  <c r="F42" i="32"/>
  <c r="J41" i="32"/>
  <c r="H41" i="32"/>
  <c r="K41" i="32" s="1"/>
  <c r="P41" i="32" s="1"/>
  <c r="G41" i="32"/>
  <c r="F41" i="32"/>
  <c r="I41" i="32" s="1"/>
  <c r="N41" i="32" s="1"/>
  <c r="K40" i="32"/>
  <c r="P40" i="32" s="1"/>
  <c r="I40" i="32"/>
  <c r="H40" i="32"/>
  <c r="G40" i="32"/>
  <c r="J40" i="32" s="1"/>
  <c r="O40" i="32" s="1"/>
  <c r="F40" i="32"/>
  <c r="J39" i="32"/>
  <c r="H39" i="32"/>
  <c r="K39" i="32" s="1"/>
  <c r="P39" i="32" s="1"/>
  <c r="G39" i="32"/>
  <c r="F39" i="32"/>
  <c r="I39" i="32" s="1"/>
  <c r="N39" i="32" s="1"/>
  <c r="K38" i="32"/>
  <c r="I38" i="32"/>
  <c r="H38" i="32"/>
  <c r="G38" i="32"/>
  <c r="J38" i="32" s="1"/>
  <c r="O38" i="32" s="1"/>
  <c r="F38" i="32"/>
  <c r="K37" i="32"/>
  <c r="J37" i="32"/>
  <c r="I37" i="32"/>
  <c r="K36" i="32"/>
  <c r="J36" i="32"/>
  <c r="I36" i="32"/>
  <c r="K35" i="32"/>
  <c r="J35" i="32"/>
  <c r="I35" i="32"/>
  <c r="D35" i="32"/>
  <c r="D36" i="32" s="1"/>
  <c r="D37" i="32" s="1"/>
  <c r="D38" i="32" s="1"/>
  <c r="D39" i="32" s="1"/>
  <c r="D40" i="32" s="1"/>
  <c r="D41" i="32" s="1"/>
  <c r="D42" i="32" s="1"/>
  <c r="D43" i="32" s="1"/>
  <c r="D44" i="32" s="1"/>
  <c r="D45" i="32" s="1"/>
  <c r="D46" i="32" s="1"/>
  <c r="K34" i="32"/>
  <c r="J34" i="32"/>
  <c r="I34" i="32"/>
  <c r="K33" i="32"/>
  <c r="J33" i="32"/>
  <c r="I33" i="32"/>
  <c r="K32" i="32"/>
  <c r="J32" i="32"/>
  <c r="I32" i="32"/>
  <c r="D32" i="32"/>
  <c r="D33" i="32" s="1"/>
  <c r="K31" i="32"/>
  <c r="J31" i="32"/>
  <c r="I31" i="32"/>
  <c r="K30" i="32"/>
  <c r="P30" i="32" s="1"/>
  <c r="J30" i="32"/>
  <c r="I30" i="32"/>
  <c r="J26" i="32"/>
  <c r="H26" i="32"/>
  <c r="K26" i="32" s="1"/>
  <c r="P26" i="32" s="1"/>
  <c r="G26" i="32"/>
  <c r="F26" i="32"/>
  <c r="I26" i="32" s="1"/>
  <c r="K25" i="32"/>
  <c r="I25" i="32"/>
  <c r="H25" i="32"/>
  <c r="G25" i="32"/>
  <c r="J25" i="32" s="1"/>
  <c r="F25" i="32"/>
  <c r="J24" i="32"/>
  <c r="H24" i="32"/>
  <c r="K24" i="32" s="1"/>
  <c r="P24" i="32" s="1"/>
  <c r="G24" i="32"/>
  <c r="F24" i="32"/>
  <c r="I24" i="32" s="1"/>
  <c r="K23" i="32"/>
  <c r="I23" i="32"/>
  <c r="N23" i="32" s="1"/>
  <c r="H23" i="32"/>
  <c r="G23" i="32"/>
  <c r="J23" i="32" s="1"/>
  <c r="O23" i="32" s="1"/>
  <c r="F23" i="32"/>
  <c r="J22" i="32"/>
  <c r="H22" i="32"/>
  <c r="K22" i="32" s="1"/>
  <c r="P22" i="32" s="1"/>
  <c r="G22" i="32"/>
  <c r="F22" i="32"/>
  <c r="I22" i="32" s="1"/>
  <c r="K21" i="32"/>
  <c r="I21" i="32"/>
  <c r="H21" i="32"/>
  <c r="G21" i="32"/>
  <c r="J21" i="32" s="1"/>
  <c r="F21" i="32"/>
  <c r="J20" i="32"/>
  <c r="H20" i="32"/>
  <c r="K20" i="32" s="1"/>
  <c r="G20" i="32"/>
  <c r="F20" i="32"/>
  <c r="I20" i="32" s="1"/>
  <c r="K19" i="32"/>
  <c r="P19" i="32" s="1"/>
  <c r="I19" i="32"/>
  <c r="H19" i="32"/>
  <c r="G19" i="32"/>
  <c r="J19" i="32" s="1"/>
  <c r="F19" i="32"/>
  <c r="J18" i="32"/>
  <c r="H18" i="32"/>
  <c r="K18" i="32" s="1"/>
  <c r="P18" i="32" s="1"/>
  <c r="G18" i="32"/>
  <c r="F18" i="32"/>
  <c r="I18" i="32" s="1"/>
  <c r="K17" i="32"/>
  <c r="P17" i="32" s="1"/>
  <c r="I17" i="32"/>
  <c r="H17" i="32"/>
  <c r="G17" i="32"/>
  <c r="J17" i="32" s="1"/>
  <c r="F17" i="32"/>
  <c r="J16" i="32"/>
  <c r="O16" i="32" s="1"/>
  <c r="H16" i="32"/>
  <c r="K16" i="32" s="1"/>
  <c r="P16" i="32" s="1"/>
  <c r="G16" i="32"/>
  <c r="F16" i="32"/>
  <c r="I16" i="32" s="1"/>
  <c r="K15" i="32"/>
  <c r="I15" i="32"/>
  <c r="H15" i="32"/>
  <c r="G15" i="32"/>
  <c r="J15" i="32" s="1"/>
  <c r="O15" i="32" s="1"/>
  <c r="F15" i="32"/>
  <c r="J14" i="32"/>
  <c r="H14" i="32"/>
  <c r="K14" i="32" s="1"/>
  <c r="P14" i="32" s="1"/>
  <c r="G14" i="32"/>
  <c r="F14" i="32"/>
  <c r="I14" i="32" s="1"/>
  <c r="K13" i="32"/>
  <c r="I13" i="32"/>
  <c r="H13" i="32"/>
  <c r="G13" i="32"/>
  <c r="J13" i="32" s="1"/>
  <c r="O13" i="32" s="1"/>
  <c r="F13" i="32"/>
  <c r="K12" i="32"/>
  <c r="J12" i="32"/>
  <c r="I12" i="32"/>
  <c r="K11" i="32"/>
  <c r="J11" i="32"/>
  <c r="L11" i="32" s="1"/>
  <c r="I11" i="32"/>
  <c r="K10" i="32"/>
  <c r="J10" i="32"/>
  <c r="I10" i="32"/>
  <c r="K9" i="32"/>
  <c r="J9" i="32"/>
  <c r="O9" i="32" s="1"/>
  <c r="I9" i="32"/>
  <c r="K8" i="32"/>
  <c r="J8" i="32"/>
  <c r="O8" i="32" s="1"/>
  <c r="I8" i="32"/>
  <c r="K7" i="32"/>
  <c r="J7" i="32"/>
  <c r="I7" i="32"/>
  <c r="D7" i="32"/>
  <c r="Z7" i="32" s="1"/>
  <c r="K6" i="32"/>
  <c r="J6" i="32"/>
  <c r="M6" i="32" s="1"/>
  <c r="I6" i="32"/>
  <c r="K5" i="32"/>
  <c r="J5" i="32"/>
  <c r="I5" i="32"/>
  <c r="L5" i="32" s="1"/>
  <c r="N73" i="32"/>
  <c r="N69" i="32"/>
  <c r="N65" i="32"/>
  <c r="O63" i="32"/>
  <c r="O62" i="32"/>
  <c r="P61" i="32"/>
  <c r="Z60" i="32"/>
  <c r="O60" i="32"/>
  <c r="P60" i="32"/>
  <c r="M59" i="32"/>
  <c r="P58" i="32"/>
  <c r="N58" i="32"/>
  <c r="P57" i="32"/>
  <c r="O57" i="32"/>
  <c r="Z56" i="32"/>
  <c r="P56" i="32"/>
  <c r="P55" i="32"/>
  <c r="O55" i="32"/>
  <c r="P50" i="32"/>
  <c r="N48" i="32"/>
  <c r="P46" i="32"/>
  <c r="O45" i="32"/>
  <c r="P44" i="32"/>
  <c r="N40" i="32"/>
  <c r="O37" i="32"/>
  <c r="P37" i="32"/>
  <c r="N36" i="32"/>
  <c r="P36" i="32"/>
  <c r="P35" i="32"/>
  <c r="O35" i="32"/>
  <c r="N35" i="32"/>
  <c r="P34" i="32"/>
  <c r="L34" i="32"/>
  <c r="O34" i="32"/>
  <c r="N33" i="32"/>
  <c r="P33" i="32"/>
  <c r="O33" i="32"/>
  <c r="N32" i="32"/>
  <c r="L32" i="32"/>
  <c r="P32" i="32"/>
  <c r="M32" i="32"/>
  <c r="Y31" i="32"/>
  <c r="O31" i="32"/>
  <c r="Z31" i="32"/>
  <c r="O30" i="32"/>
  <c r="O26" i="32"/>
  <c r="P23" i="32"/>
  <c r="O22" i="32"/>
  <c r="O18" i="32"/>
  <c r="O12" i="32"/>
  <c r="N12" i="32"/>
  <c r="P11" i="32"/>
  <c r="O11" i="32"/>
  <c r="P10" i="32"/>
  <c r="N10" i="32"/>
  <c r="N9" i="32"/>
  <c r="P9" i="32"/>
  <c r="M9" i="32"/>
  <c r="P7" i="32"/>
  <c r="N7" i="32"/>
  <c r="X6" i="32"/>
  <c r="AA6" i="32" s="1"/>
  <c r="O6" i="32"/>
  <c r="T6" i="32" s="1"/>
  <c r="N6" i="32"/>
  <c r="L6" i="32"/>
  <c r="Z6" i="32"/>
  <c r="Y6" i="32"/>
  <c r="P5" i="32"/>
  <c r="O5" i="32"/>
  <c r="AB57" i="31"/>
  <c r="AB58" i="31"/>
  <c r="AB59" i="31"/>
  <c r="AB60" i="31"/>
  <c r="AB61" i="31"/>
  <c r="AB62" i="31"/>
  <c r="AB63" i="31"/>
  <c r="AB64" i="31"/>
  <c r="AB65" i="31"/>
  <c r="AB66" i="31"/>
  <c r="AB67" i="31"/>
  <c r="AB68" i="31"/>
  <c r="AB69" i="31"/>
  <c r="AB70" i="31"/>
  <c r="AB71" i="31"/>
  <c r="AB72" i="31"/>
  <c r="AB73" i="31"/>
  <c r="AB74" i="31"/>
  <c r="AB75" i="31"/>
  <c r="AB76" i="31"/>
  <c r="AA57" i="31"/>
  <c r="AA58" i="31"/>
  <c r="AA59" i="31"/>
  <c r="AA60" i="31"/>
  <c r="AA61" i="31"/>
  <c r="AA62" i="31"/>
  <c r="AA63" i="31"/>
  <c r="AA64" i="31"/>
  <c r="AA65" i="31"/>
  <c r="AA66" i="31"/>
  <c r="AA67" i="31"/>
  <c r="AA68" i="31"/>
  <c r="AA69" i="31"/>
  <c r="AA70" i="31"/>
  <c r="AA71" i="31"/>
  <c r="AA72" i="31"/>
  <c r="AA73" i="31"/>
  <c r="AA74" i="31"/>
  <c r="AA75" i="31"/>
  <c r="AA76" i="31"/>
  <c r="Z57" i="31"/>
  <c r="Z58" i="31"/>
  <c r="Z59" i="31"/>
  <c r="Z60" i="31"/>
  <c r="Z61" i="31"/>
  <c r="Z62" i="31"/>
  <c r="Z63" i="31"/>
  <c r="Z64" i="31"/>
  <c r="Z65" i="31"/>
  <c r="Z66" i="31"/>
  <c r="Z67" i="31"/>
  <c r="Z68" i="31"/>
  <c r="Z69" i="31"/>
  <c r="Z70" i="31"/>
  <c r="Z71" i="31"/>
  <c r="Z72" i="31"/>
  <c r="Z73" i="31"/>
  <c r="Z74" i="31"/>
  <c r="Z75" i="31"/>
  <c r="Z76" i="31"/>
  <c r="Y76" i="31"/>
  <c r="Y57" i="31"/>
  <c r="Y58" i="31"/>
  <c r="Y59" i="31"/>
  <c r="Y60" i="31"/>
  <c r="Y61" i="31"/>
  <c r="Y62" i="31"/>
  <c r="Y63" i="31"/>
  <c r="Y64" i="31"/>
  <c r="Y65" i="31"/>
  <c r="Y66" i="31"/>
  <c r="Y67" i="31"/>
  <c r="Y68" i="31"/>
  <c r="Y69" i="31"/>
  <c r="Y70" i="31"/>
  <c r="Y71" i="31"/>
  <c r="Y72" i="31"/>
  <c r="Y73" i="31"/>
  <c r="Y74" i="31"/>
  <c r="Y75" i="31"/>
  <c r="X57" i="31"/>
  <c r="X58" i="31"/>
  <c r="X59" i="31"/>
  <c r="X60" i="31"/>
  <c r="X61" i="31"/>
  <c r="X62" i="31"/>
  <c r="X63" i="31"/>
  <c r="X64" i="31"/>
  <c r="X65" i="31"/>
  <c r="X66" i="31"/>
  <c r="X67" i="31"/>
  <c r="X68" i="31"/>
  <c r="X69" i="31"/>
  <c r="X70" i="31"/>
  <c r="X71" i="31"/>
  <c r="X72" i="31"/>
  <c r="X73" i="31"/>
  <c r="X74" i="31"/>
  <c r="X75" i="31"/>
  <c r="X76" i="31"/>
  <c r="W57" i="31"/>
  <c r="W58" i="31"/>
  <c r="W59" i="31"/>
  <c r="W60" i="31"/>
  <c r="W61" i="31"/>
  <c r="W62" i="31"/>
  <c r="W63" i="31"/>
  <c r="W64" i="31"/>
  <c r="W65" i="31"/>
  <c r="W66" i="31"/>
  <c r="W67" i="31"/>
  <c r="W68" i="31"/>
  <c r="W69" i="31"/>
  <c r="W70" i="31"/>
  <c r="W71" i="31"/>
  <c r="W72" i="31"/>
  <c r="W73" i="31"/>
  <c r="W74" i="31"/>
  <c r="W75" i="31"/>
  <c r="W76" i="31"/>
  <c r="V57" i="31"/>
  <c r="V58" i="31"/>
  <c r="V59" i="31"/>
  <c r="V60" i="31"/>
  <c r="V61" i="31"/>
  <c r="V62" i="31"/>
  <c r="V63" i="31"/>
  <c r="V64" i="31"/>
  <c r="V65" i="31"/>
  <c r="V66" i="31"/>
  <c r="V67" i="31"/>
  <c r="V68" i="31"/>
  <c r="V69" i="31"/>
  <c r="V70" i="31"/>
  <c r="V71" i="31"/>
  <c r="V72" i="31"/>
  <c r="V73" i="31"/>
  <c r="V74" i="31"/>
  <c r="V75" i="31"/>
  <c r="V76" i="31"/>
  <c r="U57" i="31"/>
  <c r="U58" i="31"/>
  <c r="U59" i="31"/>
  <c r="U60" i="31"/>
  <c r="U61" i="31"/>
  <c r="U62" i="31"/>
  <c r="U63" i="31"/>
  <c r="U64" i="31"/>
  <c r="U65" i="31"/>
  <c r="U66" i="31"/>
  <c r="U67" i="31"/>
  <c r="U68" i="31"/>
  <c r="U69" i="31"/>
  <c r="U70" i="31"/>
  <c r="U71" i="31"/>
  <c r="U72" i="31"/>
  <c r="U73" i="31"/>
  <c r="U74" i="31"/>
  <c r="U75" i="31"/>
  <c r="U76" i="31"/>
  <c r="T57" i="31"/>
  <c r="T58" i="31"/>
  <c r="T59" i="31"/>
  <c r="T60" i="31"/>
  <c r="T61" i="31"/>
  <c r="T62" i="31"/>
  <c r="T63" i="31"/>
  <c r="T64" i="31"/>
  <c r="T65" i="31"/>
  <c r="T66" i="31"/>
  <c r="T67" i="31"/>
  <c r="T68" i="31"/>
  <c r="T69" i="31"/>
  <c r="T70" i="31"/>
  <c r="T71" i="31"/>
  <c r="T72" i="31"/>
  <c r="T73" i="31"/>
  <c r="T74" i="31"/>
  <c r="T75" i="31"/>
  <c r="T76" i="31"/>
  <c r="AB56" i="31"/>
  <c r="AA56" i="31"/>
  <c r="Z56" i="31"/>
  <c r="Y56" i="31"/>
  <c r="X56" i="31"/>
  <c r="W56" i="31"/>
  <c r="V56" i="31"/>
  <c r="U56" i="31"/>
  <c r="T56" i="31"/>
  <c r="S57" i="31"/>
  <c r="S58" i="31"/>
  <c r="S59" i="31"/>
  <c r="S60" i="31"/>
  <c r="S61" i="31"/>
  <c r="S62" i="31"/>
  <c r="S63" i="31"/>
  <c r="S64" i="31"/>
  <c r="S65" i="31"/>
  <c r="S66" i="31"/>
  <c r="S67" i="31"/>
  <c r="S68" i="31"/>
  <c r="S69" i="31"/>
  <c r="S70" i="31"/>
  <c r="S71" i="31"/>
  <c r="S72" i="31"/>
  <c r="S73" i="31"/>
  <c r="S74" i="31"/>
  <c r="S75" i="31"/>
  <c r="S76" i="31"/>
  <c r="S56" i="31"/>
  <c r="R56" i="31"/>
  <c r="R57" i="31"/>
  <c r="R58" i="31"/>
  <c r="R59" i="31"/>
  <c r="R60" i="31"/>
  <c r="R61" i="31"/>
  <c r="R62" i="31"/>
  <c r="R63" i="31"/>
  <c r="R64" i="31"/>
  <c r="R65" i="31"/>
  <c r="R66" i="31"/>
  <c r="R67" i="31"/>
  <c r="R68" i="31"/>
  <c r="R69" i="31"/>
  <c r="R70" i="31"/>
  <c r="R71" i="31"/>
  <c r="R72" i="31"/>
  <c r="R73" i="31"/>
  <c r="R74" i="31"/>
  <c r="R75" i="31"/>
  <c r="R76" i="31"/>
  <c r="R55" i="31"/>
  <c r="AB32" i="31"/>
  <c r="AB33" i="31"/>
  <c r="AB34" i="31"/>
  <c r="AB35" i="31"/>
  <c r="AB36" i="31"/>
  <c r="AB37" i="31"/>
  <c r="AB38" i="31"/>
  <c r="AB39" i="31"/>
  <c r="AB40" i="31"/>
  <c r="AB41" i="31"/>
  <c r="AB42" i="31"/>
  <c r="AB43" i="31"/>
  <c r="AB44" i="31"/>
  <c r="AB45" i="31"/>
  <c r="AB46" i="31"/>
  <c r="AB47" i="31"/>
  <c r="AB48" i="31"/>
  <c r="AB49" i="31"/>
  <c r="AB50" i="31"/>
  <c r="AB51" i="31"/>
  <c r="AA32" i="31"/>
  <c r="AA33" i="31"/>
  <c r="AA34" i="31"/>
  <c r="AA35" i="31"/>
  <c r="AA36" i="31"/>
  <c r="AA37" i="31"/>
  <c r="AA38" i="31"/>
  <c r="AA39" i="31"/>
  <c r="AA40" i="31"/>
  <c r="AA41" i="31"/>
  <c r="AA42" i="31"/>
  <c r="AA43" i="31"/>
  <c r="AA44" i="31"/>
  <c r="AA45" i="31"/>
  <c r="AA46" i="31"/>
  <c r="AA47" i="31"/>
  <c r="AA48" i="31"/>
  <c r="AA49" i="31"/>
  <c r="AA50" i="31"/>
  <c r="AA51" i="31"/>
  <c r="Z32" i="31"/>
  <c r="Z33" i="31"/>
  <c r="Z34" i="31"/>
  <c r="Z35" i="31"/>
  <c r="Z36" i="31"/>
  <c r="Z37" i="31"/>
  <c r="Z38" i="31"/>
  <c r="Z39" i="31"/>
  <c r="Z40" i="31"/>
  <c r="Z41" i="31"/>
  <c r="Z42" i="31"/>
  <c r="Z43" i="31"/>
  <c r="Z44" i="31"/>
  <c r="Z45" i="31"/>
  <c r="Z46" i="31"/>
  <c r="Z47" i="31"/>
  <c r="Z48" i="31"/>
  <c r="Z49" i="31"/>
  <c r="Z50" i="31"/>
  <c r="Z51" i="31"/>
  <c r="Y32" i="31"/>
  <c r="Y33" i="31"/>
  <c r="Y34" i="31"/>
  <c r="Y35" i="31"/>
  <c r="Y36" i="31"/>
  <c r="Y37" i="31"/>
  <c r="Y38" i="31"/>
  <c r="Y39" i="31"/>
  <c r="Y40" i="31"/>
  <c r="Y41" i="31"/>
  <c r="Y42" i="31"/>
  <c r="Y43" i="31"/>
  <c r="Y44" i="31"/>
  <c r="Y45" i="31"/>
  <c r="Y46" i="31"/>
  <c r="Y47" i="31"/>
  <c r="Y48" i="31"/>
  <c r="Y49" i="31"/>
  <c r="Y50" i="31"/>
  <c r="Y51" i="31"/>
  <c r="X32" i="31"/>
  <c r="X33" i="31"/>
  <c r="X34" i="31"/>
  <c r="X35" i="31"/>
  <c r="X36" i="31"/>
  <c r="X37" i="31"/>
  <c r="X38" i="31"/>
  <c r="X39" i="31"/>
  <c r="X40" i="31"/>
  <c r="X41" i="31"/>
  <c r="X42" i="31"/>
  <c r="X43" i="31"/>
  <c r="X44" i="31"/>
  <c r="X45" i="31"/>
  <c r="X46" i="31"/>
  <c r="X47" i="31"/>
  <c r="X48" i="31"/>
  <c r="X49" i="31"/>
  <c r="X50" i="31"/>
  <c r="X51" i="31"/>
  <c r="AB31" i="31"/>
  <c r="AA31" i="31"/>
  <c r="Z31" i="31"/>
  <c r="Y31" i="31"/>
  <c r="X31" i="31"/>
  <c r="W51" i="31"/>
  <c r="W32" i="31"/>
  <c r="W33" i="31"/>
  <c r="W34" i="31"/>
  <c r="W35" i="31"/>
  <c r="W36" i="31"/>
  <c r="W37" i="31"/>
  <c r="W38" i="31"/>
  <c r="W39" i="31"/>
  <c r="W40" i="31"/>
  <c r="W41" i="31"/>
  <c r="W42" i="31"/>
  <c r="W43" i="31"/>
  <c r="W44" i="31"/>
  <c r="W45" i="31"/>
  <c r="W46" i="31"/>
  <c r="W47" i="31"/>
  <c r="W48" i="31"/>
  <c r="W49" i="31"/>
  <c r="W50" i="31"/>
  <c r="W31" i="31"/>
  <c r="V32" i="31"/>
  <c r="V33" i="31"/>
  <c r="V34" i="31"/>
  <c r="V35" i="31"/>
  <c r="V36" i="31"/>
  <c r="V37" i="31"/>
  <c r="V38" i="31"/>
  <c r="V39" i="31"/>
  <c r="V40" i="31"/>
  <c r="V41" i="31"/>
  <c r="V42" i="31"/>
  <c r="V43" i="31"/>
  <c r="V44" i="31"/>
  <c r="V45" i="31"/>
  <c r="V46" i="31"/>
  <c r="V47" i="31"/>
  <c r="V48" i="31"/>
  <c r="V49" i="31"/>
  <c r="V50" i="31"/>
  <c r="V51" i="31"/>
  <c r="V31" i="31"/>
  <c r="U32" i="31"/>
  <c r="U33" i="31"/>
  <c r="U34" i="31"/>
  <c r="U35" i="31"/>
  <c r="U36" i="31"/>
  <c r="U37" i="31"/>
  <c r="U38" i="31"/>
  <c r="U39" i="31"/>
  <c r="U40" i="31"/>
  <c r="U41" i="31"/>
  <c r="U42" i="31"/>
  <c r="U43" i="31"/>
  <c r="U44" i="31"/>
  <c r="U45" i="31"/>
  <c r="U46" i="31"/>
  <c r="U47" i="31"/>
  <c r="U48" i="31"/>
  <c r="U49" i="31"/>
  <c r="U50" i="31"/>
  <c r="U51" i="31"/>
  <c r="T32" i="31"/>
  <c r="T33" i="31"/>
  <c r="T34" i="31"/>
  <c r="T35" i="31"/>
  <c r="T36" i="31"/>
  <c r="T37" i="31"/>
  <c r="T38" i="31"/>
  <c r="T39" i="31"/>
  <c r="T40" i="31"/>
  <c r="T41" i="31"/>
  <c r="T42" i="31"/>
  <c r="T43" i="31"/>
  <c r="T44" i="31"/>
  <c r="T45" i="31"/>
  <c r="T46" i="31"/>
  <c r="T47" i="31"/>
  <c r="T48" i="31"/>
  <c r="T49" i="31"/>
  <c r="T50" i="31"/>
  <c r="T51" i="31"/>
  <c r="S51" i="31"/>
  <c r="S32" i="31"/>
  <c r="S33" i="31"/>
  <c r="S34" i="31"/>
  <c r="S35" i="31"/>
  <c r="S36" i="31"/>
  <c r="S37" i="31"/>
  <c r="S38" i="31"/>
  <c r="S39" i="31"/>
  <c r="S40" i="31"/>
  <c r="S41" i="31"/>
  <c r="S42" i="31"/>
  <c r="S43" i="31"/>
  <c r="S44" i="31"/>
  <c r="S45" i="31"/>
  <c r="S46" i="31"/>
  <c r="S47" i="31"/>
  <c r="S48" i="31"/>
  <c r="S49" i="31"/>
  <c r="S50" i="31"/>
  <c r="U31" i="31"/>
  <c r="T31" i="31"/>
  <c r="S31" i="31"/>
  <c r="R31" i="31"/>
  <c r="R32" i="31"/>
  <c r="R33" i="31"/>
  <c r="R34" i="31"/>
  <c r="R35" i="31"/>
  <c r="R36" i="31"/>
  <c r="R37" i="31"/>
  <c r="R38" i="31"/>
  <c r="R39" i="31"/>
  <c r="R40" i="31"/>
  <c r="R41" i="31"/>
  <c r="R42" i="31"/>
  <c r="R43" i="31"/>
  <c r="R44" i="31"/>
  <c r="R45" i="31"/>
  <c r="R46" i="31"/>
  <c r="R47" i="31"/>
  <c r="R48" i="31"/>
  <c r="R49" i="31"/>
  <c r="R50" i="31"/>
  <c r="R51" i="31"/>
  <c r="R30" i="31"/>
  <c r="M51" i="31"/>
  <c r="M31" i="31"/>
  <c r="M32" i="31"/>
  <c r="M33" i="31"/>
  <c r="M34" i="31"/>
  <c r="M35" i="31"/>
  <c r="M36" i="31"/>
  <c r="M37" i="31"/>
  <c r="M38" i="31"/>
  <c r="M39" i="31"/>
  <c r="M40" i="31"/>
  <c r="M41" i="31"/>
  <c r="M42" i="31"/>
  <c r="M43" i="31"/>
  <c r="M44" i="31"/>
  <c r="M45" i="31"/>
  <c r="M46" i="31"/>
  <c r="M47" i="31"/>
  <c r="M48" i="31"/>
  <c r="M49" i="31"/>
  <c r="M50" i="31"/>
  <c r="M30" i="31"/>
  <c r="U7" i="31"/>
  <c r="U8" i="31"/>
  <c r="U9" i="31"/>
  <c r="V9" i="31" s="1"/>
  <c r="U10" i="31"/>
  <c r="U11" i="31"/>
  <c r="W11" i="31" s="1"/>
  <c r="U12" i="31"/>
  <c r="U13" i="31"/>
  <c r="V13" i="31" s="1"/>
  <c r="U14" i="31"/>
  <c r="U15" i="31"/>
  <c r="V15" i="31" s="1"/>
  <c r="U16" i="31"/>
  <c r="U17" i="31"/>
  <c r="U18" i="31"/>
  <c r="U19" i="31"/>
  <c r="U20" i="31"/>
  <c r="U21" i="31"/>
  <c r="U22" i="31"/>
  <c r="U23" i="31"/>
  <c r="W23" i="31" s="1"/>
  <c r="U24" i="31"/>
  <c r="U25" i="31"/>
  <c r="U26" i="31"/>
  <c r="U6" i="31"/>
  <c r="T7" i="31"/>
  <c r="T8" i="31"/>
  <c r="T9" i="31"/>
  <c r="W9" i="31" s="1"/>
  <c r="T10" i="31"/>
  <c r="T11" i="31"/>
  <c r="T12" i="31"/>
  <c r="T13" i="31"/>
  <c r="T14" i="31"/>
  <c r="T15" i="31"/>
  <c r="T16" i="31"/>
  <c r="T17" i="31"/>
  <c r="V17" i="31" s="1"/>
  <c r="T18" i="31"/>
  <c r="T19" i="31"/>
  <c r="T20" i="31"/>
  <c r="T21" i="31"/>
  <c r="V21" i="31" s="1"/>
  <c r="T22" i="31"/>
  <c r="T23" i="31"/>
  <c r="T24" i="31"/>
  <c r="T25" i="31"/>
  <c r="W25" i="31" s="1"/>
  <c r="T26" i="31"/>
  <c r="T6" i="31"/>
  <c r="S7" i="31"/>
  <c r="S8" i="31"/>
  <c r="S9" i="31"/>
  <c r="S10" i="31"/>
  <c r="S11" i="31"/>
  <c r="S12" i="31"/>
  <c r="S13" i="31"/>
  <c r="S14" i="31"/>
  <c r="S15" i="31"/>
  <c r="S16" i="31"/>
  <c r="S17" i="31"/>
  <c r="S18" i="31"/>
  <c r="S19" i="31"/>
  <c r="S20" i="31"/>
  <c r="S21" i="31"/>
  <c r="S22" i="31"/>
  <c r="S23" i="31"/>
  <c r="S24" i="31"/>
  <c r="S25" i="31"/>
  <c r="S26" i="31"/>
  <c r="S6" i="31"/>
  <c r="AB7" i="31"/>
  <c r="AB8" i="31"/>
  <c r="AB9" i="31"/>
  <c r="AB10" i="31"/>
  <c r="AB11" i="31"/>
  <c r="AB12" i="31"/>
  <c r="AB13" i="31"/>
  <c r="AB14" i="31"/>
  <c r="AB15" i="31"/>
  <c r="AB16" i="31"/>
  <c r="AB17" i="31"/>
  <c r="AB18" i="31"/>
  <c r="AB19" i="31"/>
  <c r="AB20" i="31"/>
  <c r="AB21" i="31"/>
  <c r="AB22" i="31"/>
  <c r="AB23" i="31"/>
  <c r="AB24" i="31"/>
  <c r="AB25" i="31"/>
  <c r="AB26" i="31"/>
  <c r="AA7" i="31"/>
  <c r="AA8" i="31"/>
  <c r="AA9" i="31"/>
  <c r="AA10" i="31"/>
  <c r="AA11" i="31"/>
  <c r="AA12" i="31"/>
  <c r="AA13" i="31"/>
  <c r="AA14" i="31"/>
  <c r="AA15" i="31"/>
  <c r="AA16" i="31"/>
  <c r="AA17" i="31"/>
  <c r="AA18" i="31"/>
  <c r="AA19" i="31"/>
  <c r="AA20" i="31"/>
  <c r="AA21" i="31"/>
  <c r="AA22" i="31"/>
  <c r="AA23" i="31"/>
  <c r="AA24" i="31"/>
  <c r="AA25" i="31"/>
  <c r="AA26" i="31"/>
  <c r="Z7" i="31"/>
  <c r="Z8" i="31"/>
  <c r="Z9" i="31"/>
  <c r="Z10" i="31"/>
  <c r="Z11" i="31"/>
  <c r="Z12" i="31"/>
  <c r="Z13" i="31"/>
  <c r="Z14" i="31"/>
  <c r="Z15" i="31"/>
  <c r="Z16" i="31"/>
  <c r="Z17" i="31"/>
  <c r="Z18" i="31"/>
  <c r="Z19" i="31"/>
  <c r="Z20" i="31"/>
  <c r="Z21" i="31"/>
  <c r="Z22" i="31"/>
  <c r="Z23" i="31"/>
  <c r="Z24" i="31"/>
  <c r="Z25" i="31"/>
  <c r="Z26" i="31"/>
  <c r="Y7" i="31"/>
  <c r="Y8" i="31"/>
  <c r="Y9" i="31"/>
  <c r="Y10" i="31"/>
  <c r="Y11" i="31"/>
  <c r="Y12" i="31"/>
  <c r="Y13" i="31"/>
  <c r="Y14" i="31"/>
  <c r="Y15" i="31"/>
  <c r="Y16" i="31"/>
  <c r="Y17" i="31"/>
  <c r="Y18" i="31"/>
  <c r="Y19" i="31"/>
  <c r="Y20" i="31"/>
  <c r="Y21" i="31"/>
  <c r="Y22" i="31"/>
  <c r="Y23" i="31"/>
  <c r="Y24" i="31"/>
  <c r="Y25" i="31"/>
  <c r="Y26" i="31"/>
  <c r="X7" i="31"/>
  <c r="X8" i="31"/>
  <c r="X9" i="31"/>
  <c r="X10" i="31"/>
  <c r="X11" i="31"/>
  <c r="X12" i="31"/>
  <c r="X13" i="31"/>
  <c r="X14" i="31"/>
  <c r="X15" i="31"/>
  <c r="X16" i="31"/>
  <c r="X17" i="31"/>
  <c r="X18" i="31"/>
  <c r="X19" i="31"/>
  <c r="X20" i="31"/>
  <c r="X21" i="31"/>
  <c r="X22" i="31"/>
  <c r="X23" i="31"/>
  <c r="X24" i="31"/>
  <c r="X25" i="31"/>
  <c r="X26" i="31"/>
  <c r="W7" i="31"/>
  <c r="W8" i="31"/>
  <c r="W12" i="31"/>
  <c r="W13" i="31"/>
  <c r="W15" i="31"/>
  <c r="W16" i="31"/>
  <c r="W17" i="31"/>
  <c r="W19" i="31"/>
  <c r="W20" i="31"/>
  <c r="W24" i="31"/>
  <c r="V7" i="31"/>
  <c r="V8" i="31"/>
  <c r="V11" i="31"/>
  <c r="V12" i="31"/>
  <c r="V16" i="31"/>
  <c r="V19" i="31"/>
  <c r="V20" i="31"/>
  <c r="V24" i="31"/>
  <c r="V25" i="31"/>
  <c r="AB6" i="31"/>
  <c r="AA6" i="31"/>
  <c r="Z6" i="31"/>
  <c r="Y6" i="31"/>
  <c r="X6" i="31"/>
  <c r="R6" i="31"/>
  <c r="R7" i="31"/>
  <c r="R8" i="31"/>
  <c r="R9" i="31"/>
  <c r="R10" i="31"/>
  <c r="R11" i="31"/>
  <c r="R12" i="31"/>
  <c r="R13" i="31"/>
  <c r="R14" i="31"/>
  <c r="R15" i="31"/>
  <c r="R16" i="31"/>
  <c r="R17" i="31"/>
  <c r="R18" i="31"/>
  <c r="R19" i="31"/>
  <c r="R20" i="31"/>
  <c r="R21" i="31"/>
  <c r="R22" i="31"/>
  <c r="R23" i="31"/>
  <c r="R24" i="31"/>
  <c r="R25" i="31"/>
  <c r="R26" i="31"/>
  <c r="R5" i="31"/>
  <c r="H76" i="31"/>
  <c r="K76" i="31" s="1"/>
  <c r="P76" i="31" s="1"/>
  <c r="G76" i="31"/>
  <c r="J76" i="31" s="1"/>
  <c r="O76" i="31" s="1"/>
  <c r="F76" i="31"/>
  <c r="I76" i="31" s="1"/>
  <c r="I75" i="31"/>
  <c r="N75" i="31" s="1"/>
  <c r="H75" i="31"/>
  <c r="K75" i="31" s="1"/>
  <c r="P75" i="31" s="1"/>
  <c r="G75" i="31"/>
  <c r="J75" i="31" s="1"/>
  <c r="O75" i="31" s="1"/>
  <c r="F75" i="31"/>
  <c r="H74" i="31"/>
  <c r="K74" i="31" s="1"/>
  <c r="P74" i="31" s="1"/>
  <c r="G74" i="31"/>
  <c r="J74" i="31" s="1"/>
  <c r="O74" i="31" s="1"/>
  <c r="F74" i="31"/>
  <c r="I74" i="31" s="1"/>
  <c r="I73" i="31"/>
  <c r="N73" i="31" s="1"/>
  <c r="H73" i="31"/>
  <c r="K73" i="31" s="1"/>
  <c r="P73" i="31" s="1"/>
  <c r="G73" i="31"/>
  <c r="J73" i="31" s="1"/>
  <c r="O73" i="31" s="1"/>
  <c r="F73" i="31"/>
  <c r="H72" i="31"/>
  <c r="K72" i="31" s="1"/>
  <c r="P72" i="31" s="1"/>
  <c r="G72" i="31"/>
  <c r="J72" i="31" s="1"/>
  <c r="O72" i="31" s="1"/>
  <c r="F72" i="31"/>
  <c r="I72" i="31" s="1"/>
  <c r="I71" i="31"/>
  <c r="N71" i="31" s="1"/>
  <c r="H71" i="31"/>
  <c r="K71" i="31" s="1"/>
  <c r="P71" i="31" s="1"/>
  <c r="G71" i="31"/>
  <c r="J71" i="31" s="1"/>
  <c r="O71" i="31" s="1"/>
  <c r="F71" i="31"/>
  <c r="H70" i="31"/>
  <c r="K70" i="31" s="1"/>
  <c r="G70" i="31"/>
  <c r="J70" i="31" s="1"/>
  <c r="F70" i="31"/>
  <c r="I70" i="31" s="1"/>
  <c r="N70" i="31" s="1"/>
  <c r="H69" i="31"/>
  <c r="K69" i="31" s="1"/>
  <c r="P69" i="31" s="1"/>
  <c r="G69" i="31"/>
  <c r="J69" i="31" s="1"/>
  <c r="O69" i="31" s="1"/>
  <c r="F69" i="31"/>
  <c r="I69" i="31" s="1"/>
  <c r="H68" i="31"/>
  <c r="K68" i="31" s="1"/>
  <c r="P68" i="31" s="1"/>
  <c r="G68" i="31"/>
  <c r="J68" i="31" s="1"/>
  <c r="O68" i="31" s="1"/>
  <c r="F68" i="31"/>
  <c r="I68" i="31" s="1"/>
  <c r="N68" i="31" s="1"/>
  <c r="H67" i="31"/>
  <c r="K67" i="31" s="1"/>
  <c r="P67" i="31" s="1"/>
  <c r="G67" i="31"/>
  <c r="J67" i="31" s="1"/>
  <c r="O67" i="31" s="1"/>
  <c r="F67" i="31"/>
  <c r="I67" i="31" s="1"/>
  <c r="H66" i="31"/>
  <c r="K66" i="31" s="1"/>
  <c r="P66" i="31" s="1"/>
  <c r="G66" i="31"/>
  <c r="J66" i="31" s="1"/>
  <c r="O66" i="31" s="1"/>
  <c r="F66" i="31"/>
  <c r="I66" i="31" s="1"/>
  <c r="N66" i="31" s="1"/>
  <c r="H65" i="31"/>
  <c r="K65" i="31" s="1"/>
  <c r="P65" i="31" s="1"/>
  <c r="G65" i="31"/>
  <c r="J65" i="31" s="1"/>
  <c r="O65" i="31" s="1"/>
  <c r="F65" i="31"/>
  <c r="I65" i="31" s="1"/>
  <c r="H64" i="31"/>
  <c r="K64" i="31" s="1"/>
  <c r="P64" i="31" s="1"/>
  <c r="G64" i="31"/>
  <c r="J64" i="31" s="1"/>
  <c r="O64" i="31" s="1"/>
  <c r="F64" i="31"/>
  <c r="I64" i="31" s="1"/>
  <c r="H63" i="31"/>
  <c r="K63" i="31" s="1"/>
  <c r="P63" i="31" s="1"/>
  <c r="G63" i="31"/>
  <c r="J63" i="31" s="1"/>
  <c r="O63" i="31" s="1"/>
  <c r="F63" i="31"/>
  <c r="I63" i="31" s="1"/>
  <c r="K62" i="31"/>
  <c r="P62" i="31" s="1"/>
  <c r="J62" i="31"/>
  <c r="O62" i="31" s="1"/>
  <c r="I62" i="31"/>
  <c r="K61" i="31"/>
  <c r="J61" i="31"/>
  <c r="O61" i="31" s="1"/>
  <c r="I61" i="31"/>
  <c r="N61" i="31" s="1"/>
  <c r="K60" i="31"/>
  <c r="P60" i="31" s="1"/>
  <c r="J60" i="31"/>
  <c r="O60" i="31" s="1"/>
  <c r="F60" i="31"/>
  <c r="I60" i="31" s="1"/>
  <c r="D60" i="31"/>
  <c r="D61" i="31" s="1"/>
  <c r="K59" i="31"/>
  <c r="P59" i="31" s="1"/>
  <c r="J59" i="31"/>
  <c r="M59" i="31" s="1"/>
  <c r="I59" i="31"/>
  <c r="N59" i="31" s="1"/>
  <c r="K58" i="31"/>
  <c r="P58" i="31" s="1"/>
  <c r="J58" i="31"/>
  <c r="O58" i="31" s="1"/>
  <c r="I58" i="31"/>
  <c r="N58" i="31" s="1"/>
  <c r="K57" i="31"/>
  <c r="J57" i="31"/>
  <c r="I57" i="31"/>
  <c r="N57" i="31" s="1"/>
  <c r="D57" i="31"/>
  <c r="D58" i="31" s="1"/>
  <c r="D59" i="31" s="1"/>
  <c r="K56" i="31"/>
  <c r="P56" i="31" s="1"/>
  <c r="J56" i="31"/>
  <c r="I56" i="31"/>
  <c r="L56" i="31" s="1"/>
  <c r="D56" i="31"/>
  <c r="K55" i="31"/>
  <c r="P55" i="31" s="1"/>
  <c r="J55" i="31"/>
  <c r="O55" i="31" s="1"/>
  <c r="I55" i="31"/>
  <c r="H51" i="31"/>
  <c r="K51" i="31" s="1"/>
  <c r="P51" i="31" s="1"/>
  <c r="G51" i="31"/>
  <c r="J51" i="31" s="1"/>
  <c r="O51" i="31" s="1"/>
  <c r="F51" i="31"/>
  <c r="I51" i="31" s="1"/>
  <c r="N51" i="31" s="1"/>
  <c r="Q51" i="31" s="1"/>
  <c r="H50" i="31"/>
  <c r="K50" i="31" s="1"/>
  <c r="P50" i="31" s="1"/>
  <c r="G50" i="31"/>
  <c r="J50" i="31" s="1"/>
  <c r="O50" i="31" s="1"/>
  <c r="F50" i="31"/>
  <c r="I50" i="31" s="1"/>
  <c r="N50" i="31" s="1"/>
  <c r="I49" i="31"/>
  <c r="N49" i="31" s="1"/>
  <c r="H49" i="31"/>
  <c r="K49" i="31" s="1"/>
  <c r="P49" i="31" s="1"/>
  <c r="G49" i="31"/>
  <c r="J49" i="31" s="1"/>
  <c r="O49" i="31" s="1"/>
  <c r="F49" i="31"/>
  <c r="H48" i="31"/>
  <c r="K48" i="31" s="1"/>
  <c r="P48" i="31" s="1"/>
  <c r="G48" i="31"/>
  <c r="J48" i="31" s="1"/>
  <c r="O48" i="31" s="1"/>
  <c r="F48" i="31"/>
  <c r="I48" i="31" s="1"/>
  <c r="N48" i="31" s="1"/>
  <c r="H47" i="31"/>
  <c r="K47" i="31" s="1"/>
  <c r="P47" i="31" s="1"/>
  <c r="G47" i="31"/>
  <c r="J47" i="31" s="1"/>
  <c r="O47" i="31" s="1"/>
  <c r="F47" i="31"/>
  <c r="I47" i="31" s="1"/>
  <c r="N47" i="31" s="1"/>
  <c r="H46" i="31"/>
  <c r="K46" i="31" s="1"/>
  <c r="P46" i="31" s="1"/>
  <c r="G46" i="31"/>
  <c r="J46" i="31" s="1"/>
  <c r="O46" i="31" s="1"/>
  <c r="F46" i="31"/>
  <c r="I46" i="31" s="1"/>
  <c r="N46" i="31" s="1"/>
  <c r="I45" i="31"/>
  <c r="N45" i="31" s="1"/>
  <c r="H45" i="31"/>
  <c r="K45" i="31" s="1"/>
  <c r="P45" i="31" s="1"/>
  <c r="G45" i="31"/>
  <c r="J45" i="31" s="1"/>
  <c r="O45" i="31" s="1"/>
  <c r="F45" i="31"/>
  <c r="H44" i="31"/>
  <c r="K44" i="31" s="1"/>
  <c r="P44" i="31" s="1"/>
  <c r="G44" i="31"/>
  <c r="J44" i="31" s="1"/>
  <c r="O44" i="31" s="1"/>
  <c r="F44" i="31"/>
  <c r="I44" i="31" s="1"/>
  <c r="N44" i="31" s="1"/>
  <c r="H43" i="31"/>
  <c r="K43" i="31" s="1"/>
  <c r="P43" i="31" s="1"/>
  <c r="G43" i="31"/>
  <c r="J43" i="31" s="1"/>
  <c r="O43" i="31" s="1"/>
  <c r="F43" i="31"/>
  <c r="I43" i="31" s="1"/>
  <c r="N43" i="31" s="1"/>
  <c r="H42" i="31"/>
  <c r="K42" i="31" s="1"/>
  <c r="P42" i="31" s="1"/>
  <c r="G42" i="31"/>
  <c r="J42" i="31" s="1"/>
  <c r="O42" i="31" s="1"/>
  <c r="F42" i="31"/>
  <c r="I42" i="31" s="1"/>
  <c r="N42" i="31" s="1"/>
  <c r="H41" i="31"/>
  <c r="K41" i="31" s="1"/>
  <c r="P41" i="31" s="1"/>
  <c r="G41" i="31"/>
  <c r="J41" i="31" s="1"/>
  <c r="O41" i="31" s="1"/>
  <c r="F41" i="31"/>
  <c r="I41" i="31" s="1"/>
  <c r="N41" i="31" s="1"/>
  <c r="H40" i="31"/>
  <c r="K40" i="31" s="1"/>
  <c r="G40" i="31"/>
  <c r="J40" i="31" s="1"/>
  <c r="F40" i="31"/>
  <c r="I40" i="31" s="1"/>
  <c r="N40" i="31" s="1"/>
  <c r="H39" i="31"/>
  <c r="K39" i="31" s="1"/>
  <c r="P39" i="31" s="1"/>
  <c r="G39" i="31"/>
  <c r="J39" i="31" s="1"/>
  <c r="O39" i="31" s="1"/>
  <c r="F39" i="31"/>
  <c r="I39" i="31" s="1"/>
  <c r="N39" i="31" s="1"/>
  <c r="K38" i="31"/>
  <c r="P38" i="31" s="1"/>
  <c r="G38" i="31"/>
  <c r="J38" i="31" s="1"/>
  <c r="O38" i="31" s="1"/>
  <c r="F38" i="31"/>
  <c r="I38" i="31" s="1"/>
  <c r="N38" i="31" s="1"/>
  <c r="K37" i="31"/>
  <c r="P37" i="31" s="1"/>
  <c r="J37" i="31"/>
  <c r="O37" i="31" s="1"/>
  <c r="I37" i="31"/>
  <c r="K36" i="31"/>
  <c r="P36" i="31" s="1"/>
  <c r="J36" i="31"/>
  <c r="O36" i="31" s="1"/>
  <c r="I36" i="31"/>
  <c r="N36" i="31" s="1"/>
  <c r="K35" i="31"/>
  <c r="P35" i="31" s="1"/>
  <c r="J35" i="31"/>
  <c r="O35" i="31" s="1"/>
  <c r="I35" i="31"/>
  <c r="N35" i="31" s="1"/>
  <c r="D35" i="31"/>
  <c r="D36" i="31" s="1"/>
  <c r="D37" i="31" s="1"/>
  <c r="D38" i="31" s="1"/>
  <c r="D39" i="31" s="1"/>
  <c r="D40" i="31" s="1"/>
  <c r="D41" i="31" s="1"/>
  <c r="D42" i="31" s="1"/>
  <c r="D43" i="31" s="1"/>
  <c r="D44" i="31" s="1"/>
  <c r="D45" i="31" s="1"/>
  <c r="D46" i="31" s="1"/>
  <c r="K34" i="31"/>
  <c r="P34" i="31" s="1"/>
  <c r="J34" i="31"/>
  <c r="O34" i="31" s="1"/>
  <c r="I34" i="31"/>
  <c r="N34" i="31" s="1"/>
  <c r="K33" i="31"/>
  <c r="P33" i="31" s="1"/>
  <c r="J33" i="31"/>
  <c r="O33" i="31" s="1"/>
  <c r="I33" i="31"/>
  <c r="K32" i="31"/>
  <c r="J32" i="31"/>
  <c r="I32" i="31"/>
  <c r="D32" i="31"/>
  <c r="D33" i="31" s="1"/>
  <c r="D34" i="31" s="1"/>
  <c r="K31" i="31"/>
  <c r="J31" i="31"/>
  <c r="I31" i="31"/>
  <c r="P30" i="31"/>
  <c r="K30" i="31"/>
  <c r="J30" i="31"/>
  <c r="I30" i="31"/>
  <c r="H26" i="31"/>
  <c r="K26" i="31" s="1"/>
  <c r="G26" i="31"/>
  <c r="J26" i="31" s="1"/>
  <c r="O26" i="31" s="1"/>
  <c r="F26" i="31"/>
  <c r="I26" i="31" s="1"/>
  <c r="H25" i="31"/>
  <c r="K25" i="31" s="1"/>
  <c r="G25" i="31"/>
  <c r="J25" i="31" s="1"/>
  <c r="F25" i="31"/>
  <c r="I25" i="31" s="1"/>
  <c r="N25" i="31" s="1"/>
  <c r="H24" i="31"/>
  <c r="K24" i="31" s="1"/>
  <c r="G24" i="31"/>
  <c r="J24" i="31" s="1"/>
  <c r="F24" i="31"/>
  <c r="I24" i="31" s="1"/>
  <c r="N24" i="31" s="1"/>
  <c r="H23" i="31"/>
  <c r="K23" i="31" s="1"/>
  <c r="G23" i="31"/>
  <c r="J23" i="31" s="1"/>
  <c r="F23" i="31"/>
  <c r="I23" i="31" s="1"/>
  <c r="N23" i="31" s="1"/>
  <c r="H22" i="31"/>
  <c r="K22" i="31" s="1"/>
  <c r="G22" i="31"/>
  <c r="J22" i="31" s="1"/>
  <c r="F22" i="31"/>
  <c r="I22" i="31" s="1"/>
  <c r="N22" i="31" s="1"/>
  <c r="H21" i="31"/>
  <c r="K21" i="31" s="1"/>
  <c r="G21" i="31"/>
  <c r="J21" i="31" s="1"/>
  <c r="F21" i="31"/>
  <c r="I21" i="31" s="1"/>
  <c r="N21" i="31" s="1"/>
  <c r="H20" i="31"/>
  <c r="K20" i="31" s="1"/>
  <c r="G20" i="31"/>
  <c r="J20" i="31" s="1"/>
  <c r="F20" i="31"/>
  <c r="I20" i="31" s="1"/>
  <c r="H19" i="31"/>
  <c r="K19" i="31" s="1"/>
  <c r="P19" i="31" s="1"/>
  <c r="G19" i="31"/>
  <c r="J19" i="31" s="1"/>
  <c r="F19" i="31"/>
  <c r="I19" i="31" s="1"/>
  <c r="J18" i="31"/>
  <c r="O18" i="31" s="1"/>
  <c r="H18" i="31"/>
  <c r="K18" i="31" s="1"/>
  <c r="P18" i="31" s="1"/>
  <c r="F18" i="31"/>
  <c r="I18" i="31" s="1"/>
  <c r="H17" i="31"/>
  <c r="K17" i="31" s="1"/>
  <c r="G17" i="31"/>
  <c r="J17" i="31" s="1"/>
  <c r="O17" i="31" s="1"/>
  <c r="F17" i="31"/>
  <c r="I17" i="31" s="1"/>
  <c r="H16" i="31"/>
  <c r="K16" i="31" s="1"/>
  <c r="G16" i="31"/>
  <c r="J16" i="31" s="1"/>
  <c r="O16" i="31" s="1"/>
  <c r="F16" i="31"/>
  <c r="I16" i="31" s="1"/>
  <c r="H15" i="31"/>
  <c r="K15" i="31" s="1"/>
  <c r="G15" i="31"/>
  <c r="J15" i="31" s="1"/>
  <c r="O15" i="31" s="1"/>
  <c r="F15" i="31"/>
  <c r="I15" i="31" s="1"/>
  <c r="H14" i="31"/>
  <c r="K14" i="31" s="1"/>
  <c r="G14" i="31"/>
  <c r="J14" i="31" s="1"/>
  <c r="O14" i="31" s="1"/>
  <c r="F14" i="31"/>
  <c r="I14" i="31" s="1"/>
  <c r="J13" i="31"/>
  <c r="O13" i="31" s="1"/>
  <c r="H13" i="31"/>
  <c r="K13" i="31" s="1"/>
  <c r="F13" i="31"/>
  <c r="I13" i="31" s="1"/>
  <c r="N13" i="31" s="1"/>
  <c r="K12" i="31"/>
  <c r="J12" i="31"/>
  <c r="O12" i="31" s="1"/>
  <c r="I12" i="31"/>
  <c r="K11" i="31"/>
  <c r="P11" i="31" s="1"/>
  <c r="J11" i="31"/>
  <c r="I11" i="31"/>
  <c r="N11" i="31" s="1"/>
  <c r="K10" i="31"/>
  <c r="P10" i="31" s="1"/>
  <c r="J10" i="31"/>
  <c r="O10" i="31" s="1"/>
  <c r="I10" i="31"/>
  <c r="K9" i="31"/>
  <c r="P9" i="31" s="1"/>
  <c r="J9" i="31"/>
  <c r="I9" i="31"/>
  <c r="N9" i="31" s="1"/>
  <c r="K8" i="31"/>
  <c r="P8" i="31" s="1"/>
  <c r="J8" i="31"/>
  <c r="F8" i="31"/>
  <c r="I8" i="31" s="1"/>
  <c r="K7" i="31"/>
  <c r="J7" i="31"/>
  <c r="O7" i="31" s="1"/>
  <c r="F7" i="31"/>
  <c r="I7" i="31" s="1"/>
  <c r="D7" i="31"/>
  <c r="D8" i="31" s="1"/>
  <c r="D9" i="31" s="1"/>
  <c r="D10" i="31" s="1"/>
  <c r="K6" i="31"/>
  <c r="J6" i="31"/>
  <c r="I6" i="31"/>
  <c r="N6" i="31" s="1"/>
  <c r="K5" i="31"/>
  <c r="P5" i="31" s="1"/>
  <c r="J5" i="31"/>
  <c r="O5" i="31" s="1"/>
  <c r="I5" i="31"/>
  <c r="N5" i="31" s="1"/>
  <c r="Q5" i="31" s="1"/>
  <c r="Z97" i="7" l="1"/>
  <c r="Z96" i="7"/>
  <c r="Z95" i="7"/>
  <c r="AA91" i="7"/>
  <c r="AB91" i="7"/>
  <c r="Z148" i="7"/>
  <c r="Z147" i="7"/>
  <c r="Z146" i="7"/>
  <c r="AD122" i="7"/>
  <c r="Z145" i="7"/>
  <c r="Z144" i="7"/>
  <c r="Z143" i="7"/>
  <c r="AB94" i="7"/>
  <c r="AA94" i="7"/>
  <c r="AB142" i="7"/>
  <c r="AA142" i="7"/>
  <c r="AB148" i="35"/>
  <c r="AA148" i="35"/>
  <c r="AB94" i="35"/>
  <c r="AA94" i="35"/>
  <c r="D98" i="35"/>
  <c r="AD70" i="35"/>
  <c r="Z97" i="35"/>
  <c r="Z96" i="35"/>
  <c r="Z95" i="35"/>
  <c r="D41" i="35"/>
  <c r="AD16" i="35"/>
  <c r="Z39" i="35"/>
  <c r="Z40" i="35"/>
  <c r="Z38" i="35"/>
  <c r="AB91" i="35"/>
  <c r="AA91" i="35"/>
  <c r="AB34" i="35"/>
  <c r="AA34" i="35"/>
  <c r="AB145" i="35"/>
  <c r="AA145" i="35"/>
  <c r="D152" i="35"/>
  <c r="AD124" i="35"/>
  <c r="Z149" i="35"/>
  <c r="Z150" i="35"/>
  <c r="Z151" i="35"/>
  <c r="AD15" i="35"/>
  <c r="Z37" i="35"/>
  <c r="Z35" i="35"/>
  <c r="Z36" i="35"/>
  <c r="D149" i="7"/>
  <c r="AD123" i="7"/>
  <c r="D98" i="7"/>
  <c r="AD70" i="7"/>
  <c r="D72" i="32"/>
  <c r="D73" i="32"/>
  <c r="D74" i="32" s="1"/>
  <c r="D75" i="32" s="1"/>
  <c r="D76" i="32" s="1"/>
  <c r="Y62" i="32"/>
  <c r="U61" i="32"/>
  <c r="Y61" i="32"/>
  <c r="M65" i="32"/>
  <c r="L73" i="32"/>
  <c r="T63" i="32"/>
  <c r="X62" i="32"/>
  <c r="U57" i="32"/>
  <c r="U56" i="32"/>
  <c r="M57" i="32"/>
  <c r="D34" i="32"/>
  <c r="Z34" i="32" s="1"/>
  <c r="Y33" i="32"/>
  <c r="M44" i="32"/>
  <c r="O44" i="32"/>
  <c r="D47" i="32"/>
  <c r="D48" i="32"/>
  <c r="D49" i="32" s="1"/>
  <c r="D50" i="32" s="1"/>
  <c r="D51" i="32" s="1"/>
  <c r="Y35" i="32"/>
  <c r="L13" i="32"/>
  <c r="M18" i="32"/>
  <c r="N14" i="32"/>
  <c r="M14" i="32"/>
  <c r="M22" i="32"/>
  <c r="N22" i="32"/>
  <c r="N13" i="32"/>
  <c r="D8" i="32"/>
  <c r="D9" i="32" s="1"/>
  <c r="D10" i="32" s="1"/>
  <c r="AB6" i="32"/>
  <c r="M5" i="32"/>
  <c r="T8" i="32"/>
  <c r="O7" i="32"/>
  <c r="T7" i="32" s="1"/>
  <c r="Y7" i="32"/>
  <c r="N8" i="32"/>
  <c r="M8" i="32"/>
  <c r="O10" i="32"/>
  <c r="Y10" i="32"/>
  <c r="L12" i="32"/>
  <c r="L19" i="32"/>
  <c r="M19" i="32"/>
  <c r="N19" i="32"/>
  <c r="O21" i="32"/>
  <c r="L36" i="32"/>
  <c r="O36" i="32"/>
  <c r="O43" i="32"/>
  <c r="Q43" i="32" s="1"/>
  <c r="N15" i="32"/>
  <c r="M15" i="32"/>
  <c r="L15" i="32"/>
  <c r="P20" i="32"/>
  <c r="T31" i="32"/>
  <c r="Q33" i="32"/>
  <c r="S33" i="32"/>
  <c r="R33" i="32"/>
  <c r="O42" i="32"/>
  <c r="L45" i="32"/>
  <c r="M45" i="32"/>
  <c r="N45" i="32"/>
  <c r="S7" i="32"/>
  <c r="Q7" i="32"/>
  <c r="R7" i="32"/>
  <c r="Q10" i="32"/>
  <c r="R10" i="32"/>
  <c r="O14" i="32"/>
  <c r="L14" i="32"/>
  <c r="O17" i="32"/>
  <c r="L20" i="32"/>
  <c r="N20" i="32"/>
  <c r="M20" i="32"/>
  <c r="Q22" i="32"/>
  <c r="R22" i="32"/>
  <c r="R23" i="32"/>
  <c r="Q23" i="32"/>
  <c r="N31" i="32"/>
  <c r="L31" i="32"/>
  <c r="X31" i="32"/>
  <c r="M31" i="32"/>
  <c r="U32" i="32"/>
  <c r="X33" i="32"/>
  <c r="L33" i="32"/>
  <c r="M33" i="32"/>
  <c r="Q35" i="32"/>
  <c r="U35" i="32"/>
  <c r="N5" i="32"/>
  <c r="X7" i="32"/>
  <c r="L7" i="32"/>
  <c r="M7" i="32"/>
  <c r="L8" i="32"/>
  <c r="Q9" i="32"/>
  <c r="R9" i="32"/>
  <c r="X10" i="32"/>
  <c r="L10" i="32"/>
  <c r="M10" i="32"/>
  <c r="N11" i="32"/>
  <c r="M11" i="32"/>
  <c r="P12" i="32"/>
  <c r="P13" i="32"/>
  <c r="R13" i="32" s="1"/>
  <c r="M13" i="32"/>
  <c r="O19" i="32"/>
  <c r="O20" i="32"/>
  <c r="P25" i="32"/>
  <c r="N70" i="32"/>
  <c r="L70" i="32"/>
  <c r="M70" i="32"/>
  <c r="M16" i="32"/>
  <c r="L16" i="32"/>
  <c r="N17" i="32"/>
  <c r="M17" i="32"/>
  <c r="L23" i="32"/>
  <c r="M23" i="32"/>
  <c r="L25" i="32"/>
  <c r="N25" i="32"/>
  <c r="P6" i="32"/>
  <c r="Z8" i="32"/>
  <c r="M12" i="32"/>
  <c r="R12" i="32"/>
  <c r="P15" i="32"/>
  <c r="N16" i="32"/>
  <c r="L21" i="32"/>
  <c r="N21" i="32"/>
  <c r="M21" i="32"/>
  <c r="O24" i="32"/>
  <c r="L26" i="32"/>
  <c r="L30" i="32"/>
  <c r="M30" i="32"/>
  <c r="T34" i="32"/>
  <c r="U34" i="32"/>
  <c r="T35" i="32"/>
  <c r="P38" i="32"/>
  <c r="R40" i="32"/>
  <c r="M42" i="32"/>
  <c r="L42" i="32"/>
  <c r="N42" i="32"/>
  <c r="O48" i="32"/>
  <c r="Q48" i="32" s="1"/>
  <c r="L17" i="32"/>
  <c r="L22" i="32"/>
  <c r="M25" i="32"/>
  <c r="M26" i="32"/>
  <c r="O39" i="32"/>
  <c r="O49" i="32"/>
  <c r="O65" i="32"/>
  <c r="R65" i="32" s="1"/>
  <c r="L65" i="32"/>
  <c r="P8" i="32"/>
  <c r="Z9" i="32"/>
  <c r="R14" i="32"/>
  <c r="Q14" i="32"/>
  <c r="L18" i="32"/>
  <c r="N18" i="32"/>
  <c r="P21" i="32"/>
  <c r="L24" i="32"/>
  <c r="N24" i="32"/>
  <c r="M24" i="32"/>
  <c r="O25" i="32"/>
  <c r="N26" i="32"/>
  <c r="N30" i="32"/>
  <c r="Q32" i="32"/>
  <c r="X32" i="32"/>
  <c r="U33" i="32"/>
  <c r="X34" i="32"/>
  <c r="N34" i="32"/>
  <c r="M34" i="32"/>
  <c r="Z35" i="32"/>
  <c r="L35" i="32"/>
  <c r="R36" i="32"/>
  <c r="M37" i="32"/>
  <c r="Q39" i="32"/>
  <c r="O41" i="32"/>
  <c r="Q41" i="32" s="1"/>
  <c r="P42" i="32"/>
  <c r="O46" i="32"/>
  <c r="R61" i="32"/>
  <c r="L44" i="32"/>
  <c r="S56" i="32"/>
  <c r="R56" i="32"/>
  <c r="P64" i="32"/>
  <c r="P69" i="32"/>
  <c r="Q6" i="32"/>
  <c r="L9" i="32"/>
  <c r="Q12" i="32"/>
  <c r="P31" i="32"/>
  <c r="U31" i="32" s="1"/>
  <c r="Y32" i="32"/>
  <c r="O32" i="32"/>
  <c r="T33" i="32" s="1"/>
  <c r="Z32" i="32"/>
  <c r="Z33" i="32"/>
  <c r="Y34" i="32"/>
  <c r="R35" i="32"/>
  <c r="M35" i="32"/>
  <c r="X35" i="32"/>
  <c r="M40" i="32"/>
  <c r="L40" i="32"/>
  <c r="P49" i="32"/>
  <c r="O50" i="32"/>
  <c r="X56" i="32"/>
  <c r="L56" i="32"/>
  <c r="M56" i="32"/>
  <c r="Q56" i="32"/>
  <c r="U58" i="32"/>
  <c r="Z63" i="32"/>
  <c r="P63" i="32"/>
  <c r="O64" i="32"/>
  <c r="L64" i="32"/>
  <c r="M38" i="32"/>
  <c r="L38" i="32"/>
  <c r="N38" i="32"/>
  <c r="M39" i="32"/>
  <c r="L39" i="32"/>
  <c r="M43" i="32"/>
  <c r="L43" i="32"/>
  <c r="P43" i="32"/>
  <c r="N44" i="32"/>
  <c r="M36" i="32"/>
  <c r="Q36" i="32"/>
  <c r="S36" i="32"/>
  <c r="L37" i="32"/>
  <c r="N37" i="32"/>
  <c r="Q40" i="32"/>
  <c r="M41" i="32"/>
  <c r="L41" i="32"/>
  <c r="L46" i="32"/>
  <c r="N46" i="32"/>
  <c r="M46" i="32"/>
  <c r="O47" i="32"/>
  <c r="R48" i="32"/>
  <c r="M49" i="32"/>
  <c r="L49" i="32"/>
  <c r="N49" i="32"/>
  <c r="M50" i="32"/>
  <c r="L50" i="32"/>
  <c r="N50" i="32"/>
  <c r="X59" i="32"/>
  <c r="X58" i="32"/>
  <c r="P70" i="32"/>
  <c r="N71" i="32"/>
  <c r="M71" i="32"/>
  <c r="L71" i="32"/>
  <c r="M47" i="32"/>
  <c r="L47" i="32"/>
  <c r="M51" i="32"/>
  <c r="L51" i="32"/>
  <c r="R55" i="32"/>
  <c r="Q55" i="32"/>
  <c r="T56" i="32"/>
  <c r="N57" i="32"/>
  <c r="L57" i="32"/>
  <c r="R58" i="32"/>
  <c r="Q58" i="32"/>
  <c r="S58" i="32"/>
  <c r="T59" i="32"/>
  <c r="T60" i="32"/>
  <c r="P71" i="32"/>
  <c r="P72" i="32"/>
  <c r="N47" i="32"/>
  <c r="M48" i="32"/>
  <c r="L48" i="32"/>
  <c r="N51" i="32"/>
  <c r="M55" i="32"/>
  <c r="Y56" i="32"/>
  <c r="T57" i="32"/>
  <c r="Y65" i="32"/>
  <c r="Y63" i="32"/>
  <c r="N63" i="32"/>
  <c r="X63" i="32"/>
  <c r="M63" i="32"/>
  <c r="L63" i="32"/>
  <c r="L69" i="32"/>
  <c r="O72" i="32"/>
  <c r="R72" i="32" s="1"/>
  <c r="M72" i="32"/>
  <c r="L72" i="32"/>
  <c r="O73" i="32"/>
  <c r="R73" i="32" s="1"/>
  <c r="M73" i="32"/>
  <c r="L55" i="32"/>
  <c r="Z57" i="32"/>
  <c r="AA57" i="32" s="1"/>
  <c r="Y58" i="32"/>
  <c r="Y59" i="32"/>
  <c r="L59" i="32"/>
  <c r="Y60" i="32"/>
  <c r="M60" i="32"/>
  <c r="X61" i="32"/>
  <c r="Z61" i="32"/>
  <c r="M62" i="32"/>
  <c r="Z65" i="32"/>
  <c r="P65" i="32"/>
  <c r="P66" i="32"/>
  <c r="N67" i="32"/>
  <c r="M67" i="32"/>
  <c r="L67" i="32"/>
  <c r="P73" i="32"/>
  <c r="P74" i="32"/>
  <c r="N75" i="32"/>
  <c r="M75" i="32"/>
  <c r="L75" i="32"/>
  <c r="Z58" i="32"/>
  <c r="Z59" i="32"/>
  <c r="P59" i="32"/>
  <c r="U59" i="32" s="1"/>
  <c r="O61" i="32"/>
  <c r="L61" i="32"/>
  <c r="N62" i="32"/>
  <c r="L62" i="32"/>
  <c r="N66" i="32"/>
  <c r="L66" i="32"/>
  <c r="O68" i="32"/>
  <c r="M68" i="32"/>
  <c r="L68" i="32"/>
  <c r="O69" i="32"/>
  <c r="M69" i="32"/>
  <c r="N74" i="32"/>
  <c r="L74" i="32"/>
  <c r="O76" i="32"/>
  <c r="M76" i="32"/>
  <c r="L76" i="32"/>
  <c r="M58" i="32"/>
  <c r="Z62" i="32"/>
  <c r="P62" i="32"/>
  <c r="U62" i="32" s="1"/>
  <c r="M64" i="32"/>
  <c r="R69" i="32"/>
  <c r="X60" i="32"/>
  <c r="L60" i="32"/>
  <c r="N60" i="32"/>
  <c r="M61" i="32"/>
  <c r="R68" i="32"/>
  <c r="Q48" i="31"/>
  <c r="Q45" i="31"/>
  <c r="V23" i="31"/>
  <c r="W21" i="31"/>
  <c r="W26" i="31"/>
  <c r="W22" i="31"/>
  <c r="W18" i="31"/>
  <c r="W14" i="31"/>
  <c r="W10" i="31"/>
  <c r="W6" i="31"/>
  <c r="V26" i="31"/>
  <c r="V22" i="31"/>
  <c r="V18" i="31"/>
  <c r="V14" i="31"/>
  <c r="V10" i="31"/>
  <c r="V6" i="31"/>
  <c r="Q44" i="31"/>
  <c r="Q49" i="31"/>
  <c r="Q35" i="31"/>
  <c r="L57" i="31"/>
  <c r="Q34" i="31"/>
  <c r="Q43" i="31"/>
  <c r="Q47" i="31"/>
  <c r="P32" i="31"/>
  <c r="Q42" i="31"/>
  <c r="Q46" i="31"/>
  <c r="Q50" i="31"/>
  <c r="M61" i="31"/>
  <c r="P40" i="31"/>
  <c r="L61" i="31"/>
  <c r="O70" i="31"/>
  <c r="O31" i="31"/>
  <c r="M57" i="31"/>
  <c r="M58" i="31"/>
  <c r="L60" i="31"/>
  <c r="D62" i="31"/>
  <c r="D63" i="31" s="1"/>
  <c r="Q58" i="31"/>
  <c r="P70" i="31"/>
  <c r="L59" i="31"/>
  <c r="Q66" i="31"/>
  <c r="Q68" i="31"/>
  <c r="M72" i="31"/>
  <c r="N72" i="31"/>
  <c r="Q72" i="31" s="1"/>
  <c r="L72" i="31"/>
  <c r="M74" i="31"/>
  <c r="N74" i="31"/>
  <c r="Q74" i="31" s="1"/>
  <c r="L74" i="31"/>
  <c r="M76" i="31"/>
  <c r="N76" i="31"/>
  <c r="Q76" i="31" s="1"/>
  <c r="L76" i="31"/>
  <c r="M60" i="31"/>
  <c r="N60" i="31"/>
  <c r="Q60" i="31" s="1"/>
  <c r="N62" i="31"/>
  <c r="Q62" i="31" s="1"/>
  <c r="L62" i="31"/>
  <c r="M62" i="31"/>
  <c r="N64" i="31"/>
  <c r="Q64" i="31" s="1"/>
  <c r="L64" i="31"/>
  <c r="M64" i="31"/>
  <c r="Q71" i="31"/>
  <c r="N55" i="31"/>
  <c r="Q55" i="31" s="1"/>
  <c r="L55" i="31"/>
  <c r="M55" i="31"/>
  <c r="M63" i="31"/>
  <c r="N63" i="31"/>
  <c r="Q63" i="31" s="1"/>
  <c r="L63" i="31"/>
  <c r="M65" i="31"/>
  <c r="L65" i="31"/>
  <c r="N65" i="31"/>
  <c r="Q65" i="31" s="1"/>
  <c r="M67" i="31"/>
  <c r="L67" i="31"/>
  <c r="N67" i="31"/>
  <c r="Q67" i="31" s="1"/>
  <c r="M69" i="31"/>
  <c r="N69" i="31"/>
  <c r="Q69" i="31" s="1"/>
  <c r="L69" i="31"/>
  <c r="Q73" i="31"/>
  <c r="Q75" i="31"/>
  <c r="N56" i="31"/>
  <c r="O57" i="31"/>
  <c r="L58" i="31"/>
  <c r="M66" i="31"/>
  <c r="M68" i="31"/>
  <c r="M70" i="31"/>
  <c r="M71" i="31"/>
  <c r="M73" i="31"/>
  <c r="M75" i="31"/>
  <c r="O56" i="31"/>
  <c r="P57" i="31"/>
  <c r="O59" i="31"/>
  <c r="Q59" i="31" s="1"/>
  <c r="P61" i="31"/>
  <c r="Q61" i="31" s="1"/>
  <c r="L66" i="31"/>
  <c r="L68" i="31"/>
  <c r="L70" i="31"/>
  <c r="L71" i="31"/>
  <c r="L73" i="31"/>
  <c r="L75" i="31"/>
  <c r="M56" i="31"/>
  <c r="Q41" i="31"/>
  <c r="D48" i="31"/>
  <c r="D49" i="31" s="1"/>
  <c r="D50" i="31" s="1"/>
  <c r="D51" i="31" s="1"/>
  <c r="D47" i="31"/>
  <c r="O40" i="31"/>
  <c r="Q40" i="31" s="1"/>
  <c r="L40" i="31"/>
  <c r="O30" i="31"/>
  <c r="O32" i="31"/>
  <c r="N33" i="31"/>
  <c r="Q33" i="31" s="1"/>
  <c r="L33" i="31"/>
  <c r="L34" i="31"/>
  <c r="N37" i="31"/>
  <c r="Q37" i="31" s="1"/>
  <c r="L37" i="31"/>
  <c r="Q38" i="31"/>
  <c r="Q39" i="31"/>
  <c r="N30" i="31"/>
  <c r="L30" i="31"/>
  <c r="N32" i="31"/>
  <c r="L32" i="31"/>
  <c r="L35" i="31"/>
  <c r="Q36" i="31"/>
  <c r="L36" i="31"/>
  <c r="L38" i="31"/>
  <c r="L42" i="31"/>
  <c r="L31" i="31"/>
  <c r="L41" i="31"/>
  <c r="N31" i="31"/>
  <c r="L39" i="31"/>
  <c r="P31" i="31"/>
  <c r="L43" i="31"/>
  <c r="L44" i="31"/>
  <c r="L45" i="31"/>
  <c r="L46" i="31"/>
  <c r="L47" i="31"/>
  <c r="L48" i="31"/>
  <c r="L49" i="31"/>
  <c r="L50" i="31"/>
  <c r="L51" i="31"/>
  <c r="O6" i="31"/>
  <c r="M6" i="31"/>
  <c r="L11" i="31"/>
  <c r="D11" i="31"/>
  <c r="L7" i="31"/>
  <c r="N7" i="31"/>
  <c r="M7" i="31"/>
  <c r="L8" i="31"/>
  <c r="O9" i="31"/>
  <c r="Q9" i="31" s="1"/>
  <c r="O23" i="31"/>
  <c r="O8" i="31"/>
  <c r="N10" i="31"/>
  <c r="L10" i="31"/>
  <c r="M10" i="31"/>
  <c r="P12" i="31"/>
  <c r="L13" i="31"/>
  <c r="M13" i="31"/>
  <c r="P15" i="31"/>
  <c r="P16" i="31"/>
  <c r="P17" i="31"/>
  <c r="N18" i="31"/>
  <c r="L18" i="31"/>
  <c r="M18" i="31"/>
  <c r="O19" i="31"/>
  <c r="O22" i="31"/>
  <c r="P23" i="31"/>
  <c r="M5" i="31"/>
  <c r="M8" i="31"/>
  <c r="N8" i="31"/>
  <c r="P24" i="31"/>
  <c r="L5" i="31"/>
  <c r="P6" i="31"/>
  <c r="P7" i="31"/>
  <c r="L12" i="31"/>
  <c r="P13" i="31"/>
  <c r="P14" i="31"/>
  <c r="O20" i="31"/>
  <c r="O21" i="31"/>
  <c r="Q21" i="31" s="1"/>
  <c r="P22" i="31"/>
  <c r="O25" i="31"/>
  <c r="P26" i="31"/>
  <c r="L14" i="31"/>
  <c r="M14" i="31"/>
  <c r="M20" i="31"/>
  <c r="N20" i="31"/>
  <c r="L20" i="31"/>
  <c r="L6" i="31"/>
  <c r="M9" i="31"/>
  <c r="M12" i="31"/>
  <c r="N14" i="31"/>
  <c r="Q14" i="31" s="1"/>
  <c r="L15" i="31"/>
  <c r="M15" i="31"/>
  <c r="N15" i="31"/>
  <c r="Q15" i="31" s="1"/>
  <c r="L16" i="31"/>
  <c r="M16" i="31"/>
  <c r="N16" i="31"/>
  <c r="L17" i="31"/>
  <c r="M17" i="31"/>
  <c r="N17" i="31"/>
  <c r="N19" i="31"/>
  <c r="L19" i="31"/>
  <c r="M19" i="31"/>
  <c r="P21" i="31"/>
  <c r="O24" i="31"/>
  <c r="Q24" i="31" s="1"/>
  <c r="P25" i="31"/>
  <c r="L9" i="31"/>
  <c r="O11" i="31"/>
  <c r="N12" i="31"/>
  <c r="P20" i="31"/>
  <c r="M11" i="31"/>
  <c r="M21" i="31"/>
  <c r="L21" i="31"/>
  <c r="M22" i="31"/>
  <c r="L22" i="31"/>
  <c r="M23" i="31"/>
  <c r="L23" i="31"/>
  <c r="M24" i="31"/>
  <c r="L24" i="31"/>
  <c r="M25" i="31"/>
  <c r="L25" i="31"/>
  <c r="M26" i="31"/>
  <c r="N26" i="31"/>
  <c r="L26" i="31"/>
  <c r="Z100" i="7" l="1"/>
  <c r="Z98" i="7"/>
  <c r="Z99" i="7"/>
  <c r="AB145" i="7"/>
  <c r="AA145" i="7"/>
  <c r="AA148" i="7"/>
  <c r="AB148" i="7"/>
  <c r="AB97" i="7"/>
  <c r="AA97" i="7"/>
  <c r="Z151" i="7"/>
  <c r="Z149" i="7"/>
  <c r="Z150" i="7"/>
  <c r="AB40" i="35"/>
  <c r="AA40" i="35"/>
  <c r="D44" i="35"/>
  <c r="AD17" i="35"/>
  <c r="Z43" i="35"/>
  <c r="Z42" i="35"/>
  <c r="Z41" i="35"/>
  <c r="AA37" i="35"/>
  <c r="AB37" i="35"/>
  <c r="AB151" i="35"/>
  <c r="AA151" i="35"/>
  <c r="D155" i="35"/>
  <c r="AD125" i="35"/>
  <c r="Z154" i="35"/>
  <c r="Z153" i="35"/>
  <c r="Z152" i="35"/>
  <c r="AB97" i="35"/>
  <c r="AA97" i="35"/>
  <c r="AD71" i="35"/>
  <c r="D101" i="35"/>
  <c r="Z100" i="35"/>
  <c r="Z99" i="35"/>
  <c r="Z98" i="35"/>
  <c r="D152" i="7"/>
  <c r="AD124" i="7"/>
  <c r="AD71" i="7"/>
  <c r="D101" i="7"/>
  <c r="AB62" i="32"/>
  <c r="AB57" i="32"/>
  <c r="U63" i="32"/>
  <c r="U10" i="32"/>
  <c r="Z10" i="32"/>
  <c r="D11" i="32"/>
  <c r="Y9" i="32"/>
  <c r="AB9" i="32" s="1"/>
  <c r="S9" i="32"/>
  <c r="U8" i="32"/>
  <c r="T9" i="32"/>
  <c r="W9" i="32" s="1"/>
  <c r="X9" i="32"/>
  <c r="Y8" i="32"/>
  <c r="U9" i="32"/>
  <c r="S10" i="32"/>
  <c r="X8" i="32"/>
  <c r="R21" i="32"/>
  <c r="Q21" i="32"/>
  <c r="R16" i="32"/>
  <c r="Q16" i="32"/>
  <c r="U6" i="32"/>
  <c r="U7" i="32"/>
  <c r="W7" i="32" s="1"/>
  <c r="R31" i="32"/>
  <c r="Q31" i="32"/>
  <c r="S31" i="32"/>
  <c r="S32" i="32"/>
  <c r="R20" i="32"/>
  <c r="Q20" i="32"/>
  <c r="R45" i="32"/>
  <c r="Q45" i="32"/>
  <c r="R19" i="32"/>
  <c r="Q19" i="32"/>
  <c r="S60" i="32"/>
  <c r="R60" i="32"/>
  <c r="Q60" i="32"/>
  <c r="X64" i="32"/>
  <c r="R62" i="32"/>
  <c r="Q62" i="32"/>
  <c r="S62" i="32"/>
  <c r="V58" i="32"/>
  <c r="W58" i="32"/>
  <c r="S57" i="32"/>
  <c r="R57" i="32"/>
  <c r="Q57" i="32"/>
  <c r="R71" i="32"/>
  <c r="Q71" i="32"/>
  <c r="AA59" i="32"/>
  <c r="AB59" i="32"/>
  <c r="R46" i="32"/>
  <c r="Q46" i="32"/>
  <c r="Q38" i="32"/>
  <c r="R38" i="32"/>
  <c r="Y64" i="32"/>
  <c r="S59" i="32"/>
  <c r="AB56" i="32"/>
  <c r="AA56" i="32"/>
  <c r="X36" i="32"/>
  <c r="Z36" i="32"/>
  <c r="T32" i="32"/>
  <c r="R32" i="32"/>
  <c r="U64" i="32"/>
  <c r="W56" i="32"/>
  <c r="V56" i="32"/>
  <c r="AA62" i="32"/>
  <c r="S61" i="32"/>
  <c r="AA32" i="32"/>
  <c r="AB32" i="32"/>
  <c r="Q26" i="32"/>
  <c r="R26" i="32"/>
  <c r="R24" i="32"/>
  <c r="Q24" i="32"/>
  <c r="U36" i="32"/>
  <c r="Q42" i="32"/>
  <c r="R42" i="32"/>
  <c r="Q13" i="32"/>
  <c r="AB7" i="32"/>
  <c r="AA7" i="32"/>
  <c r="Y36" i="32"/>
  <c r="AA8" i="32"/>
  <c r="AB8" i="32"/>
  <c r="Q76" i="32"/>
  <c r="R63" i="32"/>
  <c r="S63" i="32"/>
  <c r="Q63" i="32"/>
  <c r="Q49" i="32"/>
  <c r="R49" i="32"/>
  <c r="R59" i="32"/>
  <c r="Q68" i="32"/>
  <c r="Q51" i="32"/>
  <c r="R51" i="32"/>
  <c r="R76" i="32"/>
  <c r="R74" i="32"/>
  <c r="Q74" i="32"/>
  <c r="R67" i="32"/>
  <c r="Q67" i="32"/>
  <c r="AA58" i="32"/>
  <c r="AB58" i="32"/>
  <c r="Q50" i="32"/>
  <c r="R50" i="32"/>
  <c r="T64" i="32"/>
  <c r="Q64" i="32"/>
  <c r="AA9" i="32"/>
  <c r="T65" i="32"/>
  <c r="Q65" i="32"/>
  <c r="Q69" i="32"/>
  <c r="R66" i="32"/>
  <c r="Q66" i="32"/>
  <c r="Q73" i="32"/>
  <c r="Q72" i="32"/>
  <c r="S65" i="32"/>
  <c r="X65" i="32"/>
  <c r="Q44" i="32"/>
  <c r="R44" i="32"/>
  <c r="T66" i="32"/>
  <c r="Q59" i="32"/>
  <c r="AB35" i="32"/>
  <c r="AA35" i="32"/>
  <c r="Z64" i="32"/>
  <c r="S34" i="32"/>
  <c r="R34" i="32"/>
  <c r="Q34" i="32"/>
  <c r="R39" i="32"/>
  <c r="Q25" i="32"/>
  <c r="R25" i="32"/>
  <c r="R70" i="32"/>
  <c r="Q70" i="32"/>
  <c r="AB10" i="32"/>
  <c r="AA10" i="32"/>
  <c r="Q5" i="32"/>
  <c r="R5" i="32"/>
  <c r="S6" i="32"/>
  <c r="AB31" i="32"/>
  <c r="AA31" i="32"/>
  <c r="R6" i="32"/>
  <c r="R15" i="32"/>
  <c r="Q15" i="32"/>
  <c r="R64" i="32"/>
  <c r="AB60" i="32"/>
  <c r="AA60" i="32"/>
  <c r="S64" i="32"/>
  <c r="T61" i="32"/>
  <c r="T62" i="32"/>
  <c r="R75" i="32"/>
  <c r="Q75" i="32"/>
  <c r="U65" i="32"/>
  <c r="AA61" i="32"/>
  <c r="AB61" i="32"/>
  <c r="AB63" i="32"/>
  <c r="AA63" i="32"/>
  <c r="Q47" i="32"/>
  <c r="R47" i="32"/>
  <c r="S37" i="32"/>
  <c r="Q37" i="32"/>
  <c r="R37" i="32"/>
  <c r="S35" i="32"/>
  <c r="U60" i="32"/>
  <c r="Q61" i="32"/>
  <c r="R43" i="32"/>
  <c r="AA34" i="32"/>
  <c r="AB34" i="32"/>
  <c r="R30" i="32"/>
  <c r="Q30" i="32"/>
  <c r="Q18" i="32"/>
  <c r="R18" i="32"/>
  <c r="R41" i="32"/>
  <c r="R17" i="32"/>
  <c r="Q17" i="32"/>
  <c r="S11" i="32"/>
  <c r="R11" i="32"/>
  <c r="Q11" i="32"/>
  <c r="V9" i="32"/>
  <c r="AB33" i="32"/>
  <c r="AA33" i="32"/>
  <c r="V33" i="32"/>
  <c r="W33" i="32"/>
  <c r="T36" i="32"/>
  <c r="V36" i="32" s="1"/>
  <c r="T10" i="32"/>
  <c r="V10" i="32" s="1"/>
  <c r="R8" i="32"/>
  <c r="Q8" i="32"/>
  <c r="S8" i="32"/>
  <c r="Q19" i="31"/>
  <c r="Q26" i="31"/>
  <c r="Q17" i="31"/>
  <c r="Q25" i="31"/>
  <c r="Q8" i="31"/>
  <c r="Q22" i="31"/>
  <c r="Q12" i="31"/>
  <c r="Q10" i="31"/>
  <c r="Q7" i="31"/>
  <c r="Q11" i="31"/>
  <c r="Q16" i="31"/>
  <c r="Q20" i="31"/>
  <c r="Q18" i="31"/>
  <c r="Q23" i="31"/>
  <c r="Q70" i="31"/>
  <c r="Q13" i="31"/>
  <c r="Q6" i="31"/>
  <c r="Q57" i="31"/>
  <c r="Q56" i="31"/>
  <c r="D64" i="31"/>
  <c r="Q30" i="31"/>
  <c r="Q31" i="31"/>
  <c r="Q32" i="31"/>
  <c r="D12" i="31"/>
  <c r="W13" i="13"/>
  <c r="W12" i="13"/>
  <c r="M27" i="13"/>
  <c r="M26" i="13"/>
  <c r="L27" i="13"/>
  <c r="K28" i="13"/>
  <c r="K27" i="13"/>
  <c r="K26" i="13"/>
  <c r="L26" i="13"/>
  <c r="J25" i="13"/>
  <c r="M25" i="13" s="1"/>
  <c r="J24" i="13"/>
  <c r="M24" i="13" s="1"/>
  <c r="J23" i="13"/>
  <c r="M23" i="13" s="1"/>
  <c r="I25" i="13"/>
  <c r="L25" i="13" s="1"/>
  <c r="I24" i="13"/>
  <c r="L24" i="13" s="1"/>
  <c r="I23" i="13"/>
  <c r="L23" i="13" s="1"/>
  <c r="H25" i="13"/>
  <c r="K25" i="13" s="1"/>
  <c r="H24" i="13"/>
  <c r="K24" i="13" s="1"/>
  <c r="H23" i="13"/>
  <c r="W11" i="13"/>
  <c r="W10" i="13"/>
  <c r="J22" i="13"/>
  <c r="M22" i="13" s="1"/>
  <c r="J21" i="13"/>
  <c r="M21" i="13" s="1"/>
  <c r="J20" i="13"/>
  <c r="I22" i="13"/>
  <c r="L22" i="13" s="1"/>
  <c r="I21" i="13"/>
  <c r="L21" i="13" s="1"/>
  <c r="I20" i="13"/>
  <c r="L20" i="13" s="1"/>
  <c r="H22" i="13"/>
  <c r="K22" i="13" s="1"/>
  <c r="H21" i="13"/>
  <c r="K21" i="13" s="1"/>
  <c r="H20" i="13"/>
  <c r="K20" i="13" s="1"/>
  <c r="J19" i="13"/>
  <c r="M19" i="13" s="1"/>
  <c r="J18" i="13"/>
  <c r="M18" i="13" s="1"/>
  <c r="J17" i="13"/>
  <c r="M17" i="13" s="1"/>
  <c r="I19" i="13"/>
  <c r="L19" i="13" s="1"/>
  <c r="I18" i="13"/>
  <c r="L18" i="13" s="1"/>
  <c r="I17" i="13"/>
  <c r="L17" i="13" s="1"/>
  <c r="H19" i="13"/>
  <c r="K19" i="13" s="1"/>
  <c r="H18" i="13"/>
  <c r="K18" i="13" s="1"/>
  <c r="H17" i="13"/>
  <c r="K17" i="13" s="1"/>
  <c r="M20" i="13"/>
  <c r="W9" i="13"/>
  <c r="W8" i="13"/>
  <c r="W7" i="13"/>
  <c r="J16" i="13"/>
  <c r="M16" i="13" s="1"/>
  <c r="J15" i="13"/>
  <c r="M15" i="13" s="1"/>
  <c r="J14" i="13"/>
  <c r="M14" i="13" s="1"/>
  <c r="I16" i="13"/>
  <c r="L16" i="13" s="1"/>
  <c r="I15" i="13"/>
  <c r="L15" i="13" s="1"/>
  <c r="I14" i="13"/>
  <c r="L14" i="13" s="1"/>
  <c r="H16" i="13"/>
  <c r="K16" i="13" s="1"/>
  <c r="H15" i="13"/>
  <c r="K15" i="13" s="1"/>
  <c r="H14" i="13"/>
  <c r="K14" i="13" s="1"/>
  <c r="J13" i="13"/>
  <c r="M13" i="13" s="1"/>
  <c r="M12" i="13"/>
  <c r="M11" i="13"/>
  <c r="L13" i="13"/>
  <c r="L12" i="13"/>
  <c r="L11" i="13"/>
  <c r="K13" i="13"/>
  <c r="K12" i="13"/>
  <c r="K11" i="13"/>
  <c r="N29" i="13"/>
  <c r="N30" i="13"/>
  <c r="N31" i="13"/>
  <c r="N32" i="13"/>
  <c r="N33" i="13"/>
  <c r="N34" i="13"/>
  <c r="W6" i="13"/>
  <c r="W5" i="13"/>
  <c r="G8" i="13"/>
  <c r="G5" i="13"/>
  <c r="H6" i="13" l="1"/>
  <c r="J5" i="13"/>
  <c r="J7" i="13"/>
  <c r="I5" i="13"/>
  <c r="H7" i="13"/>
  <c r="H5" i="13"/>
  <c r="I7" i="13"/>
  <c r="L7" i="13" s="1"/>
  <c r="J9" i="13"/>
  <c r="I8" i="13"/>
  <c r="J8" i="13"/>
  <c r="H10" i="13"/>
  <c r="I10" i="13"/>
  <c r="H9" i="13"/>
  <c r="J10" i="13"/>
  <c r="M10" i="13" s="1"/>
  <c r="I9" i="13"/>
  <c r="H8" i="13"/>
  <c r="Z153" i="7"/>
  <c r="Z154" i="7"/>
  <c r="Z152" i="7"/>
  <c r="Z102" i="7"/>
  <c r="Z103" i="7"/>
  <c r="Z101" i="7"/>
  <c r="AB151" i="7"/>
  <c r="AA151" i="7"/>
  <c r="AA100" i="7"/>
  <c r="AB100" i="7"/>
  <c r="O34" i="13"/>
  <c r="P34" i="13" s="1"/>
  <c r="Q34" i="13" s="1"/>
  <c r="R34" i="13" s="1"/>
  <c r="O33" i="13"/>
  <c r="P33" i="13" s="1"/>
  <c r="Q33" i="13" s="1"/>
  <c r="R33" i="13" s="1"/>
  <c r="O32" i="13"/>
  <c r="P32" i="13" s="1"/>
  <c r="Q32" i="13" s="1"/>
  <c r="R32" i="13" s="1"/>
  <c r="O31" i="13"/>
  <c r="P31" i="13" s="1"/>
  <c r="Q31" i="13" s="1"/>
  <c r="R31" i="13" s="1"/>
  <c r="O30" i="13"/>
  <c r="P30" i="13" s="1"/>
  <c r="Q30" i="13" s="1"/>
  <c r="R30" i="13" s="1"/>
  <c r="O29" i="13"/>
  <c r="P29" i="13" s="1"/>
  <c r="Q29" i="13" s="1"/>
  <c r="R29" i="13" s="1"/>
  <c r="D104" i="35"/>
  <c r="AD72" i="35"/>
  <c r="Z103" i="35"/>
  <c r="Z102" i="35"/>
  <c r="Z101" i="35"/>
  <c r="AB154" i="35"/>
  <c r="AA154" i="35"/>
  <c r="AD126" i="35"/>
  <c r="D158" i="35"/>
  <c r="Z157" i="35"/>
  <c r="Z156" i="35"/>
  <c r="Z155" i="35"/>
  <c r="AA100" i="35"/>
  <c r="AB100" i="35"/>
  <c r="AA43" i="35"/>
  <c r="AB43" i="35"/>
  <c r="D47" i="35"/>
  <c r="AD18" i="35"/>
  <c r="Z46" i="35"/>
  <c r="Z45" i="35"/>
  <c r="Z44" i="35"/>
  <c r="AD125" i="7"/>
  <c r="D155" i="7"/>
  <c r="D104" i="7"/>
  <c r="AD72" i="7"/>
  <c r="N22" i="13"/>
  <c r="O22" i="13" s="1"/>
  <c r="P22" i="13" s="1"/>
  <c r="Q22" i="13" s="1"/>
  <c r="R22" i="13" s="1"/>
  <c r="M5" i="13"/>
  <c r="M7" i="13"/>
  <c r="N17" i="13"/>
  <c r="O17" i="13" s="1"/>
  <c r="P17" i="13" s="1"/>
  <c r="Q17" i="13" s="1"/>
  <c r="R17" i="13" s="1"/>
  <c r="K9" i="13"/>
  <c r="I6" i="13"/>
  <c r="L6" i="13" s="1"/>
  <c r="K10" i="13"/>
  <c r="N14" i="13"/>
  <c r="O14" i="13" s="1"/>
  <c r="P14" i="13" s="1"/>
  <c r="Q14" i="13" s="1"/>
  <c r="R14" i="13" s="1"/>
  <c r="N15" i="13"/>
  <c r="O15" i="13" s="1"/>
  <c r="P15" i="13" s="1"/>
  <c r="Q15" i="13" s="1"/>
  <c r="R15" i="13" s="1"/>
  <c r="N27" i="13"/>
  <c r="O27" i="13" s="1"/>
  <c r="P27" i="13" s="1"/>
  <c r="Q27" i="13" s="1"/>
  <c r="R27" i="13" s="1"/>
  <c r="J6" i="13"/>
  <c r="M6" i="13" s="1"/>
  <c r="L10" i="13"/>
  <c r="N20" i="13"/>
  <c r="O20" i="13" s="1"/>
  <c r="P20" i="13" s="1"/>
  <c r="Q20" i="13" s="1"/>
  <c r="R20" i="13" s="1"/>
  <c r="N26" i="13"/>
  <c r="O26" i="13" s="1"/>
  <c r="P26" i="13" s="1"/>
  <c r="Q26" i="13" s="1"/>
  <c r="R26" i="13" s="1"/>
  <c r="K5" i="13"/>
  <c r="L5" i="13"/>
  <c r="K7" i="13"/>
  <c r="K8" i="13"/>
  <c r="M8" i="13"/>
  <c r="N16" i="13"/>
  <c r="O16" i="13" s="1"/>
  <c r="P16" i="13" s="1"/>
  <c r="Q16" i="13" s="1"/>
  <c r="R16" i="13" s="1"/>
  <c r="N21" i="13"/>
  <c r="O21" i="13" s="1"/>
  <c r="P21" i="13" s="1"/>
  <c r="Q21" i="13" s="1"/>
  <c r="R21" i="13" s="1"/>
  <c r="K6" i="13"/>
  <c r="L8" i="13"/>
  <c r="M9" i="13"/>
  <c r="L9" i="13"/>
  <c r="N24" i="13"/>
  <c r="O24" i="13" s="1"/>
  <c r="P24" i="13" s="1"/>
  <c r="Q24" i="13" s="1"/>
  <c r="R24" i="13" s="1"/>
  <c r="K23" i="13"/>
  <c r="N23" i="13" s="1"/>
  <c r="O23" i="13" s="1"/>
  <c r="P23" i="13" s="1"/>
  <c r="Q23" i="13" s="1"/>
  <c r="R23" i="13" s="1"/>
  <c r="N28" i="13"/>
  <c r="O28" i="13" s="1"/>
  <c r="P28" i="13" s="1"/>
  <c r="Q28" i="13" s="1"/>
  <c r="W36" i="32"/>
  <c r="Y11" i="32"/>
  <c r="D12" i="32"/>
  <c r="X11" i="32"/>
  <c r="Z11" i="32"/>
  <c r="U11" i="32"/>
  <c r="W11" i="32" s="1"/>
  <c r="W10" i="32"/>
  <c r="V7" i="32"/>
  <c r="T11" i="32"/>
  <c r="V35" i="32"/>
  <c r="W35" i="32"/>
  <c r="W34" i="32"/>
  <c r="V34" i="32"/>
  <c r="V65" i="32"/>
  <c r="W65" i="32"/>
  <c r="V31" i="32"/>
  <c r="W31" i="32"/>
  <c r="Y66" i="32"/>
  <c r="X66" i="32"/>
  <c r="Z66" i="32"/>
  <c r="AA36" i="32"/>
  <c r="AB36" i="32"/>
  <c r="W60" i="32"/>
  <c r="V60" i="32"/>
  <c r="V11" i="32"/>
  <c r="S66" i="32"/>
  <c r="Z37" i="32"/>
  <c r="U37" i="32"/>
  <c r="T37" i="32"/>
  <c r="W37" i="32" s="1"/>
  <c r="Y37" i="32"/>
  <c r="X37" i="32"/>
  <c r="W57" i="32"/>
  <c r="V57" i="32"/>
  <c r="U66" i="32"/>
  <c r="AB64" i="32"/>
  <c r="AA64" i="32"/>
  <c r="V8" i="32"/>
  <c r="W8" i="32"/>
  <c r="V6" i="32"/>
  <c r="W6" i="32"/>
  <c r="W61" i="32"/>
  <c r="V61" i="32"/>
  <c r="V59" i="32"/>
  <c r="W59" i="32"/>
  <c r="V64" i="32"/>
  <c r="W64" i="32"/>
  <c r="AA65" i="32"/>
  <c r="AB65" i="32"/>
  <c r="V63" i="32"/>
  <c r="W63" i="32"/>
  <c r="V62" i="32"/>
  <c r="W62" i="32"/>
  <c r="V32" i="32"/>
  <c r="W32" i="32"/>
  <c r="D65" i="31"/>
  <c r="D13" i="31"/>
  <c r="N25" i="13"/>
  <c r="N19" i="13"/>
  <c r="O19" i="13" s="1"/>
  <c r="P19" i="13" s="1"/>
  <c r="Q19" i="13" s="1"/>
  <c r="R19" i="13" s="1"/>
  <c r="N18" i="13"/>
  <c r="O18" i="13" s="1"/>
  <c r="P18" i="13" s="1"/>
  <c r="Q18" i="13" s="1"/>
  <c r="R18" i="13" s="1"/>
  <c r="N13" i="13"/>
  <c r="O13" i="13" s="1"/>
  <c r="P13" i="13" s="1"/>
  <c r="Q13" i="13" s="1"/>
  <c r="R13" i="13" s="1"/>
  <c r="N11" i="13"/>
  <c r="O11" i="13" s="1"/>
  <c r="P11" i="13" s="1"/>
  <c r="Q11" i="13" s="1"/>
  <c r="R11" i="13" s="1"/>
  <c r="N12" i="13"/>
  <c r="O12" i="13" s="1"/>
  <c r="P12" i="13" s="1"/>
  <c r="Q12" i="13" s="1"/>
  <c r="R12" i="13" s="1"/>
  <c r="Z106" i="7" l="1"/>
  <c r="Z104" i="7"/>
  <c r="Z105" i="7"/>
  <c r="Z157" i="7"/>
  <c r="Z156" i="7"/>
  <c r="Z155" i="7"/>
  <c r="AB154" i="7"/>
  <c r="AA154" i="7"/>
  <c r="AB103" i="7"/>
  <c r="AA103" i="7"/>
  <c r="T34" i="13"/>
  <c r="U34" i="13" s="1"/>
  <c r="Y13" i="13" s="1"/>
  <c r="S34" i="13"/>
  <c r="X13" i="13" s="1"/>
  <c r="T31" i="13"/>
  <c r="U31" i="13" s="1"/>
  <c r="Y12" i="13" s="1"/>
  <c r="S31" i="13"/>
  <c r="X12" i="13" s="1"/>
  <c r="AB157" i="35"/>
  <c r="AA157" i="35"/>
  <c r="AB46" i="35"/>
  <c r="AA46" i="35"/>
  <c r="D50" i="35"/>
  <c r="AD19" i="35"/>
  <c r="Z49" i="35"/>
  <c r="Z48" i="35"/>
  <c r="Z47" i="35"/>
  <c r="D161" i="35"/>
  <c r="AD127" i="35"/>
  <c r="Z158" i="35"/>
  <c r="Z159" i="35"/>
  <c r="Z160" i="35"/>
  <c r="AB103" i="35"/>
  <c r="AA103" i="35"/>
  <c r="AD73" i="35"/>
  <c r="D107" i="35"/>
  <c r="Z105" i="35"/>
  <c r="Z106" i="35"/>
  <c r="Z104" i="35"/>
  <c r="D158" i="7"/>
  <c r="AD126" i="7"/>
  <c r="D107" i="7"/>
  <c r="AD73" i="7"/>
  <c r="N6" i="13"/>
  <c r="O6" i="13" s="1"/>
  <c r="P6" i="13" s="1"/>
  <c r="Q6" i="13" s="1"/>
  <c r="R6" i="13" s="1"/>
  <c r="N5" i="13"/>
  <c r="O5" i="13" s="1"/>
  <c r="P5" i="13" s="1"/>
  <c r="Q5" i="13" s="1"/>
  <c r="R5" i="13" s="1"/>
  <c r="N10" i="13"/>
  <c r="O10" i="13" s="1"/>
  <c r="P10" i="13" s="1"/>
  <c r="Q10" i="13" s="1"/>
  <c r="R10" i="13" s="1"/>
  <c r="N8" i="13"/>
  <c r="O8" i="13" s="1"/>
  <c r="P8" i="13" s="1"/>
  <c r="Q8" i="13" s="1"/>
  <c r="R8" i="13" s="1"/>
  <c r="N7" i="13"/>
  <c r="O7" i="13" s="1"/>
  <c r="P7" i="13" s="1"/>
  <c r="Q7" i="13" s="1"/>
  <c r="R7" i="13" s="1"/>
  <c r="T22" i="13"/>
  <c r="U22" i="13" s="1"/>
  <c r="Y9" i="13" s="1"/>
  <c r="S19" i="13"/>
  <c r="X8" i="13" s="1"/>
  <c r="S22" i="13"/>
  <c r="X9" i="13" s="1"/>
  <c r="T16" i="13"/>
  <c r="U16" i="13" s="1"/>
  <c r="Y7" i="13" s="1"/>
  <c r="S16" i="13"/>
  <c r="X7" i="13" s="1"/>
  <c r="N9" i="13"/>
  <c r="O9" i="13" s="1"/>
  <c r="P9" i="13" s="1"/>
  <c r="Q9" i="13" s="1"/>
  <c r="R9" i="13" s="1"/>
  <c r="S28" i="13"/>
  <c r="X11" i="13" s="1"/>
  <c r="T28" i="13"/>
  <c r="T19" i="13"/>
  <c r="U19" i="13" s="1"/>
  <c r="Y8" i="13" s="1"/>
  <c r="V37" i="32"/>
  <c r="AA11" i="32"/>
  <c r="AB11" i="32"/>
  <c r="X12" i="32"/>
  <c r="AA12" i="32" s="1"/>
  <c r="D13" i="32"/>
  <c r="Z12" i="32"/>
  <c r="T12" i="32"/>
  <c r="Y12" i="32"/>
  <c r="AB12" i="32" s="1"/>
  <c r="U12" i="32"/>
  <c r="S12" i="32"/>
  <c r="Z38" i="32"/>
  <c r="T38" i="32"/>
  <c r="X38" i="32"/>
  <c r="Y38" i="32"/>
  <c r="S38" i="32"/>
  <c r="U38" i="32"/>
  <c r="AB37" i="32"/>
  <c r="AA37" i="32"/>
  <c r="AB66" i="32"/>
  <c r="AA66" i="32"/>
  <c r="V66" i="32"/>
  <c r="W66" i="32"/>
  <c r="Y67" i="32"/>
  <c r="T67" i="32"/>
  <c r="X67" i="32"/>
  <c r="U67" i="32"/>
  <c r="Z67" i="32"/>
  <c r="S67" i="32"/>
  <c r="D66" i="31"/>
  <c r="D14" i="31"/>
  <c r="O25" i="13"/>
  <c r="P25" i="13" s="1"/>
  <c r="Q25" i="13" s="1"/>
  <c r="R25" i="13" s="1"/>
  <c r="T13" i="13"/>
  <c r="U13" i="13" s="1"/>
  <c r="Y6" i="13" s="1"/>
  <c r="S13" i="13"/>
  <c r="X6" i="13" s="1"/>
  <c r="U28" i="13" l="1"/>
  <c r="Y11" i="13" s="1"/>
  <c r="Z160" i="7"/>
  <c r="Z158" i="7"/>
  <c r="Z159" i="7"/>
  <c r="Z109" i="7"/>
  <c r="Z107" i="7"/>
  <c r="Z108" i="7"/>
  <c r="AA109" i="7" s="1"/>
  <c r="AA157" i="7"/>
  <c r="AB157" i="7"/>
  <c r="AB106" i="7"/>
  <c r="AA106" i="7"/>
  <c r="AB160" i="35"/>
  <c r="AA160" i="35"/>
  <c r="AD74" i="35"/>
  <c r="Z109" i="35"/>
  <c r="Z108" i="35"/>
  <c r="Z107" i="35"/>
  <c r="AD128" i="35"/>
  <c r="Z163" i="35"/>
  <c r="Z162" i="35"/>
  <c r="Z161" i="35"/>
  <c r="AB106" i="35"/>
  <c r="AA106" i="35"/>
  <c r="AB49" i="35"/>
  <c r="AA49" i="35"/>
  <c r="AD20" i="35"/>
  <c r="D53" i="35"/>
  <c r="Z52" i="35"/>
  <c r="Z51" i="35"/>
  <c r="Z50" i="35"/>
  <c r="D161" i="7"/>
  <c r="AD127" i="7"/>
  <c r="AD74" i="7"/>
  <c r="S7" i="13"/>
  <c r="S10" i="13"/>
  <c r="X5" i="13" s="1"/>
  <c r="T7" i="13"/>
  <c r="U7" i="13" s="1"/>
  <c r="T10" i="13"/>
  <c r="U10" i="13" s="1"/>
  <c r="Y5" i="13" s="1"/>
  <c r="D14" i="32"/>
  <c r="S13" i="32"/>
  <c r="T13" i="32"/>
  <c r="X13" i="32"/>
  <c r="Y13" i="32"/>
  <c r="Z13" i="32"/>
  <c r="U13" i="32"/>
  <c r="V13" i="32" s="1"/>
  <c r="W12" i="32"/>
  <c r="V12" i="32"/>
  <c r="V67" i="32"/>
  <c r="W67" i="32"/>
  <c r="AB38" i="32"/>
  <c r="AA38" i="32"/>
  <c r="Y68" i="32"/>
  <c r="X68" i="32"/>
  <c r="Z68" i="32"/>
  <c r="U68" i="32"/>
  <c r="S68" i="32"/>
  <c r="T68" i="32"/>
  <c r="V38" i="32"/>
  <c r="W38" i="32"/>
  <c r="AB67" i="32"/>
  <c r="AA67" i="32"/>
  <c r="Z39" i="32"/>
  <c r="Y39" i="32"/>
  <c r="X39" i="32"/>
  <c r="S39" i="32"/>
  <c r="T39" i="32"/>
  <c r="U39" i="32"/>
  <c r="D67" i="31"/>
  <c r="D15" i="31"/>
  <c r="S25" i="13"/>
  <c r="X10" i="13" s="1"/>
  <c r="T25" i="13"/>
  <c r="U25" i="13" s="1"/>
  <c r="Y10" i="13" s="1"/>
  <c r="AB109" i="7" l="1"/>
  <c r="Z162" i="7"/>
  <c r="Z163" i="7"/>
  <c r="Z161" i="7"/>
  <c r="AA160" i="7"/>
  <c r="AB160" i="7"/>
  <c r="AD21" i="35"/>
  <c r="Z55" i="35"/>
  <c r="Z54" i="35"/>
  <c r="Z53" i="35"/>
  <c r="AB52" i="35"/>
  <c r="AA52" i="35"/>
  <c r="AB163" i="35"/>
  <c r="AA163" i="35"/>
  <c r="AB109" i="35"/>
  <c r="AA109" i="35"/>
  <c r="AD128" i="7"/>
  <c r="AA13" i="32"/>
  <c r="AB13" i="32"/>
  <c r="W13" i="32"/>
  <c r="D15" i="32"/>
  <c r="Z14" i="32"/>
  <c r="S14" i="32"/>
  <c r="Y14" i="32"/>
  <c r="U14" i="32"/>
  <c r="X14" i="32"/>
  <c r="T14" i="32"/>
  <c r="W39" i="32"/>
  <c r="V39" i="32"/>
  <c r="Z40" i="32"/>
  <c r="X40" i="32"/>
  <c r="Y40" i="32"/>
  <c r="S40" i="32"/>
  <c r="U40" i="32"/>
  <c r="T40" i="32"/>
  <c r="V68" i="32"/>
  <c r="W68" i="32"/>
  <c r="AB68" i="32"/>
  <c r="AA68" i="32"/>
  <c r="AB39" i="32"/>
  <c r="AA39" i="32"/>
  <c r="X69" i="32"/>
  <c r="S69" i="32"/>
  <c r="Y69" i="32"/>
  <c r="Z69" i="32"/>
  <c r="T69" i="32"/>
  <c r="U69" i="32"/>
  <c r="D68" i="31"/>
  <c r="D16" i="31"/>
  <c r="G53" i="7"/>
  <c r="J55" i="7" s="1"/>
  <c r="F53" i="7"/>
  <c r="H55" i="7" s="1"/>
  <c r="G50" i="7"/>
  <c r="J52" i="7" s="1"/>
  <c r="F50" i="7"/>
  <c r="H52" i="7" s="1"/>
  <c r="G47" i="7"/>
  <c r="K49" i="7" s="1"/>
  <c r="F47" i="7"/>
  <c r="I49" i="7" s="1"/>
  <c r="G44" i="7"/>
  <c r="K46" i="7" s="1"/>
  <c r="F44" i="7"/>
  <c r="I46" i="7" s="1"/>
  <c r="G41" i="7"/>
  <c r="K43" i="7" s="1"/>
  <c r="F41" i="7"/>
  <c r="I43" i="7" s="1"/>
  <c r="G38" i="7"/>
  <c r="J40" i="7" s="1"/>
  <c r="F38" i="7"/>
  <c r="H40" i="7" s="1"/>
  <c r="AA163" i="7" l="1"/>
  <c r="AB163" i="7"/>
  <c r="AB55" i="35"/>
  <c r="AA55" i="35"/>
  <c r="D16" i="32"/>
  <c r="X15" i="32"/>
  <c r="Z15" i="32"/>
  <c r="T15" i="32"/>
  <c r="S15" i="32"/>
  <c r="U15" i="32"/>
  <c r="Y15" i="32"/>
  <c r="W14" i="32"/>
  <c r="V14" i="32"/>
  <c r="AA14" i="32"/>
  <c r="AB14" i="32"/>
  <c r="AA69" i="32"/>
  <c r="AB69" i="32"/>
  <c r="V40" i="32"/>
  <c r="W40" i="32"/>
  <c r="Y41" i="32"/>
  <c r="X41" i="32"/>
  <c r="S41" i="32"/>
  <c r="Z41" i="32"/>
  <c r="U41" i="32"/>
  <c r="T41" i="32"/>
  <c r="V69" i="32"/>
  <c r="W69" i="32"/>
  <c r="Y70" i="32"/>
  <c r="Z70" i="32"/>
  <c r="X70" i="32"/>
  <c r="S70" i="32"/>
  <c r="U70" i="32"/>
  <c r="T70" i="32"/>
  <c r="AB40" i="32"/>
  <c r="AA40" i="32"/>
  <c r="D69" i="31"/>
  <c r="D17" i="31"/>
  <c r="I38" i="7"/>
  <c r="I40" i="7"/>
  <c r="J42" i="7"/>
  <c r="J45" i="7"/>
  <c r="I51" i="7"/>
  <c r="I53" i="7"/>
  <c r="I55" i="7"/>
  <c r="I39" i="7"/>
  <c r="J41" i="7"/>
  <c r="J43" i="7"/>
  <c r="J44" i="7"/>
  <c r="J46" i="7"/>
  <c r="I50" i="7"/>
  <c r="I52" i="7"/>
  <c r="I54" i="7"/>
  <c r="K38" i="7"/>
  <c r="K39" i="7"/>
  <c r="K40" i="7"/>
  <c r="H41" i="7"/>
  <c r="H42" i="7"/>
  <c r="H43" i="7"/>
  <c r="H44" i="7"/>
  <c r="H45" i="7"/>
  <c r="H46" i="7"/>
  <c r="H47" i="7"/>
  <c r="H48" i="7"/>
  <c r="H49" i="7"/>
  <c r="J47" i="7"/>
  <c r="J48" i="7"/>
  <c r="J49" i="7"/>
  <c r="K50" i="7"/>
  <c r="K51" i="7"/>
  <c r="K52" i="7"/>
  <c r="K53" i="7"/>
  <c r="K54" i="7"/>
  <c r="K55" i="7"/>
  <c r="H38" i="7"/>
  <c r="H39" i="7"/>
  <c r="J38" i="7"/>
  <c r="J39" i="7"/>
  <c r="I41" i="7"/>
  <c r="I42" i="7"/>
  <c r="K41" i="7"/>
  <c r="K42" i="7"/>
  <c r="I44" i="7"/>
  <c r="I45" i="7"/>
  <c r="K44" i="7"/>
  <c r="K45" i="7"/>
  <c r="I47" i="7"/>
  <c r="I48" i="7"/>
  <c r="K47" i="7"/>
  <c r="K48" i="7"/>
  <c r="H50" i="7"/>
  <c r="H51" i="7"/>
  <c r="J50" i="7"/>
  <c r="J51" i="7"/>
  <c r="H53" i="7"/>
  <c r="H54" i="7"/>
  <c r="J53" i="7"/>
  <c r="J54" i="7"/>
  <c r="AA15" i="32" l="1"/>
  <c r="AB15" i="32"/>
  <c r="W15" i="32"/>
  <c r="V15" i="32"/>
  <c r="D17" i="32"/>
  <c r="U16" i="32"/>
  <c r="T16" i="32"/>
  <c r="S16" i="32"/>
  <c r="Z16" i="32"/>
  <c r="X16" i="32"/>
  <c r="Y16" i="32"/>
  <c r="AB70" i="32"/>
  <c r="AA70" i="32"/>
  <c r="X42" i="32"/>
  <c r="Z42" i="32"/>
  <c r="Y42" i="32"/>
  <c r="T42" i="32"/>
  <c r="S42" i="32"/>
  <c r="U42" i="32"/>
  <c r="Y71" i="32"/>
  <c r="T71" i="32"/>
  <c r="X71" i="32"/>
  <c r="Z71" i="32"/>
  <c r="S71" i="32"/>
  <c r="U71" i="32"/>
  <c r="W41" i="32"/>
  <c r="V41" i="32"/>
  <c r="AB41" i="32"/>
  <c r="AA41" i="32"/>
  <c r="V70" i="32"/>
  <c r="W70" i="32"/>
  <c r="D70" i="31"/>
  <c r="D18" i="31"/>
  <c r="P34" i="7"/>
  <c r="Q34" i="7" s="1"/>
  <c r="P32" i="7"/>
  <c r="Q32" i="7" s="1"/>
  <c r="G32" i="7"/>
  <c r="G35" i="7" s="1"/>
  <c r="F32" i="7"/>
  <c r="F35" i="7" s="1"/>
  <c r="P31" i="7"/>
  <c r="Q31" i="7" s="1"/>
  <c r="P30" i="7"/>
  <c r="Q30" i="7" s="1"/>
  <c r="G29" i="7"/>
  <c r="K31" i="7" s="1"/>
  <c r="F29" i="7"/>
  <c r="I31" i="7" s="1"/>
  <c r="P28" i="7"/>
  <c r="Q28" i="7" s="1"/>
  <c r="P27" i="7"/>
  <c r="Q27" i="7" s="1"/>
  <c r="P26" i="7"/>
  <c r="Q26" i="7" s="1"/>
  <c r="K28" i="7"/>
  <c r="J28" i="7"/>
  <c r="K27" i="7"/>
  <c r="J27" i="7"/>
  <c r="K26" i="7"/>
  <c r="J26" i="7"/>
  <c r="I28" i="7"/>
  <c r="H28" i="7"/>
  <c r="I27" i="7"/>
  <c r="H27" i="7"/>
  <c r="I26" i="7"/>
  <c r="H26" i="7"/>
  <c r="Q25" i="7"/>
  <c r="Q24" i="7"/>
  <c r="Q23" i="7"/>
  <c r="K25" i="7"/>
  <c r="J25" i="7"/>
  <c r="K24" i="7"/>
  <c r="J24" i="7"/>
  <c r="K23" i="7"/>
  <c r="J23" i="7"/>
  <c r="I25" i="7"/>
  <c r="H25" i="7"/>
  <c r="I24" i="7"/>
  <c r="H24" i="7"/>
  <c r="I23" i="7"/>
  <c r="H23" i="7"/>
  <c r="Q22" i="7"/>
  <c r="Q21" i="7"/>
  <c r="Q20" i="7"/>
  <c r="G20" i="7"/>
  <c r="K22" i="7" s="1"/>
  <c r="F20" i="7"/>
  <c r="I22" i="7" s="1"/>
  <c r="Q19" i="7"/>
  <c r="Q18" i="7"/>
  <c r="Q17" i="7"/>
  <c r="K19" i="7"/>
  <c r="J19" i="7"/>
  <c r="K18" i="7"/>
  <c r="J18" i="7"/>
  <c r="K17" i="7"/>
  <c r="J17" i="7"/>
  <c r="I19" i="7"/>
  <c r="H19" i="7"/>
  <c r="I18" i="7"/>
  <c r="H18" i="7"/>
  <c r="I17" i="7"/>
  <c r="H17" i="7"/>
  <c r="P16" i="7"/>
  <c r="P15" i="7"/>
  <c r="P14" i="7"/>
  <c r="K16" i="7"/>
  <c r="J16" i="7"/>
  <c r="K15" i="7"/>
  <c r="J15" i="7"/>
  <c r="K14" i="7"/>
  <c r="J14" i="7"/>
  <c r="I16" i="7"/>
  <c r="H16" i="7"/>
  <c r="I15" i="7"/>
  <c r="H15" i="7"/>
  <c r="H14" i="7"/>
  <c r="I14" i="7"/>
  <c r="P13" i="7"/>
  <c r="Q13" i="7" s="1"/>
  <c r="P12" i="7"/>
  <c r="Q12" i="7" s="1"/>
  <c r="P11" i="7"/>
  <c r="Q11" i="7" s="1"/>
  <c r="G11" i="7"/>
  <c r="K13" i="7" s="1"/>
  <c r="F11" i="7"/>
  <c r="I13" i="7" s="1"/>
  <c r="P10" i="7"/>
  <c r="Q10" i="7" s="1"/>
  <c r="P9" i="7"/>
  <c r="Q9" i="7" s="1"/>
  <c r="P8" i="7"/>
  <c r="Q8" i="7" s="1"/>
  <c r="G8" i="7"/>
  <c r="K10" i="7" s="1"/>
  <c r="F8" i="7"/>
  <c r="I10" i="7" s="1"/>
  <c r="D8" i="7"/>
  <c r="D11" i="7" s="1"/>
  <c r="P7" i="7"/>
  <c r="Q7" i="7" s="1"/>
  <c r="P6" i="7"/>
  <c r="Q6" i="7" s="1"/>
  <c r="P5" i="7"/>
  <c r="Q5" i="7" s="1"/>
  <c r="K7" i="7"/>
  <c r="J7" i="7"/>
  <c r="K6" i="7"/>
  <c r="J6" i="7"/>
  <c r="K5" i="7"/>
  <c r="J5" i="7"/>
  <c r="I7" i="7"/>
  <c r="H7" i="7"/>
  <c r="I6" i="7"/>
  <c r="H6" i="7"/>
  <c r="I5" i="7"/>
  <c r="H5" i="7"/>
  <c r="AD5" i="7"/>
  <c r="P55" i="7"/>
  <c r="Q55" i="7" s="1"/>
  <c r="P54" i="7"/>
  <c r="Q54" i="7" s="1"/>
  <c r="P53" i="7"/>
  <c r="Q53" i="7" s="1"/>
  <c r="P52" i="7"/>
  <c r="Q52" i="7" s="1"/>
  <c r="P51" i="7"/>
  <c r="Q51" i="7" s="1"/>
  <c r="P50" i="7"/>
  <c r="Q50" i="7" s="1"/>
  <c r="P49" i="7"/>
  <c r="Q49" i="7" s="1"/>
  <c r="P48" i="7"/>
  <c r="Q48" i="7" s="1"/>
  <c r="P47" i="7"/>
  <c r="Q47" i="7" s="1"/>
  <c r="P46" i="7"/>
  <c r="Q46" i="7" s="1"/>
  <c r="P45" i="7"/>
  <c r="Q45" i="7" s="1"/>
  <c r="P44" i="7"/>
  <c r="Q44" i="7" s="1"/>
  <c r="P43" i="7"/>
  <c r="Q43" i="7" s="1"/>
  <c r="P42" i="7"/>
  <c r="Q42" i="7" s="1"/>
  <c r="P41" i="7"/>
  <c r="Q41" i="7" s="1"/>
  <c r="P40" i="7"/>
  <c r="Q40" i="7" s="1"/>
  <c r="P39" i="7"/>
  <c r="Q39" i="7" s="1"/>
  <c r="P38" i="7"/>
  <c r="Q38" i="7" s="1"/>
  <c r="P37" i="7"/>
  <c r="Q37" i="7" s="1"/>
  <c r="P36" i="7"/>
  <c r="Q36" i="7" s="1"/>
  <c r="P35" i="7"/>
  <c r="Q35" i="7" s="1"/>
  <c r="P33" i="7"/>
  <c r="Q33" i="7" s="1"/>
  <c r="P29" i="7"/>
  <c r="Q29" i="7" s="1"/>
  <c r="P24" i="7"/>
  <c r="P21" i="7"/>
  <c r="P18" i="7"/>
  <c r="AD6" i="7" l="1"/>
  <c r="J8" i="7"/>
  <c r="P19" i="7"/>
  <c r="P17" i="7"/>
  <c r="P23" i="7"/>
  <c r="W16" i="32"/>
  <c r="V16" i="32"/>
  <c r="AB16" i="32"/>
  <c r="AA16" i="32"/>
  <c r="D18" i="32"/>
  <c r="Y17" i="32"/>
  <c r="Z17" i="32"/>
  <c r="U17" i="32"/>
  <c r="X17" i="32"/>
  <c r="T17" i="32"/>
  <c r="S17" i="32"/>
  <c r="V71" i="32"/>
  <c r="W71" i="32"/>
  <c r="V42" i="32"/>
  <c r="W42" i="32"/>
  <c r="AB42" i="32"/>
  <c r="AA42" i="32"/>
  <c r="AB71" i="32"/>
  <c r="AA71" i="32"/>
  <c r="S73" i="32"/>
  <c r="X73" i="32"/>
  <c r="Y73" i="32"/>
  <c r="Z73" i="32"/>
  <c r="U73" i="32"/>
  <c r="T73" i="32"/>
  <c r="X43" i="32"/>
  <c r="Y43" i="32"/>
  <c r="Z43" i="32"/>
  <c r="S43" i="32"/>
  <c r="T43" i="32"/>
  <c r="U43" i="32"/>
  <c r="X72" i="32"/>
  <c r="Y72" i="32"/>
  <c r="Z72" i="32"/>
  <c r="T72" i="32"/>
  <c r="U72" i="32"/>
  <c r="S72" i="32"/>
  <c r="D71" i="31"/>
  <c r="D19" i="31"/>
  <c r="J10" i="7"/>
  <c r="J9" i="7"/>
  <c r="J11" i="7"/>
  <c r="J13" i="7"/>
  <c r="J20" i="7"/>
  <c r="J22" i="7"/>
  <c r="J30" i="7"/>
  <c r="J33" i="7"/>
  <c r="J12" i="7"/>
  <c r="J21" i="7"/>
  <c r="J29" i="7"/>
  <c r="J31" i="7"/>
  <c r="J32" i="7"/>
  <c r="J34" i="7"/>
  <c r="AD7" i="7"/>
  <c r="D14" i="7"/>
  <c r="H8" i="7"/>
  <c r="H9" i="7"/>
  <c r="H10" i="7"/>
  <c r="H11" i="7"/>
  <c r="H12" i="7"/>
  <c r="H13" i="7"/>
  <c r="H20" i="7"/>
  <c r="H21" i="7"/>
  <c r="H22" i="7"/>
  <c r="H29" i="7"/>
  <c r="H30" i="7"/>
  <c r="H31" i="7"/>
  <c r="H37" i="7"/>
  <c r="H36" i="7"/>
  <c r="H35" i="7"/>
  <c r="I37" i="7"/>
  <c r="I35" i="7"/>
  <c r="I36" i="7"/>
  <c r="H32" i="7"/>
  <c r="H33" i="7"/>
  <c r="H34" i="7"/>
  <c r="P20" i="7"/>
  <c r="P22" i="7"/>
  <c r="P25" i="7"/>
  <c r="I8" i="7"/>
  <c r="I9" i="7"/>
  <c r="K8" i="7"/>
  <c r="K9" i="7"/>
  <c r="I11" i="7"/>
  <c r="I12" i="7"/>
  <c r="K11" i="7"/>
  <c r="K12" i="7"/>
  <c r="I20" i="7"/>
  <c r="I21" i="7"/>
  <c r="K20" i="7"/>
  <c r="K21" i="7"/>
  <c r="I29" i="7"/>
  <c r="I30" i="7"/>
  <c r="K29" i="7"/>
  <c r="K30" i="7"/>
  <c r="J37" i="7"/>
  <c r="J36" i="7"/>
  <c r="J35" i="7"/>
  <c r="K36" i="7"/>
  <c r="K37" i="7"/>
  <c r="K35" i="7"/>
  <c r="I32" i="7"/>
  <c r="I33" i="7"/>
  <c r="I34" i="7"/>
  <c r="K32" i="7"/>
  <c r="K33" i="7"/>
  <c r="K34" i="7"/>
  <c r="N47" i="7"/>
  <c r="R47" i="7" s="1"/>
  <c r="V47" i="7" s="1"/>
  <c r="N49" i="7"/>
  <c r="R49" i="7" s="1"/>
  <c r="V49" i="7" s="1"/>
  <c r="N48" i="7"/>
  <c r="R48" i="7" s="1"/>
  <c r="V48" i="7" s="1"/>
  <c r="Q14" i="7"/>
  <c r="Q15" i="7"/>
  <c r="Q16" i="7"/>
  <c r="N39" i="7"/>
  <c r="R39" i="7" s="1"/>
  <c r="V39" i="7" s="1"/>
  <c r="N45" i="7"/>
  <c r="R45" i="7" s="1"/>
  <c r="V45" i="7" s="1"/>
  <c r="N51" i="7"/>
  <c r="R51" i="7" s="1"/>
  <c r="V51" i="7" s="1"/>
  <c r="N54" i="7"/>
  <c r="R54" i="7" s="1"/>
  <c r="V54" i="7" s="1"/>
  <c r="N27" i="7" l="1"/>
  <c r="R27" i="7" s="1"/>
  <c r="V27" i="7" s="1"/>
  <c r="N7" i="7"/>
  <c r="R7" i="7" s="1"/>
  <c r="V7" i="7" s="1"/>
  <c r="N25" i="7"/>
  <c r="R25" i="7" s="1"/>
  <c r="V25" i="7" s="1"/>
  <c r="N13" i="7"/>
  <c r="R13" i="7" s="1"/>
  <c r="V13" i="7" s="1"/>
  <c r="N33" i="7"/>
  <c r="R33" i="7" s="1"/>
  <c r="V33" i="7" s="1"/>
  <c r="N22" i="7"/>
  <c r="R22" i="7" s="1"/>
  <c r="V22" i="7" s="1"/>
  <c r="N43" i="7"/>
  <c r="R43" i="7" s="1"/>
  <c r="V43" i="7" s="1"/>
  <c r="N10" i="7"/>
  <c r="R10" i="7" s="1"/>
  <c r="V10" i="7" s="1"/>
  <c r="W49" i="7"/>
  <c r="AG19" i="7" s="1"/>
  <c r="X49" i="7"/>
  <c r="Y49" i="7" s="1"/>
  <c r="AH19" i="7" s="1"/>
  <c r="V17" i="32"/>
  <c r="W17" i="32"/>
  <c r="AB17" i="32"/>
  <c r="AA17" i="32"/>
  <c r="D19" i="32"/>
  <c r="Z18" i="32"/>
  <c r="S18" i="32"/>
  <c r="X18" i="32"/>
  <c r="Y18" i="32"/>
  <c r="U18" i="32"/>
  <c r="T18" i="32"/>
  <c r="V73" i="32"/>
  <c r="W73" i="32"/>
  <c r="AB43" i="32"/>
  <c r="AA43" i="32"/>
  <c r="Y74" i="32"/>
  <c r="X74" i="32"/>
  <c r="T74" i="32"/>
  <c r="Z74" i="32"/>
  <c r="U74" i="32"/>
  <c r="S74" i="32"/>
  <c r="V72" i="32"/>
  <c r="W72" i="32"/>
  <c r="W43" i="32"/>
  <c r="V43" i="32"/>
  <c r="Z44" i="32"/>
  <c r="Y44" i="32"/>
  <c r="T44" i="32"/>
  <c r="X44" i="32"/>
  <c r="S44" i="32"/>
  <c r="U44" i="32"/>
  <c r="AB72" i="32"/>
  <c r="AA72" i="32"/>
  <c r="AA73" i="32"/>
  <c r="AB73" i="32"/>
  <c r="D72" i="31"/>
  <c r="D73" i="31"/>
  <c r="D20" i="31"/>
  <c r="N31" i="7"/>
  <c r="R31" i="7" s="1"/>
  <c r="V31" i="7" s="1"/>
  <c r="D17" i="7"/>
  <c r="AD8" i="7"/>
  <c r="N53" i="7"/>
  <c r="R53" i="7" s="1"/>
  <c r="V53" i="7" s="1"/>
  <c r="N52" i="7"/>
  <c r="R52" i="7" s="1"/>
  <c r="V52" i="7" s="1"/>
  <c r="S49" i="7"/>
  <c r="AE19" i="7" s="1"/>
  <c r="T49" i="7"/>
  <c r="U49" i="7" s="1"/>
  <c r="AF19" i="7" s="1"/>
  <c r="N55" i="7"/>
  <c r="R55" i="7" s="1"/>
  <c r="N6" i="7"/>
  <c r="R6" i="7" s="1"/>
  <c r="V6" i="7" s="1"/>
  <c r="N46" i="7"/>
  <c r="R46" i="7" s="1"/>
  <c r="V46" i="7" s="1"/>
  <c r="N40" i="7"/>
  <c r="R40" i="7" s="1"/>
  <c r="V40" i="7" s="1"/>
  <c r="N28" i="7"/>
  <c r="R28" i="7" s="1"/>
  <c r="V28" i="7" s="1"/>
  <c r="N42" i="7"/>
  <c r="R42" i="7" s="1"/>
  <c r="V42" i="7" s="1"/>
  <c r="N24" i="7"/>
  <c r="R24" i="7" s="1"/>
  <c r="V24" i="7" s="1"/>
  <c r="N5" i="7"/>
  <c r="R5" i="7" s="1"/>
  <c r="V5" i="7" s="1"/>
  <c r="N50" i="7"/>
  <c r="R50" i="7" s="1"/>
  <c r="V50" i="7" s="1"/>
  <c r="N44" i="7"/>
  <c r="R44" i="7" s="1"/>
  <c r="V44" i="7" s="1"/>
  <c r="N38" i="7"/>
  <c r="R38" i="7" s="1"/>
  <c r="V38" i="7" s="1"/>
  <c r="N26" i="7"/>
  <c r="R26" i="7" s="1"/>
  <c r="V26" i="7" s="1"/>
  <c r="N41" i="7"/>
  <c r="R41" i="7" s="1"/>
  <c r="V41" i="7" s="1"/>
  <c r="N35" i="7"/>
  <c r="R35" i="7" s="1"/>
  <c r="V35" i="7" s="1"/>
  <c r="N23" i="7"/>
  <c r="R23" i="7" s="1"/>
  <c r="V23" i="7" s="1"/>
  <c r="N18" i="7"/>
  <c r="R18" i="7" s="1"/>
  <c r="V18" i="7" s="1"/>
  <c r="N17" i="7"/>
  <c r="R17" i="7" s="1"/>
  <c r="V17" i="7" s="1"/>
  <c r="N15" i="7"/>
  <c r="R15" i="7" s="1"/>
  <c r="V15" i="7" s="1"/>
  <c r="N14" i="7"/>
  <c r="R14" i="7" s="1"/>
  <c r="V14" i="7" s="1"/>
  <c r="N19" i="7"/>
  <c r="R19" i="7" s="1"/>
  <c r="V19" i="7" s="1"/>
  <c r="N16" i="7"/>
  <c r="R16" i="7" s="1"/>
  <c r="V16" i="7" s="1"/>
  <c r="Z16" i="7" s="1"/>
  <c r="Z13" i="7" l="1"/>
  <c r="Z15" i="7"/>
  <c r="N11" i="7"/>
  <c r="R11" i="7" s="1"/>
  <c r="V11" i="7" s="1"/>
  <c r="Z11" i="7" s="1"/>
  <c r="N32" i="7"/>
  <c r="R32" i="7" s="1"/>
  <c r="V32" i="7" s="1"/>
  <c r="N8" i="7"/>
  <c r="R8" i="7" s="1"/>
  <c r="V8" i="7" s="1"/>
  <c r="Z8" i="7" s="1"/>
  <c r="Z10" i="7"/>
  <c r="N9" i="7"/>
  <c r="R9" i="7" s="1"/>
  <c r="V9" i="7" s="1"/>
  <c r="Z9" i="7" s="1"/>
  <c r="N21" i="7"/>
  <c r="R21" i="7" s="1"/>
  <c r="V21" i="7" s="1"/>
  <c r="Z17" i="7"/>
  <c r="Z19" i="7"/>
  <c r="Z18" i="7"/>
  <c r="Z14" i="7"/>
  <c r="N20" i="7"/>
  <c r="R20" i="7" s="1"/>
  <c r="V20" i="7" s="1"/>
  <c r="N34" i="7"/>
  <c r="R34" i="7" s="1"/>
  <c r="V34" i="7" s="1"/>
  <c r="N12" i="7"/>
  <c r="R12" i="7" s="1"/>
  <c r="V12" i="7" s="1"/>
  <c r="Z12" i="7" s="1"/>
  <c r="N37" i="7"/>
  <c r="R37" i="7" s="1"/>
  <c r="V37" i="7" s="1"/>
  <c r="N30" i="7"/>
  <c r="R30" i="7" s="1"/>
  <c r="V30" i="7" s="1"/>
  <c r="N36" i="7"/>
  <c r="R36" i="7" s="1"/>
  <c r="V36" i="7" s="1"/>
  <c r="X43" i="7"/>
  <c r="Y43" i="7" s="1"/>
  <c r="AH17" i="7" s="1"/>
  <c r="W43" i="7"/>
  <c r="AG17" i="7" s="1"/>
  <c r="X46" i="7"/>
  <c r="Y46" i="7" s="1"/>
  <c r="AH18" i="7" s="1"/>
  <c r="W46" i="7"/>
  <c r="AG18" i="7" s="1"/>
  <c r="X7" i="7"/>
  <c r="Y7" i="7" s="1"/>
  <c r="AH5" i="7" s="1"/>
  <c r="W7" i="7"/>
  <c r="AG5" i="7" s="1"/>
  <c r="S55" i="7"/>
  <c r="AE21" i="7" s="1"/>
  <c r="V55" i="7"/>
  <c r="X19" i="7"/>
  <c r="Y19" i="7" s="1"/>
  <c r="AH9" i="7" s="1"/>
  <c r="W19" i="7"/>
  <c r="AG9" i="7" s="1"/>
  <c r="W25" i="7"/>
  <c r="AG11" i="7" s="1"/>
  <c r="X25" i="7"/>
  <c r="Y25" i="7" s="1"/>
  <c r="AH11" i="7" s="1"/>
  <c r="W28" i="7"/>
  <c r="AG12" i="7" s="1"/>
  <c r="X28" i="7"/>
  <c r="Y28" i="7" s="1"/>
  <c r="AH12" i="7" s="1"/>
  <c r="W52" i="7"/>
  <c r="AG20" i="7" s="1"/>
  <c r="X52" i="7"/>
  <c r="Y52" i="7" s="1"/>
  <c r="AH20" i="7" s="1"/>
  <c r="W16" i="7"/>
  <c r="AG8" i="7" s="1"/>
  <c r="X16" i="7"/>
  <c r="Y16" i="7" s="1"/>
  <c r="AH8" i="7" s="1"/>
  <c r="W40" i="7"/>
  <c r="AG16" i="7" s="1"/>
  <c r="X40" i="7"/>
  <c r="Y40" i="7" s="1"/>
  <c r="AH16" i="7" s="1"/>
  <c r="V18" i="32"/>
  <c r="W18" i="32"/>
  <c r="AB18" i="32"/>
  <c r="AA18" i="32"/>
  <c r="D20" i="32"/>
  <c r="Y19" i="32"/>
  <c r="U19" i="32"/>
  <c r="S19" i="32"/>
  <c r="Z19" i="32"/>
  <c r="T19" i="32"/>
  <c r="X19" i="32"/>
  <c r="Y75" i="32"/>
  <c r="T75" i="32"/>
  <c r="X75" i="32"/>
  <c r="Z75" i="32"/>
  <c r="S75" i="32"/>
  <c r="U75" i="32"/>
  <c r="V44" i="32"/>
  <c r="W44" i="32"/>
  <c r="Z45" i="32"/>
  <c r="Y45" i="32"/>
  <c r="U45" i="32"/>
  <c r="X45" i="32"/>
  <c r="T45" i="32"/>
  <c r="S45" i="32"/>
  <c r="V74" i="32"/>
  <c r="W74" i="32"/>
  <c r="AB74" i="32"/>
  <c r="AA74" i="32"/>
  <c r="AB44" i="32"/>
  <c r="AA44" i="32"/>
  <c r="D74" i="31"/>
  <c r="D21" i="31"/>
  <c r="N29" i="7"/>
  <c r="R29" i="7" s="1"/>
  <c r="V29" i="7" s="1"/>
  <c r="AD9" i="7"/>
  <c r="D20" i="7"/>
  <c r="Z22" i="7" s="1"/>
  <c r="T55" i="7"/>
  <c r="U55" i="7" s="1"/>
  <c r="AF21" i="7" s="1"/>
  <c r="Y4" i="13"/>
  <c r="X4" i="13"/>
  <c r="S25" i="7"/>
  <c r="AE11" i="7" s="1"/>
  <c r="T25" i="7"/>
  <c r="U25" i="7" s="1"/>
  <c r="AF11" i="7" s="1"/>
  <c r="S52" i="7"/>
  <c r="AE20" i="7" s="1"/>
  <c r="T52" i="7"/>
  <c r="U52" i="7" s="1"/>
  <c r="AF20" i="7" s="1"/>
  <c r="S43" i="7"/>
  <c r="AE17" i="7" s="1"/>
  <c r="T43" i="7"/>
  <c r="U43" i="7" s="1"/>
  <c r="AF17" i="7" s="1"/>
  <c r="T16" i="7"/>
  <c r="U16" i="7" s="1"/>
  <c r="AF8" i="7" s="1"/>
  <c r="S16" i="7"/>
  <c r="AE8" i="7" s="1"/>
  <c r="T19" i="7"/>
  <c r="U19" i="7" s="1"/>
  <c r="AF9" i="7" s="1"/>
  <c r="S19" i="7"/>
  <c r="AE9" i="7" s="1"/>
  <c r="T28" i="7"/>
  <c r="U28" i="7" s="1"/>
  <c r="AF12" i="7" s="1"/>
  <c r="S28" i="7"/>
  <c r="AE12" i="7" s="1"/>
  <c r="T40" i="7"/>
  <c r="U40" i="7" s="1"/>
  <c r="AF16" i="7" s="1"/>
  <c r="S40" i="7"/>
  <c r="AE16" i="7" s="1"/>
  <c r="S46" i="7"/>
  <c r="AE18" i="7" s="1"/>
  <c r="T46" i="7"/>
  <c r="U46" i="7" s="1"/>
  <c r="AF18" i="7" s="1"/>
  <c r="T7" i="7"/>
  <c r="U7" i="7" s="1"/>
  <c r="AF5" i="7" s="1"/>
  <c r="S7" i="7"/>
  <c r="AE5" i="7" s="1"/>
  <c r="AA16" i="7" l="1"/>
  <c r="X34" i="7"/>
  <c r="Y34" i="7" s="1"/>
  <c r="AH14" i="7" s="1"/>
  <c r="AA13" i="7"/>
  <c r="W37" i="7"/>
  <c r="AG15" i="7" s="1"/>
  <c r="S10" i="7"/>
  <c r="AE6" i="7" s="1"/>
  <c r="X10" i="7"/>
  <c r="Y10" i="7" s="1"/>
  <c r="AH6" i="7" s="1"/>
  <c r="W10" i="7"/>
  <c r="AG6" i="7" s="1"/>
  <c r="X37" i="7"/>
  <c r="Y37" i="7" s="1"/>
  <c r="AH15" i="7" s="1"/>
  <c r="W22" i="7"/>
  <c r="AG10" i="7" s="1"/>
  <c r="T10" i="7"/>
  <c r="U10" i="7" s="1"/>
  <c r="AF6" i="7" s="1"/>
  <c r="S22" i="7"/>
  <c r="AE10" i="7" s="1"/>
  <c r="S37" i="7"/>
  <c r="AE15" i="7" s="1"/>
  <c r="T37" i="7"/>
  <c r="U37" i="7" s="1"/>
  <c r="AF15" i="7" s="1"/>
  <c r="AB10" i="7"/>
  <c r="X22" i="7"/>
  <c r="Y22" i="7" s="1"/>
  <c r="AH10" i="7" s="1"/>
  <c r="T22" i="7"/>
  <c r="U22" i="7" s="1"/>
  <c r="AF10" i="7" s="1"/>
  <c r="AB19" i="7"/>
  <c r="Z20" i="7"/>
  <c r="AB13" i="7"/>
  <c r="Z21" i="7"/>
  <c r="AA19" i="7"/>
  <c r="X55" i="7"/>
  <c r="Y55" i="7" s="1"/>
  <c r="AH21" i="7" s="1"/>
  <c r="AB16" i="7"/>
  <c r="AA10" i="7"/>
  <c r="W34" i="7"/>
  <c r="AG14" i="7" s="1"/>
  <c r="T34" i="7"/>
  <c r="U34" i="7" s="1"/>
  <c r="AF14" i="7" s="1"/>
  <c r="S34" i="7"/>
  <c r="AE14" i="7" s="1"/>
  <c r="T13" i="7"/>
  <c r="U13" i="7" s="1"/>
  <c r="AF7" i="7" s="1"/>
  <c r="W13" i="7"/>
  <c r="AG7" i="7" s="1"/>
  <c r="S13" i="7"/>
  <c r="AE7" i="7" s="1"/>
  <c r="X13" i="7"/>
  <c r="Y13" i="7" s="1"/>
  <c r="AH7" i="7" s="1"/>
  <c r="W55" i="7"/>
  <c r="AG21" i="7" s="1"/>
  <c r="X31" i="7"/>
  <c r="Y31" i="7" s="1"/>
  <c r="AH13" i="7" s="1"/>
  <c r="W31" i="7"/>
  <c r="AG13" i="7" s="1"/>
  <c r="T31" i="7"/>
  <c r="U31" i="7" s="1"/>
  <c r="AF13" i="7" s="1"/>
  <c r="S31" i="7"/>
  <c r="AE13" i="7" s="1"/>
  <c r="W19" i="32"/>
  <c r="V19" i="32"/>
  <c r="AB19" i="32"/>
  <c r="AA19" i="32"/>
  <c r="D21" i="32"/>
  <c r="Z20" i="32"/>
  <c r="S20" i="32"/>
  <c r="Y20" i="32"/>
  <c r="U20" i="32"/>
  <c r="X20" i="32"/>
  <c r="T20" i="32"/>
  <c r="W45" i="32"/>
  <c r="V45" i="32"/>
  <c r="AB75" i="32"/>
  <c r="AA75" i="32"/>
  <c r="AB45" i="32"/>
  <c r="AA45" i="32"/>
  <c r="Z46" i="32"/>
  <c r="Y46" i="32"/>
  <c r="X46" i="32"/>
  <c r="U46" i="32"/>
  <c r="T46" i="32"/>
  <c r="S46" i="32"/>
  <c r="V75" i="32"/>
  <c r="W75" i="32"/>
  <c r="Z76" i="32"/>
  <c r="S76" i="32"/>
  <c r="X76" i="32"/>
  <c r="U76" i="32"/>
  <c r="Y76" i="32"/>
  <c r="T76" i="32"/>
  <c r="D75" i="31"/>
  <c r="D23" i="31"/>
  <c r="D22" i="31"/>
  <c r="D23" i="7"/>
  <c r="AD10" i="7"/>
  <c r="Z25" i="7" l="1"/>
  <c r="Z23" i="7"/>
  <c r="Z24" i="7"/>
  <c r="AA22" i="7"/>
  <c r="AB22" i="7"/>
  <c r="D22" i="32"/>
  <c r="D23" i="32"/>
  <c r="S21" i="32"/>
  <c r="Y21" i="32"/>
  <c r="T21" i="32"/>
  <c r="X21" i="32"/>
  <c r="U21" i="32"/>
  <c r="Z21" i="32"/>
  <c r="W20" i="32"/>
  <c r="V20" i="32"/>
  <c r="AA20" i="32"/>
  <c r="AB20" i="32"/>
  <c r="W46" i="32"/>
  <c r="V46" i="32"/>
  <c r="V76" i="32"/>
  <c r="W76" i="32"/>
  <c r="AB76" i="32"/>
  <c r="AA76" i="32"/>
  <c r="Z47" i="32"/>
  <c r="X47" i="32"/>
  <c r="Y47" i="32"/>
  <c r="U47" i="32"/>
  <c r="S47" i="32"/>
  <c r="T47" i="32"/>
  <c r="AB46" i="32"/>
  <c r="AA46" i="32"/>
  <c r="Z48" i="32"/>
  <c r="U48" i="32"/>
  <c r="Y48" i="32"/>
  <c r="X48" i="32"/>
  <c r="S48" i="32"/>
  <c r="T48" i="32"/>
  <c r="D76" i="31"/>
  <c r="D24" i="31"/>
  <c r="D26" i="7"/>
  <c r="AD11" i="7"/>
  <c r="AB25" i="7" l="1"/>
  <c r="Z27" i="7"/>
  <c r="Z26" i="7"/>
  <c r="Z28" i="7"/>
  <c r="AA25" i="7"/>
  <c r="V21" i="32"/>
  <c r="W21" i="32"/>
  <c r="AA21" i="32"/>
  <c r="AB21" i="32"/>
  <c r="D24" i="32"/>
  <c r="U23" i="32"/>
  <c r="X23" i="32"/>
  <c r="Z23" i="32"/>
  <c r="Y23" i="32"/>
  <c r="S23" i="32"/>
  <c r="T23" i="32"/>
  <c r="T22" i="32"/>
  <c r="X22" i="32"/>
  <c r="U22" i="32"/>
  <c r="Y22" i="32"/>
  <c r="Z22" i="32"/>
  <c r="S22" i="32"/>
  <c r="Y49" i="32"/>
  <c r="X49" i="32"/>
  <c r="Z49" i="32"/>
  <c r="S49" i="32"/>
  <c r="U49" i="32"/>
  <c r="T49" i="32"/>
  <c r="AB47" i="32"/>
  <c r="AA47" i="32"/>
  <c r="W48" i="32"/>
  <c r="V48" i="32"/>
  <c r="AB48" i="32"/>
  <c r="AA48" i="32"/>
  <c r="V47" i="32"/>
  <c r="W47" i="32"/>
  <c r="D25" i="31"/>
  <c r="D29" i="7"/>
  <c r="AD12" i="7"/>
  <c r="AA28" i="7" l="1"/>
  <c r="AB28" i="7"/>
  <c r="Z31" i="7"/>
  <c r="Z29" i="7"/>
  <c r="Z30" i="7"/>
  <c r="AB23" i="32"/>
  <c r="AA23" i="32"/>
  <c r="V23" i="32"/>
  <c r="W23" i="32"/>
  <c r="W22" i="32"/>
  <c r="V22" i="32"/>
  <c r="AB22" i="32"/>
  <c r="AA22" i="32"/>
  <c r="D25" i="32"/>
  <c r="S24" i="32"/>
  <c r="Z24" i="32"/>
  <c r="U24" i="32"/>
  <c r="T24" i="32"/>
  <c r="X24" i="32"/>
  <c r="Y24" i="32"/>
  <c r="W49" i="32"/>
  <c r="V49" i="32"/>
  <c r="Z50" i="32"/>
  <c r="X50" i="32"/>
  <c r="Y50" i="32"/>
  <c r="S50" i="32"/>
  <c r="T50" i="32"/>
  <c r="U50" i="32"/>
  <c r="AB49" i="32"/>
  <c r="AA49" i="32"/>
  <c r="D26" i="31"/>
  <c r="D32" i="7"/>
  <c r="AD13" i="7"/>
  <c r="AB31" i="7" l="1"/>
  <c r="AA31" i="7"/>
  <c r="Z33" i="7"/>
  <c r="Z32" i="7"/>
  <c r="Z34" i="7"/>
  <c r="W24" i="32"/>
  <c r="V24" i="32"/>
  <c r="AB24" i="32"/>
  <c r="AA24" i="32"/>
  <c r="D26" i="32"/>
  <c r="T25" i="32"/>
  <c r="S25" i="32"/>
  <c r="X25" i="32"/>
  <c r="U25" i="32"/>
  <c r="Y25" i="32"/>
  <c r="Z25" i="32"/>
  <c r="AB50" i="32"/>
  <c r="AA50" i="32"/>
  <c r="W50" i="32"/>
  <c r="V50" i="32"/>
  <c r="Z51" i="32"/>
  <c r="X51" i="32"/>
  <c r="T51" i="32"/>
  <c r="Y51" i="32"/>
  <c r="U51" i="32"/>
  <c r="S51" i="32"/>
  <c r="D38" i="7"/>
  <c r="D35" i="7"/>
  <c r="AD14" i="7"/>
  <c r="AD15" i="7" l="1"/>
  <c r="Z35" i="7"/>
  <c r="Z37" i="7"/>
  <c r="Z36" i="7"/>
  <c r="AB34" i="7"/>
  <c r="AA34" i="7"/>
  <c r="Z38" i="7"/>
  <c r="Z40" i="7"/>
  <c r="Z39" i="7"/>
  <c r="AB25" i="32"/>
  <c r="AA25" i="32"/>
  <c r="U26" i="32"/>
  <c r="T26" i="32"/>
  <c r="Y26" i="32"/>
  <c r="S26" i="32"/>
  <c r="Z26" i="32"/>
  <c r="X26" i="32"/>
  <c r="W25" i="32"/>
  <c r="V25" i="32"/>
  <c r="AB51" i="32"/>
  <c r="AA51" i="32"/>
  <c r="V51" i="32"/>
  <c r="W51" i="32"/>
  <c r="D41" i="7"/>
  <c r="AD16" i="7"/>
  <c r="AA37" i="7" l="1"/>
  <c r="AB37" i="7"/>
  <c r="Z43" i="7"/>
  <c r="Z41" i="7"/>
  <c r="Z42" i="7"/>
  <c r="AA40" i="7"/>
  <c r="AB40" i="7"/>
  <c r="AB26" i="32"/>
  <c r="AA26" i="32"/>
  <c r="V26" i="32"/>
  <c r="W26" i="32"/>
  <c r="D44" i="7"/>
  <c r="AD17" i="7"/>
  <c r="Z45" i="7" l="1"/>
  <c r="Z46" i="7"/>
  <c r="Z44" i="7"/>
  <c r="AB43" i="7"/>
  <c r="AA43" i="7"/>
  <c r="D47" i="7"/>
  <c r="AD18" i="7"/>
  <c r="AB46" i="7" l="1"/>
  <c r="AA46" i="7"/>
  <c r="Z48" i="7"/>
  <c r="Z49" i="7"/>
  <c r="Z47" i="7"/>
  <c r="D50" i="7"/>
  <c r="AD19" i="7"/>
  <c r="AB49" i="7" l="1"/>
  <c r="AA49" i="7"/>
  <c r="Z50" i="7"/>
  <c r="Z51" i="7"/>
  <c r="Z52" i="7"/>
  <c r="D53" i="7"/>
  <c r="AD20" i="7"/>
  <c r="AA52" i="7" l="1"/>
  <c r="AB52" i="7"/>
  <c r="Z54" i="7"/>
  <c r="Z53" i="7"/>
  <c r="Z55" i="7"/>
  <c r="AD21" i="7"/>
  <c r="AB55" i="7" l="1"/>
  <c r="AA55" i="7"/>
</calcChain>
</file>

<file path=xl/sharedStrings.xml><?xml version="1.0" encoding="utf-8"?>
<sst xmlns="http://schemas.openxmlformats.org/spreadsheetml/2006/main" count="1365" uniqueCount="118">
  <si>
    <t>Date</t>
  </si>
  <si>
    <t>Time</t>
  </si>
  <si>
    <t>Hours</t>
  </si>
  <si>
    <t>Days</t>
  </si>
  <si>
    <t>Average biomass concentration</t>
  </si>
  <si>
    <t>Average Ln of biomass concentration</t>
  </si>
  <si>
    <t>Growth rate</t>
  </si>
  <si>
    <t>g/L</t>
  </si>
  <si>
    <t>09/07/2021</t>
  </si>
  <si>
    <t>10/07/2021</t>
  </si>
  <si>
    <t>11/07/2021</t>
  </si>
  <si>
    <t>12/07/2021</t>
  </si>
  <si>
    <t>13/07/2021</t>
  </si>
  <si>
    <t>14/07/2021</t>
  </si>
  <si>
    <t>620 (Blank)</t>
  </si>
  <si>
    <t>650 (Blank)</t>
  </si>
  <si>
    <t>Biomass concentration</t>
  </si>
  <si>
    <t>Amount of biomass</t>
  </si>
  <si>
    <t>Error</t>
  </si>
  <si>
    <t>nm</t>
  </si>
  <si>
    <t>mg/ml</t>
  </si>
  <si>
    <t>g/l</t>
  </si>
  <si>
    <t>g</t>
  </si>
  <si>
    <t>Day</t>
  </si>
  <si>
    <t>Blank</t>
  </si>
  <si>
    <t>OD (410 nm) readings</t>
  </si>
  <si>
    <t>Average N content</t>
  </si>
  <si>
    <t>N concentration</t>
  </si>
  <si>
    <t>µg</t>
  </si>
  <si>
    <t>mol/l</t>
  </si>
  <si>
    <t>15/07/2021</t>
  </si>
  <si>
    <t>16/07/2021</t>
  </si>
  <si>
    <t>17/07/2021</t>
  </si>
  <si>
    <t>18/07/2021</t>
  </si>
  <si>
    <t>19/07/2021</t>
  </si>
  <si>
    <t>20/07/2021</t>
  </si>
  <si>
    <t>21/07/2021</t>
  </si>
  <si>
    <t>22/07/2021</t>
  </si>
  <si>
    <t>23/07/2021</t>
  </si>
  <si>
    <t>24/07/2021</t>
  </si>
  <si>
    <t>25/07/2021</t>
  </si>
  <si>
    <t>26/07/2021</t>
  </si>
  <si>
    <t>27/07/2021</t>
  </si>
  <si>
    <t>Lab work by: Karen Ssekimpi</t>
  </si>
  <si>
    <t>Project Leader: A. Prof. Marijke Fagan-Endres, Prof. Sue Harrison, Dr Mariette Smart</t>
  </si>
  <si>
    <t>all assays by Karen Ssekimpi</t>
  </si>
  <si>
    <r>
      <t xml:space="preserve">The two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strains, a type strain obtained from the University of Texas culture collection (UTEX #1926) and a Centre for Bioprocess Engineering Research (CeBER) strain previously isolated from a local tannery wastewater dam, were grown at room temperature under different conditions. These conditions include fluorescent light, different coloured LEDs, and an additional nitrogen source.</t>
    </r>
  </si>
  <si>
    <r>
      <rPr>
        <b/>
        <sz val="10"/>
        <color theme="1"/>
        <rFont val="Arial"/>
        <family val="2"/>
      </rPr>
      <t>Daily measurements:</t>
    </r>
    <r>
      <rPr>
        <sz val="10"/>
        <color theme="1"/>
        <rFont val="Arial"/>
        <family val="2"/>
      </rPr>
      <t xml:space="preserve"> Absorbance at 750 nm for biomass concentration, 620 and 650 nm for c-phycocyanin determination, and 410 nm for nitrate determination</t>
    </r>
  </si>
  <si>
    <t>Start date:</t>
  </si>
  <si>
    <t>End date:</t>
  </si>
  <si>
    <t>Table of Contents</t>
  </si>
  <si>
    <t>Sheet #</t>
  </si>
  <si>
    <t>Description</t>
  </si>
  <si>
    <t xml:space="preserve">Information Sheet </t>
  </si>
  <si>
    <t>Details experiments conducted</t>
  </si>
  <si>
    <t>C-phycocyanin UTEX #1926</t>
  </si>
  <si>
    <t>Standard error</t>
  </si>
  <si>
    <t>Average growth rate</t>
  </si>
  <si>
    <t>Biomass productivity</t>
  </si>
  <si>
    <t>Average biomass productivity</t>
  </si>
  <si>
    <t>/h</t>
  </si>
  <si>
    <t>g/L.h</t>
  </si>
  <si>
    <t>CeBER strain Spirulina growth curves</t>
  </si>
  <si>
    <t>80 µmol/m^2.s</t>
  </si>
  <si>
    <t>60 µmol/m^2.s</t>
  </si>
  <si>
    <t>40 µmol/m^2.s</t>
  </si>
  <si>
    <t>Absorbance at 750</t>
  </si>
  <si>
    <t>Sandard error</t>
  </si>
  <si>
    <t>Ln of biomass concentration</t>
  </si>
  <si>
    <t>UTEX #1926 strain Spirulina growth curves</t>
  </si>
  <si>
    <t>Growth curves CeBER</t>
  </si>
  <si>
    <t>Growth curves UTEX #1926</t>
  </si>
  <si>
    <t>CPC productivity</t>
  </si>
  <si>
    <t>Average CPC productivity</t>
  </si>
  <si>
    <t>mg CPC/L.h</t>
  </si>
  <si>
    <t>OD at 620</t>
  </si>
  <si>
    <t>OD at 650</t>
  </si>
  <si>
    <t>C-phycocyanin concentration</t>
  </si>
  <si>
    <t>Average CPC conc.</t>
  </si>
  <si>
    <t>OD at 750</t>
  </si>
  <si>
    <t>Specific CPC conc.</t>
  </si>
  <si>
    <t>Average specific CPC conc.</t>
  </si>
  <si>
    <t>Standard deviation</t>
  </si>
  <si>
    <t>Total CPC</t>
  </si>
  <si>
    <t>Average total CPC</t>
  </si>
  <si>
    <t>mg CPC/g biomass</t>
  </si>
  <si>
    <t>mg CPC/L</t>
  </si>
  <si>
    <t>N content (µg)</t>
  </si>
  <si>
    <r>
      <t>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</si>
  <si>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r>
      <t>Average 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</si>
  <si>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t>N content</t>
  </si>
  <si>
    <t>Nitrate content determination for the CeBER Spirulina strain</t>
  </si>
  <si>
    <t>Phycocyanin content from CeBER Spirulina</t>
  </si>
  <si>
    <t>Phycocyanin content from UTEX #1926 Spirulina</t>
  </si>
  <si>
    <r>
      <t xml:space="preserve">Details growth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 light at 40µmol/m^2.s, 60 µmol/m^2.s, and 80 µmol/m^2.s for 19 days. </t>
    </r>
  </si>
  <si>
    <r>
      <t xml:space="preserve">Details growth data achieved when growing the UTEX #1926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 light at 40µmol/m^2.s, 60 µmol/m^2.s, and 80 µmol/m^2.s for 19 days. </t>
    </r>
  </si>
  <si>
    <t>C-phycocyanin CeBER</t>
  </si>
  <si>
    <t>Nitrate content CeBER</t>
  </si>
  <si>
    <t>Nitrate content UTEX #1926</t>
  </si>
  <si>
    <t xml:space="preserve">Details c-phycocyanin data achieved when growing the UTEX #1926 Spirulina strain in red light at 40µmol/m^2.s, 60 µmol/m^2.s, and 80 µmol/m^2.s for 19 days. </t>
  </si>
  <si>
    <t xml:space="preserve">Details c-phycocyanin data achieved when growing the CeBER Spirulina strain in red light at 40µmol/m^2.s, 60 µmol/m^2.s, and 80 µmol/m^2.s for 19 days. </t>
  </si>
  <si>
    <t xml:space="preserve">Details the nitrate data achieved when growing the CeBER Spirulina strain in red light at 40µmol/m^2.s, 60 µmol/m^2.s, and 80 µmol/m^2.s for 19 days. </t>
  </si>
  <si>
    <t xml:space="preserve">Details the nitrate data achieved when growing the UTEX #1926 Spirulina strain in red light at 40µmol/m^2.s, 60 µmol/m^2.s, and 80 µmol/m^2.s for 19 days. </t>
  </si>
  <si>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was grown in red light at 40 µmol/m^2.s, 60 µmol/m^2.s, and 80 µmol/m^2.s. </t>
    </r>
  </si>
  <si>
    <t>Nitrate content determination for the UTEX #1926 Spirulina strain</t>
  </si>
  <si>
    <t>Data extracted for plots drawn</t>
  </si>
  <si>
    <t>OD at 620 nm</t>
  </si>
  <si>
    <t>Reading 2</t>
  </si>
  <si>
    <t>Reading 1</t>
  </si>
  <si>
    <t>OD at 650 nm</t>
  </si>
  <si>
    <t>Bottle 1</t>
  </si>
  <si>
    <t>Bottle 2</t>
  </si>
  <si>
    <t>Bottle 3</t>
  </si>
  <si>
    <t>OD at 410 nm</t>
  </si>
  <si>
    <t>Reading 3</t>
  </si>
  <si>
    <t>Data extracted for plots</t>
  </si>
  <si>
    <t>Redaing 1</t>
  </si>
  <si>
    <r>
      <t xml:space="preserve">The biomass, c-phycocyanin, and nitrate content of two </t>
    </r>
    <r>
      <rPr>
        <i/>
        <sz val="14"/>
        <rFont val="Arial"/>
        <family val="2"/>
      </rPr>
      <t>Spirulina</t>
    </r>
    <r>
      <rPr>
        <sz val="14"/>
        <rFont val="Arial"/>
        <family val="2"/>
      </rPr>
      <t xml:space="preserve"> cultures grown in red light at 40 µmol/m^2.s, 60 µmol/m^2.s, and 80 µmol/m^2.s.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</si>
</sst>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[$-F400]h:mm:ss\ AM/PM"/>
    <numFmt numFmtId="165" formatCode="0.000"/>
    <numFmt numFmtId="166" formatCode="0.00000"/>
    <numFmt numFmtId="167" formatCode="[$-F800]dddd\,\ mmmm\ dd\,\ yyyy"/>
    <numFmt numFmtId="168" formatCode="0.0"/>
    <numFmt numFmtId="169" formatCode="0.000000"/>
    <numFmt numFmtId="170" formatCode="0.0000"/>
  </numFmts>
  <fonts count="21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0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000000"/>
      <name val="Arial"/>
      <family val="2"/>
    </font>
    <font>
      <vertAlign val="subscript"/>
      <sz val="10"/>
      <color theme="1"/>
      <name val="Arial"/>
      <family val="2"/>
    </font>
    <font>
      <i/>
      <sz val="12"/>
      <color theme="1"/>
      <name val="Arial"/>
      <family val="2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33993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AEECA"/>
        <bgColor indexed="64"/>
      </patternFill>
    </fill>
    <fill>
      <patternFill patternType="solid">
        <fgColor rgb="FF3B6A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8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8" fillId="7" borderId="0" xfId="0" applyFont="1" applyFill="1" applyAlignment="1">
      <alignment horizontal="left" vertical="top" wrapText="1"/>
    </xf>
    <xf numFmtId="0" fontId="8" fillId="7" borderId="0" xfId="0" applyFont="1" applyFill="1" applyAlignment="1">
      <alignment horizontal="center" vertical="top" wrapText="1"/>
    </xf>
    <xf numFmtId="167" fontId="8" fillId="7" borderId="0" xfId="0" applyNumberFormat="1" applyFont="1" applyFill="1" applyAlignment="1">
      <alignment horizontal="left" vertical="top" wrapText="1"/>
    </xf>
    <xf numFmtId="0" fontId="8" fillId="7" borderId="18" xfId="0" applyFont="1" applyFill="1" applyBorder="1" applyAlignment="1">
      <alignment horizontal="left" vertical="top" wrapText="1"/>
    </xf>
    <xf numFmtId="0" fontId="8" fillId="7" borderId="18" xfId="0" applyFont="1" applyFill="1" applyBorder="1" applyAlignment="1">
      <alignment horizontal="center" vertical="top" wrapText="1"/>
    </xf>
    <xf numFmtId="167" fontId="8" fillId="7" borderId="18" xfId="0" applyNumberFormat="1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0" fontId="11" fillId="12" borderId="18" xfId="0" applyFont="1" applyFill="1" applyBorder="1" applyAlignment="1">
      <alignment vertical="top" wrapText="1"/>
    </xf>
    <xf numFmtId="0" fontId="11" fillId="8" borderId="18" xfId="0" applyFont="1" applyFill="1" applyBorder="1" applyAlignment="1">
      <alignment horizontal="center" vertical="top" wrapText="1"/>
    </xf>
    <xf numFmtId="0" fontId="11" fillId="7" borderId="18" xfId="0" applyFont="1" applyFill="1" applyBorder="1" applyAlignment="1">
      <alignment vertical="top" wrapText="1"/>
    </xf>
    <xf numFmtId="0" fontId="6" fillId="12" borderId="0" xfId="0" applyFont="1" applyFill="1" applyAlignment="1">
      <alignment vertical="top" wrapText="1"/>
    </xf>
    <xf numFmtId="0" fontId="6" fillId="8" borderId="0" xfId="0" applyFont="1" applyFill="1" applyAlignment="1">
      <alignment horizontal="center" vertical="top" wrapText="1"/>
    </xf>
    <xf numFmtId="0" fontId="6" fillId="7" borderId="0" xfId="0" applyFont="1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4" borderId="10" xfId="0" applyFont="1" applyFill="1" applyBorder="1"/>
    <xf numFmtId="0" fontId="6" fillId="4" borderId="11" xfId="0" applyFont="1" applyFill="1" applyBorder="1"/>
    <xf numFmtId="0" fontId="6" fillId="4" borderId="12" xfId="0" applyFont="1" applyFill="1" applyBorder="1"/>
    <xf numFmtId="0" fontId="6" fillId="4" borderId="13" xfId="0" applyFont="1" applyFill="1" applyBorder="1"/>
    <xf numFmtId="0" fontId="6" fillId="4" borderId="12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164" fontId="8" fillId="0" borderId="0" xfId="0" applyNumberFormat="1" applyFont="1"/>
    <xf numFmtId="0" fontId="8" fillId="0" borderId="16" xfId="0" applyFont="1" applyBorder="1"/>
    <xf numFmtId="165" fontId="8" fillId="0" borderId="15" xfId="0" applyNumberFormat="1" applyFont="1" applyBorder="1"/>
    <xf numFmtId="165" fontId="8" fillId="0" borderId="0" xfId="0" applyNumberFormat="1" applyFont="1"/>
    <xf numFmtId="165" fontId="8" fillId="5" borderId="0" xfId="0" applyNumberFormat="1" applyFont="1" applyFill="1"/>
    <xf numFmtId="167" fontId="8" fillId="0" borderId="15" xfId="0" applyNumberFormat="1" applyFont="1" applyBorder="1"/>
    <xf numFmtId="1" fontId="8" fillId="0" borderId="0" xfId="0" applyNumberFormat="1" applyFont="1"/>
    <xf numFmtId="0" fontId="8" fillId="0" borderId="15" xfId="0" applyFont="1" applyBorder="1"/>
    <xf numFmtId="0" fontId="8" fillId="0" borderId="17" xfId="0" applyFont="1" applyBorder="1"/>
    <xf numFmtId="164" fontId="8" fillId="0" borderId="18" xfId="0" applyNumberFormat="1" applyFont="1" applyBorder="1"/>
    <xf numFmtId="0" fontId="8" fillId="0" borderId="19" xfId="0" applyFont="1" applyBorder="1"/>
    <xf numFmtId="167" fontId="8" fillId="0" borderId="17" xfId="0" applyNumberFormat="1" applyFont="1" applyBorder="1"/>
    <xf numFmtId="165" fontId="8" fillId="0" borderId="17" xfId="0" applyNumberFormat="1" applyFont="1" applyBorder="1"/>
    <xf numFmtId="165" fontId="8" fillId="0" borderId="18" xfId="0" applyNumberFormat="1" applyFont="1" applyBorder="1"/>
    <xf numFmtId="165" fontId="8" fillId="5" borderId="18" xfId="0" applyNumberFormat="1" applyFont="1" applyFill="1" applyBorder="1"/>
    <xf numFmtId="0" fontId="6" fillId="3" borderId="37" xfId="0" applyFont="1" applyFill="1" applyBorder="1" applyAlignment="1">
      <alignment horizontal="center" vertical="center" wrapText="1"/>
    </xf>
    <xf numFmtId="0" fontId="6" fillId="4" borderId="14" xfId="0" applyFont="1" applyFill="1" applyBorder="1"/>
    <xf numFmtId="0" fontId="6" fillId="4" borderId="12" xfId="0" applyFont="1" applyFill="1" applyBorder="1" applyAlignment="1">
      <alignment horizontal="center"/>
    </xf>
    <xf numFmtId="0" fontId="6" fillId="4" borderId="26" xfId="0" applyFont="1" applyFill="1" applyBorder="1"/>
    <xf numFmtId="166" fontId="8" fillId="0" borderId="0" xfId="0" applyNumberFormat="1" applyFont="1"/>
    <xf numFmtId="166" fontId="8" fillId="0" borderId="18" xfId="0" applyNumberFormat="1" applyFont="1" applyBorder="1"/>
    <xf numFmtId="0" fontId="14" fillId="0" borderId="0" xfId="0" applyFont="1"/>
    <xf numFmtId="0" fontId="6" fillId="0" borderId="15" xfId="0" applyFont="1" applyBorder="1"/>
    <xf numFmtId="1" fontId="8" fillId="0" borderId="18" xfId="0" applyNumberFormat="1" applyFont="1" applyBorder="1"/>
    <xf numFmtId="0" fontId="8" fillId="0" borderId="0" xfId="0" applyFont="1" applyAlignment="1">
      <alignment horizontal="center" vertical="center"/>
    </xf>
    <xf numFmtId="0" fontId="8" fillId="7" borderId="6" xfId="0" applyFont="1" applyFill="1" applyBorder="1" applyAlignment="1">
      <alignment horizontal="center" vertical="center" wrapText="1"/>
    </xf>
    <xf numFmtId="0" fontId="8" fillId="8" borderId="10" xfId="0" applyFont="1" applyFill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/>
    </xf>
    <xf numFmtId="0" fontId="8" fillId="8" borderId="13" xfId="0" applyFont="1" applyFill="1" applyBorder="1" applyAlignment="1">
      <alignment horizontal="center" vertical="center"/>
    </xf>
    <xf numFmtId="0" fontId="8" fillId="8" borderId="14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/>
    </xf>
    <xf numFmtId="0" fontId="8" fillId="8" borderId="12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8" fillId="0" borderId="15" xfId="0" applyNumberFormat="1" applyFont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165" fontId="8" fillId="0" borderId="23" xfId="0" applyNumberFormat="1" applyFont="1" applyBorder="1" applyAlignment="1">
      <alignment horizontal="center" vertical="center"/>
    </xf>
    <xf numFmtId="165" fontId="8" fillId="0" borderId="24" xfId="0" applyNumberFormat="1" applyFont="1" applyBorder="1" applyAlignment="1">
      <alignment horizontal="center" vertical="center"/>
    </xf>
    <xf numFmtId="169" fontId="8" fillId="0" borderId="24" xfId="0" applyNumberFormat="1" applyFont="1" applyBorder="1" applyAlignment="1">
      <alignment horizontal="center" vertical="center"/>
    </xf>
    <xf numFmtId="2" fontId="8" fillId="0" borderId="24" xfId="0" applyNumberFormat="1" applyFont="1" applyBorder="1" applyAlignment="1">
      <alignment horizontal="center" vertical="center" wrapText="1"/>
    </xf>
    <xf numFmtId="2" fontId="8" fillId="9" borderId="24" xfId="0" applyNumberFormat="1" applyFont="1" applyFill="1" applyBorder="1" applyAlignment="1">
      <alignment horizontal="center" vertical="center"/>
    </xf>
    <xf numFmtId="2" fontId="8" fillId="0" borderId="24" xfId="0" applyNumberFormat="1" applyFont="1" applyBorder="1" applyAlignment="1">
      <alignment horizontal="center" vertical="center"/>
    </xf>
    <xf numFmtId="168" fontId="8" fillId="0" borderId="0" xfId="0" applyNumberFormat="1" applyFont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165" fontId="8" fillId="0" borderId="21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169" fontId="8" fillId="0" borderId="11" xfId="0" applyNumberFormat="1" applyFont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 wrapText="1"/>
    </xf>
    <xf numFmtId="2" fontId="8" fillId="9" borderId="11" xfId="0" applyNumberFormat="1" applyFont="1" applyFill="1" applyBorder="1" applyAlignment="1">
      <alignment horizontal="center" vertical="center"/>
    </xf>
    <xf numFmtId="2" fontId="8" fillId="0" borderId="11" xfId="0" applyNumberFormat="1" applyFont="1" applyBorder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65" fontId="8" fillId="0" borderId="26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165" fontId="8" fillId="0" borderId="16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169" fontId="8" fillId="0" borderId="18" xfId="0" applyNumberFormat="1" applyFont="1" applyBorder="1" applyAlignment="1">
      <alignment horizontal="center" vertical="center"/>
    </xf>
    <xf numFmtId="2" fontId="8" fillId="0" borderId="18" xfId="0" applyNumberFormat="1" applyFont="1" applyBorder="1" applyAlignment="1">
      <alignment horizontal="center" vertical="center" wrapText="1"/>
    </xf>
    <xf numFmtId="2" fontId="8" fillId="9" borderId="18" xfId="0" applyNumberFormat="1" applyFont="1" applyFill="1" applyBorder="1" applyAlignment="1">
      <alignment horizontal="center" vertical="center"/>
    </xf>
    <xf numFmtId="2" fontId="8" fillId="0" borderId="18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169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 wrapText="1"/>
    </xf>
    <xf numFmtId="0" fontId="8" fillId="9" borderId="0" xfId="0" applyFont="1" applyFill="1" applyAlignment="1">
      <alignment horizontal="center" vertical="center"/>
    </xf>
    <xf numFmtId="2" fontId="8" fillId="9" borderId="0" xfId="0" applyNumberFormat="1" applyFont="1" applyFill="1" applyAlignment="1">
      <alignment horizontal="center" vertical="center"/>
    </xf>
    <xf numFmtId="170" fontId="8" fillId="0" borderId="16" xfId="0" applyNumberFormat="1" applyFont="1" applyBorder="1" applyAlignment="1">
      <alignment horizontal="center" vertical="center"/>
    </xf>
    <xf numFmtId="170" fontId="8" fillId="0" borderId="19" xfId="0" applyNumberFormat="1" applyFont="1" applyBorder="1" applyAlignment="1">
      <alignment horizontal="center" vertical="center"/>
    </xf>
    <xf numFmtId="0" fontId="8" fillId="7" borderId="32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8" fillId="7" borderId="33" xfId="0" applyFont="1" applyFill="1" applyBorder="1" applyAlignment="1">
      <alignment horizontal="center" vertical="center" wrapText="1"/>
    </xf>
    <xf numFmtId="0" fontId="8" fillId="7" borderId="33" xfId="0" applyFont="1" applyFill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 wrapText="1"/>
    </xf>
    <xf numFmtId="0" fontId="8" fillId="7" borderId="3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17" xfId="0" applyNumberFormat="1" applyFont="1" applyBorder="1" applyAlignment="1">
      <alignment horizontal="center" vertical="center"/>
    </xf>
    <xf numFmtId="165" fontId="8" fillId="0" borderId="19" xfId="0" applyNumberFormat="1" applyFont="1" applyBorder="1" applyAlignment="1">
      <alignment horizontal="center" vertical="center"/>
    </xf>
    <xf numFmtId="0" fontId="15" fillId="0" borderId="0" xfId="0" applyFont="1"/>
    <xf numFmtId="0" fontId="8" fillId="0" borderId="12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65" fontId="8" fillId="11" borderId="11" xfId="0" applyNumberFormat="1" applyFont="1" applyFill="1" applyBorder="1" applyAlignment="1">
      <alignment horizontal="center" vertical="center"/>
    </xf>
    <xf numFmtId="165" fontId="8" fillId="11" borderId="24" xfId="0" applyNumberFormat="1" applyFont="1" applyFill="1" applyBorder="1" applyAlignment="1">
      <alignment horizontal="center" vertical="center"/>
    </xf>
    <xf numFmtId="165" fontId="8" fillId="0" borderId="25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11" borderId="11" xfId="0" applyFont="1" applyFill="1" applyBorder="1" applyAlignment="1">
      <alignment horizontal="center" vertical="center"/>
    </xf>
    <xf numFmtId="0" fontId="8" fillId="11" borderId="0" xfId="0" applyFont="1" applyFill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165" fontId="8" fillId="11" borderId="18" xfId="0" applyNumberFormat="1" applyFont="1" applyFill="1" applyBorder="1" applyAlignment="1">
      <alignment horizontal="center" vertical="center"/>
    </xf>
    <xf numFmtId="0" fontId="10" fillId="0" borderId="40" xfId="0" applyFont="1" applyBorder="1" applyAlignment="1">
      <alignment vertical="center"/>
    </xf>
    <xf numFmtId="0" fontId="8" fillId="7" borderId="4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8" fillId="7" borderId="27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167" fontId="8" fillId="8" borderId="15" xfId="0" applyNumberFormat="1" applyFont="1" applyFill="1" applyBorder="1"/>
    <xf numFmtId="164" fontId="8" fillId="8" borderId="0" xfId="0" applyNumberFormat="1" applyFont="1" applyFill="1"/>
    <xf numFmtId="0" fontId="8" fillId="8" borderId="0" xfId="0" applyFont="1" applyFill="1"/>
    <xf numFmtId="0" fontId="8" fillId="8" borderId="30" xfId="0" applyFont="1" applyFill="1" applyBorder="1"/>
    <xf numFmtId="0" fontId="8" fillId="9" borderId="24" xfId="0" applyFont="1" applyFill="1" applyBorder="1" applyAlignment="1">
      <alignment horizontal="center" vertical="center"/>
    </xf>
    <xf numFmtId="170" fontId="8" fillId="0" borderId="25" xfId="0" applyNumberFormat="1" applyFont="1" applyBorder="1" applyAlignment="1">
      <alignment horizontal="center" vertical="center"/>
    </xf>
    <xf numFmtId="165" fontId="8" fillId="0" borderId="22" xfId="0" applyNumberFormat="1" applyFont="1" applyBorder="1" applyAlignment="1">
      <alignment horizontal="center" vertical="center"/>
    </xf>
    <xf numFmtId="165" fontId="8" fillId="0" borderId="12" xfId="0" applyNumberFormat="1" applyFont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1" fontId="18" fillId="0" borderId="0" xfId="0" applyNumberFormat="1" applyFont="1"/>
    <xf numFmtId="168" fontId="18" fillId="0" borderId="0" xfId="0" applyNumberFormat="1" applyFont="1"/>
    <xf numFmtId="0" fontId="8" fillId="8" borderId="41" xfId="0" applyFont="1" applyFill="1" applyBorder="1" applyAlignment="1">
      <alignment horizontal="center" vertical="center"/>
    </xf>
    <xf numFmtId="0" fontId="8" fillId="8" borderId="42" xfId="0" applyFont="1" applyFill="1" applyBorder="1" applyAlignment="1">
      <alignment horizontal="center" vertical="center"/>
    </xf>
    <xf numFmtId="165" fontId="8" fillId="11" borderId="0" xfId="0" applyNumberFormat="1" applyFont="1" applyFill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7" borderId="27" xfId="0" applyFont="1" applyFill="1" applyBorder="1" applyAlignment="1">
      <alignment horizontal="center" vertical="center"/>
    </xf>
    <xf numFmtId="0" fontId="8" fillId="8" borderId="29" xfId="0" applyFont="1" applyFill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8" fillId="0" borderId="16" xfId="0" applyNumberFormat="1" applyFont="1" applyBorder="1"/>
    <xf numFmtId="0" fontId="8" fillId="0" borderId="30" xfId="0" applyFont="1" applyBorder="1"/>
    <xf numFmtId="165" fontId="8" fillId="0" borderId="19" xfId="0" applyNumberFormat="1" applyFont="1" applyBorder="1"/>
    <xf numFmtId="165" fontId="8" fillId="0" borderId="0" xfId="0" applyNumberFormat="1" applyFont="1" applyAlignment="1">
      <alignment horizontal="center"/>
    </xf>
    <xf numFmtId="165" fontId="8" fillId="5" borderId="0" xfId="0" applyNumberFormat="1" applyFont="1" applyFill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5" borderId="0" xfId="0" applyFont="1" applyFill="1"/>
    <xf numFmtId="0" fontId="20" fillId="0" borderId="0" xfId="0" applyFont="1"/>
    <xf numFmtId="0" fontId="4" fillId="12" borderId="0" xfId="0" applyFont="1" applyFill="1" applyAlignment="1">
      <alignment horizontal="left" vertical="center" wrapText="1"/>
    </xf>
    <xf numFmtId="0" fontId="6" fillId="8" borderId="0" xfId="0" applyFont="1" applyFill="1" applyAlignment="1">
      <alignment horizontal="left" vertical="top" wrapText="1"/>
    </xf>
    <xf numFmtId="0" fontId="8" fillId="8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" fillId="12" borderId="0" xfId="0" applyFont="1" applyFill="1" applyAlignment="1">
      <alignment horizontal="left" vertical="top" wrapText="1"/>
    </xf>
    <xf numFmtId="0" fontId="6" fillId="12" borderId="0" xfId="0" applyFont="1" applyFill="1" applyAlignment="1">
      <alignment horizontal="left" vertical="top" wrapText="1"/>
    </xf>
    <xf numFmtId="0" fontId="7" fillId="12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6" fillId="3" borderId="38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14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6" fillId="4" borderId="22" xfId="0" applyFont="1" applyFill="1" applyBorder="1" applyAlignment="1">
      <alignment horizontal="center"/>
    </xf>
    <xf numFmtId="0" fontId="6" fillId="3" borderId="20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4" fontId="8" fillId="0" borderId="15" xfId="0" applyNumberFormat="1" applyFont="1" applyBorder="1" applyAlignment="1">
      <alignment horizontal="left"/>
    </xf>
    <xf numFmtId="167" fontId="8" fillId="0" borderId="15" xfId="0" applyNumberFormat="1" applyFont="1" applyBorder="1" applyAlignment="1">
      <alignment horizontal="left"/>
    </xf>
    <xf numFmtId="0" fontId="8" fillId="0" borderId="16" xfId="0" applyFont="1" applyBorder="1" applyAlignment="1">
      <alignment horizontal="right"/>
    </xf>
    <xf numFmtId="0" fontId="12" fillId="2" borderId="1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20" fontId="8" fillId="0" borderId="11" xfId="0" applyNumberFormat="1" applyFont="1" applyBorder="1" applyAlignment="1">
      <alignment horizontal="center" vertical="center"/>
    </xf>
    <xf numFmtId="20" fontId="8" fillId="0" borderId="0" xfId="0" applyNumberFormat="1" applyFont="1" applyAlignment="1">
      <alignment horizontal="center" vertical="center"/>
    </xf>
    <xf numFmtId="20" fontId="8" fillId="0" borderId="24" xfId="0" applyNumberFormat="1" applyFont="1" applyBorder="1" applyAlignment="1">
      <alignment horizontal="center" vertical="center"/>
    </xf>
    <xf numFmtId="0" fontId="12" fillId="6" borderId="1" xfId="0" applyFont="1" applyFill="1" applyBorder="1" applyAlignment="1">
      <alignment horizontal="left" vertical="center"/>
    </xf>
    <xf numFmtId="0" fontId="12" fillId="6" borderId="2" xfId="0" applyFont="1" applyFill="1" applyBorder="1" applyAlignment="1">
      <alignment horizontal="left" vertical="center"/>
    </xf>
    <xf numFmtId="0" fontId="12" fillId="6" borderId="3" xfId="0" applyFont="1" applyFill="1" applyBorder="1" applyAlignment="1">
      <alignment horizontal="left" vertical="center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8" fillId="8" borderId="11" xfId="0" applyFont="1" applyFill="1" applyBorder="1" applyAlignment="1">
      <alignment horizontal="center" vertical="center"/>
    </xf>
    <xf numFmtId="0" fontId="8" fillId="8" borderId="22" xfId="0" applyFont="1" applyFill="1" applyBorder="1" applyAlignment="1">
      <alignment horizontal="center" vertical="center"/>
    </xf>
    <xf numFmtId="0" fontId="8" fillId="7" borderId="23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0" fontId="8" fillId="7" borderId="35" xfId="0" applyFont="1" applyFill="1" applyBorder="1" applyAlignment="1">
      <alignment horizontal="center" vertical="center"/>
    </xf>
    <xf numFmtId="0" fontId="8" fillId="7" borderId="36" xfId="0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 wrapText="1"/>
    </xf>
    <xf numFmtId="0" fontId="8" fillId="7" borderId="36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1" fontId="8" fillId="0" borderId="11" xfId="0" applyNumberFormat="1" applyFont="1" applyBorder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8" fillId="0" borderId="24" xfId="0" applyNumberFormat="1" applyFont="1" applyBorder="1" applyAlignment="1">
      <alignment horizontal="center" vertical="center"/>
    </xf>
    <xf numFmtId="165" fontId="8" fillId="0" borderId="11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8" fillId="0" borderId="24" xfId="0" applyNumberFormat="1" applyFont="1" applyBorder="1" applyAlignment="1">
      <alignment horizontal="center" vertical="center"/>
    </xf>
    <xf numFmtId="165" fontId="8" fillId="0" borderId="26" xfId="0" applyNumberFormat="1" applyFont="1" applyBorder="1" applyAlignment="1">
      <alignment horizontal="center" vertical="center"/>
    </xf>
    <xf numFmtId="165" fontId="8" fillId="0" borderId="16" xfId="0" applyNumberFormat="1" applyFont="1" applyBorder="1" applyAlignment="1">
      <alignment horizontal="center" vertical="center"/>
    </xf>
    <xf numFmtId="165" fontId="8" fillId="0" borderId="2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8" borderId="21" xfId="0" applyFont="1" applyFill="1" applyBorder="1" applyAlignment="1">
      <alignment horizontal="center" vertical="center"/>
    </xf>
    <xf numFmtId="0" fontId="8" fillId="8" borderId="14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" fontId="8" fillId="0" borderId="18" xfId="0" applyNumberFormat="1" applyFont="1" applyBorder="1" applyAlignment="1">
      <alignment horizontal="center" vertical="center"/>
    </xf>
    <xf numFmtId="20" fontId="8" fillId="0" borderId="18" xfId="0" applyNumberFormat="1" applyFont="1" applyBorder="1" applyAlignment="1">
      <alignment horizontal="center" vertical="center"/>
    </xf>
    <xf numFmtId="165" fontId="8" fillId="0" borderId="19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5" fontId="8" fillId="0" borderId="15" xfId="0" applyNumberFormat="1" applyFont="1" applyBorder="1" applyAlignment="1">
      <alignment horizontal="center" vertical="center"/>
    </xf>
    <xf numFmtId="165" fontId="8" fillId="0" borderId="23" xfId="0" applyNumberFormat="1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0" fontId="17" fillId="10" borderId="1" xfId="0" applyFont="1" applyFill="1" applyBorder="1" applyAlignment="1">
      <alignment horizontal="left" vertical="center"/>
    </xf>
    <xf numFmtId="0" fontId="17" fillId="10" borderId="2" xfId="0" applyFont="1" applyFill="1" applyBorder="1" applyAlignment="1">
      <alignment horizontal="left" vertical="center"/>
    </xf>
    <xf numFmtId="0" fontId="17" fillId="10" borderId="3" xfId="0" applyFont="1" applyFill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8" fillId="7" borderId="9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7" fontId="8" fillId="0" borderId="21" xfId="0" applyNumberFormat="1" applyFont="1" applyBorder="1" applyAlignment="1">
      <alignment horizontal="center" vertical="center"/>
    </xf>
    <xf numFmtId="167" fontId="8" fillId="0" borderId="15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165" fontId="8" fillId="0" borderId="30" xfId="0" applyNumberFormat="1" applyFont="1" applyBorder="1" applyAlignment="1">
      <alignment horizontal="center" vertical="center"/>
    </xf>
    <xf numFmtId="165" fontId="8" fillId="0" borderId="31" xfId="0" applyNumberFormat="1" applyFont="1" applyBorder="1" applyAlignment="1">
      <alignment horizontal="center" vertical="center"/>
    </xf>
    <xf numFmtId="164" fontId="8" fillId="0" borderId="24" xfId="0" applyNumberFormat="1" applyFont="1" applyBorder="1" applyAlignment="1">
      <alignment horizontal="center" vertical="center"/>
    </xf>
    <xf numFmtId="165" fontId="8" fillId="0" borderId="29" xfId="0" applyNumberFormat="1" applyFont="1" applyBorder="1" applyAlignment="1">
      <alignment horizontal="center" vertical="center"/>
    </xf>
    <xf numFmtId="167" fontId="8" fillId="0" borderId="17" xfId="0" applyNumberFormat="1" applyFont="1" applyBorder="1" applyAlignment="1">
      <alignment horizontal="center" vertical="center"/>
    </xf>
    <xf numFmtId="164" fontId="8" fillId="0" borderId="18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65" fontId="8" fillId="0" borderId="43" xfId="0" applyNumberFormat="1" applyFont="1" applyBorder="1" applyAlignment="1">
      <alignment horizontal="center" vertical="center"/>
    </xf>
    <xf numFmtId="167" fontId="8" fillId="0" borderId="23" xfId="0" applyNumberFormat="1" applyFont="1" applyBorder="1" applyAlignment="1">
      <alignment horizontal="center" vertical="center"/>
    </xf>
    <xf numFmtId="14" fontId="8" fillId="0" borderId="15" xfId="0" applyNumberFormat="1" applyFont="1" applyBorder="1" applyAlignment="1">
      <alignment horizontal="center" vertical="center"/>
    </xf>
    <xf numFmtId="14" fontId="8" fillId="0" borderId="23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5" fontId="8" fillId="0" borderId="0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E1E8FF"/>
      <color rgb="FFFFFDC6"/>
      <color rgb="FFDDDC00"/>
      <color rgb="FFCAEECA"/>
      <color rgb="FF339933"/>
      <color rgb="FF1D55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CeBER'!$A$93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CeBER'!$R$5:$R$26</c:f>
                <c:numCache>
                  <c:formatCode>General</c:formatCode>
                  <c:ptCount val="22"/>
                  <c:pt idx="0">
                    <c:v>2.5251802135390404E-2</c:v>
                  </c:pt>
                  <c:pt idx="1">
                    <c:v>5.21800793266953E-2</c:v>
                  </c:pt>
                  <c:pt idx="2">
                    <c:v>2.6555028639395007E-2</c:v>
                  </c:pt>
                  <c:pt idx="3">
                    <c:v>3.7305819610657674E-2</c:v>
                  </c:pt>
                  <c:pt idx="4">
                    <c:v>5.1706687224444832E-2</c:v>
                  </c:pt>
                  <c:pt idx="5">
                    <c:v>5.3923856407108145E-2</c:v>
                  </c:pt>
                  <c:pt idx="6">
                    <c:v>9.8136841377053419E-2</c:v>
                  </c:pt>
                  <c:pt idx="7">
                    <c:v>0.12316670978825425</c:v>
                  </c:pt>
                  <c:pt idx="8">
                    <c:v>0.12848643896962528</c:v>
                  </c:pt>
                  <c:pt idx="9">
                    <c:v>3.7346492931071958E-2</c:v>
                  </c:pt>
                  <c:pt idx="10">
                    <c:v>1.4286132844839809E-2</c:v>
                  </c:pt>
                  <c:pt idx="11">
                    <c:v>0.10954115208035398</c:v>
                  </c:pt>
                  <c:pt idx="12">
                    <c:v>8.1706636414461756E-2</c:v>
                  </c:pt>
                  <c:pt idx="13">
                    <c:v>3.4417173801996714E-2</c:v>
                  </c:pt>
                  <c:pt idx="14">
                    <c:v>5.6129088833376098E-2</c:v>
                  </c:pt>
                  <c:pt idx="15">
                    <c:v>7.287641660660435E-2</c:v>
                  </c:pt>
                  <c:pt idx="16">
                    <c:v>4.9340047233143634E-2</c:v>
                  </c:pt>
                  <c:pt idx="17">
                    <c:v>5.0003489196310917E-2</c:v>
                  </c:pt>
                  <c:pt idx="18">
                    <c:v>2.9221641321119783E-2</c:v>
                  </c:pt>
                  <c:pt idx="19">
                    <c:v>4.7132411706123895E-2</c:v>
                  </c:pt>
                  <c:pt idx="20">
                    <c:v>6.8551741318591278E-2</c:v>
                  </c:pt>
                  <c:pt idx="21">
                    <c:v>5.6916578459908697E-2</c:v>
                  </c:pt>
                </c:numCache>
              </c:numRef>
            </c:plus>
            <c:minus>
              <c:numRef>
                <c:f>'Growth curves CeBER'!$R$5:$R$26</c:f>
                <c:numCache>
                  <c:formatCode>General</c:formatCode>
                  <c:ptCount val="22"/>
                  <c:pt idx="0">
                    <c:v>2.5251802135390404E-2</c:v>
                  </c:pt>
                  <c:pt idx="1">
                    <c:v>5.21800793266953E-2</c:v>
                  </c:pt>
                  <c:pt idx="2">
                    <c:v>2.6555028639395007E-2</c:v>
                  </c:pt>
                  <c:pt idx="3">
                    <c:v>3.7305819610657674E-2</c:v>
                  </c:pt>
                  <c:pt idx="4">
                    <c:v>5.1706687224444832E-2</c:v>
                  </c:pt>
                  <c:pt idx="5">
                    <c:v>5.3923856407108145E-2</c:v>
                  </c:pt>
                  <c:pt idx="6">
                    <c:v>9.8136841377053419E-2</c:v>
                  </c:pt>
                  <c:pt idx="7">
                    <c:v>0.12316670978825425</c:v>
                  </c:pt>
                  <c:pt idx="8">
                    <c:v>0.12848643896962528</c:v>
                  </c:pt>
                  <c:pt idx="9">
                    <c:v>3.7346492931071958E-2</c:v>
                  </c:pt>
                  <c:pt idx="10">
                    <c:v>1.4286132844839809E-2</c:v>
                  </c:pt>
                  <c:pt idx="11">
                    <c:v>0.10954115208035398</c:v>
                  </c:pt>
                  <c:pt idx="12">
                    <c:v>8.1706636414461756E-2</c:v>
                  </c:pt>
                  <c:pt idx="13">
                    <c:v>3.4417173801996714E-2</c:v>
                  </c:pt>
                  <c:pt idx="14">
                    <c:v>5.6129088833376098E-2</c:v>
                  </c:pt>
                  <c:pt idx="15">
                    <c:v>7.287641660660435E-2</c:v>
                  </c:pt>
                  <c:pt idx="16">
                    <c:v>4.9340047233143634E-2</c:v>
                  </c:pt>
                  <c:pt idx="17">
                    <c:v>5.0003489196310917E-2</c:v>
                  </c:pt>
                  <c:pt idx="18">
                    <c:v>2.9221641321119783E-2</c:v>
                  </c:pt>
                  <c:pt idx="19">
                    <c:v>4.7132411706123895E-2</c:v>
                  </c:pt>
                  <c:pt idx="20">
                    <c:v>6.8551741318591278E-2</c:v>
                  </c:pt>
                  <c:pt idx="21">
                    <c:v>5.6916578459908697E-2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CeBER'!$D$5:$D$26</c:f>
              <c:numCache>
                <c:formatCode>0</c:formatCode>
                <c:ptCount val="22"/>
                <c:pt idx="0">
                  <c:v>0</c:v>
                </c:pt>
                <c:pt idx="1">
                  <c:v>8</c:v>
                </c:pt>
                <c:pt idx="2">
                  <c:v>22.5</c:v>
                </c:pt>
                <c:pt idx="3">
                  <c:v>26.5</c:v>
                </c:pt>
                <c:pt idx="4">
                  <c:v>31.5</c:v>
                </c:pt>
                <c:pt idx="5">
                  <c:v>48.5</c:v>
                </c:pt>
                <c:pt idx="6">
                  <c:v>72.5</c:v>
                </c:pt>
                <c:pt idx="7">
                  <c:v>95</c:v>
                </c:pt>
                <c:pt idx="8">
                  <c:v>118.5</c:v>
                </c:pt>
                <c:pt idx="9">
                  <c:v>142.5</c:v>
                </c:pt>
                <c:pt idx="10">
                  <c:v>168</c:v>
                </c:pt>
                <c:pt idx="11">
                  <c:v>192.5</c:v>
                </c:pt>
                <c:pt idx="12">
                  <c:v>215.5</c:v>
                </c:pt>
                <c:pt idx="13">
                  <c:v>238.5</c:v>
                </c:pt>
                <c:pt idx="14">
                  <c:v>262.5</c:v>
                </c:pt>
                <c:pt idx="15">
                  <c:v>286.5</c:v>
                </c:pt>
                <c:pt idx="16">
                  <c:v>309.5</c:v>
                </c:pt>
                <c:pt idx="17">
                  <c:v>335.5</c:v>
                </c:pt>
                <c:pt idx="18">
                  <c:v>360.5</c:v>
                </c:pt>
                <c:pt idx="19">
                  <c:v>385.5</c:v>
                </c:pt>
                <c:pt idx="20">
                  <c:v>407.5</c:v>
                </c:pt>
                <c:pt idx="21">
                  <c:v>432</c:v>
                </c:pt>
              </c:numCache>
            </c:numRef>
          </c:xVal>
          <c:yVal>
            <c:numRef>
              <c:f>'Growth curves CeBER'!$Q$5:$Q$26</c:f>
              <c:numCache>
                <c:formatCode>0.000</c:formatCode>
                <c:ptCount val="22"/>
                <c:pt idx="0">
                  <c:v>-1.9565905097505623</c:v>
                </c:pt>
                <c:pt idx="1">
                  <c:v>-1.6487571996662236</c:v>
                </c:pt>
                <c:pt idx="2">
                  <c:v>-1.3172474945679149</c:v>
                </c:pt>
                <c:pt idx="3">
                  <c:v>-1.1927032605124461</c:v>
                </c:pt>
                <c:pt idx="4">
                  <c:v>-1.0481644349548924</c:v>
                </c:pt>
                <c:pt idx="5">
                  <c:v>-0.79004619027191969</c:v>
                </c:pt>
                <c:pt idx="6">
                  <c:v>-0.38475731432839561</c:v>
                </c:pt>
                <c:pt idx="7">
                  <c:v>-0.1369518320397429</c:v>
                </c:pt>
                <c:pt idx="8">
                  <c:v>0.12366619350781587</c:v>
                </c:pt>
                <c:pt idx="9">
                  <c:v>0.54104221036924682</c:v>
                </c:pt>
                <c:pt idx="10">
                  <c:v>0.67078526542538197</c:v>
                </c:pt>
                <c:pt idx="11">
                  <c:v>0.73391613539381384</c:v>
                </c:pt>
                <c:pt idx="12">
                  <c:v>0.83985927409343775</c:v>
                </c:pt>
                <c:pt idx="13">
                  <c:v>0.99766427627092658</c:v>
                </c:pt>
                <c:pt idx="14">
                  <c:v>1.0349458753990204</c:v>
                </c:pt>
                <c:pt idx="15">
                  <c:v>1.0598293410119835</c:v>
                </c:pt>
                <c:pt idx="16">
                  <c:v>1.1140226755776603</c:v>
                </c:pt>
                <c:pt idx="17">
                  <c:v>1.1861417773592693</c:v>
                </c:pt>
                <c:pt idx="18">
                  <c:v>1.2972535631371491</c:v>
                </c:pt>
                <c:pt idx="19">
                  <c:v>1.3909047439622835</c:v>
                </c:pt>
                <c:pt idx="20">
                  <c:v>1.41391856356867</c:v>
                </c:pt>
                <c:pt idx="21">
                  <c:v>1.438896857796454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8D-104A-B91E-C70F7EC364F4}"/>
            </c:ext>
          </c:extLst>
        </c:ser>
        <c:ser>
          <c:idx val="1"/>
          <c:order val="1"/>
          <c:tx>
            <c:strRef>
              <c:f>'Growth curves CeBER'!$B$93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CeBER'!$R$30:$R$51</c:f>
                <c:numCache>
                  <c:formatCode>General</c:formatCode>
                  <c:ptCount val="22"/>
                  <c:pt idx="0">
                    <c:v>2.7799909919981516E-2</c:v>
                  </c:pt>
                  <c:pt idx="1">
                    <c:v>1.0864647116248745E-2</c:v>
                  </c:pt>
                  <c:pt idx="2">
                    <c:v>1.1300268543032808E-2</c:v>
                  </c:pt>
                  <c:pt idx="3">
                    <c:v>1.2885983165027403E-2</c:v>
                  </c:pt>
                  <c:pt idx="4">
                    <c:v>2.1534780007150724E-2</c:v>
                  </c:pt>
                  <c:pt idx="5">
                    <c:v>3.0771412690354071E-2</c:v>
                  </c:pt>
                  <c:pt idx="6">
                    <c:v>2.0377217720389165E-2</c:v>
                  </c:pt>
                  <c:pt idx="7">
                    <c:v>5.4460235352527656E-2</c:v>
                  </c:pt>
                  <c:pt idx="8">
                    <c:v>7.6296456834815993E-2</c:v>
                  </c:pt>
                  <c:pt idx="9">
                    <c:v>9.4723085660914724E-2</c:v>
                  </c:pt>
                  <c:pt idx="10">
                    <c:v>3.1601540856507022E-2</c:v>
                  </c:pt>
                  <c:pt idx="11">
                    <c:v>6.7209438409571845E-2</c:v>
                  </c:pt>
                  <c:pt idx="12">
                    <c:v>7.5313258926106116E-2</c:v>
                  </c:pt>
                  <c:pt idx="13">
                    <c:v>6.9928273352666576E-2</c:v>
                  </c:pt>
                  <c:pt idx="14">
                    <c:v>2.7896304134006272E-2</c:v>
                  </c:pt>
                  <c:pt idx="15">
                    <c:v>2.3594517142303865E-2</c:v>
                  </c:pt>
                  <c:pt idx="16">
                    <c:v>1.9046321444627073E-2</c:v>
                  </c:pt>
                  <c:pt idx="17">
                    <c:v>1.1765621414241612E-2</c:v>
                  </c:pt>
                  <c:pt idx="18">
                    <c:v>3.1078844377139897E-2</c:v>
                  </c:pt>
                  <c:pt idx="19">
                    <c:v>4.6058719148125885E-2</c:v>
                  </c:pt>
                  <c:pt idx="20">
                    <c:v>5.8862980607983853E-2</c:v>
                  </c:pt>
                  <c:pt idx="21">
                    <c:v>9.3088146292207921E-3</c:v>
                  </c:pt>
                </c:numCache>
              </c:numRef>
            </c:plus>
            <c:minus>
              <c:numRef>
                <c:f>'Growth curves CeBER'!$R$30:$R$51</c:f>
                <c:numCache>
                  <c:formatCode>General</c:formatCode>
                  <c:ptCount val="22"/>
                  <c:pt idx="0">
                    <c:v>2.7799909919981516E-2</c:v>
                  </c:pt>
                  <c:pt idx="1">
                    <c:v>1.0864647116248745E-2</c:v>
                  </c:pt>
                  <c:pt idx="2">
                    <c:v>1.1300268543032808E-2</c:v>
                  </c:pt>
                  <c:pt idx="3">
                    <c:v>1.2885983165027403E-2</c:v>
                  </c:pt>
                  <c:pt idx="4">
                    <c:v>2.1534780007150724E-2</c:v>
                  </c:pt>
                  <c:pt idx="5">
                    <c:v>3.0771412690354071E-2</c:v>
                  </c:pt>
                  <c:pt idx="6">
                    <c:v>2.0377217720389165E-2</c:v>
                  </c:pt>
                  <c:pt idx="7">
                    <c:v>5.4460235352527656E-2</c:v>
                  </c:pt>
                  <c:pt idx="8">
                    <c:v>7.6296456834815993E-2</c:v>
                  </c:pt>
                  <c:pt idx="9">
                    <c:v>9.4723085660914724E-2</c:v>
                  </c:pt>
                  <c:pt idx="10">
                    <c:v>3.1601540856507022E-2</c:v>
                  </c:pt>
                  <c:pt idx="11">
                    <c:v>6.7209438409571845E-2</c:v>
                  </c:pt>
                  <c:pt idx="12">
                    <c:v>7.5313258926106116E-2</c:v>
                  </c:pt>
                  <c:pt idx="13">
                    <c:v>6.9928273352666576E-2</c:v>
                  </c:pt>
                  <c:pt idx="14">
                    <c:v>2.7896304134006272E-2</c:v>
                  </c:pt>
                  <c:pt idx="15">
                    <c:v>2.3594517142303865E-2</c:v>
                  </c:pt>
                  <c:pt idx="16">
                    <c:v>1.9046321444627073E-2</c:v>
                  </c:pt>
                  <c:pt idx="17">
                    <c:v>1.1765621414241612E-2</c:v>
                  </c:pt>
                  <c:pt idx="18">
                    <c:v>3.1078844377139897E-2</c:v>
                  </c:pt>
                  <c:pt idx="19">
                    <c:v>4.6058719148125885E-2</c:v>
                  </c:pt>
                  <c:pt idx="20">
                    <c:v>5.8862980607983853E-2</c:v>
                  </c:pt>
                  <c:pt idx="21">
                    <c:v>9.3088146292207921E-3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CeBER'!$D$30:$D$51</c:f>
              <c:numCache>
                <c:formatCode>0</c:formatCode>
                <c:ptCount val="22"/>
                <c:pt idx="0">
                  <c:v>0</c:v>
                </c:pt>
                <c:pt idx="1">
                  <c:v>7.5</c:v>
                </c:pt>
                <c:pt idx="2">
                  <c:v>22</c:v>
                </c:pt>
                <c:pt idx="3">
                  <c:v>26</c:v>
                </c:pt>
                <c:pt idx="4">
                  <c:v>31</c:v>
                </c:pt>
                <c:pt idx="5">
                  <c:v>48</c:v>
                </c:pt>
                <c:pt idx="6">
                  <c:v>72.5</c:v>
                </c:pt>
                <c:pt idx="7">
                  <c:v>94.5</c:v>
                </c:pt>
                <c:pt idx="8">
                  <c:v>117.5</c:v>
                </c:pt>
                <c:pt idx="9">
                  <c:v>141.5</c:v>
                </c:pt>
                <c:pt idx="10">
                  <c:v>166.5</c:v>
                </c:pt>
                <c:pt idx="11">
                  <c:v>191.5</c:v>
                </c:pt>
                <c:pt idx="12">
                  <c:v>214</c:v>
                </c:pt>
                <c:pt idx="13">
                  <c:v>237</c:v>
                </c:pt>
                <c:pt idx="14">
                  <c:v>261</c:v>
                </c:pt>
                <c:pt idx="15">
                  <c:v>285</c:v>
                </c:pt>
                <c:pt idx="16">
                  <c:v>308</c:v>
                </c:pt>
                <c:pt idx="17">
                  <c:v>334.5</c:v>
                </c:pt>
                <c:pt idx="18">
                  <c:v>359</c:v>
                </c:pt>
                <c:pt idx="19">
                  <c:v>383</c:v>
                </c:pt>
                <c:pt idx="20">
                  <c:v>405</c:v>
                </c:pt>
                <c:pt idx="21">
                  <c:v>430</c:v>
                </c:pt>
              </c:numCache>
            </c:numRef>
          </c:xVal>
          <c:yVal>
            <c:numRef>
              <c:f>'Growth curves CeBER'!$Q$30:$Q$51</c:f>
              <c:numCache>
                <c:formatCode>0.000</c:formatCode>
                <c:ptCount val="22"/>
                <c:pt idx="0">
                  <c:v>-1.9538242421456642</c:v>
                </c:pt>
                <c:pt idx="1">
                  <c:v>-1.5525437377016926</c:v>
                </c:pt>
                <c:pt idx="2">
                  <c:v>-1.2571346207608021</c:v>
                </c:pt>
                <c:pt idx="3">
                  <c:v>-1.1621261570763288</c:v>
                </c:pt>
                <c:pt idx="4">
                  <c:v>-1.0024689730121772</c:v>
                </c:pt>
                <c:pt idx="5">
                  <c:v>-0.67548159619497117</c:v>
                </c:pt>
                <c:pt idx="6">
                  <c:v>-0.26171116246427351</c:v>
                </c:pt>
                <c:pt idx="7">
                  <c:v>8.9166985963912801E-2</c:v>
                </c:pt>
                <c:pt idx="8">
                  <c:v>0.35825910265724592</c:v>
                </c:pt>
                <c:pt idx="9">
                  <c:v>0.70228284205579905</c:v>
                </c:pt>
                <c:pt idx="10">
                  <c:v>0.9343817465592581</c:v>
                </c:pt>
                <c:pt idx="11">
                  <c:v>1.011084562931406</c:v>
                </c:pt>
                <c:pt idx="12">
                  <c:v>1.1517773018395472</c:v>
                </c:pt>
                <c:pt idx="13">
                  <c:v>1.1932719345858764</c:v>
                </c:pt>
                <c:pt idx="14">
                  <c:v>1.2630717683152077</c:v>
                </c:pt>
                <c:pt idx="15">
                  <c:v>1.3193194588130508</c:v>
                </c:pt>
                <c:pt idx="16">
                  <c:v>1.3360726711341577</c:v>
                </c:pt>
                <c:pt idx="17">
                  <c:v>1.3669367888112374</c:v>
                </c:pt>
                <c:pt idx="18">
                  <c:v>1.4266795725611001</c:v>
                </c:pt>
                <c:pt idx="19">
                  <c:v>1.4516053056786997</c:v>
                </c:pt>
                <c:pt idx="20">
                  <c:v>1.4674513666274356</c:v>
                </c:pt>
                <c:pt idx="21">
                  <c:v>1.4898807493575754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8D-104A-B91E-C70F7EC364F4}"/>
            </c:ext>
          </c:extLst>
        </c:ser>
        <c:ser>
          <c:idx val="2"/>
          <c:order val="2"/>
          <c:tx>
            <c:strRef>
              <c:f>'Growth curves CeBER'!$C$93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CeBER'!$R$55:$R$76</c:f>
                <c:numCache>
                  <c:formatCode>General</c:formatCode>
                  <c:ptCount val="22"/>
                  <c:pt idx="0">
                    <c:v>0.10743315049436029</c:v>
                  </c:pt>
                  <c:pt idx="1">
                    <c:v>3.3152754466126581E-2</c:v>
                  </c:pt>
                  <c:pt idx="2">
                    <c:v>1.8857010233481134E-2</c:v>
                  </c:pt>
                  <c:pt idx="3">
                    <c:v>2.4740194445596816E-2</c:v>
                  </c:pt>
                  <c:pt idx="4">
                    <c:v>7.4909519506862025E-3</c:v>
                  </c:pt>
                  <c:pt idx="5">
                    <c:v>1.2580109327615703E-2</c:v>
                  </c:pt>
                  <c:pt idx="6">
                    <c:v>6.8429709690963125E-2</c:v>
                  </c:pt>
                  <c:pt idx="7">
                    <c:v>8.5160510677350948E-2</c:v>
                  </c:pt>
                  <c:pt idx="8">
                    <c:v>6.8287331616337515E-2</c:v>
                  </c:pt>
                  <c:pt idx="9">
                    <c:v>5.9498475463412678E-2</c:v>
                  </c:pt>
                  <c:pt idx="10">
                    <c:v>4.3172154452988852E-2</c:v>
                  </c:pt>
                  <c:pt idx="11">
                    <c:v>6.9356220245664207E-2</c:v>
                  </c:pt>
                  <c:pt idx="12">
                    <c:v>2.71005716709567E-2</c:v>
                  </c:pt>
                  <c:pt idx="13">
                    <c:v>6.00681314566857E-2</c:v>
                  </c:pt>
                  <c:pt idx="14">
                    <c:v>2.7509396702550298E-2</c:v>
                  </c:pt>
                  <c:pt idx="15">
                    <c:v>6.0549412118879452E-2</c:v>
                  </c:pt>
                  <c:pt idx="16">
                    <c:v>5.4069329851052297E-2</c:v>
                  </c:pt>
                  <c:pt idx="17">
                    <c:v>5.0246269340538968E-2</c:v>
                  </c:pt>
                  <c:pt idx="18">
                    <c:v>1.6444984745346253E-2</c:v>
                  </c:pt>
                  <c:pt idx="19">
                    <c:v>1.1758300124265788E-2</c:v>
                  </c:pt>
                  <c:pt idx="20">
                    <c:v>1.7411854954581092E-2</c:v>
                  </c:pt>
                  <c:pt idx="21">
                    <c:v>1.18613289671371E-2</c:v>
                  </c:pt>
                </c:numCache>
              </c:numRef>
            </c:plus>
            <c:minus>
              <c:numRef>
                <c:f>'Growth curves CeBER'!$R$55:$R$76</c:f>
                <c:numCache>
                  <c:formatCode>General</c:formatCode>
                  <c:ptCount val="22"/>
                  <c:pt idx="0">
                    <c:v>0.10743315049436029</c:v>
                  </c:pt>
                  <c:pt idx="1">
                    <c:v>3.3152754466126581E-2</c:v>
                  </c:pt>
                  <c:pt idx="2">
                    <c:v>1.8857010233481134E-2</c:v>
                  </c:pt>
                  <c:pt idx="3">
                    <c:v>2.4740194445596816E-2</c:v>
                  </c:pt>
                  <c:pt idx="4">
                    <c:v>7.4909519506862025E-3</c:v>
                  </c:pt>
                  <c:pt idx="5">
                    <c:v>1.2580109327615703E-2</c:v>
                  </c:pt>
                  <c:pt idx="6">
                    <c:v>6.8429709690963125E-2</c:v>
                  </c:pt>
                  <c:pt idx="7">
                    <c:v>8.5160510677350948E-2</c:v>
                  </c:pt>
                  <c:pt idx="8">
                    <c:v>6.8287331616337515E-2</c:v>
                  </c:pt>
                  <c:pt idx="9">
                    <c:v>5.9498475463412678E-2</c:v>
                  </c:pt>
                  <c:pt idx="10">
                    <c:v>4.3172154452988852E-2</c:v>
                  </c:pt>
                  <c:pt idx="11">
                    <c:v>6.9356220245664207E-2</c:v>
                  </c:pt>
                  <c:pt idx="12">
                    <c:v>2.71005716709567E-2</c:v>
                  </c:pt>
                  <c:pt idx="13">
                    <c:v>6.00681314566857E-2</c:v>
                  </c:pt>
                  <c:pt idx="14">
                    <c:v>2.7509396702550298E-2</c:v>
                  </c:pt>
                  <c:pt idx="15">
                    <c:v>6.0549412118879452E-2</c:v>
                  </c:pt>
                  <c:pt idx="16">
                    <c:v>5.4069329851052297E-2</c:v>
                  </c:pt>
                  <c:pt idx="17">
                    <c:v>5.0246269340538968E-2</c:v>
                  </c:pt>
                  <c:pt idx="18">
                    <c:v>1.6444984745346253E-2</c:v>
                  </c:pt>
                  <c:pt idx="19">
                    <c:v>1.1758300124265788E-2</c:v>
                  </c:pt>
                  <c:pt idx="20">
                    <c:v>1.7411854954581092E-2</c:v>
                  </c:pt>
                  <c:pt idx="21">
                    <c:v>1.18613289671371E-2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CeBER'!$D$55:$D$76</c:f>
              <c:numCache>
                <c:formatCode>0</c:formatCode>
                <c:ptCount val="22"/>
                <c:pt idx="0">
                  <c:v>0</c:v>
                </c:pt>
                <c:pt idx="1">
                  <c:v>7.5</c:v>
                </c:pt>
                <c:pt idx="2">
                  <c:v>21.5</c:v>
                </c:pt>
                <c:pt idx="3">
                  <c:v>25.5</c:v>
                </c:pt>
                <c:pt idx="4">
                  <c:v>30.5</c:v>
                </c:pt>
                <c:pt idx="5">
                  <c:v>47.5</c:v>
                </c:pt>
                <c:pt idx="6">
                  <c:v>72</c:v>
                </c:pt>
                <c:pt idx="7">
                  <c:v>94</c:v>
                </c:pt>
                <c:pt idx="8">
                  <c:v>117</c:v>
                </c:pt>
                <c:pt idx="9">
                  <c:v>141</c:v>
                </c:pt>
                <c:pt idx="10">
                  <c:v>166</c:v>
                </c:pt>
                <c:pt idx="11">
                  <c:v>191</c:v>
                </c:pt>
                <c:pt idx="12">
                  <c:v>213.5</c:v>
                </c:pt>
                <c:pt idx="13">
                  <c:v>236.5</c:v>
                </c:pt>
                <c:pt idx="14">
                  <c:v>260.5</c:v>
                </c:pt>
                <c:pt idx="15">
                  <c:v>284.5</c:v>
                </c:pt>
                <c:pt idx="16">
                  <c:v>307.5</c:v>
                </c:pt>
                <c:pt idx="17">
                  <c:v>334</c:v>
                </c:pt>
                <c:pt idx="18">
                  <c:v>358.5</c:v>
                </c:pt>
                <c:pt idx="19">
                  <c:v>382.5</c:v>
                </c:pt>
                <c:pt idx="20">
                  <c:v>405.5</c:v>
                </c:pt>
                <c:pt idx="21">
                  <c:v>430.5</c:v>
                </c:pt>
              </c:numCache>
            </c:numRef>
          </c:xVal>
          <c:yVal>
            <c:numRef>
              <c:f>'Growth curves CeBER'!$Q$55:$Q$76</c:f>
              <c:numCache>
                <c:formatCode>0.000</c:formatCode>
                <c:ptCount val="22"/>
                <c:pt idx="0">
                  <c:v>-2.055167640990236</c:v>
                </c:pt>
                <c:pt idx="1">
                  <c:v>-1.6643056928956241</c:v>
                </c:pt>
                <c:pt idx="2">
                  <c:v>-1.321516825173491</c:v>
                </c:pt>
                <c:pt idx="3">
                  <c:v>-1.3049701108497789</c:v>
                </c:pt>
                <c:pt idx="4">
                  <c:v>-1.1070496883591929</c:v>
                </c:pt>
                <c:pt idx="5">
                  <c:v>-0.77566660911490948</c:v>
                </c:pt>
                <c:pt idx="6">
                  <c:v>-0.36162503756551317</c:v>
                </c:pt>
                <c:pt idx="7">
                  <c:v>7.4609327033106814E-3</c:v>
                </c:pt>
                <c:pt idx="8">
                  <c:v>0.33973581893897559</c:v>
                </c:pt>
                <c:pt idx="9">
                  <c:v>0.61479107388252652</c:v>
                </c:pt>
                <c:pt idx="10">
                  <c:v>0.78003226415003546</c:v>
                </c:pt>
                <c:pt idx="11">
                  <c:v>0.94859770712211289</c:v>
                </c:pt>
                <c:pt idx="12">
                  <c:v>1.0614744372216685</c:v>
                </c:pt>
                <c:pt idx="13">
                  <c:v>1.1698555629601897</c:v>
                </c:pt>
                <c:pt idx="14">
                  <c:v>1.2810526576152153</c:v>
                </c:pt>
                <c:pt idx="15">
                  <c:v>1.3816164393426693</c:v>
                </c:pt>
                <c:pt idx="16">
                  <c:v>1.4531714858152329</c:v>
                </c:pt>
                <c:pt idx="17">
                  <c:v>1.4702874872289726</c:v>
                </c:pt>
                <c:pt idx="18">
                  <c:v>1.4852393211059394</c:v>
                </c:pt>
                <c:pt idx="19">
                  <c:v>1.4879744732788771</c:v>
                </c:pt>
                <c:pt idx="20">
                  <c:v>1.5199625809131916</c:v>
                </c:pt>
                <c:pt idx="21">
                  <c:v>1.5442840599238938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8D-104A-B91E-C70F7EC36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67840"/>
        <c:axId val="1020632992"/>
      </c:scatterChart>
      <c:valAx>
        <c:axId val="114196784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32992"/>
        <c:crosses val="autoZero"/>
        <c:crossBetween val="midCat"/>
        <c:majorUnit val="50"/>
      </c:valAx>
      <c:valAx>
        <c:axId val="102063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ln</a:t>
                </a:r>
                <a:r>
                  <a:rPr lang="en-ZA" baseline="0"/>
                  <a:t> biomass concentration </a:t>
                </a:r>
                <a:r>
                  <a:rPr lang="en-ZA"/>
                  <a:t>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2145563575386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196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'Nitrate content UTEX #1926'!$B$2:$U$2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FFDC6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UTEX #1926'!$Y$4:$Y$13</c:f>
                <c:numCache>
                  <c:formatCode>General</c:formatCode>
                  <c:ptCount val="10"/>
                  <c:pt idx="0">
                    <c:v>3.310047145727834E-2</c:v>
                  </c:pt>
                  <c:pt idx="1">
                    <c:v>2.698660088430941E-2</c:v>
                  </c:pt>
                  <c:pt idx="2">
                    <c:v>2.5572488765942238E-2</c:v>
                  </c:pt>
                  <c:pt idx="3">
                    <c:v>0.11389132927748628</c:v>
                  </c:pt>
                  <c:pt idx="4">
                    <c:v>1.3394553668489179E-2</c:v>
                  </c:pt>
                  <c:pt idx="5">
                    <c:v>5.6554782155843399E-2</c:v>
                  </c:pt>
                  <c:pt idx="6">
                    <c:v>4.0671565183399344E-2</c:v>
                  </c:pt>
                  <c:pt idx="7">
                    <c:v>6.6596583786277558E-2</c:v>
                  </c:pt>
                  <c:pt idx="8">
                    <c:v>2.9244692817159738E-3</c:v>
                  </c:pt>
                  <c:pt idx="9">
                    <c:v>1.8905522222221933E-3</c:v>
                  </c:pt>
                </c:numCache>
              </c:numRef>
            </c:plus>
            <c:minus>
              <c:numRef>
                <c:f>'Nitrate content UTEX #1926'!$Y$4:$Y$13</c:f>
                <c:numCache>
                  <c:formatCode>General</c:formatCode>
                  <c:ptCount val="10"/>
                  <c:pt idx="0">
                    <c:v>3.310047145727834E-2</c:v>
                  </c:pt>
                  <c:pt idx="1">
                    <c:v>2.698660088430941E-2</c:v>
                  </c:pt>
                  <c:pt idx="2">
                    <c:v>2.5572488765942238E-2</c:v>
                  </c:pt>
                  <c:pt idx="3">
                    <c:v>0.11389132927748628</c:v>
                  </c:pt>
                  <c:pt idx="4">
                    <c:v>1.3394553668489179E-2</c:v>
                  </c:pt>
                  <c:pt idx="5">
                    <c:v>5.6554782155843399E-2</c:v>
                  </c:pt>
                  <c:pt idx="6">
                    <c:v>4.0671565183399344E-2</c:v>
                  </c:pt>
                  <c:pt idx="7">
                    <c:v>6.6596583786277558E-2</c:v>
                  </c:pt>
                  <c:pt idx="8">
                    <c:v>2.9244692817159738E-3</c:v>
                  </c:pt>
                  <c:pt idx="9">
                    <c:v>1.8905522222221933E-3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UTEX #1926'!$W$4:$W$13</c:f>
              <c:numCache>
                <c:formatCode>0</c:formatCode>
                <c:ptCount val="10"/>
                <c:pt idx="0">
                  <c:v>0</c:v>
                </c:pt>
                <c:pt idx="1">
                  <c:v>48.5</c:v>
                </c:pt>
                <c:pt idx="2">
                  <c:v>95</c:v>
                </c:pt>
                <c:pt idx="3">
                  <c:v>142.5</c:v>
                </c:pt>
                <c:pt idx="4">
                  <c:v>192.5</c:v>
                </c:pt>
                <c:pt idx="5">
                  <c:v>238.5</c:v>
                </c:pt>
                <c:pt idx="6">
                  <c:v>286.5</c:v>
                </c:pt>
                <c:pt idx="7">
                  <c:v>335.5</c:v>
                </c:pt>
                <c:pt idx="8">
                  <c:v>385.5</c:v>
                </c:pt>
                <c:pt idx="9">
                  <c:v>432</c:v>
                </c:pt>
              </c:numCache>
            </c:numRef>
          </c:xVal>
          <c:yVal>
            <c:numRef>
              <c:f>'Nitrate content UTEX #1926'!$X$4:$X$13</c:f>
              <c:numCache>
                <c:formatCode>0.000</c:formatCode>
                <c:ptCount val="10"/>
                <c:pt idx="0">
                  <c:v>1.6149228349999998</c:v>
                </c:pt>
                <c:pt idx="1">
                  <c:v>1.5179952383333333</c:v>
                </c:pt>
                <c:pt idx="2">
                  <c:v>1.4074014761904763</c:v>
                </c:pt>
                <c:pt idx="3">
                  <c:v>1.2330083928571427</c:v>
                </c:pt>
                <c:pt idx="4">
                  <c:v>1.1659785247619048</c:v>
                </c:pt>
                <c:pt idx="5">
                  <c:v>1.0558494206349207</c:v>
                </c:pt>
                <c:pt idx="6">
                  <c:v>0.94113490148148138</c:v>
                </c:pt>
                <c:pt idx="7">
                  <c:v>0.78863035555555561</c:v>
                </c:pt>
                <c:pt idx="8">
                  <c:v>0.60308615888888895</c:v>
                </c:pt>
                <c:pt idx="9">
                  <c:v>0.50491248277777767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92-CF4E-A5E0-0870CB5B0459}"/>
            </c:ext>
          </c:extLst>
        </c:ser>
        <c:ser>
          <c:idx val="1"/>
          <c:order val="1"/>
          <c:tx>
            <c:strRef>
              <c:f>'Nitrate content UTEX #1926'!$B$35:$U$35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UTEX #1926'!$Y$37:$Y$46</c:f>
                <c:numCache>
                  <c:formatCode>General</c:formatCode>
                  <c:ptCount val="10"/>
                  <c:pt idx="0">
                    <c:v>1.6164687569779342E-2</c:v>
                  </c:pt>
                  <c:pt idx="1">
                    <c:v>4.9592346200618607E-2</c:v>
                  </c:pt>
                  <c:pt idx="2">
                    <c:v>6.0044084823209727E-2</c:v>
                  </c:pt>
                  <c:pt idx="3">
                    <c:v>3.2081796138251843E-2</c:v>
                  </c:pt>
                  <c:pt idx="4">
                    <c:v>6.7730757591213511E-2</c:v>
                  </c:pt>
                  <c:pt idx="5">
                    <c:v>5.4044937881203375E-2</c:v>
                  </c:pt>
                  <c:pt idx="6">
                    <c:v>2.6064750620276907E-2</c:v>
                  </c:pt>
                  <c:pt idx="7">
                    <c:v>2.5967554194913007E-3</c:v>
                  </c:pt>
                  <c:pt idx="8">
                    <c:v>2.3055389981561501E-2</c:v>
                  </c:pt>
                  <c:pt idx="9">
                    <c:v>7.8706104169416948E-3</c:v>
                  </c:pt>
                </c:numCache>
              </c:numRef>
            </c:plus>
            <c:minus>
              <c:numRef>
                <c:f>'Nitrate content UTEX #1926'!$Y$37:$Y$46</c:f>
                <c:numCache>
                  <c:formatCode>General</c:formatCode>
                  <c:ptCount val="10"/>
                  <c:pt idx="0">
                    <c:v>1.6164687569779342E-2</c:v>
                  </c:pt>
                  <c:pt idx="1">
                    <c:v>4.9592346200618607E-2</c:v>
                  </c:pt>
                  <c:pt idx="2">
                    <c:v>6.0044084823209727E-2</c:v>
                  </c:pt>
                  <c:pt idx="3">
                    <c:v>3.2081796138251843E-2</c:v>
                  </c:pt>
                  <c:pt idx="4">
                    <c:v>6.7730757591213511E-2</c:v>
                  </c:pt>
                  <c:pt idx="5">
                    <c:v>5.4044937881203375E-2</c:v>
                  </c:pt>
                  <c:pt idx="6">
                    <c:v>2.6064750620276907E-2</c:v>
                  </c:pt>
                  <c:pt idx="7">
                    <c:v>2.5967554194913007E-3</c:v>
                  </c:pt>
                  <c:pt idx="8">
                    <c:v>2.3055389981561501E-2</c:v>
                  </c:pt>
                  <c:pt idx="9">
                    <c:v>7.8706104169416948E-3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UTEX #1926'!$W$37:$W$46</c:f>
              <c:numCache>
                <c:formatCode>General</c:formatCode>
                <c:ptCount val="10"/>
                <c:pt idx="0">
                  <c:v>0</c:v>
                </c:pt>
                <c:pt idx="1">
                  <c:v>48</c:v>
                </c:pt>
                <c:pt idx="2">
                  <c:v>94.5</c:v>
                </c:pt>
                <c:pt idx="3">
                  <c:v>141.5</c:v>
                </c:pt>
                <c:pt idx="4">
                  <c:v>191.5</c:v>
                </c:pt>
                <c:pt idx="5">
                  <c:v>237</c:v>
                </c:pt>
                <c:pt idx="6">
                  <c:v>285</c:v>
                </c:pt>
                <c:pt idx="7">
                  <c:v>334.5</c:v>
                </c:pt>
                <c:pt idx="8" formatCode="0">
                  <c:v>383</c:v>
                </c:pt>
                <c:pt idx="9" formatCode="0">
                  <c:v>430</c:v>
                </c:pt>
              </c:numCache>
            </c:numRef>
          </c:xVal>
          <c:yVal>
            <c:numRef>
              <c:f>'Nitrate content UTEX #1926'!$X$37:$X$46</c:f>
              <c:numCache>
                <c:formatCode>0.000</c:formatCode>
                <c:ptCount val="10"/>
                <c:pt idx="0">
                  <c:v>1.6040153816666665</c:v>
                </c:pt>
                <c:pt idx="1">
                  <c:v>1.5038651283333333</c:v>
                </c:pt>
                <c:pt idx="2">
                  <c:v>1.3876839999999999</c:v>
                </c:pt>
                <c:pt idx="3">
                  <c:v>1.1627981904761906</c:v>
                </c:pt>
                <c:pt idx="4">
                  <c:v>0.98982541888888875</c:v>
                </c:pt>
                <c:pt idx="5">
                  <c:v>0.81340500936507931</c:v>
                </c:pt>
                <c:pt idx="6">
                  <c:v>0.72525184296296274</c:v>
                </c:pt>
                <c:pt idx="7">
                  <c:v>0.68672058814814818</c:v>
                </c:pt>
                <c:pt idx="8">
                  <c:v>0.50666799555555553</c:v>
                </c:pt>
                <c:pt idx="9">
                  <c:v>0.47655419944444444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892-CF4E-A5E0-0870CB5B0459}"/>
            </c:ext>
          </c:extLst>
        </c:ser>
        <c:ser>
          <c:idx val="2"/>
          <c:order val="2"/>
          <c:tx>
            <c:strRef>
              <c:f>'Nitrate content UTEX #1926'!$B$68:$U$68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DDDC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UTEX #1926'!$Y$70:$Y$79</c:f>
                <c:numCache>
                  <c:formatCode>General</c:formatCode>
                  <c:ptCount val="10"/>
                  <c:pt idx="0">
                    <c:v>2.3636137946338599E-2</c:v>
                  </c:pt>
                  <c:pt idx="1">
                    <c:v>3.2987027363769426E-2</c:v>
                  </c:pt>
                  <c:pt idx="2">
                    <c:v>7.0591779979981117E-2</c:v>
                  </c:pt>
                  <c:pt idx="3">
                    <c:v>5.6535017022538117E-2</c:v>
                  </c:pt>
                  <c:pt idx="4">
                    <c:v>1.7732933058104923E-2</c:v>
                  </c:pt>
                  <c:pt idx="5">
                    <c:v>1.0047915433617004E-2</c:v>
                  </c:pt>
                  <c:pt idx="6">
                    <c:v>6.2517153783559515E-2</c:v>
                  </c:pt>
                  <c:pt idx="7">
                    <c:v>9.613206719615755E-2</c:v>
                  </c:pt>
                  <c:pt idx="8">
                    <c:v>3.633539834162485E-3</c:v>
                  </c:pt>
                  <c:pt idx="9">
                    <c:v>2.6662340568717021E-2</c:v>
                  </c:pt>
                </c:numCache>
              </c:numRef>
            </c:plus>
            <c:minus>
              <c:numRef>
                <c:f>'Nitrate content UTEX #1926'!$Y$70:$Y$79</c:f>
                <c:numCache>
                  <c:formatCode>General</c:formatCode>
                  <c:ptCount val="10"/>
                  <c:pt idx="0">
                    <c:v>2.3636137946338599E-2</c:v>
                  </c:pt>
                  <c:pt idx="1">
                    <c:v>3.2987027363769426E-2</c:v>
                  </c:pt>
                  <c:pt idx="2">
                    <c:v>7.0591779979981117E-2</c:v>
                  </c:pt>
                  <c:pt idx="3">
                    <c:v>5.6535017022538117E-2</c:v>
                  </c:pt>
                  <c:pt idx="4">
                    <c:v>1.7732933058104923E-2</c:v>
                  </c:pt>
                  <c:pt idx="5">
                    <c:v>1.0047915433617004E-2</c:v>
                  </c:pt>
                  <c:pt idx="6">
                    <c:v>6.2517153783559515E-2</c:v>
                  </c:pt>
                  <c:pt idx="7">
                    <c:v>9.613206719615755E-2</c:v>
                  </c:pt>
                  <c:pt idx="8">
                    <c:v>3.633539834162485E-3</c:v>
                  </c:pt>
                  <c:pt idx="9">
                    <c:v>2.6662340568717021E-2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UTEX #1926'!$W$70:$W$79</c:f>
              <c:numCache>
                <c:formatCode>General</c:formatCode>
                <c:ptCount val="10"/>
                <c:pt idx="0">
                  <c:v>0</c:v>
                </c:pt>
                <c:pt idx="1">
                  <c:v>47.5</c:v>
                </c:pt>
                <c:pt idx="2">
                  <c:v>94</c:v>
                </c:pt>
                <c:pt idx="3" formatCode="0.0">
                  <c:v>141</c:v>
                </c:pt>
                <c:pt idx="4">
                  <c:v>191</c:v>
                </c:pt>
                <c:pt idx="5">
                  <c:v>236.5</c:v>
                </c:pt>
                <c:pt idx="6">
                  <c:v>284.5</c:v>
                </c:pt>
                <c:pt idx="7">
                  <c:v>334</c:v>
                </c:pt>
                <c:pt idx="8" formatCode="0.0">
                  <c:v>382.5</c:v>
                </c:pt>
                <c:pt idx="9" formatCode="0">
                  <c:v>430.5</c:v>
                </c:pt>
              </c:numCache>
            </c:numRef>
          </c:xVal>
          <c:yVal>
            <c:numRef>
              <c:f>'Nitrate content UTEX #1926'!$X$70:$X$79</c:f>
              <c:numCache>
                <c:formatCode>0.000</c:formatCode>
                <c:ptCount val="10"/>
                <c:pt idx="0">
                  <c:v>1.6069901416666665</c:v>
                </c:pt>
                <c:pt idx="1">
                  <c:v>1.4679201116666665</c:v>
                </c:pt>
                <c:pt idx="2">
                  <c:v>1.3895491666666666</c:v>
                </c:pt>
                <c:pt idx="3">
                  <c:v>1.1036457619047619</c:v>
                </c:pt>
                <c:pt idx="4">
                  <c:v>0.89413071190476179</c:v>
                </c:pt>
                <c:pt idx="5">
                  <c:v>0.7345504323809523</c:v>
                </c:pt>
                <c:pt idx="6">
                  <c:v>0.69374263925925927</c:v>
                </c:pt>
                <c:pt idx="7">
                  <c:v>0.63666596740740733</c:v>
                </c:pt>
                <c:pt idx="8">
                  <c:v>0.49964594444444438</c:v>
                </c:pt>
                <c:pt idx="9">
                  <c:v>0.45805379555555553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892-CF4E-A5E0-0870CB5B04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63248"/>
        <c:axId val="1531741264"/>
      </c:scatterChart>
      <c:valAx>
        <c:axId val="151996324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7704046657315508"/>
              <c:y val="0.81934720040470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31741264"/>
        <c:crosses val="autoZero"/>
        <c:crossBetween val="midCat"/>
      </c:valAx>
      <c:valAx>
        <c:axId val="1531741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Nitrate</a:t>
                </a:r>
                <a:r>
                  <a:rPr lang="en-GB" baseline="0"/>
                  <a:t> concentration (g.L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19963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CeBER'!$A$93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CeBER'!$M$5:$M$26</c:f>
                <c:numCache>
                  <c:formatCode>General</c:formatCode>
                  <c:ptCount val="22"/>
                  <c:pt idx="0">
                    <c:v>3.5841773046420403E-3</c:v>
                  </c:pt>
                  <c:pt idx="1">
                    <c:v>1.0302971802564752E-2</c:v>
                  </c:pt>
                  <c:pt idx="2">
                    <c:v>7.0254494796497743E-3</c:v>
                  </c:pt>
                  <c:pt idx="3">
                    <c:v>1.1533737303715175E-2</c:v>
                  </c:pt>
                  <c:pt idx="4">
                    <c:v>1.81691165586002E-2</c:v>
                  </c:pt>
                  <c:pt idx="5">
                    <c:v>2.3958880983329194E-2</c:v>
                  </c:pt>
                  <c:pt idx="6">
                    <c:v>6.4342038284572425E-2</c:v>
                  </c:pt>
                  <c:pt idx="7">
                    <c:v>0.10173452588551844</c:v>
                  </c:pt>
                  <c:pt idx="8">
                    <c:v>0.14146033983720613</c:v>
                  </c:pt>
                  <c:pt idx="9">
                    <c:v>6.3761464998783629E-2</c:v>
                  </c:pt>
                  <c:pt idx="10">
                    <c:v>2.8017462214840094E-2</c:v>
                  </c:pt>
                  <c:pt idx="11">
                    <c:v>0.21830986433542346</c:v>
                  </c:pt>
                  <c:pt idx="12">
                    <c:v>0.18248207535178132</c:v>
                  </c:pt>
                  <c:pt idx="13">
                    <c:v>9.2137906136785575E-2</c:v>
                  </c:pt>
                  <c:pt idx="14">
                    <c:v>0.15382321670997676</c:v>
                  </c:pt>
                  <c:pt idx="15">
                    <c:v>0.20540214749932231</c:v>
                  </c:pt>
                  <c:pt idx="16">
                    <c:v>0.14710072591744747</c:v>
                  </c:pt>
                  <c:pt idx="17">
                    <c:v>0.16012891242501393</c:v>
                  </c:pt>
                  <c:pt idx="18">
                    <c:v>0.10787687413326581</c:v>
                  </c:pt>
                  <c:pt idx="19">
                    <c:v>0.19112703856124369</c:v>
                  </c:pt>
                  <c:pt idx="20">
                    <c:v>0.27571325987693174</c:v>
                  </c:pt>
                  <c:pt idx="21">
                    <c:v>0.24119759929212475</c:v>
                  </c:pt>
                </c:numCache>
              </c:numRef>
            </c:plus>
            <c:minus>
              <c:numRef>
                <c:f>'Growth curves CeBER'!$M$5:$M$26</c:f>
                <c:numCache>
                  <c:formatCode>General</c:formatCode>
                  <c:ptCount val="22"/>
                  <c:pt idx="0">
                    <c:v>3.5841773046420403E-3</c:v>
                  </c:pt>
                  <c:pt idx="1">
                    <c:v>1.0302971802564752E-2</c:v>
                  </c:pt>
                  <c:pt idx="2">
                    <c:v>7.0254494796497743E-3</c:v>
                  </c:pt>
                  <c:pt idx="3">
                    <c:v>1.1533737303715175E-2</c:v>
                  </c:pt>
                  <c:pt idx="4">
                    <c:v>1.81691165586002E-2</c:v>
                  </c:pt>
                  <c:pt idx="5">
                    <c:v>2.3958880983329194E-2</c:v>
                  </c:pt>
                  <c:pt idx="6">
                    <c:v>6.4342038284572425E-2</c:v>
                  </c:pt>
                  <c:pt idx="7">
                    <c:v>0.10173452588551844</c:v>
                  </c:pt>
                  <c:pt idx="8">
                    <c:v>0.14146033983720613</c:v>
                  </c:pt>
                  <c:pt idx="9">
                    <c:v>6.3761464998783629E-2</c:v>
                  </c:pt>
                  <c:pt idx="10">
                    <c:v>2.8017462214840094E-2</c:v>
                  </c:pt>
                  <c:pt idx="11">
                    <c:v>0.21830986433542346</c:v>
                  </c:pt>
                  <c:pt idx="12">
                    <c:v>0.18248207535178132</c:v>
                  </c:pt>
                  <c:pt idx="13">
                    <c:v>9.2137906136785575E-2</c:v>
                  </c:pt>
                  <c:pt idx="14">
                    <c:v>0.15382321670997676</c:v>
                  </c:pt>
                  <c:pt idx="15">
                    <c:v>0.20540214749932231</c:v>
                  </c:pt>
                  <c:pt idx="16">
                    <c:v>0.14710072591744747</c:v>
                  </c:pt>
                  <c:pt idx="17">
                    <c:v>0.16012891242501393</c:v>
                  </c:pt>
                  <c:pt idx="18">
                    <c:v>0.10787687413326581</c:v>
                  </c:pt>
                  <c:pt idx="19">
                    <c:v>0.19112703856124369</c:v>
                  </c:pt>
                  <c:pt idx="20">
                    <c:v>0.27571325987693174</c:v>
                  </c:pt>
                  <c:pt idx="21">
                    <c:v>0.24119759929212475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CeBER'!$D$5:$D$26</c:f>
              <c:numCache>
                <c:formatCode>0</c:formatCode>
                <c:ptCount val="22"/>
                <c:pt idx="0">
                  <c:v>0</c:v>
                </c:pt>
                <c:pt idx="1">
                  <c:v>8</c:v>
                </c:pt>
                <c:pt idx="2">
                  <c:v>22.5</c:v>
                </c:pt>
                <c:pt idx="3">
                  <c:v>26.5</c:v>
                </c:pt>
                <c:pt idx="4">
                  <c:v>31.5</c:v>
                </c:pt>
                <c:pt idx="5">
                  <c:v>48.5</c:v>
                </c:pt>
                <c:pt idx="6">
                  <c:v>72.5</c:v>
                </c:pt>
                <c:pt idx="7">
                  <c:v>95</c:v>
                </c:pt>
                <c:pt idx="8">
                  <c:v>118.5</c:v>
                </c:pt>
                <c:pt idx="9">
                  <c:v>142.5</c:v>
                </c:pt>
                <c:pt idx="10">
                  <c:v>168</c:v>
                </c:pt>
                <c:pt idx="11">
                  <c:v>192.5</c:v>
                </c:pt>
                <c:pt idx="12">
                  <c:v>215.5</c:v>
                </c:pt>
                <c:pt idx="13">
                  <c:v>238.5</c:v>
                </c:pt>
                <c:pt idx="14">
                  <c:v>262.5</c:v>
                </c:pt>
                <c:pt idx="15">
                  <c:v>286.5</c:v>
                </c:pt>
                <c:pt idx="16">
                  <c:v>309.5</c:v>
                </c:pt>
                <c:pt idx="17">
                  <c:v>335.5</c:v>
                </c:pt>
                <c:pt idx="18">
                  <c:v>360.5</c:v>
                </c:pt>
                <c:pt idx="19">
                  <c:v>385.5</c:v>
                </c:pt>
                <c:pt idx="20">
                  <c:v>407.5</c:v>
                </c:pt>
                <c:pt idx="21">
                  <c:v>432</c:v>
                </c:pt>
              </c:numCache>
            </c:numRef>
          </c:xVal>
          <c:yVal>
            <c:numRef>
              <c:f>'Growth curves CeBER'!$L$5:$L$26</c:f>
              <c:numCache>
                <c:formatCode>0.000</c:formatCode>
                <c:ptCount val="22"/>
                <c:pt idx="0">
                  <c:v>0.14142986666666665</c:v>
                </c:pt>
                <c:pt idx="1">
                  <c:v>0.19282153333333332</c:v>
                </c:pt>
                <c:pt idx="2">
                  <c:v>0.26805893333333336</c:v>
                </c:pt>
                <c:pt idx="3">
                  <c:v>0.30382753333333334</c:v>
                </c:pt>
                <c:pt idx="4">
                  <c:v>0.35151899999999997</c:v>
                </c:pt>
                <c:pt idx="5">
                  <c:v>0.45512460000000005</c:v>
                </c:pt>
                <c:pt idx="6">
                  <c:v>0.68700379999999994</c:v>
                </c:pt>
                <c:pt idx="7">
                  <c:v>0.88475893333333344</c:v>
                </c:pt>
                <c:pt idx="8">
                  <c:v>1.1499399333333333</c:v>
                </c:pt>
                <c:pt idx="9">
                  <c:v>1.7201818666666668</c:v>
                </c:pt>
                <c:pt idx="10">
                  <c:v>1.9561724</c:v>
                </c:pt>
                <c:pt idx="11">
                  <c:v>2.1074694666666667</c:v>
                </c:pt>
                <c:pt idx="12">
                  <c:v>2.3311259999999998</c:v>
                </c:pt>
                <c:pt idx="13">
                  <c:v>2.7151245333333338</c:v>
                </c:pt>
                <c:pt idx="14">
                  <c:v>2.8236637333333334</c:v>
                </c:pt>
                <c:pt idx="15">
                  <c:v>2.9009567999999999</c:v>
                </c:pt>
                <c:pt idx="16">
                  <c:v>3.0538984</c:v>
                </c:pt>
                <c:pt idx="17">
                  <c:v>3.2824885333333333</c:v>
                </c:pt>
                <c:pt idx="18">
                  <c:v>3.6623757333333331</c:v>
                </c:pt>
                <c:pt idx="19">
                  <c:v>4.0274621333333336</c:v>
                </c:pt>
                <c:pt idx="20">
                  <c:v>4.1310677333333334</c:v>
                </c:pt>
                <c:pt idx="21">
                  <c:v>4.2297397333333331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94-AB47-AE00-3B5F232830C3}"/>
            </c:ext>
          </c:extLst>
        </c:ser>
        <c:ser>
          <c:idx val="1"/>
          <c:order val="1"/>
          <c:tx>
            <c:strRef>
              <c:f>'Growth curves CeBER'!$B$93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CeBER'!$T$30:$T$51</c:f>
                <c:numCache>
                  <c:formatCode>General</c:formatCode>
                  <c:ptCount val="22"/>
                  <c:pt idx="1">
                    <c:v>4.3756457840869047E-2</c:v>
                  </c:pt>
                  <c:pt idx="2">
                    <c:v>2.3146312740751736E-2</c:v>
                  </c:pt>
                  <c:pt idx="3">
                    <c:v>2.5274029217842164E-2</c:v>
                  </c:pt>
                  <c:pt idx="4">
                    <c:v>1.9062035960864955E-2</c:v>
                  </c:pt>
                  <c:pt idx="5">
                    <c:v>2.1329494333904825E-2</c:v>
                  </c:pt>
                  <c:pt idx="6">
                    <c:v>1.7108507560823136E-2</c:v>
                  </c:pt>
                  <c:pt idx="7">
                    <c:v>1.1391048373198197E-2</c:v>
                  </c:pt>
                  <c:pt idx="8">
                    <c:v>9.3648932016450678E-3</c:v>
                  </c:pt>
                  <c:pt idx="9">
                    <c:v>1.2794633161984254E-2</c:v>
                  </c:pt>
                  <c:pt idx="10">
                    <c:v>1.5201346808654424E-2</c:v>
                  </c:pt>
                  <c:pt idx="11">
                    <c:v>7.2074022010712999E-4</c:v>
                  </c:pt>
                  <c:pt idx="12">
                    <c:v>4.0431901424767555E-3</c:v>
                  </c:pt>
                  <c:pt idx="13">
                    <c:v>2.4501276761361517E-3</c:v>
                  </c:pt>
                  <c:pt idx="14">
                    <c:v>6.8286606293798584E-3</c:v>
                  </c:pt>
                  <c:pt idx="15">
                    <c:v>4.0372728212094977E-3</c:v>
                  </c:pt>
                  <c:pt idx="16">
                    <c:v>-8.1053699170781184E-4</c:v>
                  </c:pt>
                  <c:pt idx="17">
                    <c:v>1.6862448809547056E-3</c:v>
                  </c:pt>
                  <c:pt idx="18">
                    <c:v>5.7182528202638248E-3</c:v>
                  </c:pt>
                  <c:pt idx="19">
                    <c:v>-4.4676853789953714E-3</c:v>
                  </c:pt>
                  <c:pt idx="20">
                    <c:v>-9.1368996914032894E-4</c:v>
                  </c:pt>
                  <c:pt idx="21">
                    <c:v>5.9332992638508305E-3</c:v>
                  </c:pt>
                </c:numCache>
              </c:numRef>
            </c:plus>
            <c:minus>
              <c:numRef>
                <c:f>'Growth curves CeBER'!$T$30:$T$51</c:f>
                <c:numCache>
                  <c:formatCode>General</c:formatCode>
                  <c:ptCount val="22"/>
                  <c:pt idx="1">
                    <c:v>4.3756457840869047E-2</c:v>
                  </c:pt>
                  <c:pt idx="2">
                    <c:v>2.3146312740751736E-2</c:v>
                  </c:pt>
                  <c:pt idx="3">
                    <c:v>2.5274029217842164E-2</c:v>
                  </c:pt>
                  <c:pt idx="4">
                    <c:v>1.9062035960864955E-2</c:v>
                  </c:pt>
                  <c:pt idx="5">
                    <c:v>2.1329494333904825E-2</c:v>
                  </c:pt>
                  <c:pt idx="6">
                    <c:v>1.7108507560823136E-2</c:v>
                  </c:pt>
                  <c:pt idx="7">
                    <c:v>1.1391048373198197E-2</c:v>
                  </c:pt>
                  <c:pt idx="8">
                    <c:v>9.3648932016450678E-3</c:v>
                  </c:pt>
                  <c:pt idx="9">
                    <c:v>1.2794633161984254E-2</c:v>
                  </c:pt>
                  <c:pt idx="10">
                    <c:v>1.5201346808654424E-2</c:v>
                  </c:pt>
                  <c:pt idx="11">
                    <c:v>7.2074022010712999E-4</c:v>
                  </c:pt>
                  <c:pt idx="12">
                    <c:v>4.0431901424767555E-3</c:v>
                  </c:pt>
                  <c:pt idx="13">
                    <c:v>2.4501276761361517E-3</c:v>
                  </c:pt>
                  <c:pt idx="14">
                    <c:v>6.8286606293798584E-3</c:v>
                  </c:pt>
                  <c:pt idx="15">
                    <c:v>4.0372728212094977E-3</c:v>
                  </c:pt>
                  <c:pt idx="16">
                    <c:v>-8.1053699170781184E-4</c:v>
                  </c:pt>
                  <c:pt idx="17">
                    <c:v>1.6862448809547056E-3</c:v>
                  </c:pt>
                  <c:pt idx="18">
                    <c:v>5.7182528202638248E-3</c:v>
                  </c:pt>
                  <c:pt idx="19">
                    <c:v>-4.4676853789953714E-3</c:v>
                  </c:pt>
                  <c:pt idx="20">
                    <c:v>-9.1368996914032894E-4</c:v>
                  </c:pt>
                  <c:pt idx="21">
                    <c:v>5.9332992638508305E-3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CeBER'!$D$30:$D$51</c:f>
              <c:numCache>
                <c:formatCode>0</c:formatCode>
                <c:ptCount val="22"/>
                <c:pt idx="0">
                  <c:v>0</c:v>
                </c:pt>
                <c:pt idx="1">
                  <c:v>7.5</c:v>
                </c:pt>
                <c:pt idx="2">
                  <c:v>22</c:v>
                </c:pt>
                <c:pt idx="3">
                  <c:v>26</c:v>
                </c:pt>
                <c:pt idx="4">
                  <c:v>31</c:v>
                </c:pt>
                <c:pt idx="5">
                  <c:v>48</c:v>
                </c:pt>
                <c:pt idx="6">
                  <c:v>72.5</c:v>
                </c:pt>
                <c:pt idx="7">
                  <c:v>94.5</c:v>
                </c:pt>
                <c:pt idx="8">
                  <c:v>117.5</c:v>
                </c:pt>
                <c:pt idx="9">
                  <c:v>141.5</c:v>
                </c:pt>
                <c:pt idx="10">
                  <c:v>166.5</c:v>
                </c:pt>
                <c:pt idx="11">
                  <c:v>191.5</c:v>
                </c:pt>
                <c:pt idx="12">
                  <c:v>214</c:v>
                </c:pt>
                <c:pt idx="13">
                  <c:v>237</c:v>
                </c:pt>
                <c:pt idx="14">
                  <c:v>261</c:v>
                </c:pt>
                <c:pt idx="15">
                  <c:v>285</c:v>
                </c:pt>
                <c:pt idx="16">
                  <c:v>308</c:v>
                </c:pt>
                <c:pt idx="17">
                  <c:v>334.5</c:v>
                </c:pt>
                <c:pt idx="18">
                  <c:v>359</c:v>
                </c:pt>
                <c:pt idx="19">
                  <c:v>383</c:v>
                </c:pt>
                <c:pt idx="20">
                  <c:v>405</c:v>
                </c:pt>
                <c:pt idx="21">
                  <c:v>430</c:v>
                </c:pt>
              </c:numCache>
            </c:numRef>
          </c:xVal>
          <c:yVal>
            <c:numRef>
              <c:f>'Growth curves CeBER'!$L$30:$L$51</c:f>
              <c:numCache>
                <c:formatCode>0.000</c:formatCode>
                <c:ptCount val="22"/>
                <c:pt idx="0">
                  <c:v>0.14184100000000002</c:v>
                </c:pt>
                <c:pt idx="1">
                  <c:v>0.21173366666666668</c:v>
                </c:pt>
                <c:pt idx="2">
                  <c:v>0.28450426666666667</c:v>
                </c:pt>
                <c:pt idx="3">
                  <c:v>0.31287246666666668</c:v>
                </c:pt>
                <c:pt idx="4">
                  <c:v>0.36714206666666666</c:v>
                </c:pt>
                <c:pt idx="5">
                  <c:v>0.50939420000000002</c:v>
                </c:pt>
                <c:pt idx="6">
                  <c:v>0.77005273333333335</c:v>
                </c:pt>
                <c:pt idx="7">
                  <c:v>1.0964926000000002</c:v>
                </c:pt>
                <c:pt idx="8">
                  <c:v>1.4389666666666667</c:v>
                </c:pt>
                <c:pt idx="9">
                  <c:v>2.0359322666666668</c:v>
                </c:pt>
                <c:pt idx="10">
                  <c:v>2.5482043999999999</c:v>
                </c:pt>
                <c:pt idx="11">
                  <c:v>2.7611714666666671</c:v>
                </c:pt>
                <c:pt idx="12">
                  <c:v>3.1813497333333332</c:v>
                </c:pt>
                <c:pt idx="13">
                  <c:v>3.3137346666666669</c:v>
                </c:pt>
                <c:pt idx="14">
                  <c:v>3.5390357333333333</c:v>
                </c:pt>
                <c:pt idx="15">
                  <c:v>3.7429578666666665</c:v>
                </c:pt>
                <c:pt idx="16">
                  <c:v>3.8054501333333337</c:v>
                </c:pt>
                <c:pt idx="17">
                  <c:v>3.9238565333333337</c:v>
                </c:pt>
                <c:pt idx="18">
                  <c:v>4.1688919999999996</c:v>
                </c:pt>
                <c:pt idx="19">
                  <c:v>4.2790757333333334</c:v>
                </c:pt>
                <c:pt idx="20">
                  <c:v>4.3530797333333338</c:v>
                </c:pt>
                <c:pt idx="21">
                  <c:v>4.4369509333333337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994-AB47-AE00-3B5F232830C3}"/>
            </c:ext>
          </c:extLst>
        </c:ser>
        <c:ser>
          <c:idx val="2"/>
          <c:order val="2"/>
          <c:tx>
            <c:strRef>
              <c:f>'Growth curves CeBER'!$C$93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CeBER'!$M$55:$M$76</c:f>
                <c:numCache>
                  <c:formatCode>General</c:formatCode>
                  <c:ptCount val="22"/>
                  <c:pt idx="0">
                    <c:v>1.3188347345036549E-2</c:v>
                  </c:pt>
                  <c:pt idx="1">
                    <c:v>6.3825056901223821E-3</c:v>
                  </c:pt>
                  <c:pt idx="2">
                    <c:v>5.0520909814100179E-3</c:v>
                  </c:pt>
                  <c:pt idx="3">
                    <c:v>6.7930375130226912E-3</c:v>
                  </c:pt>
                  <c:pt idx="4">
                    <c:v>2.4668000000000099E-3</c:v>
                  </c:pt>
                  <c:pt idx="5">
                    <c:v>5.7558666666666647E-3</c:v>
                  </c:pt>
                  <c:pt idx="6">
                    <c:v>4.6468980429003499E-2</c:v>
                  </c:pt>
                  <c:pt idx="7">
                    <c:v>8.3835923790566966E-2</c:v>
                  </c:pt>
                  <c:pt idx="8">
                    <c:v>9.3424113480264442E-2</c:v>
                  </c:pt>
                  <c:pt idx="9">
                    <c:v>0.11110949644390335</c:v>
                  </c:pt>
                  <c:pt idx="10">
                    <c:v>9.3391540716134092E-2</c:v>
                  </c:pt>
                  <c:pt idx="11">
                    <c:v>0.17367354305920582</c:v>
                  </c:pt>
                  <c:pt idx="12">
                    <c:v>7.730618682971703E-2</c:v>
                  </c:pt>
                  <c:pt idx="13">
                    <c:v>0.1937201632163032</c:v>
                  </c:pt>
                  <c:pt idx="14">
                    <c:v>0.10015464533113015</c:v>
                  </c:pt>
                  <c:pt idx="15">
                    <c:v>0.24831908779901188</c:v>
                  </c:pt>
                  <c:pt idx="16">
                    <c:v>0.22531907178663593</c:v>
                  </c:pt>
                  <c:pt idx="17">
                    <c:v>0.21368810731755764</c:v>
                  </c:pt>
                  <c:pt idx="18">
                    <c:v>7.2639243970123363E-2</c:v>
                  </c:pt>
                  <c:pt idx="19">
                    <c:v>5.1926644555479608E-2</c:v>
                  </c:pt>
                  <c:pt idx="20">
                    <c:v>8.0212102796855367E-2</c:v>
                  </c:pt>
                  <c:pt idx="21">
                    <c:v>5.5550184141468964E-2</c:v>
                  </c:pt>
                </c:numCache>
              </c:numRef>
            </c:plus>
            <c:minus>
              <c:numRef>
                <c:f>'Growth curves CeBER'!$M$55:$M$76</c:f>
                <c:numCache>
                  <c:formatCode>General</c:formatCode>
                  <c:ptCount val="22"/>
                  <c:pt idx="0">
                    <c:v>1.3188347345036549E-2</c:v>
                  </c:pt>
                  <c:pt idx="1">
                    <c:v>6.3825056901223821E-3</c:v>
                  </c:pt>
                  <c:pt idx="2">
                    <c:v>5.0520909814100179E-3</c:v>
                  </c:pt>
                  <c:pt idx="3">
                    <c:v>6.7930375130226912E-3</c:v>
                  </c:pt>
                  <c:pt idx="4">
                    <c:v>2.4668000000000099E-3</c:v>
                  </c:pt>
                  <c:pt idx="5">
                    <c:v>5.7558666666666647E-3</c:v>
                  </c:pt>
                  <c:pt idx="6">
                    <c:v>4.6468980429003499E-2</c:v>
                  </c:pt>
                  <c:pt idx="7">
                    <c:v>8.3835923790566966E-2</c:v>
                  </c:pt>
                  <c:pt idx="8">
                    <c:v>9.3424113480264442E-2</c:v>
                  </c:pt>
                  <c:pt idx="9">
                    <c:v>0.11110949644390335</c:v>
                  </c:pt>
                  <c:pt idx="10">
                    <c:v>9.3391540716134092E-2</c:v>
                  </c:pt>
                  <c:pt idx="11">
                    <c:v>0.17367354305920582</c:v>
                  </c:pt>
                  <c:pt idx="12">
                    <c:v>7.730618682971703E-2</c:v>
                  </c:pt>
                  <c:pt idx="13">
                    <c:v>0.1937201632163032</c:v>
                  </c:pt>
                  <c:pt idx="14">
                    <c:v>0.10015464533113015</c:v>
                  </c:pt>
                  <c:pt idx="15">
                    <c:v>0.24831908779901188</c:v>
                  </c:pt>
                  <c:pt idx="16">
                    <c:v>0.22531907178663593</c:v>
                  </c:pt>
                  <c:pt idx="17">
                    <c:v>0.21368810731755764</c:v>
                  </c:pt>
                  <c:pt idx="18">
                    <c:v>7.2639243970123363E-2</c:v>
                  </c:pt>
                  <c:pt idx="19">
                    <c:v>5.1926644555479608E-2</c:v>
                  </c:pt>
                  <c:pt idx="20">
                    <c:v>8.0212102796855367E-2</c:v>
                  </c:pt>
                  <c:pt idx="21">
                    <c:v>5.5550184141468964E-2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CeBER'!$D$55:$D$76</c:f>
              <c:numCache>
                <c:formatCode>0</c:formatCode>
                <c:ptCount val="22"/>
                <c:pt idx="0">
                  <c:v>0</c:v>
                </c:pt>
                <c:pt idx="1">
                  <c:v>7.5</c:v>
                </c:pt>
                <c:pt idx="2">
                  <c:v>21.5</c:v>
                </c:pt>
                <c:pt idx="3">
                  <c:v>25.5</c:v>
                </c:pt>
                <c:pt idx="4">
                  <c:v>30.5</c:v>
                </c:pt>
                <c:pt idx="5">
                  <c:v>47.5</c:v>
                </c:pt>
                <c:pt idx="6">
                  <c:v>72</c:v>
                </c:pt>
                <c:pt idx="7">
                  <c:v>94</c:v>
                </c:pt>
                <c:pt idx="8">
                  <c:v>117</c:v>
                </c:pt>
                <c:pt idx="9">
                  <c:v>141</c:v>
                </c:pt>
                <c:pt idx="10">
                  <c:v>166</c:v>
                </c:pt>
                <c:pt idx="11">
                  <c:v>191</c:v>
                </c:pt>
                <c:pt idx="12">
                  <c:v>213.5</c:v>
                </c:pt>
                <c:pt idx="13">
                  <c:v>236.5</c:v>
                </c:pt>
                <c:pt idx="14">
                  <c:v>260.5</c:v>
                </c:pt>
                <c:pt idx="15">
                  <c:v>284.5</c:v>
                </c:pt>
                <c:pt idx="16">
                  <c:v>307.5</c:v>
                </c:pt>
                <c:pt idx="17">
                  <c:v>334</c:v>
                </c:pt>
                <c:pt idx="18">
                  <c:v>358.5</c:v>
                </c:pt>
                <c:pt idx="19">
                  <c:v>382.5</c:v>
                </c:pt>
                <c:pt idx="20">
                  <c:v>405.5</c:v>
                </c:pt>
                <c:pt idx="21">
                  <c:v>430.5</c:v>
                </c:pt>
              </c:numCache>
            </c:numRef>
          </c:xVal>
          <c:yVal>
            <c:numRef>
              <c:f>'Growth curves CeBER'!$L$55:$L$76</c:f>
              <c:numCache>
                <c:formatCode>0.000</c:formatCode>
                <c:ptCount val="22"/>
                <c:pt idx="0">
                  <c:v>0.12950700000000001</c:v>
                </c:pt>
                <c:pt idx="1">
                  <c:v>0.18953246666666668</c:v>
                </c:pt>
                <c:pt idx="2">
                  <c:v>0.26682553333333331</c:v>
                </c:pt>
                <c:pt idx="3">
                  <c:v>0.27134799999999998</c:v>
                </c:pt>
                <c:pt idx="4">
                  <c:v>0.33055119999999999</c:v>
                </c:pt>
                <c:pt idx="5">
                  <c:v>0.46046933333333334</c:v>
                </c:pt>
                <c:pt idx="6">
                  <c:v>0.69974893333333332</c:v>
                </c:pt>
                <c:pt idx="7">
                  <c:v>1.0146770666666667</c:v>
                </c:pt>
                <c:pt idx="8">
                  <c:v>1.4110096000000001</c:v>
                </c:pt>
                <c:pt idx="9">
                  <c:v>1.8558558666666667</c:v>
                </c:pt>
                <c:pt idx="10">
                  <c:v>2.1855848</c:v>
                </c:pt>
                <c:pt idx="11">
                  <c:v>2.5942513333333337</c:v>
                </c:pt>
                <c:pt idx="12">
                  <c:v>2.8927341333333332</c:v>
                </c:pt>
                <c:pt idx="13">
                  <c:v>3.2331525333333335</c:v>
                </c:pt>
                <c:pt idx="14">
                  <c:v>3.6031725333333333</c:v>
                </c:pt>
                <c:pt idx="15">
                  <c:v>3.9962160000000004</c:v>
                </c:pt>
                <c:pt idx="16">
                  <c:v>4.2889429333333338</c:v>
                </c:pt>
                <c:pt idx="17">
                  <c:v>4.3613024000000005</c:v>
                </c:pt>
                <c:pt idx="18">
                  <c:v>4.4172165333333338</c:v>
                </c:pt>
                <c:pt idx="19">
                  <c:v>4.428728266666667</c:v>
                </c:pt>
                <c:pt idx="20">
                  <c:v>4.5734472000000004</c:v>
                </c:pt>
                <c:pt idx="21">
                  <c:v>4.6852754666666669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994-AB47-AE00-3B5F232830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50368"/>
        <c:axId val="1542574832"/>
      </c:scatterChart>
      <c:valAx>
        <c:axId val="1157550368"/>
        <c:scaling>
          <c:orientation val="minMax"/>
          <c:max val="4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2574832"/>
        <c:crosses val="autoZero"/>
        <c:crossBetween val="midCat"/>
        <c:majorUnit val="50"/>
      </c:valAx>
      <c:valAx>
        <c:axId val="1542574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Biomass concentration (g.L</a:t>
                </a:r>
                <a:r>
                  <a:rPr lang="en-GB" baseline="30000"/>
                  <a:t>-1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30046296296296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575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UTEX #1926'!$A$93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#1926'!$R$5:$R$26</c:f>
                <c:numCache>
                  <c:formatCode>General</c:formatCode>
                  <c:ptCount val="22"/>
                  <c:pt idx="0">
                    <c:v>4.0179784457145526E-2</c:v>
                  </c:pt>
                  <c:pt idx="1">
                    <c:v>1.3466458023119274E-2</c:v>
                  </c:pt>
                  <c:pt idx="2">
                    <c:v>2.5379696604967181E-2</c:v>
                  </c:pt>
                  <c:pt idx="3">
                    <c:v>5.6395997566426811E-3</c:v>
                  </c:pt>
                  <c:pt idx="4">
                    <c:v>1.6022634152446858E-2</c:v>
                  </c:pt>
                  <c:pt idx="5">
                    <c:v>2.7988737136542194E-2</c:v>
                  </c:pt>
                  <c:pt idx="6">
                    <c:v>4.4372951691630323E-2</c:v>
                  </c:pt>
                  <c:pt idx="7">
                    <c:v>7.1274411527423712E-2</c:v>
                  </c:pt>
                  <c:pt idx="8">
                    <c:v>7.099182128131476E-2</c:v>
                  </c:pt>
                  <c:pt idx="9">
                    <c:v>5.7506382323416018E-2</c:v>
                  </c:pt>
                  <c:pt idx="10">
                    <c:v>2.4348590014978952E-2</c:v>
                  </c:pt>
                  <c:pt idx="11">
                    <c:v>1.9368027922071079E-2</c:v>
                  </c:pt>
                  <c:pt idx="12">
                    <c:v>8.39008912640863E-3</c:v>
                  </c:pt>
                  <c:pt idx="13">
                    <c:v>1.4949368665589775E-2</c:v>
                  </c:pt>
                  <c:pt idx="14">
                    <c:v>3.3501445655590573E-2</c:v>
                  </c:pt>
                  <c:pt idx="15">
                    <c:v>1.8356346392061105E-2</c:v>
                  </c:pt>
                  <c:pt idx="16">
                    <c:v>6.6082956221228104E-2</c:v>
                  </c:pt>
                  <c:pt idx="17">
                    <c:v>8.3022607760039918E-2</c:v>
                  </c:pt>
                  <c:pt idx="18">
                    <c:v>6.4232971034080419E-2</c:v>
                  </c:pt>
                  <c:pt idx="19">
                    <c:v>3.7265200771688364E-2</c:v>
                  </c:pt>
                  <c:pt idx="20">
                    <c:v>3.555491782948985E-2</c:v>
                  </c:pt>
                  <c:pt idx="21">
                    <c:v>3.4781487605214358E-2</c:v>
                  </c:pt>
                </c:numCache>
              </c:numRef>
            </c:plus>
            <c:minus>
              <c:numRef>
                <c:f>'Growth curves UTEX #1926'!$R$5:$R$26</c:f>
                <c:numCache>
                  <c:formatCode>General</c:formatCode>
                  <c:ptCount val="22"/>
                  <c:pt idx="0">
                    <c:v>4.0179784457145526E-2</c:v>
                  </c:pt>
                  <c:pt idx="1">
                    <c:v>1.3466458023119274E-2</c:v>
                  </c:pt>
                  <c:pt idx="2">
                    <c:v>2.5379696604967181E-2</c:v>
                  </c:pt>
                  <c:pt idx="3">
                    <c:v>5.6395997566426811E-3</c:v>
                  </c:pt>
                  <c:pt idx="4">
                    <c:v>1.6022634152446858E-2</c:v>
                  </c:pt>
                  <c:pt idx="5">
                    <c:v>2.7988737136542194E-2</c:v>
                  </c:pt>
                  <c:pt idx="6">
                    <c:v>4.4372951691630323E-2</c:v>
                  </c:pt>
                  <c:pt idx="7">
                    <c:v>7.1274411527423712E-2</c:v>
                  </c:pt>
                  <c:pt idx="8">
                    <c:v>7.099182128131476E-2</c:v>
                  </c:pt>
                  <c:pt idx="9">
                    <c:v>5.7506382323416018E-2</c:v>
                  </c:pt>
                  <c:pt idx="10">
                    <c:v>2.4348590014978952E-2</c:v>
                  </c:pt>
                  <c:pt idx="11">
                    <c:v>1.9368027922071079E-2</c:v>
                  </c:pt>
                  <c:pt idx="12">
                    <c:v>8.39008912640863E-3</c:v>
                  </c:pt>
                  <c:pt idx="13">
                    <c:v>1.4949368665589775E-2</c:v>
                  </c:pt>
                  <c:pt idx="14">
                    <c:v>3.3501445655590573E-2</c:v>
                  </c:pt>
                  <c:pt idx="15">
                    <c:v>1.8356346392061105E-2</c:v>
                  </c:pt>
                  <c:pt idx="16">
                    <c:v>6.6082956221228104E-2</c:v>
                  </c:pt>
                  <c:pt idx="17">
                    <c:v>8.3022607760039918E-2</c:v>
                  </c:pt>
                  <c:pt idx="18">
                    <c:v>6.4232971034080419E-2</c:v>
                  </c:pt>
                  <c:pt idx="19">
                    <c:v>3.7265200771688364E-2</c:v>
                  </c:pt>
                  <c:pt idx="20">
                    <c:v>3.555491782948985E-2</c:v>
                  </c:pt>
                  <c:pt idx="21">
                    <c:v>3.4781487605214358E-2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#1926'!$D$5:$D$26</c:f>
              <c:numCache>
                <c:formatCode>0</c:formatCode>
                <c:ptCount val="22"/>
                <c:pt idx="0">
                  <c:v>0</c:v>
                </c:pt>
                <c:pt idx="1">
                  <c:v>8</c:v>
                </c:pt>
                <c:pt idx="2">
                  <c:v>22.5</c:v>
                </c:pt>
                <c:pt idx="3">
                  <c:v>26.5</c:v>
                </c:pt>
                <c:pt idx="4">
                  <c:v>31.5</c:v>
                </c:pt>
                <c:pt idx="5">
                  <c:v>48.5</c:v>
                </c:pt>
                <c:pt idx="6">
                  <c:v>72.5</c:v>
                </c:pt>
                <c:pt idx="7">
                  <c:v>95</c:v>
                </c:pt>
                <c:pt idx="8">
                  <c:v>118.5</c:v>
                </c:pt>
                <c:pt idx="9">
                  <c:v>142.5</c:v>
                </c:pt>
                <c:pt idx="10">
                  <c:v>168</c:v>
                </c:pt>
                <c:pt idx="11">
                  <c:v>192.5</c:v>
                </c:pt>
                <c:pt idx="12">
                  <c:v>215.5</c:v>
                </c:pt>
                <c:pt idx="13">
                  <c:v>238.5</c:v>
                </c:pt>
                <c:pt idx="14">
                  <c:v>262.5</c:v>
                </c:pt>
                <c:pt idx="15">
                  <c:v>286.5</c:v>
                </c:pt>
                <c:pt idx="16">
                  <c:v>309.5</c:v>
                </c:pt>
                <c:pt idx="17">
                  <c:v>335.5</c:v>
                </c:pt>
                <c:pt idx="18">
                  <c:v>360.5</c:v>
                </c:pt>
                <c:pt idx="19">
                  <c:v>385.5</c:v>
                </c:pt>
                <c:pt idx="20">
                  <c:v>407.5</c:v>
                </c:pt>
                <c:pt idx="21">
                  <c:v>432</c:v>
                </c:pt>
              </c:numCache>
            </c:numRef>
          </c:xVal>
          <c:yVal>
            <c:numRef>
              <c:f>'Growth curves UTEX #1926'!$Q$5:$Q$26</c:f>
              <c:numCache>
                <c:formatCode>0.000</c:formatCode>
                <c:ptCount val="22"/>
                <c:pt idx="0">
                  <c:v>-2.0969934019188057</c:v>
                </c:pt>
                <c:pt idx="1">
                  <c:v>-1.7450687049287703</c:v>
                </c:pt>
                <c:pt idx="2">
                  <c:v>-1.3147453726561693</c:v>
                </c:pt>
                <c:pt idx="3">
                  <c:v>-1.3172669233121572</c:v>
                </c:pt>
                <c:pt idx="4">
                  <c:v>-1.1451469839176331</c:v>
                </c:pt>
                <c:pt idx="5">
                  <c:v>-0.78886710410207772</c:v>
                </c:pt>
                <c:pt idx="6">
                  <c:v>-0.44124215560888164</c:v>
                </c:pt>
                <c:pt idx="7">
                  <c:v>-0.13276697452870198</c:v>
                </c:pt>
                <c:pt idx="8">
                  <c:v>0.12343493483633106</c:v>
                </c:pt>
                <c:pt idx="9">
                  <c:v>0.44155765083759729</c:v>
                </c:pt>
                <c:pt idx="10">
                  <c:v>0.62269835399149798</c:v>
                </c:pt>
                <c:pt idx="11">
                  <c:v>0.71695035841659893</c:v>
                </c:pt>
                <c:pt idx="12">
                  <c:v>0.83248624489632628</c:v>
                </c:pt>
                <c:pt idx="13">
                  <c:v>0.915012736765207</c:v>
                </c:pt>
                <c:pt idx="14">
                  <c:v>1.0631716801413387</c:v>
                </c:pt>
                <c:pt idx="15">
                  <c:v>1.1311585306234613</c:v>
                </c:pt>
                <c:pt idx="16">
                  <c:v>1.1901001949808252</c:v>
                </c:pt>
                <c:pt idx="17">
                  <c:v>1.2381052807328083</c:v>
                </c:pt>
                <c:pt idx="18">
                  <c:v>1.3375701639653883</c:v>
                </c:pt>
                <c:pt idx="19">
                  <c:v>1.3655446546894925</c:v>
                </c:pt>
                <c:pt idx="20">
                  <c:v>1.3784224747783018</c:v>
                </c:pt>
                <c:pt idx="21">
                  <c:v>1.3894037038984022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6F-6E4E-9AFC-A668F2950213}"/>
            </c:ext>
          </c:extLst>
        </c:ser>
        <c:ser>
          <c:idx val="1"/>
          <c:order val="1"/>
          <c:tx>
            <c:strRef>
              <c:f>'Growth curves UTEX #1926'!$B$93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#1926'!$R$30:$R$51</c:f>
                <c:numCache>
                  <c:formatCode>General</c:formatCode>
                  <c:ptCount val="22"/>
                  <c:pt idx="0">
                    <c:v>1.3719567337001909E-2</c:v>
                  </c:pt>
                  <c:pt idx="1">
                    <c:v>2.1668276769665283E-2</c:v>
                  </c:pt>
                  <c:pt idx="2">
                    <c:v>2.3991166541696453E-2</c:v>
                  </c:pt>
                  <c:pt idx="3">
                    <c:v>2.1111058030854359E-2</c:v>
                  </c:pt>
                  <c:pt idx="4">
                    <c:v>3.5869804430962604E-2</c:v>
                  </c:pt>
                  <c:pt idx="5">
                    <c:v>3.441542851435668E-2</c:v>
                  </c:pt>
                  <c:pt idx="6">
                    <c:v>7.6517250341119225E-2</c:v>
                  </c:pt>
                  <c:pt idx="7">
                    <c:v>7.26235751166176E-2</c:v>
                  </c:pt>
                  <c:pt idx="8">
                    <c:v>7.1358195055552881E-2</c:v>
                  </c:pt>
                  <c:pt idx="9">
                    <c:v>9.649895886733563E-2</c:v>
                  </c:pt>
                  <c:pt idx="10">
                    <c:v>7.6135948796645883E-2</c:v>
                  </c:pt>
                  <c:pt idx="11">
                    <c:v>8.3782979489268383E-2</c:v>
                  </c:pt>
                  <c:pt idx="12">
                    <c:v>7.8985979898057279E-2</c:v>
                  </c:pt>
                  <c:pt idx="13">
                    <c:v>5.6044914404589488E-2</c:v>
                  </c:pt>
                  <c:pt idx="14">
                    <c:v>4.4385450631022047E-2</c:v>
                  </c:pt>
                  <c:pt idx="15">
                    <c:v>2.205466387856609E-2</c:v>
                  </c:pt>
                  <c:pt idx="16">
                    <c:v>2.1940829713940825E-2</c:v>
                  </c:pt>
                  <c:pt idx="17">
                    <c:v>1.5981539363940776E-2</c:v>
                  </c:pt>
                  <c:pt idx="18">
                    <c:v>1.304681768818711E-2</c:v>
                  </c:pt>
                  <c:pt idx="19">
                    <c:v>4.0249650509182923E-2</c:v>
                  </c:pt>
                  <c:pt idx="20">
                    <c:v>4.4683563211718166E-2</c:v>
                  </c:pt>
                  <c:pt idx="21">
                    <c:v>1.0968300672046703E-2</c:v>
                  </c:pt>
                </c:numCache>
              </c:numRef>
            </c:plus>
            <c:minus>
              <c:numRef>
                <c:f>'Growth curves UTEX #1926'!$R$30:$R$51</c:f>
                <c:numCache>
                  <c:formatCode>General</c:formatCode>
                  <c:ptCount val="22"/>
                  <c:pt idx="0">
                    <c:v>1.3719567337001909E-2</c:v>
                  </c:pt>
                  <c:pt idx="1">
                    <c:v>2.1668276769665283E-2</c:v>
                  </c:pt>
                  <c:pt idx="2">
                    <c:v>2.3991166541696453E-2</c:v>
                  </c:pt>
                  <c:pt idx="3">
                    <c:v>2.1111058030854359E-2</c:v>
                  </c:pt>
                  <c:pt idx="4">
                    <c:v>3.5869804430962604E-2</c:v>
                  </c:pt>
                  <c:pt idx="5">
                    <c:v>3.441542851435668E-2</c:v>
                  </c:pt>
                  <c:pt idx="6">
                    <c:v>7.6517250341119225E-2</c:v>
                  </c:pt>
                  <c:pt idx="7">
                    <c:v>7.26235751166176E-2</c:v>
                  </c:pt>
                  <c:pt idx="8">
                    <c:v>7.1358195055552881E-2</c:v>
                  </c:pt>
                  <c:pt idx="9">
                    <c:v>9.649895886733563E-2</c:v>
                  </c:pt>
                  <c:pt idx="10">
                    <c:v>7.6135948796645883E-2</c:v>
                  </c:pt>
                  <c:pt idx="11">
                    <c:v>8.3782979489268383E-2</c:v>
                  </c:pt>
                  <c:pt idx="12">
                    <c:v>7.8985979898057279E-2</c:v>
                  </c:pt>
                  <c:pt idx="13">
                    <c:v>5.6044914404589488E-2</c:v>
                  </c:pt>
                  <c:pt idx="14">
                    <c:v>4.4385450631022047E-2</c:v>
                  </c:pt>
                  <c:pt idx="15">
                    <c:v>2.205466387856609E-2</c:v>
                  </c:pt>
                  <c:pt idx="16">
                    <c:v>2.1940829713940825E-2</c:v>
                  </c:pt>
                  <c:pt idx="17">
                    <c:v>1.5981539363940776E-2</c:v>
                  </c:pt>
                  <c:pt idx="18">
                    <c:v>1.304681768818711E-2</c:v>
                  </c:pt>
                  <c:pt idx="19">
                    <c:v>4.0249650509182923E-2</c:v>
                  </c:pt>
                  <c:pt idx="20">
                    <c:v>4.4683563211718166E-2</c:v>
                  </c:pt>
                  <c:pt idx="21">
                    <c:v>1.0968300672046703E-2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#1926'!$D$30:$D$51</c:f>
              <c:numCache>
                <c:formatCode>0</c:formatCode>
                <c:ptCount val="22"/>
                <c:pt idx="0">
                  <c:v>0</c:v>
                </c:pt>
                <c:pt idx="1">
                  <c:v>7.5</c:v>
                </c:pt>
                <c:pt idx="2">
                  <c:v>22</c:v>
                </c:pt>
                <c:pt idx="3">
                  <c:v>26</c:v>
                </c:pt>
                <c:pt idx="4">
                  <c:v>31</c:v>
                </c:pt>
                <c:pt idx="5">
                  <c:v>48</c:v>
                </c:pt>
                <c:pt idx="6">
                  <c:v>72.5</c:v>
                </c:pt>
                <c:pt idx="7">
                  <c:v>94.5</c:v>
                </c:pt>
                <c:pt idx="8">
                  <c:v>117.5</c:v>
                </c:pt>
                <c:pt idx="9">
                  <c:v>141.5</c:v>
                </c:pt>
                <c:pt idx="10">
                  <c:v>166.5</c:v>
                </c:pt>
                <c:pt idx="11">
                  <c:v>191.5</c:v>
                </c:pt>
                <c:pt idx="12">
                  <c:v>214</c:v>
                </c:pt>
                <c:pt idx="13">
                  <c:v>237</c:v>
                </c:pt>
                <c:pt idx="14">
                  <c:v>261</c:v>
                </c:pt>
                <c:pt idx="15">
                  <c:v>285</c:v>
                </c:pt>
                <c:pt idx="16">
                  <c:v>308</c:v>
                </c:pt>
                <c:pt idx="17">
                  <c:v>334.5</c:v>
                </c:pt>
                <c:pt idx="18">
                  <c:v>359</c:v>
                </c:pt>
                <c:pt idx="19">
                  <c:v>383</c:v>
                </c:pt>
                <c:pt idx="20">
                  <c:v>405</c:v>
                </c:pt>
                <c:pt idx="21">
                  <c:v>430</c:v>
                </c:pt>
              </c:numCache>
            </c:numRef>
          </c:xVal>
          <c:yVal>
            <c:numRef>
              <c:f>'Growth curves UTEX #1926'!$Q$30:$Q$51</c:f>
              <c:numCache>
                <c:formatCode>0.000</c:formatCode>
                <c:ptCount val="22"/>
                <c:pt idx="0">
                  <c:v>-1.9586496856254112</c:v>
                </c:pt>
                <c:pt idx="1">
                  <c:v>-1.7574529920168278</c:v>
                </c:pt>
                <c:pt idx="2">
                  <c:v>-1.3256738275949358</c:v>
                </c:pt>
                <c:pt idx="3">
                  <c:v>-1.1939917687282966</c:v>
                </c:pt>
                <c:pt idx="4">
                  <c:v>-1.155440934801951</c:v>
                </c:pt>
                <c:pt idx="5">
                  <c:v>-0.75926472769230668</c:v>
                </c:pt>
                <c:pt idx="6">
                  <c:v>-0.44985322623023238</c:v>
                </c:pt>
                <c:pt idx="7">
                  <c:v>-2.6460235169532914E-2</c:v>
                </c:pt>
                <c:pt idx="8">
                  <c:v>0.336027229437311</c:v>
                </c:pt>
                <c:pt idx="9">
                  <c:v>0.64435259531777356</c:v>
                </c:pt>
                <c:pt idx="10">
                  <c:v>0.79792209227947575</c:v>
                </c:pt>
                <c:pt idx="11">
                  <c:v>0.95054633291332413</c:v>
                </c:pt>
                <c:pt idx="12">
                  <c:v>1.0887665364622452</c:v>
                </c:pt>
                <c:pt idx="13">
                  <c:v>1.2085292469956392</c:v>
                </c:pt>
                <c:pt idx="14">
                  <c:v>1.3211733070536502</c:v>
                </c:pt>
                <c:pt idx="15">
                  <c:v>1.3681444202151372</c:v>
                </c:pt>
                <c:pt idx="16">
                  <c:v>1.3732644730707522</c:v>
                </c:pt>
                <c:pt idx="17">
                  <c:v>1.3953553551869986</c:v>
                </c:pt>
                <c:pt idx="18">
                  <c:v>1.3904357792131954</c:v>
                </c:pt>
                <c:pt idx="19">
                  <c:v>1.3877307096845513</c:v>
                </c:pt>
                <c:pt idx="20">
                  <c:v>1.4105337700979093</c:v>
                </c:pt>
                <c:pt idx="21">
                  <c:v>1.4326442741216898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E6F-6E4E-9AFC-A668F2950213}"/>
            </c:ext>
          </c:extLst>
        </c:ser>
        <c:ser>
          <c:idx val="2"/>
          <c:order val="2"/>
          <c:tx>
            <c:strRef>
              <c:f>'Growth curves UTEX #1926'!$C$93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#1926'!$R$55:$R$76</c:f>
                <c:numCache>
                  <c:formatCode>General</c:formatCode>
                  <c:ptCount val="22"/>
                  <c:pt idx="0">
                    <c:v>4.3649104950383245E-2</c:v>
                  </c:pt>
                  <c:pt idx="1">
                    <c:v>4.1827983327154365E-2</c:v>
                  </c:pt>
                  <c:pt idx="2">
                    <c:v>6.4027876928558908E-2</c:v>
                  </c:pt>
                  <c:pt idx="3">
                    <c:v>7.1409230453377756E-2</c:v>
                  </c:pt>
                  <c:pt idx="4">
                    <c:v>5.433121014737434E-2</c:v>
                  </c:pt>
                  <c:pt idx="5">
                    <c:v>1.3295059724539321E-2</c:v>
                  </c:pt>
                  <c:pt idx="6">
                    <c:v>7.9876716321161473E-2</c:v>
                  </c:pt>
                  <c:pt idx="7">
                    <c:v>9.5093279778555279E-2</c:v>
                  </c:pt>
                  <c:pt idx="8">
                    <c:v>8.41996972562854E-2</c:v>
                  </c:pt>
                  <c:pt idx="9">
                    <c:v>5.9525350162437735E-2</c:v>
                  </c:pt>
                  <c:pt idx="10">
                    <c:v>8.6457944095166467E-2</c:v>
                  </c:pt>
                  <c:pt idx="11">
                    <c:v>5.7892262890681008E-2</c:v>
                  </c:pt>
                  <c:pt idx="12">
                    <c:v>1.6912127070390491E-2</c:v>
                  </c:pt>
                  <c:pt idx="13">
                    <c:v>3.9050938502889439E-2</c:v>
                  </c:pt>
                  <c:pt idx="14">
                    <c:v>3.7346423683425042E-2</c:v>
                  </c:pt>
                  <c:pt idx="15">
                    <c:v>1.601005471159056E-2</c:v>
                  </c:pt>
                  <c:pt idx="16">
                    <c:v>3.0398264344084037E-2</c:v>
                  </c:pt>
                  <c:pt idx="17">
                    <c:v>3.1862931847448761E-2</c:v>
                  </c:pt>
                  <c:pt idx="18">
                    <c:v>4.4556099032270965E-2</c:v>
                  </c:pt>
                  <c:pt idx="19">
                    <c:v>6.6166124411104185E-2</c:v>
                  </c:pt>
                  <c:pt idx="20">
                    <c:v>4.1192026880502303E-2</c:v>
                  </c:pt>
                  <c:pt idx="21">
                    <c:v>3.6320372217090675E-2</c:v>
                  </c:pt>
                </c:numCache>
              </c:numRef>
            </c:plus>
            <c:minus>
              <c:numRef>
                <c:f>'Growth curves UTEX #1926'!$R$55:$R$76</c:f>
                <c:numCache>
                  <c:formatCode>General</c:formatCode>
                  <c:ptCount val="22"/>
                  <c:pt idx="0">
                    <c:v>4.3649104950383245E-2</c:v>
                  </c:pt>
                  <c:pt idx="1">
                    <c:v>4.1827983327154365E-2</c:v>
                  </c:pt>
                  <c:pt idx="2">
                    <c:v>6.4027876928558908E-2</c:v>
                  </c:pt>
                  <c:pt idx="3">
                    <c:v>7.1409230453377756E-2</c:v>
                  </c:pt>
                  <c:pt idx="4">
                    <c:v>5.433121014737434E-2</c:v>
                  </c:pt>
                  <c:pt idx="5">
                    <c:v>1.3295059724539321E-2</c:v>
                  </c:pt>
                  <c:pt idx="6">
                    <c:v>7.9876716321161473E-2</c:v>
                  </c:pt>
                  <c:pt idx="7">
                    <c:v>9.5093279778555279E-2</c:v>
                  </c:pt>
                  <c:pt idx="8">
                    <c:v>8.41996972562854E-2</c:v>
                  </c:pt>
                  <c:pt idx="9">
                    <c:v>5.9525350162437735E-2</c:v>
                  </c:pt>
                  <c:pt idx="10">
                    <c:v>8.6457944095166467E-2</c:v>
                  </c:pt>
                  <c:pt idx="11">
                    <c:v>5.7892262890681008E-2</c:v>
                  </c:pt>
                  <c:pt idx="12">
                    <c:v>1.6912127070390491E-2</c:v>
                  </c:pt>
                  <c:pt idx="13">
                    <c:v>3.9050938502889439E-2</c:v>
                  </c:pt>
                  <c:pt idx="14">
                    <c:v>3.7346423683425042E-2</c:v>
                  </c:pt>
                  <c:pt idx="15">
                    <c:v>1.601005471159056E-2</c:v>
                  </c:pt>
                  <c:pt idx="16">
                    <c:v>3.0398264344084037E-2</c:v>
                  </c:pt>
                  <c:pt idx="17">
                    <c:v>3.1862931847448761E-2</c:v>
                  </c:pt>
                  <c:pt idx="18">
                    <c:v>4.4556099032270965E-2</c:v>
                  </c:pt>
                  <c:pt idx="19">
                    <c:v>6.6166124411104185E-2</c:v>
                  </c:pt>
                  <c:pt idx="20">
                    <c:v>4.1192026880502303E-2</c:v>
                  </c:pt>
                  <c:pt idx="21">
                    <c:v>3.6320372217090675E-2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#1926'!$D$55:$D$76</c:f>
              <c:numCache>
                <c:formatCode>0</c:formatCode>
                <c:ptCount val="22"/>
                <c:pt idx="0">
                  <c:v>0</c:v>
                </c:pt>
                <c:pt idx="1">
                  <c:v>8</c:v>
                </c:pt>
                <c:pt idx="2">
                  <c:v>23</c:v>
                </c:pt>
                <c:pt idx="3">
                  <c:v>27</c:v>
                </c:pt>
                <c:pt idx="4">
                  <c:v>32</c:v>
                </c:pt>
                <c:pt idx="5">
                  <c:v>47.5</c:v>
                </c:pt>
                <c:pt idx="6">
                  <c:v>72</c:v>
                </c:pt>
                <c:pt idx="7">
                  <c:v>94</c:v>
                </c:pt>
                <c:pt idx="8">
                  <c:v>117</c:v>
                </c:pt>
                <c:pt idx="9">
                  <c:v>141</c:v>
                </c:pt>
                <c:pt idx="10">
                  <c:v>166</c:v>
                </c:pt>
                <c:pt idx="11">
                  <c:v>191</c:v>
                </c:pt>
                <c:pt idx="12">
                  <c:v>213.5</c:v>
                </c:pt>
                <c:pt idx="13">
                  <c:v>236.5</c:v>
                </c:pt>
                <c:pt idx="14">
                  <c:v>260.5</c:v>
                </c:pt>
                <c:pt idx="15">
                  <c:v>284.5</c:v>
                </c:pt>
                <c:pt idx="16">
                  <c:v>307.5</c:v>
                </c:pt>
                <c:pt idx="17">
                  <c:v>334</c:v>
                </c:pt>
                <c:pt idx="18">
                  <c:v>358.5</c:v>
                </c:pt>
                <c:pt idx="19">
                  <c:v>382.5</c:v>
                </c:pt>
                <c:pt idx="20">
                  <c:v>405.5</c:v>
                </c:pt>
                <c:pt idx="21">
                  <c:v>430.5</c:v>
                </c:pt>
              </c:numCache>
            </c:numRef>
          </c:xVal>
          <c:yVal>
            <c:numRef>
              <c:f>'Growth curves UTEX #1926'!$Q$55:$Q$76</c:f>
              <c:numCache>
                <c:formatCode>0.000</c:formatCode>
                <c:ptCount val="22"/>
                <c:pt idx="0">
                  <c:v>-2.0604686995615555</c:v>
                </c:pt>
                <c:pt idx="1">
                  <c:v>-1.7984457809276508</c:v>
                </c:pt>
                <c:pt idx="2">
                  <c:v>-1.4271108905877046</c:v>
                </c:pt>
                <c:pt idx="3">
                  <c:v>-1.3271347848692308</c:v>
                </c:pt>
                <c:pt idx="4">
                  <c:v>-1.2231400440153786</c:v>
                </c:pt>
                <c:pt idx="5">
                  <c:v>-0.85705565741918566</c:v>
                </c:pt>
                <c:pt idx="6">
                  <c:v>-0.40809072070488767</c:v>
                </c:pt>
                <c:pt idx="7">
                  <c:v>-5.8014798125340404E-2</c:v>
                </c:pt>
                <c:pt idx="8">
                  <c:v>0.32877196655999702</c:v>
                </c:pt>
                <c:pt idx="9">
                  <c:v>0.63046952114735433</c:v>
                </c:pt>
                <c:pt idx="10">
                  <c:v>0.85552218659339829</c:v>
                </c:pt>
                <c:pt idx="11">
                  <c:v>0.97446222765389923</c:v>
                </c:pt>
                <c:pt idx="12">
                  <c:v>1.0584773670104923</c:v>
                </c:pt>
                <c:pt idx="13">
                  <c:v>1.1337715623847833</c:v>
                </c:pt>
                <c:pt idx="14">
                  <c:v>1.2344479249822256</c:v>
                </c:pt>
                <c:pt idx="15">
                  <c:v>1.2841520148503467</c:v>
                </c:pt>
                <c:pt idx="16">
                  <c:v>1.3495873481995837</c:v>
                </c:pt>
                <c:pt idx="17">
                  <c:v>1.3650540400678384</c:v>
                </c:pt>
                <c:pt idx="18">
                  <c:v>1.405617827995566</c:v>
                </c:pt>
                <c:pt idx="19">
                  <c:v>1.4105953709096337</c:v>
                </c:pt>
                <c:pt idx="20">
                  <c:v>1.4394591773701382</c:v>
                </c:pt>
                <c:pt idx="21">
                  <c:v>1.4738118459489309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E6F-6E4E-9AFC-A668F2950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67840"/>
        <c:axId val="1020632992"/>
      </c:scatterChart>
      <c:valAx>
        <c:axId val="114196784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32992"/>
        <c:crosses val="autoZero"/>
        <c:crossBetween val="midCat"/>
        <c:majorUnit val="50"/>
      </c:valAx>
      <c:valAx>
        <c:axId val="102063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ln</a:t>
                </a:r>
                <a:r>
                  <a:rPr lang="en-ZA" baseline="0"/>
                  <a:t> biomass concentration </a:t>
                </a:r>
                <a:r>
                  <a:rPr lang="en-ZA"/>
                  <a:t>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93611082258263E-2"/>
              <c:y val="0.151830414834373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196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 UTEX #1926'!$A$93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#1926'!$M$5:$M$26</c:f>
                <c:numCache>
                  <c:formatCode>General</c:formatCode>
                  <c:ptCount val="22"/>
                  <c:pt idx="0">
                    <c:v>4.8421386147491094E-3</c:v>
                  </c:pt>
                  <c:pt idx="1">
                    <c:v>2.3377186638068922E-3</c:v>
                  </c:pt>
                  <c:pt idx="2">
                    <c:v>6.7571145176357969E-3</c:v>
                  </c:pt>
                  <c:pt idx="3">
                    <c:v>1.5138507955248109E-3</c:v>
                  </c:pt>
                  <c:pt idx="4">
                    <c:v>5.107898455442423E-3</c:v>
                  </c:pt>
                  <c:pt idx="5">
                    <c:v>1.2742105963039778E-2</c:v>
                  </c:pt>
                  <c:pt idx="6">
                    <c:v>2.8281066752472047E-2</c:v>
                  </c:pt>
                  <c:pt idx="7">
                    <c:v>6.0845909158719236E-2</c:v>
                  </c:pt>
                  <c:pt idx="8">
                    <c:v>7.8720241367290306E-2</c:v>
                  </c:pt>
                  <c:pt idx="9">
                    <c:v>8.8295873619351276E-2</c:v>
                  </c:pt>
                  <c:pt idx="10">
                    <c:v>4.488451255349056E-2</c:v>
                  </c:pt>
                  <c:pt idx="11">
                    <c:v>3.9946954038129617E-2</c:v>
                  </c:pt>
                  <c:pt idx="12">
                    <c:v>1.9368554458996424E-2</c:v>
                  </c:pt>
                  <c:pt idx="13">
                    <c:v>3.7516443513981715E-2</c:v>
                  </c:pt>
                  <c:pt idx="14">
                    <c:v>9.5655910819654841E-2</c:v>
                  </c:pt>
                  <c:pt idx="15">
                    <c:v>5.7397477960543786E-2</c:v>
                  </c:pt>
                  <c:pt idx="16">
                    <c:v>0.21894989929757397</c:v>
                  </c:pt>
                  <c:pt idx="17">
                    <c:v>0.29207272545504492</c:v>
                  </c:pt>
                  <c:pt idx="18">
                    <c:v>0.25259647662312668</c:v>
                  </c:pt>
                  <c:pt idx="19">
                    <c:v>0.14349369490135963</c:v>
                  </c:pt>
                  <c:pt idx="20">
                    <c:v>0.1396686324670568</c:v>
                  </c:pt>
                  <c:pt idx="21">
                    <c:v>0.13845163018572401</c:v>
                  </c:pt>
                </c:numCache>
              </c:numRef>
            </c:plus>
            <c:minus>
              <c:numRef>
                <c:f>'Growth curves UTEX #1926'!$M$5:$M$26</c:f>
                <c:numCache>
                  <c:formatCode>General</c:formatCode>
                  <c:ptCount val="22"/>
                  <c:pt idx="0">
                    <c:v>4.8421386147491094E-3</c:v>
                  </c:pt>
                  <c:pt idx="1">
                    <c:v>2.3377186638068922E-3</c:v>
                  </c:pt>
                  <c:pt idx="2">
                    <c:v>6.7571145176357969E-3</c:v>
                  </c:pt>
                  <c:pt idx="3">
                    <c:v>1.5138507955248109E-3</c:v>
                  </c:pt>
                  <c:pt idx="4">
                    <c:v>5.107898455442423E-3</c:v>
                  </c:pt>
                  <c:pt idx="5">
                    <c:v>1.2742105963039778E-2</c:v>
                  </c:pt>
                  <c:pt idx="6">
                    <c:v>2.8281066752472047E-2</c:v>
                  </c:pt>
                  <c:pt idx="7">
                    <c:v>6.0845909158719236E-2</c:v>
                  </c:pt>
                  <c:pt idx="8">
                    <c:v>7.8720241367290306E-2</c:v>
                  </c:pt>
                  <c:pt idx="9">
                    <c:v>8.8295873619351276E-2</c:v>
                  </c:pt>
                  <c:pt idx="10">
                    <c:v>4.488451255349056E-2</c:v>
                  </c:pt>
                  <c:pt idx="11">
                    <c:v>3.9946954038129617E-2</c:v>
                  </c:pt>
                  <c:pt idx="12">
                    <c:v>1.9368554458996424E-2</c:v>
                  </c:pt>
                  <c:pt idx="13">
                    <c:v>3.7516443513981715E-2</c:v>
                  </c:pt>
                  <c:pt idx="14">
                    <c:v>9.5655910819654841E-2</c:v>
                  </c:pt>
                  <c:pt idx="15">
                    <c:v>5.7397477960543786E-2</c:v>
                  </c:pt>
                  <c:pt idx="16">
                    <c:v>0.21894989929757397</c:v>
                  </c:pt>
                  <c:pt idx="17">
                    <c:v>0.29207272545504492</c:v>
                  </c:pt>
                  <c:pt idx="18">
                    <c:v>0.25259647662312668</c:v>
                  </c:pt>
                  <c:pt idx="19">
                    <c:v>0.14349369490135963</c:v>
                  </c:pt>
                  <c:pt idx="20">
                    <c:v>0.1396686324670568</c:v>
                  </c:pt>
                  <c:pt idx="21">
                    <c:v>0.13845163018572401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#1926'!$D$5:$D$26</c:f>
              <c:numCache>
                <c:formatCode>0</c:formatCode>
                <c:ptCount val="22"/>
                <c:pt idx="0">
                  <c:v>0</c:v>
                </c:pt>
                <c:pt idx="1">
                  <c:v>8</c:v>
                </c:pt>
                <c:pt idx="2">
                  <c:v>22.5</c:v>
                </c:pt>
                <c:pt idx="3">
                  <c:v>26.5</c:v>
                </c:pt>
                <c:pt idx="4">
                  <c:v>31.5</c:v>
                </c:pt>
                <c:pt idx="5">
                  <c:v>48.5</c:v>
                </c:pt>
                <c:pt idx="6">
                  <c:v>72.5</c:v>
                </c:pt>
                <c:pt idx="7">
                  <c:v>95</c:v>
                </c:pt>
                <c:pt idx="8">
                  <c:v>118.5</c:v>
                </c:pt>
                <c:pt idx="9">
                  <c:v>142.5</c:v>
                </c:pt>
                <c:pt idx="10">
                  <c:v>168</c:v>
                </c:pt>
                <c:pt idx="11">
                  <c:v>192.5</c:v>
                </c:pt>
                <c:pt idx="12">
                  <c:v>215.5</c:v>
                </c:pt>
                <c:pt idx="13">
                  <c:v>238.5</c:v>
                </c:pt>
                <c:pt idx="14">
                  <c:v>262.5</c:v>
                </c:pt>
                <c:pt idx="15">
                  <c:v>286.5</c:v>
                </c:pt>
                <c:pt idx="16">
                  <c:v>309.5</c:v>
                </c:pt>
                <c:pt idx="17">
                  <c:v>335.5</c:v>
                </c:pt>
                <c:pt idx="18">
                  <c:v>360.5</c:v>
                </c:pt>
                <c:pt idx="19">
                  <c:v>385.5</c:v>
                </c:pt>
                <c:pt idx="20">
                  <c:v>407.5</c:v>
                </c:pt>
                <c:pt idx="21">
                  <c:v>432</c:v>
                </c:pt>
              </c:numCache>
            </c:numRef>
          </c:xVal>
          <c:yVal>
            <c:numRef>
              <c:f>'Growth curves UTEX #1926'!$L$5:$L$26</c:f>
              <c:numCache>
                <c:formatCode>0.000</c:formatCode>
                <c:ptCount val="22"/>
                <c:pt idx="0">
                  <c:v>0.12302093333333335</c:v>
                </c:pt>
                <c:pt idx="1">
                  <c:v>0.17466453333333334</c:v>
                </c:pt>
                <c:pt idx="2">
                  <c:v>0.26871466666666671</c:v>
                </c:pt>
                <c:pt idx="3">
                  <c:v>0.26787493333333334</c:v>
                </c:pt>
                <c:pt idx="4">
                  <c:v>0.31825893333333338</c:v>
                </c:pt>
                <c:pt idx="5">
                  <c:v>0.45471560000000005</c:v>
                </c:pt>
                <c:pt idx="6">
                  <c:v>0.64449533333333342</c:v>
                </c:pt>
                <c:pt idx="7">
                  <c:v>0.88004053333333332</c:v>
                </c:pt>
                <c:pt idx="8">
                  <c:v>1.1369989333333332</c:v>
                </c:pt>
                <c:pt idx="9">
                  <c:v>1.5602245333333336</c:v>
                </c:pt>
                <c:pt idx="10">
                  <c:v>1.8650477333333335</c:v>
                </c:pt>
                <c:pt idx="11">
                  <c:v>2.0489493333333333</c:v>
                </c:pt>
                <c:pt idx="12">
                  <c:v>2.299189866666667</c:v>
                </c:pt>
                <c:pt idx="13">
                  <c:v>2.4973669333333337</c:v>
                </c:pt>
                <c:pt idx="14">
                  <c:v>2.8987594666666667</c:v>
                </c:pt>
                <c:pt idx="15">
                  <c:v>3.1002954666666671</c:v>
                </c:pt>
                <c:pt idx="16">
                  <c:v>3.3018314666666666</c:v>
                </c:pt>
                <c:pt idx="17">
                  <c:v>3.4731370666666668</c:v>
                </c:pt>
                <c:pt idx="18">
                  <c:v>3.8258250666666669</c:v>
                </c:pt>
                <c:pt idx="19">
                  <c:v>3.9232341333333332</c:v>
                </c:pt>
                <c:pt idx="20">
                  <c:v>3.9736181333333338</c:v>
                </c:pt>
                <c:pt idx="21">
                  <c:v>4.0172842666666666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1A-AA4B-8906-508BA8501FED}"/>
            </c:ext>
          </c:extLst>
        </c:ser>
        <c:ser>
          <c:idx val="1"/>
          <c:order val="1"/>
          <c:tx>
            <c:strRef>
              <c:f>'Growth curves UTEX #1926'!$B$93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#1926'!$T$30:$T$51</c:f>
                <c:numCache>
                  <c:formatCode>General</c:formatCode>
                  <c:ptCount val="22"/>
                  <c:pt idx="1">
                    <c:v>2.1552180207522122E-2</c:v>
                  </c:pt>
                  <c:pt idx="2">
                    <c:v>3.2926800533327832E-2</c:v>
                  </c:pt>
                  <c:pt idx="3">
                    <c:v>3.4537584620204287E-2</c:v>
                  </c:pt>
                  <c:pt idx="4">
                    <c:v>1.0983151519222956E-2</c:v>
                  </c:pt>
                  <c:pt idx="5">
                    <c:v>1.8364028390564908E-2</c:v>
                  </c:pt>
                  <c:pt idx="6">
                    <c:v>1.0936135082324345E-2</c:v>
                  </c:pt>
                  <c:pt idx="7">
                    <c:v>1.8365435959861058E-2</c:v>
                  </c:pt>
                  <c:pt idx="8">
                    <c:v>1.4920643944055553E-2</c:v>
                  </c:pt>
                  <c:pt idx="9">
                    <c:v>1.2322776345354646E-2</c:v>
                  </c:pt>
                  <c:pt idx="10">
                    <c:v>5.7160008105662996E-3</c:v>
                  </c:pt>
                  <c:pt idx="11">
                    <c:v>5.0924416763215193E-3</c:v>
                  </c:pt>
                  <c:pt idx="12">
                    <c:v>8.2731401436603597E-3</c:v>
                  </c:pt>
                  <c:pt idx="13">
                    <c:v>5.5977818584481507E-3</c:v>
                  </c:pt>
                  <c:pt idx="14">
                    <c:v>6.7016528324189599E-3</c:v>
                  </c:pt>
                  <c:pt idx="15">
                    <c:v>2.6518860483481697E-3</c:v>
                  </c:pt>
                  <c:pt idx="16">
                    <c:v>2.3250462289545071E-4</c:v>
                  </c:pt>
                  <c:pt idx="17">
                    <c:v>1.3831440621900181E-3</c:v>
                  </c:pt>
                  <c:pt idx="18">
                    <c:v>9.3357802718331973E-4</c:v>
                  </c:pt>
                  <c:pt idx="19">
                    <c:v>-1.0482185821863073E-4</c:v>
                  </c:pt>
                  <c:pt idx="20">
                    <c:v>1.464585409598313E-3</c:v>
                  </c:pt>
                  <c:pt idx="21">
                    <c:v>1.4607441675084764E-4</c:v>
                  </c:pt>
                </c:numCache>
              </c:numRef>
            </c:plus>
            <c:minus>
              <c:numRef>
                <c:f>'Growth curves UTEX #1926'!$T$30:$T$51</c:f>
                <c:numCache>
                  <c:formatCode>General</c:formatCode>
                  <c:ptCount val="22"/>
                  <c:pt idx="1">
                    <c:v>2.1552180207522122E-2</c:v>
                  </c:pt>
                  <c:pt idx="2">
                    <c:v>3.2926800533327832E-2</c:v>
                  </c:pt>
                  <c:pt idx="3">
                    <c:v>3.4537584620204287E-2</c:v>
                  </c:pt>
                  <c:pt idx="4">
                    <c:v>1.0983151519222956E-2</c:v>
                  </c:pt>
                  <c:pt idx="5">
                    <c:v>1.8364028390564908E-2</c:v>
                  </c:pt>
                  <c:pt idx="6">
                    <c:v>1.0936135082324345E-2</c:v>
                  </c:pt>
                  <c:pt idx="7">
                    <c:v>1.8365435959861058E-2</c:v>
                  </c:pt>
                  <c:pt idx="8">
                    <c:v>1.4920643944055553E-2</c:v>
                  </c:pt>
                  <c:pt idx="9">
                    <c:v>1.2322776345354646E-2</c:v>
                  </c:pt>
                  <c:pt idx="10">
                    <c:v>5.7160008105662996E-3</c:v>
                  </c:pt>
                  <c:pt idx="11">
                    <c:v>5.0924416763215193E-3</c:v>
                  </c:pt>
                  <c:pt idx="12">
                    <c:v>8.2731401436603597E-3</c:v>
                  </c:pt>
                  <c:pt idx="13">
                    <c:v>5.5977818584481507E-3</c:v>
                  </c:pt>
                  <c:pt idx="14">
                    <c:v>6.7016528324189599E-3</c:v>
                  </c:pt>
                  <c:pt idx="15">
                    <c:v>2.6518860483481697E-3</c:v>
                  </c:pt>
                  <c:pt idx="16">
                    <c:v>2.3250462289545071E-4</c:v>
                  </c:pt>
                  <c:pt idx="17">
                    <c:v>1.3831440621900181E-3</c:v>
                  </c:pt>
                  <c:pt idx="18">
                    <c:v>9.3357802718331973E-4</c:v>
                  </c:pt>
                  <c:pt idx="19">
                    <c:v>-1.0482185821863073E-4</c:v>
                  </c:pt>
                  <c:pt idx="20">
                    <c:v>1.464585409598313E-3</c:v>
                  </c:pt>
                  <c:pt idx="21">
                    <c:v>1.4607441675084764E-4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#1926'!$D$30:$D$51</c:f>
              <c:numCache>
                <c:formatCode>0</c:formatCode>
                <c:ptCount val="22"/>
                <c:pt idx="0">
                  <c:v>0</c:v>
                </c:pt>
                <c:pt idx="1">
                  <c:v>7.5</c:v>
                </c:pt>
                <c:pt idx="2">
                  <c:v>22</c:v>
                </c:pt>
                <c:pt idx="3">
                  <c:v>26</c:v>
                </c:pt>
                <c:pt idx="4">
                  <c:v>31</c:v>
                </c:pt>
                <c:pt idx="5">
                  <c:v>48</c:v>
                </c:pt>
                <c:pt idx="6">
                  <c:v>72.5</c:v>
                </c:pt>
                <c:pt idx="7">
                  <c:v>94.5</c:v>
                </c:pt>
                <c:pt idx="8">
                  <c:v>117.5</c:v>
                </c:pt>
                <c:pt idx="9">
                  <c:v>141.5</c:v>
                </c:pt>
                <c:pt idx="10">
                  <c:v>166.5</c:v>
                </c:pt>
                <c:pt idx="11">
                  <c:v>191.5</c:v>
                </c:pt>
                <c:pt idx="12">
                  <c:v>214</c:v>
                </c:pt>
                <c:pt idx="13">
                  <c:v>237</c:v>
                </c:pt>
                <c:pt idx="14">
                  <c:v>261</c:v>
                </c:pt>
                <c:pt idx="15">
                  <c:v>285</c:v>
                </c:pt>
                <c:pt idx="16">
                  <c:v>308</c:v>
                </c:pt>
                <c:pt idx="17">
                  <c:v>334.5</c:v>
                </c:pt>
                <c:pt idx="18">
                  <c:v>359</c:v>
                </c:pt>
                <c:pt idx="19">
                  <c:v>383</c:v>
                </c:pt>
                <c:pt idx="20">
                  <c:v>405</c:v>
                </c:pt>
                <c:pt idx="21">
                  <c:v>430</c:v>
                </c:pt>
              </c:numCache>
            </c:numRef>
          </c:xVal>
          <c:yVal>
            <c:numRef>
              <c:f>'Growth curves UTEX #1926'!$L$30:$L$51</c:f>
              <c:numCache>
                <c:formatCode>0.000</c:formatCode>
                <c:ptCount val="22"/>
                <c:pt idx="0">
                  <c:v>0.14107519999999998</c:v>
                </c:pt>
                <c:pt idx="1">
                  <c:v>0.1725652</c:v>
                </c:pt>
                <c:pt idx="2">
                  <c:v>0.26577560000000006</c:v>
                </c:pt>
                <c:pt idx="3">
                  <c:v>0.30314373333333333</c:v>
                </c:pt>
                <c:pt idx="4">
                  <c:v>0.31531986666666667</c:v>
                </c:pt>
                <c:pt idx="5">
                  <c:v>0.46857120000000002</c:v>
                </c:pt>
                <c:pt idx="6">
                  <c:v>0.64155626666666665</c:v>
                </c:pt>
                <c:pt idx="7">
                  <c:v>0.97912906666666666</c:v>
                </c:pt>
                <c:pt idx="8">
                  <c:v>1.4065533333333333</c:v>
                </c:pt>
                <c:pt idx="9">
                  <c:v>1.9229893333333334</c:v>
                </c:pt>
                <c:pt idx="10">
                  <c:v>2.2336906666666669</c:v>
                </c:pt>
                <c:pt idx="11">
                  <c:v>2.6048528000000002</c:v>
                </c:pt>
                <c:pt idx="12">
                  <c:v>2.9894506666666665</c:v>
                </c:pt>
                <c:pt idx="13">
                  <c:v>3.3589333333333333</c:v>
                </c:pt>
                <c:pt idx="14">
                  <c:v>3.7552874666666667</c:v>
                </c:pt>
                <c:pt idx="15">
                  <c:v>3.9299520000000001</c:v>
                </c:pt>
                <c:pt idx="16">
                  <c:v>3.9501056000000005</c:v>
                </c:pt>
                <c:pt idx="17">
                  <c:v>4.037437866666667</c:v>
                </c:pt>
                <c:pt idx="18">
                  <c:v>4.0172842666666666</c:v>
                </c:pt>
                <c:pt idx="19">
                  <c:v>4.0122458666666665</c:v>
                </c:pt>
                <c:pt idx="20">
                  <c:v>4.1062960000000004</c:v>
                </c:pt>
                <c:pt idx="21">
                  <c:v>4.1902693333333332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1A-AA4B-8906-508BA8501FED}"/>
            </c:ext>
          </c:extLst>
        </c:ser>
        <c:ser>
          <c:idx val="2"/>
          <c:order val="2"/>
          <c:tx>
            <c:strRef>
              <c:f>'Growth curves UTEX #1926'!$C$93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 UTEX #1926'!$M$55:$M$76</c:f>
                <c:numCache>
                  <c:formatCode>General</c:formatCode>
                  <c:ptCount val="22"/>
                  <c:pt idx="0">
                    <c:v>5.6487282832313503E-3</c:v>
                  </c:pt>
                  <c:pt idx="1">
                    <c:v>6.9879740214488784E-3</c:v>
                  </c:pt>
                  <c:pt idx="2">
                    <c:v>1.5805066314037136E-2</c:v>
                  </c:pt>
                  <c:pt idx="3">
                    <c:v>1.9518155814978518E-2</c:v>
                  </c:pt>
                  <c:pt idx="4">
                    <c:v>1.5805066314037133E-2</c:v>
                  </c:pt>
                  <c:pt idx="5">
                    <c:v>5.6798509886556939E-3</c:v>
                  </c:pt>
                  <c:pt idx="6">
                    <c:v>5.5165750705467247E-2</c:v>
                  </c:pt>
                  <c:pt idx="7">
                    <c:v>9.1327514940021989E-2</c:v>
                  </c:pt>
                  <c:pt idx="8">
                    <c:v>0.11511699645313395</c:v>
                  </c:pt>
                  <c:pt idx="9">
                    <c:v>0.11324575363914423</c:v>
                  </c:pt>
                  <c:pt idx="10">
                    <c:v>0.19559839153276354</c:v>
                  </c:pt>
                  <c:pt idx="11">
                    <c:v>0.15283146666666664</c:v>
                  </c:pt>
                  <c:pt idx="12">
                    <c:v>4.8812998763489587E-2</c:v>
                  </c:pt>
                  <c:pt idx="13">
                    <c:v>0.11980849535628849</c:v>
                  </c:pt>
                  <c:pt idx="14">
                    <c:v>0.12649628768328863</c:v>
                  </c:pt>
                  <c:pt idx="15">
                    <c:v>5.8105663376989435E-2</c:v>
                  </c:pt>
                  <c:pt idx="16">
                    <c:v>0.11808931940820638</c:v>
                  </c:pt>
                  <c:pt idx="17">
                    <c:v>0.12314053003448294</c:v>
                  </c:pt>
                  <c:pt idx="18">
                    <c:v>0.18182505245970171</c:v>
                  </c:pt>
                  <c:pt idx="19">
                    <c:v>0.27227568297601135</c:v>
                  </c:pt>
                  <c:pt idx="20">
                    <c:v>0.17261780301252569</c:v>
                  </c:pt>
                  <c:pt idx="21">
                    <c:v>0.16055385112646098</c:v>
                  </c:pt>
                </c:numCache>
              </c:numRef>
            </c:plus>
            <c:minus>
              <c:numRef>
                <c:f>'Growth curves UTEX #1926'!$M$55:$M$76</c:f>
                <c:numCache>
                  <c:formatCode>General</c:formatCode>
                  <c:ptCount val="22"/>
                  <c:pt idx="0">
                    <c:v>5.6487282832313503E-3</c:v>
                  </c:pt>
                  <c:pt idx="1">
                    <c:v>6.9879740214488784E-3</c:v>
                  </c:pt>
                  <c:pt idx="2">
                    <c:v>1.5805066314037136E-2</c:v>
                  </c:pt>
                  <c:pt idx="3">
                    <c:v>1.9518155814978518E-2</c:v>
                  </c:pt>
                  <c:pt idx="4">
                    <c:v>1.5805066314037133E-2</c:v>
                  </c:pt>
                  <c:pt idx="5">
                    <c:v>5.6798509886556939E-3</c:v>
                  </c:pt>
                  <c:pt idx="6">
                    <c:v>5.5165750705467247E-2</c:v>
                  </c:pt>
                  <c:pt idx="7">
                    <c:v>9.1327514940021989E-2</c:v>
                  </c:pt>
                  <c:pt idx="8">
                    <c:v>0.11511699645313395</c:v>
                  </c:pt>
                  <c:pt idx="9">
                    <c:v>0.11324575363914423</c:v>
                  </c:pt>
                  <c:pt idx="10">
                    <c:v>0.19559839153276354</c:v>
                  </c:pt>
                  <c:pt idx="11">
                    <c:v>0.15283146666666664</c:v>
                  </c:pt>
                  <c:pt idx="12">
                    <c:v>4.8812998763489587E-2</c:v>
                  </c:pt>
                  <c:pt idx="13">
                    <c:v>0.11980849535628849</c:v>
                  </c:pt>
                  <c:pt idx="14">
                    <c:v>0.12649628768328863</c:v>
                  </c:pt>
                  <c:pt idx="15">
                    <c:v>5.8105663376989435E-2</c:v>
                  </c:pt>
                  <c:pt idx="16">
                    <c:v>0.11808931940820638</c:v>
                  </c:pt>
                  <c:pt idx="17">
                    <c:v>0.12314053003448294</c:v>
                  </c:pt>
                  <c:pt idx="18">
                    <c:v>0.18182505245970171</c:v>
                  </c:pt>
                  <c:pt idx="19">
                    <c:v>0.27227568297601135</c:v>
                  </c:pt>
                  <c:pt idx="20">
                    <c:v>0.17261780301252569</c:v>
                  </c:pt>
                  <c:pt idx="21">
                    <c:v>0.16055385112646098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 UTEX #1926'!$D$55:$D$76</c:f>
              <c:numCache>
                <c:formatCode>0</c:formatCode>
                <c:ptCount val="22"/>
                <c:pt idx="0">
                  <c:v>0</c:v>
                </c:pt>
                <c:pt idx="1">
                  <c:v>8</c:v>
                </c:pt>
                <c:pt idx="2">
                  <c:v>23</c:v>
                </c:pt>
                <c:pt idx="3">
                  <c:v>27</c:v>
                </c:pt>
                <c:pt idx="4">
                  <c:v>32</c:v>
                </c:pt>
                <c:pt idx="5">
                  <c:v>47.5</c:v>
                </c:pt>
                <c:pt idx="6">
                  <c:v>72</c:v>
                </c:pt>
                <c:pt idx="7">
                  <c:v>94</c:v>
                </c:pt>
                <c:pt idx="8">
                  <c:v>117</c:v>
                </c:pt>
                <c:pt idx="9">
                  <c:v>141</c:v>
                </c:pt>
                <c:pt idx="10">
                  <c:v>166</c:v>
                </c:pt>
                <c:pt idx="11">
                  <c:v>191</c:v>
                </c:pt>
                <c:pt idx="12">
                  <c:v>213.5</c:v>
                </c:pt>
                <c:pt idx="13">
                  <c:v>236.5</c:v>
                </c:pt>
                <c:pt idx="14">
                  <c:v>260.5</c:v>
                </c:pt>
                <c:pt idx="15">
                  <c:v>284.5</c:v>
                </c:pt>
                <c:pt idx="16">
                  <c:v>307.5</c:v>
                </c:pt>
                <c:pt idx="17">
                  <c:v>334</c:v>
                </c:pt>
                <c:pt idx="18">
                  <c:v>358.5</c:v>
                </c:pt>
                <c:pt idx="19">
                  <c:v>382.5</c:v>
                </c:pt>
                <c:pt idx="20">
                  <c:v>405.5</c:v>
                </c:pt>
                <c:pt idx="21">
                  <c:v>430.5</c:v>
                </c:pt>
              </c:numCache>
            </c:numRef>
          </c:xVal>
          <c:yVal>
            <c:numRef>
              <c:f>'Growth curves UTEX #1926'!$L$55:$L$76</c:f>
              <c:numCache>
                <c:formatCode>0.000</c:formatCode>
                <c:ptCount val="22"/>
                <c:pt idx="0">
                  <c:v>0.12763946666666667</c:v>
                </c:pt>
                <c:pt idx="1">
                  <c:v>0.16584733333333335</c:v>
                </c:pt>
                <c:pt idx="2">
                  <c:v>0.24100346666666669</c:v>
                </c:pt>
                <c:pt idx="3">
                  <c:v>0.26661533333333337</c:v>
                </c:pt>
                <c:pt idx="4">
                  <c:v>0.29516626666666668</c:v>
                </c:pt>
                <c:pt idx="5">
                  <c:v>0.42448520000000006</c:v>
                </c:pt>
                <c:pt idx="6">
                  <c:v>0.6692674666666667</c:v>
                </c:pt>
                <c:pt idx="7">
                  <c:v>0.95225760000000015</c:v>
                </c:pt>
                <c:pt idx="8">
                  <c:v>1.3989957333333336</c:v>
                </c:pt>
                <c:pt idx="9">
                  <c:v>1.8852013333333335</c:v>
                </c:pt>
                <c:pt idx="10">
                  <c:v>2.3697274666666668</c:v>
                </c:pt>
                <c:pt idx="11">
                  <c:v>2.6585957333333332</c:v>
                </c:pt>
                <c:pt idx="12">
                  <c:v>2.8828045333333336</c:v>
                </c:pt>
                <c:pt idx="13">
                  <c:v>3.1120517333333333</c:v>
                </c:pt>
                <c:pt idx="14">
                  <c:v>3.4412272000000002</c:v>
                </c:pt>
                <c:pt idx="15">
                  <c:v>3.6125327999999999</c:v>
                </c:pt>
                <c:pt idx="16">
                  <c:v>3.8594144000000004</c:v>
                </c:pt>
                <c:pt idx="17">
                  <c:v>3.9198752000000003</c:v>
                </c:pt>
                <c:pt idx="18">
                  <c:v>4.0861424</c:v>
                </c:pt>
                <c:pt idx="19">
                  <c:v>4.1163727999999997</c:v>
                </c:pt>
                <c:pt idx="20">
                  <c:v>4.2255381333333331</c:v>
                </c:pt>
                <c:pt idx="21">
                  <c:v>4.3716517333333336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1A-AA4B-8906-508BA8501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50368"/>
        <c:axId val="1542574832"/>
      </c:scatterChart>
      <c:valAx>
        <c:axId val="1157550368"/>
        <c:scaling>
          <c:orientation val="minMax"/>
          <c:max val="4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2574832"/>
        <c:crosses val="autoZero"/>
        <c:crossBetween val="midCat"/>
        <c:majorUnit val="50"/>
      </c:valAx>
      <c:valAx>
        <c:axId val="1542574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Biomass concentration (g.L</a:t>
                </a:r>
                <a:r>
                  <a:rPr lang="en-GB" baseline="30000"/>
                  <a:t>-1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30046296296296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575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CeBER'!$B$2:$AB$2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CeBER'!$AF$5:$AF$22</c:f>
                <c:numCache>
                  <c:formatCode>General</c:formatCode>
                  <c:ptCount val="18"/>
                  <c:pt idx="0">
                    <c:v>1.8052747527049953</c:v>
                  </c:pt>
                  <c:pt idx="1">
                    <c:v>0.26311363677235727</c:v>
                  </c:pt>
                  <c:pt idx="2">
                    <c:v>2.0175546281148069</c:v>
                  </c:pt>
                  <c:pt idx="3">
                    <c:v>2.032298544053925</c:v>
                  </c:pt>
                  <c:pt idx="4">
                    <c:v>3.2573846435692397</c:v>
                  </c:pt>
                  <c:pt idx="5">
                    <c:v>1.3444268637033707</c:v>
                  </c:pt>
                  <c:pt idx="6">
                    <c:v>4.9023823907891648</c:v>
                  </c:pt>
                  <c:pt idx="7">
                    <c:v>3.4314020178259015</c:v>
                  </c:pt>
                  <c:pt idx="8">
                    <c:v>2.5220761600409483</c:v>
                  </c:pt>
                  <c:pt idx="9">
                    <c:v>1.9998977186975031</c:v>
                  </c:pt>
                  <c:pt idx="10">
                    <c:v>0.62137515968390189</c:v>
                  </c:pt>
                  <c:pt idx="11">
                    <c:v>6.2499254090600358</c:v>
                  </c:pt>
                  <c:pt idx="12">
                    <c:v>3.5677010672929246</c:v>
                  </c:pt>
                  <c:pt idx="13">
                    <c:v>2.3194404044419552</c:v>
                  </c:pt>
                  <c:pt idx="14">
                    <c:v>3.1405172981301304</c:v>
                  </c:pt>
                  <c:pt idx="15">
                    <c:v>5.5613256688104427</c:v>
                  </c:pt>
                  <c:pt idx="16">
                    <c:v>5.5767278682998933</c:v>
                  </c:pt>
                </c:numCache>
              </c:numRef>
            </c:plus>
            <c:minus>
              <c:numRef>
                <c:f>'C-phycocyanin CeBER'!$AF$5:$AF$22</c:f>
                <c:numCache>
                  <c:formatCode>General</c:formatCode>
                  <c:ptCount val="18"/>
                  <c:pt idx="0">
                    <c:v>1.8052747527049953</c:v>
                  </c:pt>
                  <c:pt idx="1">
                    <c:v>0.26311363677235727</c:v>
                  </c:pt>
                  <c:pt idx="2">
                    <c:v>2.0175546281148069</c:v>
                  </c:pt>
                  <c:pt idx="3">
                    <c:v>2.032298544053925</c:v>
                  </c:pt>
                  <c:pt idx="4">
                    <c:v>3.2573846435692397</c:v>
                  </c:pt>
                  <c:pt idx="5">
                    <c:v>1.3444268637033707</c:v>
                  </c:pt>
                  <c:pt idx="6">
                    <c:v>4.9023823907891648</c:v>
                  </c:pt>
                  <c:pt idx="7">
                    <c:v>3.4314020178259015</c:v>
                  </c:pt>
                  <c:pt idx="8">
                    <c:v>2.5220761600409483</c:v>
                  </c:pt>
                  <c:pt idx="9">
                    <c:v>1.9998977186975031</c:v>
                  </c:pt>
                  <c:pt idx="10">
                    <c:v>0.62137515968390189</c:v>
                  </c:pt>
                  <c:pt idx="11">
                    <c:v>6.2499254090600358</c:v>
                  </c:pt>
                  <c:pt idx="12">
                    <c:v>3.5677010672929246</c:v>
                  </c:pt>
                  <c:pt idx="13">
                    <c:v>2.3194404044419552</c:v>
                  </c:pt>
                  <c:pt idx="14">
                    <c:v>3.1405172981301304</c:v>
                  </c:pt>
                  <c:pt idx="15">
                    <c:v>5.5613256688104427</c:v>
                  </c:pt>
                  <c:pt idx="16">
                    <c:v>5.5767278682998933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CeBER'!$AD$5:$AD$22</c:f>
              <c:numCache>
                <c:formatCode>0</c:formatCode>
                <c:ptCount val="18"/>
                <c:pt idx="0">
                  <c:v>0</c:v>
                </c:pt>
                <c:pt idx="1">
                  <c:v>22.5</c:v>
                </c:pt>
                <c:pt idx="2">
                  <c:v>48.5</c:v>
                </c:pt>
                <c:pt idx="3">
                  <c:v>72.5</c:v>
                </c:pt>
                <c:pt idx="4">
                  <c:v>95</c:v>
                </c:pt>
                <c:pt idx="5">
                  <c:v>118.5</c:v>
                </c:pt>
                <c:pt idx="6">
                  <c:v>142.5</c:v>
                </c:pt>
                <c:pt idx="7">
                  <c:v>192.5</c:v>
                </c:pt>
                <c:pt idx="8">
                  <c:v>215.5</c:v>
                </c:pt>
                <c:pt idx="9">
                  <c:v>238.5</c:v>
                </c:pt>
                <c:pt idx="10">
                  <c:v>262.5</c:v>
                </c:pt>
                <c:pt idx="11">
                  <c:v>286.5</c:v>
                </c:pt>
                <c:pt idx="12">
                  <c:v>309.5</c:v>
                </c:pt>
                <c:pt idx="13">
                  <c:v>335.5</c:v>
                </c:pt>
                <c:pt idx="14">
                  <c:v>360.5</c:v>
                </c:pt>
                <c:pt idx="15">
                  <c:v>385.5</c:v>
                </c:pt>
                <c:pt idx="16">
                  <c:v>407.5</c:v>
                </c:pt>
              </c:numCache>
            </c:numRef>
          </c:xVal>
          <c:yVal>
            <c:numRef>
              <c:f>'C-phycocyanin CeBER'!$AE$5:$AE$22</c:f>
              <c:numCache>
                <c:formatCode>0.00</c:formatCode>
                <c:ptCount val="18"/>
                <c:pt idx="0">
                  <c:v>47.564424201779083</c:v>
                </c:pt>
                <c:pt idx="1">
                  <c:v>19.444073499281867</c:v>
                </c:pt>
                <c:pt idx="2">
                  <c:v>24.146467030650882</c:v>
                </c:pt>
                <c:pt idx="3">
                  <c:v>36.440143102300105</c:v>
                </c:pt>
                <c:pt idx="4">
                  <c:v>42.644932062767886</c:v>
                </c:pt>
                <c:pt idx="5">
                  <c:v>47.23522950528713</c:v>
                </c:pt>
                <c:pt idx="6">
                  <c:v>31.549644988607536</c:v>
                </c:pt>
                <c:pt idx="7">
                  <c:v>37.863036390943627</c:v>
                </c:pt>
                <c:pt idx="8">
                  <c:v>39.634715114721132</c:v>
                </c:pt>
                <c:pt idx="9">
                  <c:v>35.668274682996781</c:v>
                </c:pt>
                <c:pt idx="10">
                  <c:v>36.317441700521186</c:v>
                </c:pt>
                <c:pt idx="11">
                  <c:v>33.433151095120522</c:v>
                </c:pt>
                <c:pt idx="12">
                  <c:v>43.715785027031906</c:v>
                </c:pt>
                <c:pt idx="13">
                  <c:v>44.437041158468027</c:v>
                </c:pt>
                <c:pt idx="14">
                  <c:v>42.891356706665988</c:v>
                </c:pt>
                <c:pt idx="15">
                  <c:v>37.960129510551873</c:v>
                </c:pt>
                <c:pt idx="16">
                  <c:v>47.055452868688349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1D-4C8B-B063-8C0F596F9CDD}"/>
            </c:ext>
          </c:extLst>
        </c:ser>
        <c:ser>
          <c:idx val="1"/>
          <c:order val="1"/>
          <c:tx>
            <c:strRef>
              <c:f>'C-phycocyanin CeBER'!$B$56:$AB$56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CeBER'!$AF$58:$AF$74</c:f>
                <c:numCache>
                  <c:formatCode>General</c:formatCode>
                  <c:ptCount val="17"/>
                  <c:pt idx="0">
                    <c:v>1.8291784470801935</c:v>
                  </c:pt>
                  <c:pt idx="1">
                    <c:v>1.4677187773815235</c:v>
                  </c:pt>
                  <c:pt idx="2">
                    <c:v>1.1193636056802405</c:v>
                  </c:pt>
                  <c:pt idx="3">
                    <c:v>1.0537223319315059</c:v>
                  </c:pt>
                  <c:pt idx="4">
                    <c:v>6.8180244291567371</c:v>
                  </c:pt>
                  <c:pt idx="5">
                    <c:v>3.4450365347457317</c:v>
                  </c:pt>
                  <c:pt idx="6">
                    <c:v>2.7396688015393207</c:v>
                  </c:pt>
                  <c:pt idx="7">
                    <c:v>2.5317791917489312</c:v>
                  </c:pt>
                  <c:pt idx="8">
                    <c:v>4.2910924195071836</c:v>
                  </c:pt>
                  <c:pt idx="9">
                    <c:v>5.3533569445642497</c:v>
                  </c:pt>
                  <c:pt idx="10">
                    <c:v>6.1258346923732407</c:v>
                  </c:pt>
                  <c:pt idx="11">
                    <c:v>0.33163584954529496</c:v>
                  </c:pt>
                  <c:pt idx="12">
                    <c:v>4.105617660587165</c:v>
                  </c:pt>
                  <c:pt idx="13">
                    <c:v>4.4462939135356789</c:v>
                  </c:pt>
                  <c:pt idx="14">
                    <c:v>4.4908867260099763</c:v>
                  </c:pt>
                  <c:pt idx="15">
                    <c:v>4.2987575971491436</c:v>
                  </c:pt>
                  <c:pt idx="16">
                    <c:v>3.6706330746939431</c:v>
                  </c:pt>
                </c:numCache>
              </c:numRef>
            </c:plus>
            <c:minus>
              <c:numRef>
                <c:f>'C-phycocyanin CeBER'!$AF$58:$AF$74</c:f>
                <c:numCache>
                  <c:formatCode>General</c:formatCode>
                  <c:ptCount val="17"/>
                  <c:pt idx="0">
                    <c:v>1.8291784470801935</c:v>
                  </c:pt>
                  <c:pt idx="1">
                    <c:v>1.4677187773815235</c:v>
                  </c:pt>
                  <c:pt idx="2">
                    <c:v>1.1193636056802405</c:v>
                  </c:pt>
                  <c:pt idx="3">
                    <c:v>1.0537223319315059</c:v>
                  </c:pt>
                  <c:pt idx="4">
                    <c:v>6.8180244291567371</c:v>
                  </c:pt>
                  <c:pt idx="5">
                    <c:v>3.4450365347457317</c:v>
                  </c:pt>
                  <c:pt idx="6">
                    <c:v>2.7396688015393207</c:v>
                  </c:pt>
                  <c:pt idx="7">
                    <c:v>2.5317791917489312</c:v>
                  </c:pt>
                  <c:pt idx="8">
                    <c:v>4.2910924195071836</c:v>
                  </c:pt>
                  <c:pt idx="9">
                    <c:v>5.3533569445642497</c:v>
                  </c:pt>
                  <c:pt idx="10">
                    <c:v>6.1258346923732407</c:v>
                  </c:pt>
                  <c:pt idx="11">
                    <c:v>0.33163584954529496</c:v>
                  </c:pt>
                  <c:pt idx="12">
                    <c:v>4.105617660587165</c:v>
                  </c:pt>
                  <c:pt idx="13">
                    <c:v>4.4462939135356789</c:v>
                  </c:pt>
                  <c:pt idx="14">
                    <c:v>4.4908867260099763</c:v>
                  </c:pt>
                  <c:pt idx="15">
                    <c:v>4.2987575971491436</c:v>
                  </c:pt>
                  <c:pt idx="16">
                    <c:v>3.6706330746939431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CeBER'!$AD$58:$AD$74</c:f>
              <c:numCache>
                <c:formatCode>0</c:formatCode>
                <c:ptCount val="17"/>
                <c:pt idx="0">
                  <c:v>0</c:v>
                </c:pt>
                <c:pt idx="1">
                  <c:v>22</c:v>
                </c:pt>
                <c:pt idx="2">
                  <c:v>48</c:v>
                </c:pt>
                <c:pt idx="3">
                  <c:v>72.5</c:v>
                </c:pt>
                <c:pt idx="4">
                  <c:v>94.5</c:v>
                </c:pt>
                <c:pt idx="5">
                  <c:v>117.5</c:v>
                </c:pt>
                <c:pt idx="6">
                  <c:v>141.5</c:v>
                </c:pt>
                <c:pt idx="7">
                  <c:v>191.5</c:v>
                </c:pt>
                <c:pt idx="8">
                  <c:v>214</c:v>
                </c:pt>
                <c:pt idx="9">
                  <c:v>237</c:v>
                </c:pt>
                <c:pt idx="10">
                  <c:v>261</c:v>
                </c:pt>
                <c:pt idx="11">
                  <c:v>285</c:v>
                </c:pt>
                <c:pt idx="12">
                  <c:v>308</c:v>
                </c:pt>
                <c:pt idx="13">
                  <c:v>334.5</c:v>
                </c:pt>
                <c:pt idx="14">
                  <c:v>359.5</c:v>
                </c:pt>
                <c:pt idx="15">
                  <c:v>384</c:v>
                </c:pt>
                <c:pt idx="16">
                  <c:v>406</c:v>
                </c:pt>
              </c:numCache>
            </c:numRef>
          </c:xVal>
          <c:yVal>
            <c:numRef>
              <c:f>'C-phycocyanin CeBER'!$AE$58:$AE$74</c:f>
              <c:numCache>
                <c:formatCode>0.00</c:formatCode>
                <c:ptCount val="17"/>
                <c:pt idx="0">
                  <c:v>54.401550535099027</c:v>
                </c:pt>
                <c:pt idx="1">
                  <c:v>23.296964412976326</c:v>
                </c:pt>
                <c:pt idx="2">
                  <c:v>26.829635416131026</c:v>
                </c:pt>
                <c:pt idx="3">
                  <c:v>43.929903005378883</c:v>
                </c:pt>
                <c:pt idx="4">
                  <c:v>51.971705382720216</c:v>
                </c:pt>
                <c:pt idx="5">
                  <c:v>62.13327149725361</c:v>
                </c:pt>
                <c:pt idx="6">
                  <c:v>52.266225047670893</c:v>
                </c:pt>
                <c:pt idx="7">
                  <c:v>44.54226536377282</c:v>
                </c:pt>
                <c:pt idx="8">
                  <c:v>47.242638438348571</c:v>
                </c:pt>
                <c:pt idx="9">
                  <c:v>45.624692223538794</c:v>
                </c:pt>
                <c:pt idx="10">
                  <c:v>49.013176103448437</c:v>
                </c:pt>
                <c:pt idx="11">
                  <c:v>40.304314632775601</c:v>
                </c:pt>
                <c:pt idx="12">
                  <c:v>51.689904907061837</c:v>
                </c:pt>
                <c:pt idx="13">
                  <c:v>49.96708106531171</c:v>
                </c:pt>
                <c:pt idx="14">
                  <c:v>50.123164195826327</c:v>
                </c:pt>
                <c:pt idx="15">
                  <c:v>45.965148062711954</c:v>
                </c:pt>
                <c:pt idx="16">
                  <c:v>52.106079750846298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B5-734F-B72E-01FB35637F1A}"/>
            </c:ext>
          </c:extLst>
        </c:ser>
        <c:ser>
          <c:idx val="2"/>
          <c:order val="2"/>
          <c:tx>
            <c:strRef>
              <c:f>'C-phycocyanin CeBER'!$B$110:$AB$110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CeBER'!$AF$112:$AF$128</c:f>
                <c:numCache>
                  <c:formatCode>General</c:formatCode>
                  <c:ptCount val="17"/>
                  <c:pt idx="0">
                    <c:v>0.69010312584300237</c:v>
                  </c:pt>
                  <c:pt idx="1">
                    <c:v>1.2850353897968823</c:v>
                  </c:pt>
                  <c:pt idx="2">
                    <c:v>1.2252636258295844</c:v>
                  </c:pt>
                  <c:pt idx="3">
                    <c:v>1.9374436684104426</c:v>
                  </c:pt>
                  <c:pt idx="4">
                    <c:v>1.6086062837777744</c:v>
                  </c:pt>
                  <c:pt idx="5">
                    <c:v>1.3420914906017154</c:v>
                  </c:pt>
                  <c:pt idx="6">
                    <c:v>5.3020647410206765</c:v>
                  </c:pt>
                  <c:pt idx="7">
                    <c:v>3.5399459523358372</c:v>
                  </c:pt>
                  <c:pt idx="8">
                    <c:v>4.293054906728778</c:v>
                  </c:pt>
                  <c:pt idx="9">
                    <c:v>0.72673287146649601</c:v>
                  </c:pt>
                  <c:pt idx="10">
                    <c:v>1.7508728654958974</c:v>
                  </c:pt>
                  <c:pt idx="11">
                    <c:v>2.899616772268367</c:v>
                  </c:pt>
                  <c:pt idx="12">
                    <c:v>4.0412267476446324</c:v>
                  </c:pt>
                  <c:pt idx="13">
                    <c:v>0.48650996460725665</c:v>
                  </c:pt>
                  <c:pt idx="14">
                    <c:v>0.88333212338147415</c:v>
                  </c:pt>
                  <c:pt idx="15">
                    <c:v>0.51178689279059841</c:v>
                  </c:pt>
                  <c:pt idx="16">
                    <c:v>3.8572748452317955</c:v>
                  </c:pt>
                </c:numCache>
              </c:numRef>
            </c:plus>
            <c:minus>
              <c:numRef>
                <c:f>'C-phycocyanin CeBER'!$AF$112:$AF$128</c:f>
                <c:numCache>
                  <c:formatCode>General</c:formatCode>
                  <c:ptCount val="17"/>
                  <c:pt idx="0">
                    <c:v>0.69010312584300237</c:v>
                  </c:pt>
                  <c:pt idx="1">
                    <c:v>1.2850353897968823</c:v>
                  </c:pt>
                  <c:pt idx="2">
                    <c:v>1.2252636258295844</c:v>
                  </c:pt>
                  <c:pt idx="3">
                    <c:v>1.9374436684104426</c:v>
                  </c:pt>
                  <c:pt idx="4">
                    <c:v>1.6086062837777744</c:v>
                  </c:pt>
                  <c:pt idx="5">
                    <c:v>1.3420914906017154</c:v>
                  </c:pt>
                  <c:pt idx="6">
                    <c:v>5.3020647410206765</c:v>
                  </c:pt>
                  <c:pt idx="7">
                    <c:v>3.5399459523358372</c:v>
                  </c:pt>
                  <c:pt idx="8">
                    <c:v>4.293054906728778</c:v>
                  </c:pt>
                  <c:pt idx="9">
                    <c:v>0.72673287146649601</c:v>
                  </c:pt>
                  <c:pt idx="10">
                    <c:v>1.7508728654958974</c:v>
                  </c:pt>
                  <c:pt idx="11">
                    <c:v>2.899616772268367</c:v>
                  </c:pt>
                  <c:pt idx="12">
                    <c:v>4.0412267476446324</c:v>
                  </c:pt>
                  <c:pt idx="13">
                    <c:v>0.48650996460725665</c:v>
                  </c:pt>
                  <c:pt idx="14">
                    <c:v>0.88333212338147415</c:v>
                  </c:pt>
                  <c:pt idx="15">
                    <c:v>0.51178689279059841</c:v>
                  </c:pt>
                  <c:pt idx="16">
                    <c:v>3.8572748452317955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CeBER'!$AD$112:$AD$128</c:f>
              <c:numCache>
                <c:formatCode>0</c:formatCode>
                <c:ptCount val="17"/>
                <c:pt idx="0">
                  <c:v>0</c:v>
                </c:pt>
                <c:pt idx="1">
                  <c:v>21.5</c:v>
                </c:pt>
                <c:pt idx="2">
                  <c:v>47.5</c:v>
                </c:pt>
                <c:pt idx="3">
                  <c:v>72</c:v>
                </c:pt>
                <c:pt idx="4">
                  <c:v>94</c:v>
                </c:pt>
                <c:pt idx="5">
                  <c:v>117</c:v>
                </c:pt>
                <c:pt idx="6">
                  <c:v>141</c:v>
                </c:pt>
                <c:pt idx="7">
                  <c:v>191</c:v>
                </c:pt>
                <c:pt idx="8">
                  <c:v>213.5</c:v>
                </c:pt>
                <c:pt idx="9">
                  <c:v>236.5</c:v>
                </c:pt>
                <c:pt idx="10">
                  <c:v>260.5</c:v>
                </c:pt>
                <c:pt idx="11">
                  <c:v>284.5</c:v>
                </c:pt>
                <c:pt idx="12">
                  <c:v>307.5</c:v>
                </c:pt>
                <c:pt idx="13">
                  <c:v>334</c:v>
                </c:pt>
                <c:pt idx="14">
                  <c:v>359</c:v>
                </c:pt>
                <c:pt idx="15">
                  <c:v>383</c:v>
                </c:pt>
                <c:pt idx="16">
                  <c:v>405.5</c:v>
                </c:pt>
              </c:numCache>
            </c:numRef>
          </c:xVal>
          <c:yVal>
            <c:numRef>
              <c:f>'C-phycocyanin CeBER'!$AE$112:$AE$128</c:f>
              <c:numCache>
                <c:formatCode>0.00</c:formatCode>
                <c:ptCount val="17"/>
                <c:pt idx="0">
                  <c:v>53.883595886649317</c:v>
                </c:pt>
                <c:pt idx="1">
                  <c:v>23.768503951745089</c:v>
                </c:pt>
                <c:pt idx="2">
                  <c:v>21.582714283469489</c:v>
                </c:pt>
                <c:pt idx="3">
                  <c:v>32.820096650590443</c:v>
                </c:pt>
                <c:pt idx="4">
                  <c:v>42.389094538853222</c:v>
                </c:pt>
                <c:pt idx="5">
                  <c:v>43.063027444185273</c:v>
                </c:pt>
                <c:pt idx="6">
                  <c:v>45.112057065305464</c:v>
                </c:pt>
                <c:pt idx="7">
                  <c:v>42.707347990463383</c:v>
                </c:pt>
                <c:pt idx="8">
                  <c:v>41.176108138085276</c:v>
                </c:pt>
                <c:pt idx="9">
                  <c:v>40.091613627755628</c:v>
                </c:pt>
                <c:pt idx="10">
                  <c:v>43.124786852668969</c:v>
                </c:pt>
                <c:pt idx="11">
                  <c:v>34.688702469987582</c:v>
                </c:pt>
                <c:pt idx="12">
                  <c:v>42.171731912527861</c:v>
                </c:pt>
                <c:pt idx="13">
                  <c:v>39.521048949777246</c:v>
                </c:pt>
                <c:pt idx="14">
                  <c:v>37.443847522716304</c:v>
                </c:pt>
                <c:pt idx="15">
                  <c:v>27.471472943194541</c:v>
                </c:pt>
                <c:pt idx="16">
                  <c:v>40.763201708549083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B5-734F-B72E-01FB35637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29088"/>
        <c:axId val="678536160"/>
      </c:scatterChart>
      <c:valAx>
        <c:axId val="67852908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36160"/>
        <c:crosses val="autoZero"/>
        <c:crossBetween val="midCat"/>
      </c:valAx>
      <c:valAx>
        <c:axId val="67853616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c-phycocyanin concentration</a:t>
                </a:r>
                <a:r>
                  <a:rPr lang="en-ZA"/>
                  <a:t> (mg PC.(g biomass)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087719720131947E-2"/>
              <c:y val="7.19836677758397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2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CeBER'!$B$2:$AB$2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CeBER'!$AH$5:$AH$21</c:f>
                <c:numCache>
                  <c:formatCode>General</c:formatCode>
                  <c:ptCount val="17"/>
                  <c:pt idx="0">
                    <c:v>0.28110675412776337</c:v>
                  </c:pt>
                  <c:pt idx="1">
                    <c:v>0.24589755672005703</c:v>
                  </c:pt>
                  <c:pt idx="2">
                    <c:v>0.62176671428401353</c:v>
                  </c:pt>
                  <c:pt idx="3">
                    <c:v>2.8472717714026339</c:v>
                  </c:pt>
                  <c:pt idx="4">
                    <c:v>7.2383657426895445</c:v>
                  </c:pt>
                  <c:pt idx="5">
                    <c:v>8.1440437624943769</c:v>
                  </c:pt>
                  <c:pt idx="6">
                    <c:v>10.794317959505538</c:v>
                  </c:pt>
                  <c:pt idx="7">
                    <c:v>13.014502746412953</c:v>
                  </c:pt>
                  <c:pt idx="8">
                    <c:v>15.541823570894737</c:v>
                  </c:pt>
                  <c:pt idx="9">
                    <c:v>10.536220352745431</c:v>
                  </c:pt>
                  <c:pt idx="10">
                    <c:v>8.6216224814732918</c:v>
                  </c:pt>
                  <c:pt idx="11">
                    <c:v>19.450284538841487</c:v>
                  </c:pt>
                  <c:pt idx="12">
                    <c:v>19.48164201587003</c:v>
                  </c:pt>
                  <c:pt idx="13">
                    <c:v>13.151101542053201</c:v>
                  </c:pt>
                  <c:pt idx="14">
                    <c:v>15.49278314412269</c:v>
                  </c:pt>
                  <c:pt idx="15">
                    <c:v>28.620042797704802</c:v>
                  </c:pt>
                  <c:pt idx="16">
                    <c:v>20.388179810175487</c:v>
                  </c:pt>
                </c:numCache>
              </c:numRef>
            </c:plus>
            <c:minus>
              <c:numRef>
                <c:f>'C-phycocyanin CeBER'!$AH$5:$AH$21</c:f>
                <c:numCache>
                  <c:formatCode>General</c:formatCode>
                  <c:ptCount val="17"/>
                  <c:pt idx="0">
                    <c:v>0.28110675412776337</c:v>
                  </c:pt>
                  <c:pt idx="1">
                    <c:v>0.24589755672005703</c:v>
                  </c:pt>
                  <c:pt idx="2">
                    <c:v>0.62176671428401353</c:v>
                  </c:pt>
                  <c:pt idx="3">
                    <c:v>2.8472717714026339</c:v>
                  </c:pt>
                  <c:pt idx="4">
                    <c:v>7.2383657426895445</c:v>
                  </c:pt>
                  <c:pt idx="5">
                    <c:v>8.1440437624943769</c:v>
                  </c:pt>
                  <c:pt idx="6">
                    <c:v>10.794317959505538</c:v>
                  </c:pt>
                  <c:pt idx="7">
                    <c:v>13.014502746412953</c:v>
                  </c:pt>
                  <c:pt idx="8">
                    <c:v>15.541823570894737</c:v>
                  </c:pt>
                  <c:pt idx="9">
                    <c:v>10.536220352745431</c:v>
                  </c:pt>
                  <c:pt idx="10">
                    <c:v>8.6216224814732918</c:v>
                  </c:pt>
                  <c:pt idx="11">
                    <c:v>19.450284538841487</c:v>
                  </c:pt>
                  <c:pt idx="12">
                    <c:v>19.48164201587003</c:v>
                  </c:pt>
                  <c:pt idx="13">
                    <c:v>13.151101542053201</c:v>
                  </c:pt>
                  <c:pt idx="14">
                    <c:v>15.49278314412269</c:v>
                  </c:pt>
                  <c:pt idx="15">
                    <c:v>28.620042797704802</c:v>
                  </c:pt>
                  <c:pt idx="16">
                    <c:v>20.388179810175487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CeBER'!$AD$5:$AD$21</c:f>
              <c:numCache>
                <c:formatCode>0</c:formatCode>
                <c:ptCount val="17"/>
                <c:pt idx="0">
                  <c:v>0</c:v>
                </c:pt>
                <c:pt idx="1">
                  <c:v>22.5</c:v>
                </c:pt>
                <c:pt idx="2">
                  <c:v>48.5</c:v>
                </c:pt>
                <c:pt idx="3">
                  <c:v>72.5</c:v>
                </c:pt>
                <c:pt idx="4">
                  <c:v>95</c:v>
                </c:pt>
                <c:pt idx="5">
                  <c:v>118.5</c:v>
                </c:pt>
                <c:pt idx="6">
                  <c:v>142.5</c:v>
                </c:pt>
                <c:pt idx="7">
                  <c:v>192.5</c:v>
                </c:pt>
                <c:pt idx="8">
                  <c:v>215.5</c:v>
                </c:pt>
                <c:pt idx="9">
                  <c:v>238.5</c:v>
                </c:pt>
                <c:pt idx="10">
                  <c:v>262.5</c:v>
                </c:pt>
                <c:pt idx="11">
                  <c:v>286.5</c:v>
                </c:pt>
                <c:pt idx="12">
                  <c:v>309.5</c:v>
                </c:pt>
                <c:pt idx="13">
                  <c:v>335.5</c:v>
                </c:pt>
                <c:pt idx="14">
                  <c:v>360.5</c:v>
                </c:pt>
                <c:pt idx="15">
                  <c:v>385.5</c:v>
                </c:pt>
                <c:pt idx="16">
                  <c:v>407.5</c:v>
                </c:pt>
              </c:numCache>
            </c:numRef>
          </c:xVal>
          <c:yVal>
            <c:numRef>
              <c:f>'C-phycocyanin CeBER'!$AG$5:$AG$21</c:f>
              <c:numCache>
                <c:formatCode>0.00</c:formatCode>
                <c:ptCount val="17"/>
                <c:pt idx="0">
                  <c:v>8.2896677471636959</c:v>
                </c:pt>
                <c:pt idx="1">
                  <c:v>6.4325769854132906</c:v>
                </c:pt>
                <c:pt idx="2">
                  <c:v>13.453275256618044</c:v>
                </c:pt>
                <c:pt idx="3">
                  <c:v>30.744510686115614</c:v>
                </c:pt>
                <c:pt idx="4">
                  <c:v>46.782775375472717</c:v>
                </c:pt>
                <c:pt idx="5">
                  <c:v>66.959093733117228</c:v>
                </c:pt>
                <c:pt idx="6">
                  <c:v>66.964840937331147</c:v>
                </c:pt>
                <c:pt idx="7">
                  <c:v>98.040383576445166</c:v>
                </c:pt>
                <c:pt idx="8">
                  <c:v>115.07516207455427</c:v>
                </c:pt>
                <c:pt idx="9">
                  <c:v>119.87554024851431</c:v>
                </c:pt>
                <c:pt idx="10">
                  <c:v>126.66819737079057</c:v>
                </c:pt>
                <c:pt idx="11">
                  <c:v>117.52647217720151</c:v>
                </c:pt>
                <c:pt idx="12">
                  <c:v>165.59373311723394</c:v>
                </c:pt>
                <c:pt idx="13">
                  <c:v>179.92553574644333</c:v>
                </c:pt>
                <c:pt idx="14">
                  <c:v>193.8436880965244</c:v>
                </c:pt>
                <c:pt idx="15">
                  <c:v>188.7339276066991</c:v>
                </c:pt>
                <c:pt idx="16">
                  <c:v>237.11813434179726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C3-004F-8A9E-D4FB4C3F0BC2}"/>
            </c:ext>
          </c:extLst>
        </c:ser>
        <c:ser>
          <c:idx val="1"/>
          <c:order val="1"/>
          <c:tx>
            <c:strRef>
              <c:f>'C-phycocyanin CeBER'!$B$56:$AB$56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CeBER'!$AH$58:$AH$74</c:f>
                <c:numCache>
                  <c:formatCode>General</c:formatCode>
                  <c:ptCount val="17"/>
                  <c:pt idx="0">
                    <c:v>0.41015879231905006</c:v>
                  </c:pt>
                  <c:pt idx="1">
                    <c:v>0.37229206532521175</c:v>
                  </c:pt>
                  <c:pt idx="2">
                    <c:v>0.15355113963412909</c:v>
                  </c:pt>
                  <c:pt idx="3">
                    <c:v>0.12645517321473054</c:v>
                  </c:pt>
                  <c:pt idx="4">
                    <c:v>8.8885628483466057</c:v>
                  </c:pt>
                  <c:pt idx="5">
                    <c:v>10.760574513320385</c:v>
                  </c:pt>
                  <c:pt idx="6">
                    <c:v>13.973785113400739</c:v>
                  </c:pt>
                  <c:pt idx="7">
                    <c:v>10.175407237773351</c:v>
                  </c:pt>
                  <c:pt idx="8">
                    <c:v>3.8127328349890774</c:v>
                  </c:pt>
                  <c:pt idx="9">
                    <c:v>14.476139913688518</c:v>
                  </c:pt>
                  <c:pt idx="10">
                    <c:v>20.875698116497386</c:v>
                  </c:pt>
                  <c:pt idx="11">
                    <c:v>4.1539223305204711</c:v>
                  </c:pt>
                  <c:pt idx="12">
                    <c:v>12.45748571197098</c:v>
                  </c:pt>
                  <c:pt idx="13">
                    <c:v>16.161380515519003</c:v>
                  </c:pt>
                  <c:pt idx="14">
                    <c:v>12.472352364892023</c:v>
                  </c:pt>
                  <c:pt idx="15">
                    <c:v>22.171375583661021</c:v>
                  </c:pt>
                  <c:pt idx="16">
                    <c:v>15.763798566255531</c:v>
                  </c:pt>
                </c:numCache>
              </c:numRef>
            </c:plus>
            <c:minus>
              <c:numRef>
                <c:f>'C-phycocyanin CeBER'!$AH$58:$AH$74</c:f>
                <c:numCache>
                  <c:formatCode>General</c:formatCode>
                  <c:ptCount val="17"/>
                  <c:pt idx="0">
                    <c:v>0.41015879231905006</c:v>
                  </c:pt>
                  <c:pt idx="1">
                    <c:v>0.37229206532521175</c:v>
                  </c:pt>
                  <c:pt idx="2">
                    <c:v>0.15355113963412909</c:v>
                  </c:pt>
                  <c:pt idx="3">
                    <c:v>0.12645517321473054</c:v>
                  </c:pt>
                  <c:pt idx="4">
                    <c:v>8.8885628483466057</c:v>
                  </c:pt>
                  <c:pt idx="5">
                    <c:v>10.760574513320385</c:v>
                  </c:pt>
                  <c:pt idx="6">
                    <c:v>13.973785113400739</c:v>
                  </c:pt>
                  <c:pt idx="7">
                    <c:v>10.175407237773351</c:v>
                  </c:pt>
                  <c:pt idx="8">
                    <c:v>3.8127328349890774</c:v>
                  </c:pt>
                  <c:pt idx="9">
                    <c:v>14.476139913688518</c:v>
                  </c:pt>
                  <c:pt idx="10">
                    <c:v>20.875698116497386</c:v>
                  </c:pt>
                  <c:pt idx="11">
                    <c:v>4.1539223305204711</c:v>
                  </c:pt>
                  <c:pt idx="12">
                    <c:v>12.45748571197098</c:v>
                  </c:pt>
                  <c:pt idx="13">
                    <c:v>16.161380515519003</c:v>
                  </c:pt>
                  <c:pt idx="14">
                    <c:v>12.472352364892023</c:v>
                  </c:pt>
                  <c:pt idx="15">
                    <c:v>22.171375583661021</c:v>
                  </c:pt>
                  <c:pt idx="16">
                    <c:v>15.763798566255531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CeBER'!$AD$58:$AD$74</c:f>
              <c:numCache>
                <c:formatCode>0</c:formatCode>
                <c:ptCount val="17"/>
                <c:pt idx="0">
                  <c:v>0</c:v>
                </c:pt>
                <c:pt idx="1">
                  <c:v>22</c:v>
                </c:pt>
                <c:pt idx="2">
                  <c:v>48</c:v>
                </c:pt>
                <c:pt idx="3">
                  <c:v>72.5</c:v>
                </c:pt>
                <c:pt idx="4">
                  <c:v>94.5</c:v>
                </c:pt>
                <c:pt idx="5">
                  <c:v>117.5</c:v>
                </c:pt>
                <c:pt idx="6">
                  <c:v>141.5</c:v>
                </c:pt>
                <c:pt idx="7">
                  <c:v>191.5</c:v>
                </c:pt>
                <c:pt idx="8">
                  <c:v>214</c:v>
                </c:pt>
                <c:pt idx="9">
                  <c:v>237</c:v>
                </c:pt>
                <c:pt idx="10">
                  <c:v>261</c:v>
                </c:pt>
                <c:pt idx="11">
                  <c:v>285</c:v>
                </c:pt>
                <c:pt idx="12">
                  <c:v>308</c:v>
                </c:pt>
                <c:pt idx="13">
                  <c:v>334.5</c:v>
                </c:pt>
                <c:pt idx="14">
                  <c:v>359.5</c:v>
                </c:pt>
                <c:pt idx="15">
                  <c:v>384</c:v>
                </c:pt>
                <c:pt idx="16">
                  <c:v>406</c:v>
                </c:pt>
              </c:numCache>
            </c:numRef>
          </c:xVal>
          <c:yVal>
            <c:numRef>
              <c:f>'C-phycocyanin CeBER'!$AG$58:$AG$74</c:f>
              <c:numCache>
                <c:formatCode>0.00</c:formatCode>
                <c:ptCount val="17"/>
                <c:pt idx="0">
                  <c:v>7.7227951107509467</c:v>
                </c:pt>
                <c:pt idx="1">
                  <c:v>6.622285251215561</c:v>
                </c:pt>
                <c:pt idx="2">
                  <c:v>13.631867909238251</c:v>
                </c:pt>
                <c:pt idx="3">
                  <c:v>33.79540987844409</c:v>
                </c:pt>
                <c:pt idx="4">
                  <c:v>57.33367611561318</c:v>
                </c:pt>
                <c:pt idx="5">
                  <c:v>89.993555051323611</c:v>
                </c:pt>
                <c:pt idx="6">
                  <c:v>107.16495185035114</c:v>
                </c:pt>
                <c:pt idx="7">
                  <c:v>122.93895191788222</c:v>
                </c:pt>
                <c:pt idx="8">
                  <c:v>148.39012695840086</c:v>
                </c:pt>
                <c:pt idx="9">
                  <c:v>149.5707050243112</c:v>
                </c:pt>
                <c:pt idx="10">
                  <c:v>173.23482802088964</c:v>
                </c:pt>
                <c:pt idx="11">
                  <c:v>150.87592292454528</c:v>
                </c:pt>
                <c:pt idx="12">
                  <c:v>196.16288492706647</c:v>
                </c:pt>
                <c:pt idx="13">
                  <c:v>195.7839005942734</c:v>
                </c:pt>
                <c:pt idx="14">
                  <c:v>207.82369890149468</c:v>
                </c:pt>
                <c:pt idx="15">
                  <c:v>197.23887988474701</c:v>
                </c:pt>
                <c:pt idx="16">
                  <c:v>225.96848550333155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2F-8D4F-8BBB-F2F47E2C1E98}"/>
            </c:ext>
          </c:extLst>
        </c:ser>
        <c:ser>
          <c:idx val="2"/>
          <c:order val="2"/>
          <c:tx>
            <c:strRef>
              <c:f>'C-phycocyanin CeBER'!$B$110:$AB$110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CeBER'!$AH$112:$AH$128</c:f>
                <c:numCache>
                  <c:formatCode>General</c:formatCode>
                  <c:ptCount val="17"/>
                  <c:pt idx="0">
                    <c:v>0.76044359838661746</c:v>
                  </c:pt>
                  <c:pt idx="1">
                    <c:v>0.35866502515398496</c:v>
                  </c:pt>
                  <c:pt idx="2">
                    <c:v>0.44038022416311839</c:v>
                  </c:pt>
                  <c:pt idx="3">
                    <c:v>2.1238566366136733</c:v>
                  </c:pt>
                  <c:pt idx="4">
                    <c:v>4.1081409757049858</c:v>
                  </c:pt>
                  <c:pt idx="5">
                    <c:v>5.5117790297006035</c:v>
                  </c:pt>
                  <c:pt idx="6">
                    <c:v>15.131556425088474</c:v>
                  </c:pt>
                  <c:pt idx="7">
                    <c:v>8.6129469119241033</c:v>
                  </c:pt>
                  <c:pt idx="8">
                    <c:v>10.335994266369168</c:v>
                  </c:pt>
                  <c:pt idx="9">
                    <c:v>5.598110725574716</c:v>
                  </c:pt>
                  <c:pt idx="10">
                    <c:v>3.9719107310020521</c:v>
                  </c:pt>
                  <c:pt idx="11">
                    <c:v>9.3334548258282179</c:v>
                  </c:pt>
                  <c:pt idx="12">
                    <c:v>15.105415060791929</c:v>
                  </c:pt>
                  <c:pt idx="13">
                    <c:v>6.8210766464727417</c:v>
                  </c:pt>
                  <c:pt idx="14">
                    <c:v>3.3806214617816144</c:v>
                  </c:pt>
                  <c:pt idx="15">
                    <c:v>3.678515914689894</c:v>
                  </c:pt>
                  <c:pt idx="16">
                    <c:v>15.497879924437425</c:v>
                  </c:pt>
                </c:numCache>
              </c:numRef>
            </c:plus>
            <c:minus>
              <c:numRef>
                <c:f>'C-phycocyanin CeBER'!$AH$112:$AH$128</c:f>
                <c:numCache>
                  <c:formatCode>General</c:formatCode>
                  <c:ptCount val="17"/>
                  <c:pt idx="0">
                    <c:v>0.76044359838661746</c:v>
                  </c:pt>
                  <c:pt idx="1">
                    <c:v>0.35866502515398496</c:v>
                  </c:pt>
                  <c:pt idx="2">
                    <c:v>0.44038022416311839</c:v>
                  </c:pt>
                  <c:pt idx="3">
                    <c:v>2.1238566366136733</c:v>
                  </c:pt>
                  <c:pt idx="4">
                    <c:v>4.1081409757049858</c:v>
                  </c:pt>
                  <c:pt idx="5">
                    <c:v>5.5117790297006035</c:v>
                  </c:pt>
                  <c:pt idx="6">
                    <c:v>15.131556425088474</c:v>
                  </c:pt>
                  <c:pt idx="7">
                    <c:v>8.6129469119241033</c:v>
                  </c:pt>
                  <c:pt idx="8">
                    <c:v>10.335994266369168</c:v>
                  </c:pt>
                  <c:pt idx="9">
                    <c:v>5.598110725574716</c:v>
                  </c:pt>
                  <c:pt idx="10">
                    <c:v>3.9719107310020521</c:v>
                  </c:pt>
                  <c:pt idx="11">
                    <c:v>9.3334548258282179</c:v>
                  </c:pt>
                  <c:pt idx="12">
                    <c:v>15.105415060791929</c:v>
                  </c:pt>
                  <c:pt idx="13">
                    <c:v>6.8210766464727417</c:v>
                  </c:pt>
                  <c:pt idx="14">
                    <c:v>3.3806214617816144</c:v>
                  </c:pt>
                  <c:pt idx="15">
                    <c:v>3.678515914689894</c:v>
                  </c:pt>
                  <c:pt idx="16">
                    <c:v>15.497879924437425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CeBER'!$AD$112:$AD$128</c:f>
              <c:numCache>
                <c:formatCode>0</c:formatCode>
                <c:ptCount val="17"/>
                <c:pt idx="0">
                  <c:v>0</c:v>
                </c:pt>
                <c:pt idx="1">
                  <c:v>21.5</c:v>
                </c:pt>
                <c:pt idx="2">
                  <c:v>47.5</c:v>
                </c:pt>
                <c:pt idx="3">
                  <c:v>72</c:v>
                </c:pt>
                <c:pt idx="4">
                  <c:v>94</c:v>
                </c:pt>
                <c:pt idx="5">
                  <c:v>117</c:v>
                </c:pt>
                <c:pt idx="6">
                  <c:v>141</c:v>
                </c:pt>
                <c:pt idx="7">
                  <c:v>191</c:v>
                </c:pt>
                <c:pt idx="8">
                  <c:v>213.5</c:v>
                </c:pt>
                <c:pt idx="9">
                  <c:v>236.5</c:v>
                </c:pt>
                <c:pt idx="10">
                  <c:v>260.5</c:v>
                </c:pt>
                <c:pt idx="11">
                  <c:v>284.5</c:v>
                </c:pt>
                <c:pt idx="12">
                  <c:v>307.5</c:v>
                </c:pt>
                <c:pt idx="13">
                  <c:v>334</c:v>
                </c:pt>
                <c:pt idx="14">
                  <c:v>359</c:v>
                </c:pt>
                <c:pt idx="15">
                  <c:v>383</c:v>
                </c:pt>
                <c:pt idx="16">
                  <c:v>405.5</c:v>
                </c:pt>
              </c:numCache>
            </c:numRef>
          </c:xVal>
          <c:yVal>
            <c:numRef>
              <c:f>'C-phycocyanin CeBER'!$AG$112:$AG$128</c:f>
              <c:numCache>
                <c:formatCode>0.00</c:formatCode>
                <c:ptCount val="17"/>
                <c:pt idx="0">
                  <c:v>6.9873446785521338</c:v>
                </c:pt>
                <c:pt idx="1">
                  <c:v>6.3420583468395471</c:v>
                </c:pt>
                <c:pt idx="2">
                  <c:v>9.9246150729335501</c:v>
                </c:pt>
                <c:pt idx="3">
                  <c:v>22.964778549432737</c:v>
                </c:pt>
                <c:pt idx="4">
                  <c:v>43.023237574284174</c:v>
                </c:pt>
                <c:pt idx="5">
                  <c:v>60.933275054024854</c:v>
                </c:pt>
                <c:pt idx="6">
                  <c:v>84.832982131280374</c:v>
                </c:pt>
                <c:pt idx="7">
                  <c:v>110.12999729875743</c:v>
                </c:pt>
                <c:pt idx="8">
                  <c:v>118.6185170178282</c:v>
                </c:pt>
                <c:pt idx="9">
                  <c:v>129.35919773095625</c:v>
                </c:pt>
                <c:pt idx="10">
                  <c:v>155.12002521159735</c:v>
                </c:pt>
                <c:pt idx="11">
                  <c:v>137.82180803169459</c:v>
                </c:pt>
                <c:pt idx="12">
                  <c:v>180.11066090401587</c:v>
                </c:pt>
                <c:pt idx="13">
                  <c:v>172.18728615162976</c:v>
                </c:pt>
                <c:pt idx="14">
                  <c:v>165.32901134521885</c:v>
                </c:pt>
                <c:pt idx="15">
                  <c:v>121.71636952998379</c:v>
                </c:pt>
                <c:pt idx="16">
                  <c:v>185.96425355663609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2F-8D4F-8BBB-F2F47E2C1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726320"/>
        <c:axId val="1251986208"/>
      </c:scatterChart>
      <c:valAx>
        <c:axId val="148572632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1986208"/>
        <c:crosses val="autoZero"/>
        <c:crossBetween val="midCat"/>
        <c:majorUnit val="50"/>
      </c:valAx>
      <c:valAx>
        <c:axId val="1251986208"/>
        <c:scaling>
          <c:orientation val="minMax"/>
          <c:max val="3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Total</a:t>
                </a:r>
                <a:r>
                  <a:rPr lang="en-GB" baseline="0"/>
                  <a:t> c-phycocyanin (mg CPC.L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2972972972972972E-2"/>
              <c:y val="0.15677616055568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8572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UTEX #1926'!$B$2:$AB$2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#1926'!$AF$5:$AF$22</c:f>
                <c:numCache>
                  <c:formatCode>General</c:formatCode>
                  <c:ptCount val="18"/>
                  <c:pt idx="0">
                    <c:v>6.1339953732329908</c:v>
                  </c:pt>
                  <c:pt idx="1">
                    <c:v>1.4523982773364121</c:v>
                  </c:pt>
                  <c:pt idx="2">
                    <c:v>0.46984895065999516</c:v>
                  </c:pt>
                  <c:pt idx="3">
                    <c:v>1.3592755460310688</c:v>
                  </c:pt>
                  <c:pt idx="4">
                    <c:v>9.8193182927652973</c:v>
                  </c:pt>
                  <c:pt idx="5">
                    <c:v>2.2092991757930607</c:v>
                  </c:pt>
                  <c:pt idx="6">
                    <c:v>1.8175193857147842</c:v>
                  </c:pt>
                  <c:pt idx="7">
                    <c:v>2.3414346262736605</c:v>
                  </c:pt>
                  <c:pt idx="8">
                    <c:v>1.9900290937740619</c:v>
                  </c:pt>
                  <c:pt idx="9">
                    <c:v>0.31507341028230651</c:v>
                  </c:pt>
                  <c:pt idx="10">
                    <c:v>1.7561716019498925</c:v>
                  </c:pt>
                  <c:pt idx="11">
                    <c:v>3.5285542227846283</c:v>
                  </c:pt>
                  <c:pt idx="12">
                    <c:v>5.7884650276284244</c:v>
                  </c:pt>
                  <c:pt idx="13">
                    <c:v>3.66665026525708</c:v>
                  </c:pt>
                  <c:pt idx="14">
                    <c:v>7.2935515603779528</c:v>
                  </c:pt>
                  <c:pt idx="15">
                    <c:v>6.8105579157731215</c:v>
                  </c:pt>
                  <c:pt idx="16">
                    <c:v>5.1187997499723288</c:v>
                  </c:pt>
                </c:numCache>
              </c:numRef>
            </c:plus>
            <c:minus>
              <c:numRef>
                <c:f>'C-phycocyanin UTEX #1926'!$AF$5:$AF$22</c:f>
                <c:numCache>
                  <c:formatCode>General</c:formatCode>
                  <c:ptCount val="18"/>
                  <c:pt idx="0">
                    <c:v>6.1339953732329908</c:v>
                  </c:pt>
                  <c:pt idx="1">
                    <c:v>1.4523982773364121</c:v>
                  </c:pt>
                  <c:pt idx="2">
                    <c:v>0.46984895065999516</c:v>
                  </c:pt>
                  <c:pt idx="3">
                    <c:v>1.3592755460310688</c:v>
                  </c:pt>
                  <c:pt idx="4">
                    <c:v>9.8193182927652973</c:v>
                  </c:pt>
                  <c:pt idx="5">
                    <c:v>2.2092991757930607</c:v>
                  </c:pt>
                  <c:pt idx="6">
                    <c:v>1.8175193857147842</c:v>
                  </c:pt>
                  <c:pt idx="7">
                    <c:v>2.3414346262736605</c:v>
                  </c:pt>
                  <c:pt idx="8">
                    <c:v>1.9900290937740619</c:v>
                  </c:pt>
                  <c:pt idx="9">
                    <c:v>0.31507341028230651</c:v>
                  </c:pt>
                  <c:pt idx="10">
                    <c:v>1.7561716019498925</c:v>
                  </c:pt>
                  <c:pt idx="11">
                    <c:v>3.5285542227846283</c:v>
                  </c:pt>
                  <c:pt idx="12">
                    <c:v>5.7884650276284244</c:v>
                  </c:pt>
                  <c:pt idx="13">
                    <c:v>3.66665026525708</c:v>
                  </c:pt>
                  <c:pt idx="14">
                    <c:v>7.2935515603779528</c:v>
                  </c:pt>
                  <c:pt idx="15">
                    <c:v>6.8105579157731215</c:v>
                  </c:pt>
                  <c:pt idx="16">
                    <c:v>5.1187997499723288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#1926'!$AD$5:$AD$22</c:f>
              <c:numCache>
                <c:formatCode>0</c:formatCode>
                <c:ptCount val="18"/>
                <c:pt idx="0">
                  <c:v>0</c:v>
                </c:pt>
                <c:pt idx="1">
                  <c:v>22.5</c:v>
                </c:pt>
                <c:pt idx="2">
                  <c:v>48.5</c:v>
                </c:pt>
                <c:pt idx="3">
                  <c:v>72.5</c:v>
                </c:pt>
                <c:pt idx="4">
                  <c:v>95</c:v>
                </c:pt>
                <c:pt idx="5">
                  <c:v>118.5</c:v>
                </c:pt>
                <c:pt idx="6">
                  <c:v>142.5</c:v>
                </c:pt>
                <c:pt idx="7">
                  <c:v>192.5</c:v>
                </c:pt>
                <c:pt idx="8">
                  <c:v>215.5</c:v>
                </c:pt>
                <c:pt idx="9">
                  <c:v>238.5</c:v>
                </c:pt>
                <c:pt idx="10">
                  <c:v>262.5</c:v>
                </c:pt>
                <c:pt idx="11">
                  <c:v>286.5</c:v>
                </c:pt>
                <c:pt idx="12">
                  <c:v>309.5</c:v>
                </c:pt>
                <c:pt idx="13">
                  <c:v>335.5</c:v>
                </c:pt>
                <c:pt idx="14">
                  <c:v>360.5</c:v>
                </c:pt>
                <c:pt idx="15">
                  <c:v>385.5</c:v>
                </c:pt>
                <c:pt idx="16">
                  <c:v>407.5</c:v>
                </c:pt>
              </c:numCache>
            </c:numRef>
          </c:xVal>
          <c:yVal>
            <c:numRef>
              <c:f>'C-phycocyanin UTEX #1926'!$AE$5:$AE$22</c:f>
              <c:numCache>
                <c:formatCode>0.00</c:formatCode>
                <c:ptCount val="18"/>
                <c:pt idx="0">
                  <c:v>49.632291470517167</c:v>
                </c:pt>
                <c:pt idx="1">
                  <c:v>21.136981644863443</c:v>
                </c:pt>
                <c:pt idx="2">
                  <c:v>20.92753900187283</c:v>
                </c:pt>
                <c:pt idx="3">
                  <c:v>40.595754146555528</c:v>
                </c:pt>
                <c:pt idx="4">
                  <c:v>55.323225600544554</c:v>
                </c:pt>
                <c:pt idx="5">
                  <c:v>43.594914139983892</c:v>
                </c:pt>
                <c:pt idx="6">
                  <c:v>46.643806722986369</c:v>
                </c:pt>
                <c:pt idx="7">
                  <c:v>44.841313669638566</c:v>
                </c:pt>
                <c:pt idx="8">
                  <c:v>47.017498372560432</c:v>
                </c:pt>
                <c:pt idx="9">
                  <c:v>46.048940248659356</c:v>
                </c:pt>
                <c:pt idx="10">
                  <c:v>43.611128889740066</c:v>
                </c:pt>
                <c:pt idx="11">
                  <c:v>42.498103068238429</c:v>
                </c:pt>
                <c:pt idx="12">
                  <c:v>50.254924258671736</c:v>
                </c:pt>
                <c:pt idx="13">
                  <c:v>49.068805510635649</c:v>
                </c:pt>
                <c:pt idx="14">
                  <c:v>55.031908979471986</c:v>
                </c:pt>
                <c:pt idx="15">
                  <c:v>63.062601986616698</c:v>
                </c:pt>
                <c:pt idx="16">
                  <c:v>67.500850438415796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B4-5048-921E-F6B9A502534C}"/>
            </c:ext>
          </c:extLst>
        </c:ser>
        <c:ser>
          <c:idx val="1"/>
          <c:order val="1"/>
          <c:tx>
            <c:strRef>
              <c:f>'C-phycocyanin UTEX #1926'!$B$56:$AB$56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#1926'!$AF$58:$AF$74</c:f>
                <c:numCache>
                  <c:formatCode>General</c:formatCode>
                  <c:ptCount val="17"/>
                  <c:pt idx="0">
                    <c:v>1.8640700442403806</c:v>
                  </c:pt>
                  <c:pt idx="1">
                    <c:v>1.374708317290722</c:v>
                  </c:pt>
                  <c:pt idx="2">
                    <c:v>0.5364241488526168</c:v>
                  </c:pt>
                  <c:pt idx="3">
                    <c:v>2.3686319285502373</c:v>
                  </c:pt>
                  <c:pt idx="4">
                    <c:v>3.3261955816398165</c:v>
                  </c:pt>
                  <c:pt idx="5">
                    <c:v>3.1874169842207527</c:v>
                  </c:pt>
                  <c:pt idx="6">
                    <c:v>0.91405545850317027</c:v>
                  </c:pt>
                  <c:pt idx="7">
                    <c:v>2.2682147006564053</c:v>
                  </c:pt>
                  <c:pt idx="8">
                    <c:v>8.9087419578337617</c:v>
                  </c:pt>
                  <c:pt idx="9">
                    <c:v>2.5658662748905572</c:v>
                  </c:pt>
                  <c:pt idx="10">
                    <c:v>4.0256553901222007</c:v>
                  </c:pt>
                  <c:pt idx="11">
                    <c:v>5.1887945289495452</c:v>
                  </c:pt>
                  <c:pt idx="12">
                    <c:v>3.9479151869465352</c:v>
                  </c:pt>
                  <c:pt idx="13">
                    <c:v>1.4230182559973492</c:v>
                  </c:pt>
                  <c:pt idx="14">
                    <c:v>6.6886191422381147</c:v>
                  </c:pt>
                  <c:pt idx="15">
                    <c:v>11.238396666348834</c:v>
                  </c:pt>
                  <c:pt idx="16">
                    <c:v>7.8000748138618281</c:v>
                  </c:pt>
                </c:numCache>
              </c:numRef>
            </c:plus>
            <c:minus>
              <c:numRef>
                <c:f>'C-phycocyanin UTEX #1926'!$AF$58:$AF$74</c:f>
                <c:numCache>
                  <c:formatCode>General</c:formatCode>
                  <c:ptCount val="17"/>
                  <c:pt idx="0">
                    <c:v>1.8640700442403806</c:v>
                  </c:pt>
                  <c:pt idx="1">
                    <c:v>1.374708317290722</c:v>
                  </c:pt>
                  <c:pt idx="2">
                    <c:v>0.5364241488526168</c:v>
                  </c:pt>
                  <c:pt idx="3">
                    <c:v>2.3686319285502373</c:v>
                  </c:pt>
                  <c:pt idx="4">
                    <c:v>3.3261955816398165</c:v>
                  </c:pt>
                  <c:pt idx="5">
                    <c:v>3.1874169842207527</c:v>
                  </c:pt>
                  <c:pt idx="6">
                    <c:v>0.91405545850317027</c:v>
                  </c:pt>
                  <c:pt idx="7">
                    <c:v>2.2682147006564053</c:v>
                  </c:pt>
                  <c:pt idx="8">
                    <c:v>8.9087419578337617</c:v>
                  </c:pt>
                  <c:pt idx="9">
                    <c:v>2.5658662748905572</c:v>
                  </c:pt>
                  <c:pt idx="10">
                    <c:v>4.0256553901222007</c:v>
                  </c:pt>
                  <c:pt idx="11">
                    <c:v>5.1887945289495452</c:v>
                  </c:pt>
                  <c:pt idx="12">
                    <c:v>3.9479151869465352</c:v>
                  </c:pt>
                  <c:pt idx="13">
                    <c:v>1.4230182559973492</c:v>
                  </c:pt>
                  <c:pt idx="14">
                    <c:v>6.6886191422381147</c:v>
                  </c:pt>
                  <c:pt idx="15">
                    <c:v>11.238396666348834</c:v>
                  </c:pt>
                  <c:pt idx="16">
                    <c:v>7.8000748138618281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#1926'!$AD$58:$AD$74</c:f>
              <c:numCache>
                <c:formatCode>0</c:formatCode>
                <c:ptCount val="17"/>
                <c:pt idx="0">
                  <c:v>0</c:v>
                </c:pt>
                <c:pt idx="1">
                  <c:v>22</c:v>
                </c:pt>
                <c:pt idx="2">
                  <c:v>48</c:v>
                </c:pt>
                <c:pt idx="3">
                  <c:v>72.5</c:v>
                </c:pt>
                <c:pt idx="4">
                  <c:v>94.5</c:v>
                </c:pt>
                <c:pt idx="5">
                  <c:v>117.5</c:v>
                </c:pt>
                <c:pt idx="6">
                  <c:v>141.5</c:v>
                </c:pt>
                <c:pt idx="7">
                  <c:v>191.5</c:v>
                </c:pt>
                <c:pt idx="8">
                  <c:v>214</c:v>
                </c:pt>
                <c:pt idx="9">
                  <c:v>237</c:v>
                </c:pt>
                <c:pt idx="10">
                  <c:v>261</c:v>
                </c:pt>
                <c:pt idx="11">
                  <c:v>285</c:v>
                </c:pt>
                <c:pt idx="12">
                  <c:v>308</c:v>
                </c:pt>
                <c:pt idx="13">
                  <c:v>334.5</c:v>
                </c:pt>
                <c:pt idx="14">
                  <c:v>359.5</c:v>
                </c:pt>
                <c:pt idx="15">
                  <c:v>384</c:v>
                </c:pt>
                <c:pt idx="16">
                  <c:v>406</c:v>
                </c:pt>
              </c:numCache>
            </c:numRef>
          </c:xVal>
          <c:yVal>
            <c:numRef>
              <c:f>'C-phycocyanin UTEX #1926'!$AE$58:$AE$74</c:f>
              <c:numCache>
                <c:formatCode>0.00</c:formatCode>
                <c:ptCount val="17"/>
                <c:pt idx="0">
                  <c:v>58.640741345048376</c:v>
                </c:pt>
                <c:pt idx="1">
                  <c:v>21.550309885610407</c:v>
                </c:pt>
                <c:pt idx="2">
                  <c:v>21.240449738739844</c:v>
                </c:pt>
                <c:pt idx="3">
                  <c:v>40.618572359868523</c:v>
                </c:pt>
                <c:pt idx="4">
                  <c:v>49.923069928019636</c:v>
                </c:pt>
                <c:pt idx="5">
                  <c:v>48.413014848468357</c:v>
                </c:pt>
                <c:pt idx="6">
                  <c:v>52.555909937818001</c:v>
                </c:pt>
                <c:pt idx="7">
                  <c:v>52.845515863270414</c:v>
                </c:pt>
                <c:pt idx="8">
                  <c:v>47.330316084400501</c:v>
                </c:pt>
                <c:pt idx="9">
                  <c:v>46.648003632278517</c:v>
                </c:pt>
                <c:pt idx="10">
                  <c:v>37.141074830016059</c:v>
                </c:pt>
                <c:pt idx="11">
                  <c:v>37.840046445139507</c:v>
                </c:pt>
                <c:pt idx="12">
                  <c:v>36.588808277150925</c:v>
                </c:pt>
                <c:pt idx="13">
                  <c:v>36.950275974370122</c:v>
                </c:pt>
                <c:pt idx="14">
                  <c:v>46.632418625731852</c:v>
                </c:pt>
                <c:pt idx="15">
                  <c:v>49.557097360562345</c:v>
                </c:pt>
                <c:pt idx="16">
                  <c:v>52.016314031674654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B4-5048-921E-F6B9A502534C}"/>
            </c:ext>
          </c:extLst>
        </c:ser>
        <c:ser>
          <c:idx val="2"/>
          <c:order val="2"/>
          <c:tx>
            <c:strRef>
              <c:f>'C-phycocyanin UTEX #1926'!$B$110:$AB$110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#1926'!$AF$112:$AF$128</c:f>
                <c:numCache>
                  <c:formatCode>General</c:formatCode>
                  <c:ptCount val="17"/>
                  <c:pt idx="0">
                    <c:v>1.4344930269015188</c:v>
                  </c:pt>
                  <c:pt idx="1">
                    <c:v>1.7822602202942859</c:v>
                  </c:pt>
                  <c:pt idx="2">
                    <c:v>0.9115413986354135</c:v>
                  </c:pt>
                  <c:pt idx="3">
                    <c:v>7.2499084380161207</c:v>
                  </c:pt>
                  <c:pt idx="4">
                    <c:v>5.9540570435485343</c:v>
                  </c:pt>
                  <c:pt idx="5">
                    <c:v>7.5474060233145543</c:v>
                  </c:pt>
                  <c:pt idx="6">
                    <c:v>4.570095441651727</c:v>
                  </c:pt>
                  <c:pt idx="7">
                    <c:v>2.8157672730131682</c:v>
                  </c:pt>
                  <c:pt idx="8">
                    <c:v>3.669322660925582</c:v>
                  </c:pt>
                  <c:pt idx="9">
                    <c:v>2.8498139233473974</c:v>
                  </c:pt>
                  <c:pt idx="10">
                    <c:v>2.6215387371845993</c:v>
                  </c:pt>
                  <c:pt idx="11">
                    <c:v>0.50839681501680867</c:v>
                  </c:pt>
                  <c:pt idx="12">
                    <c:v>2.1314796268594773</c:v>
                  </c:pt>
                  <c:pt idx="13">
                    <c:v>1.6565854855588127</c:v>
                  </c:pt>
                  <c:pt idx="14">
                    <c:v>0.49588899542325821</c:v>
                  </c:pt>
                  <c:pt idx="15">
                    <c:v>1.8633514034269001</c:v>
                  </c:pt>
                  <c:pt idx="16">
                    <c:v>1.3297510193351705</c:v>
                  </c:pt>
                </c:numCache>
              </c:numRef>
            </c:plus>
            <c:minus>
              <c:numRef>
                <c:f>'C-phycocyanin UTEX #1926'!$AF$112:$AF$128</c:f>
                <c:numCache>
                  <c:formatCode>General</c:formatCode>
                  <c:ptCount val="17"/>
                  <c:pt idx="0">
                    <c:v>1.4344930269015188</c:v>
                  </c:pt>
                  <c:pt idx="1">
                    <c:v>1.7822602202942859</c:v>
                  </c:pt>
                  <c:pt idx="2">
                    <c:v>0.9115413986354135</c:v>
                  </c:pt>
                  <c:pt idx="3">
                    <c:v>7.2499084380161207</c:v>
                  </c:pt>
                  <c:pt idx="4">
                    <c:v>5.9540570435485343</c:v>
                  </c:pt>
                  <c:pt idx="5">
                    <c:v>7.5474060233145543</c:v>
                  </c:pt>
                  <c:pt idx="6">
                    <c:v>4.570095441651727</c:v>
                  </c:pt>
                  <c:pt idx="7">
                    <c:v>2.8157672730131682</c:v>
                  </c:pt>
                  <c:pt idx="8">
                    <c:v>3.669322660925582</c:v>
                  </c:pt>
                  <c:pt idx="9">
                    <c:v>2.8498139233473974</c:v>
                  </c:pt>
                  <c:pt idx="10">
                    <c:v>2.6215387371845993</c:v>
                  </c:pt>
                  <c:pt idx="11">
                    <c:v>0.50839681501680867</c:v>
                  </c:pt>
                  <c:pt idx="12">
                    <c:v>2.1314796268594773</c:v>
                  </c:pt>
                  <c:pt idx="13">
                    <c:v>1.6565854855588127</c:v>
                  </c:pt>
                  <c:pt idx="14">
                    <c:v>0.49588899542325821</c:v>
                  </c:pt>
                  <c:pt idx="15">
                    <c:v>1.8633514034269001</c:v>
                  </c:pt>
                  <c:pt idx="16">
                    <c:v>1.3297510193351705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#1926'!$AD$112:$AD$128</c:f>
              <c:numCache>
                <c:formatCode>0</c:formatCode>
                <c:ptCount val="17"/>
                <c:pt idx="0">
                  <c:v>0</c:v>
                </c:pt>
                <c:pt idx="1">
                  <c:v>21.5</c:v>
                </c:pt>
                <c:pt idx="2">
                  <c:v>47.5</c:v>
                </c:pt>
                <c:pt idx="3">
                  <c:v>72</c:v>
                </c:pt>
                <c:pt idx="4">
                  <c:v>94</c:v>
                </c:pt>
                <c:pt idx="5">
                  <c:v>117</c:v>
                </c:pt>
                <c:pt idx="6">
                  <c:v>141</c:v>
                </c:pt>
                <c:pt idx="7">
                  <c:v>191</c:v>
                </c:pt>
                <c:pt idx="8">
                  <c:v>213.5</c:v>
                </c:pt>
                <c:pt idx="9">
                  <c:v>236.5</c:v>
                </c:pt>
                <c:pt idx="10">
                  <c:v>260.5</c:v>
                </c:pt>
                <c:pt idx="11">
                  <c:v>284.5</c:v>
                </c:pt>
                <c:pt idx="12">
                  <c:v>307.5</c:v>
                </c:pt>
                <c:pt idx="13">
                  <c:v>334</c:v>
                </c:pt>
                <c:pt idx="14">
                  <c:v>359</c:v>
                </c:pt>
                <c:pt idx="15">
                  <c:v>383</c:v>
                </c:pt>
                <c:pt idx="16">
                  <c:v>405.5</c:v>
                </c:pt>
              </c:numCache>
            </c:numRef>
          </c:xVal>
          <c:yVal>
            <c:numRef>
              <c:f>'C-phycocyanin UTEX #1926'!$AE$112:$AE$128</c:f>
              <c:numCache>
                <c:formatCode>0.00</c:formatCode>
                <c:ptCount val="17"/>
                <c:pt idx="0">
                  <c:v>57.195000898424041</c:v>
                </c:pt>
                <c:pt idx="1">
                  <c:v>21.103263247450492</c:v>
                </c:pt>
                <c:pt idx="2">
                  <c:v>18.707598449090312</c:v>
                </c:pt>
                <c:pt idx="3">
                  <c:v>35.27928270858348</c:v>
                </c:pt>
                <c:pt idx="4">
                  <c:v>40.690502758163291</c:v>
                </c:pt>
                <c:pt idx="5">
                  <c:v>47.560603992486229</c:v>
                </c:pt>
                <c:pt idx="6">
                  <c:v>52.413399990966234</c:v>
                </c:pt>
                <c:pt idx="7">
                  <c:v>37.769826068776261</c:v>
                </c:pt>
                <c:pt idx="8">
                  <c:v>35.671904216852091</c:v>
                </c:pt>
                <c:pt idx="9">
                  <c:v>34.365826183889084</c:v>
                </c:pt>
                <c:pt idx="10">
                  <c:v>29.292471745074852</c:v>
                </c:pt>
                <c:pt idx="11">
                  <c:v>29.659064316290749</c:v>
                </c:pt>
                <c:pt idx="12">
                  <c:v>30.494788271675617</c:v>
                </c:pt>
                <c:pt idx="13">
                  <c:v>27.773342905705423</c:v>
                </c:pt>
                <c:pt idx="14">
                  <c:v>33.492206238951461</c:v>
                </c:pt>
                <c:pt idx="15">
                  <c:v>34.238654887069004</c:v>
                </c:pt>
                <c:pt idx="16">
                  <c:v>34.921307164545276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2B4-5048-921E-F6B9A5025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29088"/>
        <c:axId val="678536160"/>
      </c:scatterChart>
      <c:valAx>
        <c:axId val="67852908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36160"/>
        <c:crosses val="autoZero"/>
        <c:crossBetween val="midCat"/>
      </c:valAx>
      <c:valAx>
        <c:axId val="67853616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c-phycocyanin concentration</a:t>
                </a:r>
                <a:r>
                  <a:rPr lang="en-ZA"/>
                  <a:t> (mg PC.(g biomass)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087719720131947E-2"/>
              <c:y val="7.19836677758397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2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 UTEX #1926'!$B$2:$AB$2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#1926'!$AH$5:$AH$21</c:f>
                <c:numCache>
                  <c:formatCode>General</c:formatCode>
                  <c:ptCount val="17"/>
                  <c:pt idx="0">
                    <c:v>0.59682514083259441</c:v>
                  </c:pt>
                  <c:pt idx="1">
                    <c:v>0.30659926393475451</c:v>
                  </c:pt>
                  <c:pt idx="2">
                    <c:v>0.1391881714329154</c:v>
                  </c:pt>
                  <c:pt idx="3">
                    <c:v>0.42743381934196295</c:v>
                  </c:pt>
                  <c:pt idx="4">
                    <c:v>11.529081014304984</c:v>
                  </c:pt>
                  <c:pt idx="5">
                    <c:v>5.8621016775512773</c:v>
                  </c:pt>
                  <c:pt idx="6">
                    <c:v>6.310547367824074</c:v>
                  </c:pt>
                  <c:pt idx="7">
                    <c:v>5.7705292432031809</c:v>
                  </c:pt>
                  <c:pt idx="8">
                    <c:v>5.332904061212683</c:v>
                  </c:pt>
                  <c:pt idx="9">
                    <c:v>2.4183624627427975</c:v>
                  </c:pt>
                  <c:pt idx="10">
                    <c:v>7.8799725022567264</c:v>
                  </c:pt>
                  <c:pt idx="11">
                    <c:v>13.573181343406739</c:v>
                  </c:pt>
                  <c:pt idx="12">
                    <c:v>20.421602479527678</c:v>
                  </c:pt>
                  <c:pt idx="13">
                    <c:v>21.920932151895954</c:v>
                  </c:pt>
                  <c:pt idx="14">
                    <c:v>17.46868307909212</c:v>
                  </c:pt>
                  <c:pt idx="15">
                    <c:v>18.165713172328672</c:v>
                  </c:pt>
                  <c:pt idx="16">
                    <c:v>13.875637407060868</c:v>
                  </c:pt>
                </c:numCache>
              </c:numRef>
            </c:plus>
            <c:minus>
              <c:numRef>
                <c:f>'C-phycocyanin UTEX #1926'!$AH$5:$AH$21</c:f>
                <c:numCache>
                  <c:formatCode>General</c:formatCode>
                  <c:ptCount val="17"/>
                  <c:pt idx="0">
                    <c:v>0.59682514083259441</c:v>
                  </c:pt>
                  <c:pt idx="1">
                    <c:v>0.30659926393475451</c:v>
                  </c:pt>
                  <c:pt idx="2">
                    <c:v>0.1391881714329154</c:v>
                  </c:pt>
                  <c:pt idx="3">
                    <c:v>0.42743381934196295</c:v>
                  </c:pt>
                  <c:pt idx="4">
                    <c:v>11.529081014304984</c:v>
                  </c:pt>
                  <c:pt idx="5">
                    <c:v>5.8621016775512773</c:v>
                  </c:pt>
                  <c:pt idx="6">
                    <c:v>6.310547367824074</c:v>
                  </c:pt>
                  <c:pt idx="7">
                    <c:v>5.7705292432031809</c:v>
                  </c:pt>
                  <c:pt idx="8">
                    <c:v>5.332904061212683</c:v>
                  </c:pt>
                  <c:pt idx="9">
                    <c:v>2.4183624627427975</c:v>
                  </c:pt>
                  <c:pt idx="10">
                    <c:v>7.8799725022567264</c:v>
                  </c:pt>
                  <c:pt idx="11">
                    <c:v>13.573181343406739</c:v>
                  </c:pt>
                  <c:pt idx="12">
                    <c:v>20.421602479527678</c:v>
                  </c:pt>
                  <c:pt idx="13">
                    <c:v>21.920932151895954</c:v>
                  </c:pt>
                  <c:pt idx="14">
                    <c:v>17.46868307909212</c:v>
                  </c:pt>
                  <c:pt idx="15">
                    <c:v>18.165713172328672</c:v>
                  </c:pt>
                  <c:pt idx="16">
                    <c:v>13.875637407060868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#1926'!$AD$5:$AD$21</c:f>
              <c:numCache>
                <c:formatCode>0</c:formatCode>
                <c:ptCount val="17"/>
                <c:pt idx="0">
                  <c:v>0</c:v>
                </c:pt>
                <c:pt idx="1">
                  <c:v>22.5</c:v>
                </c:pt>
                <c:pt idx="2">
                  <c:v>48.5</c:v>
                </c:pt>
                <c:pt idx="3">
                  <c:v>72.5</c:v>
                </c:pt>
                <c:pt idx="4">
                  <c:v>95</c:v>
                </c:pt>
                <c:pt idx="5">
                  <c:v>118.5</c:v>
                </c:pt>
                <c:pt idx="6">
                  <c:v>142.5</c:v>
                </c:pt>
                <c:pt idx="7">
                  <c:v>192.5</c:v>
                </c:pt>
                <c:pt idx="8">
                  <c:v>215.5</c:v>
                </c:pt>
                <c:pt idx="9">
                  <c:v>238.5</c:v>
                </c:pt>
                <c:pt idx="10">
                  <c:v>262.5</c:v>
                </c:pt>
                <c:pt idx="11">
                  <c:v>286.5</c:v>
                </c:pt>
                <c:pt idx="12">
                  <c:v>309.5</c:v>
                </c:pt>
                <c:pt idx="13">
                  <c:v>335.5</c:v>
                </c:pt>
                <c:pt idx="14">
                  <c:v>360.5</c:v>
                </c:pt>
                <c:pt idx="15">
                  <c:v>385.5</c:v>
                </c:pt>
                <c:pt idx="16">
                  <c:v>407.5</c:v>
                </c:pt>
              </c:numCache>
            </c:numRef>
          </c:xVal>
          <c:yVal>
            <c:numRef>
              <c:f>'C-phycocyanin UTEX #1926'!$AG$5:$AG$21</c:f>
              <c:numCache>
                <c:formatCode>0.00</c:formatCode>
                <c:ptCount val="17"/>
                <c:pt idx="0">
                  <c:v>6.5314188276607235</c:v>
                </c:pt>
                <c:pt idx="1">
                  <c:v>6.1171731496488393</c:v>
                </c:pt>
                <c:pt idx="2">
                  <c:v>9.505929227444625</c:v>
                </c:pt>
                <c:pt idx="3">
                  <c:v>26.090953587250137</c:v>
                </c:pt>
                <c:pt idx="4">
                  <c:v>49.481116542409517</c:v>
                </c:pt>
                <c:pt idx="5">
                  <c:v>49.911309751485682</c:v>
                </c:pt>
                <c:pt idx="6">
                  <c:v>73.006613344138302</c:v>
                </c:pt>
                <c:pt idx="7">
                  <c:v>91.965086439762288</c:v>
                </c:pt>
                <c:pt idx="8">
                  <c:v>108.16335764451647</c:v>
                </c:pt>
                <c:pt idx="9">
                  <c:v>115.02012425715827</c:v>
                </c:pt>
                <c:pt idx="10">
                  <c:v>126.55186385737439</c:v>
                </c:pt>
                <c:pt idx="11">
                  <c:v>132.16171438861875</c:v>
                </c:pt>
                <c:pt idx="12">
                  <c:v>165.68962722852515</c:v>
                </c:pt>
                <c:pt idx="13">
                  <c:v>170.9119394921664</c:v>
                </c:pt>
                <c:pt idx="14">
                  <c:v>207.1752206014767</c:v>
                </c:pt>
                <c:pt idx="15">
                  <c:v>245.57734557896637</c:v>
                </c:pt>
                <c:pt idx="16">
                  <c:v>267.00981451467675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12-EF43-A290-7289CE9A462D}"/>
            </c:ext>
          </c:extLst>
        </c:ser>
        <c:ser>
          <c:idx val="1"/>
          <c:order val="1"/>
          <c:tx>
            <c:strRef>
              <c:f>'C-phycocyanin UTEX #1926'!$B$56:$AB$56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#1926'!$AH$58:$AH$74</c:f>
                <c:numCache>
                  <c:formatCode>General</c:formatCode>
                  <c:ptCount val="17"/>
                  <c:pt idx="0">
                    <c:v>0.36622593685667643</c:v>
                  </c:pt>
                  <c:pt idx="1">
                    <c:v>0.24316046104438371</c:v>
                  </c:pt>
                  <c:pt idx="2">
                    <c:v>0.27366738262829848</c:v>
                  </c:pt>
                  <c:pt idx="3">
                    <c:v>0.46150939892505444</c:v>
                  </c:pt>
                  <c:pt idx="4">
                    <c:v>1.9186290586077923</c:v>
                  </c:pt>
                  <c:pt idx="5">
                    <c:v>9.4447045268339167</c:v>
                  </c:pt>
                  <c:pt idx="6">
                    <c:v>9.8912150286879097</c:v>
                  </c:pt>
                  <c:pt idx="7">
                    <c:v>7.1398416077493776</c:v>
                  </c:pt>
                  <c:pt idx="8">
                    <c:v>20.49600501671835</c:v>
                  </c:pt>
                  <c:pt idx="9">
                    <c:v>11.301408967439661</c:v>
                  </c:pt>
                  <c:pt idx="10">
                    <c:v>17.656341118434497</c:v>
                  </c:pt>
                  <c:pt idx="11">
                    <c:v>19.366788586368639</c:v>
                  </c:pt>
                  <c:pt idx="12">
                    <c:v>13.868696324609147</c:v>
                  </c:pt>
                  <c:pt idx="13">
                    <c:v>3.3363741362869317</c:v>
                  </c:pt>
                  <c:pt idx="14">
                    <c:v>24.398624031699025</c:v>
                  </c:pt>
                  <c:pt idx="15">
                    <c:v>36.894620806989643</c:v>
                  </c:pt>
                  <c:pt idx="16">
                    <c:v>21.968333036856027</c:v>
                  </c:pt>
                </c:numCache>
              </c:numRef>
            </c:plus>
            <c:minus>
              <c:numRef>
                <c:f>'C-phycocyanin UTEX #1926'!$AH$58:$AH$74</c:f>
                <c:numCache>
                  <c:formatCode>General</c:formatCode>
                  <c:ptCount val="17"/>
                  <c:pt idx="0">
                    <c:v>0.36622593685667643</c:v>
                  </c:pt>
                  <c:pt idx="1">
                    <c:v>0.24316046104438371</c:v>
                  </c:pt>
                  <c:pt idx="2">
                    <c:v>0.27366738262829848</c:v>
                  </c:pt>
                  <c:pt idx="3">
                    <c:v>0.46150939892505444</c:v>
                  </c:pt>
                  <c:pt idx="4">
                    <c:v>1.9186290586077923</c:v>
                  </c:pt>
                  <c:pt idx="5">
                    <c:v>9.4447045268339167</c:v>
                  </c:pt>
                  <c:pt idx="6">
                    <c:v>9.8912150286879097</c:v>
                  </c:pt>
                  <c:pt idx="7">
                    <c:v>7.1398416077493776</c:v>
                  </c:pt>
                  <c:pt idx="8">
                    <c:v>20.49600501671835</c:v>
                  </c:pt>
                  <c:pt idx="9">
                    <c:v>11.301408967439661</c:v>
                  </c:pt>
                  <c:pt idx="10">
                    <c:v>17.656341118434497</c:v>
                  </c:pt>
                  <c:pt idx="11">
                    <c:v>19.366788586368639</c:v>
                  </c:pt>
                  <c:pt idx="12">
                    <c:v>13.868696324609147</c:v>
                  </c:pt>
                  <c:pt idx="13">
                    <c:v>3.3363741362869317</c:v>
                  </c:pt>
                  <c:pt idx="14">
                    <c:v>24.398624031699025</c:v>
                  </c:pt>
                  <c:pt idx="15">
                    <c:v>36.894620806989643</c:v>
                  </c:pt>
                  <c:pt idx="16">
                    <c:v>21.968333036856027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#1926'!$AD$58:$AD$74</c:f>
              <c:numCache>
                <c:formatCode>0</c:formatCode>
                <c:ptCount val="17"/>
                <c:pt idx="0">
                  <c:v>0</c:v>
                </c:pt>
                <c:pt idx="1">
                  <c:v>22</c:v>
                </c:pt>
                <c:pt idx="2">
                  <c:v>48</c:v>
                </c:pt>
                <c:pt idx="3">
                  <c:v>72.5</c:v>
                </c:pt>
                <c:pt idx="4">
                  <c:v>94.5</c:v>
                </c:pt>
                <c:pt idx="5">
                  <c:v>117.5</c:v>
                </c:pt>
                <c:pt idx="6">
                  <c:v>141.5</c:v>
                </c:pt>
                <c:pt idx="7">
                  <c:v>191.5</c:v>
                </c:pt>
                <c:pt idx="8">
                  <c:v>214</c:v>
                </c:pt>
                <c:pt idx="9">
                  <c:v>237</c:v>
                </c:pt>
                <c:pt idx="10">
                  <c:v>261</c:v>
                </c:pt>
                <c:pt idx="11">
                  <c:v>285</c:v>
                </c:pt>
                <c:pt idx="12">
                  <c:v>308</c:v>
                </c:pt>
                <c:pt idx="13">
                  <c:v>334.5</c:v>
                </c:pt>
                <c:pt idx="14">
                  <c:v>359.5</c:v>
                </c:pt>
                <c:pt idx="15">
                  <c:v>384</c:v>
                </c:pt>
                <c:pt idx="16">
                  <c:v>406</c:v>
                </c:pt>
              </c:numCache>
            </c:numRef>
          </c:xVal>
          <c:yVal>
            <c:numRef>
              <c:f>'C-phycocyanin UTEX #1926'!$AG$58:$AG$74</c:f>
              <c:numCache>
                <c:formatCode>0.00</c:formatCode>
                <c:ptCount val="17"/>
                <c:pt idx="0">
                  <c:v>8.2793861426256079</c:v>
                </c:pt>
                <c:pt idx="1">
                  <c:v>5.7117031334413833</c:v>
                </c:pt>
                <c:pt idx="2">
                  <c:v>9.9421528903295524</c:v>
                </c:pt>
                <c:pt idx="3">
                  <c:v>25.819860583468397</c:v>
                </c:pt>
                <c:pt idx="4">
                  <c:v>48.487965153970833</c:v>
                </c:pt>
                <c:pt idx="5">
                  <c:v>68.686477957860617</c:v>
                </c:pt>
                <c:pt idx="6">
                  <c:v>101.02191045380874</c:v>
                </c:pt>
                <c:pt idx="7">
                  <c:v>136.84197730956242</c:v>
                </c:pt>
                <c:pt idx="8">
                  <c:v>138.11433009184228</c:v>
                </c:pt>
                <c:pt idx="9">
                  <c:v>156.53991085899517</c:v>
                </c:pt>
                <c:pt idx="10">
                  <c:v>139.80019809112193</c:v>
                </c:pt>
                <c:pt idx="11">
                  <c:v>148.28056906176838</c:v>
                </c:pt>
                <c:pt idx="12">
                  <c:v>144.09346299297678</c:v>
                </c:pt>
                <c:pt idx="13">
                  <c:v>149.00135062128578</c:v>
                </c:pt>
                <c:pt idx="14">
                  <c:v>186.6679272465334</c:v>
                </c:pt>
                <c:pt idx="15">
                  <c:v>195.74536286691878</c:v>
                </c:pt>
                <c:pt idx="16">
                  <c:v>210.84846029173423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12-EF43-A290-7289CE9A462D}"/>
            </c:ext>
          </c:extLst>
        </c:ser>
        <c:ser>
          <c:idx val="2"/>
          <c:order val="2"/>
          <c:tx>
            <c:strRef>
              <c:f>'C-phycocyanin UTEX #1926'!$B$110:$AB$110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#1926'!$AH$112:$AH$128</c:f>
                <c:numCache>
                  <c:formatCode>General</c:formatCode>
                  <c:ptCount val="17"/>
                  <c:pt idx="0">
                    <c:v>0.51190336252260782</c:v>
                  </c:pt>
                  <c:pt idx="1">
                    <c:v>0.14684230654103647</c:v>
                  </c:pt>
                  <c:pt idx="2">
                    <c:v>0.34764574488036015</c:v>
                  </c:pt>
                  <c:pt idx="3">
                    <c:v>7.1628724992678974</c:v>
                  </c:pt>
                  <c:pt idx="4">
                    <c:v>9.7074011737840333</c:v>
                  </c:pt>
                  <c:pt idx="5">
                    <c:v>4.9110385588336012</c:v>
                  </c:pt>
                  <c:pt idx="6">
                    <c:v>2.8508202269752214</c:v>
                  </c:pt>
                  <c:pt idx="7">
                    <c:v>10.595905245664524</c:v>
                  </c:pt>
                  <c:pt idx="8">
                    <c:v>9.1104184457836723</c:v>
                  </c:pt>
                  <c:pt idx="9">
                    <c:v>5.9886135987596942</c:v>
                  </c:pt>
                  <c:pt idx="10">
                    <c:v>5.3683096588739163</c:v>
                  </c:pt>
                  <c:pt idx="11">
                    <c:v>1.4058266757518534</c:v>
                  </c:pt>
                  <c:pt idx="12">
                    <c:v>4.7351375941779672</c:v>
                  </c:pt>
                  <c:pt idx="13">
                    <c:v>3.4165983910115667</c:v>
                  </c:pt>
                  <c:pt idx="14">
                    <c:v>4.1809033216902529</c:v>
                  </c:pt>
                  <c:pt idx="15">
                    <c:v>9.3180918861228239</c:v>
                  </c:pt>
                  <c:pt idx="16">
                    <c:v>8.959142029228822</c:v>
                  </c:pt>
                </c:numCache>
              </c:numRef>
            </c:plus>
            <c:minus>
              <c:numRef>
                <c:f>'C-phycocyanin UTEX #1926'!$AH$112:$AH$128</c:f>
                <c:numCache>
                  <c:formatCode>General</c:formatCode>
                  <c:ptCount val="17"/>
                  <c:pt idx="0">
                    <c:v>0.51190336252260782</c:v>
                  </c:pt>
                  <c:pt idx="1">
                    <c:v>0.14684230654103647</c:v>
                  </c:pt>
                  <c:pt idx="2">
                    <c:v>0.34764574488036015</c:v>
                  </c:pt>
                  <c:pt idx="3">
                    <c:v>7.1628724992678974</c:v>
                  </c:pt>
                  <c:pt idx="4">
                    <c:v>9.7074011737840333</c:v>
                  </c:pt>
                  <c:pt idx="5">
                    <c:v>4.9110385588336012</c:v>
                  </c:pt>
                  <c:pt idx="6">
                    <c:v>2.8508202269752214</c:v>
                  </c:pt>
                  <c:pt idx="7">
                    <c:v>10.595905245664524</c:v>
                  </c:pt>
                  <c:pt idx="8">
                    <c:v>9.1104184457836723</c:v>
                  </c:pt>
                  <c:pt idx="9">
                    <c:v>5.9886135987596942</c:v>
                  </c:pt>
                  <c:pt idx="10">
                    <c:v>5.3683096588739163</c:v>
                  </c:pt>
                  <c:pt idx="11">
                    <c:v>1.4058266757518534</c:v>
                  </c:pt>
                  <c:pt idx="12">
                    <c:v>4.7351375941779672</c:v>
                  </c:pt>
                  <c:pt idx="13">
                    <c:v>3.4165983910115667</c:v>
                  </c:pt>
                  <c:pt idx="14">
                    <c:v>4.1809033216902529</c:v>
                  </c:pt>
                  <c:pt idx="15">
                    <c:v>9.3180918861228239</c:v>
                  </c:pt>
                  <c:pt idx="16">
                    <c:v>8.959142029228822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#1926'!$AD$112:$AD$128</c:f>
              <c:numCache>
                <c:formatCode>0</c:formatCode>
                <c:ptCount val="17"/>
                <c:pt idx="0">
                  <c:v>0</c:v>
                </c:pt>
                <c:pt idx="1">
                  <c:v>21.5</c:v>
                </c:pt>
                <c:pt idx="2">
                  <c:v>47.5</c:v>
                </c:pt>
                <c:pt idx="3">
                  <c:v>72</c:v>
                </c:pt>
                <c:pt idx="4">
                  <c:v>94</c:v>
                </c:pt>
                <c:pt idx="5">
                  <c:v>117</c:v>
                </c:pt>
                <c:pt idx="6">
                  <c:v>141</c:v>
                </c:pt>
                <c:pt idx="7">
                  <c:v>191</c:v>
                </c:pt>
                <c:pt idx="8">
                  <c:v>213.5</c:v>
                </c:pt>
                <c:pt idx="9">
                  <c:v>236.5</c:v>
                </c:pt>
                <c:pt idx="10">
                  <c:v>260.5</c:v>
                </c:pt>
                <c:pt idx="11">
                  <c:v>284.5</c:v>
                </c:pt>
                <c:pt idx="12">
                  <c:v>307.5</c:v>
                </c:pt>
                <c:pt idx="13">
                  <c:v>334</c:v>
                </c:pt>
                <c:pt idx="14">
                  <c:v>359</c:v>
                </c:pt>
                <c:pt idx="15">
                  <c:v>383</c:v>
                </c:pt>
                <c:pt idx="16">
                  <c:v>405.5</c:v>
                </c:pt>
              </c:numCache>
            </c:numRef>
          </c:xVal>
          <c:yVal>
            <c:numRef>
              <c:f>'C-phycocyanin UTEX #1926'!$AG$112:$AG$128</c:f>
              <c:numCache>
                <c:formatCode>0.00</c:formatCode>
                <c:ptCount val="17"/>
                <c:pt idx="0">
                  <c:v>7.3165451107509467</c:v>
                </c:pt>
                <c:pt idx="1">
                  <c:v>5.0306591031874666</c:v>
                </c:pt>
                <c:pt idx="2">
                  <c:v>7.9363317125877906</c:v>
                </c:pt>
                <c:pt idx="3">
                  <c:v>24.391123047001628</c:v>
                </c:pt>
                <c:pt idx="4">
                  <c:v>39.812376585629394</c:v>
                </c:pt>
                <c:pt idx="5">
                  <c:v>64.911760940032437</c:v>
                </c:pt>
                <c:pt idx="6">
                  <c:v>97.787252890329526</c:v>
                </c:pt>
                <c:pt idx="7">
                  <c:v>100.72649918962723</c:v>
                </c:pt>
                <c:pt idx="8">
                  <c:v>102.49891950297138</c:v>
                </c:pt>
                <c:pt idx="9">
                  <c:v>106.36365478119933</c:v>
                </c:pt>
                <c:pt idx="10">
                  <c:v>100.17936250675312</c:v>
                </c:pt>
                <c:pt idx="11">
                  <c:v>107.1042679632631</c:v>
                </c:pt>
                <c:pt idx="12">
                  <c:v>117.18899693859176</c:v>
                </c:pt>
                <c:pt idx="13">
                  <c:v>108.49126598235189</c:v>
                </c:pt>
                <c:pt idx="14">
                  <c:v>136.6817035836485</c:v>
                </c:pt>
                <c:pt idx="15">
                  <c:v>140.55096344318389</c:v>
                </c:pt>
                <c:pt idx="16">
                  <c:v>147.66576625247617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12-EF43-A290-7289CE9A4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726320"/>
        <c:axId val="1251986208"/>
      </c:scatterChart>
      <c:valAx>
        <c:axId val="148572632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1986208"/>
        <c:crosses val="autoZero"/>
        <c:crossBetween val="midCat"/>
        <c:majorUnit val="50"/>
      </c:valAx>
      <c:valAx>
        <c:axId val="1251986208"/>
        <c:scaling>
          <c:orientation val="minMax"/>
          <c:max val="3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Total</a:t>
                </a:r>
                <a:r>
                  <a:rPr lang="en-GB" baseline="0"/>
                  <a:t> c-phycocyanin (mg CPC.L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2972972972972972E-2"/>
              <c:y val="0.15677616055568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8572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'Nitrate content CeBER'!$B$2:$U$2</c:f>
              <c:strCache>
                <c:ptCount val="1"/>
                <c:pt idx="0">
                  <c:v>40 µmol/m^2.s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FFDC6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CeBER'!$Y$4:$Y$13</c:f>
                <c:numCache>
                  <c:formatCode>General</c:formatCode>
                  <c:ptCount val="10"/>
                  <c:pt idx="0">
                    <c:v>4.9539653988575134E-2</c:v>
                  </c:pt>
                  <c:pt idx="1">
                    <c:v>1.0072661136744335E-2</c:v>
                  </c:pt>
                  <c:pt idx="2">
                    <c:v>7.8554211008903127E-2</c:v>
                  </c:pt>
                  <c:pt idx="3">
                    <c:v>6.3035810862258346E-2</c:v>
                  </c:pt>
                  <c:pt idx="4">
                    <c:v>9.7997688987461848E-2</c:v>
                  </c:pt>
                  <c:pt idx="5">
                    <c:v>0.13439074846868185</c:v>
                  </c:pt>
                  <c:pt idx="6">
                    <c:v>0.11046897880397299</c:v>
                  </c:pt>
                  <c:pt idx="7">
                    <c:v>0.14098118000000001</c:v>
                  </c:pt>
                  <c:pt idx="8">
                    <c:v>1.190416936374061E-2</c:v>
                  </c:pt>
                  <c:pt idx="9">
                    <c:v>1.3538335709679824E-2</c:v>
                  </c:pt>
                </c:numCache>
              </c:numRef>
            </c:plus>
            <c:minus>
              <c:numRef>
                <c:f>'Nitrate content CeBER'!$Y$4:$Y$13</c:f>
                <c:numCache>
                  <c:formatCode>General</c:formatCode>
                  <c:ptCount val="10"/>
                  <c:pt idx="0">
                    <c:v>4.9539653988575134E-2</c:v>
                  </c:pt>
                  <c:pt idx="1">
                    <c:v>1.0072661136744335E-2</c:v>
                  </c:pt>
                  <c:pt idx="2">
                    <c:v>7.8554211008903127E-2</c:v>
                  </c:pt>
                  <c:pt idx="3">
                    <c:v>6.3035810862258346E-2</c:v>
                  </c:pt>
                  <c:pt idx="4">
                    <c:v>9.7997688987461848E-2</c:v>
                  </c:pt>
                  <c:pt idx="5">
                    <c:v>0.13439074846868185</c:v>
                  </c:pt>
                  <c:pt idx="6">
                    <c:v>0.11046897880397299</c:v>
                  </c:pt>
                  <c:pt idx="7">
                    <c:v>0.14098118000000001</c:v>
                  </c:pt>
                  <c:pt idx="8">
                    <c:v>1.190416936374061E-2</c:v>
                  </c:pt>
                  <c:pt idx="9">
                    <c:v>1.3538335709679824E-2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CeBER'!$W$4:$W$13</c:f>
              <c:numCache>
                <c:formatCode>0</c:formatCode>
                <c:ptCount val="10"/>
                <c:pt idx="0">
                  <c:v>0</c:v>
                </c:pt>
                <c:pt idx="1">
                  <c:v>48.5</c:v>
                </c:pt>
                <c:pt idx="2">
                  <c:v>95</c:v>
                </c:pt>
                <c:pt idx="3">
                  <c:v>142.5</c:v>
                </c:pt>
                <c:pt idx="4">
                  <c:v>192.5</c:v>
                </c:pt>
                <c:pt idx="5">
                  <c:v>238.5</c:v>
                </c:pt>
                <c:pt idx="6">
                  <c:v>286.5</c:v>
                </c:pt>
                <c:pt idx="7">
                  <c:v>335.5</c:v>
                </c:pt>
                <c:pt idx="8">
                  <c:v>385.5</c:v>
                </c:pt>
                <c:pt idx="9">
                  <c:v>432</c:v>
                </c:pt>
              </c:numCache>
            </c:numRef>
          </c:xVal>
          <c:yVal>
            <c:numRef>
              <c:f>'Nitrate content CeBER'!$X$4:$X$13</c:f>
              <c:numCache>
                <c:formatCode>0.000</c:formatCode>
                <c:ptCount val="10"/>
                <c:pt idx="0">
                  <c:v>1.5368353849999998</c:v>
                </c:pt>
                <c:pt idx="1">
                  <c:v>1.4441220316666665</c:v>
                </c:pt>
                <c:pt idx="2">
                  <c:v>1.3501142142857141</c:v>
                </c:pt>
                <c:pt idx="3">
                  <c:v>1.208006277777778</c:v>
                </c:pt>
                <c:pt idx="4">
                  <c:v>1.0339305212698413</c:v>
                </c:pt>
                <c:pt idx="5">
                  <c:v>0.8954672301587302</c:v>
                </c:pt>
                <c:pt idx="6">
                  <c:v>0.72057047555555565</c:v>
                </c:pt>
                <c:pt idx="7">
                  <c:v>0.69572321777777768</c:v>
                </c:pt>
                <c:pt idx="8">
                  <c:v>0.59120268777777774</c:v>
                </c:pt>
                <c:pt idx="9">
                  <c:v>0.5208471372222222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16-F24F-B090-54C7754C5A3A}"/>
            </c:ext>
          </c:extLst>
        </c:ser>
        <c:ser>
          <c:idx val="1"/>
          <c:order val="1"/>
          <c:tx>
            <c:strRef>
              <c:f>'Nitrate content CeBER'!$B$35:$U$35</c:f>
              <c:strCache>
                <c:ptCount val="1"/>
                <c:pt idx="0">
                  <c:v>60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CeBER'!$Y$37:$Y$46</c:f>
                <c:numCache>
                  <c:formatCode>General</c:formatCode>
                  <c:ptCount val="10"/>
                  <c:pt idx="0">
                    <c:v>5.5943967313689918E-2</c:v>
                  </c:pt>
                  <c:pt idx="1">
                    <c:v>5.9404235015252625E-2</c:v>
                  </c:pt>
                  <c:pt idx="2">
                    <c:v>3.3280958360424516E-2</c:v>
                  </c:pt>
                  <c:pt idx="3">
                    <c:v>5.5042251858306253E-2</c:v>
                  </c:pt>
                  <c:pt idx="4">
                    <c:v>3.9587120188411776E-2</c:v>
                  </c:pt>
                  <c:pt idx="5">
                    <c:v>9.3963221729556304E-2</c:v>
                  </c:pt>
                  <c:pt idx="6">
                    <c:v>1.2358220258753629E-2</c:v>
                  </c:pt>
                  <c:pt idx="7">
                    <c:v>2.8350708680918275E-2</c:v>
                  </c:pt>
                  <c:pt idx="8">
                    <c:v>4.4807870249551863E-3</c:v>
                  </c:pt>
                  <c:pt idx="9">
                    <c:v>1.6372662516256026E-3</c:v>
                  </c:pt>
                </c:numCache>
              </c:numRef>
            </c:plus>
            <c:minus>
              <c:numRef>
                <c:f>'Nitrate content CeBER'!$Y$37:$Y$46</c:f>
                <c:numCache>
                  <c:formatCode>General</c:formatCode>
                  <c:ptCount val="10"/>
                  <c:pt idx="0">
                    <c:v>5.5943967313689918E-2</c:v>
                  </c:pt>
                  <c:pt idx="1">
                    <c:v>5.9404235015252625E-2</c:v>
                  </c:pt>
                  <c:pt idx="2">
                    <c:v>3.3280958360424516E-2</c:v>
                  </c:pt>
                  <c:pt idx="3">
                    <c:v>5.5042251858306253E-2</c:v>
                  </c:pt>
                  <c:pt idx="4">
                    <c:v>3.9587120188411776E-2</c:v>
                  </c:pt>
                  <c:pt idx="5">
                    <c:v>9.3963221729556304E-2</c:v>
                  </c:pt>
                  <c:pt idx="6">
                    <c:v>1.2358220258753629E-2</c:v>
                  </c:pt>
                  <c:pt idx="7">
                    <c:v>2.8350708680918275E-2</c:v>
                  </c:pt>
                  <c:pt idx="8">
                    <c:v>4.4807870249551863E-3</c:v>
                  </c:pt>
                  <c:pt idx="9">
                    <c:v>1.6372662516256026E-3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CeBER'!$W$37:$W$46</c:f>
              <c:numCache>
                <c:formatCode>0</c:formatCode>
                <c:ptCount val="10"/>
                <c:pt idx="0">
                  <c:v>0</c:v>
                </c:pt>
                <c:pt idx="1">
                  <c:v>48</c:v>
                </c:pt>
                <c:pt idx="2">
                  <c:v>94.5</c:v>
                </c:pt>
                <c:pt idx="3">
                  <c:v>141.5</c:v>
                </c:pt>
                <c:pt idx="4">
                  <c:v>191.5</c:v>
                </c:pt>
                <c:pt idx="5">
                  <c:v>237</c:v>
                </c:pt>
                <c:pt idx="6">
                  <c:v>285</c:v>
                </c:pt>
                <c:pt idx="7">
                  <c:v>334.5</c:v>
                </c:pt>
                <c:pt idx="8">
                  <c:v>383</c:v>
                </c:pt>
                <c:pt idx="9">
                  <c:v>430</c:v>
                </c:pt>
              </c:numCache>
            </c:numRef>
          </c:xVal>
          <c:yVal>
            <c:numRef>
              <c:f>'Nitrate content CeBER'!$X$37:$X$46</c:f>
              <c:numCache>
                <c:formatCode>0.000</c:formatCode>
                <c:ptCount val="10"/>
                <c:pt idx="0">
                  <c:v>1.5351001083333333</c:v>
                </c:pt>
                <c:pt idx="1">
                  <c:v>1.324635838333333</c:v>
                </c:pt>
                <c:pt idx="2">
                  <c:v>1.1827821190476191</c:v>
                </c:pt>
                <c:pt idx="3">
                  <c:v>0.98294283333333332</c:v>
                </c:pt>
                <c:pt idx="4">
                  <c:v>0.85804471904761892</c:v>
                </c:pt>
                <c:pt idx="5">
                  <c:v>0.75673663539682545</c:v>
                </c:pt>
                <c:pt idx="6">
                  <c:v>0.67285653851851845</c:v>
                </c:pt>
                <c:pt idx="7">
                  <c:v>0.58319034740740727</c:v>
                </c:pt>
                <c:pt idx="8">
                  <c:v>0.50437232499999995</c:v>
                </c:pt>
                <c:pt idx="9">
                  <c:v>0.47966010666666659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816-F24F-B090-54C7754C5A3A}"/>
            </c:ext>
          </c:extLst>
        </c:ser>
        <c:ser>
          <c:idx val="2"/>
          <c:order val="2"/>
          <c:tx>
            <c:strRef>
              <c:f>'Nitrate content CeBER'!$B$68:$U$68</c:f>
              <c:strCache>
                <c:ptCount val="1"/>
                <c:pt idx="0">
                  <c:v>80 µmol/m^2.s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DDDC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 CeBER'!$Y$70:$Y$79</c:f>
                <c:numCache>
                  <c:formatCode>General</c:formatCode>
                  <c:ptCount val="10"/>
                  <c:pt idx="0">
                    <c:v>4.9539653988575134E-2</c:v>
                  </c:pt>
                  <c:pt idx="1">
                    <c:v>5.2936822606424079E-2</c:v>
                  </c:pt>
                  <c:pt idx="2">
                    <c:v>2.8776857142857125E-2</c:v>
                  </c:pt>
                  <c:pt idx="3">
                    <c:v>1.9642726524825818E-3</c:v>
                  </c:pt>
                  <c:pt idx="4">
                    <c:v>0.12410894401367187</c:v>
                  </c:pt>
                  <c:pt idx="5">
                    <c:v>6.1528922608126022E-2</c:v>
                  </c:pt>
                  <c:pt idx="6">
                    <c:v>5.0775788828634753E-2</c:v>
                  </c:pt>
                  <c:pt idx="7">
                    <c:v>0.10901154817495567</c:v>
                  </c:pt>
                  <c:pt idx="8">
                    <c:v>1.2077540179827879E-2</c:v>
                  </c:pt>
                  <c:pt idx="9">
                    <c:v>2.6163870580546478E-2</c:v>
                  </c:pt>
                </c:numCache>
              </c:numRef>
            </c:plus>
            <c:minus>
              <c:numRef>
                <c:f>'Nitrate content CeBER'!$Y$70:$Y$79</c:f>
                <c:numCache>
                  <c:formatCode>General</c:formatCode>
                  <c:ptCount val="10"/>
                  <c:pt idx="0">
                    <c:v>4.9539653988575134E-2</c:v>
                  </c:pt>
                  <c:pt idx="1">
                    <c:v>5.2936822606424079E-2</c:v>
                  </c:pt>
                  <c:pt idx="2">
                    <c:v>2.8776857142857125E-2</c:v>
                  </c:pt>
                  <c:pt idx="3">
                    <c:v>1.9642726524825818E-3</c:v>
                  </c:pt>
                  <c:pt idx="4">
                    <c:v>0.12410894401367187</c:v>
                  </c:pt>
                  <c:pt idx="5">
                    <c:v>6.1528922608126022E-2</c:v>
                  </c:pt>
                  <c:pt idx="6">
                    <c:v>5.0775788828634753E-2</c:v>
                  </c:pt>
                  <c:pt idx="7">
                    <c:v>0.10901154817495567</c:v>
                  </c:pt>
                  <c:pt idx="8">
                    <c:v>1.2077540179827879E-2</c:v>
                  </c:pt>
                  <c:pt idx="9">
                    <c:v>2.6163870580546478E-2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 CeBER'!$W$70:$W$79</c:f>
              <c:numCache>
                <c:formatCode>0</c:formatCode>
                <c:ptCount val="10"/>
                <c:pt idx="0">
                  <c:v>0</c:v>
                </c:pt>
                <c:pt idx="1">
                  <c:v>47.5</c:v>
                </c:pt>
                <c:pt idx="2">
                  <c:v>94</c:v>
                </c:pt>
                <c:pt idx="3">
                  <c:v>141</c:v>
                </c:pt>
                <c:pt idx="4">
                  <c:v>191</c:v>
                </c:pt>
                <c:pt idx="5">
                  <c:v>236.5</c:v>
                </c:pt>
                <c:pt idx="6">
                  <c:v>284.5</c:v>
                </c:pt>
                <c:pt idx="7">
                  <c:v>334</c:v>
                </c:pt>
                <c:pt idx="8">
                  <c:v>382.5</c:v>
                </c:pt>
                <c:pt idx="9">
                  <c:v>430.5</c:v>
                </c:pt>
              </c:numCache>
            </c:numRef>
          </c:xVal>
          <c:yVal>
            <c:numRef>
              <c:f>'Nitrate content CeBER'!$X$70:$X$79</c:f>
              <c:numCache>
                <c:formatCode>0.000</c:formatCode>
                <c:ptCount val="10"/>
                <c:pt idx="0">
                  <c:v>1.5368353849999998</c:v>
                </c:pt>
                <c:pt idx="1">
                  <c:v>1.3124889016666665</c:v>
                </c:pt>
                <c:pt idx="2">
                  <c:v>1.0959186428571428</c:v>
                </c:pt>
                <c:pt idx="3">
                  <c:v>0.95186830047619031</c:v>
                </c:pt>
                <c:pt idx="4">
                  <c:v>0.81901838603174582</c:v>
                </c:pt>
                <c:pt idx="5">
                  <c:v>0.72706593015873011</c:v>
                </c:pt>
                <c:pt idx="6">
                  <c:v>0.63522554666666664</c:v>
                </c:pt>
                <c:pt idx="7">
                  <c:v>0.5558223533333333</c:v>
                </c:pt>
                <c:pt idx="8">
                  <c:v>0.490733341111111</c:v>
                </c:pt>
                <c:pt idx="9">
                  <c:v>0.44522504833333332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816-F24F-B090-54C7754C5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63248"/>
        <c:axId val="1531741264"/>
      </c:scatterChart>
      <c:valAx>
        <c:axId val="151996324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7704046657315508"/>
              <c:y val="0.81934720040470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31741264"/>
        <c:crosses val="autoZero"/>
        <c:crossBetween val="midCat"/>
      </c:valAx>
      <c:valAx>
        <c:axId val="1531741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Nitrate</a:t>
                </a:r>
                <a:r>
                  <a:rPr lang="en-GB" baseline="0"/>
                  <a:t> concentration (g.L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19963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203827</xdr:colOff>
      <xdr:row>20</xdr:row>
      <xdr:rowOff>177548</xdr:rowOff>
    </xdr:from>
    <xdr:to>
      <xdr:col>0</xdr:col>
      <xdr:colOff>5219700</xdr:colOff>
      <xdr:row>36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170C6E2-1393-FB4D-B781-3CEB285C5391}"/>
            </a:ext>
            <a:ext uri="{147F2762-F138-4A5C-976F-8EAC2B608ADB}">
              <a16:predDERef xmlns:a16="http://schemas.microsoft.com/office/drawing/2014/main" pred="{29EC78D6-A5B2-4B98-A606-CBBBEAC7F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1</xdr:row>
      <xdr:rowOff>107950</xdr:rowOff>
    </xdr:from>
    <xdr:to>
      <xdr:col>0</xdr:col>
      <xdr:colOff>5143500</xdr:colOff>
      <xdr:row>17</xdr:row>
      <xdr:rowOff>88900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57377A4-1112-7D4A-8C7A-A06E4852A9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203827</xdr:colOff>
      <xdr:row>20</xdr:row>
      <xdr:rowOff>177548</xdr:rowOff>
    </xdr:from>
    <xdr:to>
      <xdr:col>0</xdr:col>
      <xdr:colOff>5219700</xdr:colOff>
      <xdr:row>36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E03198-EC7C-6A43-9AFD-6BB1D9E77FAD}"/>
            </a:ext>
            <a:ext uri="{147F2762-F138-4A5C-976F-8EAC2B608ADB}">
              <a16:predDERef xmlns:a16="http://schemas.microsoft.com/office/drawing/2014/main" pred="{29EC78D6-A5B2-4B98-A606-CBBBEAC7F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1</xdr:row>
      <xdr:rowOff>107950</xdr:rowOff>
    </xdr:from>
    <xdr:to>
      <xdr:col>0</xdr:col>
      <xdr:colOff>5143500</xdr:colOff>
      <xdr:row>17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51D1FB-6C77-7B44-8B1C-54215FA321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143434</xdr:colOff>
      <xdr:row>1</xdr:row>
      <xdr:rowOff>145301</xdr:rowOff>
    </xdr:from>
    <xdr:to>
      <xdr:col>0</xdr:col>
      <xdr:colOff>6007100</xdr:colOff>
      <xdr:row>20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A9B0A9-B854-4C48-BA31-7D2BF0276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22</xdr:row>
      <xdr:rowOff>50800</xdr:rowOff>
    </xdr:from>
    <xdr:to>
      <xdr:col>0</xdr:col>
      <xdr:colOff>6007100</xdr:colOff>
      <xdr:row>45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C1EF666-669E-044E-9557-1E0348267E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143434</xdr:colOff>
      <xdr:row>1</xdr:row>
      <xdr:rowOff>145301</xdr:rowOff>
    </xdr:from>
    <xdr:to>
      <xdr:col>0</xdr:col>
      <xdr:colOff>6007100</xdr:colOff>
      <xdr:row>20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435B5D-FAB8-C446-8577-8CFBA6FD4A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22</xdr:row>
      <xdr:rowOff>50800</xdr:rowOff>
    </xdr:from>
    <xdr:to>
      <xdr:col>0</xdr:col>
      <xdr:colOff>6007100</xdr:colOff>
      <xdr:row>45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E2B0236-12C2-F743-A03D-69576E1D7C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224117</xdr:colOff>
      <xdr:row>2</xdr:row>
      <xdr:rowOff>256987</xdr:rowOff>
    </xdr:from>
    <xdr:to>
      <xdr:col>0</xdr:col>
      <xdr:colOff>5154705</xdr:colOff>
      <xdr:row>20</xdr:row>
      <xdr:rowOff>44825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EE6A897-861E-774D-987F-A96AB9F324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224117</xdr:colOff>
      <xdr:row>2</xdr:row>
      <xdr:rowOff>256987</xdr:rowOff>
    </xdr:from>
    <xdr:to>
      <xdr:col>0</xdr:col>
      <xdr:colOff>5154705</xdr:colOff>
      <xdr:row>20</xdr:row>
      <xdr:rowOff>44825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632332-A8B8-9C44-898E-F066F2AD16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4341E-CB1C-D644-A74F-F49F0830A269}">
  <dimension ref="A1:F19"/>
  <sheetViews>
    <sheetView tabSelected="1" workbookViewId="0">
      <selection sqref="A1:C2"/>
    </sheetView>
  </sheetViews>
  <sheetFormatPr baseColWidth="10" defaultColWidth="41.1640625" defaultRowHeight="14" x14ac:dyDescent="0.15"/>
  <cols>
    <col min="1" max="1" width="31" style="20" customWidth="1"/>
    <col min="2" max="2" width="9.5" style="21" customWidth="1"/>
    <col min="3" max="3" width="56.1640625" style="20" customWidth="1"/>
    <col min="4" max="4" width="41.1640625" style="1"/>
    <col min="5" max="16384" width="41.1640625" style="3"/>
  </cols>
  <sheetData>
    <row r="1" spans="1:6" s="2" customFormat="1" ht="18" customHeight="1" x14ac:dyDescent="0.2">
      <c r="A1" s="162" t="s">
        <v>117</v>
      </c>
      <c r="B1" s="162"/>
      <c r="C1" s="162"/>
      <c r="D1" s="1"/>
    </row>
    <row r="2" spans="1:6" ht="18" customHeight="1" x14ac:dyDescent="0.15">
      <c r="A2" s="162"/>
      <c r="B2" s="162"/>
      <c r="C2" s="162"/>
    </row>
    <row r="3" spans="1:6" ht="16" x14ac:dyDescent="0.15">
      <c r="A3" s="166" t="s">
        <v>43</v>
      </c>
      <c r="B3" s="166"/>
      <c r="C3" s="166"/>
    </row>
    <row r="4" spans="1:6" s="4" customFormat="1" x14ac:dyDescent="0.15">
      <c r="A4" s="167" t="s">
        <v>44</v>
      </c>
      <c r="B4" s="167"/>
      <c r="C4" s="167"/>
      <c r="D4" s="1"/>
    </row>
    <row r="5" spans="1:6" s="5" customFormat="1" ht="13" x14ac:dyDescent="0.15">
      <c r="A5" s="168" t="s">
        <v>45</v>
      </c>
      <c r="B5" s="168"/>
      <c r="C5" s="168"/>
      <c r="D5" s="1"/>
    </row>
    <row r="6" spans="1:6" ht="60" customHeight="1" x14ac:dyDescent="0.15">
      <c r="A6" s="169" t="s">
        <v>46</v>
      </c>
      <c r="B6" s="169"/>
      <c r="C6" s="169"/>
    </row>
    <row r="7" spans="1:6" ht="17" customHeight="1" x14ac:dyDescent="0.15">
      <c r="A7" s="163" t="s">
        <v>103</v>
      </c>
      <c r="B7" s="163"/>
      <c r="C7" s="163"/>
    </row>
    <row r="8" spans="1:6" ht="30" customHeight="1" x14ac:dyDescent="0.15">
      <c r="A8" s="164" t="s">
        <v>47</v>
      </c>
      <c r="B8" s="164"/>
      <c r="C8" s="164"/>
    </row>
    <row r="9" spans="1:6" x14ac:dyDescent="0.15">
      <c r="A9" s="6" t="s">
        <v>48</v>
      </c>
      <c r="B9" s="7"/>
      <c r="C9" s="8">
        <v>44386</v>
      </c>
    </row>
    <row r="10" spans="1:6" ht="15" thickBot="1" x14ac:dyDescent="0.2">
      <c r="A10" s="9" t="s">
        <v>49</v>
      </c>
      <c r="B10" s="10"/>
      <c r="C10" s="11">
        <v>44404</v>
      </c>
    </row>
    <row r="11" spans="1:6" s="5" customFormat="1" thickBot="1" x14ac:dyDescent="0.2">
      <c r="A11" s="12"/>
      <c r="B11" s="13"/>
      <c r="C11" s="12"/>
      <c r="D11" s="1"/>
    </row>
    <row r="12" spans="1:6" ht="18" thickBot="1" x14ac:dyDescent="0.2">
      <c r="A12" s="14" t="s">
        <v>50</v>
      </c>
      <c r="B12" s="15" t="s">
        <v>51</v>
      </c>
      <c r="C12" s="16" t="s">
        <v>52</v>
      </c>
    </row>
    <row r="13" spans="1:6" ht="15" x14ac:dyDescent="0.15">
      <c r="A13" s="17" t="s">
        <v>53</v>
      </c>
      <c r="B13" s="18">
        <v>1</v>
      </c>
      <c r="C13" s="19" t="s">
        <v>54</v>
      </c>
    </row>
    <row r="14" spans="1:6" ht="45" x14ac:dyDescent="0.15">
      <c r="A14" s="17" t="s">
        <v>70</v>
      </c>
      <c r="B14" s="18">
        <v>2</v>
      </c>
      <c r="C14" s="19" t="s">
        <v>94</v>
      </c>
      <c r="D14" s="165"/>
      <c r="E14" s="165"/>
      <c r="F14" s="165"/>
    </row>
    <row r="15" spans="1:6" ht="45" x14ac:dyDescent="0.15">
      <c r="A15" s="17" t="s">
        <v>71</v>
      </c>
      <c r="B15" s="18">
        <v>3</v>
      </c>
      <c r="C15" s="19" t="s">
        <v>95</v>
      </c>
    </row>
    <row r="16" spans="1:6" ht="45" x14ac:dyDescent="0.15">
      <c r="A16" s="17" t="s">
        <v>96</v>
      </c>
      <c r="B16" s="18">
        <v>4</v>
      </c>
      <c r="C16" s="19" t="s">
        <v>100</v>
      </c>
    </row>
    <row r="17" spans="1:3" ht="45" x14ac:dyDescent="0.15">
      <c r="A17" s="17" t="s">
        <v>55</v>
      </c>
      <c r="B17" s="18">
        <v>5</v>
      </c>
      <c r="C17" s="19" t="s">
        <v>99</v>
      </c>
    </row>
    <row r="18" spans="1:3" ht="45" x14ac:dyDescent="0.15">
      <c r="A18" s="17" t="s">
        <v>97</v>
      </c>
      <c r="B18" s="18">
        <v>6</v>
      </c>
      <c r="C18" s="19" t="s">
        <v>101</v>
      </c>
    </row>
    <row r="19" spans="1:3" ht="45" x14ac:dyDescent="0.15">
      <c r="A19" s="17" t="s">
        <v>98</v>
      </c>
      <c r="B19" s="18">
        <v>7</v>
      </c>
      <c r="C19" s="19" t="s">
        <v>102</v>
      </c>
    </row>
  </sheetData>
  <mergeCells count="8">
    <mergeCell ref="A1:C2"/>
    <mergeCell ref="A7:C7"/>
    <mergeCell ref="A8:C8"/>
    <mergeCell ref="D14:F14"/>
    <mergeCell ref="A3:C3"/>
    <mergeCell ref="A4:C4"/>
    <mergeCell ref="A5:C5"/>
    <mergeCell ref="A6:C6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01990-217D-1846-8403-6A1989C91A1D}">
  <dimension ref="A1:AF93"/>
  <sheetViews>
    <sheetView zoomScaleNormal="100" workbookViewId="0">
      <selection sqref="A1:AB1"/>
    </sheetView>
  </sheetViews>
  <sheetFormatPr baseColWidth="10" defaultColWidth="8.83203125" defaultRowHeight="14" x14ac:dyDescent="0.15"/>
  <cols>
    <col min="1" max="1" width="74.5" style="3" customWidth="1"/>
    <col min="2" max="2" width="12" style="3" bestFit="1" customWidth="1"/>
    <col min="3" max="3" width="12" style="3" customWidth="1"/>
    <col min="4" max="11" width="8.83203125" style="3"/>
    <col min="12" max="12" width="13.33203125" style="3" customWidth="1"/>
    <col min="13" max="13" width="10.33203125" style="3" customWidth="1"/>
    <col min="14" max="16" width="8.83203125" style="3"/>
    <col min="17" max="17" width="13.1640625" style="3" customWidth="1"/>
    <col min="18" max="18" width="10.5" style="3" customWidth="1"/>
    <col min="19" max="19" width="8.5" style="3" customWidth="1"/>
    <col min="20" max="20" width="9.1640625" style="3" bestFit="1" customWidth="1"/>
    <col min="21" max="21" width="9.33203125" style="3" bestFit="1" customWidth="1"/>
    <col min="22" max="26" width="9" style="3" bestFit="1" customWidth="1"/>
    <col min="27" max="27" width="10.33203125" style="3" customWidth="1"/>
    <col min="28" max="28" width="8.83203125" style="3" customWidth="1"/>
    <col min="29" max="29" width="12.1640625" style="3" customWidth="1"/>
    <col min="30" max="16384" width="8.83203125" style="3"/>
  </cols>
  <sheetData>
    <row r="1" spans="1:28" ht="17" customHeight="1" thickBot="1" x14ac:dyDescent="0.2">
      <c r="A1" s="191" t="s">
        <v>62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3"/>
    </row>
    <row r="2" spans="1:28" ht="15" customHeight="1" thickBot="1" x14ac:dyDescent="0.2">
      <c r="A2" s="56"/>
      <c r="B2" s="194" t="s">
        <v>65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6"/>
    </row>
    <row r="3" spans="1:28" ht="45" customHeight="1" x14ac:dyDescent="0.15">
      <c r="A3" s="56"/>
      <c r="B3" s="22" t="s">
        <v>0</v>
      </c>
      <c r="C3" s="23" t="s">
        <v>1</v>
      </c>
      <c r="D3" s="24" t="s">
        <v>2</v>
      </c>
      <c r="E3" s="25" t="s">
        <v>3</v>
      </c>
      <c r="F3" s="180" t="s">
        <v>66</v>
      </c>
      <c r="G3" s="173"/>
      <c r="H3" s="174"/>
      <c r="I3" s="172" t="s">
        <v>16</v>
      </c>
      <c r="J3" s="173"/>
      <c r="K3" s="174"/>
      <c r="L3" s="26" t="s">
        <v>4</v>
      </c>
      <c r="M3" s="27" t="s">
        <v>56</v>
      </c>
      <c r="N3" s="172" t="s">
        <v>68</v>
      </c>
      <c r="O3" s="173"/>
      <c r="P3" s="174"/>
      <c r="Q3" s="27" t="s">
        <v>5</v>
      </c>
      <c r="R3" s="27" t="s">
        <v>56</v>
      </c>
      <c r="S3" s="172" t="s">
        <v>6</v>
      </c>
      <c r="T3" s="173"/>
      <c r="U3" s="174"/>
      <c r="V3" s="26" t="s">
        <v>57</v>
      </c>
      <c r="W3" s="26" t="s">
        <v>56</v>
      </c>
      <c r="X3" s="172" t="s">
        <v>58</v>
      </c>
      <c r="Y3" s="173"/>
      <c r="Z3" s="174"/>
      <c r="AA3" s="26" t="s">
        <v>59</v>
      </c>
      <c r="AB3" s="49" t="s">
        <v>56</v>
      </c>
    </row>
    <row r="4" spans="1:28" ht="15" customHeight="1" x14ac:dyDescent="0.15">
      <c r="A4" s="56"/>
      <c r="B4" s="28"/>
      <c r="C4" s="29"/>
      <c r="D4" s="30"/>
      <c r="E4" s="31"/>
      <c r="F4" s="181" t="s">
        <v>19</v>
      </c>
      <c r="G4" s="182"/>
      <c r="H4" s="183"/>
      <c r="I4" s="184" t="s">
        <v>7</v>
      </c>
      <c r="J4" s="182"/>
      <c r="K4" s="183"/>
      <c r="L4" s="32" t="s">
        <v>7</v>
      </c>
      <c r="M4" s="50"/>
      <c r="N4" s="184" t="s">
        <v>7</v>
      </c>
      <c r="O4" s="182"/>
      <c r="P4" s="183"/>
      <c r="Q4" s="33" t="s">
        <v>7</v>
      </c>
      <c r="R4" s="33"/>
      <c r="S4" s="177" t="s">
        <v>60</v>
      </c>
      <c r="T4" s="178"/>
      <c r="U4" s="179"/>
      <c r="V4" s="32" t="s">
        <v>60</v>
      </c>
      <c r="W4" s="30"/>
      <c r="X4" s="177" t="s">
        <v>61</v>
      </c>
      <c r="Y4" s="178"/>
      <c r="Z4" s="179"/>
      <c r="AA4" s="51" t="s">
        <v>61</v>
      </c>
      <c r="AB4" s="52"/>
    </row>
    <row r="5" spans="1:28" x14ac:dyDescent="0.15">
      <c r="A5" s="56"/>
      <c r="B5" s="188" t="s">
        <v>8</v>
      </c>
      <c r="C5" s="34">
        <v>0.47916666666666669</v>
      </c>
      <c r="D5" s="40">
        <v>0</v>
      </c>
      <c r="E5" s="190">
        <v>1</v>
      </c>
      <c r="F5" s="36">
        <v>0.114</v>
      </c>
      <c r="G5" s="37">
        <v>0.12</v>
      </c>
      <c r="H5" s="37">
        <v>0.11</v>
      </c>
      <c r="I5" s="37">
        <f t="shared" ref="I5:K24" si="0">1.2334*F5</f>
        <v>0.1406076</v>
      </c>
      <c r="J5" s="37">
        <f t="shared" si="0"/>
        <v>0.148008</v>
      </c>
      <c r="K5" s="37">
        <f t="shared" si="0"/>
        <v>0.13567400000000002</v>
      </c>
      <c r="L5" s="38">
        <f t="shared" ref="L5:L26" si="1">AVERAGE(I5:K5)</f>
        <v>0.14142986666666665</v>
      </c>
      <c r="M5" s="37">
        <f t="shared" ref="M5:M26" si="2">STDEV(I5:K5)/SQRT(3)</f>
        <v>3.5841773046420403E-3</v>
      </c>
      <c r="N5" s="37">
        <f t="shared" ref="N5:N26" si="3">LN(I5)</f>
        <v>-1.9617822470123862</v>
      </c>
      <c r="O5" s="37">
        <f t="shared" ref="O5:O26" si="4">LN(J5)</f>
        <v>-1.9104889526248356</v>
      </c>
      <c r="P5" s="37">
        <f t="shared" ref="P5:P26" si="5">LN(K5)</f>
        <v>-1.9975003296144653</v>
      </c>
      <c r="Q5" s="38">
        <f t="shared" ref="Q5:Q26" si="6">AVERAGE(N5:P5)</f>
        <v>-1.9565905097505623</v>
      </c>
      <c r="R5" s="37">
        <f>STDEV(N5:P5)/SQRT(3)</f>
        <v>2.5251802135390404E-2</v>
      </c>
      <c r="S5" s="5"/>
      <c r="T5" s="5"/>
      <c r="U5" s="5"/>
      <c r="V5" s="5"/>
      <c r="W5" s="5"/>
      <c r="X5" s="5"/>
      <c r="Y5" s="5"/>
      <c r="Z5" s="5"/>
      <c r="AA5" s="5"/>
      <c r="AB5" s="35"/>
    </row>
    <row r="6" spans="1:28" x14ac:dyDescent="0.15">
      <c r="A6" s="56"/>
      <c r="B6" s="188"/>
      <c r="C6" s="34">
        <v>0.8125</v>
      </c>
      <c r="D6" s="40">
        <v>8</v>
      </c>
      <c r="E6" s="190"/>
      <c r="F6" s="36">
        <v>0.14899999999999999</v>
      </c>
      <c r="G6" s="37">
        <v>0.14699999999999999</v>
      </c>
      <c r="H6" s="37">
        <v>0.17299999999999999</v>
      </c>
      <c r="I6" s="37">
        <f t="shared" si="0"/>
        <v>0.18377660000000001</v>
      </c>
      <c r="J6" s="37">
        <f t="shared" si="0"/>
        <v>0.18130979999999999</v>
      </c>
      <c r="K6" s="37">
        <f t="shared" si="0"/>
        <v>0.21337819999999999</v>
      </c>
      <c r="L6" s="38">
        <f t="shared" si="1"/>
        <v>0.19282153333333332</v>
      </c>
      <c r="M6" s="37">
        <f t="shared" si="2"/>
        <v>1.0302971802564752E-2</v>
      </c>
      <c r="N6" s="37">
        <f t="shared" si="3"/>
        <v>-1.6940343894614225</v>
      </c>
      <c r="O6" s="37">
        <f t="shared" si="4"/>
        <v>-1.7075481086281454</v>
      </c>
      <c r="P6" s="37">
        <f t="shared" si="5"/>
        <v>-1.5446891009091028</v>
      </c>
      <c r="Q6" s="38">
        <f t="shared" si="6"/>
        <v>-1.6487571996662236</v>
      </c>
      <c r="R6" s="37">
        <f t="shared" ref="R6:R26" si="7">STDEV(N6:P6)/SQRT(3)</f>
        <v>5.21800793266953E-2</v>
      </c>
      <c r="S6" s="37">
        <f>(N6-N5)/(D6-D5)</f>
        <v>3.3468482193870469E-2</v>
      </c>
      <c r="T6" s="37">
        <f>(O6-O5)/(D6-D5)</f>
        <v>2.5367605499586277E-2</v>
      </c>
      <c r="U6" s="37">
        <f>(P6-P5)/(D6-D5)</f>
        <v>5.6601403588170313E-2</v>
      </c>
      <c r="V6" s="38">
        <f>AVERAGE(S6:U6)</f>
        <v>3.8479163760542355E-2</v>
      </c>
      <c r="W6" s="37">
        <f>STDEV(S6:U6)/SQRT(3)</f>
        <v>9.3580221037273363E-3</v>
      </c>
      <c r="X6" s="37">
        <f>(I6/D6)</f>
        <v>2.2972075000000002E-2</v>
      </c>
      <c r="Y6" s="37">
        <f>J6/D6</f>
        <v>2.2663724999999999E-2</v>
      </c>
      <c r="Z6" s="37">
        <f>K6/D6</f>
        <v>2.6672274999999999E-2</v>
      </c>
      <c r="AA6" s="38">
        <f>AVERAGE(X6:Z6)</f>
        <v>2.4102691666666665E-2</v>
      </c>
      <c r="AB6" s="154">
        <f>STDEV(X6:Z6)/SQRT(3)</f>
        <v>1.287871475320594E-3</v>
      </c>
    </row>
    <row r="7" spans="1:28" x14ac:dyDescent="0.15">
      <c r="A7" s="56"/>
      <c r="B7" s="189" t="s">
        <v>9</v>
      </c>
      <c r="C7" s="34">
        <v>0.41666666666666669</v>
      </c>
      <c r="D7" s="40">
        <f>D6+14.5</f>
        <v>22.5</v>
      </c>
      <c r="E7" s="190">
        <v>2</v>
      </c>
      <c r="F7" s="36">
        <f>0.206</f>
        <v>0.20599999999999999</v>
      </c>
      <c r="G7" s="37">
        <v>0.222</v>
      </c>
      <c r="H7" s="37">
        <v>0.224</v>
      </c>
      <c r="I7" s="37">
        <f t="shared" si="0"/>
        <v>0.25408039999999998</v>
      </c>
      <c r="J7" s="37">
        <f t="shared" si="0"/>
        <v>0.27381480000000002</v>
      </c>
      <c r="K7" s="37">
        <f t="shared" si="0"/>
        <v>0.27628160000000002</v>
      </c>
      <c r="L7" s="38">
        <f t="shared" si="1"/>
        <v>0.26805893333333336</v>
      </c>
      <c r="M7" s="37">
        <f t="shared" si="2"/>
        <v>7.0254494796497743E-3</v>
      </c>
      <c r="N7" s="37">
        <f t="shared" si="3"/>
        <v>-1.3701045266173006</v>
      </c>
      <c r="O7" s="37">
        <f t="shared" si="4"/>
        <v>-1.2953033135346022</v>
      </c>
      <c r="P7" s="37">
        <f t="shared" si="5"/>
        <v>-1.2863346435518417</v>
      </c>
      <c r="Q7" s="38">
        <f t="shared" si="6"/>
        <v>-1.3172474945679149</v>
      </c>
      <c r="R7" s="37">
        <f t="shared" si="7"/>
        <v>2.6555028639395007E-2</v>
      </c>
      <c r="S7" s="37">
        <f t="shared" ref="S7:S26" si="8">(N7-N6)/(D7-D6)</f>
        <v>2.2339990540973919E-2</v>
      </c>
      <c r="T7" s="37">
        <f t="shared" ref="T7:T26" si="9">(O7-O6)/(D7-D6)</f>
        <v>2.843067552369264E-2</v>
      </c>
      <c r="U7" s="37">
        <f t="shared" ref="U7:U26" si="10">(P7-P6)/(D7-D6)</f>
        <v>1.781754878325939E-2</v>
      </c>
      <c r="V7" s="38">
        <f t="shared" ref="V7:V26" si="11">AVERAGE(S7:U7)</f>
        <v>2.2862738282641983E-2</v>
      </c>
      <c r="W7" s="37">
        <f t="shared" ref="W7:W26" si="12">STDEV(S7:U7)/SQRT(3)</f>
        <v>3.0748747239082381E-3</v>
      </c>
      <c r="X7" s="37">
        <f t="shared" ref="X7:X26" si="13">(I7/D7)</f>
        <v>1.1292462222222221E-2</v>
      </c>
      <c r="Y7" s="37">
        <f t="shared" ref="Y7:Y26" si="14">J7/D7</f>
        <v>1.2169546666666668E-2</v>
      </c>
      <c r="Z7" s="37">
        <f t="shared" ref="Z7:Z26" si="15">K7/D7</f>
        <v>1.2279182222222223E-2</v>
      </c>
      <c r="AA7" s="38">
        <f t="shared" ref="AA7:AA26" si="16">AVERAGE(X7:Z7)</f>
        <v>1.1913730370370371E-2</v>
      </c>
      <c r="AB7" s="154">
        <f t="shared" ref="AB7:AB26" si="17">STDEV(X7:Z7)/SQRT(3)</f>
        <v>3.1224219909554562E-4</v>
      </c>
    </row>
    <row r="8" spans="1:28" x14ac:dyDescent="0.15">
      <c r="A8" s="56"/>
      <c r="B8" s="189"/>
      <c r="C8" s="34">
        <v>0.58333333333333337</v>
      </c>
      <c r="D8" s="40">
        <f>D7+4</f>
        <v>26.5</v>
      </c>
      <c r="E8" s="190"/>
      <c r="F8" s="36">
        <f>0.238</f>
        <v>0.23799999999999999</v>
      </c>
      <c r="G8" s="37">
        <v>0.23599999999999999</v>
      </c>
      <c r="H8" s="37">
        <v>0.26500000000000001</v>
      </c>
      <c r="I8" s="37">
        <f t="shared" si="0"/>
        <v>0.29354920000000001</v>
      </c>
      <c r="J8" s="37">
        <f t="shared" si="0"/>
        <v>0.29108240000000002</v>
      </c>
      <c r="K8" s="37">
        <f t="shared" si="0"/>
        <v>0.326851</v>
      </c>
      <c r="L8" s="38">
        <f t="shared" si="1"/>
        <v>0.30382753333333334</v>
      </c>
      <c r="M8" s="37">
        <f t="shared" si="2"/>
        <v>1.1533737303715175E-2</v>
      </c>
      <c r="N8" s="37">
        <f t="shared" si="3"/>
        <v>-1.2257100217354069</v>
      </c>
      <c r="O8" s="37">
        <f t="shared" si="4"/>
        <v>-1.2341488903812716</v>
      </c>
      <c r="P8" s="37">
        <f t="shared" si="5"/>
        <v>-1.1182508694206594</v>
      </c>
      <c r="Q8" s="38">
        <f t="shared" si="6"/>
        <v>-1.1927032605124461</v>
      </c>
      <c r="R8" s="37">
        <f t="shared" si="7"/>
        <v>3.7305819610657674E-2</v>
      </c>
      <c r="S8" s="37">
        <f t="shared" si="8"/>
        <v>3.609862622047344E-2</v>
      </c>
      <c r="T8" s="37">
        <f t="shared" si="9"/>
        <v>1.5288605788332632E-2</v>
      </c>
      <c r="U8" s="37">
        <f t="shared" si="10"/>
        <v>4.2020943532795563E-2</v>
      </c>
      <c r="V8" s="38">
        <f t="shared" si="11"/>
        <v>3.113605851386721E-2</v>
      </c>
      <c r="W8" s="37">
        <f t="shared" si="12"/>
        <v>8.1060631423438764E-3</v>
      </c>
      <c r="X8" s="37">
        <f t="shared" si="13"/>
        <v>1.1077328301886792E-2</v>
      </c>
      <c r="Y8" s="37">
        <f t="shared" si="14"/>
        <v>1.0984241509433963E-2</v>
      </c>
      <c r="Z8" s="37">
        <f t="shared" si="15"/>
        <v>1.2333999999999999E-2</v>
      </c>
      <c r="AA8" s="38">
        <f t="shared" si="16"/>
        <v>1.1465189937106919E-2</v>
      </c>
      <c r="AB8" s="154">
        <f t="shared" si="17"/>
        <v>4.3523536995151605E-4</v>
      </c>
    </row>
    <row r="9" spans="1:28" x14ac:dyDescent="0.15">
      <c r="A9" s="56"/>
      <c r="B9" s="189"/>
      <c r="C9" s="34">
        <v>0.78472222222222221</v>
      </c>
      <c r="D9" s="40">
        <f>D8+5</f>
        <v>31.5</v>
      </c>
      <c r="E9" s="190"/>
      <c r="F9" s="36">
        <v>0.28399999999999997</v>
      </c>
      <c r="G9" s="37">
        <v>0.26</v>
      </c>
      <c r="H9" s="37">
        <v>0.311</v>
      </c>
      <c r="I9" s="37">
        <f t="shared" si="0"/>
        <v>0.35028559999999997</v>
      </c>
      <c r="J9" s="37">
        <f t="shared" si="0"/>
        <v>0.32068400000000002</v>
      </c>
      <c r="K9" s="37">
        <f t="shared" si="0"/>
        <v>0.38358740000000002</v>
      </c>
      <c r="L9" s="38">
        <f t="shared" si="1"/>
        <v>0.35151899999999997</v>
      </c>
      <c r="M9" s="37">
        <f t="shared" si="2"/>
        <v>1.81691165586002E-2</v>
      </c>
      <c r="N9" s="37">
        <f t="shared" si="3"/>
        <v>-1.0490064572456756</v>
      </c>
      <c r="O9" s="37">
        <f t="shared" si="4"/>
        <v>-1.1372990643913539</v>
      </c>
      <c r="P9" s="37">
        <f t="shared" si="5"/>
        <v>-0.95818778322764753</v>
      </c>
      <c r="Q9" s="38">
        <f t="shared" si="6"/>
        <v>-1.0481644349548924</v>
      </c>
      <c r="R9" s="37">
        <f t="shared" si="7"/>
        <v>5.1706687224444832E-2</v>
      </c>
      <c r="S9" s="37">
        <f t="shared" si="8"/>
        <v>3.5340712897946248E-2</v>
      </c>
      <c r="T9" s="37">
        <f t="shared" si="9"/>
        <v>1.9369965197983553E-2</v>
      </c>
      <c r="U9" s="37">
        <f t="shared" si="10"/>
        <v>3.2012617238602381E-2</v>
      </c>
      <c r="V9" s="38">
        <f t="shared" si="11"/>
        <v>2.890776511151073E-2</v>
      </c>
      <c r="W9" s="37">
        <f t="shared" si="12"/>
        <v>4.8647122413113964E-3</v>
      </c>
      <c r="X9" s="37">
        <f t="shared" si="13"/>
        <v>1.1120177777777776E-2</v>
      </c>
      <c r="Y9" s="37">
        <f t="shared" si="14"/>
        <v>1.0180444444444445E-2</v>
      </c>
      <c r="Z9" s="37">
        <f t="shared" si="15"/>
        <v>1.2177377777777779E-2</v>
      </c>
      <c r="AA9" s="38">
        <f t="shared" si="16"/>
        <v>1.1159333333333334E-2</v>
      </c>
      <c r="AB9" s="154">
        <f t="shared" si="17"/>
        <v>5.7679735106667333E-4</v>
      </c>
    </row>
    <row r="10" spans="1:28" x14ac:dyDescent="0.15">
      <c r="A10" s="56"/>
      <c r="B10" s="39" t="s">
        <v>10</v>
      </c>
      <c r="C10" s="34">
        <v>0.50694444444444442</v>
      </c>
      <c r="D10" s="40">
        <f>D9+17</f>
        <v>48.5</v>
      </c>
      <c r="E10" s="35">
        <v>3</v>
      </c>
      <c r="F10" s="36">
        <v>0.38100000000000001</v>
      </c>
      <c r="G10" s="37">
        <v>0.33100000000000002</v>
      </c>
      <c r="H10" s="37">
        <v>0.39500000000000002</v>
      </c>
      <c r="I10" s="37">
        <f t="shared" si="0"/>
        <v>0.46992540000000005</v>
      </c>
      <c r="J10" s="37">
        <f t="shared" si="0"/>
        <v>0.40825540000000005</v>
      </c>
      <c r="K10" s="37">
        <f t="shared" si="0"/>
        <v>0.48719300000000004</v>
      </c>
      <c r="L10" s="38">
        <f t="shared" si="1"/>
        <v>0.45512460000000005</v>
      </c>
      <c r="M10" s="37">
        <f t="shared" si="2"/>
        <v>2.3958880983329194E-2</v>
      </c>
      <c r="N10" s="37">
        <f t="shared" si="3"/>
        <v>-0.75518132028018059</v>
      </c>
      <c r="O10" s="37">
        <f t="shared" si="4"/>
        <v>-0.89586232002981869</v>
      </c>
      <c r="P10" s="37">
        <f t="shared" si="5"/>
        <v>-0.71909493050575968</v>
      </c>
      <c r="Q10" s="38">
        <f t="shared" si="6"/>
        <v>-0.79004619027191969</v>
      </c>
      <c r="R10" s="37">
        <f t="shared" si="7"/>
        <v>5.3923856407108145E-2</v>
      </c>
      <c r="S10" s="37">
        <f t="shared" si="8"/>
        <v>1.7283831586205591E-2</v>
      </c>
      <c r="T10" s="37">
        <f t="shared" si="9"/>
        <v>1.420216143303148E-2</v>
      </c>
      <c r="U10" s="37">
        <f t="shared" si="10"/>
        <v>1.4064285454228697E-2</v>
      </c>
      <c r="V10" s="38">
        <f t="shared" si="11"/>
        <v>1.5183426157821924E-2</v>
      </c>
      <c r="W10" s="37">
        <f t="shared" si="12"/>
        <v>1.0509566545248812E-3</v>
      </c>
      <c r="X10" s="37">
        <f t="shared" si="13"/>
        <v>9.6891835051546409E-3</v>
      </c>
      <c r="Y10" s="37">
        <f t="shared" si="14"/>
        <v>8.4176371134020624E-3</v>
      </c>
      <c r="Z10" s="37">
        <f t="shared" si="15"/>
        <v>1.0045216494845362E-2</v>
      </c>
      <c r="AA10" s="38">
        <f t="shared" si="16"/>
        <v>9.3840123711340217E-3</v>
      </c>
      <c r="AB10" s="154">
        <f t="shared" si="17"/>
        <v>4.9399754604802486E-4</v>
      </c>
    </row>
    <row r="11" spans="1:28" x14ac:dyDescent="0.15">
      <c r="A11" s="56"/>
      <c r="B11" s="39" t="s">
        <v>11</v>
      </c>
      <c r="C11" s="34">
        <v>0.50694444444444442</v>
      </c>
      <c r="D11" s="40">
        <f>D10+24</f>
        <v>72.5</v>
      </c>
      <c r="E11" s="35">
        <v>4</v>
      </c>
      <c r="F11" s="36">
        <v>0.58899999999999997</v>
      </c>
      <c r="G11" s="37">
        <v>0.45500000000000002</v>
      </c>
      <c r="H11" s="37">
        <v>0.627</v>
      </c>
      <c r="I11" s="37">
        <f t="shared" si="0"/>
        <v>0.72647260000000002</v>
      </c>
      <c r="J11" s="37">
        <f t="shared" si="0"/>
        <v>0.56119700000000006</v>
      </c>
      <c r="K11" s="37">
        <f t="shared" si="0"/>
        <v>0.77334180000000008</v>
      </c>
      <c r="L11" s="38">
        <f t="shared" si="1"/>
        <v>0.68700379999999994</v>
      </c>
      <c r="M11" s="37">
        <f t="shared" si="2"/>
        <v>6.4342038284572425E-2</v>
      </c>
      <c r="N11" s="37">
        <f t="shared" si="3"/>
        <v>-0.31955451175529492</v>
      </c>
      <c r="O11" s="37">
        <f t="shared" si="4"/>
        <v>-0.57768327645593109</v>
      </c>
      <c r="P11" s="37">
        <f t="shared" si="5"/>
        <v>-0.25703415477396085</v>
      </c>
      <c r="Q11" s="38">
        <f t="shared" si="6"/>
        <v>-0.38475731432839561</v>
      </c>
      <c r="R11" s="37">
        <f t="shared" si="7"/>
        <v>9.8136841377053419E-2</v>
      </c>
      <c r="S11" s="37">
        <f t="shared" si="8"/>
        <v>1.8151117021870236E-2</v>
      </c>
      <c r="T11" s="37">
        <f t="shared" si="9"/>
        <v>1.3257460148911984E-2</v>
      </c>
      <c r="U11" s="37">
        <f t="shared" si="10"/>
        <v>1.9252532322158285E-2</v>
      </c>
      <c r="V11" s="38">
        <f t="shared" si="11"/>
        <v>1.6887036497646835E-2</v>
      </c>
      <c r="W11" s="37">
        <f t="shared" si="12"/>
        <v>1.8424302130066071E-3</v>
      </c>
      <c r="X11" s="37">
        <f t="shared" si="13"/>
        <v>1.0020311724137931E-2</v>
      </c>
      <c r="Y11" s="37">
        <f t="shared" si="14"/>
        <v>7.7406482758620694E-3</v>
      </c>
      <c r="Z11" s="37">
        <f t="shared" si="15"/>
        <v>1.0666783448275863E-2</v>
      </c>
      <c r="AA11" s="38">
        <f t="shared" si="16"/>
        <v>9.4759144827586215E-3</v>
      </c>
      <c r="AB11" s="154">
        <f t="shared" si="17"/>
        <v>8.8747639013202824E-4</v>
      </c>
    </row>
    <row r="12" spans="1:28" x14ac:dyDescent="0.15">
      <c r="A12" s="56"/>
      <c r="B12" s="39" t="s">
        <v>12</v>
      </c>
      <c r="C12" s="34">
        <v>0.44444444444444442</v>
      </c>
      <c r="D12" s="40">
        <f>D11+22.5</f>
        <v>95</v>
      </c>
      <c r="E12" s="35">
        <v>5</v>
      </c>
      <c r="F12" s="36">
        <v>0.81200000000000006</v>
      </c>
      <c r="G12" s="37">
        <v>0.55300000000000005</v>
      </c>
      <c r="H12" s="37">
        <v>0.78700000000000003</v>
      </c>
      <c r="I12" s="37">
        <f t="shared" si="0"/>
        <v>1.0015208000000002</v>
      </c>
      <c r="J12" s="37">
        <f t="shared" si="0"/>
        <v>0.68207020000000007</v>
      </c>
      <c r="K12" s="37">
        <f t="shared" si="0"/>
        <v>0.97068580000000004</v>
      </c>
      <c r="L12" s="38">
        <f t="shared" si="1"/>
        <v>0.88475893333333344</v>
      </c>
      <c r="M12" s="37">
        <f t="shared" si="2"/>
        <v>0.10173452588551844</v>
      </c>
      <c r="N12" s="37">
        <f t="shared" si="3"/>
        <v>1.5196447547964965E-3</v>
      </c>
      <c r="O12" s="37">
        <f t="shared" si="4"/>
        <v>-0.38262269388454678</v>
      </c>
      <c r="P12" s="37">
        <f t="shared" si="5"/>
        <v>-2.9752446989478393E-2</v>
      </c>
      <c r="Q12" s="38">
        <f t="shared" si="6"/>
        <v>-0.1369518320397429</v>
      </c>
      <c r="R12" s="37">
        <f t="shared" si="7"/>
        <v>0.12316670978825425</v>
      </c>
      <c r="S12" s="37">
        <f t="shared" si="8"/>
        <v>1.4269962511559618E-2</v>
      </c>
      <c r="T12" s="37">
        <f t="shared" si="9"/>
        <v>8.6693592253948588E-3</v>
      </c>
      <c r="U12" s="37">
        <f t="shared" si="10"/>
        <v>1.0101409234865886E-2</v>
      </c>
      <c r="V12" s="38">
        <f t="shared" si="11"/>
        <v>1.1013576990606788E-2</v>
      </c>
      <c r="W12" s="37">
        <f t="shared" si="12"/>
        <v>1.6798538431671095E-3</v>
      </c>
      <c r="X12" s="37">
        <f t="shared" si="13"/>
        <v>1.0542324210526317E-2</v>
      </c>
      <c r="Y12" s="37">
        <f t="shared" si="14"/>
        <v>7.1796863157894747E-3</v>
      </c>
      <c r="Z12" s="37">
        <f t="shared" si="15"/>
        <v>1.0217745263157895E-2</v>
      </c>
      <c r="AA12" s="38">
        <f t="shared" si="16"/>
        <v>9.3132519298245627E-3</v>
      </c>
      <c r="AB12" s="154">
        <f t="shared" si="17"/>
        <v>1.0708897461633464E-3</v>
      </c>
    </row>
    <row r="13" spans="1:28" x14ac:dyDescent="0.15">
      <c r="A13" s="56"/>
      <c r="B13" s="39" t="s">
        <v>13</v>
      </c>
      <c r="C13" s="34">
        <v>0.40972222222222227</v>
      </c>
      <c r="D13" s="40">
        <f>D12+23.5</f>
        <v>118.5</v>
      </c>
      <c r="E13" s="35">
        <v>6</v>
      </c>
      <c r="F13" s="36">
        <f>2*0.556</f>
        <v>1.1120000000000001</v>
      </c>
      <c r="G13" s="37">
        <v>0.71899999999999997</v>
      </c>
      <c r="H13" s="37">
        <f>2*0.483</f>
        <v>0.96599999999999997</v>
      </c>
      <c r="I13" s="37">
        <f t="shared" si="0"/>
        <v>1.3715408000000002</v>
      </c>
      <c r="J13" s="37">
        <f t="shared" si="0"/>
        <v>0.88681460000000001</v>
      </c>
      <c r="K13" s="37">
        <f t="shared" si="0"/>
        <v>1.1914644000000001</v>
      </c>
      <c r="L13" s="38">
        <f t="shared" si="1"/>
        <v>1.1499399333333333</v>
      </c>
      <c r="M13" s="37">
        <f t="shared" si="2"/>
        <v>0.14146033983720613</v>
      </c>
      <c r="N13" s="37">
        <f t="shared" si="3"/>
        <v>0.31593477940364617</v>
      </c>
      <c r="O13" s="37">
        <f t="shared" si="4"/>
        <v>-0.12011933768583496</v>
      </c>
      <c r="P13" s="37">
        <f t="shared" si="5"/>
        <v>0.17518313880563641</v>
      </c>
      <c r="Q13" s="38">
        <f t="shared" si="6"/>
        <v>0.12366619350781587</v>
      </c>
      <c r="R13" s="37">
        <f t="shared" si="7"/>
        <v>0.12848643896962528</v>
      </c>
      <c r="S13" s="37">
        <f t="shared" si="8"/>
        <v>1.3379367431865944E-2</v>
      </c>
      <c r="T13" s="37">
        <f t="shared" si="9"/>
        <v>1.1170355582923905E-2</v>
      </c>
      <c r="U13" s="37">
        <f t="shared" si="10"/>
        <v>8.7206632253240338E-3</v>
      </c>
      <c r="V13" s="38">
        <f t="shared" si="11"/>
        <v>1.1090128746704628E-2</v>
      </c>
      <c r="W13" s="37">
        <f t="shared" si="12"/>
        <v>1.3454501700112787E-3</v>
      </c>
      <c r="X13" s="37">
        <f t="shared" si="13"/>
        <v>1.1574183966244728E-2</v>
      </c>
      <c r="Y13" s="37">
        <f t="shared" si="14"/>
        <v>7.483667510548523E-3</v>
      </c>
      <c r="Z13" s="37">
        <f t="shared" si="15"/>
        <v>1.0054551898734177E-2</v>
      </c>
      <c r="AA13" s="38">
        <f t="shared" si="16"/>
        <v>9.7041344585091435E-3</v>
      </c>
      <c r="AB13" s="154">
        <f t="shared" si="17"/>
        <v>1.1937581420861266E-3</v>
      </c>
    </row>
    <row r="14" spans="1:28" x14ac:dyDescent="0.15">
      <c r="A14" s="56"/>
      <c r="B14" s="39" t="s">
        <v>30</v>
      </c>
      <c r="C14" s="34">
        <v>0.41666666666666669</v>
      </c>
      <c r="D14" s="40">
        <f>D13+24</f>
        <v>142.5</v>
      </c>
      <c r="E14" s="35">
        <v>7</v>
      </c>
      <c r="F14" s="36">
        <f>2*0.739</f>
        <v>1.478</v>
      </c>
      <c r="G14" s="37">
        <f>2*0.65</f>
        <v>1.3</v>
      </c>
      <c r="H14" s="37">
        <f>2*0.703</f>
        <v>1.4059999999999999</v>
      </c>
      <c r="I14" s="37">
        <f t="shared" si="0"/>
        <v>1.8229652000000001</v>
      </c>
      <c r="J14" s="37">
        <f t="shared" si="0"/>
        <v>1.6034200000000001</v>
      </c>
      <c r="K14" s="37">
        <f t="shared" si="0"/>
        <v>1.7341603999999999</v>
      </c>
      <c r="L14" s="38">
        <f t="shared" si="1"/>
        <v>1.7201818666666668</v>
      </c>
      <c r="M14" s="37">
        <f t="shared" si="2"/>
        <v>6.3761464998783629E-2</v>
      </c>
      <c r="N14" s="37">
        <f t="shared" si="3"/>
        <v>0.6004644061012655</v>
      </c>
      <c r="O14" s="37">
        <f t="shared" si="4"/>
        <v>0.47213884804274647</v>
      </c>
      <c r="P14" s="37">
        <f t="shared" si="5"/>
        <v>0.55052337696372855</v>
      </c>
      <c r="Q14" s="38">
        <f t="shared" si="6"/>
        <v>0.54104221036924682</v>
      </c>
      <c r="R14" s="37">
        <f t="shared" si="7"/>
        <v>3.7346492931071958E-2</v>
      </c>
      <c r="S14" s="37">
        <f t="shared" si="8"/>
        <v>1.1855401112400805E-2</v>
      </c>
      <c r="T14" s="37">
        <f t="shared" si="9"/>
        <v>2.467742440535756E-2</v>
      </c>
      <c r="U14" s="37">
        <f t="shared" si="10"/>
        <v>1.5639176589920506E-2</v>
      </c>
      <c r="V14" s="38">
        <f t="shared" si="11"/>
        <v>1.739066736922629E-2</v>
      </c>
      <c r="W14" s="37">
        <f t="shared" si="12"/>
        <v>3.8035886692164922E-3</v>
      </c>
      <c r="X14" s="37">
        <f t="shared" si="13"/>
        <v>1.2792738245614036E-2</v>
      </c>
      <c r="Y14" s="37">
        <f t="shared" si="14"/>
        <v>1.1252070175438597E-2</v>
      </c>
      <c r="Z14" s="37">
        <f t="shared" si="15"/>
        <v>1.2169546666666666E-2</v>
      </c>
      <c r="AA14" s="38">
        <f t="shared" si="16"/>
        <v>1.2071451695906432E-2</v>
      </c>
      <c r="AB14" s="154">
        <f t="shared" si="17"/>
        <v>4.4744887718444658E-4</v>
      </c>
    </row>
    <row r="15" spans="1:28" x14ac:dyDescent="0.15">
      <c r="A15" s="56"/>
      <c r="B15" s="39" t="s">
        <v>31</v>
      </c>
      <c r="C15" s="34">
        <v>0.47916666666666669</v>
      </c>
      <c r="D15" s="40">
        <f>D14+25.5</f>
        <v>168</v>
      </c>
      <c r="E15" s="35">
        <v>8</v>
      </c>
      <c r="F15" s="36">
        <f>2*0.814</f>
        <v>1.6279999999999999</v>
      </c>
      <c r="G15" s="37">
        <f>2*0.775</f>
        <v>1.55</v>
      </c>
      <c r="H15" s="37">
        <f>2*0.79</f>
        <v>1.58</v>
      </c>
      <c r="I15" s="37">
        <f t="shared" si="0"/>
        <v>2.0079751999999997</v>
      </c>
      <c r="J15" s="37">
        <f t="shared" si="0"/>
        <v>1.9117700000000002</v>
      </c>
      <c r="K15" s="37">
        <f t="shared" si="0"/>
        <v>1.9487720000000002</v>
      </c>
      <c r="L15" s="38">
        <f t="shared" si="1"/>
        <v>1.9561724</v>
      </c>
      <c r="M15" s="37">
        <f t="shared" si="2"/>
        <v>2.8017462214840094E-2</v>
      </c>
      <c r="N15" s="37">
        <f t="shared" si="3"/>
        <v>0.6971268511556038</v>
      </c>
      <c r="O15" s="37">
        <f t="shared" si="4"/>
        <v>0.64802951450641078</v>
      </c>
      <c r="P15" s="37">
        <f t="shared" si="5"/>
        <v>0.6671994306141309</v>
      </c>
      <c r="Q15" s="38">
        <f t="shared" si="6"/>
        <v>0.67078526542538197</v>
      </c>
      <c r="R15" s="37">
        <f t="shared" si="7"/>
        <v>1.4286132844839809E-2</v>
      </c>
      <c r="S15" s="37">
        <f t="shared" si="8"/>
        <v>3.7906841197779726E-3</v>
      </c>
      <c r="T15" s="37">
        <f t="shared" si="9"/>
        <v>6.8976731946535016E-3</v>
      </c>
      <c r="U15" s="37">
        <f t="shared" si="10"/>
        <v>4.575531515702053E-3</v>
      </c>
      <c r="V15" s="38">
        <f t="shared" si="11"/>
        <v>5.0879629433778426E-3</v>
      </c>
      <c r="W15" s="37">
        <f t="shared" si="12"/>
        <v>9.3278878529231906E-4</v>
      </c>
      <c r="X15" s="37">
        <f t="shared" si="13"/>
        <v>1.1952233333333331E-2</v>
      </c>
      <c r="Y15" s="37">
        <f t="shared" si="14"/>
        <v>1.1379583333333335E-2</v>
      </c>
      <c r="Z15" s="37">
        <f t="shared" si="15"/>
        <v>1.1599833333333334E-2</v>
      </c>
      <c r="AA15" s="38">
        <f t="shared" si="16"/>
        <v>1.1643883333333332E-2</v>
      </c>
      <c r="AB15" s="154">
        <f t="shared" si="17"/>
        <v>1.6677060842166678E-4</v>
      </c>
    </row>
    <row r="16" spans="1:28" x14ac:dyDescent="0.15">
      <c r="A16" s="56"/>
      <c r="B16" s="39" t="s">
        <v>32</v>
      </c>
      <c r="C16" s="34">
        <v>0.5</v>
      </c>
      <c r="D16" s="40">
        <f>D15+24.5</f>
        <v>192.5</v>
      </c>
      <c r="E16" s="35">
        <v>9</v>
      </c>
      <c r="F16" s="36">
        <f>2*0.915</f>
        <v>1.83</v>
      </c>
      <c r="G16" s="37">
        <f>4*0.34</f>
        <v>1.36</v>
      </c>
      <c r="H16" s="37">
        <f>4*0.484</f>
        <v>1.9359999999999999</v>
      </c>
      <c r="I16" s="37">
        <f t="shared" si="0"/>
        <v>2.2571220000000003</v>
      </c>
      <c r="J16" s="37">
        <f t="shared" si="0"/>
        <v>1.6774240000000002</v>
      </c>
      <c r="K16" s="37">
        <f t="shared" si="0"/>
        <v>2.3878623999999999</v>
      </c>
      <c r="L16" s="38">
        <f t="shared" si="1"/>
        <v>2.1074694666666667</v>
      </c>
      <c r="M16" s="37">
        <f t="shared" si="2"/>
        <v>0.21830986433542346</v>
      </c>
      <c r="N16" s="37">
        <f t="shared" si="3"/>
        <v>0.81409055042858514</v>
      </c>
      <c r="O16" s="37">
        <f t="shared" si="4"/>
        <v>0.51725928332321613</v>
      </c>
      <c r="P16" s="37">
        <f t="shared" si="5"/>
        <v>0.87039857242964058</v>
      </c>
      <c r="Q16" s="38">
        <f t="shared" si="6"/>
        <v>0.73391613539381384</v>
      </c>
      <c r="R16" s="37">
        <f t="shared" si="7"/>
        <v>0.10954115208035398</v>
      </c>
      <c r="S16" s="37">
        <f t="shared" si="8"/>
        <v>4.7740285417543406E-3</v>
      </c>
      <c r="T16" s="37">
        <f t="shared" si="9"/>
        <v>-5.3375604564569242E-3</v>
      </c>
      <c r="U16" s="37">
        <f t="shared" si="10"/>
        <v>8.2938425230820283E-3</v>
      </c>
      <c r="V16" s="38">
        <f t="shared" si="11"/>
        <v>2.5767702027931481E-3</v>
      </c>
      <c r="W16" s="37">
        <f t="shared" si="12"/>
        <v>4.0855332150465879E-3</v>
      </c>
      <c r="X16" s="37">
        <f t="shared" si="13"/>
        <v>1.1725309090909092E-2</v>
      </c>
      <c r="Y16" s="37">
        <f t="shared" si="14"/>
        <v>8.7138909090909104E-3</v>
      </c>
      <c r="Z16" s="37">
        <f t="shared" si="15"/>
        <v>1.2404479999999999E-2</v>
      </c>
      <c r="AA16" s="38">
        <f t="shared" si="16"/>
        <v>1.0947893333333333E-2</v>
      </c>
      <c r="AB16" s="154">
        <f t="shared" si="17"/>
        <v>1.1340772173268759E-3</v>
      </c>
    </row>
    <row r="17" spans="1:32" x14ac:dyDescent="0.15">
      <c r="A17" s="56"/>
      <c r="B17" s="39" t="s">
        <v>33</v>
      </c>
      <c r="C17" s="34">
        <v>0.4513888888888889</v>
      </c>
      <c r="D17" s="40">
        <f>D16+23</f>
        <v>215.5</v>
      </c>
      <c r="E17" s="35">
        <v>10</v>
      </c>
      <c r="F17" s="36">
        <f>2*1.004</f>
        <v>2.008</v>
      </c>
      <c r="G17" s="37">
        <f>4*0.399</f>
        <v>1.5960000000000001</v>
      </c>
      <c r="H17" s="37">
        <f>2*1.033</f>
        <v>2.0659999999999998</v>
      </c>
      <c r="I17" s="37">
        <f t="shared" si="0"/>
        <v>2.4766672000000001</v>
      </c>
      <c r="J17" s="37">
        <f t="shared" si="0"/>
        <v>1.9685064000000001</v>
      </c>
      <c r="K17" s="37">
        <f t="shared" si="0"/>
        <v>2.5482043999999999</v>
      </c>
      <c r="L17" s="38">
        <f t="shared" si="1"/>
        <v>2.3311259999999998</v>
      </c>
      <c r="M17" s="37">
        <f t="shared" si="2"/>
        <v>0.18248207535178132</v>
      </c>
      <c r="N17" s="37">
        <f t="shared" si="3"/>
        <v>0.90691378540473822</v>
      </c>
      <c r="O17" s="37">
        <f t="shared" si="4"/>
        <v>0.6772750826028725</v>
      </c>
      <c r="P17" s="37">
        <f t="shared" si="5"/>
        <v>0.93538895427270219</v>
      </c>
      <c r="Q17" s="38">
        <f t="shared" si="6"/>
        <v>0.83985927409343775</v>
      </c>
      <c r="R17" s="37">
        <f t="shared" si="7"/>
        <v>8.1706636414461756E-2</v>
      </c>
      <c r="S17" s="37">
        <f t="shared" si="8"/>
        <v>4.035792825050134E-3</v>
      </c>
      <c r="T17" s="37">
        <f t="shared" si="9"/>
        <v>6.9572086643328859E-3</v>
      </c>
      <c r="U17" s="37">
        <f t="shared" si="10"/>
        <v>2.8256687757852871E-3</v>
      </c>
      <c r="V17" s="38">
        <f t="shared" si="11"/>
        <v>4.6062234217227683E-3</v>
      </c>
      <c r="W17" s="37">
        <f t="shared" si="12"/>
        <v>1.226301860864635E-3</v>
      </c>
      <c r="X17" s="37">
        <f t="shared" si="13"/>
        <v>1.1492655220417633E-2</v>
      </c>
      <c r="Y17" s="37">
        <f t="shared" si="14"/>
        <v>9.1346004640371226E-3</v>
      </c>
      <c r="Z17" s="37">
        <f t="shared" si="15"/>
        <v>1.1824614385150811E-2</v>
      </c>
      <c r="AA17" s="38">
        <f t="shared" si="16"/>
        <v>1.0817290023201856E-2</v>
      </c>
      <c r="AB17" s="154">
        <f t="shared" si="17"/>
        <v>8.467845723980588E-4</v>
      </c>
    </row>
    <row r="18" spans="1:32" x14ac:dyDescent="0.15">
      <c r="A18" s="56"/>
      <c r="B18" s="39" t="s">
        <v>34</v>
      </c>
      <c r="C18" s="34">
        <v>0.40625</v>
      </c>
      <c r="D18" s="40">
        <f>23+D17</f>
        <v>238.5</v>
      </c>
      <c r="E18" s="35">
        <v>11</v>
      </c>
      <c r="F18" s="36">
        <f>4*0.561</f>
        <v>2.2440000000000002</v>
      </c>
      <c r="G18" s="37">
        <v>2.056</v>
      </c>
      <c r="H18" s="37">
        <f>8*0.288</f>
        <v>2.3039999999999998</v>
      </c>
      <c r="I18" s="37">
        <f t="shared" si="0"/>
        <v>2.7677496000000006</v>
      </c>
      <c r="J18" s="37">
        <f t="shared" si="0"/>
        <v>2.5358704000000003</v>
      </c>
      <c r="K18" s="37">
        <f t="shared" si="0"/>
        <v>2.8417536000000001</v>
      </c>
      <c r="L18" s="38">
        <f t="shared" si="1"/>
        <v>2.7151245333333338</v>
      </c>
      <c r="M18" s="37">
        <f t="shared" si="2"/>
        <v>9.2137906136785575E-2</v>
      </c>
      <c r="N18" s="37">
        <f t="shared" si="3"/>
        <v>1.0180345712357055</v>
      </c>
      <c r="O18" s="37">
        <f t="shared" si="4"/>
        <v>0.93053693116817415</v>
      </c>
      <c r="P18" s="37">
        <f t="shared" si="5"/>
        <v>1.0444213264089002</v>
      </c>
      <c r="Q18" s="38">
        <f t="shared" si="6"/>
        <v>0.99766427627092658</v>
      </c>
      <c r="R18" s="37">
        <f t="shared" si="7"/>
        <v>3.4417173801996714E-2</v>
      </c>
      <c r="S18" s="37">
        <f t="shared" si="8"/>
        <v>4.8313385143898824E-3</v>
      </c>
      <c r="T18" s="37">
        <f t="shared" si="9"/>
        <v>1.1011384720230506E-2</v>
      </c>
      <c r="U18" s="37">
        <f t="shared" si="10"/>
        <v>4.7405379189651301E-3</v>
      </c>
      <c r="V18" s="38">
        <f t="shared" si="11"/>
        <v>6.8610870511951723E-3</v>
      </c>
      <c r="W18" s="37">
        <f t="shared" si="12"/>
        <v>2.0753143732321986E-3</v>
      </c>
      <c r="X18" s="37">
        <f t="shared" si="13"/>
        <v>1.1604820125786166E-2</v>
      </c>
      <c r="Y18" s="37">
        <f t="shared" si="14"/>
        <v>1.0632580293501049E-2</v>
      </c>
      <c r="Z18" s="37">
        <f t="shared" si="15"/>
        <v>1.1915109433962264E-2</v>
      </c>
      <c r="AA18" s="38">
        <f t="shared" si="16"/>
        <v>1.1384169951083158E-2</v>
      </c>
      <c r="AB18" s="154">
        <f t="shared" si="17"/>
        <v>3.8632245759658522E-4</v>
      </c>
    </row>
    <row r="19" spans="1:32" x14ac:dyDescent="0.15">
      <c r="A19" s="56"/>
      <c r="B19" s="39" t="s">
        <v>35</v>
      </c>
      <c r="C19" s="34">
        <v>0.41250000000000003</v>
      </c>
      <c r="D19" s="40">
        <f>D18+24</f>
        <v>262.5</v>
      </c>
      <c r="E19" s="35">
        <v>12</v>
      </c>
      <c r="F19" s="36">
        <f>4*0.605</f>
        <v>2.42</v>
      </c>
      <c r="G19" s="37">
        <f>8*0.255</f>
        <v>2.04</v>
      </c>
      <c r="H19" s="37">
        <f>8*0.301</f>
        <v>2.4079999999999999</v>
      </c>
      <c r="I19" s="37">
        <f t="shared" si="0"/>
        <v>2.9848280000000003</v>
      </c>
      <c r="J19" s="37">
        <f t="shared" si="0"/>
        <v>2.5161359999999999</v>
      </c>
      <c r="K19" s="37">
        <f t="shared" si="0"/>
        <v>2.9700272000000001</v>
      </c>
      <c r="L19" s="38">
        <f t="shared" si="1"/>
        <v>2.8236637333333334</v>
      </c>
      <c r="M19" s="37">
        <f t="shared" si="2"/>
        <v>0.15382321670997676</v>
      </c>
      <c r="N19" s="37">
        <f t="shared" si="3"/>
        <v>1.0935421237438505</v>
      </c>
      <c r="O19" s="37">
        <f t="shared" si="4"/>
        <v>0.92272439143138041</v>
      </c>
      <c r="P19" s="37">
        <f t="shared" si="5"/>
        <v>1.0885711110218301</v>
      </c>
      <c r="Q19" s="38">
        <f t="shared" si="6"/>
        <v>1.0349458753990204</v>
      </c>
      <c r="R19" s="37">
        <f t="shared" si="7"/>
        <v>5.6129088833376098E-2</v>
      </c>
      <c r="S19" s="37">
        <f t="shared" si="8"/>
        <v>3.1461480211727086E-3</v>
      </c>
      <c r="T19" s="37">
        <f t="shared" si="9"/>
        <v>-3.2552248903307268E-4</v>
      </c>
      <c r="U19" s="37">
        <f t="shared" si="10"/>
        <v>1.8395743588720814E-3</v>
      </c>
      <c r="V19" s="38">
        <f t="shared" si="11"/>
        <v>1.5533999636705726E-3</v>
      </c>
      <c r="W19" s="37">
        <f t="shared" si="12"/>
        <v>1.0123480743976401E-3</v>
      </c>
      <c r="X19" s="37">
        <f t="shared" si="13"/>
        <v>1.1370773333333334E-2</v>
      </c>
      <c r="Y19" s="37">
        <f t="shared" si="14"/>
        <v>9.5852799999999998E-3</v>
      </c>
      <c r="Z19" s="37">
        <f t="shared" si="15"/>
        <v>1.1314389333333334E-2</v>
      </c>
      <c r="AA19" s="38">
        <f t="shared" si="16"/>
        <v>1.0756814222222223E-2</v>
      </c>
      <c r="AB19" s="154">
        <f t="shared" si="17"/>
        <v>5.8599320651419717E-4</v>
      </c>
    </row>
    <row r="20" spans="1:32" x14ac:dyDescent="0.15">
      <c r="A20" s="56"/>
      <c r="B20" s="39" t="s">
        <v>36</v>
      </c>
      <c r="C20" s="34">
        <v>0.40625</v>
      </c>
      <c r="D20" s="40">
        <f>D19+24</f>
        <v>286.5</v>
      </c>
      <c r="E20" s="35">
        <v>13</v>
      </c>
      <c r="F20" s="36">
        <f>4*0.608</f>
        <v>2.4319999999999999</v>
      </c>
      <c r="G20" s="37">
        <f>4*0.508</f>
        <v>2.032</v>
      </c>
      <c r="H20" s="37">
        <f>4*0.648</f>
        <v>2.5920000000000001</v>
      </c>
      <c r="I20" s="37">
        <f t="shared" si="0"/>
        <v>2.9996288</v>
      </c>
      <c r="J20" s="37">
        <f t="shared" si="0"/>
        <v>2.5062688</v>
      </c>
      <c r="K20" s="37">
        <f t="shared" si="0"/>
        <v>3.1969728000000002</v>
      </c>
      <c r="L20" s="38">
        <f t="shared" si="1"/>
        <v>2.9009567999999999</v>
      </c>
      <c r="M20" s="37">
        <f t="shared" si="2"/>
        <v>0.20540214749932231</v>
      </c>
      <c r="N20" s="37">
        <f t="shared" si="3"/>
        <v>1.0984885476791759</v>
      </c>
      <c r="O20" s="37">
        <f t="shared" si="4"/>
        <v>0.91879511329149088</v>
      </c>
      <c r="P20" s="37">
        <f t="shared" si="5"/>
        <v>1.1622043620652838</v>
      </c>
      <c r="Q20" s="38">
        <f t="shared" si="6"/>
        <v>1.0598293410119835</v>
      </c>
      <c r="R20" s="37">
        <f t="shared" si="7"/>
        <v>7.287641660660435E-2</v>
      </c>
      <c r="S20" s="37">
        <f t="shared" si="8"/>
        <v>2.0610099730522524E-4</v>
      </c>
      <c r="T20" s="37">
        <f t="shared" si="9"/>
        <v>-1.6371992249539688E-4</v>
      </c>
      <c r="U20" s="37">
        <f t="shared" si="10"/>
        <v>3.0680521268105685E-3</v>
      </c>
      <c r="V20" s="38">
        <f t="shared" si="11"/>
        <v>1.0368110672067988E-3</v>
      </c>
      <c r="W20" s="37">
        <f t="shared" si="12"/>
        <v>1.0212161148757443E-3</v>
      </c>
      <c r="X20" s="37">
        <f t="shared" si="13"/>
        <v>1.046990855148342E-2</v>
      </c>
      <c r="Y20" s="37">
        <f t="shared" si="14"/>
        <v>8.7478841186736482E-3</v>
      </c>
      <c r="Z20" s="37">
        <f t="shared" si="15"/>
        <v>1.115871832460733E-2</v>
      </c>
      <c r="AA20" s="38">
        <f t="shared" si="16"/>
        <v>1.0125503664921466E-2</v>
      </c>
      <c r="AB20" s="154">
        <f t="shared" si="17"/>
        <v>7.1693594240601123E-4</v>
      </c>
    </row>
    <row r="21" spans="1:32" x14ac:dyDescent="0.15">
      <c r="A21" s="56"/>
      <c r="B21" s="41" t="s">
        <v>37</v>
      </c>
      <c r="C21" s="34">
        <v>0.37152777777777773</v>
      </c>
      <c r="D21" s="40">
        <f>23+D20</f>
        <v>309.5</v>
      </c>
      <c r="E21" s="35">
        <v>14</v>
      </c>
      <c r="F21" s="36">
        <f>4*0.641</f>
        <v>2.5640000000000001</v>
      </c>
      <c r="G21" s="37">
        <f>4*0.56</f>
        <v>2.2400000000000002</v>
      </c>
      <c r="H21" s="37">
        <f>4*0.656</f>
        <v>2.6240000000000001</v>
      </c>
      <c r="I21" s="37">
        <f t="shared" si="0"/>
        <v>3.1624376000000001</v>
      </c>
      <c r="J21" s="37">
        <f t="shared" si="0"/>
        <v>2.7628160000000004</v>
      </c>
      <c r="K21" s="37">
        <f t="shared" si="0"/>
        <v>3.2364416000000005</v>
      </c>
      <c r="L21" s="38">
        <f t="shared" si="1"/>
        <v>3.0538984</v>
      </c>
      <c r="M21" s="37">
        <f t="shared" si="2"/>
        <v>0.14710072591744747</v>
      </c>
      <c r="N21" s="37">
        <f t="shared" si="3"/>
        <v>1.151343122633679</v>
      </c>
      <c r="O21" s="37">
        <f t="shared" si="4"/>
        <v>1.016250449442204</v>
      </c>
      <c r="P21" s="37">
        <f t="shared" si="5"/>
        <v>1.1744744546570982</v>
      </c>
      <c r="Q21" s="38">
        <f t="shared" si="6"/>
        <v>1.1140226755776603</v>
      </c>
      <c r="R21" s="37">
        <f t="shared" si="7"/>
        <v>4.9340047233143634E-2</v>
      </c>
      <c r="S21" s="37">
        <f t="shared" si="8"/>
        <v>2.2980249980218727E-3</v>
      </c>
      <c r="T21" s="37">
        <f t="shared" si="9"/>
        <v>4.237188528291874E-3</v>
      </c>
      <c r="U21" s="37">
        <f t="shared" si="10"/>
        <v>5.3348228660062783E-4</v>
      </c>
      <c r="V21" s="38">
        <f t="shared" si="11"/>
        <v>2.356231937638125E-3</v>
      </c>
      <c r="W21" s="37">
        <f t="shared" si="12"/>
        <v>1.0695639324899801E-3</v>
      </c>
      <c r="X21" s="37">
        <f t="shared" si="13"/>
        <v>1.0217892084006462E-2</v>
      </c>
      <c r="Y21" s="37">
        <f t="shared" si="14"/>
        <v>8.9267075928917625E-3</v>
      </c>
      <c r="Z21" s="37">
        <f t="shared" si="15"/>
        <v>1.0457000323101779E-2</v>
      </c>
      <c r="AA21" s="38">
        <f t="shared" si="16"/>
        <v>9.8672000000000013E-3</v>
      </c>
      <c r="AB21" s="154">
        <f t="shared" si="17"/>
        <v>4.7528505950710003E-4</v>
      </c>
    </row>
    <row r="22" spans="1:32" x14ac:dyDescent="0.15">
      <c r="A22" s="56"/>
      <c r="B22" s="41" t="s">
        <v>38</v>
      </c>
      <c r="C22" s="34">
        <v>0.45833333333333331</v>
      </c>
      <c r="D22" s="40">
        <f>2+24+D21</f>
        <v>335.5</v>
      </c>
      <c r="E22" s="35">
        <v>15</v>
      </c>
      <c r="F22" s="36">
        <f>4*0.69</f>
        <v>2.76</v>
      </c>
      <c r="G22" s="37">
        <f>4*0.601</f>
        <v>2.4039999999999999</v>
      </c>
      <c r="H22" s="37">
        <f>4*0.705</f>
        <v>2.82</v>
      </c>
      <c r="I22" s="37">
        <f t="shared" si="0"/>
        <v>3.4041839999999999</v>
      </c>
      <c r="J22" s="37">
        <f t="shared" si="0"/>
        <v>2.9650935999999999</v>
      </c>
      <c r="K22" s="37">
        <f t="shared" si="0"/>
        <v>3.4781879999999998</v>
      </c>
      <c r="L22" s="38">
        <f t="shared" si="1"/>
        <v>3.2824885333333333</v>
      </c>
      <c r="M22" s="37">
        <f t="shared" si="2"/>
        <v>0.16012891242501393</v>
      </c>
      <c r="N22" s="37">
        <f t="shared" si="3"/>
        <v>1.225005263304314</v>
      </c>
      <c r="O22" s="37">
        <f t="shared" si="4"/>
        <v>1.0869086002482164</v>
      </c>
      <c r="P22" s="37">
        <f t="shared" si="5"/>
        <v>1.2465114685252776</v>
      </c>
      <c r="Q22" s="38">
        <f t="shared" si="6"/>
        <v>1.1861417773592693</v>
      </c>
      <c r="R22" s="37">
        <f t="shared" si="7"/>
        <v>5.0003489196310917E-2</v>
      </c>
      <c r="S22" s="37">
        <f t="shared" si="8"/>
        <v>2.833159256562886E-3</v>
      </c>
      <c r="T22" s="37">
        <f t="shared" si="9"/>
        <v>2.7176211848466327E-3</v>
      </c>
      <c r="U22" s="37">
        <f t="shared" si="10"/>
        <v>2.7706543795453617E-3</v>
      </c>
      <c r="V22" s="38">
        <f t="shared" si="11"/>
        <v>2.7738116069849598E-3</v>
      </c>
      <c r="W22" s="37">
        <f t="shared" si="12"/>
        <v>3.3390305817739653E-5</v>
      </c>
      <c r="X22" s="37">
        <f t="shared" si="13"/>
        <v>1.0146599105812221E-2</v>
      </c>
      <c r="Y22" s="37">
        <f t="shared" si="14"/>
        <v>8.8378348733233972E-3</v>
      </c>
      <c r="Z22" s="37">
        <f t="shared" si="15"/>
        <v>1.036717734724292E-2</v>
      </c>
      <c r="AA22" s="38">
        <f t="shared" si="16"/>
        <v>9.7838704421261795E-3</v>
      </c>
      <c r="AB22" s="154">
        <f t="shared" si="17"/>
        <v>4.7728438874817869E-4</v>
      </c>
    </row>
    <row r="23" spans="1:32" x14ac:dyDescent="0.15">
      <c r="A23" s="56"/>
      <c r="B23" s="41" t="s">
        <v>39</v>
      </c>
      <c r="C23" s="34">
        <v>0.5</v>
      </c>
      <c r="D23" s="40">
        <f>48+D21+3</f>
        <v>360.5</v>
      </c>
      <c r="E23" s="35">
        <v>16</v>
      </c>
      <c r="F23" s="36">
        <f>4*0.733</f>
        <v>2.9319999999999999</v>
      </c>
      <c r="G23" s="37">
        <f>8*0.355</f>
        <v>2.84</v>
      </c>
      <c r="H23" s="37">
        <f>4*0.784</f>
        <v>3.1360000000000001</v>
      </c>
      <c r="I23" s="37">
        <f t="shared" si="0"/>
        <v>3.6163288000000002</v>
      </c>
      <c r="J23" s="37">
        <f t="shared" si="0"/>
        <v>3.502856</v>
      </c>
      <c r="K23" s="37">
        <f t="shared" si="0"/>
        <v>3.8679424000000004</v>
      </c>
      <c r="L23" s="38">
        <f t="shared" si="1"/>
        <v>3.6623757333333331</v>
      </c>
      <c r="M23" s="37">
        <f t="shared" si="2"/>
        <v>0.10787687413326581</v>
      </c>
      <c r="N23" s="37">
        <f t="shared" si="3"/>
        <v>1.2854593675996606</v>
      </c>
      <c r="O23" s="37">
        <f t="shared" si="4"/>
        <v>1.25357863574837</v>
      </c>
      <c r="P23" s="37">
        <f t="shared" si="5"/>
        <v>1.3527226860634169</v>
      </c>
      <c r="Q23" s="38">
        <f t="shared" si="6"/>
        <v>1.2972535631371491</v>
      </c>
      <c r="R23" s="37">
        <f t="shared" si="7"/>
        <v>2.9221641321119783E-2</v>
      </c>
      <c r="S23" s="37">
        <f t="shared" si="8"/>
        <v>2.4181641718138635E-3</v>
      </c>
      <c r="T23" s="37">
        <f t="shared" si="9"/>
        <v>6.6668014200061436E-3</v>
      </c>
      <c r="U23" s="37">
        <f t="shared" si="10"/>
        <v>4.248448701525573E-3</v>
      </c>
      <c r="V23" s="38">
        <f t="shared" si="11"/>
        <v>4.4444714311151932E-3</v>
      </c>
      <c r="W23" s="37">
        <f t="shared" si="12"/>
        <v>1.2303858879187111E-3</v>
      </c>
      <c r="X23" s="37">
        <f t="shared" si="13"/>
        <v>1.0031425242718448E-2</v>
      </c>
      <c r="Y23" s="37">
        <f t="shared" si="14"/>
        <v>9.7166601941747564E-3</v>
      </c>
      <c r="Z23" s="37">
        <f t="shared" si="15"/>
        <v>1.0729382524271846E-2</v>
      </c>
      <c r="AA23" s="38">
        <f t="shared" si="16"/>
        <v>1.0159155987055017E-2</v>
      </c>
      <c r="AB23" s="154">
        <f t="shared" si="17"/>
        <v>2.9924236930170827E-4</v>
      </c>
    </row>
    <row r="24" spans="1:32" x14ac:dyDescent="0.15">
      <c r="A24" s="56"/>
      <c r="B24" s="41" t="s">
        <v>40</v>
      </c>
      <c r="C24" s="34">
        <v>0.53125</v>
      </c>
      <c r="D24" s="40">
        <f>D23+25</f>
        <v>385.5</v>
      </c>
      <c r="E24" s="35">
        <v>17</v>
      </c>
      <c r="F24" s="36">
        <f>4*0.806</f>
        <v>3.2240000000000002</v>
      </c>
      <c r="G24" s="37">
        <f>4*0.755</f>
        <v>3.02</v>
      </c>
      <c r="H24" s="37">
        <f>4*0.888</f>
        <v>3.552</v>
      </c>
      <c r="I24" s="37">
        <f t="shared" si="0"/>
        <v>3.9764816000000005</v>
      </c>
      <c r="J24" s="37">
        <f t="shared" si="0"/>
        <v>3.7248680000000003</v>
      </c>
      <c r="K24" s="37">
        <f t="shared" si="0"/>
        <v>4.3810368000000004</v>
      </c>
      <c r="L24" s="38">
        <f t="shared" si="1"/>
        <v>4.0274621333333336</v>
      </c>
      <c r="M24" s="37">
        <f t="shared" si="2"/>
        <v>0.19112703856124369</v>
      </c>
      <c r="N24" s="37">
        <f t="shared" si="3"/>
        <v>1.3803974082196373</v>
      </c>
      <c r="O24" s="37">
        <f t="shared" si="4"/>
        <v>1.3150314149620337</v>
      </c>
      <c r="P24" s="37">
        <f t="shared" si="5"/>
        <v>1.4772854087051792</v>
      </c>
      <c r="Q24" s="38">
        <f t="shared" si="6"/>
        <v>1.3909047439622835</v>
      </c>
      <c r="R24" s="37">
        <f t="shared" si="7"/>
        <v>4.7132411706123895E-2</v>
      </c>
      <c r="S24" s="37">
        <f t="shared" si="8"/>
        <v>3.7975216247990674E-3</v>
      </c>
      <c r="T24" s="37">
        <f t="shared" si="9"/>
        <v>2.4581111685465463E-3</v>
      </c>
      <c r="U24" s="37">
        <f t="shared" si="10"/>
        <v>4.9825089056704909E-3</v>
      </c>
      <c r="V24" s="38">
        <f t="shared" si="11"/>
        <v>3.7460472330053687E-3</v>
      </c>
      <c r="W24" s="37">
        <f t="shared" si="12"/>
        <v>7.2918520591068437E-4</v>
      </c>
      <c r="X24" s="37">
        <f t="shared" si="13"/>
        <v>1.0315127367055773E-2</v>
      </c>
      <c r="Y24" s="37">
        <f t="shared" si="14"/>
        <v>9.6624332036316478E-3</v>
      </c>
      <c r="Z24" s="37">
        <f t="shared" si="15"/>
        <v>1.136455719844358E-2</v>
      </c>
      <c r="AA24" s="38">
        <f t="shared" si="16"/>
        <v>1.0447372589710333E-2</v>
      </c>
      <c r="AB24" s="154">
        <f t="shared" si="17"/>
        <v>4.9578998329764877E-4</v>
      </c>
    </row>
    <row r="25" spans="1:32" s="5" customFormat="1" ht="13" x14ac:dyDescent="0.15">
      <c r="A25" s="41"/>
      <c r="B25" s="41" t="s">
        <v>41</v>
      </c>
      <c r="C25" s="34">
        <v>0.4513888888888889</v>
      </c>
      <c r="D25" s="40">
        <f>22+D24</f>
        <v>407.5</v>
      </c>
      <c r="E25" s="35">
        <v>18</v>
      </c>
      <c r="F25" s="36">
        <f>8*0.365</f>
        <v>2.92</v>
      </c>
      <c r="G25" s="37">
        <f>8*0.432</f>
        <v>3.456</v>
      </c>
      <c r="H25" s="37">
        <f>8*0.459</f>
        <v>3.6720000000000002</v>
      </c>
      <c r="I25" s="37">
        <f t="shared" ref="I25:K26" si="18">1.2334*F25</f>
        <v>3.6015280000000001</v>
      </c>
      <c r="J25" s="37">
        <f t="shared" si="18"/>
        <v>4.2626303999999999</v>
      </c>
      <c r="K25" s="37">
        <f t="shared" si="18"/>
        <v>4.5290448000000003</v>
      </c>
      <c r="L25" s="38">
        <f t="shared" si="1"/>
        <v>4.1310677333333334</v>
      </c>
      <c r="M25" s="37">
        <f t="shared" si="2"/>
        <v>0.27571325987693174</v>
      </c>
      <c r="N25" s="37">
        <f t="shared" si="3"/>
        <v>1.2813581998554457</v>
      </c>
      <c r="O25" s="37">
        <f t="shared" si="4"/>
        <v>1.4498864345170646</v>
      </c>
      <c r="P25" s="37">
        <f t="shared" si="5"/>
        <v>1.5105110563334996</v>
      </c>
      <c r="Q25" s="38">
        <f t="shared" si="6"/>
        <v>1.41391856356867</v>
      </c>
      <c r="R25" s="37">
        <f t="shared" si="7"/>
        <v>6.8551741318591278E-2</v>
      </c>
      <c r="S25" s="37">
        <f t="shared" si="8"/>
        <v>-4.501782198372343E-3</v>
      </c>
      <c r="T25" s="37">
        <f t="shared" si="9"/>
        <v>6.1297736161377674E-3</v>
      </c>
      <c r="U25" s="37">
        <f t="shared" si="10"/>
        <v>1.5102567103781985E-3</v>
      </c>
      <c r="V25" s="38">
        <f t="shared" si="11"/>
        <v>1.0460827093812077E-3</v>
      </c>
      <c r="W25" s="37">
        <f t="shared" si="12"/>
        <v>3.077828665724269E-3</v>
      </c>
      <c r="X25" s="37">
        <f t="shared" si="13"/>
        <v>8.8381055214723937E-3</v>
      </c>
      <c r="Y25" s="37">
        <f t="shared" si="14"/>
        <v>1.0460442699386502E-2</v>
      </c>
      <c r="Z25" s="37">
        <f t="shared" si="15"/>
        <v>1.1114220368098161E-2</v>
      </c>
      <c r="AA25" s="38">
        <f t="shared" si="16"/>
        <v>1.0137589529652352E-2</v>
      </c>
      <c r="AB25" s="154">
        <f t="shared" si="17"/>
        <v>6.765969567532064E-4</v>
      </c>
    </row>
    <row r="26" spans="1:32" s="5" customFormat="1" thickBot="1" x14ac:dyDescent="0.2">
      <c r="A26" s="155"/>
      <c r="B26" s="42" t="s">
        <v>42</v>
      </c>
      <c r="C26" s="43">
        <v>0.47916666666666669</v>
      </c>
      <c r="D26" s="57">
        <f>D25+24.5</f>
        <v>432</v>
      </c>
      <c r="E26" s="44">
        <v>19</v>
      </c>
      <c r="F26" s="46">
        <f>8*0.388</f>
        <v>3.1040000000000001</v>
      </c>
      <c r="G26" s="47">
        <f>4*0.851</f>
        <v>3.4039999999999999</v>
      </c>
      <c r="H26" s="47">
        <f>4*0.945</f>
        <v>3.78</v>
      </c>
      <c r="I26" s="47">
        <f t="shared" si="18"/>
        <v>3.8284736000000001</v>
      </c>
      <c r="J26" s="47">
        <f t="shared" si="18"/>
        <v>4.1984935999999999</v>
      </c>
      <c r="K26" s="47">
        <f t="shared" si="18"/>
        <v>4.6622519999999996</v>
      </c>
      <c r="L26" s="48">
        <f t="shared" si="1"/>
        <v>4.2297397333333331</v>
      </c>
      <c r="M26" s="47">
        <f t="shared" si="2"/>
        <v>0.24119759929212475</v>
      </c>
      <c r="N26" s="47">
        <f t="shared" si="3"/>
        <v>1.3424661858962277</v>
      </c>
      <c r="O26" s="47">
        <f t="shared" si="4"/>
        <v>1.4347257942863831</v>
      </c>
      <c r="P26" s="47">
        <f t="shared" si="5"/>
        <v>1.5394985932067515</v>
      </c>
      <c r="Q26" s="48">
        <f t="shared" si="6"/>
        <v>1.438896857796454</v>
      </c>
      <c r="R26" s="47">
        <f t="shared" si="7"/>
        <v>5.6916578459908697E-2</v>
      </c>
      <c r="S26" s="47">
        <f t="shared" si="8"/>
        <v>2.4942035118686503E-3</v>
      </c>
      <c r="T26" s="47">
        <f t="shared" si="9"/>
        <v>-6.1880164206862948E-4</v>
      </c>
      <c r="U26" s="47">
        <f t="shared" si="10"/>
        <v>1.1831647703368143E-3</v>
      </c>
      <c r="V26" s="48">
        <f t="shared" si="11"/>
        <v>1.0195222133789451E-3</v>
      </c>
      <c r="W26" s="47">
        <f t="shared" si="12"/>
        <v>9.023643825982568E-4</v>
      </c>
      <c r="X26" s="47">
        <f t="shared" si="13"/>
        <v>8.8622074074074086E-3</v>
      </c>
      <c r="Y26" s="47">
        <f t="shared" si="14"/>
        <v>9.7187351851851858E-3</v>
      </c>
      <c r="Z26" s="47">
        <f t="shared" si="15"/>
        <v>1.079225E-2</v>
      </c>
      <c r="AA26" s="48">
        <f t="shared" si="16"/>
        <v>9.7910641975308653E-3</v>
      </c>
      <c r="AB26" s="156">
        <f t="shared" si="17"/>
        <v>5.5832777613917762E-4</v>
      </c>
    </row>
    <row r="27" spans="1:32" ht="15" thickBot="1" x14ac:dyDescent="0.2">
      <c r="B27" s="185" t="s">
        <v>64</v>
      </c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7"/>
    </row>
    <row r="28" spans="1:32" ht="60" x14ac:dyDescent="0.15">
      <c r="B28" s="22" t="s">
        <v>0</v>
      </c>
      <c r="C28" s="23" t="s">
        <v>1</v>
      </c>
      <c r="D28" s="24" t="s">
        <v>2</v>
      </c>
      <c r="E28" s="25" t="s">
        <v>3</v>
      </c>
      <c r="F28" s="180" t="s">
        <v>66</v>
      </c>
      <c r="G28" s="173"/>
      <c r="H28" s="174"/>
      <c r="I28" s="172" t="s">
        <v>16</v>
      </c>
      <c r="J28" s="173"/>
      <c r="K28" s="174"/>
      <c r="L28" s="26" t="s">
        <v>4</v>
      </c>
      <c r="M28" s="27" t="s">
        <v>67</v>
      </c>
      <c r="N28" s="172" t="s">
        <v>68</v>
      </c>
      <c r="O28" s="173"/>
      <c r="P28" s="174"/>
      <c r="Q28" s="27" t="s">
        <v>5</v>
      </c>
      <c r="R28" s="27" t="s">
        <v>56</v>
      </c>
      <c r="S28" s="170" t="s">
        <v>6</v>
      </c>
      <c r="T28" s="171"/>
      <c r="U28" s="171"/>
      <c r="V28" s="26" t="s">
        <v>57</v>
      </c>
      <c r="W28" s="26" t="s">
        <v>56</v>
      </c>
      <c r="X28" s="172" t="s">
        <v>58</v>
      </c>
      <c r="Y28" s="173"/>
      <c r="Z28" s="174"/>
      <c r="AA28" s="26" t="s">
        <v>59</v>
      </c>
      <c r="AB28" s="49" t="s">
        <v>56</v>
      </c>
    </row>
    <row r="29" spans="1:32" ht="15" customHeight="1" x14ac:dyDescent="0.15">
      <c r="B29" s="28"/>
      <c r="C29" s="29"/>
      <c r="D29" s="30"/>
      <c r="E29" s="31"/>
      <c r="F29" s="181" t="s">
        <v>19</v>
      </c>
      <c r="G29" s="182"/>
      <c r="H29" s="183"/>
      <c r="I29" s="184" t="s">
        <v>7</v>
      </c>
      <c r="J29" s="182"/>
      <c r="K29" s="183"/>
      <c r="L29" s="32" t="s">
        <v>7</v>
      </c>
      <c r="M29" s="32"/>
      <c r="N29" s="184" t="s">
        <v>7</v>
      </c>
      <c r="O29" s="182"/>
      <c r="P29" s="183"/>
      <c r="Q29" s="33"/>
      <c r="R29" s="33"/>
      <c r="S29" s="175" t="s">
        <v>60</v>
      </c>
      <c r="T29" s="176"/>
      <c r="U29" s="176"/>
      <c r="V29" s="32" t="s">
        <v>60</v>
      </c>
      <c r="W29" s="30"/>
      <c r="X29" s="177" t="s">
        <v>61</v>
      </c>
      <c r="Y29" s="178"/>
      <c r="Z29" s="179"/>
      <c r="AA29" s="51" t="s">
        <v>61</v>
      </c>
      <c r="AB29" s="52"/>
    </row>
    <row r="30" spans="1:32" s="5" customFormat="1" ht="13" x14ac:dyDescent="0.15">
      <c r="B30" s="188" t="s">
        <v>8</v>
      </c>
      <c r="C30" s="34">
        <v>0.52083333333333337</v>
      </c>
      <c r="D30" s="40">
        <v>0</v>
      </c>
      <c r="E30" s="190">
        <v>1</v>
      </c>
      <c r="F30" s="36">
        <v>0.114</v>
      </c>
      <c r="G30" s="37">
        <v>0.121</v>
      </c>
      <c r="H30" s="37">
        <v>0.11</v>
      </c>
      <c r="I30" s="37">
        <f t="shared" ref="I30:K49" si="19">1.2334*F30</f>
        <v>0.1406076</v>
      </c>
      <c r="J30" s="37">
        <f t="shared" si="19"/>
        <v>0.1492414</v>
      </c>
      <c r="K30" s="37">
        <f t="shared" si="19"/>
        <v>0.13567400000000002</v>
      </c>
      <c r="L30" s="38">
        <f t="shared" ref="L30:L51" si="20">AVERAGE(I30:K30)</f>
        <v>0.14184100000000002</v>
      </c>
      <c r="M30" s="37">
        <f>STDEV(I30:K30)/SQRT(3)</f>
        <v>3.9648262828695649E-3</v>
      </c>
      <c r="N30" s="37">
        <f t="shared" ref="N30:N51" si="21">LN(I30)</f>
        <v>-1.9617822470123862</v>
      </c>
      <c r="O30" s="37">
        <f t="shared" ref="O30:O51" si="22">LN(J30)</f>
        <v>-1.9021901498101406</v>
      </c>
      <c r="P30" s="37">
        <f t="shared" ref="P30:P51" si="23">LN(K30)</f>
        <v>-1.9975003296144653</v>
      </c>
      <c r="Q30" s="38">
        <f t="shared" ref="Q30:Q51" si="24">AVERAGE(N30:P30)</f>
        <v>-1.9538242421456642</v>
      </c>
      <c r="R30" s="37">
        <f>STDEV(N30:P30)/SQRT(3)</f>
        <v>2.7799909919981516E-2</v>
      </c>
      <c r="S30" s="37"/>
      <c r="T30" s="37"/>
      <c r="U30" s="157"/>
      <c r="V30" s="158"/>
      <c r="W30" s="157"/>
      <c r="X30" s="157"/>
      <c r="Y30" s="157"/>
      <c r="Z30" s="157"/>
      <c r="AA30" s="158"/>
      <c r="AB30" s="159"/>
      <c r="AC30" s="153"/>
      <c r="AD30" s="153"/>
      <c r="AE30" s="153"/>
      <c r="AF30" s="153"/>
    </row>
    <row r="31" spans="1:32" s="5" customFormat="1" ht="13" x14ac:dyDescent="0.15">
      <c r="B31" s="188"/>
      <c r="C31" s="34">
        <v>0.83333333333333337</v>
      </c>
      <c r="D31" s="40">
        <v>7.5</v>
      </c>
      <c r="E31" s="190"/>
      <c r="F31" s="36">
        <v>0.17299999999999999</v>
      </c>
      <c r="G31" s="37">
        <v>0.16800000000000001</v>
      </c>
      <c r="H31" s="37">
        <v>0.17399999999999999</v>
      </c>
      <c r="I31" s="37">
        <f t="shared" si="19"/>
        <v>0.21337819999999999</v>
      </c>
      <c r="J31" s="37">
        <f t="shared" si="19"/>
        <v>0.20721120000000001</v>
      </c>
      <c r="K31" s="37">
        <f t="shared" si="19"/>
        <v>0.21461159999999999</v>
      </c>
      <c r="L31" s="38">
        <f t="shared" si="20"/>
        <v>0.21173366666666668</v>
      </c>
      <c r="M31" s="37">
        <f t="shared" ref="M31:M50" si="25">STDEV(I31:K31)/SQRT(3)</f>
        <v>2.2890935217048415E-3</v>
      </c>
      <c r="N31" s="37">
        <f t="shared" si="21"/>
        <v>-1.5446891009091028</v>
      </c>
      <c r="O31" s="37">
        <f t="shared" si="22"/>
        <v>-1.5740167160036227</v>
      </c>
      <c r="P31" s="37">
        <f t="shared" si="23"/>
        <v>-1.5389253961923528</v>
      </c>
      <c r="Q31" s="38">
        <f t="shared" si="24"/>
        <v>-1.5525437377016926</v>
      </c>
      <c r="R31" s="37">
        <f t="shared" ref="R31:R51" si="26">STDEV(N31:P31)/SQRT(3)</f>
        <v>1.0864647116248745E-2</v>
      </c>
      <c r="S31" s="37">
        <f>(N31-N30)/(D31-D30)</f>
        <v>5.561241948043779E-2</v>
      </c>
      <c r="T31" s="37">
        <f>(O31-O30)/(D31-D30)</f>
        <v>4.3756457840869047E-2</v>
      </c>
      <c r="U31" s="37">
        <f>(P31-P30)/(D31-D30)</f>
        <v>6.1143324456281671E-2</v>
      </c>
      <c r="V31" s="38">
        <f>AVERAGE(S31:U31)</f>
        <v>5.3504067259196174E-2</v>
      </c>
      <c r="W31" s="37">
        <f>STDEV(S31:U31)/SQRT(3)</f>
        <v>5.128665989389063E-3</v>
      </c>
      <c r="X31" s="37">
        <f>I31/D31</f>
        <v>2.8450426666666664E-2</v>
      </c>
      <c r="Y31" s="37">
        <f>J31/D31</f>
        <v>2.7628160000000002E-2</v>
      </c>
      <c r="Z31" s="37">
        <f>K31/D31</f>
        <v>2.8614879999999999E-2</v>
      </c>
      <c r="AA31" s="38">
        <f>AVERAGE(X31:Z31)</f>
        <v>2.8231155555555554E-2</v>
      </c>
      <c r="AB31" s="154">
        <f>STDEV(X31:Z31)/SQRT(3)</f>
        <v>3.0521246956064527E-4</v>
      </c>
    </row>
    <row r="32" spans="1:32" s="5" customFormat="1" ht="13" x14ac:dyDescent="0.15">
      <c r="B32" s="189" t="s">
        <v>9</v>
      </c>
      <c r="C32" s="34">
        <v>0.4375</v>
      </c>
      <c r="D32" s="40">
        <f>D30+22</f>
        <v>22</v>
      </c>
      <c r="E32" s="190">
        <v>2</v>
      </c>
      <c r="F32" s="36">
        <v>0.22600000000000001</v>
      </c>
      <c r="G32" s="37">
        <v>0.23499999999999999</v>
      </c>
      <c r="H32" s="37">
        <v>0.23100000000000001</v>
      </c>
      <c r="I32" s="37">
        <f t="shared" si="19"/>
        <v>0.27874840000000001</v>
      </c>
      <c r="J32" s="37">
        <f t="shared" si="19"/>
        <v>0.28984900000000002</v>
      </c>
      <c r="K32" s="37">
        <f t="shared" si="19"/>
        <v>0.28491540000000004</v>
      </c>
      <c r="L32" s="38">
        <f t="shared" si="20"/>
        <v>0.28450426666666667</v>
      </c>
      <c r="M32" s="37">
        <f t="shared" si="25"/>
        <v>3.2110539834210947E-3</v>
      </c>
      <c r="N32" s="37">
        <f t="shared" si="21"/>
        <v>-1.2774456961345957</v>
      </c>
      <c r="O32" s="37">
        <f t="shared" si="22"/>
        <v>-1.2383951812627225</v>
      </c>
      <c r="P32" s="37">
        <f t="shared" si="23"/>
        <v>-1.255562984885088</v>
      </c>
      <c r="Q32" s="38">
        <f t="shared" si="24"/>
        <v>-1.2571346207608021</v>
      </c>
      <c r="R32" s="37">
        <f t="shared" si="26"/>
        <v>1.1300268543032808E-2</v>
      </c>
      <c r="S32" s="37">
        <f t="shared" ref="S32:S50" si="27">(N32-N31)/(D32-D31)</f>
        <v>1.8430579639621181E-2</v>
      </c>
      <c r="T32" s="37">
        <f t="shared" ref="T32:T51" si="28">(O32-O31)/(D32-D31)</f>
        <v>2.3146312740751736E-2</v>
      </c>
      <c r="U32" s="37">
        <f t="shared" ref="U32:U51" si="29">(P32-P31)/(D32-D31)</f>
        <v>1.9542235262569988E-2</v>
      </c>
      <c r="V32" s="38">
        <f t="shared" ref="V32:V51" si="30">AVERAGE(S32:U32)</f>
        <v>2.0373042547647633E-2</v>
      </c>
      <c r="W32" s="37">
        <f t="shared" ref="W32:W50" si="31">STDEV(S32:U32)/SQRT(3)</f>
        <v>1.4232843741358893E-3</v>
      </c>
      <c r="X32" s="37">
        <f t="shared" ref="X32:X51" si="32">I32/D32</f>
        <v>1.2670381818181819E-2</v>
      </c>
      <c r="Y32" s="37">
        <f t="shared" ref="Y32:Y51" si="33">J32/D32</f>
        <v>1.3174954545454547E-2</v>
      </c>
      <c r="Z32" s="37">
        <f t="shared" ref="Z32:Z51" si="34">K32/D32</f>
        <v>1.2950700000000002E-2</v>
      </c>
      <c r="AA32" s="38">
        <f t="shared" ref="AA32:AA51" si="35">AVERAGE(X32:Z32)</f>
        <v>1.2932012121212123E-2</v>
      </c>
      <c r="AB32" s="154">
        <f t="shared" ref="AB32:AB51" si="36">STDEV(X32:Z32)/SQRT(3)</f>
        <v>1.4595699924641343E-4</v>
      </c>
    </row>
    <row r="33" spans="2:28" s="5" customFormat="1" ht="15" customHeight="1" x14ac:dyDescent="0.15">
      <c r="B33" s="189"/>
      <c r="C33" s="34">
        <v>0.59722222222222221</v>
      </c>
      <c r="D33" s="40">
        <f>D32+4</f>
        <v>26</v>
      </c>
      <c r="E33" s="190"/>
      <c r="F33" s="36">
        <v>0.249</v>
      </c>
      <c r="G33" s="37">
        <v>0.26</v>
      </c>
      <c r="H33" s="37">
        <v>0.252</v>
      </c>
      <c r="I33" s="37">
        <f t="shared" si="19"/>
        <v>0.30711660000000002</v>
      </c>
      <c r="J33" s="37">
        <f t="shared" si="19"/>
        <v>0.32068400000000002</v>
      </c>
      <c r="K33" s="37">
        <f t="shared" si="19"/>
        <v>0.3108168</v>
      </c>
      <c r="L33" s="38">
        <f t="shared" si="20"/>
        <v>0.31287246666666668</v>
      </c>
      <c r="M33" s="37">
        <f t="shared" si="25"/>
        <v>4.0491937375784423E-3</v>
      </c>
      <c r="N33" s="37">
        <f t="shared" si="21"/>
        <v>-1.1805277989421741</v>
      </c>
      <c r="O33" s="37">
        <f t="shared" si="22"/>
        <v>-1.1372990643913539</v>
      </c>
      <c r="P33" s="37">
        <f t="shared" si="23"/>
        <v>-1.1685516078954583</v>
      </c>
      <c r="Q33" s="38">
        <f t="shared" si="24"/>
        <v>-1.1621261570763288</v>
      </c>
      <c r="R33" s="37">
        <f t="shared" si="26"/>
        <v>1.2885983165027403E-2</v>
      </c>
      <c r="S33" s="37">
        <f t="shared" si="27"/>
        <v>2.4229474298105402E-2</v>
      </c>
      <c r="T33" s="37">
        <f t="shared" si="28"/>
        <v>2.5274029217842164E-2</v>
      </c>
      <c r="U33" s="37">
        <f t="shared" si="29"/>
        <v>2.1752844247407421E-2</v>
      </c>
      <c r="V33" s="38">
        <f t="shared" si="30"/>
        <v>2.3752115921118328E-2</v>
      </c>
      <c r="W33" s="37">
        <f t="shared" si="31"/>
        <v>1.0441246994594214E-3</v>
      </c>
      <c r="X33" s="37">
        <f t="shared" si="32"/>
        <v>1.1812176923076925E-2</v>
      </c>
      <c r="Y33" s="37">
        <f t="shared" si="33"/>
        <v>1.2334000000000001E-2</v>
      </c>
      <c r="Z33" s="37">
        <f t="shared" si="34"/>
        <v>1.1954492307692308E-2</v>
      </c>
      <c r="AA33" s="38">
        <f t="shared" si="35"/>
        <v>1.2033556410256411E-2</v>
      </c>
      <c r="AB33" s="154">
        <f t="shared" si="36"/>
        <v>1.5573822067609382E-4</v>
      </c>
    </row>
    <row r="34" spans="2:28" s="5" customFormat="1" ht="13" x14ac:dyDescent="0.15">
      <c r="B34" s="189"/>
      <c r="C34" s="34">
        <v>0.80208333333333337</v>
      </c>
      <c r="D34" s="40">
        <f>D33+5</f>
        <v>31</v>
      </c>
      <c r="E34" s="190"/>
      <c r="F34" s="36">
        <v>0.29899999999999999</v>
      </c>
      <c r="G34" s="37">
        <v>0.28599999999999998</v>
      </c>
      <c r="H34" s="37">
        <v>0.308</v>
      </c>
      <c r="I34" s="37">
        <f t="shared" si="19"/>
        <v>0.36878660000000002</v>
      </c>
      <c r="J34" s="37">
        <f t="shared" si="19"/>
        <v>0.35275239999999997</v>
      </c>
      <c r="K34" s="37">
        <f t="shared" si="19"/>
        <v>0.37988720000000004</v>
      </c>
      <c r="L34" s="38">
        <f t="shared" si="20"/>
        <v>0.36714206666666666</v>
      </c>
      <c r="M34" s="37">
        <f t="shared" si="25"/>
        <v>7.8761816081426642E-3</v>
      </c>
      <c r="N34" s="37">
        <f t="shared" si="21"/>
        <v>-0.99753712201619515</v>
      </c>
      <c r="O34" s="37">
        <f t="shared" si="22"/>
        <v>-1.0419888845870291</v>
      </c>
      <c r="P34" s="37">
        <f t="shared" si="23"/>
        <v>-0.96788091243330709</v>
      </c>
      <c r="Q34" s="38">
        <f t="shared" si="24"/>
        <v>-1.0024689730121772</v>
      </c>
      <c r="R34" s="37">
        <f t="shared" si="26"/>
        <v>2.1534780007150724E-2</v>
      </c>
      <c r="S34" s="37">
        <f t="shared" si="27"/>
        <v>3.6598135385195782E-2</v>
      </c>
      <c r="T34" s="37">
        <f t="shared" si="28"/>
        <v>1.9062035960864955E-2</v>
      </c>
      <c r="U34" s="37">
        <f t="shared" si="29"/>
        <v>4.0134139092430243E-2</v>
      </c>
      <c r="V34" s="38">
        <f t="shared" si="30"/>
        <v>3.1931436812830331E-2</v>
      </c>
      <c r="W34" s="37">
        <f t="shared" si="31"/>
        <v>6.5151602505443386E-3</v>
      </c>
      <c r="X34" s="37">
        <f t="shared" si="32"/>
        <v>1.1896341935483872E-2</v>
      </c>
      <c r="Y34" s="37">
        <f t="shared" si="33"/>
        <v>1.1379109677419353E-2</v>
      </c>
      <c r="Z34" s="37">
        <f t="shared" si="34"/>
        <v>1.2254425806451615E-2</v>
      </c>
      <c r="AA34" s="38">
        <f t="shared" si="35"/>
        <v>1.1843292473118279E-2</v>
      </c>
      <c r="AB34" s="154">
        <f t="shared" si="36"/>
        <v>2.5407037445621534E-4</v>
      </c>
    </row>
    <row r="35" spans="2:28" s="5" customFormat="1" ht="15" customHeight="1" x14ac:dyDescent="0.15">
      <c r="B35" s="39" t="s">
        <v>10</v>
      </c>
      <c r="C35" s="34">
        <v>0.52083333333333337</v>
      </c>
      <c r="D35" s="40">
        <f>D30+48</f>
        <v>48</v>
      </c>
      <c r="E35" s="35">
        <v>3</v>
      </c>
      <c r="F35" s="36">
        <v>0.39200000000000002</v>
      </c>
      <c r="G35" s="37">
        <v>0.41099999999999998</v>
      </c>
      <c r="H35" s="37">
        <v>0.436</v>
      </c>
      <c r="I35" s="37">
        <f t="shared" si="19"/>
        <v>0.48349280000000006</v>
      </c>
      <c r="J35" s="37">
        <f t="shared" si="19"/>
        <v>0.50692740000000003</v>
      </c>
      <c r="K35" s="37">
        <f t="shared" si="19"/>
        <v>0.53776239999999997</v>
      </c>
      <c r="L35" s="38">
        <f t="shared" si="20"/>
        <v>0.50939420000000002</v>
      </c>
      <c r="M35" s="37">
        <f t="shared" si="25"/>
        <v>1.5714761613633617E-2</v>
      </c>
      <c r="N35" s="37">
        <f t="shared" si="21"/>
        <v>-0.72671885561641902</v>
      </c>
      <c r="O35" s="37">
        <f t="shared" si="22"/>
        <v>-0.67938748091064705</v>
      </c>
      <c r="P35" s="37">
        <f t="shared" si="23"/>
        <v>-0.62033845205784743</v>
      </c>
      <c r="Q35" s="38">
        <f t="shared" si="24"/>
        <v>-0.67548159619497117</v>
      </c>
      <c r="R35" s="37">
        <f t="shared" si="26"/>
        <v>3.0771412690354071E-2</v>
      </c>
      <c r="S35" s="37">
        <f t="shared" si="27"/>
        <v>1.5930486258810359E-2</v>
      </c>
      <c r="T35" s="37">
        <f t="shared" si="28"/>
        <v>2.1329494333904825E-2</v>
      </c>
      <c r="U35" s="37">
        <f t="shared" si="29"/>
        <v>2.0443674139732922E-2</v>
      </c>
      <c r="V35" s="38">
        <f t="shared" si="30"/>
        <v>1.92345515774827E-2</v>
      </c>
      <c r="W35" s="37">
        <f t="shared" si="31"/>
        <v>1.6717062218624334E-3</v>
      </c>
      <c r="X35" s="37">
        <f t="shared" si="32"/>
        <v>1.0072766666666668E-2</v>
      </c>
      <c r="Y35" s="37">
        <f t="shared" si="33"/>
        <v>1.0560987500000001E-2</v>
      </c>
      <c r="Z35" s="37">
        <f t="shared" si="34"/>
        <v>1.1203383333333332E-2</v>
      </c>
      <c r="AA35" s="38">
        <f t="shared" si="35"/>
        <v>1.0612379166666666E-2</v>
      </c>
      <c r="AB35" s="154">
        <f t="shared" si="36"/>
        <v>3.2739086695070003E-4</v>
      </c>
    </row>
    <row r="36" spans="2:28" s="5" customFormat="1" ht="13" x14ac:dyDescent="0.15">
      <c r="B36" s="39" t="s">
        <v>11</v>
      </c>
      <c r="C36" s="34">
        <v>0.54166666666666663</v>
      </c>
      <c r="D36" s="40">
        <f>D35+24.5</f>
        <v>72.5</v>
      </c>
      <c r="E36" s="35">
        <v>4</v>
      </c>
      <c r="F36" s="36">
        <v>0.60199999999999998</v>
      </c>
      <c r="G36" s="37">
        <v>0.625</v>
      </c>
      <c r="H36" s="37">
        <v>0.64600000000000002</v>
      </c>
      <c r="I36" s="37">
        <f t="shared" si="19"/>
        <v>0.74250680000000002</v>
      </c>
      <c r="J36" s="37">
        <f t="shared" si="19"/>
        <v>0.77087499999999998</v>
      </c>
      <c r="K36" s="37">
        <f t="shared" si="19"/>
        <v>0.79677640000000005</v>
      </c>
      <c r="L36" s="38">
        <f t="shared" si="20"/>
        <v>0.77005273333333335</v>
      </c>
      <c r="M36" s="37">
        <f t="shared" si="25"/>
        <v>1.5671677881806765E-2</v>
      </c>
      <c r="N36" s="37">
        <f t="shared" si="21"/>
        <v>-0.29772325009806061</v>
      </c>
      <c r="O36" s="37">
        <f t="shared" si="22"/>
        <v>-0.26022904567048022</v>
      </c>
      <c r="P36" s="37">
        <f t="shared" si="23"/>
        <v>-0.22718119162427974</v>
      </c>
      <c r="Q36" s="38">
        <f t="shared" si="24"/>
        <v>-0.26171116246427351</v>
      </c>
      <c r="R36" s="37">
        <f t="shared" si="26"/>
        <v>2.0377217720389165E-2</v>
      </c>
      <c r="S36" s="37">
        <f t="shared" si="27"/>
        <v>1.7510024715035037E-2</v>
      </c>
      <c r="T36" s="37">
        <f t="shared" si="28"/>
        <v>1.7108507560823136E-2</v>
      </c>
      <c r="U36" s="37">
        <f t="shared" si="29"/>
        <v>1.6047235119737456E-2</v>
      </c>
      <c r="V36" s="38">
        <f t="shared" si="30"/>
        <v>1.6888589131865212E-2</v>
      </c>
      <c r="W36" s="37">
        <f t="shared" si="31"/>
        <v>4.3635285285122452E-4</v>
      </c>
      <c r="X36" s="37">
        <f t="shared" si="32"/>
        <v>1.0241473103448277E-2</v>
      </c>
      <c r="Y36" s="37">
        <f t="shared" si="33"/>
        <v>1.0632758620689655E-2</v>
      </c>
      <c r="Z36" s="37">
        <f t="shared" si="34"/>
        <v>1.0990019310344828E-2</v>
      </c>
      <c r="AA36" s="38">
        <f t="shared" si="35"/>
        <v>1.0621417011494253E-2</v>
      </c>
      <c r="AB36" s="154">
        <f t="shared" si="36"/>
        <v>2.1616107423181718E-4</v>
      </c>
    </row>
    <row r="37" spans="2:28" s="5" customFormat="1" ht="13" x14ac:dyDescent="0.15">
      <c r="B37" s="39" t="s">
        <v>12</v>
      </c>
      <c r="C37" s="34">
        <v>0.45833333333333331</v>
      </c>
      <c r="D37" s="40">
        <f>D36+22</f>
        <v>94.5</v>
      </c>
      <c r="E37" s="35">
        <v>5</v>
      </c>
      <c r="F37" s="36">
        <v>0.89500000000000002</v>
      </c>
      <c r="G37" s="37">
        <v>0.80300000000000005</v>
      </c>
      <c r="H37" s="37">
        <v>0.96899999999999997</v>
      </c>
      <c r="I37" s="37">
        <f t="shared" si="19"/>
        <v>1.103893</v>
      </c>
      <c r="J37" s="37">
        <f t="shared" si="19"/>
        <v>0.99042020000000008</v>
      </c>
      <c r="K37" s="37">
        <f t="shared" si="19"/>
        <v>1.1951646</v>
      </c>
      <c r="L37" s="38">
        <f t="shared" si="20"/>
        <v>1.0964926000000002</v>
      </c>
      <c r="M37" s="37">
        <f t="shared" si="25"/>
        <v>5.9220328077893417E-2</v>
      </c>
      <c r="N37" s="37">
        <f t="shared" si="21"/>
        <v>9.8843022867973723E-2</v>
      </c>
      <c r="O37" s="37">
        <f t="shared" si="22"/>
        <v>-9.6259814601199079E-3</v>
      </c>
      <c r="P37" s="37">
        <f t="shared" si="23"/>
        <v>0.17828391648388459</v>
      </c>
      <c r="Q37" s="38">
        <f t="shared" si="24"/>
        <v>8.9166985963912801E-2</v>
      </c>
      <c r="R37" s="37">
        <f t="shared" si="26"/>
        <v>5.4460235352527656E-2</v>
      </c>
      <c r="S37" s="37">
        <f t="shared" si="27"/>
        <v>1.8025739680274287E-2</v>
      </c>
      <c r="T37" s="37">
        <f t="shared" si="28"/>
        <v>1.1391048373198197E-2</v>
      </c>
      <c r="U37" s="37">
        <f t="shared" si="29"/>
        <v>1.8430232186734744E-2</v>
      </c>
      <c r="V37" s="38">
        <f t="shared" si="30"/>
        <v>1.5949006746735741E-2</v>
      </c>
      <c r="W37" s="37">
        <f t="shared" si="31"/>
        <v>2.2819685907947578E-3</v>
      </c>
      <c r="X37" s="37">
        <f t="shared" si="32"/>
        <v>1.1681407407407408E-2</v>
      </c>
      <c r="Y37" s="37">
        <f t="shared" si="33"/>
        <v>1.0480637037037038E-2</v>
      </c>
      <c r="Z37" s="37">
        <f t="shared" si="34"/>
        <v>1.2647244444444445E-2</v>
      </c>
      <c r="AA37" s="38">
        <f t="shared" si="35"/>
        <v>1.1603096296296295E-2</v>
      </c>
      <c r="AB37" s="154">
        <f t="shared" si="36"/>
        <v>6.2667013839040684E-4</v>
      </c>
    </row>
    <row r="38" spans="2:28" s="5" customFormat="1" ht="13" x14ac:dyDescent="0.15">
      <c r="B38" s="39" t="s">
        <v>13</v>
      </c>
      <c r="C38" s="34">
        <v>0.4236111111111111</v>
      </c>
      <c r="D38" s="40">
        <f>D37+23</f>
        <v>117.5</v>
      </c>
      <c r="E38" s="35">
        <v>6</v>
      </c>
      <c r="F38" s="36">
        <f>2*0.623</f>
        <v>1.246</v>
      </c>
      <c r="G38" s="37">
        <f>2*0.498</f>
        <v>0.996</v>
      </c>
      <c r="H38" s="37">
        <v>1.258</v>
      </c>
      <c r="I38" s="37">
        <f t="shared" si="19"/>
        <v>1.5368164</v>
      </c>
      <c r="J38" s="37">
        <f t="shared" si="19"/>
        <v>1.2284664000000001</v>
      </c>
      <c r="K38" s="37">
        <f t="shared" si="19"/>
        <v>1.5516172000000001</v>
      </c>
      <c r="L38" s="38">
        <f t="shared" si="20"/>
        <v>1.4389666666666667</v>
      </c>
      <c r="M38" s="37">
        <f t="shared" si="25"/>
        <v>0.10533682107128749</v>
      </c>
      <c r="N38" s="37">
        <f t="shared" si="21"/>
        <v>0.42971300394051676</v>
      </c>
      <c r="O38" s="37">
        <f t="shared" si="22"/>
        <v>0.20576656217771663</v>
      </c>
      <c r="P38" s="37">
        <f t="shared" si="23"/>
        <v>0.43929774185350429</v>
      </c>
      <c r="Q38" s="38">
        <f t="shared" si="24"/>
        <v>0.35825910265724592</v>
      </c>
      <c r="R38" s="37">
        <f t="shared" si="26"/>
        <v>7.6296456834815993E-2</v>
      </c>
      <c r="S38" s="37">
        <f t="shared" si="27"/>
        <v>1.4385651350980133E-2</v>
      </c>
      <c r="T38" s="37">
        <f t="shared" si="28"/>
        <v>9.3648932016450678E-3</v>
      </c>
      <c r="U38" s="37">
        <f t="shared" si="29"/>
        <v>1.1348427189983466E-2</v>
      </c>
      <c r="V38" s="38">
        <f t="shared" si="30"/>
        <v>1.1699657247536223E-2</v>
      </c>
      <c r="W38" s="37">
        <f t="shared" si="31"/>
        <v>1.4599686085124118E-3</v>
      </c>
      <c r="X38" s="37">
        <f t="shared" si="32"/>
        <v>1.3079288510638297E-2</v>
      </c>
      <c r="Y38" s="37">
        <f t="shared" si="33"/>
        <v>1.0455033191489362E-2</v>
      </c>
      <c r="Z38" s="37">
        <f t="shared" si="34"/>
        <v>1.3205252765957447E-2</v>
      </c>
      <c r="AA38" s="38">
        <f t="shared" si="35"/>
        <v>1.2246524822695037E-2</v>
      </c>
      <c r="AB38" s="154">
        <f t="shared" si="36"/>
        <v>8.9648358358542586E-4</v>
      </c>
    </row>
    <row r="39" spans="2:28" s="5" customFormat="1" ht="13" x14ac:dyDescent="0.15">
      <c r="B39" s="39" t="s">
        <v>30</v>
      </c>
      <c r="C39" s="34">
        <v>0.43055555555555558</v>
      </c>
      <c r="D39" s="40">
        <f>24+D38</f>
        <v>141.5</v>
      </c>
      <c r="E39" s="35">
        <v>7</v>
      </c>
      <c r="F39" s="36">
        <f>2*0.9</f>
        <v>1.8</v>
      </c>
      <c r="G39" s="37">
        <f>2*0.677</f>
        <v>1.3540000000000001</v>
      </c>
      <c r="H39" s="37">
        <f>2*0.899</f>
        <v>1.798</v>
      </c>
      <c r="I39" s="37">
        <f t="shared" si="19"/>
        <v>2.2201200000000001</v>
      </c>
      <c r="J39" s="37">
        <f t="shared" si="19"/>
        <v>1.6700236000000002</v>
      </c>
      <c r="K39" s="37">
        <f t="shared" si="19"/>
        <v>2.2176532</v>
      </c>
      <c r="L39" s="38">
        <f t="shared" si="20"/>
        <v>2.0359322666666668</v>
      </c>
      <c r="M39" s="37">
        <f t="shared" si="25"/>
        <v>0.18295571917078093</v>
      </c>
      <c r="N39" s="37">
        <f t="shared" si="21"/>
        <v>0.79756124847737442</v>
      </c>
      <c r="O39" s="37">
        <f t="shared" si="22"/>
        <v>0.51283775806533871</v>
      </c>
      <c r="P39" s="37">
        <f t="shared" si="23"/>
        <v>0.79644951962468391</v>
      </c>
      <c r="Q39" s="38">
        <f t="shared" si="24"/>
        <v>0.70228284205579905</v>
      </c>
      <c r="R39" s="37">
        <f t="shared" si="26"/>
        <v>9.4723085660914724E-2</v>
      </c>
      <c r="S39" s="37">
        <f t="shared" si="27"/>
        <v>1.5327010189035735E-2</v>
      </c>
      <c r="T39" s="37">
        <f t="shared" si="28"/>
        <v>1.2794633161984254E-2</v>
      </c>
      <c r="U39" s="37">
        <f t="shared" si="29"/>
        <v>1.488132407379915E-2</v>
      </c>
      <c r="V39" s="38">
        <f t="shared" si="30"/>
        <v>1.4334322474939714E-2</v>
      </c>
      <c r="W39" s="37">
        <f t="shared" si="31"/>
        <v>7.8052149525186269E-4</v>
      </c>
      <c r="X39" s="37">
        <f t="shared" si="32"/>
        <v>1.5689893992932864E-2</v>
      </c>
      <c r="Y39" s="37">
        <f t="shared" si="33"/>
        <v>1.1802286925795054E-2</v>
      </c>
      <c r="Z39" s="37">
        <f t="shared" si="34"/>
        <v>1.5672460777385159E-2</v>
      </c>
      <c r="AA39" s="38">
        <f t="shared" si="35"/>
        <v>1.4388213898704358E-2</v>
      </c>
      <c r="AB39" s="154">
        <f t="shared" si="36"/>
        <v>1.2929732803588783E-3</v>
      </c>
    </row>
    <row r="40" spans="2:28" s="5" customFormat="1" ht="13" x14ac:dyDescent="0.15">
      <c r="B40" s="39" t="s">
        <v>31</v>
      </c>
      <c r="C40" s="34">
        <v>0.4826388888888889</v>
      </c>
      <c r="D40" s="40">
        <f>D39+25</f>
        <v>166.5</v>
      </c>
      <c r="E40" s="35">
        <v>8</v>
      </c>
      <c r="F40" s="36">
        <f>4*0.549</f>
        <v>2.1960000000000002</v>
      </c>
      <c r="G40" s="37">
        <f>4*0.495</f>
        <v>1.98</v>
      </c>
      <c r="H40" s="37">
        <f>2*1.011</f>
        <v>2.0219999999999998</v>
      </c>
      <c r="I40" s="37">
        <f t="shared" si="19"/>
        <v>2.7085464000000004</v>
      </c>
      <c r="J40" s="37">
        <f t="shared" si="19"/>
        <v>2.442132</v>
      </c>
      <c r="K40" s="37">
        <f t="shared" si="19"/>
        <v>2.4939347999999999</v>
      </c>
      <c r="L40" s="38">
        <f t="shared" si="20"/>
        <v>2.5482043999999999</v>
      </c>
      <c r="M40" s="37">
        <f t="shared" si="25"/>
        <v>8.1553765997163019E-2</v>
      </c>
      <c r="N40" s="37">
        <f t="shared" si="21"/>
        <v>0.9964121072225397</v>
      </c>
      <c r="O40" s="37">
        <f t="shared" si="22"/>
        <v>0.8928714282816993</v>
      </c>
      <c r="P40" s="37">
        <f t="shared" si="23"/>
        <v>0.91386170417353507</v>
      </c>
      <c r="Q40" s="38">
        <f t="shared" si="24"/>
        <v>0.9343817465592581</v>
      </c>
      <c r="R40" s="37">
        <f t="shared" si="26"/>
        <v>3.1601540856507022E-2</v>
      </c>
      <c r="S40" s="37">
        <f t="shared" si="27"/>
        <v>7.9540343498066112E-3</v>
      </c>
      <c r="T40" s="37">
        <f t="shared" si="28"/>
        <v>1.5201346808654424E-2</v>
      </c>
      <c r="U40" s="37">
        <f t="shared" si="29"/>
        <v>4.6964873819540466E-3</v>
      </c>
      <c r="V40" s="38">
        <f t="shared" si="30"/>
        <v>9.2839561801383603E-3</v>
      </c>
      <c r="W40" s="37">
        <f t="shared" si="31"/>
        <v>3.1045416704015344E-3</v>
      </c>
      <c r="X40" s="37">
        <f t="shared" si="32"/>
        <v>1.6267545945945948E-2</v>
      </c>
      <c r="Y40" s="37">
        <f t="shared" si="33"/>
        <v>1.4667459459459459E-2</v>
      </c>
      <c r="Z40" s="37">
        <f t="shared" si="34"/>
        <v>1.4978587387387388E-2</v>
      </c>
      <c r="AA40" s="38">
        <f t="shared" si="35"/>
        <v>1.5304530930930932E-2</v>
      </c>
      <c r="AB40" s="154">
        <f t="shared" si="36"/>
        <v>4.8981240839136928E-4</v>
      </c>
    </row>
    <row r="41" spans="2:28" s="5" customFormat="1" ht="13" x14ac:dyDescent="0.15">
      <c r="B41" s="39" t="s">
        <v>32</v>
      </c>
      <c r="C41" s="34">
        <v>0.52083333333333337</v>
      </c>
      <c r="D41" s="40">
        <f>D40+25</f>
        <v>191.5</v>
      </c>
      <c r="E41" s="35">
        <v>9</v>
      </c>
      <c r="F41" s="36">
        <f>4*0.542</f>
        <v>2.1680000000000001</v>
      </c>
      <c r="G41" s="37">
        <f>4*0.504</f>
        <v>2.016</v>
      </c>
      <c r="H41" s="37">
        <f>4*0.633</f>
        <v>2.532</v>
      </c>
      <c r="I41" s="37">
        <f t="shared" si="19"/>
        <v>2.6740112000000003</v>
      </c>
      <c r="J41" s="37">
        <f t="shared" si="19"/>
        <v>2.4865344</v>
      </c>
      <c r="K41" s="37">
        <f t="shared" si="19"/>
        <v>3.1229688000000002</v>
      </c>
      <c r="L41" s="38">
        <f t="shared" si="20"/>
        <v>2.7611714666666671</v>
      </c>
      <c r="M41" s="37">
        <f t="shared" si="25"/>
        <v>0.18882078843874986</v>
      </c>
      <c r="N41" s="37">
        <f t="shared" si="21"/>
        <v>0.98357966715265521</v>
      </c>
      <c r="O41" s="37">
        <f t="shared" si="22"/>
        <v>0.91088993378437755</v>
      </c>
      <c r="P41" s="37">
        <f t="shared" si="23"/>
        <v>1.1387840878571851</v>
      </c>
      <c r="Q41" s="38">
        <f t="shared" si="24"/>
        <v>1.011084562931406</v>
      </c>
      <c r="R41" s="37">
        <f t="shared" si="26"/>
        <v>6.7209438409571845E-2</v>
      </c>
      <c r="S41" s="37">
        <f t="shared" si="27"/>
        <v>-5.1329760279537949E-4</v>
      </c>
      <c r="T41" s="37">
        <f t="shared" si="28"/>
        <v>7.2074022010712999E-4</v>
      </c>
      <c r="U41" s="37">
        <f t="shared" si="29"/>
        <v>8.9968953473460005E-3</v>
      </c>
      <c r="V41" s="38">
        <f t="shared" si="30"/>
        <v>3.0681126548859172E-3</v>
      </c>
      <c r="W41" s="37">
        <f t="shared" si="31"/>
        <v>2.9857193716031636E-3</v>
      </c>
      <c r="X41" s="37">
        <f t="shared" si="32"/>
        <v>1.396350496083551E-2</v>
      </c>
      <c r="Y41" s="37">
        <f t="shared" si="33"/>
        <v>1.2984513838120104E-2</v>
      </c>
      <c r="Z41" s="37">
        <f t="shared" si="34"/>
        <v>1.6307931070496086E-2</v>
      </c>
      <c r="AA41" s="38">
        <f t="shared" si="35"/>
        <v>1.4418649956483899E-2</v>
      </c>
      <c r="AB41" s="154">
        <f t="shared" si="36"/>
        <v>9.8600933910574385E-4</v>
      </c>
    </row>
    <row r="42" spans="2:28" s="5" customFormat="1" ht="13" x14ac:dyDescent="0.15">
      <c r="B42" s="39" t="s">
        <v>33</v>
      </c>
      <c r="C42" s="34">
        <v>0.46527777777777773</v>
      </c>
      <c r="D42" s="40">
        <f>D41+22.5</f>
        <v>214</v>
      </c>
      <c r="E42" s="35">
        <v>10</v>
      </c>
      <c r="F42" s="36">
        <f>2*1.365</f>
        <v>2.73</v>
      </c>
      <c r="G42" s="37">
        <f>4*0.552</f>
        <v>2.2080000000000002</v>
      </c>
      <c r="H42" s="37">
        <f>4*0.7</f>
        <v>2.8</v>
      </c>
      <c r="I42" s="37">
        <f t="shared" si="19"/>
        <v>3.3671820000000001</v>
      </c>
      <c r="J42" s="37">
        <f t="shared" si="19"/>
        <v>2.7233472000000005</v>
      </c>
      <c r="K42" s="37">
        <f t="shared" si="19"/>
        <v>3.4535200000000001</v>
      </c>
      <c r="L42" s="38">
        <f t="shared" si="20"/>
        <v>3.1813497333333332</v>
      </c>
      <c r="M42" s="37">
        <f t="shared" si="25"/>
        <v>0.23035357096271095</v>
      </c>
      <c r="N42" s="37">
        <f t="shared" si="21"/>
        <v>1.2140761927721238</v>
      </c>
      <c r="O42" s="37">
        <f t="shared" si="22"/>
        <v>1.0018617119901045</v>
      </c>
      <c r="P42" s="37">
        <f t="shared" si="23"/>
        <v>1.2393940007564137</v>
      </c>
      <c r="Q42" s="38">
        <f t="shared" si="24"/>
        <v>1.1517773018395472</v>
      </c>
      <c r="R42" s="37">
        <f t="shared" si="26"/>
        <v>7.5313258926106116E-2</v>
      </c>
      <c r="S42" s="37">
        <f t="shared" si="27"/>
        <v>1.0244290027531935E-2</v>
      </c>
      <c r="T42" s="37">
        <f t="shared" si="28"/>
        <v>4.0431901424767555E-3</v>
      </c>
      <c r="U42" s="37">
        <f t="shared" si="29"/>
        <v>4.4715516844101603E-3</v>
      </c>
      <c r="V42" s="38">
        <f t="shared" si="30"/>
        <v>6.2530106181396166E-3</v>
      </c>
      <c r="W42" s="37">
        <f t="shared" si="31"/>
        <v>1.9994671703173991E-3</v>
      </c>
      <c r="X42" s="37">
        <f t="shared" si="32"/>
        <v>1.5734495327102804E-2</v>
      </c>
      <c r="Y42" s="37">
        <f t="shared" si="33"/>
        <v>1.2725921495327105E-2</v>
      </c>
      <c r="Z42" s="37">
        <f t="shared" si="34"/>
        <v>1.6137943925233645E-2</v>
      </c>
      <c r="AA42" s="38">
        <f t="shared" si="35"/>
        <v>1.4866120249221187E-2</v>
      </c>
      <c r="AB42" s="154">
        <f t="shared" si="36"/>
        <v>1.0764185559005016E-3</v>
      </c>
    </row>
    <row r="43" spans="2:28" s="5" customFormat="1" ht="13" x14ac:dyDescent="0.15">
      <c r="B43" s="39" t="s">
        <v>34</v>
      </c>
      <c r="C43" s="34">
        <v>0.42152777777777778</v>
      </c>
      <c r="D43" s="40">
        <f>23+D42</f>
        <v>237</v>
      </c>
      <c r="E43" s="35">
        <v>11</v>
      </c>
      <c r="F43" s="36">
        <f>4*0.738</f>
        <v>2.952</v>
      </c>
      <c r="G43" s="37">
        <f>8*0.292</f>
        <v>2.3359999999999999</v>
      </c>
      <c r="H43" s="37">
        <f>4*0.693</f>
        <v>2.7719999999999998</v>
      </c>
      <c r="I43" s="37">
        <f t="shared" si="19"/>
        <v>3.6409967999999999</v>
      </c>
      <c r="J43" s="37">
        <f t="shared" si="19"/>
        <v>2.8812224</v>
      </c>
      <c r="K43" s="37">
        <f t="shared" si="19"/>
        <v>3.4189848</v>
      </c>
      <c r="L43" s="38">
        <f t="shared" si="20"/>
        <v>3.3137346666666669</v>
      </c>
      <c r="M43" s="37">
        <f t="shared" si="25"/>
        <v>0.22555300755317909</v>
      </c>
      <c r="N43" s="37">
        <f t="shared" si="21"/>
        <v>1.2922574903134814</v>
      </c>
      <c r="O43" s="37">
        <f t="shared" si="22"/>
        <v>1.058214648541236</v>
      </c>
      <c r="P43" s="37">
        <f t="shared" si="23"/>
        <v>1.2293436649029121</v>
      </c>
      <c r="Q43" s="38">
        <f t="shared" si="24"/>
        <v>1.1932719345858764</v>
      </c>
      <c r="R43" s="37">
        <f t="shared" si="26"/>
        <v>6.9928273352666576E-2</v>
      </c>
      <c r="S43" s="37">
        <f t="shared" si="27"/>
        <v>3.399186849624244E-3</v>
      </c>
      <c r="T43" s="37">
        <f t="shared" si="28"/>
        <v>2.4501276761361517E-3</v>
      </c>
      <c r="U43" s="37">
        <f t="shared" si="29"/>
        <v>-4.3697112406528558E-4</v>
      </c>
      <c r="V43" s="38">
        <f t="shared" si="30"/>
        <v>1.8041144672317035E-3</v>
      </c>
      <c r="W43" s="37">
        <f t="shared" si="31"/>
        <v>1.1535491319307712E-3</v>
      </c>
      <c r="X43" s="37">
        <f t="shared" si="32"/>
        <v>1.5362855696202531E-2</v>
      </c>
      <c r="Y43" s="37">
        <f t="shared" si="33"/>
        <v>1.2157056540084388E-2</v>
      </c>
      <c r="Z43" s="37">
        <f t="shared" si="34"/>
        <v>1.4426096202531645E-2</v>
      </c>
      <c r="AA43" s="38">
        <f t="shared" si="35"/>
        <v>1.3982002812939522E-2</v>
      </c>
      <c r="AB43" s="154">
        <f t="shared" si="36"/>
        <v>9.5170045381088198E-4</v>
      </c>
    </row>
    <row r="44" spans="2:28" s="5" customFormat="1" ht="13" x14ac:dyDescent="0.15">
      <c r="B44" s="39" t="s">
        <v>35</v>
      </c>
      <c r="C44" s="34">
        <v>0.4291666666666667</v>
      </c>
      <c r="D44" s="40">
        <f>24+D43</f>
        <v>261</v>
      </c>
      <c r="E44" s="35">
        <v>12</v>
      </c>
      <c r="F44" s="36">
        <f>4*0.708</f>
        <v>2.8319999999999999</v>
      </c>
      <c r="G44" s="37">
        <f>4*0.688</f>
        <v>2.7519999999999998</v>
      </c>
      <c r="H44" s="37">
        <f>4*0.756</f>
        <v>3.024</v>
      </c>
      <c r="I44" s="37">
        <f t="shared" si="19"/>
        <v>3.4929888</v>
      </c>
      <c r="J44" s="37">
        <f t="shared" si="19"/>
        <v>3.3943167999999999</v>
      </c>
      <c r="K44" s="37">
        <f t="shared" si="19"/>
        <v>3.7298016000000001</v>
      </c>
      <c r="L44" s="38">
        <f t="shared" si="20"/>
        <v>3.5390357333333333</v>
      </c>
      <c r="M44" s="37">
        <f t="shared" si="25"/>
        <v>9.9545220561333095E-2</v>
      </c>
      <c r="N44" s="37">
        <f t="shared" si="21"/>
        <v>1.2507577594067287</v>
      </c>
      <c r="O44" s="37">
        <f t="shared" si="22"/>
        <v>1.2221025036463526</v>
      </c>
      <c r="P44" s="37">
        <f t="shared" si="23"/>
        <v>1.316355041892542</v>
      </c>
      <c r="Q44" s="38">
        <f t="shared" si="24"/>
        <v>1.2630717683152077</v>
      </c>
      <c r="R44" s="37">
        <f t="shared" si="26"/>
        <v>2.7896304134006272E-2</v>
      </c>
      <c r="S44" s="37">
        <f t="shared" si="27"/>
        <v>-1.7291554544480263E-3</v>
      </c>
      <c r="T44" s="37">
        <f t="shared" si="28"/>
        <v>6.8286606293798584E-3</v>
      </c>
      <c r="U44" s="37">
        <f t="shared" si="29"/>
        <v>3.6254740412345796E-3</v>
      </c>
      <c r="V44" s="38">
        <f t="shared" si="30"/>
        <v>2.9083264053888038E-3</v>
      </c>
      <c r="W44" s="37">
        <f t="shared" si="31"/>
        <v>2.4963159241740748E-3</v>
      </c>
      <c r="X44" s="37">
        <f t="shared" si="32"/>
        <v>1.3383098850574713E-2</v>
      </c>
      <c r="Y44" s="37">
        <f t="shared" si="33"/>
        <v>1.300504521072797E-2</v>
      </c>
      <c r="Z44" s="37">
        <f t="shared" si="34"/>
        <v>1.4290427586206897E-2</v>
      </c>
      <c r="AA44" s="38">
        <f t="shared" si="35"/>
        <v>1.3559523882503192E-2</v>
      </c>
      <c r="AB44" s="154">
        <f t="shared" si="36"/>
        <v>3.81399312495529E-4</v>
      </c>
    </row>
    <row r="45" spans="2:28" s="5" customFormat="1" ht="13" x14ac:dyDescent="0.15">
      <c r="B45" s="39" t="s">
        <v>36</v>
      </c>
      <c r="C45" s="34">
        <v>0.4236111111111111</v>
      </c>
      <c r="D45" s="40">
        <f>24+D44</f>
        <v>285</v>
      </c>
      <c r="E45" s="35">
        <v>13</v>
      </c>
      <c r="F45" s="36">
        <f>8*0.364</f>
        <v>2.9119999999999999</v>
      </c>
      <c r="G45" s="37">
        <f>8*0.379</f>
        <v>3.032</v>
      </c>
      <c r="H45" s="37">
        <f>8*0.395</f>
        <v>3.16</v>
      </c>
      <c r="I45" s="37">
        <f t="shared" si="19"/>
        <v>3.5916608000000001</v>
      </c>
      <c r="J45" s="37">
        <f t="shared" si="19"/>
        <v>3.7396688</v>
      </c>
      <c r="K45" s="37">
        <f t="shared" si="19"/>
        <v>3.8975440000000003</v>
      </c>
      <c r="L45" s="38">
        <f t="shared" si="20"/>
        <v>3.7429578666666665</v>
      </c>
      <c r="M45" s="37">
        <f t="shared" si="25"/>
        <v>8.8316186663248711E-2</v>
      </c>
      <c r="N45" s="37">
        <f t="shared" si="21"/>
        <v>1.2786147139096951</v>
      </c>
      <c r="O45" s="37">
        <f t="shared" si="22"/>
        <v>1.3189970513553806</v>
      </c>
      <c r="P45" s="37">
        <f t="shared" si="23"/>
        <v>1.3603466111740763</v>
      </c>
      <c r="Q45" s="38">
        <f t="shared" si="24"/>
        <v>1.3193194588130508</v>
      </c>
      <c r="R45" s="37">
        <f t="shared" si="26"/>
        <v>2.3594517142303865E-2</v>
      </c>
      <c r="S45" s="37">
        <f t="shared" si="27"/>
        <v>1.1607064376235969E-3</v>
      </c>
      <c r="T45" s="37">
        <f t="shared" si="28"/>
        <v>4.0372728212094977E-3</v>
      </c>
      <c r="U45" s="37">
        <f t="shared" si="29"/>
        <v>1.8329820533972603E-3</v>
      </c>
      <c r="V45" s="38">
        <f t="shared" si="30"/>
        <v>2.3436537707434515E-3</v>
      </c>
      <c r="W45" s="37">
        <f t="shared" si="31"/>
        <v>8.6876305591476787E-4</v>
      </c>
      <c r="X45" s="37">
        <f t="shared" si="32"/>
        <v>1.2602318596491229E-2</v>
      </c>
      <c r="Y45" s="37">
        <f t="shared" si="33"/>
        <v>1.3121644912280702E-2</v>
      </c>
      <c r="Z45" s="37">
        <f t="shared" si="34"/>
        <v>1.3675592982456141E-2</v>
      </c>
      <c r="AA45" s="38">
        <f t="shared" si="35"/>
        <v>1.3133185497076025E-2</v>
      </c>
      <c r="AB45" s="154">
        <f t="shared" si="36"/>
        <v>3.0988135671315302E-4</v>
      </c>
    </row>
    <row r="46" spans="2:28" s="5" customFormat="1" ht="13" x14ac:dyDescent="0.15">
      <c r="B46" s="41" t="s">
        <v>37</v>
      </c>
      <c r="C46" s="34">
        <v>0.38541666666666669</v>
      </c>
      <c r="D46" s="40">
        <f>23+D45</f>
        <v>308</v>
      </c>
      <c r="E46" s="35">
        <v>14</v>
      </c>
      <c r="F46" s="36">
        <f>8*0.388</f>
        <v>3.1040000000000001</v>
      </c>
      <c r="G46" s="37">
        <f>8*0.372</f>
        <v>2.976</v>
      </c>
      <c r="H46" s="37">
        <f>8*0.397</f>
        <v>3.1760000000000002</v>
      </c>
      <c r="I46" s="37">
        <f t="shared" si="19"/>
        <v>3.8284736000000001</v>
      </c>
      <c r="J46" s="37">
        <f t="shared" si="19"/>
        <v>3.6705984000000003</v>
      </c>
      <c r="K46" s="37">
        <f t="shared" si="19"/>
        <v>3.9172784000000003</v>
      </c>
      <c r="L46" s="38">
        <f t="shared" si="20"/>
        <v>3.8054501333333337</v>
      </c>
      <c r="M46" s="37">
        <f t="shared" si="25"/>
        <v>7.2134863538174873E-2</v>
      </c>
      <c r="N46" s="37">
        <f t="shared" si="21"/>
        <v>1.3424661858962277</v>
      </c>
      <c r="O46" s="37">
        <f t="shared" si="22"/>
        <v>1.3003547005461009</v>
      </c>
      <c r="P46" s="37">
        <f t="shared" si="23"/>
        <v>1.3653971269601448</v>
      </c>
      <c r="Q46" s="38">
        <f t="shared" si="24"/>
        <v>1.3360726711341577</v>
      </c>
      <c r="R46" s="37">
        <f t="shared" si="26"/>
        <v>1.9046321444627073E-2</v>
      </c>
      <c r="S46" s="37">
        <f t="shared" si="27"/>
        <v>2.7761509559362011E-3</v>
      </c>
      <c r="T46" s="37">
        <f t="shared" si="28"/>
        <v>-8.1053699170781184E-4</v>
      </c>
      <c r="U46" s="37">
        <f t="shared" si="29"/>
        <v>2.1958764287254441E-4</v>
      </c>
      <c r="V46" s="38">
        <f t="shared" si="30"/>
        <v>7.2840053570031118E-4</v>
      </c>
      <c r="W46" s="37">
        <f t="shared" si="31"/>
        <v>1.066184869581651E-3</v>
      </c>
      <c r="X46" s="37">
        <f t="shared" si="32"/>
        <v>1.2430109090909091E-2</v>
      </c>
      <c r="Y46" s="37">
        <f t="shared" si="33"/>
        <v>1.1917527272727274E-2</v>
      </c>
      <c r="Z46" s="37">
        <f t="shared" si="34"/>
        <v>1.2718436363636364E-2</v>
      </c>
      <c r="AA46" s="38">
        <f t="shared" si="35"/>
        <v>1.2355357575757576E-2</v>
      </c>
      <c r="AB46" s="154">
        <f t="shared" si="36"/>
        <v>2.3420410239667139E-4</v>
      </c>
    </row>
    <row r="47" spans="2:28" s="5" customFormat="1" ht="13" x14ac:dyDescent="0.15">
      <c r="B47" s="41" t="s">
        <v>38</v>
      </c>
      <c r="C47" s="34">
        <v>0.48333333333333334</v>
      </c>
      <c r="D47" s="40">
        <f>2.5+24+D46</f>
        <v>334.5</v>
      </c>
      <c r="E47" s="35">
        <v>15</v>
      </c>
      <c r="F47" s="36">
        <f>8*0.399</f>
        <v>3.1920000000000002</v>
      </c>
      <c r="G47" s="37">
        <f>8*0.389</f>
        <v>3.1120000000000001</v>
      </c>
      <c r="H47" s="37">
        <f>8*0.405</f>
        <v>3.24</v>
      </c>
      <c r="I47" s="37">
        <f t="shared" si="19"/>
        <v>3.9370128000000002</v>
      </c>
      <c r="J47" s="37">
        <f t="shared" si="19"/>
        <v>3.8383408000000001</v>
      </c>
      <c r="K47" s="37">
        <f t="shared" si="19"/>
        <v>3.9962160000000004</v>
      </c>
      <c r="L47" s="38">
        <f t="shared" si="20"/>
        <v>3.9238565333333337</v>
      </c>
      <c r="M47" s="37">
        <f t="shared" si="25"/>
        <v>4.6046933333333422E-2</v>
      </c>
      <c r="N47" s="37">
        <f t="shared" si="21"/>
        <v>1.3704222631628178</v>
      </c>
      <c r="O47" s="37">
        <f t="shared" si="22"/>
        <v>1.3450401898914006</v>
      </c>
      <c r="P47" s="37">
        <f t="shared" si="23"/>
        <v>1.3853479133794935</v>
      </c>
      <c r="Q47" s="38">
        <f t="shared" si="24"/>
        <v>1.3669367888112374</v>
      </c>
      <c r="R47" s="37">
        <f t="shared" si="26"/>
        <v>1.1765621414241612E-2</v>
      </c>
      <c r="S47" s="37">
        <f t="shared" si="27"/>
        <v>1.0549463119467965E-3</v>
      </c>
      <c r="T47" s="37">
        <f t="shared" si="28"/>
        <v>1.6862448809547056E-3</v>
      </c>
      <c r="U47" s="37">
        <f t="shared" si="29"/>
        <v>7.5285986488108172E-4</v>
      </c>
      <c r="V47" s="38">
        <f t="shared" si="30"/>
        <v>1.164683685927528E-3</v>
      </c>
      <c r="W47" s="37">
        <f t="shared" si="31"/>
        <v>2.7497491733721822E-4</v>
      </c>
      <c r="X47" s="37">
        <f t="shared" si="32"/>
        <v>1.1769843946188342E-2</v>
      </c>
      <c r="Y47" s="37">
        <f t="shared" si="33"/>
        <v>1.1474860388639761E-2</v>
      </c>
      <c r="Z47" s="37">
        <f t="shared" si="34"/>
        <v>1.194683408071749E-2</v>
      </c>
      <c r="AA47" s="38">
        <f t="shared" si="35"/>
        <v>1.1730512805181864E-2</v>
      </c>
      <c r="AB47" s="154">
        <f t="shared" si="36"/>
        <v>1.3765899352267096E-4</v>
      </c>
    </row>
    <row r="48" spans="2:28" s="5" customFormat="1" ht="13" x14ac:dyDescent="0.15">
      <c r="B48" s="41" t="s">
        <v>39</v>
      </c>
      <c r="C48" s="34">
        <v>0.52083333333333337</v>
      </c>
      <c r="D48" s="40">
        <f>48+3+D46</f>
        <v>359</v>
      </c>
      <c r="E48" s="35">
        <v>16</v>
      </c>
      <c r="F48" s="36">
        <f>4*0.805</f>
        <v>3.22</v>
      </c>
      <c r="G48" s="37">
        <f>4*0.895</f>
        <v>3.58</v>
      </c>
      <c r="H48" s="37">
        <f>4*0.835</f>
        <v>3.34</v>
      </c>
      <c r="I48" s="37">
        <f t="shared" si="19"/>
        <v>3.9715480000000003</v>
      </c>
      <c r="J48" s="37">
        <f t="shared" si="19"/>
        <v>4.4155720000000001</v>
      </c>
      <c r="K48" s="37">
        <f t="shared" si="19"/>
        <v>4.1195560000000002</v>
      </c>
      <c r="L48" s="38">
        <f t="shared" si="20"/>
        <v>4.1688919999999996</v>
      </c>
      <c r="M48" s="37">
        <f t="shared" si="25"/>
        <v>0.13053078668268259</v>
      </c>
      <c r="N48" s="37">
        <f t="shared" si="21"/>
        <v>1.3791559431315723</v>
      </c>
      <c r="O48" s="37">
        <f t="shared" si="22"/>
        <v>1.4851373839878643</v>
      </c>
      <c r="P48" s="37">
        <f t="shared" si="23"/>
        <v>1.4157453905638644</v>
      </c>
      <c r="Q48" s="38">
        <f t="shared" si="24"/>
        <v>1.4266795725611001</v>
      </c>
      <c r="R48" s="37">
        <f t="shared" si="26"/>
        <v>3.1078844377139897E-2</v>
      </c>
      <c r="S48" s="37">
        <f t="shared" si="27"/>
        <v>3.5647673341855163E-4</v>
      </c>
      <c r="T48" s="37">
        <f t="shared" si="28"/>
        <v>5.7182528202638248E-3</v>
      </c>
      <c r="U48" s="37">
        <f t="shared" si="29"/>
        <v>1.2407133544641189E-3</v>
      </c>
      <c r="V48" s="38">
        <f t="shared" si="30"/>
        <v>2.4384809693821651E-3</v>
      </c>
      <c r="W48" s="37">
        <f t="shared" si="31"/>
        <v>1.6596331066309311E-3</v>
      </c>
      <c r="X48" s="37">
        <f t="shared" si="32"/>
        <v>1.1062807799442898E-2</v>
      </c>
      <c r="Y48" s="37">
        <f t="shared" si="33"/>
        <v>1.2299643454038998E-2</v>
      </c>
      <c r="Z48" s="37">
        <f t="shared" si="34"/>
        <v>1.147508635097493E-2</v>
      </c>
      <c r="AA48" s="38">
        <f t="shared" si="35"/>
        <v>1.1612512534818943E-2</v>
      </c>
      <c r="AB48" s="154">
        <f t="shared" si="36"/>
        <v>3.635955060798959E-4</v>
      </c>
    </row>
    <row r="49" spans="2:28" s="5" customFormat="1" ht="13" x14ac:dyDescent="0.15">
      <c r="B49" s="41" t="s">
        <v>40</v>
      </c>
      <c r="C49" s="34">
        <v>0.53472222222222221</v>
      </c>
      <c r="D49" s="40">
        <f>D48+24</f>
        <v>383</v>
      </c>
      <c r="E49" s="35">
        <v>17</v>
      </c>
      <c r="F49" s="36">
        <f>4*0.856</f>
        <v>3.4239999999999999</v>
      </c>
      <c r="G49" s="37">
        <f>4*0.804</f>
        <v>3.2160000000000002</v>
      </c>
      <c r="H49" s="37">
        <f>4*0.942</f>
        <v>3.7679999999999998</v>
      </c>
      <c r="I49" s="37">
        <f t="shared" si="19"/>
        <v>4.2231616000000001</v>
      </c>
      <c r="J49" s="37">
        <f t="shared" si="19"/>
        <v>3.9666144000000005</v>
      </c>
      <c r="K49" s="37">
        <f t="shared" si="19"/>
        <v>4.6474511999999999</v>
      </c>
      <c r="L49" s="38">
        <f t="shared" si="20"/>
        <v>4.2790757333333334</v>
      </c>
      <c r="M49" s="37">
        <f t="shared" si="25"/>
        <v>0.19851908370764856</v>
      </c>
      <c r="N49" s="37">
        <f t="shared" si="21"/>
        <v>1.4405840418547511</v>
      </c>
      <c r="O49" s="37">
        <f t="shared" si="22"/>
        <v>1.3779129348919754</v>
      </c>
      <c r="P49" s="37">
        <f t="shared" si="23"/>
        <v>1.536318940289372</v>
      </c>
      <c r="Q49" s="38">
        <f t="shared" si="24"/>
        <v>1.4516053056786997</v>
      </c>
      <c r="R49" s="37">
        <f t="shared" si="26"/>
        <v>4.6058719148125885E-2</v>
      </c>
      <c r="S49" s="37">
        <f t="shared" si="27"/>
        <v>2.5595041134657825E-3</v>
      </c>
      <c r="T49" s="37">
        <f t="shared" si="28"/>
        <v>-4.4676853789953714E-3</v>
      </c>
      <c r="U49" s="37">
        <f t="shared" si="29"/>
        <v>5.0238979052294836E-3</v>
      </c>
      <c r="V49" s="38">
        <f t="shared" si="30"/>
        <v>1.0385722132332982E-3</v>
      </c>
      <c r="W49" s="37">
        <f t="shared" si="31"/>
        <v>2.8435578473807988E-3</v>
      </c>
      <c r="X49" s="37">
        <f t="shared" si="32"/>
        <v>1.1026531592689296E-2</v>
      </c>
      <c r="Y49" s="37">
        <f t="shared" si="33"/>
        <v>1.0356695561357704E-2</v>
      </c>
      <c r="Z49" s="37">
        <f t="shared" si="34"/>
        <v>1.2134337336814622E-2</v>
      </c>
      <c r="AA49" s="38">
        <f t="shared" si="35"/>
        <v>1.1172521496953873E-2</v>
      </c>
      <c r="AB49" s="154">
        <f t="shared" si="36"/>
        <v>5.1832658931500928E-4</v>
      </c>
    </row>
    <row r="50" spans="2:28" s="5" customFormat="1" ht="13" x14ac:dyDescent="0.15">
      <c r="B50" s="41" t="s">
        <v>41</v>
      </c>
      <c r="C50" s="34">
        <v>0.46875</v>
      </c>
      <c r="D50" s="40">
        <f>22+D49</f>
        <v>405</v>
      </c>
      <c r="E50" s="35">
        <v>18</v>
      </c>
      <c r="F50" s="36">
        <f>0.895*4</f>
        <v>3.58</v>
      </c>
      <c r="G50" s="37">
        <f>8*0.394</f>
        <v>3.1520000000000001</v>
      </c>
      <c r="H50" s="37">
        <f>8*0.482</f>
        <v>3.8559999999999999</v>
      </c>
      <c r="I50" s="37">
        <f t="shared" ref="I50:K51" si="37">1.2334*F50</f>
        <v>4.4155720000000001</v>
      </c>
      <c r="J50" s="37">
        <f t="shared" si="37"/>
        <v>3.8876768000000004</v>
      </c>
      <c r="K50" s="37">
        <f t="shared" si="37"/>
        <v>4.7559904</v>
      </c>
      <c r="L50" s="38">
        <f t="shared" si="20"/>
        <v>4.3530797333333338</v>
      </c>
      <c r="M50" s="37">
        <f t="shared" si="25"/>
        <v>0.25260053413185357</v>
      </c>
      <c r="N50" s="37">
        <f t="shared" si="21"/>
        <v>1.4851373839878643</v>
      </c>
      <c r="O50" s="37">
        <f t="shared" si="22"/>
        <v>1.3578117555708882</v>
      </c>
      <c r="P50" s="37">
        <f t="shared" si="23"/>
        <v>1.5594049603235545</v>
      </c>
      <c r="Q50" s="38">
        <f t="shared" si="24"/>
        <v>1.4674513666274356</v>
      </c>
      <c r="R50" s="37">
        <f t="shared" si="26"/>
        <v>5.8862980607983853E-2</v>
      </c>
      <c r="S50" s="37">
        <f t="shared" si="27"/>
        <v>2.025151915141511E-3</v>
      </c>
      <c r="T50" s="37">
        <f t="shared" si="28"/>
        <v>-9.1368996914032894E-4</v>
      </c>
      <c r="U50" s="37">
        <f t="shared" si="29"/>
        <v>1.0493645470082942E-3</v>
      </c>
      <c r="V50" s="38">
        <f t="shared" si="30"/>
        <v>7.2027549766982542E-4</v>
      </c>
      <c r="W50" s="37">
        <f t="shared" si="31"/>
        <v>8.6418026803790229E-4</v>
      </c>
      <c r="X50" s="37">
        <f t="shared" si="32"/>
        <v>1.0902646913580246E-2</v>
      </c>
      <c r="Y50" s="37">
        <f t="shared" si="33"/>
        <v>9.5992019753086428E-3</v>
      </c>
      <c r="Z50" s="37">
        <f t="shared" si="34"/>
        <v>1.1743186172839506E-2</v>
      </c>
      <c r="AA50" s="38">
        <f t="shared" si="35"/>
        <v>1.0748345020576131E-2</v>
      </c>
      <c r="AB50" s="154">
        <f t="shared" si="36"/>
        <v>6.2370502254778656E-4</v>
      </c>
    </row>
    <row r="51" spans="2:28" s="5" customFormat="1" thickBot="1" x14ac:dyDescent="0.2">
      <c r="B51" s="42" t="s">
        <v>42</v>
      </c>
      <c r="C51" s="43">
        <v>0.5</v>
      </c>
      <c r="D51" s="57">
        <f>25+D50</f>
        <v>430</v>
      </c>
      <c r="E51" s="44">
        <v>19</v>
      </c>
      <c r="F51" s="46">
        <f>4*0.885</f>
        <v>3.54</v>
      </c>
      <c r="G51" s="47">
        <f>8*0.457</f>
        <v>3.6560000000000001</v>
      </c>
      <c r="H51" s="47">
        <f>4*0.899</f>
        <v>3.5960000000000001</v>
      </c>
      <c r="I51" s="47">
        <f t="shared" si="37"/>
        <v>4.3662359999999998</v>
      </c>
      <c r="J51" s="47">
        <f t="shared" si="37"/>
        <v>4.5093104000000004</v>
      </c>
      <c r="K51" s="47">
        <f t="shared" si="37"/>
        <v>4.4353064</v>
      </c>
      <c r="L51" s="48">
        <f t="shared" si="20"/>
        <v>4.4369509333333337</v>
      </c>
      <c r="M51" s="37">
        <f>STDEV(I51:K51)/SQRT(3)</f>
        <v>4.1310205967586985E-2</v>
      </c>
      <c r="N51" s="47">
        <f t="shared" si="21"/>
        <v>1.4739013107209384</v>
      </c>
      <c r="O51" s="47">
        <f t="shared" si="22"/>
        <v>1.506144237167159</v>
      </c>
      <c r="P51" s="47">
        <f t="shared" si="23"/>
        <v>1.4895967001846293</v>
      </c>
      <c r="Q51" s="48">
        <f t="shared" si="24"/>
        <v>1.4898807493575754</v>
      </c>
      <c r="R51" s="37">
        <f t="shared" si="26"/>
        <v>9.3088146292207921E-3</v>
      </c>
      <c r="S51" s="37">
        <f>(N51-N50)/(D51-D50)</f>
        <v>-4.4944293067703531E-4</v>
      </c>
      <c r="T51" s="37">
        <f t="shared" si="28"/>
        <v>5.9332992638508305E-3</v>
      </c>
      <c r="U51" s="37">
        <f t="shared" si="29"/>
        <v>-2.7923304055570064E-3</v>
      </c>
      <c r="V51" s="38">
        <f t="shared" si="30"/>
        <v>8.971753092055964E-4</v>
      </c>
      <c r="W51" s="37">
        <f>STDEV(S51:U51)/SQRT(3)</f>
        <v>2.6073095197221363E-3</v>
      </c>
      <c r="X51" s="37">
        <f t="shared" si="32"/>
        <v>1.0154037209302325E-2</v>
      </c>
      <c r="Y51" s="37">
        <f t="shared" si="33"/>
        <v>1.0486768372093024E-2</v>
      </c>
      <c r="Z51" s="37">
        <f t="shared" si="34"/>
        <v>1.0314666046511628E-2</v>
      </c>
      <c r="AA51" s="38">
        <f t="shared" si="35"/>
        <v>1.0318490542635658E-2</v>
      </c>
      <c r="AB51" s="154">
        <f t="shared" si="36"/>
        <v>9.6070246436248666E-5</v>
      </c>
    </row>
    <row r="52" spans="2:28" ht="15" thickBot="1" x14ac:dyDescent="0.2">
      <c r="B52" s="185" t="s">
        <v>63</v>
      </c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7"/>
    </row>
    <row r="53" spans="2:28" ht="60" x14ac:dyDescent="0.15">
      <c r="B53" s="22" t="s">
        <v>0</v>
      </c>
      <c r="C53" s="23" t="s">
        <v>1</v>
      </c>
      <c r="D53" s="24" t="s">
        <v>2</v>
      </c>
      <c r="E53" s="25" t="s">
        <v>3</v>
      </c>
      <c r="F53" s="180" t="s">
        <v>66</v>
      </c>
      <c r="G53" s="173"/>
      <c r="H53" s="174"/>
      <c r="I53" s="172" t="s">
        <v>16</v>
      </c>
      <c r="J53" s="173"/>
      <c r="K53" s="174"/>
      <c r="L53" s="26" t="s">
        <v>4</v>
      </c>
      <c r="M53" s="27" t="s">
        <v>67</v>
      </c>
      <c r="N53" s="172" t="s">
        <v>68</v>
      </c>
      <c r="O53" s="173"/>
      <c r="P53" s="174"/>
      <c r="Q53" s="27" t="s">
        <v>5</v>
      </c>
      <c r="R53" s="27" t="s">
        <v>56</v>
      </c>
      <c r="S53" s="170" t="s">
        <v>6</v>
      </c>
      <c r="T53" s="171"/>
      <c r="U53" s="171"/>
      <c r="V53" s="26" t="s">
        <v>57</v>
      </c>
      <c r="W53" s="26" t="s">
        <v>56</v>
      </c>
      <c r="X53" s="172" t="s">
        <v>58</v>
      </c>
      <c r="Y53" s="173"/>
      <c r="Z53" s="174"/>
      <c r="AA53" s="26" t="s">
        <v>59</v>
      </c>
      <c r="AB53" s="49" t="s">
        <v>56</v>
      </c>
    </row>
    <row r="54" spans="2:28" x14ac:dyDescent="0.15">
      <c r="B54" s="28"/>
      <c r="C54" s="29"/>
      <c r="D54" s="30"/>
      <c r="E54" s="31"/>
      <c r="F54" s="181" t="s">
        <v>19</v>
      </c>
      <c r="G54" s="182"/>
      <c r="H54" s="183"/>
      <c r="I54" s="184" t="s">
        <v>7</v>
      </c>
      <c r="J54" s="182"/>
      <c r="K54" s="183"/>
      <c r="L54" s="32" t="s">
        <v>7</v>
      </c>
      <c r="M54" s="32"/>
      <c r="N54" s="184" t="s">
        <v>7</v>
      </c>
      <c r="O54" s="182"/>
      <c r="P54" s="183"/>
      <c r="Q54" s="33"/>
      <c r="R54" s="33"/>
      <c r="S54" s="175" t="s">
        <v>60</v>
      </c>
      <c r="T54" s="176"/>
      <c r="U54" s="176"/>
      <c r="V54" s="32" t="s">
        <v>60</v>
      </c>
      <c r="W54" s="30"/>
      <c r="X54" s="177" t="s">
        <v>61</v>
      </c>
      <c r="Y54" s="178"/>
      <c r="Z54" s="179"/>
      <c r="AA54" s="51" t="s">
        <v>61</v>
      </c>
      <c r="AB54" s="52"/>
    </row>
    <row r="55" spans="2:28" s="5" customFormat="1" ht="13" x14ac:dyDescent="0.15">
      <c r="B55" s="188" t="s">
        <v>8</v>
      </c>
      <c r="C55" s="34">
        <v>0.5625</v>
      </c>
      <c r="D55" s="40">
        <v>0</v>
      </c>
      <c r="E55" s="190">
        <v>1</v>
      </c>
      <c r="F55" s="36">
        <v>0.11899999999999999</v>
      </c>
      <c r="G55" s="37">
        <v>0.112</v>
      </c>
      <c r="H55" s="37">
        <v>8.4000000000000005E-2</v>
      </c>
      <c r="I55" s="37">
        <f t="shared" ref="I55:K74" si="38">1.2334*F55</f>
        <v>0.14677460000000001</v>
      </c>
      <c r="J55" s="37">
        <f t="shared" si="38"/>
        <v>0.13814080000000001</v>
      </c>
      <c r="K55" s="37">
        <f t="shared" si="38"/>
        <v>0.10360560000000001</v>
      </c>
      <c r="L55" s="38">
        <f t="shared" ref="L55:L76" si="39">AVERAGE(I55:K55)</f>
        <v>0.12950700000000001</v>
      </c>
      <c r="M55" s="53">
        <f t="shared" ref="M55:M76" si="40">STDEV(I55:K55)/SQRT(3)</f>
        <v>1.3188347345036549E-2</v>
      </c>
      <c r="N55" s="37">
        <f t="shared" ref="N55:N74" si="41">LN(I55)</f>
        <v>-1.9188572022953523</v>
      </c>
      <c r="O55" s="37">
        <f t="shared" ref="O55:O74" si="42">LN(J55)</f>
        <v>-1.9794818241117871</v>
      </c>
      <c r="P55" s="37">
        <f t="shared" ref="P55:P74" si="43">LN(K55)</f>
        <v>-2.2671638965635679</v>
      </c>
      <c r="Q55" s="38">
        <f t="shared" ref="Q55:Q76" si="44">AVERAGE(N55:P55)</f>
        <v>-2.055167640990236</v>
      </c>
      <c r="R55" s="37">
        <f>STDEV(N55:P55)/SQRT(3)</f>
        <v>0.10743315049436029</v>
      </c>
      <c r="S55" s="37"/>
      <c r="V55" s="160"/>
      <c r="AA55" s="160"/>
      <c r="AB55" s="35"/>
    </row>
    <row r="56" spans="2:28" s="5" customFormat="1" ht="13" x14ac:dyDescent="0.15">
      <c r="B56" s="188"/>
      <c r="C56" s="34">
        <v>0.84722222222222221</v>
      </c>
      <c r="D56" s="40">
        <f>D55+7.5</f>
        <v>7.5</v>
      </c>
      <c r="E56" s="190"/>
      <c r="F56" s="36">
        <v>0.16400000000000001</v>
      </c>
      <c r="G56" s="37">
        <v>0.14899999999999999</v>
      </c>
      <c r="H56" s="37">
        <v>0.14799999999999999</v>
      </c>
      <c r="I56" s="37">
        <f t="shared" si="38"/>
        <v>0.20227760000000003</v>
      </c>
      <c r="J56" s="37">
        <f t="shared" si="38"/>
        <v>0.18377660000000001</v>
      </c>
      <c r="K56" s="37">
        <f t="shared" si="38"/>
        <v>0.18254319999999999</v>
      </c>
      <c r="L56" s="38">
        <f t="shared" si="39"/>
        <v>0.18953246666666668</v>
      </c>
      <c r="M56" s="53">
        <f t="shared" si="40"/>
        <v>6.3825056901223821E-3</v>
      </c>
      <c r="N56" s="37">
        <f t="shared" si="41"/>
        <v>-1.5981142675826832</v>
      </c>
      <c r="O56" s="37">
        <f t="shared" si="42"/>
        <v>-1.6940343894614225</v>
      </c>
      <c r="P56" s="37">
        <f t="shared" si="43"/>
        <v>-1.7007684216427668</v>
      </c>
      <c r="Q56" s="38">
        <f t="shared" si="44"/>
        <v>-1.6643056928956241</v>
      </c>
      <c r="R56" s="37">
        <f t="shared" ref="R56:R76" si="45">STDEV(N56:P56)/SQRT(3)</f>
        <v>3.3152754466126581E-2</v>
      </c>
      <c r="S56" s="37">
        <f>(N56-N55)/(D56-D55)</f>
        <v>4.2765724628355886E-2</v>
      </c>
      <c r="T56" s="37">
        <f>(O56-O55)/(D56-D55)</f>
        <v>3.8059657953381947E-2</v>
      </c>
      <c r="U56" s="37">
        <f>(P56-P55)/(D56-D55)</f>
        <v>7.551939665610681E-2</v>
      </c>
      <c r="V56" s="38">
        <f>AVERAGE(S56:U56)</f>
        <v>5.2114926412614872E-2</v>
      </c>
      <c r="W56" s="37">
        <f>STDEV(S56:U56)/SQRT(3)</f>
        <v>1.1780827452846152E-2</v>
      </c>
      <c r="X56" s="37">
        <f>I56/D56</f>
        <v>2.6970346666666669E-2</v>
      </c>
      <c r="Y56" s="37">
        <f>J56/D56</f>
        <v>2.4503546666666667E-2</v>
      </c>
      <c r="Z56" s="37">
        <f>K56/D56</f>
        <v>2.4339093333333332E-2</v>
      </c>
      <c r="AA56" s="38">
        <f>AVERAGE(X56:Z56)</f>
        <v>2.5270995555555554E-2</v>
      </c>
      <c r="AB56" s="154">
        <f>STDEV(X56:Z56)/SQRT(3)</f>
        <v>8.5100075868298371E-4</v>
      </c>
    </row>
    <row r="57" spans="2:28" s="5" customFormat="1" ht="13" x14ac:dyDescent="0.15">
      <c r="B57" s="189" t="s">
        <v>9</v>
      </c>
      <c r="C57" s="34">
        <v>0.45833333333333331</v>
      </c>
      <c r="D57" s="40">
        <f>D55+21.5</f>
        <v>21.5</v>
      </c>
      <c r="E57" s="190">
        <v>2</v>
      </c>
      <c r="F57" s="36">
        <v>0.21</v>
      </c>
      <c r="G57" s="37">
        <v>0.215</v>
      </c>
      <c r="H57" s="37">
        <v>0.224</v>
      </c>
      <c r="I57" s="37">
        <f t="shared" si="38"/>
        <v>0.25901400000000002</v>
      </c>
      <c r="J57" s="37">
        <f t="shared" si="38"/>
        <v>0.265181</v>
      </c>
      <c r="K57" s="37">
        <f t="shared" si="38"/>
        <v>0.27628160000000002</v>
      </c>
      <c r="L57" s="38">
        <f t="shared" si="39"/>
        <v>0.26682553333333331</v>
      </c>
      <c r="M57" s="53">
        <f t="shared" si="40"/>
        <v>5.0520909814100179E-3</v>
      </c>
      <c r="N57" s="37">
        <f t="shared" si="41"/>
        <v>-1.350873164689413</v>
      </c>
      <c r="O57" s="37">
        <f t="shared" si="42"/>
        <v>-1.3273426672792188</v>
      </c>
      <c r="P57" s="37">
        <f t="shared" si="43"/>
        <v>-1.2863346435518417</v>
      </c>
      <c r="Q57" s="38">
        <f t="shared" si="44"/>
        <v>-1.321516825173491</v>
      </c>
      <c r="R57" s="37">
        <f t="shared" si="45"/>
        <v>1.8857010233481134E-2</v>
      </c>
      <c r="S57" s="37">
        <f t="shared" ref="S57:S76" si="46">(N57-N56)/(D57-D56)</f>
        <v>1.7660078778090726E-2</v>
      </c>
      <c r="T57" s="37">
        <f t="shared" ref="T57:T76" si="47">(O57-O56)/(D57-D56)</f>
        <v>2.6192265870157407E-2</v>
      </c>
      <c r="U57" s="37">
        <f t="shared" ref="U57:U76" si="48">(P57-P56)/(D57-D56)</f>
        <v>2.9602412720780364E-2</v>
      </c>
      <c r="V57" s="38">
        <f t="shared" ref="V57:V76" si="49">AVERAGE(S57:U57)</f>
        <v>2.4484919123009499E-2</v>
      </c>
      <c r="W57" s="37">
        <f t="shared" ref="W57:W76" si="50">STDEV(S57:U57)/SQRT(3)</f>
        <v>3.5515775690025653E-3</v>
      </c>
      <c r="X57" s="37">
        <f t="shared" ref="X57:X76" si="51">I57/D57</f>
        <v>1.2047162790697676E-2</v>
      </c>
      <c r="Y57" s="37">
        <f t="shared" ref="Y57:Y76" si="52">J57/D57</f>
        <v>1.2333999999999999E-2</v>
      </c>
      <c r="Z57" s="37">
        <f t="shared" ref="Z57:Z76" si="53">K57/D57</f>
        <v>1.2850306976744186E-2</v>
      </c>
      <c r="AA57" s="38">
        <f t="shared" ref="AA57:AA76" si="54">AVERAGE(X57:Z57)</f>
        <v>1.2410489922480622E-2</v>
      </c>
      <c r="AB57" s="154">
        <f t="shared" ref="AB57:AB76" si="55">STDEV(X57:Z57)/SQRT(3)</f>
        <v>2.3498097587953541E-4</v>
      </c>
    </row>
    <row r="58" spans="2:28" s="5" customFormat="1" ht="13" x14ac:dyDescent="0.15">
      <c r="B58" s="189"/>
      <c r="C58" s="34">
        <v>0.61805555555555558</v>
      </c>
      <c r="D58" s="40">
        <f>D57+4</f>
        <v>25.5</v>
      </c>
      <c r="E58" s="190"/>
      <c r="F58" s="36">
        <v>0.215</v>
      </c>
      <c r="G58" s="37">
        <v>0.214</v>
      </c>
      <c r="H58" s="37">
        <v>0.23100000000000001</v>
      </c>
      <c r="I58" s="37">
        <f t="shared" si="38"/>
        <v>0.265181</v>
      </c>
      <c r="J58" s="37">
        <f t="shared" si="38"/>
        <v>0.2639476</v>
      </c>
      <c r="K58" s="37">
        <f t="shared" si="38"/>
        <v>0.28491540000000004</v>
      </c>
      <c r="L58" s="38">
        <f t="shared" si="39"/>
        <v>0.27134799999999998</v>
      </c>
      <c r="M58" s="53">
        <f t="shared" si="40"/>
        <v>6.7930375130226912E-3</v>
      </c>
      <c r="N58" s="37">
        <f t="shared" si="41"/>
        <v>-1.3273426672792188</v>
      </c>
      <c r="O58" s="37">
        <f t="shared" si="42"/>
        <v>-1.3320046803850301</v>
      </c>
      <c r="P58" s="37">
        <f t="shared" si="43"/>
        <v>-1.255562984885088</v>
      </c>
      <c r="Q58" s="38">
        <f t="shared" si="44"/>
        <v>-1.3049701108497789</v>
      </c>
      <c r="R58" s="37">
        <f t="shared" si="45"/>
        <v>2.4740194445596816E-2</v>
      </c>
      <c r="S58" s="37">
        <f t="shared" si="46"/>
        <v>5.8826243525485489E-3</v>
      </c>
      <c r="T58" s="37">
        <f t="shared" si="47"/>
        <v>-1.1655032764528173E-3</v>
      </c>
      <c r="U58" s="37">
        <f t="shared" si="48"/>
        <v>7.6929146666884218E-3</v>
      </c>
      <c r="V58" s="38">
        <f t="shared" si="49"/>
        <v>4.1366785809280509E-3</v>
      </c>
      <c r="W58" s="37">
        <f t="shared" si="50"/>
        <v>2.7021064062394788E-3</v>
      </c>
      <c r="X58" s="37">
        <f t="shared" si="51"/>
        <v>1.0399254901960784E-2</v>
      </c>
      <c r="Y58" s="37">
        <f t="shared" si="52"/>
        <v>1.0350886274509804E-2</v>
      </c>
      <c r="Z58" s="37">
        <f t="shared" si="53"/>
        <v>1.1173152941176472E-2</v>
      </c>
      <c r="AA58" s="38">
        <f t="shared" si="54"/>
        <v>1.0641098039215688E-2</v>
      </c>
      <c r="AB58" s="154">
        <f t="shared" si="55"/>
        <v>2.6639362796167427E-4</v>
      </c>
    </row>
    <row r="59" spans="2:28" s="5" customFormat="1" ht="13" x14ac:dyDescent="0.15">
      <c r="B59" s="189"/>
      <c r="C59" s="34">
        <v>0.81597222222222221</v>
      </c>
      <c r="D59" s="40">
        <f>D58+5</f>
        <v>30.5</v>
      </c>
      <c r="E59" s="190"/>
      <c r="F59" s="36">
        <v>0.27</v>
      </c>
      <c r="G59" s="37">
        <v>0.26400000000000001</v>
      </c>
      <c r="H59" s="37">
        <v>0.27</v>
      </c>
      <c r="I59" s="37">
        <f t="shared" si="38"/>
        <v>0.33301800000000004</v>
      </c>
      <c r="J59" s="37">
        <f t="shared" si="38"/>
        <v>0.32561760000000001</v>
      </c>
      <c r="K59" s="37">
        <f t="shared" si="38"/>
        <v>0.33301800000000004</v>
      </c>
      <c r="L59" s="38">
        <f t="shared" si="39"/>
        <v>0.33055119999999999</v>
      </c>
      <c r="M59" s="53">
        <f t="shared" si="40"/>
        <v>2.4668000000000099E-3</v>
      </c>
      <c r="N59" s="37">
        <f t="shared" si="41"/>
        <v>-1.0995587364085069</v>
      </c>
      <c r="O59" s="37">
        <f t="shared" si="42"/>
        <v>-1.1220315922605655</v>
      </c>
      <c r="P59" s="37">
        <f t="shared" si="43"/>
        <v>-1.0995587364085069</v>
      </c>
      <c r="Q59" s="38">
        <f t="shared" si="44"/>
        <v>-1.1070496883591929</v>
      </c>
      <c r="R59" s="37">
        <f t="shared" si="45"/>
        <v>7.4909519506862025E-3</v>
      </c>
      <c r="S59" s="37">
        <f t="shared" si="46"/>
        <v>4.5556786174142383E-2</v>
      </c>
      <c r="T59" s="37">
        <f t="shared" si="47"/>
        <v>4.1994617624892913E-2</v>
      </c>
      <c r="U59" s="37">
        <f t="shared" si="48"/>
        <v>3.1200849695316224E-2</v>
      </c>
      <c r="V59" s="38">
        <f t="shared" si="49"/>
        <v>3.9584084498117171E-2</v>
      </c>
      <c r="W59" s="37">
        <f t="shared" si="50"/>
        <v>4.3159097346324423E-3</v>
      </c>
      <c r="X59" s="37">
        <f t="shared" si="51"/>
        <v>1.0918622950819674E-2</v>
      </c>
      <c r="Y59" s="37">
        <f t="shared" si="52"/>
        <v>1.0675986885245901E-2</v>
      </c>
      <c r="Z59" s="37">
        <f t="shared" si="53"/>
        <v>1.0918622950819674E-2</v>
      </c>
      <c r="AA59" s="38">
        <f t="shared" si="54"/>
        <v>1.0837744262295083E-2</v>
      </c>
      <c r="AB59" s="154">
        <f t="shared" si="55"/>
        <v>8.0878688524591027E-5</v>
      </c>
    </row>
    <row r="60" spans="2:28" s="5" customFormat="1" ht="13" x14ac:dyDescent="0.15">
      <c r="B60" s="39" t="s">
        <v>10</v>
      </c>
      <c r="C60" s="34">
        <v>0.54513888888888895</v>
      </c>
      <c r="D60" s="40">
        <f>D55+47.5</f>
        <v>47.5</v>
      </c>
      <c r="E60" s="35">
        <v>3</v>
      </c>
      <c r="F60" s="36">
        <f>0.378</f>
        <v>0.378</v>
      </c>
      <c r="G60" s="37">
        <v>0.36399999999999999</v>
      </c>
      <c r="H60" s="37">
        <v>0.378</v>
      </c>
      <c r="I60" s="37">
        <f t="shared" si="38"/>
        <v>0.46622520000000001</v>
      </c>
      <c r="J60" s="37">
        <f t="shared" si="38"/>
        <v>0.44895760000000001</v>
      </c>
      <c r="K60" s="37">
        <f t="shared" si="38"/>
        <v>0.46622520000000001</v>
      </c>
      <c r="L60" s="38">
        <f t="shared" si="39"/>
        <v>0.46046933333333334</v>
      </c>
      <c r="M60" s="53">
        <f t="shared" si="40"/>
        <v>5.7558666666666647E-3</v>
      </c>
      <c r="N60" s="37">
        <f t="shared" si="41"/>
        <v>-0.76308649978729393</v>
      </c>
      <c r="O60" s="37">
        <f t="shared" si="42"/>
        <v>-0.80082682777014103</v>
      </c>
      <c r="P60" s="37">
        <f t="shared" si="43"/>
        <v>-0.76308649978729393</v>
      </c>
      <c r="Q60" s="38">
        <f t="shared" si="44"/>
        <v>-0.77566660911490948</v>
      </c>
      <c r="R60" s="37">
        <f t="shared" si="45"/>
        <v>1.2580109327615703E-2</v>
      </c>
      <c r="S60" s="37">
        <f t="shared" si="46"/>
        <v>1.9792484507130174E-2</v>
      </c>
      <c r="T60" s="37">
        <f t="shared" si="47"/>
        <v>1.8894397911201437E-2</v>
      </c>
      <c r="U60" s="37">
        <f t="shared" si="48"/>
        <v>1.9792484507130174E-2</v>
      </c>
      <c r="V60" s="38">
        <f t="shared" si="49"/>
        <v>1.9493122308487262E-2</v>
      </c>
      <c r="W60" s="37">
        <f t="shared" si="50"/>
        <v>2.9936219864291208E-4</v>
      </c>
      <c r="X60" s="37">
        <f t="shared" si="51"/>
        <v>9.8152673684210531E-3</v>
      </c>
      <c r="Y60" s="37">
        <f t="shared" si="52"/>
        <v>9.451738947368421E-3</v>
      </c>
      <c r="Z60" s="37">
        <f t="shared" si="53"/>
        <v>9.8152673684210531E-3</v>
      </c>
      <c r="AA60" s="38">
        <f t="shared" si="54"/>
        <v>9.6940912280701758E-3</v>
      </c>
      <c r="AB60" s="154">
        <f t="shared" si="55"/>
        <v>1.2117614035087737E-4</v>
      </c>
    </row>
    <row r="61" spans="2:28" s="5" customFormat="1" ht="13" x14ac:dyDescent="0.15">
      <c r="B61" s="39" t="s">
        <v>11</v>
      </c>
      <c r="C61" s="34">
        <v>0.55902777777777779</v>
      </c>
      <c r="D61" s="40">
        <f>D60+24.5</f>
        <v>72</v>
      </c>
      <c r="E61" s="35">
        <v>4</v>
      </c>
      <c r="F61" s="36">
        <v>0.61899999999999999</v>
      </c>
      <c r="G61" s="37">
        <v>0.49399999999999999</v>
      </c>
      <c r="H61" s="37">
        <v>0.58899999999999997</v>
      </c>
      <c r="I61" s="37">
        <f t="shared" si="38"/>
        <v>0.7634746</v>
      </c>
      <c r="J61" s="37">
        <f t="shared" si="38"/>
        <v>0.60929960000000005</v>
      </c>
      <c r="K61" s="37">
        <f t="shared" si="38"/>
        <v>0.72647260000000002</v>
      </c>
      <c r="L61" s="38">
        <f t="shared" si="39"/>
        <v>0.69974893333333332</v>
      </c>
      <c r="M61" s="53">
        <f t="shared" si="40"/>
        <v>4.6468980429003499E-2</v>
      </c>
      <c r="N61" s="37">
        <f t="shared" si="41"/>
        <v>-0.26987542272228554</v>
      </c>
      <c r="O61" s="37">
        <f t="shared" si="42"/>
        <v>-0.49544517821895906</v>
      </c>
      <c r="P61" s="37">
        <f t="shared" si="43"/>
        <v>-0.31955451175529492</v>
      </c>
      <c r="Q61" s="38">
        <f t="shared" si="44"/>
        <v>-0.36162503756551317</v>
      </c>
      <c r="R61" s="37">
        <f t="shared" si="45"/>
        <v>6.8429709690963125E-2</v>
      </c>
      <c r="S61" s="37">
        <f t="shared" si="46"/>
        <v>2.0131064370000343E-2</v>
      </c>
      <c r="T61" s="37">
        <f t="shared" si="47"/>
        <v>1.2464557124538039E-2</v>
      </c>
      <c r="U61" s="37">
        <f t="shared" si="48"/>
        <v>1.8103346450285673E-2</v>
      </c>
      <c r="V61" s="38">
        <f t="shared" si="49"/>
        <v>1.6899655981608017E-2</v>
      </c>
      <c r="W61" s="37">
        <f t="shared" si="50"/>
        <v>2.2935043343081329E-3</v>
      </c>
      <c r="X61" s="37">
        <f t="shared" si="51"/>
        <v>1.060381388888889E-2</v>
      </c>
      <c r="Y61" s="37">
        <f t="shared" si="52"/>
        <v>8.4624944444444457E-3</v>
      </c>
      <c r="Z61" s="37">
        <f t="shared" si="53"/>
        <v>1.0089897222222222E-2</v>
      </c>
      <c r="AA61" s="38">
        <f t="shared" si="54"/>
        <v>9.7187351851851858E-3</v>
      </c>
      <c r="AB61" s="154">
        <f t="shared" si="55"/>
        <v>6.4540250595838185E-4</v>
      </c>
    </row>
    <row r="62" spans="2:28" s="5" customFormat="1" ht="13" x14ac:dyDescent="0.15">
      <c r="B62" s="39" t="s">
        <v>12</v>
      </c>
      <c r="C62" s="34">
        <v>0.47222222222222227</v>
      </c>
      <c r="D62" s="40">
        <f>D61+22</f>
        <v>94</v>
      </c>
      <c r="E62" s="35">
        <v>5</v>
      </c>
      <c r="F62" s="36">
        <v>0.84899999999999998</v>
      </c>
      <c r="G62" s="37">
        <v>0.69399999999999995</v>
      </c>
      <c r="H62" s="37">
        <v>0.92500000000000004</v>
      </c>
      <c r="I62" s="37">
        <f t="shared" si="38"/>
        <v>1.0471566000000001</v>
      </c>
      <c r="J62" s="37">
        <f t="shared" si="38"/>
        <v>0.85597959999999995</v>
      </c>
      <c r="K62" s="37">
        <f t="shared" si="38"/>
        <v>1.140895</v>
      </c>
      <c r="L62" s="38">
        <f t="shared" si="39"/>
        <v>1.0146770666666667</v>
      </c>
      <c r="M62" s="53">
        <f t="shared" si="40"/>
        <v>8.3835923790566966E-2</v>
      </c>
      <c r="N62" s="37">
        <f t="shared" si="41"/>
        <v>4.6078490904465752E-2</v>
      </c>
      <c r="O62" s="37">
        <f t="shared" si="42"/>
        <v>-0.15550873490007722</v>
      </c>
      <c r="P62" s="37">
        <f t="shared" si="43"/>
        <v>0.13181304210554351</v>
      </c>
      <c r="Q62" s="38">
        <f t="shared" si="44"/>
        <v>7.4609327033106814E-3</v>
      </c>
      <c r="R62" s="37">
        <f t="shared" si="45"/>
        <v>8.5160510677350948E-2</v>
      </c>
      <c r="S62" s="37">
        <f t="shared" si="46"/>
        <v>1.4361541528488696E-2</v>
      </c>
      <c r="T62" s="37">
        <f t="shared" si="47"/>
        <v>1.5451656514494629E-2</v>
      </c>
      <c r="U62" s="37">
        <f t="shared" si="48"/>
        <v>2.0516706993674475E-2</v>
      </c>
      <c r="V62" s="38">
        <f t="shared" si="49"/>
        <v>1.6776635012219265E-2</v>
      </c>
      <c r="W62" s="37">
        <f t="shared" si="50"/>
        <v>1.8963290405876647E-3</v>
      </c>
      <c r="X62" s="37">
        <f t="shared" si="51"/>
        <v>1.1139963829787235E-2</v>
      </c>
      <c r="Y62" s="37">
        <f t="shared" si="52"/>
        <v>9.1061659574468087E-3</v>
      </c>
      <c r="Z62" s="37">
        <f t="shared" si="53"/>
        <v>1.213718085106383E-2</v>
      </c>
      <c r="AA62" s="38">
        <f t="shared" si="54"/>
        <v>1.0794436879432623E-2</v>
      </c>
      <c r="AB62" s="154">
        <f t="shared" si="55"/>
        <v>8.9187152968688422E-4</v>
      </c>
    </row>
    <row r="63" spans="2:28" s="5" customFormat="1" ht="13" x14ac:dyDescent="0.15">
      <c r="B63" s="39" t="s">
        <v>13</v>
      </c>
      <c r="C63" s="34">
        <v>0.4375</v>
      </c>
      <c r="D63" s="40">
        <f>D62+23</f>
        <v>117</v>
      </c>
      <c r="E63" s="35">
        <v>6</v>
      </c>
      <c r="F63" s="36">
        <f>2*0.595</f>
        <v>1.19</v>
      </c>
      <c r="G63" s="37">
        <f>2*0.498</f>
        <v>0.996</v>
      </c>
      <c r="H63" s="37">
        <f>2*0.623</f>
        <v>1.246</v>
      </c>
      <c r="I63" s="37">
        <f t="shared" si="38"/>
        <v>1.467746</v>
      </c>
      <c r="J63" s="37">
        <f t="shared" si="38"/>
        <v>1.2284664000000001</v>
      </c>
      <c r="K63" s="37">
        <f t="shared" si="38"/>
        <v>1.5368164</v>
      </c>
      <c r="L63" s="38">
        <f t="shared" si="39"/>
        <v>1.4110096000000001</v>
      </c>
      <c r="M63" s="53">
        <f t="shared" si="40"/>
        <v>9.3424113480264442E-2</v>
      </c>
      <c r="N63" s="37">
        <f t="shared" si="41"/>
        <v>0.3837278906986934</v>
      </c>
      <c r="O63" s="37">
        <f t="shared" si="42"/>
        <v>0.20576656217771663</v>
      </c>
      <c r="P63" s="37">
        <f t="shared" si="43"/>
        <v>0.42971300394051676</v>
      </c>
      <c r="Q63" s="38">
        <f t="shared" si="44"/>
        <v>0.33973581893897559</v>
      </c>
      <c r="R63" s="37">
        <f t="shared" si="45"/>
        <v>6.8287331616337515E-2</v>
      </c>
      <c r="S63" s="37">
        <f t="shared" si="46"/>
        <v>1.4680408686705549E-2</v>
      </c>
      <c r="T63" s="37">
        <f t="shared" si="47"/>
        <v>1.5707621612077994E-2</v>
      </c>
      <c r="U63" s="37">
        <f t="shared" si="48"/>
        <v>1.2952172253694489E-2</v>
      </c>
      <c r="V63" s="38">
        <f t="shared" si="49"/>
        <v>1.4446734184159343E-2</v>
      </c>
      <c r="W63" s="37">
        <f t="shared" si="50"/>
        <v>8.0396478395287527E-4</v>
      </c>
      <c r="X63" s="37">
        <f t="shared" si="51"/>
        <v>1.2544837606837608E-2</v>
      </c>
      <c r="Y63" s="37">
        <f t="shared" si="52"/>
        <v>1.049971282051282E-2</v>
      </c>
      <c r="Z63" s="37">
        <f t="shared" si="53"/>
        <v>1.3135182905982905E-2</v>
      </c>
      <c r="AA63" s="38">
        <f t="shared" si="54"/>
        <v>1.2059911111111113E-2</v>
      </c>
      <c r="AB63" s="154">
        <f t="shared" si="55"/>
        <v>7.9849669641251684E-4</v>
      </c>
    </row>
    <row r="64" spans="2:28" s="5" customFormat="1" ht="13" x14ac:dyDescent="0.15">
      <c r="B64" s="39" t="s">
        <v>30</v>
      </c>
      <c r="C64" s="34">
        <v>0.44722222222222219</v>
      </c>
      <c r="D64" s="40">
        <f>D63+24</f>
        <v>141</v>
      </c>
      <c r="E64" s="35">
        <v>7</v>
      </c>
      <c r="F64" s="36">
        <f>2*0.742</f>
        <v>1.484</v>
      </c>
      <c r="G64" s="37">
        <f>2*0.68</f>
        <v>1.36</v>
      </c>
      <c r="H64" s="37">
        <f>2*0.835</f>
        <v>1.67</v>
      </c>
      <c r="I64" s="37">
        <f t="shared" si="38"/>
        <v>1.8303656000000001</v>
      </c>
      <c r="J64" s="37">
        <f t="shared" si="38"/>
        <v>1.6774240000000002</v>
      </c>
      <c r="K64" s="37">
        <f t="shared" si="38"/>
        <v>2.0597780000000001</v>
      </c>
      <c r="L64" s="38">
        <f t="shared" si="39"/>
        <v>1.8558558666666667</v>
      </c>
      <c r="M64" s="53">
        <f t="shared" si="40"/>
        <v>0.11110949644390335</v>
      </c>
      <c r="N64" s="37">
        <f t="shared" si="41"/>
        <v>0.6045157283204442</v>
      </c>
      <c r="O64" s="37">
        <f t="shared" si="42"/>
        <v>0.51725928332321613</v>
      </c>
      <c r="P64" s="37">
        <f t="shared" si="43"/>
        <v>0.72259821000391922</v>
      </c>
      <c r="Q64" s="38">
        <f t="shared" si="44"/>
        <v>0.61479107388252652</v>
      </c>
      <c r="R64" s="37">
        <f t="shared" si="45"/>
        <v>5.9498475463412678E-2</v>
      </c>
      <c r="S64" s="37">
        <f t="shared" si="46"/>
        <v>9.1994932342396168E-3</v>
      </c>
      <c r="T64" s="37">
        <f t="shared" si="47"/>
        <v>1.297886338106248E-2</v>
      </c>
      <c r="U64" s="37">
        <f t="shared" si="48"/>
        <v>1.2203550252641769E-2</v>
      </c>
      <c r="V64" s="38">
        <f t="shared" si="49"/>
        <v>1.1460635622647956E-2</v>
      </c>
      <c r="W64" s="37">
        <f t="shared" si="50"/>
        <v>1.152511935913334E-3</v>
      </c>
      <c r="X64" s="37">
        <f t="shared" si="51"/>
        <v>1.2981316312056738E-2</v>
      </c>
      <c r="Y64" s="37">
        <f t="shared" si="52"/>
        <v>1.1896624113475179E-2</v>
      </c>
      <c r="Z64" s="37">
        <f t="shared" si="53"/>
        <v>1.4608354609929078E-2</v>
      </c>
      <c r="AA64" s="38">
        <f t="shared" si="54"/>
        <v>1.3162098345153665E-2</v>
      </c>
      <c r="AB64" s="154">
        <f t="shared" si="55"/>
        <v>7.8801061307732872E-4</v>
      </c>
    </row>
    <row r="65" spans="1:28" s="5" customFormat="1" ht="13" x14ac:dyDescent="0.15">
      <c r="B65" s="39" t="s">
        <v>31</v>
      </c>
      <c r="C65" s="34">
        <v>0.4861111111111111</v>
      </c>
      <c r="D65" s="40">
        <f>D64+25</f>
        <v>166</v>
      </c>
      <c r="E65" s="35">
        <v>8</v>
      </c>
      <c r="F65" s="36">
        <f>4*0.448</f>
        <v>1.792</v>
      </c>
      <c r="G65" s="37">
        <f>4*0.408</f>
        <v>1.6319999999999999</v>
      </c>
      <c r="H65" s="37">
        <f>2*0.946</f>
        <v>1.8919999999999999</v>
      </c>
      <c r="I65" s="37">
        <f t="shared" si="38"/>
        <v>2.2102528000000001</v>
      </c>
      <c r="J65" s="37">
        <f t="shared" si="38"/>
        <v>2.0129087999999999</v>
      </c>
      <c r="K65" s="37">
        <f t="shared" si="38"/>
        <v>2.3335927999999999</v>
      </c>
      <c r="L65" s="38">
        <f t="shared" si="39"/>
        <v>2.1855848</v>
      </c>
      <c r="M65" s="53">
        <f t="shared" si="40"/>
        <v>9.3391540716134092E-2</v>
      </c>
      <c r="N65" s="37">
        <f t="shared" si="41"/>
        <v>0.79310689812799418</v>
      </c>
      <c r="O65" s="37">
        <f t="shared" si="42"/>
        <v>0.69958084011717059</v>
      </c>
      <c r="P65" s="37">
        <f t="shared" si="43"/>
        <v>0.84740905420494184</v>
      </c>
      <c r="Q65" s="38">
        <f t="shared" si="44"/>
        <v>0.78003226415003546</v>
      </c>
      <c r="R65" s="37">
        <f t="shared" si="45"/>
        <v>4.3172154452988852E-2</v>
      </c>
      <c r="S65" s="37">
        <f t="shared" si="46"/>
        <v>7.5436467923019994E-3</v>
      </c>
      <c r="T65" s="37">
        <f t="shared" si="47"/>
        <v>7.2928622717581782E-3</v>
      </c>
      <c r="U65" s="37">
        <f t="shared" si="48"/>
        <v>4.9924337680409044E-3</v>
      </c>
      <c r="V65" s="38">
        <f t="shared" si="49"/>
        <v>6.6096476107003616E-3</v>
      </c>
      <c r="W65" s="37">
        <f t="shared" si="50"/>
        <v>8.1184125677440208E-4</v>
      </c>
      <c r="X65" s="37">
        <f t="shared" si="51"/>
        <v>1.3314775903614458E-2</v>
      </c>
      <c r="Y65" s="37">
        <f t="shared" si="52"/>
        <v>1.2125956626506024E-2</v>
      </c>
      <c r="Z65" s="37">
        <f t="shared" si="53"/>
        <v>1.4057787951807229E-2</v>
      </c>
      <c r="AA65" s="38">
        <f t="shared" si="54"/>
        <v>1.3166173493975905E-2</v>
      </c>
      <c r="AB65" s="154">
        <f t="shared" si="55"/>
        <v>5.6259964286827771E-4</v>
      </c>
    </row>
    <row r="66" spans="1:28" s="5" customFormat="1" ht="13" x14ac:dyDescent="0.15">
      <c r="A66" s="35"/>
      <c r="B66" s="39" t="s">
        <v>32</v>
      </c>
      <c r="C66" s="34">
        <v>0.53472222222222221</v>
      </c>
      <c r="D66" s="40">
        <f>25+D65</f>
        <v>191</v>
      </c>
      <c r="E66" s="35">
        <v>9</v>
      </c>
      <c r="F66" s="36">
        <f>2*1.106</f>
        <v>2.2120000000000002</v>
      </c>
      <c r="G66" s="37">
        <f>2*0.912</f>
        <v>1.8240000000000001</v>
      </c>
      <c r="H66" s="37">
        <f>2*1.137</f>
        <v>2.274</v>
      </c>
      <c r="I66" s="37">
        <f t="shared" si="38"/>
        <v>2.7282808000000003</v>
      </c>
      <c r="J66" s="37">
        <f t="shared" si="38"/>
        <v>2.2497216</v>
      </c>
      <c r="K66" s="37">
        <f t="shared" si="38"/>
        <v>2.8047516000000003</v>
      </c>
      <c r="L66" s="38">
        <f t="shared" si="39"/>
        <v>2.5942513333333337</v>
      </c>
      <c r="M66" s="53">
        <f t="shared" si="40"/>
        <v>0.17367354305920582</v>
      </c>
      <c r="N66" s="37">
        <f t="shared" si="41"/>
        <v>1.0036716672353438</v>
      </c>
      <c r="O66" s="37">
        <f t="shared" si="42"/>
        <v>0.81080647522739502</v>
      </c>
      <c r="P66" s="37">
        <f t="shared" si="43"/>
        <v>1.0313149789035998</v>
      </c>
      <c r="Q66" s="38">
        <f t="shared" si="44"/>
        <v>0.94859770712211289</v>
      </c>
      <c r="R66" s="37">
        <f t="shared" si="45"/>
        <v>6.9356220245664207E-2</v>
      </c>
      <c r="S66" s="37">
        <f t="shared" si="46"/>
        <v>8.4225907642939864E-3</v>
      </c>
      <c r="T66" s="37">
        <f t="shared" si="47"/>
        <v>4.4490254044089773E-3</v>
      </c>
      <c r="U66" s="37">
        <f t="shared" si="48"/>
        <v>7.3562369879463189E-3</v>
      </c>
      <c r="V66" s="38">
        <f t="shared" si="49"/>
        <v>6.7426177188830939E-3</v>
      </c>
      <c r="W66" s="37">
        <f t="shared" si="50"/>
        <v>1.1873923632402484E-3</v>
      </c>
      <c r="X66" s="37">
        <f t="shared" si="51"/>
        <v>1.428419267015707E-2</v>
      </c>
      <c r="Y66" s="37">
        <f t="shared" si="52"/>
        <v>1.1778647120418848E-2</v>
      </c>
      <c r="Z66" s="37">
        <f t="shared" si="53"/>
        <v>1.4684563350785343E-2</v>
      </c>
      <c r="AA66" s="38">
        <f t="shared" si="54"/>
        <v>1.3582467713787086E-2</v>
      </c>
      <c r="AB66" s="154">
        <f t="shared" si="55"/>
        <v>9.092855657550045E-4</v>
      </c>
    </row>
    <row r="67" spans="1:28" s="5" customFormat="1" ht="13" x14ac:dyDescent="0.15">
      <c r="B67" s="39" t="s">
        <v>33</v>
      </c>
      <c r="C67" s="34">
        <v>0.47916666666666669</v>
      </c>
      <c r="D67" s="40">
        <f>22.5+D66</f>
        <v>213.5</v>
      </c>
      <c r="E67" s="35">
        <v>10</v>
      </c>
      <c r="F67" s="36">
        <f>2*1.205</f>
        <v>2.41</v>
      </c>
      <c r="G67" s="37">
        <f>4*0.555</f>
        <v>2.2200000000000002</v>
      </c>
      <c r="H67" s="37">
        <f>2*1.203</f>
        <v>2.4060000000000001</v>
      </c>
      <c r="I67" s="37">
        <f t="shared" si="38"/>
        <v>2.9724940000000002</v>
      </c>
      <c r="J67" s="37">
        <f t="shared" si="38"/>
        <v>2.7381480000000002</v>
      </c>
      <c r="K67" s="37">
        <f t="shared" si="38"/>
        <v>2.9675604000000004</v>
      </c>
      <c r="L67" s="38">
        <f t="shared" si="39"/>
        <v>2.8927341333333332</v>
      </c>
      <c r="M67" s="53">
        <f t="shared" si="40"/>
        <v>7.730618682971703E-2</v>
      </c>
      <c r="N67" s="37">
        <f t="shared" si="41"/>
        <v>1.089401331077819</v>
      </c>
      <c r="O67" s="37">
        <f t="shared" si="42"/>
        <v>1.0072817794594435</v>
      </c>
      <c r="P67" s="37">
        <f t="shared" si="43"/>
        <v>1.0877402011277426</v>
      </c>
      <c r="Q67" s="38">
        <f t="shared" si="44"/>
        <v>1.0614744372216685</v>
      </c>
      <c r="R67" s="37">
        <f t="shared" si="45"/>
        <v>2.71005716709567E-2</v>
      </c>
      <c r="S67" s="37">
        <f t="shared" si="46"/>
        <v>3.8102072818877847E-3</v>
      </c>
      <c r="T67" s="37">
        <f t="shared" si="47"/>
        <v>8.7322357436466005E-3</v>
      </c>
      <c r="U67" s="37">
        <f t="shared" si="48"/>
        <v>2.5077876544063473E-3</v>
      </c>
      <c r="V67" s="38">
        <f t="shared" si="49"/>
        <v>5.0167435599802442E-3</v>
      </c>
      <c r="W67" s="37">
        <f t="shared" si="50"/>
        <v>1.8954098806218285E-3</v>
      </c>
      <c r="X67" s="37">
        <f t="shared" si="51"/>
        <v>1.3922688524590165E-2</v>
      </c>
      <c r="Y67" s="37">
        <f t="shared" si="52"/>
        <v>1.2825049180327871E-2</v>
      </c>
      <c r="Z67" s="37">
        <f t="shared" si="53"/>
        <v>1.3899580327868855E-2</v>
      </c>
      <c r="AA67" s="38">
        <f t="shared" si="54"/>
        <v>1.3549106010928963E-2</v>
      </c>
      <c r="AB67" s="154">
        <f t="shared" si="55"/>
        <v>3.6208986805488081E-4</v>
      </c>
    </row>
    <row r="68" spans="1:28" s="5" customFormat="1" ht="15" customHeight="1" x14ac:dyDescent="0.15">
      <c r="B68" s="39" t="s">
        <v>34</v>
      </c>
      <c r="C68" s="34">
        <v>0.4375</v>
      </c>
      <c r="D68" s="40">
        <f>D67+23</f>
        <v>236.5</v>
      </c>
      <c r="E68" s="35">
        <v>11</v>
      </c>
      <c r="F68" s="36">
        <f>4*0.724</f>
        <v>2.8959999999999999</v>
      </c>
      <c r="G68" s="37">
        <f>4*0.588</f>
        <v>2.3519999999999999</v>
      </c>
      <c r="H68" s="37">
        <f>4*0.654</f>
        <v>2.6160000000000001</v>
      </c>
      <c r="I68" s="37">
        <f t="shared" si="38"/>
        <v>3.5719264000000002</v>
      </c>
      <c r="J68" s="37">
        <f t="shared" si="38"/>
        <v>2.9009567999999999</v>
      </c>
      <c r="K68" s="37">
        <f t="shared" si="38"/>
        <v>3.2265744000000001</v>
      </c>
      <c r="L68" s="38">
        <f t="shared" si="39"/>
        <v>3.2331525333333335</v>
      </c>
      <c r="M68" s="53">
        <f t="shared" si="40"/>
        <v>0.1937201632163032</v>
      </c>
      <c r="N68" s="37">
        <f t="shared" si="41"/>
        <v>1.2731050580987253</v>
      </c>
      <c r="O68" s="37">
        <f t="shared" si="42"/>
        <v>1.0650406136116359</v>
      </c>
      <c r="P68" s="37">
        <f t="shared" si="43"/>
        <v>1.1714210171702077</v>
      </c>
      <c r="Q68" s="38">
        <f t="shared" si="44"/>
        <v>1.1698555629601897</v>
      </c>
      <c r="R68" s="37">
        <f t="shared" si="45"/>
        <v>6.00681314566857E-2</v>
      </c>
      <c r="S68" s="37">
        <f t="shared" si="46"/>
        <v>7.9871185661263607E-3</v>
      </c>
      <c r="T68" s="37">
        <f t="shared" si="47"/>
        <v>2.5112536587909742E-3</v>
      </c>
      <c r="U68" s="37">
        <f t="shared" si="48"/>
        <v>3.638296349672397E-3</v>
      </c>
      <c r="V68" s="38">
        <f t="shared" si="49"/>
        <v>4.7122228581965775E-3</v>
      </c>
      <c r="W68" s="37">
        <f t="shared" si="50"/>
        <v>1.6694572701060658E-3</v>
      </c>
      <c r="X68" s="37">
        <f t="shared" si="51"/>
        <v>1.5103282875264272E-2</v>
      </c>
      <c r="Y68" s="37">
        <f t="shared" si="52"/>
        <v>1.2266202114164904E-2</v>
      </c>
      <c r="Z68" s="37">
        <f t="shared" si="53"/>
        <v>1.3643020718816068E-2</v>
      </c>
      <c r="AA68" s="38">
        <f t="shared" si="54"/>
        <v>1.3670835236081749E-2</v>
      </c>
      <c r="AB68" s="154">
        <f t="shared" si="55"/>
        <v>8.1911274087231823E-4</v>
      </c>
    </row>
    <row r="69" spans="1:28" s="5" customFormat="1" ht="13" x14ac:dyDescent="0.15">
      <c r="B69" s="39" t="s">
        <v>35</v>
      </c>
      <c r="C69" s="34">
        <v>0.44444444444444442</v>
      </c>
      <c r="D69" s="40">
        <f>24+D68</f>
        <v>260.5</v>
      </c>
      <c r="E69" s="35">
        <v>12</v>
      </c>
      <c r="F69" s="36">
        <f>4*0.77</f>
        <v>3.08</v>
      </c>
      <c r="G69" s="37">
        <f>4*0.703</f>
        <v>2.8119999999999998</v>
      </c>
      <c r="H69" s="37">
        <f>4*0.718</f>
        <v>2.8719999999999999</v>
      </c>
      <c r="I69" s="37">
        <f t="shared" si="38"/>
        <v>3.7988720000000002</v>
      </c>
      <c r="J69" s="37">
        <f t="shared" si="38"/>
        <v>3.4683207999999999</v>
      </c>
      <c r="K69" s="37">
        <f t="shared" si="38"/>
        <v>3.5423247999999998</v>
      </c>
      <c r="L69" s="38">
        <f t="shared" si="39"/>
        <v>3.6031725333333333</v>
      </c>
      <c r="M69" s="53">
        <f t="shared" si="40"/>
        <v>0.10015464533113015</v>
      </c>
      <c r="N69" s="37">
        <f t="shared" si="41"/>
        <v>1.3347041805607385</v>
      </c>
      <c r="O69" s="37">
        <f t="shared" si="42"/>
        <v>1.2436705575236737</v>
      </c>
      <c r="P69" s="37">
        <f t="shared" si="43"/>
        <v>1.2647832347612331</v>
      </c>
      <c r="Q69" s="38">
        <f t="shared" si="44"/>
        <v>1.2810526576152153</v>
      </c>
      <c r="R69" s="37">
        <f t="shared" si="45"/>
        <v>2.7509396702550298E-2</v>
      </c>
      <c r="S69" s="37">
        <f t="shared" si="46"/>
        <v>2.5666301025838814E-3</v>
      </c>
      <c r="T69" s="37">
        <f t="shared" si="47"/>
        <v>7.4429143296682416E-3</v>
      </c>
      <c r="U69" s="37">
        <f t="shared" si="48"/>
        <v>3.890092399626057E-3</v>
      </c>
      <c r="V69" s="38">
        <f t="shared" si="49"/>
        <v>4.6332122772927272E-3</v>
      </c>
      <c r="W69" s="37">
        <f t="shared" si="50"/>
        <v>1.4558740021335891E-3</v>
      </c>
      <c r="X69" s="37">
        <f t="shared" si="51"/>
        <v>1.4583001919385798E-2</v>
      </c>
      <c r="Y69" s="37">
        <f t="shared" si="52"/>
        <v>1.3314091362763915E-2</v>
      </c>
      <c r="Z69" s="37">
        <f t="shared" si="53"/>
        <v>1.3598175815738963E-2</v>
      </c>
      <c r="AA69" s="38">
        <f t="shared" si="54"/>
        <v>1.3831756365962891E-2</v>
      </c>
      <c r="AB69" s="154">
        <f t="shared" si="55"/>
        <v>3.8447080741316799E-4</v>
      </c>
    </row>
    <row r="70" spans="1:28" s="5" customFormat="1" ht="13" x14ac:dyDescent="0.15">
      <c r="B70" s="39" t="s">
        <v>36</v>
      </c>
      <c r="C70" s="34">
        <v>0.4375</v>
      </c>
      <c r="D70" s="40">
        <f>24+D69</f>
        <v>284.5</v>
      </c>
      <c r="E70" s="35">
        <v>13</v>
      </c>
      <c r="F70" s="36">
        <f>8*0.455</f>
        <v>3.64</v>
      </c>
      <c r="G70" s="37">
        <f>8*0.385</f>
        <v>3.08</v>
      </c>
      <c r="H70" s="37">
        <f>4*0.75</f>
        <v>3</v>
      </c>
      <c r="I70" s="37">
        <f t="shared" si="38"/>
        <v>4.4895760000000005</v>
      </c>
      <c r="J70" s="37">
        <f t="shared" si="38"/>
        <v>3.7988720000000002</v>
      </c>
      <c r="K70" s="37">
        <f t="shared" si="38"/>
        <v>3.7002000000000002</v>
      </c>
      <c r="L70" s="38">
        <f t="shared" si="39"/>
        <v>3.9962160000000004</v>
      </c>
      <c r="M70" s="53">
        <f t="shared" si="40"/>
        <v>0.24831908779901188</v>
      </c>
      <c r="N70" s="37">
        <f t="shared" si="41"/>
        <v>1.5017582652239048</v>
      </c>
      <c r="O70" s="37">
        <f t="shared" si="42"/>
        <v>1.3347041805607385</v>
      </c>
      <c r="P70" s="37">
        <f t="shared" si="43"/>
        <v>1.3083868722433651</v>
      </c>
      <c r="Q70" s="38">
        <f t="shared" si="44"/>
        <v>1.3816164393426693</v>
      </c>
      <c r="R70" s="37">
        <f t="shared" si="45"/>
        <v>6.0549412118879452E-2</v>
      </c>
      <c r="S70" s="37">
        <f t="shared" si="46"/>
        <v>6.9605868609652621E-3</v>
      </c>
      <c r="T70" s="37">
        <f t="shared" si="47"/>
        <v>3.7930676265443644E-3</v>
      </c>
      <c r="U70" s="37">
        <f t="shared" si="48"/>
        <v>1.8168182284221679E-3</v>
      </c>
      <c r="V70" s="38">
        <f t="shared" si="49"/>
        <v>4.1901575719772649E-3</v>
      </c>
      <c r="W70" s="37">
        <f t="shared" si="50"/>
        <v>1.4980931496246033E-3</v>
      </c>
      <c r="X70" s="37">
        <f t="shared" si="51"/>
        <v>1.5780583479789105E-2</v>
      </c>
      <c r="Y70" s="37">
        <f t="shared" si="52"/>
        <v>1.3352801405975397E-2</v>
      </c>
      <c r="Z70" s="37">
        <f t="shared" si="53"/>
        <v>1.300597539543058E-2</v>
      </c>
      <c r="AA70" s="38">
        <f t="shared" si="54"/>
        <v>1.4046453427065028E-2</v>
      </c>
      <c r="AB70" s="154">
        <f t="shared" si="55"/>
        <v>8.7282631915294154E-4</v>
      </c>
    </row>
    <row r="71" spans="1:28" s="5" customFormat="1" ht="13" x14ac:dyDescent="0.15">
      <c r="B71" s="41" t="s">
        <v>37</v>
      </c>
      <c r="C71" s="34">
        <v>0.40277777777777773</v>
      </c>
      <c r="D71" s="40">
        <f>23+D70</f>
        <v>307.5</v>
      </c>
      <c r="E71" s="35">
        <v>14</v>
      </c>
      <c r="F71" s="36">
        <f>8*0.457</f>
        <v>3.6560000000000001</v>
      </c>
      <c r="G71" s="37">
        <f>8*0.389</f>
        <v>3.1120000000000001</v>
      </c>
      <c r="H71" s="37">
        <f>8*0.458</f>
        <v>3.6640000000000001</v>
      </c>
      <c r="I71" s="37">
        <f t="shared" si="38"/>
        <v>4.5093104000000004</v>
      </c>
      <c r="J71" s="37">
        <f t="shared" si="38"/>
        <v>3.8383408000000001</v>
      </c>
      <c r="K71" s="37">
        <f t="shared" si="38"/>
        <v>4.5191776000000008</v>
      </c>
      <c r="L71" s="38">
        <f t="shared" si="39"/>
        <v>4.2889429333333338</v>
      </c>
      <c r="M71" s="53">
        <f t="shared" si="40"/>
        <v>0.22531907178663593</v>
      </c>
      <c r="N71" s="37">
        <f t="shared" si="41"/>
        <v>1.506144237167159</v>
      </c>
      <c r="O71" s="37">
        <f t="shared" si="42"/>
        <v>1.3450401898914006</v>
      </c>
      <c r="P71" s="37">
        <f t="shared" si="43"/>
        <v>1.5083300303871394</v>
      </c>
      <c r="Q71" s="38">
        <f t="shared" si="44"/>
        <v>1.4531714858152329</v>
      </c>
      <c r="R71" s="37">
        <f t="shared" si="45"/>
        <v>5.4069329851052297E-2</v>
      </c>
      <c r="S71" s="37">
        <f t="shared" si="46"/>
        <v>1.9069443231539937E-4</v>
      </c>
      <c r="T71" s="37">
        <f t="shared" si="47"/>
        <v>4.4939171002878885E-4</v>
      </c>
      <c r="U71" s="37">
        <f t="shared" si="48"/>
        <v>8.6931807888597518E-3</v>
      </c>
      <c r="V71" s="38">
        <f t="shared" si="49"/>
        <v>3.11108897706798E-3</v>
      </c>
      <c r="W71" s="37">
        <f t="shared" si="50"/>
        <v>2.7920448191739717E-3</v>
      </c>
      <c r="X71" s="37">
        <f t="shared" si="51"/>
        <v>1.4664424065040652E-2</v>
      </c>
      <c r="Y71" s="37">
        <f t="shared" si="52"/>
        <v>1.2482409105691056E-2</v>
      </c>
      <c r="Z71" s="37">
        <f t="shared" si="53"/>
        <v>1.4696512520325207E-2</v>
      </c>
      <c r="AA71" s="38">
        <f t="shared" si="54"/>
        <v>1.3947781897018972E-2</v>
      </c>
      <c r="AB71" s="154">
        <f t="shared" si="55"/>
        <v>7.3274494889962946E-4</v>
      </c>
    </row>
    <row r="72" spans="1:28" s="5" customFormat="1" ht="13" x14ac:dyDescent="0.15">
      <c r="B72" s="41" t="s">
        <v>38</v>
      </c>
      <c r="C72" s="34">
        <v>0.5</v>
      </c>
      <c r="D72" s="40">
        <f>2.5+24+D71</f>
        <v>334</v>
      </c>
      <c r="E72" s="35">
        <v>15</v>
      </c>
      <c r="F72" s="36">
        <f>8*0.459</f>
        <v>3.6720000000000002</v>
      </c>
      <c r="G72" s="37">
        <f>8*0.399</f>
        <v>3.1920000000000002</v>
      </c>
      <c r="H72" s="37">
        <f>0.468*8</f>
        <v>3.7440000000000002</v>
      </c>
      <c r="I72" s="37">
        <f t="shared" si="38"/>
        <v>4.5290448000000003</v>
      </c>
      <c r="J72" s="37">
        <f t="shared" si="38"/>
        <v>3.9370128000000002</v>
      </c>
      <c r="K72" s="37">
        <f t="shared" si="38"/>
        <v>4.6178496000000004</v>
      </c>
      <c r="L72" s="38">
        <f t="shared" si="39"/>
        <v>4.3613024000000005</v>
      </c>
      <c r="M72" s="53">
        <f t="shared" si="40"/>
        <v>0.21368810731755764</v>
      </c>
      <c r="N72" s="37">
        <f t="shared" si="41"/>
        <v>1.5105110563334996</v>
      </c>
      <c r="O72" s="37">
        <f t="shared" si="42"/>
        <v>1.3704222631628178</v>
      </c>
      <c r="P72" s="37">
        <f t="shared" si="43"/>
        <v>1.5299291421906012</v>
      </c>
      <c r="Q72" s="38">
        <f t="shared" si="44"/>
        <v>1.4702874872289726</v>
      </c>
      <c r="R72" s="37">
        <f t="shared" si="45"/>
        <v>5.0246269340538968E-2</v>
      </c>
      <c r="S72" s="37">
        <f t="shared" si="46"/>
        <v>1.6478562891851433E-4</v>
      </c>
      <c r="T72" s="37">
        <f t="shared" si="47"/>
        <v>9.5781408571385548E-4</v>
      </c>
      <c r="U72" s="37">
        <f t="shared" si="48"/>
        <v>8.1506082277214137E-4</v>
      </c>
      <c r="V72" s="38">
        <f t="shared" si="49"/>
        <v>6.4588684580150363E-4</v>
      </c>
      <c r="W72" s="37">
        <f t="shared" si="50"/>
        <v>2.4405491812626006E-4</v>
      </c>
      <c r="X72" s="37">
        <f t="shared" si="51"/>
        <v>1.3560014371257485E-2</v>
      </c>
      <c r="Y72" s="37">
        <f t="shared" si="52"/>
        <v>1.1787463473053893E-2</v>
      </c>
      <c r="Z72" s="37">
        <f t="shared" si="53"/>
        <v>1.3825897005988024E-2</v>
      </c>
      <c r="AA72" s="38">
        <f t="shared" si="54"/>
        <v>1.3057791616766469E-2</v>
      </c>
      <c r="AB72" s="154">
        <f t="shared" si="55"/>
        <v>6.3978475244777717E-4</v>
      </c>
    </row>
    <row r="73" spans="1:28" s="5" customFormat="1" ht="13" x14ac:dyDescent="0.15">
      <c r="B73" s="41" t="s">
        <v>39</v>
      </c>
      <c r="C73" s="34">
        <v>0.53472222222222221</v>
      </c>
      <c r="D73" s="40">
        <f>D71+48+3</f>
        <v>358.5</v>
      </c>
      <c r="E73" s="35">
        <v>16</v>
      </c>
      <c r="F73" s="36">
        <f>4*0.921</f>
        <v>3.6840000000000002</v>
      </c>
      <c r="G73" s="37">
        <f>4*0.87</f>
        <v>3.48</v>
      </c>
      <c r="H73" s="37">
        <f>4*0.895</f>
        <v>3.58</v>
      </c>
      <c r="I73" s="37">
        <f t="shared" si="38"/>
        <v>4.5438456</v>
      </c>
      <c r="J73" s="37">
        <f t="shared" si="38"/>
        <v>4.2922320000000003</v>
      </c>
      <c r="K73" s="37">
        <f t="shared" si="38"/>
        <v>4.4155720000000001</v>
      </c>
      <c r="L73" s="38">
        <f t="shared" si="39"/>
        <v>4.4172165333333338</v>
      </c>
      <c r="M73" s="53">
        <f t="shared" si="40"/>
        <v>7.2639243970123363E-2</v>
      </c>
      <c r="N73" s="37">
        <f t="shared" si="41"/>
        <v>1.5137737019683157</v>
      </c>
      <c r="O73" s="37">
        <f t="shared" si="42"/>
        <v>1.4568068773616385</v>
      </c>
      <c r="P73" s="37">
        <f t="shared" si="43"/>
        <v>1.4851373839878643</v>
      </c>
      <c r="Q73" s="38">
        <f t="shared" si="44"/>
        <v>1.4852393211059394</v>
      </c>
      <c r="R73" s="37">
        <f t="shared" si="45"/>
        <v>1.6444984745346253E-2</v>
      </c>
      <c r="S73" s="37">
        <f t="shared" si="46"/>
        <v>1.3316920958433276E-4</v>
      </c>
      <c r="T73" s="37">
        <f t="shared" si="47"/>
        <v>3.525902620360029E-3</v>
      </c>
      <c r="U73" s="37">
        <f t="shared" si="48"/>
        <v>-1.8282350286831365E-3</v>
      </c>
      <c r="V73" s="38">
        <f t="shared" si="49"/>
        <v>6.1027893375374177E-4</v>
      </c>
      <c r="W73" s="37">
        <f t="shared" si="50"/>
        <v>1.5639077933068952E-3</v>
      </c>
      <c r="X73" s="37">
        <f t="shared" si="51"/>
        <v>1.2674604184100418E-2</v>
      </c>
      <c r="Y73" s="37">
        <f t="shared" si="52"/>
        <v>1.1972753138075314E-2</v>
      </c>
      <c r="Z73" s="37">
        <f t="shared" si="53"/>
        <v>1.2316797768479777E-2</v>
      </c>
      <c r="AA73" s="38">
        <f t="shared" si="54"/>
        <v>1.2321385030218504E-2</v>
      </c>
      <c r="AB73" s="154">
        <f t="shared" si="55"/>
        <v>2.0261992739225475E-4</v>
      </c>
    </row>
    <row r="74" spans="1:28" s="5" customFormat="1" ht="13" x14ac:dyDescent="0.15">
      <c r="B74" s="41" t="s">
        <v>40</v>
      </c>
      <c r="C74" s="34">
        <v>0.53472222222222221</v>
      </c>
      <c r="D74" s="40">
        <f>24+D73</f>
        <v>382.5</v>
      </c>
      <c r="E74" s="35">
        <v>17</v>
      </c>
      <c r="F74" s="36">
        <f>8*0.457</f>
        <v>3.6560000000000001</v>
      </c>
      <c r="G74" s="37">
        <f>8*0.439</f>
        <v>3.512</v>
      </c>
      <c r="H74" s="37">
        <f>4*0.901</f>
        <v>3.6040000000000001</v>
      </c>
      <c r="I74" s="37">
        <f t="shared" si="38"/>
        <v>4.5093104000000004</v>
      </c>
      <c r="J74" s="37">
        <f t="shared" si="38"/>
        <v>4.3317008000000001</v>
      </c>
      <c r="K74" s="37">
        <f t="shared" si="38"/>
        <v>4.4451736000000004</v>
      </c>
      <c r="L74" s="38">
        <f t="shared" si="39"/>
        <v>4.428728266666667</v>
      </c>
      <c r="M74" s="53">
        <f t="shared" si="40"/>
        <v>5.1926644555479608E-2</v>
      </c>
      <c r="N74" s="37">
        <f t="shared" si="41"/>
        <v>1.506144237167159</v>
      </c>
      <c r="O74" s="37">
        <f t="shared" si="42"/>
        <v>1.4659602593481256</v>
      </c>
      <c r="P74" s="37">
        <f t="shared" si="43"/>
        <v>1.491818923321347</v>
      </c>
      <c r="Q74" s="38">
        <f t="shared" si="44"/>
        <v>1.4879744732788771</v>
      </c>
      <c r="R74" s="37">
        <f t="shared" si="45"/>
        <v>1.1758300124265788E-2</v>
      </c>
      <c r="S74" s="37">
        <f t="shared" si="46"/>
        <v>-3.1789436671486593E-4</v>
      </c>
      <c r="T74" s="37">
        <f t="shared" si="47"/>
        <v>3.8139091610362813E-4</v>
      </c>
      <c r="U74" s="37">
        <f t="shared" si="48"/>
        <v>2.7839747222844585E-4</v>
      </c>
      <c r="V74" s="38">
        <f t="shared" si="49"/>
        <v>1.1396467387240268E-4</v>
      </c>
      <c r="W74" s="37">
        <f t="shared" si="50"/>
        <v>2.1796680601491802E-4</v>
      </c>
      <c r="X74" s="37">
        <f t="shared" si="51"/>
        <v>1.1789046797385622E-2</v>
      </c>
      <c r="Y74" s="37">
        <f t="shared" si="52"/>
        <v>1.1324707973856209E-2</v>
      </c>
      <c r="Z74" s="37">
        <f t="shared" si="53"/>
        <v>1.162136888888889E-2</v>
      </c>
      <c r="AA74" s="38">
        <f t="shared" si="54"/>
        <v>1.1578374553376907E-2</v>
      </c>
      <c r="AB74" s="154">
        <f t="shared" si="55"/>
        <v>1.3575593347837819E-4</v>
      </c>
    </row>
    <row r="75" spans="1:28" s="5" customFormat="1" ht="13" x14ac:dyDescent="0.15">
      <c r="B75" s="41" t="s">
        <v>41</v>
      </c>
      <c r="C75" s="34">
        <v>0.4861111111111111</v>
      </c>
      <c r="D75" s="40">
        <f>23+D74</f>
        <v>405.5</v>
      </c>
      <c r="E75" s="35">
        <v>18</v>
      </c>
      <c r="F75" s="36">
        <f>8*0.458</f>
        <v>3.6640000000000001</v>
      </c>
      <c r="G75" s="37">
        <f>8*0.453</f>
        <v>3.6240000000000001</v>
      </c>
      <c r="H75" s="37">
        <f>4*0.959</f>
        <v>3.8359999999999999</v>
      </c>
      <c r="I75" s="37">
        <f t="shared" ref="I75:K76" si="56">1.2334*F75</f>
        <v>4.5191776000000008</v>
      </c>
      <c r="J75" s="37">
        <f t="shared" si="56"/>
        <v>4.4698416000000005</v>
      </c>
      <c r="K75" s="37">
        <f t="shared" si="56"/>
        <v>4.7313223999999998</v>
      </c>
      <c r="L75" s="38">
        <f t="shared" si="39"/>
        <v>4.5734472000000004</v>
      </c>
      <c r="M75" s="53">
        <f t="shared" si="40"/>
        <v>8.0212102796855367E-2</v>
      </c>
      <c r="N75" s="37">
        <f t="shared" ref="N75:P76" si="57">LN(I75)</f>
        <v>1.5083300303871394</v>
      </c>
      <c r="O75" s="37">
        <f t="shared" si="57"/>
        <v>1.4973529717559884</v>
      </c>
      <c r="P75" s="37">
        <f t="shared" si="57"/>
        <v>1.5542047405964472</v>
      </c>
      <c r="Q75" s="38">
        <f t="shared" si="44"/>
        <v>1.5199625809131916</v>
      </c>
      <c r="R75" s="37">
        <f t="shared" si="45"/>
        <v>1.7411854954581092E-2</v>
      </c>
      <c r="S75" s="37">
        <f t="shared" si="46"/>
        <v>9.5034487825237818E-5</v>
      </c>
      <c r="T75" s="37">
        <f t="shared" si="47"/>
        <v>1.3649005394722952E-3</v>
      </c>
      <c r="U75" s="37">
        <f t="shared" si="48"/>
        <v>2.7124268380478338E-3</v>
      </c>
      <c r="V75" s="38">
        <f t="shared" si="49"/>
        <v>1.3907872884484555E-3</v>
      </c>
      <c r="W75" s="37">
        <f t="shared" si="50"/>
        <v>7.5568694390829114E-4</v>
      </c>
      <c r="X75" s="37">
        <f t="shared" si="51"/>
        <v>1.1144704315659681E-2</v>
      </c>
      <c r="Y75" s="37">
        <f t="shared" si="52"/>
        <v>1.1023037237977807E-2</v>
      </c>
      <c r="Z75" s="37">
        <f t="shared" si="53"/>
        <v>1.1667872749691739E-2</v>
      </c>
      <c r="AA75" s="38">
        <f t="shared" si="54"/>
        <v>1.1278538101109742E-2</v>
      </c>
      <c r="AB75" s="154">
        <f t="shared" si="55"/>
        <v>1.9781036448053118E-4</v>
      </c>
    </row>
    <row r="76" spans="1:28" s="5" customFormat="1" thickBot="1" x14ac:dyDescent="0.2">
      <c r="A76" s="44"/>
      <c r="B76" s="42" t="s">
        <v>42</v>
      </c>
      <c r="C76" s="43">
        <v>0.52083333333333337</v>
      </c>
      <c r="D76" s="57">
        <f>D75+25</f>
        <v>430.5</v>
      </c>
      <c r="E76" s="44">
        <v>19</v>
      </c>
      <c r="F76" s="46">
        <f>8*0.475</f>
        <v>3.8</v>
      </c>
      <c r="G76" s="47">
        <f>4*0.93</f>
        <v>3.72</v>
      </c>
      <c r="H76" s="47">
        <f>4*0.969</f>
        <v>3.8759999999999999</v>
      </c>
      <c r="I76" s="47">
        <f t="shared" si="56"/>
        <v>4.6869199999999998</v>
      </c>
      <c r="J76" s="47">
        <f t="shared" si="56"/>
        <v>4.5882480000000001</v>
      </c>
      <c r="K76" s="47">
        <f t="shared" si="56"/>
        <v>4.7806584000000001</v>
      </c>
      <c r="L76" s="48">
        <f t="shared" si="39"/>
        <v>4.6852754666666669</v>
      </c>
      <c r="M76" s="54">
        <f t="shared" si="40"/>
        <v>5.5550184141468964E-2</v>
      </c>
      <c r="N76" s="47">
        <f t="shared" si="57"/>
        <v>1.5447756503075953</v>
      </c>
      <c r="O76" s="47">
        <f t="shared" si="57"/>
        <v>1.5234982518603106</v>
      </c>
      <c r="P76" s="47">
        <f t="shared" si="57"/>
        <v>1.5645782776037751</v>
      </c>
      <c r="Q76" s="48">
        <f t="shared" si="44"/>
        <v>1.5442840599238938</v>
      </c>
      <c r="R76" s="47">
        <f t="shared" si="45"/>
        <v>1.18613289671371E-2</v>
      </c>
      <c r="S76" s="47">
        <f t="shared" si="46"/>
        <v>1.4578247968182368E-3</v>
      </c>
      <c r="T76" s="47">
        <f t="shared" si="47"/>
        <v>1.0458112041728906E-3</v>
      </c>
      <c r="U76" s="47">
        <f t="shared" si="48"/>
        <v>4.1494148029311615E-4</v>
      </c>
      <c r="V76" s="48">
        <f t="shared" si="49"/>
        <v>9.7285916042808126E-4</v>
      </c>
      <c r="W76" s="47">
        <f t="shared" si="50"/>
        <v>3.032561642607985E-4</v>
      </c>
      <c r="X76" s="47">
        <f t="shared" si="51"/>
        <v>1.0887154471544714E-2</v>
      </c>
      <c r="Y76" s="47">
        <f t="shared" si="52"/>
        <v>1.0657951219512195E-2</v>
      </c>
      <c r="Z76" s="47">
        <f t="shared" si="53"/>
        <v>1.110489756097561E-2</v>
      </c>
      <c r="AA76" s="48">
        <f t="shared" si="54"/>
        <v>1.0883334417344173E-2</v>
      </c>
      <c r="AB76" s="156">
        <f t="shared" si="55"/>
        <v>1.2903643238436474E-4</v>
      </c>
    </row>
    <row r="93" spans="1:4" x14ac:dyDescent="0.15">
      <c r="A93" s="55" t="s">
        <v>65</v>
      </c>
      <c r="B93" s="55" t="s">
        <v>64</v>
      </c>
      <c r="C93" s="55" t="s">
        <v>63</v>
      </c>
      <c r="D93" s="55"/>
    </row>
  </sheetData>
  <mergeCells count="46">
    <mergeCell ref="B55:B56"/>
    <mergeCell ref="B57:B59"/>
    <mergeCell ref="E55:E56"/>
    <mergeCell ref="E57:E59"/>
    <mergeCell ref="A1:AB1"/>
    <mergeCell ref="B2:AB2"/>
    <mergeCell ref="F4:H4"/>
    <mergeCell ref="N3:P3"/>
    <mergeCell ref="B27:AB27"/>
    <mergeCell ref="F3:H3"/>
    <mergeCell ref="I3:K3"/>
    <mergeCell ref="S3:U3"/>
    <mergeCell ref="B5:B6"/>
    <mergeCell ref="B7:B9"/>
    <mergeCell ref="E5:E6"/>
    <mergeCell ref="E7:E9"/>
    <mergeCell ref="S4:U4"/>
    <mergeCell ref="X3:Z3"/>
    <mergeCell ref="X4:Z4"/>
    <mergeCell ref="N4:P4"/>
    <mergeCell ref="I4:K4"/>
    <mergeCell ref="B52:AB52"/>
    <mergeCell ref="F28:H28"/>
    <mergeCell ref="I28:K28"/>
    <mergeCell ref="N28:P28"/>
    <mergeCell ref="N29:P29"/>
    <mergeCell ref="S28:U28"/>
    <mergeCell ref="S29:U29"/>
    <mergeCell ref="X28:Z28"/>
    <mergeCell ref="X29:Z29"/>
    <mergeCell ref="F29:H29"/>
    <mergeCell ref="I29:K29"/>
    <mergeCell ref="B30:B31"/>
    <mergeCell ref="B32:B34"/>
    <mergeCell ref="E32:E34"/>
    <mergeCell ref="E30:E31"/>
    <mergeCell ref="S53:U53"/>
    <mergeCell ref="X53:Z53"/>
    <mergeCell ref="S54:U54"/>
    <mergeCell ref="X54:Z54"/>
    <mergeCell ref="F53:H53"/>
    <mergeCell ref="I53:K53"/>
    <mergeCell ref="F54:H54"/>
    <mergeCell ref="I54:K54"/>
    <mergeCell ref="N53:P53"/>
    <mergeCell ref="N54:P54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F0C54-02E9-964C-9089-6886F33EB45F}">
  <dimension ref="A1:AF93"/>
  <sheetViews>
    <sheetView zoomScaleNormal="100" workbookViewId="0">
      <selection sqref="A1:AB1"/>
    </sheetView>
  </sheetViews>
  <sheetFormatPr baseColWidth="10" defaultColWidth="8.83203125" defaultRowHeight="14" x14ac:dyDescent="0.15"/>
  <cols>
    <col min="1" max="1" width="74.5" style="3" customWidth="1"/>
    <col min="2" max="2" width="12" style="3" bestFit="1" customWidth="1"/>
    <col min="3" max="3" width="12" style="3" customWidth="1"/>
    <col min="4" max="11" width="8.83203125" style="3"/>
    <col min="12" max="12" width="13.33203125" style="3" customWidth="1"/>
    <col min="13" max="13" width="10.33203125" style="3" customWidth="1"/>
    <col min="14" max="16" width="8.83203125" style="3"/>
    <col min="17" max="17" width="13.1640625" style="3" customWidth="1"/>
    <col min="18" max="18" width="10.5" style="3" customWidth="1"/>
    <col min="19" max="19" width="8.5" style="3" customWidth="1"/>
    <col min="20" max="20" width="9.1640625" style="3" bestFit="1" customWidth="1"/>
    <col min="21" max="21" width="9.33203125" style="3" bestFit="1" customWidth="1"/>
    <col min="22" max="26" width="9" style="3" bestFit="1" customWidth="1"/>
    <col min="27" max="27" width="10.33203125" style="3" customWidth="1"/>
    <col min="28" max="28" width="8.83203125" style="3" customWidth="1"/>
    <col min="29" max="29" width="12.1640625" style="3" customWidth="1"/>
    <col min="30" max="16384" width="8.83203125" style="3"/>
  </cols>
  <sheetData>
    <row r="1" spans="1:28" ht="17" customHeight="1" thickBot="1" x14ac:dyDescent="0.2">
      <c r="A1" s="191" t="s">
        <v>69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3"/>
    </row>
    <row r="2" spans="1:28" ht="15" customHeight="1" thickBot="1" x14ac:dyDescent="0.2">
      <c r="A2" s="56"/>
      <c r="B2" s="194" t="s">
        <v>65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6"/>
    </row>
    <row r="3" spans="1:28" ht="45" customHeight="1" x14ac:dyDescent="0.15">
      <c r="A3" s="56"/>
      <c r="B3" s="22" t="s">
        <v>0</v>
      </c>
      <c r="C3" s="23" t="s">
        <v>1</v>
      </c>
      <c r="D3" s="24" t="s">
        <v>2</v>
      </c>
      <c r="E3" s="25" t="s">
        <v>3</v>
      </c>
      <c r="F3" s="180" t="s">
        <v>66</v>
      </c>
      <c r="G3" s="173"/>
      <c r="H3" s="174"/>
      <c r="I3" s="172" t="s">
        <v>16</v>
      </c>
      <c r="J3" s="173"/>
      <c r="K3" s="174"/>
      <c r="L3" s="26" t="s">
        <v>4</v>
      </c>
      <c r="M3" s="27" t="s">
        <v>56</v>
      </c>
      <c r="N3" s="172" t="s">
        <v>68</v>
      </c>
      <c r="O3" s="173"/>
      <c r="P3" s="174"/>
      <c r="Q3" s="27" t="s">
        <v>5</v>
      </c>
      <c r="R3" s="27" t="s">
        <v>56</v>
      </c>
      <c r="S3" s="172" t="s">
        <v>6</v>
      </c>
      <c r="T3" s="173"/>
      <c r="U3" s="174"/>
      <c r="V3" s="26" t="s">
        <v>57</v>
      </c>
      <c r="W3" s="26" t="s">
        <v>56</v>
      </c>
      <c r="X3" s="172" t="s">
        <v>58</v>
      </c>
      <c r="Y3" s="173"/>
      <c r="Z3" s="174"/>
      <c r="AA3" s="26" t="s">
        <v>59</v>
      </c>
      <c r="AB3" s="49" t="s">
        <v>56</v>
      </c>
    </row>
    <row r="4" spans="1:28" ht="15" customHeight="1" x14ac:dyDescent="0.15">
      <c r="A4" s="56"/>
      <c r="B4" s="28"/>
      <c r="C4" s="29"/>
      <c r="D4" s="30"/>
      <c r="E4" s="31"/>
      <c r="F4" s="181" t="s">
        <v>19</v>
      </c>
      <c r="G4" s="182"/>
      <c r="H4" s="183"/>
      <c r="I4" s="184" t="s">
        <v>7</v>
      </c>
      <c r="J4" s="182"/>
      <c r="K4" s="183"/>
      <c r="L4" s="32" t="s">
        <v>7</v>
      </c>
      <c r="M4" s="50"/>
      <c r="N4" s="184" t="s">
        <v>7</v>
      </c>
      <c r="O4" s="182"/>
      <c r="P4" s="183"/>
      <c r="Q4" s="33" t="s">
        <v>7</v>
      </c>
      <c r="R4" s="33"/>
      <c r="S4" s="177" t="s">
        <v>60</v>
      </c>
      <c r="T4" s="178"/>
      <c r="U4" s="179"/>
      <c r="V4" s="32" t="s">
        <v>60</v>
      </c>
      <c r="W4" s="30"/>
      <c r="X4" s="177" t="s">
        <v>61</v>
      </c>
      <c r="Y4" s="178"/>
      <c r="Z4" s="179"/>
      <c r="AA4" s="51" t="s">
        <v>61</v>
      </c>
      <c r="AB4" s="52"/>
    </row>
    <row r="5" spans="1:28" s="5" customFormat="1" ht="13" x14ac:dyDescent="0.15">
      <c r="A5" s="41"/>
      <c r="B5" s="189" t="s">
        <v>8</v>
      </c>
      <c r="C5" s="34">
        <v>0.47916666666666669</v>
      </c>
      <c r="D5" s="40">
        <v>0</v>
      </c>
      <c r="E5" s="190">
        <v>1</v>
      </c>
      <c r="F5" s="36">
        <v>0.10199999999999999</v>
      </c>
      <c r="G5" s="37">
        <v>0.09</v>
      </c>
      <c r="H5" s="37">
        <v>0.10100000000000001</v>
      </c>
      <c r="I5" s="37">
        <f>1.2596*F5</f>
        <v>0.12847919999999999</v>
      </c>
      <c r="J5" s="37">
        <f>1.2596*G5</f>
        <v>0.11336400000000001</v>
      </c>
      <c r="K5" s="37">
        <f t="shared" ref="J5:K20" si="0">1.2596*H5</f>
        <v>0.12721960000000002</v>
      </c>
      <c r="L5" s="38">
        <f t="shared" ref="L5:L26" si="1">AVERAGE(I5:K5)</f>
        <v>0.12302093333333335</v>
      </c>
      <c r="M5" s="37">
        <f t="shared" ref="M5:M26" si="2">STDEV(I5:K5)/SQRT(3)</f>
        <v>4.8421386147491094E-3</v>
      </c>
      <c r="N5" s="37">
        <f t="shared" ref="N5:N26" si="3">LN(I5)</f>
        <v>-2.0519882554531335</v>
      </c>
      <c r="O5" s="37">
        <f t="shared" ref="O5:O26" si="4">LN(J5)</f>
        <v>-2.1771513984071396</v>
      </c>
      <c r="P5" s="37">
        <f t="shared" ref="P5:P26" si="5">LN(K5)</f>
        <v>-2.0618405518961449</v>
      </c>
      <c r="Q5" s="38">
        <f t="shared" ref="Q5:Q26" si="6">AVERAGE(N5:P5)</f>
        <v>-2.0969934019188057</v>
      </c>
      <c r="R5" s="37">
        <f>STDEV(N5:P5)/SQRT(3)</f>
        <v>4.0179784457145526E-2</v>
      </c>
      <c r="AB5" s="35"/>
    </row>
    <row r="6" spans="1:28" s="5" customFormat="1" ht="13" x14ac:dyDescent="0.15">
      <c r="A6" s="41"/>
      <c r="B6" s="189"/>
      <c r="C6" s="34">
        <v>0.8125</v>
      </c>
      <c r="D6" s="40">
        <v>8</v>
      </c>
      <c r="E6" s="190"/>
      <c r="F6" s="36">
        <v>0.13500000000000001</v>
      </c>
      <c r="G6" s="37">
        <v>0.14099999999999999</v>
      </c>
      <c r="H6" s="37">
        <v>0.14000000000000001</v>
      </c>
      <c r="I6" s="37">
        <f t="shared" ref="I6:I24" si="7">1.2596*F6</f>
        <v>0.17004600000000003</v>
      </c>
      <c r="J6" s="37">
        <f t="shared" si="0"/>
        <v>0.1776036</v>
      </c>
      <c r="K6" s="37">
        <f t="shared" si="0"/>
        <v>0.17634400000000003</v>
      </c>
      <c r="L6" s="38">
        <f t="shared" si="1"/>
        <v>0.17466453333333334</v>
      </c>
      <c r="M6" s="37">
        <f t="shared" si="2"/>
        <v>2.3377186638068922E-3</v>
      </c>
      <c r="N6" s="37">
        <f t="shared" si="3"/>
        <v>-1.771686290298975</v>
      </c>
      <c r="O6" s="37">
        <f t="shared" si="4"/>
        <v>-1.7282011783592361</v>
      </c>
      <c r="P6" s="37">
        <f t="shared" si="5"/>
        <v>-1.7353186461281001</v>
      </c>
      <c r="Q6" s="38">
        <f t="shared" si="6"/>
        <v>-1.7450687049287703</v>
      </c>
      <c r="R6" s="37">
        <f t="shared" ref="R6:R26" si="8">STDEV(N6:P6)/SQRT(3)</f>
        <v>1.3466458023119274E-2</v>
      </c>
      <c r="S6" s="37">
        <f>(N6-N5)/(D6-D5)</f>
        <v>3.5037745644269813E-2</v>
      </c>
      <c r="T6" s="37">
        <f>(O6-O5)/(D6-D5)</f>
        <v>5.6118777505987927E-2</v>
      </c>
      <c r="U6" s="37">
        <f>(P6-P5)/(D6-D5)</f>
        <v>4.0815238221005606E-2</v>
      </c>
      <c r="V6" s="38">
        <f>AVERAGE(S6:U6)</f>
        <v>4.3990587123754449E-2</v>
      </c>
      <c r="W6" s="37">
        <f>STDEV(S6:U6)/SQRT(3)</f>
        <v>6.2892661622623511E-3</v>
      </c>
      <c r="X6" s="37">
        <f>(I6/D6)</f>
        <v>2.1255750000000004E-2</v>
      </c>
      <c r="Y6" s="37">
        <f>J6/D6</f>
        <v>2.220045E-2</v>
      </c>
      <c r="Z6" s="37">
        <f>K6/D6</f>
        <v>2.2043000000000004E-2</v>
      </c>
      <c r="AA6" s="38">
        <f>AVERAGE(X6:Z6)</f>
        <v>2.1833066666666668E-2</v>
      </c>
      <c r="AB6" s="154">
        <f>STDEV(X6:Z6)/SQRT(3)</f>
        <v>2.9221483297586152E-4</v>
      </c>
    </row>
    <row r="7" spans="1:28" s="5" customFormat="1" ht="13" x14ac:dyDescent="0.15">
      <c r="A7" s="41"/>
      <c r="B7" s="189" t="s">
        <v>9</v>
      </c>
      <c r="C7" s="34">
        <v>0.41666666666666669</v>
      </c>
      <c r="D7" s="40">
        <f>D6+14.5</f>
        <v>22.5</v>
      </c>
      <c r="E7" s="190">
        <v>2</v>
      </c>
      <c r="F7" s="36">
        <v>0.20300000000000001</v>
      </c>
      <c r="G7" s="37">
        <v>0.221</v>
      </c>
      <c r="H7" s="37">
        <v>0.216</v>
      </c>
      <c r="I7" s="37">
        <f t="shared" si="7"/>
        <v>0.2556988</v>
      </c>
      <c r="J7" s="37">
        <f t="shared" si="0"/>
        <v>0.2783716</v>
      </c>
      <c r="K7" s="37">
        <f t="shared" si="0"/>
        <v>0.27207360000000003</v>
      </c>
      <c r="L7" s="38">
        <f t="shared" si="1"/>
        <v>0.26871466666666671</v>
      </c>
      <c r="M7" s="37">
        <f t="shared" si="2"/>
        <v>6.7571145176357969E-3</v>
      </c>
      <c r="N7" s="37">
        <f t="shared" si="3"/>
        <v>-1.3637550896956172</v>
      </c>
      <c r="O7" s="37">
        <f t="shared" si="4"/>
        <v>-1.2787983672196517</v>
      </c>
      <c r="P7" s="37">
        <f t="shared" si="5"/>
        <v>-1.3016826610532395</v>
      </c>
      <c r="Q7" s="38">
        <f t="shared" si="6"/>
        <v>-1.3147453726561693</v>
      </c>
      <c r="R7" s="37">
        <f t="shared" si="8"/>
        <v>2.5379696604967181E-2</v>
      </c>
      <c r="S7" s="37">
        <f t="shared" ref="S7:S26" si="9">(N7-N6)/(D7-D6)</f>
        <v>2.8133186248507431E-2</v>
      </c>
      <c r="T7" s="37">
        <f t="shared" ref="T7:T26" si="10">(O7-O6)/(D7-D6)</f>
        <v>3.0993297319971344E-2</v>
      </c>
      <c r="U7" s="37">
        <f t="shared" ref="U7:U26" si="11">(P7-P6)/(D7-D6)</f>
        <v>2.9905930005162798E-2</v>
      </c>
      <c r="V7" s="38">
        <f t="shared" ref="V7:V26" si="12">AVERAGE(S7:U7)</f>
        <v>2.9677471191213858E-2</v>
      </c>
      <c r="W7" s="37">
        <f t="shared" ref="W7:W26" si="13">STDEV(S7:U7)/SQRT(3)</f>
        <v>8.3350742998704601E-4</v>
      </c>
      <c r="X7" s="37">
        <f t="shared" ref="X7:X26" si="14">(I7/D7)</f>
        <v>1.1364391111111111E-2</v>
      </c>
      <c r="Y7" s="37">
        <f t="shared" ref="Y7:Y26" si="15">J7/D7</f>
        <v>1.2372071111111112E-2</v>
      </c>
      <c r="Z7" s="37">
        <f t="shared" ref="Z7:Z26" si="16">K7/D7</f>
        <v>1.2092160000000001E-2</v>
      </c>
      <c r="AA7" s="38">
        <f t="shared" ref="AA7:AA26" si="17">AVERAGE(X7:Z7)</f>
        <v>1.1942874074074074E-2</v>
      </c>
      <c r="AB7" s="154">
        <f t="shared" ref="AB7:AB26" si="18">STDEV(X7:Z7)/SQRT(3)</f>
        <v>3.0031620078381337E-4</v>
      </c>
    </row>
    <row r="8" spans="1:28" s="5" customFormat="1" ht="13" x14ac:dyDescent="0.15">
      <c r="A8" s="41"/>
      <c r="B8" s="189"/>
      <c r="C8" s="34">
        <v>0.58333333333333337</v>
      </c>
      <c r="D8" s="40">
        <f>D7+4</f>
        <v>26.5</v>
      </c>
      <c r="E8" s="190"/>
      <c r="F8" s="36">
        <v>0.21099999999999999</v>
      </c>
      <c r="G8" s="37">
        <v>0.21199999999999999</v>
      </c>
      <c r="H8" s="37">
        <v>0.215</v>
      </c>
      <c r="I8" s="37">
        <f t="shared" si="7"/>
        <v>0.2657756</v>
      </c>
      <c r="J8" s="37">
        <f t="shared" si="0"/>
        <v>0.26703520000000003</v>
      </c>
      <c r="K8" s="37">
        <f t="shared" si="0"/>
        <v>0.270814</v>
      </c>
      <c r="L8" s="38">
        <f t="shared" si="1"/>
        <v>0.26787493333333334</v>
      </c>
      <c r="M8" s="37">
        <f t="shared" si="2"/>
        <v>1.5138507955248109E-3</v>
      </c>
      <c r="N8" s="37">
        <f t="shared" si="3"/>
        <v>-1.3251029352613379</v>
      </c>
      <c r="O8" s="37">
        <f t="shared" si="4"/>
        <v>-1.320374794065392</v>
      </c>
      <c r="P8" s="37">
        <f t="shared" si="5"/>
        <v>-1.3063230406097417</v>
      </c>
      <c r="Q8" s="38">
        <f t="shared" si="6"/>
        <v>-1.3172669233121572</v>
      </c>
      <c r="R8" s="37">
        <f t="shared" si="8"/>
        <v>5.6395997566426811E-3</v>
      </c>
      <c r="S8" s="37">
        <f t="shared" si="9"/>
        <v>9.6630386085698183E-3</v>
      </c>
      <c r="T8" s="37">
        <f t="shared" si="10"/>
        <v>-1.0394106711435092E-2</v>
      </c>
      <c r="U8" s="37">
        <f t="shared" si="11"/>
        <v>-1.1600948891255514E-3</v>
      </c>
      <c r="V8" s="38">
        <f t="shared" si="12"/>
        <v>-6.3038766399694157E-4</v>
      </c>
      <c r="W8" s="37">
        <f t="shared" si="13"/>
        <v>5.7960535972106002E-3</v>
      </c>
      <c r="X8" s="37">
        <f t="shared" si="14"/>
        <v>1.0029267924528303E-2</v>
      </c>
      <c r="Y8" s="37">
        <f t="shared" si="15"/>
        <v>1.00768E-2</v>
      </c>
      <c r="Z8" s="37">
        <f t="shared" si="16"/>
        <v>1.0219396226415094E-2</v>
      </c>
      <c r="AA8" s="38">
        <f t="shared" si="17"/>
        <v>1.0108488050314465E-2</v>
      </c>
      <c r="AB8" s="154">
        <f t="shared" si="18"/>
        <v>5.7126445114143503E-5</v>
      </c>
    </row>
    <row r="9" spans="1:28" s="5" customFormat="1" ht="13" x14ac:dyDescent="0.15">
      <c r="A9" s="41"/>
      <c r="B9" s="189"/>
      <c r="C9" s="34">
        <v>0.78472222222222221</v>
      </c>
      <c r="D9" s="40">
        <f>D8+5</f>
        <v>31.5</v>
      </c>
      <c r="E9" s="190"/>
      <c r="F9" s="36">
        <v>0.26</v>
      </c>
      <c r="G9" s="37">
        <v>0.246</v>
      </c>
      <c r="H9" s="37">
        <v>0.252</v>
      </c>
      <c r="I9" s="37">
        <f t="shared" si="7"/>
        <v>0.32749600000000001</v>
      </c>
      <c r="J9" s="37">
        <f t="shared" si="0"/>
        <v>0.30986160000000001</v>
      </c>
      <c r="K9" s="37">
        <f t="shared" si="0"/>
        <v>0.31741920000000001</v>
      </c>
      <c r="L9" s="38">
        <f t="shared" si="1"/>
        <v>0.31825893333333338</v>
      </c>
      <c r="M9" s="37">
        <f t="shared" si="2"/>
        <v>5.107898455442423E-3</v>
      </c>
      <c r="N9" s="37">
        <f t="shared" si="3"/>
        <v>-1.1162794377218768</v>
      </c>
      <c r="O9" s="37">
        <f t="shared" si="4"/>
        <v>-1.1716295328050417</v>
      </c>
      <c r="P9" s="37">
        <f t="shared" si="5"/>
        <v>-1.1475319812259812</v>
      </c>
      <c r="Q9" s="38">
        <f t="shared" si="6"/>
        <v>-1.1451469839176331</v>
      </c>
      <c r="R9" s="37">
        <f t="shared" si="8"/>
        <v>1.6022634152446858E-2</v>
      </c>
      <c r="S9" s="37">
        <f t="shared" si="9"/>
        <v>4.1764699507892231E-2</v>
      </c>
      <c r="T9" s="37">
        <f t="shared" si="10"/>
        <v>2.9749052252070075E-2</v>
      </c>
      <c r="U9" s="37">
        <f t="shared" si="11"/>
        <v>3.1758211876752096E-2</v>
      </c>
      <c r="V9" s="38">
        <f t="shared" si="12"/>
        <v>3.4423987878904799E-2</v>
      </c>
      <c r="W9" s="37">
        <f t="shared" si="13"/>
        <v>3.7158989946053287E-3</v>
      </c>
      <c r="X9" s="37">
        <f t="shared" si="14"/>
        <v>1.0396698412698413E-2</v>
      </c>
      <c r="Y9" s="37">
        <f t="shared" si="15"/>
        <v>9.8368761904761917E-3</v>
      </c>
      <c r="Z9" s="37">
        <f t="shared" si="16"/>
        <v>1.00768E-2</v>
      </c>
      <c r="AA9" s="38">
        <f t="shared" si="17"/>
        <v>1.0103458201058202E-2</v>
      </c>
      <c r="AB9" s="154">
        <f t="shared" si="18"/>
        <v>1.6215550652198151E-4</v>
      </c>
    </row>
    <row r="10" spans="1:28" s="5" customFormat="1" ht="13" x14ac:dyDescent="0.15">
      <c r="A10" s="41"/>
      <c r="B10" s="39" t="s">
        <v>10</v>
      </c>
      <c r="C10" s="34">
        <v>0.50694444444444442</v>
      </c>
      <c r="D10" s="40">
        <f>D9+17</f>
        <v>48.5</v>
      </c>
      <c r="E10" s="35">
        <v>3</v>
      </c>
      <c r="F10" s="36">
        <v>0.379</v>
      </c>
      <c r="G10" s="37">
        <v>0.34399999999999997</v>
      </c>
      <c r="H10" s="37">
        <v>0.36</v>
      </c>
      <c r="I10" s="37">
        <f t="shared" si="7"/>
        <v>0.47738840000000005</v>
      </c>
      <c r="J10" s="37">
        <f t="shared" si="0"/>
        <v>0.43330239999999998</v>
      </c>
      <c r="K10" s="37">
        <f t="shared" si="0"/>
        <v>0.45345600000000003</v>
      </c>
      <c r="L10" s="38">
        <f t="shared" si="1"/>
        <v>0.45471560000000005</v>
      </c>
      <c r="M10" s="37">
        <f t="shared" si="2"/>
        <v>1.2742105963039778E-2</v>
      </c>
      <c r="N10" s="37">
        <f t="shared" si="3"/>
        <v>-0.73942486365497806</v>
      </c>
      <c r="O10" s="37">
        <f t="shared" si="4"/>
        <v>-0.83631941136400623</v>
      </c>
      <c r="P10" s="37">
        <f t="shared" si="5"/>
        <v>-0.79085703728724877</v>
      </c>
      <c r="Q10" s="38">
        <f t="shared" si="6"/>
        <v>-0.78886710410207772</v>
      </c>
      <c r="R10" s="37">
        <f t="shared" si="8"/>
        <v>2.7988737136542194E-2</v>
      </c>
      <c r="S10" s="37">
        <f t="shared" si="9"/>
        <v>2.2167916121582278E-2</v>
      </c>
      <c r="T10" s="37">
        <f t="shared" si="10"/>
        <v>1.9724124790649143E-2</v>
      </c>
      <c r="U10" s="37">
        <f t="shared" si="11"/>
        <v>2.0980879055219556E-2</v>
      </c>
      <c r="V10" s="38">
        <f t="shared" si="12"/>
        <v>2.0957639989150328E-2</v>
      </c>
      <c r="W10" s="37">
        <f t="shared" si="13"/>
        <v>7.0555747649874096E-4</v>
      </c>
      <c r="X10" s="37">
        <f t="shared" si="14"/>
        <v>9.8430597938144338E-3</v>
      </c>
      <c r="Y10" s="37">
        <f t="shared" si="15"/>
        <v>8.9340701030927831E-3</v>
      </c>
      <c r="Z10" s="37">
        <f t="shared" si="16"/>
        <v>9.3496082474226801E-3</v>
      </c>
      <c r="AA10" s="38">
        <f t="shared" si="17"/>
        <v>9.3755793814433008E-3</v>
      </c>
      <c r="AB10" s="154">
        <f t="shared" si="18"/>
        <v>2.6272383428947992E-4</v>
      </c>
    </row>
    <row r="11" spans="1:28" s="5" customFormat="1" ht="13" x14ac:dyDescent="0.15">
      <c r="A11" s="41"/>
      <c r="B11" s="39" t="s">
        <v>11</v>
      </c>
      <c r="C11" s="34">
        <v>0.50694444444444442</v>
      </c>
      <c r="D11" s="40">
        <f>D10+24</f>
        <v>72.5</v>
      </c>
      <c r="E11" s="35">
        <v>4</v>
      </c>
      <c r="F11" s="36">
        <v>0.54700000000000004</v>
      </c>
      <c r="G11" s="37">
        <v>0.47</v>
      </c>
      <c r="H11" s="37">
        <v>0.51800000000000002</v>
      </c>
      <c r="I11" s="37">
        <f t="shared" si="7"/>
        <v>0.68900120000000009</v>
      </c>
      <c r="J11" s="37">
        <f t="shared" si="0"/>
        <v>0.59201199999999998</v>
      </c>
      <c r="K11" s="37">
        <f t="shared" si="0"/>
        <v>0.65247280000000007</v>
      </c>
      <c r="L11" s="38">
        <f t="shared" si="1"/>
        <v>0.64449533333333342</v>
      </c>
      <c r="M11" s="37">
        <f t="shared" si="2"/>
        <v>2.8281066752472047E-2</v>
      </c>
      <c r="N11" s="37">
        <f t="shared" si="3"/>
        <v>-0.37251226631542317</v>
      </c>
      <c r="O11" s="37">
        <f t="shared" si="4"/>
        <v>-0.52422837403330025</v>
      </c>
      <c r="P11" s="37">
        <f t="shared" si="5"/>
        <v>-0.42698582647792133</v>
      </c>
      <c r="Q11" s="38">
        <f t="shared" si="6"/>
        <v>-0.44124215560888164</v>
      </c>
      <c r="R11" s="37">
        <f t="shared" si="8"/>
        <v>4.4372951691630323E-2</v>
      </c>
      <c r="S11" s="37">
        <f t="shared" si="9"/>
        <v>1.528802488914812E-2</v>
      </c>
      <c r="T11" s="37">
        <f t="shared" si="10"/>
        <v>1.300379322211275E-2</v>
      </c>
      <c r="U11" s="37">
        <f t="shared" si="11"/>
        <v>1.5161300450388644E-2</v>
      </c>
      <c r="V11" s="38">
        <f t="shared" si="12"/>
        <v>1.4484372853883173E-2</v>
      </c>
      <c r="W11" s="37">
        <f t="shared" si="13"/>
        <v>7.411931384272263E-4</v>
      </c>
      <c r="X11" s="37">
        <f t="shared" si="14"/>
        <v>9.5034648275862076E-3</v>
      </c>
      <c r="Y11" s="37">
        <f t="shared" si="15"/>
        <v>8.1656827586206893E-3</v>
      </c>
      <c r="Z11" s="37">
        <f t="shared" si="16"/>
        <v>8.9996248275862074E-3</v>
      </c>
      <c r="AA11" s="38">
        <f t="shared" si="17"/>
        <v>8.889590804597702E-3</v>
      </c>
      <c r="AB11" s="154">
        <f t="shared" si="18"/>
        <v>3.9008367934444181E-4</v>
      </c>
    </row>
    <row r="12" spans="1:28" s="5" customFormat="1" ht="13" x14ac:dyDescent="0.15">
      <c r="A12" s="41"/>
      <c r="B12" s="39" t="s">
        <v>12</v>
      </c>
      <c r="C12" s="34">
        <v>0.44444444444444442</v>
      </c>
      <c r="D12" s="40">
        <f>22.5+D11</f>
        <v>95</v>
      </c>
      <c r="E12" s="35">
        <v>5</v>
      </c>
      <c r="F12" s="36">
        <v>0.76600000000000001</v>
      </c>
      <c r="G12" s="37">
        <v>0.60499999999999998</v>
      </c>
      <c r="H12" s="37">
        <v>0.72499999999999998</v>
      </c>
      <c r="I12" s="37">
        <f t="shared" si="7"/>
        <v>0.96485360000000009</v>
      </c>
      <c r="J12" s="37">
        <f t="shared" si="0"/>
        <v>0.76205800000000001</v>
      </c>
      <c r="K12" s="37">
        <f t="shared" si="0"/>
        <v>0.91320999999999997</v>
      </c>
      <c r="L12" s="38">
        <f t="shared" si="1"/>
        <v>0.88004053333333332</v>
      </c>
      <c r="M12" s="37">
        <f t="shared" si="2"/>
        <v>6.0845909158719236E-2</v>
      </c>
      <c r="N12" s="37">
        <f t="shared" si="3"/>
        <v>-3.5778898996813129E-2</v>
      </c>
      <c r="O12" s="37">
        <f t="shared" si="4"/>
        <v>-0.27173261070656302</v>
      </c>
      <c r="P12" s="37">
        <f t="shared" si="5"/>
        <v>-9.0789413882729778E-2</v>
      </c>
      <c r="Q12" s="38">
        <f t="shared" si="6"/>
        <v>-0.13276697452870198</v>
      </c>
      <c r="R12" s="37">
        <f t="shared" si="8"/>
        <v>7.1274411527423712E-2</v>
      </c>
      <c r="S12" s="37">
        <f t="shared" si="9"/>
        <v>1.4965927436382668E-2</v>
      </c>
      <c r="T12" s="37">
        <f t="shared" si="10"/>
        <v>1.1222033925632766E-2</v>
      </c>
      <c r="U12" s="37">
        <f t="shared" si="11"/>
        <v>1.4942062782008514E-2</v>
      </c>
      <c r="V12" s="38">
        <f t="shared" si="12"/>
        <v>1.3710008048007982E-2</v>
      </c>
      <c r="W12" s="37">
        <f t="shared" si="13"/>
        <v>1.2440061368603516E-3</v>
      </c>
      <c r="X12" s="37">
        <f t="shared" si="14"/>
        <v>1.0156353684210527E-2</v>
      </c>
      <c r="Y12" s="37">
        <f t="shared" si="15"/>
        <v>8.0216631578947373E-3</v>
      </c>
      <c r="Z12" s="37">
        <f t="shared" si="16"/>
        <v>9.6127368421052625E-3</v>
      </c>
      <c r="AA12" s="38">
        <f t="shared" si="17"/>
        <v>9.2635845614035105E-3</v>
      </c>
      <c r="AB12" s="154">
        <f t="shared" si="18"/>
        <v>6.4048325430230747E-4</v>
      </c>
    </row>
    <row r="13" spans="1:28" s="5" customFormat="1" ht="13" x14ac:dyDescent="0.15">
      <c r="A13" s="41"/>
      <c r="B13" s="39" t="s">
        <v>13</v>
      </c>
      <c r="C13" s="34">
        <v>0.40972222222222227</v>
      </c>
      <c r="D13" s="40">
        <f>D12+23.5</f>
        <v>118.5</v>
      </c>
      <c r="E13" s="35">
        <v>6</v>
      </c>
      <c r="F13" s="36">
        <f>2*0.498</f>
        <v>0.996</v>
      </c>
      <c r="G13" s="37">
        <f>2*0.392</f>
        <v>0.78400000000000003</v>
      </c>
      <c r="H13" s="37">
        <f>2*0.464</f>
        <v>0.92800000000000005</v>
      </c>
      <c r="I13" s="37">
        <f t="shared" si="7"/>
        <v>1.2545615999999999</v>
      </c>
      <c r="J13" s="37">
        <f t="shared" si="0"/>
        <v>0.98752640000000003</v>
      </c>
      <c r="K13" s="37">
        <f t="shared" si="0"/>
        <v>1.1689088000000001</v>
      </c>
      <c r="L13" s="38">
        <f t="shared" si="1"/>
        <v>1.1369989333333332</v>
      </c>
      <c r="M13" s="37">
        <f t="shared" si="2"/>
        <v>7.8720241367290306E-2</v>
      </c>
      <c r="N13" s="37">
        <f t="shared" si="3"/>
        <v>0.22678618884719368</v>
      </c>
      <c r="O13" s="37">
        <f t="shared" si="4"/>
        <v>-1.2552048386996648E-2</v>
      </c>
      <c r="P13" s="37">
        <f t="shared" si="5"/>
        <v>0.15607066404879613</v>
      </c>
      <c r="Q13" s="38">
        <f t="shared" si="6"/>
        <v>0.12343493483633106</v>
      </c>
      <c r="R13" s="37">
        <f t="shared" si="8"/>
        <v>7.099182128131476E-2</v>
      </c>
      <c r="S13" s="37">
        <f t="shared" si="9"/>
        <v>1.1172982461447097E-2</v>
      </c>
      <c r="T13" s="37">
        <f t="shared" si="10"/>
        <v>1.1028960098704953E-2</v>
      </c>
      <c r="U13" s="37">
        <f t="shared" si="11"/>
        <v>1.0504684167298975E-2</v>
      </c>
      <c r="V13" s="38">
        <f t="shared" si="12"/>
        <v>1.0902208909150342E-2</v>
      </c>
      <c r="W13" s="37">
        <f t="shared" si="13"/>
        <v>2.0306407078428407E-4</v>
      </c>
      <c r="X13" s="37">
        <f t="shared" si="14"/>
        <v>1.0587017721518988E-2</v>
      </c>
      <c r="Y13" s="37">
        <f t="shared" si="15"/>
        <v>8.3335561181434609E-3</v>
      </c>
      <c r="Z13" s="37">
        <f t="shared" si="16"/>
        <v>9.8642092827004226E-3</v>
      </c>
      <c r="AA13" s="38">
        <f t="shared" si="17"/>
        <v>9.594927707454291E-3</v>
      </c>
      <c r="AB13" s="154">
        <f t="shared" si="18"/>
        <v>6.6430583432312482E-4</v>
      </c>
    </row>
    <row r="14" spans="1:28" s="5" customFormat="1" ht="13" x14ac:dyDescent="0.15">
      <c r="A14" s="41"/>
      <c r="B14" s="39" t="s">
        <v>30</v>
      </c>
      <c r="C14" s="34">
        <v>0.41666666666666669</v>
      </c>
      <c r="D14" s="40">
        <f>D13+24</f>
        <v>142.5</v>
      </c>
      <c r="E14" s="35">
        <v>7</v>
      </c>
      <c r="F14" s="36">
        <f>2*0.674</f>
        <v>1.3480000000000001</v>
      </c>
      <c r="G14" s="37">
        <f>4*0.277</f>
        <v>1.1080000000000001</v>
      </c>
      <c r="H14" s="37">
        <f>4*0.315</f>
        <v>1.26</v>
      </c>
      <c r="I14" s="37">
        <f t="shared" si="7"/>
        <v>1.6979408000000002</v>
      </c>
      <c r="J14" s="37">
        <f t="shared" si="0"/>
        <v>1.3956368000000001</v>
      </c>
      <c r="K14" s="37">
        <f t="shared" si="0"/>
        <v>1.5870960000000001</v>
      </c>
      <c r="L14" s="38">
        <f t="shared" si="1"/>
        <v>1.5602245333333336</v>
      </c>
      <c r="M14" s="37">
        <f t="shared" si="2"/>
        <v>8.8295873619351276E-2</v>
      </c>
      <c r="N14" s="37">
        <f t="shared" si="3"/>
        <v>0.52941622273484801</v>
      </c>
      <c r="O14" s="37">
        <f t="shared" si="4"/>
        <v>0.33335079856982469</v>
      </c>
      <c r="P14" s="37">
        <f t="shared" si="5"/>
        <v>0.46190593120811918</v>
      </c>
      <c r="Q14" s="38">
        <f t="shared" si="6"/>
        <v>0.44155765083759729</v>
      </c>
      <c r="R14" s="37">
        <f t="shared" si="8"/>
        <v>5.7506382323416018E-2</v>
      </c>
      <c r="S14" s="37">
        <f t="shared" si="9"/>
        <v>1.260958474531893E-2</v>
      </c>
      <c r="T14" s="37">
        <f t="shared" si="10"/>
        <v>1.4412618623200889E-2</v>
      </c>
      <c r="U14" s="37">
        <f t="shared" si="11"/>
        <v>1.2743136131638461E-2</v>
      </c>
      <c r="V14" s="38">
        <f t="shared" si="12"/>
        <v>1.3255113166719427E-2</v>
      </c>
      <c r="W14" s="37">
        <f t="shared" si="13"/>
        <v>5.8003538815467573E-4</v>
      </c>
      <c r="X14" s="37">
        <f t="shared" si="14"/>
        <v>1.191537403508772E-2</v>
      </c>
      <c r="Y14" s="37">
        <f t="shared" si="15"/>
        <v>9.7939424561403511E-3</v>
      </c>
      <c r="Z14" s="37">
        <f t="shared" si="16"/>
        <v>1.1137515789473685E-2</v>
      </c>
      <c r="AA14" s="38">
        <f t="shared" si="17"/>
        <v>1.0948944093567253E-2</v>
      </c>
      <c r="AB14" s="154">
        <f t="shared" si="18"/>
        <v>6.1962016574983343E-4</v>
      </c>
    </row>
    <row r="15" spans="1:28" s="5" customFormat="1" ht="13" x14ac:dyDescent="0.15">
      <c r="A15" s="41"/>
      <c r="B15" s="39" t="s">
        <v>31</v>
      </c>
      <c r="C15" s="34">
        <v>0.47916666666666669</v>
      </c>
      <c r="D15" s="40">
        <f>D14+25.5</f>
        <v>168</v>
      </c>
      <c r="E15" s="35">
        <v>8</v>
      </c>
      <c r="F15" s="36">
        <f>2*0.762</f>
        <v>1.524</v>
      </c>
      <c r="G15" s="37">
        <f>2*0.705</f>
        <v>1.41</v>
      </c>
      <c r="H15" s="37">
        <f>2*0.754</f>
        <v>1.508</v>
      </c>
      <c r="I15" s="37">
        <f t="shared" si="7"/>
        <v>1.9196304000000002</v>
      </c>
      <c r="J15" s="37">
        <f t="shared" si="0"/>
        <v>1.7760359999999999</v>
      </c>
      <c r="K15" s="37">
        <f t="shared" si="0"/>
        <v>1.8994768000000002</v>
      </c>
      <c r="L15" s="38">
        <f t="shared" si="1"/>
        <v>1.8650477333333335</v>
      </c>
      <c r="M15" s="37">
        <f t="shared" si="2"/>
        <v>4.488451255349056E-2</v>
      </c>
      <c r="N15" s="37">
        <f t="shared" si="3"/>
        <v>0.65213266750918719</v>
      </c>
      <c r="O15" s="37">
        <f t="shared" si="4"/>
        <v>0.57438391463480942</v>
      </c>
      <c r="P15" s="37">
        <f t="shared" si="5"/>
        <v>0.64157847983049698</v>
      </c>
      <c r="Q15" s="38">
        <f t="shared" si="6"/>
        <v>0.62269835399149798</v>
      </c>
      <c r="R15" s="37">
        <f t="shared" si="8"/>
        <v>2.4348590014978952E-2</v>
      </c>
      <c r="S15" s="37">
        <f t="shared" si="9"/>
        <v>4.8124095989936933E-3</v>
      </c>
      <c r="T15" s="37">
        <f t="shared" si="10"/>
        <v>9.4522790613719501E-3</v>
      </c>
      <c r="U15" s="37">
        <f t="shared" si="11"/>
        <v>7.0459822989167769E-3</v>
      </c>
      <c r="V15" s="38">
        <f t="shared" si="12"/>
        <v>7.103556986427474E-3</v>
      </c>
      <c r="W15" s="37">
        <f t="shared" si="13"/>
        <v>1.3397242614880422E-3</v>
      </c>
      <c r="X15" s="37">
        <f t="shared" si="14"/>
        <v>1.1426371428571429E-2</v>
      </c>
      <c r="Y15" s="37">
        <f t="shared" si="15"/>
        <v>1.0571642857142858E-2</v>
      </c>
      <c r="Z15" s="37">
        <f t="shared" si="16"/>
        <v>1.1306409523809525E-2</v>
      </c>
      <c r="AA15" s="38">
        <f t="shared" si="17"/>
        <v>1.1101474603174606E-2</v>
      </c>
      <c r="AB15" s="154">
        <f t="shared" si="18"/>
        <v>2.6716971758030072E-4</v>
      </c>
    </row>
    <row r="16" spans="1:28" s="5" customFormat="1" ht="13" x14ac:dyDescent="0.15">
      <c r="A16" s="41"/>
      <c r="B16" s="39" t="s">
        <v>32</v>
      </c>
      <c r="C16" s="34">
        <v>0.5</v>
      </c>
      <c r="D16" s="40">
        <f>D15+24.5</f>
        <v>192.5</v>
      </c>
      <c r="E16" s="35">
        <v>9</v>
      </c>
      <c r="F16" s="36">
        <f>4*0.422</f>
        <v>1.6879999999999999</v>
      </c>
      <c r="G16" s="37">
        <f>2*0.791</f>
        <v>1.5820000000000001</v>
      </c>
      <c r="H16" s="37">
        <f>2*0.805</f>
        <v>1.61</v>
      </c>
      <c r="I16" s="37">
        <f t="shared" si="7"/>
        <v>2.1262048</v>
      </c>
      <c r="J16" s="37">
        <f t="shared" si="0"/>
        <v>1.9926872000000002</v>
      </c>
      <c r="K16" s="37">
        <f t="shared" si="0"/>
        <v>2.0279560000000001</v>
      </c>
      <c r="L16" s="38">
        <f t="shared" si="1"/>
        <v>2.0489493333333333</v>
      </c>
      <c r="M16" s="37">
        <f t="shared" si="2"/>
        <v>3.9946954038129617E-2</v>
      </c>
      <c r="N16" s="37">
        <f t="shared" si="3"/>
        <v>0.75433860641849793</v>
      </c>
      <c r="O16" s="37">
        <f t="shared" si="4"/>
        <v>0.68948407959019475</v>
      </c>
      <c r="P16" s="37">
        <f t="shared" si="5"/>
        <v>0.70702838924110423</v>
      </c>
      <c r="Q16" s="38">
        <f t="shared" si="6"/>
        <v>0.71695035841659893</v>
      </c>
      <c r="R16" s="37">
        <f t="shared" si="8"/>
        <v>1.9368027922071079E-2</v>
      </c>
      <c r="S16" s="37">
        <f t="shared" si="9"/>
        <v>4.1716709758902338E-3</v>
      </c>
      <c r="T16" s="37">
        <f t="shared" si="10"/>
        <v>4.6979659165463398E-3</v>
      </c>
      <c r="U16" s="37">
        <f t="shared" si="11"/>
        <v>2.6714248739023363E-3</v>
      </c>
      <c r="V16" s="38">
        <f t="shared" si="12"/>
        <v>3.8470205887796362E-3</v>
      </c>
      <c r="W16" s="37">
        <f t="shared" si="13"/>
        <v>6.07114913551094E-4</v>
      </c>
      <c r="X16" s="37">
        <f t="shared" si="14"/>
        <v>1.1045219740259741E-2</v>
      </c>
      <c r="Y16" s="37">
        <f t="shared" si="15"/>
        <v>1.0351621818181819E-2</v>
      </c>
      <c r="Z16" s="37">
        <f t="shared" si="16"/>
        <v>1.0534836363636365E-2</v>
      </c>
      <c r="AA16" s="38">
        <f t="shared" si="17"/>
        <v>1.0643892640692642E-2</v>
      </c>
      <c r="AB16" s="154">
        <f t="shared" si="18"/>
        <v>2.0751664435392025E-4</v>
      </c>
    </row>
    <row r="17" spans="1:32" s="5" customFormat="1" ht="13" x14ac:dyDescent="0.15">
      <c r="A17" s="41"/>
      <c r="B17" s="39" t="s">
        <v>33</v>
      </c>
      <c r="C17" s="34">
        <v>0.4513888888888889</v>
      </c>
      <c r="D17" s="40">
        <f>D16+23</f>
        <v>215.5</v>
      </c>
      <c r="E17" s="35">
        <v>10</v>
      </c>
      <c r="F17" s="36">
        <f>4*0.464</f>
        <v>1.8560000000000001</v>
      </c>
      <c r="G17" s="37">
        <f>4*0.452</f>
        <v>1.8080000000000001</v>
      </c>
      <c r="H17" s="37">
        <f>4*0.453</f>
        <v>1.8120000000000001</v>
      </c>
      <c r="I17" s="37">
        <f t="shared" si="7"/>
        <v>2.3378176000000002</v>
      </c>
      <c r="J17" s="37">
        <f t="shared" si="0"/>
        <v>2.2773568000000002</v>
      </c>
      <c r="K17" s="37">
        <f t="shared" si="0"/>
        <v>2.2823952000000003</v>
      </c>
      <c r="L17" s="38">
        <f t="shared" si="1"/>
        <v>2.299189866666667</v>
      </c>
      <c r="M17" s="37">
        <f t="shared" si="2"/>
        <v>1.9368554458996424E-2</v>
      </c>
      <c r="N17" s="37">
        <f t="shared" si="3"/>
        <v>0.84921784460874139</v>
      </c>
      <c r="O17" s="37">
        <f t="shared" si="4"/>
        <v>0.82301547221471738</v>
      </c>
      <c r="P17" s="37">
        <f t="shared" si="5"/>
        <v>0.82522541786552028</v>
      </c>
      <c r="Q17" s="38">
        <f t="shared" si="6"/>
        <v>0.83248624489632628</v>
      </c>
      <c r="R17" s="37">
        <f t="shared" si="8"/>
        <v>8.39008912640863E-3</v>
      </c>
      <c r="S17" s="37">
        <f t="shared" si="9"/>
        <v>4.1251842691410199E-3</v>
      </c>
      <c r="T17" s="37">
        <f t="shared" si="10"/>
        <v>5.8057127228053314E-3</v>
      </c>
      <c r="U17" s="37">
        <f t="shared" si="11"/>
        <v>5.1390012445398283E-3</v>
      </c>
      <c r="V17" s="38">
        <f t="shared" si="12"/>
        <v>5.0232994121620599E-3</v>
      </c>
      <c r="W17" s="37">
        <f t="shared" si="13"/>
        <v>4.8856393522428584E-4</v>
      </c>
      <c r="X17" s="37">
        <f t="shared" si="14"/>
        <v>1.0848341531322506E-2</v>
      </c>
      <c r="Y17" s="37">
        <f t="shared" si="15"/>
        <v>1.0567780974477959E-2</v>
      </c>
      <c r="Z17" s="37">
        <f t="shared" si="16"/>
        <v>1.0591161020881671E-2</v>
      </c>
      <c r="AA17" s="38">
        <f t="shared" si="17"/>
        <v>1.0669094508894047E-2</v>
      </c>
      <c r="AB17" s="154">
        <f t="shared" si="18"/>
        <v>8.9877282872373115E-5</v>
      </c>
    </row>
    <row r="18" spans="1:32" s="5" customFormat="1" ht="13" x14ac:dyDescent="0.15">
      <c r="A18" s="41"/>
      <c r="B18" s="39" t="s">
        <v>34</v>
      </c>
      <c r="C18" s="34">
        <v>0.40625</v>
      </c>
      <c r="D18" s="40">
        <f>23+D17</f>
        <v>238.5</v>
      </c>
      <c r="E18" s="35">
        <v>11</v>
      </c>
      <c r="F18" s="36">
        <f>4*0.51</f>
        <v>2.04</v>
      </c>
      <c r="G18" s="37">
        <f>4*0.485</f>
        <v>1.94</v>
      </c>
      <c r="H18" s="37">
        <f>4*0.492</f>
        <v>1.968</v>
      </c>
      <c r="I18" s="37">
        <f t="shared" si="7"/>
        <v>2.5695840000000003</v>
      </c>
      <c r="J18" s="37">
        <f t="shared" si="0"/>
        <v>2.4436240000000002</v>
      </c>
      <c r="K18" s="37">
        <f t="shared" si="0"/>
        <v>2.4788928000000001</v>
      </c>
      <c r="L18" s="38">
        <f t="shared" si="1"/>
        <v>2.4973669333333337</v>
      </c>
      <c r="M18" s="37">
        <f t="shared" si="2"/>
        <v>3.7516443513981715E-2</v>
      </c>
      <c r="N18" s="37">
        <f t="shared" si="3"/>
        <v>0.94374401810085762</v>
      </c>
      <c r="O18" s="37">
        <f t="shared" si="4"/>
        <v>0.89348218331996943</v>
      </c>
      <c r="P18" s="37">
        <f t="shared" si="5"/>
        <v>0.9078120088747943</v>
      </c>
      <c r="Q18" s="38">
        <f t="shared" si="6"/>
        <v>0.915012736765207</v>
      </c>
      <c r="R18" s="37">
        <f t="shared" si="8"/>
        <v>1.4949368665589775E-2</v>
      </c>
      <c r="S18" s="37">
        <f t="shared" si="9"/>
        <v>4.1098336300920101E-3</v>
      </c>
      <c r="T18" s="37">
        <f t="shared" si="10"/>
        <v>3.0637700480544367E-3</v>
      </c>
      <c r="U18" s="37">
        <f t="shared" si="11"/>
        <v>3.590721348229305E-3</v>
      </c>
      <c r="V18" s="38">
        <f t="shared" si="12"/>
        <v>3.5881083421252509E-3</v>
      </c>
      <c r="W18" s="37">
        <f t="shared" si="13"/>
        <v>3.0197537165967397E-4</v>
      </c>
      <c r="X18" s="37">
        <f t="shared" si="14"/>
        <v>1.0773937106918241E-2</v>
      </c>
      <c r="Y18" s="37">
        <f t="shared" si="15"/>
        <v>1.0245802935010484E-2</v>
      </c>
      <c r="Z18" s="37">
        <f t="shared" si="16"/>
        <v>1.0393680503144655E-2</v>
      </c>
      <c r="AA18" s="38">
        <f t="shared" si="17"/>
        <v>1.0471140181691126E-2</v>
      </c>
      <c r="AB18" s="154">
        <f t="shared" si="18"/>
        <v>1.573016499538016E-4</v>
      </c>
    </row>
    <row r="19" spans="1:32" s="5" customFormat="1" ht="13" x14ac:dyDescent="0.15">
      <c r="A19" s="41"/>
      <c r="B19" s="39" t="s">
        <v>35</v>
      </c>
      <c r="C19" s="34">
        <v>0.41250000000000003</v>
      </c>
      <c r="D19" s="40">
        <f>D18+24</f>
        <v>262.5</v>
      </c>
      <c r="E19" s="35">
        <v>12</v>
      </c>
      <c r="F19" s="36">
        <f>8*0.294</f>
        <v>2.3519999999999999</v>
      </c>
      <c r="G19" s="37">
        <f>8*0.269</f>
        <v>2.1520000000000001</v>
      </c>
      <c r="H19" s="37">
        <f>4*0.6</f>
        <v>2.4</v>
      </c>
      <c r="I19" s="37">
        <f t="shared" si="7"/>
        <v>2.9625792</v>
      </c>
      <c r="J19" s="37">
        <f t="shared" si="0"/>
        <v>2.7106592000000003</v>
      </c>
      <c r="K19" s="37">
        <f t="shared" si="0"/>
        <v>3.0230399999999999</v>
      </c>
      <c r="L19" s="38">
        <f t="shared" si="1"/>
        <v>2.8987594666666667</v>
      </c>
      <c r="M19" s="37">
        <f t="shared" si="2"/>
        <v>9.5655910819654841E-2</v>
      </c>
      <c r="N19" s="37">
        <f t="shared" si="3"/>
        <v>1.086060240281113</v>
      </c>
      <c r="O19" s="37">
        <f t="shared" si="4"/>
        <v>0.99719185254427056</v>
      </c>
      <c r="P19" s="37">
        <f t="shared" si="5"/>
        <v>1.1062629475986325</v>
      </c>
      <c r="Q19" s="38">
        <f t="shared" si="6"/>
        <v>1.0631716801413387</v>
      </c>
      <c r="R19" s="37">
        <f t="shared" si="8"/>
        <v>3.3501445655590573E-2</v>
      </c>
      <c r="S19" s="37">
        <f t="shared" si="9"/>
        <v>5.9298425908439756E-3</v>
      </c>
      <c r="T19" s="37">
        <f t="shared" si="10"/>
        <v>4.3212362176792141E-3</v>
      </c>
      <c r="U19" s="37">
        <f t="shared" si="11"/>
        <v>8.2687891134932603E-3</v>
      </c>
      <c r="V19" s="38">
        <f t="shared" si="12"/>
        <v>6.1732893073388169E-3</v>
      </c>
      <c r="W19" s="37">
        <f t="shared" si="13"/>
        <v>1.1460429302810541E-3</v>
      </c>
      <c r="X19" s="37">
        <f t="shared" si="14"/>
        <v>1.1286015999999999E-2</v>
      </c>
      <c r="Y19" s="37">
        <f t="shared" si="15"/>
        <v>1.0326320761904763E-2</v>
      </c>
      <c r="Z19" s="37">
        <f t="shared" si="16"/>
        <v>1.1516342857142857E-2</v>
      </c>
      <c r="AA19" s="38">
        <f t="shared" si="17"/>
        <v>1.1042893206349207E-2</v>
      </c>
      <c r="AB19" s="154">
        <f t="shared" si="18"/>
        <v>3.6440346978916125E-4</v>
      </c>
    </row>
    <row r="20" spans="1:32" s="5" customFormat="1" ht="13" x14ac:dyDescent="0.15">
      <c r="A20" s="41"/>
      <c r="B20" s="39" t="s">
        <v>36</v>
      </c>
      <c r="C20" s="34">
        <v>0.40625</v>
      </c>
      <c r="D20" s="40">
        <f>D19+24</f>
        <v>286.5</v>
      </c>
      <c r="E20" s="35">
        <v>13</v>
      </c>
      <c r="F20" s="36">
        <f>8*0.303</f>
        <v>2.4239999999999999</v>
      </c>
      <c r="G20" s="37">
        <f>8*0.301</f>
        <v>2.4079999999999999</v>
      </c>
      <c r="H20" s="37">
        <f>8*0.319</f>
        <v>2.552</v>
      </c>
      <c r="I20" s="37">
        <f t="shared" si="7"/>
        <v>3.0532704000000002</v>
      </c>
      <c r="J20" s="37">
        <f t="shared" si="0"/>
        <v>3.0331168000000002</v>
      </c>
      <c r="K20" s="37">
        <f t="shared" si="0"/>
        <v>3.2144992000000001</v>
      </c>
      <c r="L20" s="38">
        <f t="shared" si="1"/>
        <v>3.1002954666666671</v>
      </c>
      <c r="M20" s="37">
        <f t="shared" si="2"/>
        <v>5.7397477960543786E-2</v>
      </c>
      <c r="N20" s="37">
        <f t="shared" si="3"/>
        <v>1.1162132784518006</v>
      </c>
      <c r="O20" s="37">
        <f t="shared" si="4"/>
        <v>1.1095907376913072</v>
      </c>
      <c r="P20" s="37">
        <f t="shared" si="5"/>
        <v>1.167671575727276</v>
      </c>
      <c r="Q20" s="38">
        <f t="shared" si="6"/>
        <v>1.1311585306234613</v>
      </c>
      <c r="R20" s="37">
        <f t="shared" si="8"/>
        <v>1.8356346392061105E-2</v>
      </c>
      <c r="S20" s="37">
        <f t="shared" si="9"/>
        <v>1.2563765904453166E-3</v>
      </c>
      <c r="T20" s="37">
        <f t="shared" si="10"/>
        <v>4.6832868811265277E-3</v>
      </c>
      <c r="U20" s="37">
        <f t="shared" si="11"/>
        <v>2.5586928386934771E-3</v>
      </c>
      <c r="V20" s="38">
        <f t="shared" si="12"/>
        <v>2.8327854367551073E-3</v>
      </c>
      <c r="W20" s="37">
        <f t="shared" si="13"/>
        <v>9.9871143635658953E-4</v>
      </c>
      <c r="X20" s="37">
        <f t="shared" si="14"/>
        <v>1.0657139267015708E-2</v>
      </c>
      <c r="Y20" s="37">
        <f t="shared" si="15"/>
        <v>1.0586795113438047E-2</v>
      </c>
      <c r="Z20" s="37">
        <f t="shared" si="16"/>
        <v>1.1219892495636999E-2</v>
      </c>
      <c r="AA20" s="38">
        <f t="shared" si="17"/>
        <v>1.0821275625363586E-2</v>
      </c>
      <c r="AB20" s="154">
        <f t="shared" si="18"/>
        <v>2.0034023720957682E-4</v>
      </c>
    </row>
    <row r="21" spans="1:32" s="5" customFormat="1" ht="13" x14ac:dyDescent="0.15">
      <c r="A21" s="41"/>
      <c r="B21" s="39" t="s">
        <v>37</v>
      </c>
      <c r="C21" s="34">
        <v>0.37152777777777773</v>
      </c>
      <c r="D21" s="40">
        <f>23+D20</f>
        <v>309.5</v>
      </c>
      <c r="E21" s="35">
        <v>14</v>
      </c>
      <c r="F21" s="36">
        <f>8*0.324</f>
        <v>2.5920000000000001</v>
      </c>
      <c r="G21" s="37">
        <f>8*0.292</f>
        <v>2.3359999999999999</v>
      </c>
      <c r="H21" s="37">
        <f>8*0.367</f>
        <v>2.9359999999999999</v>
      </c>
      <c r="I21" s="37">
        <f t="shared" si="7"/>
        <v>3.2648832000000003</v>
      </c>
      <c r="J21" s="37">
        <f t="shared" ref="J21:K24" si="19">1.2596*G21</f>
        <v>2.9424256</v>
      </c>
      <c r="K21" s="37">
        <f t="shared" si="19"/>
        <v>3.6981856</v>
      </c>
      <c r="L21" s="38">
        <f t="shared" si="1"/>
        <v>3.3018314666666666</v>
      </c>
      <c r="M21" s="37">
        <f t="shared" si="2"/>
        <v>0.21894989929757397</v>
      </c>
      <c r="N21" s="37">
        <f t="shared" si="3"/>
        <v>1.1832239887347609</v>
      </c>
      <c r="O21" s="37">
        <f t="shared" si="4"/>
        <v>1.0792342752107131</v>
      </c>
      <c r="P21" s="37">
        <f t="shared" si="5"/>
        <v>1.3078423209970016</v>
      </c>
      <c r="Q21" s="38">
        <f t="shared" si="6"/>
        <v>1.1901001949808252</v>
      </c>
      <c r="R21" s="37">
        <f t="shared" si="8"/>
        <v>6.6082956221228104E-2</v>
      </c>
      <c r="S21" s="37">
        <f t="shared" si="9"/>
        <v>2.9135091427374016E-3</v>
      </c>
      <c r="T21" s="37">
        <f t="shared" si="10"/>
        <v>-1.3198461948084389E-3</v>
      </c>
      <c r="U21" s="37">
        <f t="shared" si="11"/>
        <v>6.0943802291185054E-3</v>
      </c>
      <c r="V21" s="38">
        <f t="shared" si="12"/>
        <v>2.5626810590158229E-3</v>
      </c>
      <c r="W21" s="37">
        <f t="shared" si="13"/>
        <v>2.1474790355639445E-3</v>
      </c>
      <c r="X21" s="37">
        <f t="shared" si="14"/>
        <v>1.0548895638126011E-2</v>
      </c>
      <c r="Y21" s="37">
        <f t="shared" si="15"/>
        <v>9.507029402261712E-3</v>
      </c>
      <c r="Z21" s="37">
        <f t="shared" si="16"/>
        <v>1.1948903392568658E-2</v>
      </c>
      <c r="AA21" s="38">
        <f t="shared" si="17"/>
        <v>1.0668276144318792E-2</v>
      </c>
      <c r="AB21" s="154">
        <f t="shared" si="18"/>
        <v>7.0743101550104664E-4</v>
      </c>
    </row>
    <row r="22" spans="1:32" s="5" customFormat="1" ht="13" x14ac:dyDescent="0.15">
      <c r="A22" s="41"/>
      <c r="B22" s="39" t="s">
        <v>38</v>
      </c>
      <c r="C22" s="34">
        <v>0.45833333333333331</v>
      </c>
      <c r="D22" s="40">
        <f>2+24+D21</f>
        <v>335.5</v>
      </c>
      <c r="E22" s="35">
        <v>15</v>
      </c>
      <c r="F22" s="36">
        <f>8*0.335</f>
        <v>2.68</v>
      </c>
      <c r="G22" s="37">
        <f>8*0.3</f>
        <v>2.4</v>
      </c>
      <c r="H22" s="37">
        <f>8*0.399</f>
        <v>3.1920000000000002</v>
      </c>
      <c r="I22" s="37">
        <f t="shared" si="7"/>
        <v>3.3757280000000005</v>
      </c>
      <c r="J22" s="37">
        <f t="shared" si="19"/>
        <v>3.0230399999999999</v>
      </c>
      <c r="K22" s="37">
        <f t="shared" si="19"/>
        <v>4.0206432000000003</v>
      </c>
      <c r="L22" s="38">
        <f t="shared" si="1"/>
        <v>3.4731370666666668</v>
      </c>
      <c r="M22" s="37">
        <f t="shared" si="2"/>
        <v>0.29207272545504492</v>
      </c>
      <c r="N22" s="37">
        <f t="shared" si="3"/>
        <v>1.2166110047674981</v>
      </c>
      <c r="O22" s="37">
        <f t="shared" si="4"/>
        <v>1.1062629475986325</v>
      </c>
      <c r="P22" s="37">
        <f t="shared" si="5"/>
        <v>1.3914418898322949</v>
      </c>
      <c r="Q22" s="38">
        <f t="shared" si="6"/>
        <v>1.2381052807328083</v>
      </c>
      <c r="R22" s="37">
        <f t="shared" si="8"/>
        <v>8.3022607760039918E-2</v>
      </c>
      <c r="S22" s="37">
        <f t="shared" si="9"/>
        <v>1.2841160012591229E-3</v>
      </c>
      <c r="T22" s="37">
        <f t="shared" si="10"/>
        <v>1.0395643226122843E-3</v>
      </c>
      <c r="U22" s="37">
        <f t="shared" si="11"/>
        <v>3.2153680321266652E-3</v>
      </c>
      <c r="V22" s="38">
        <f t="shared" si="12"/>
        <v>1.8463494519993576E-3</v>
      </c>
      <c r="W22" s="37">
        <f t="shared" si="13"/>
        <v>6.8814007426603425E-4</v>
      </c>
      <c r="X22" s="37">
        <f t="shared" si="14"/>
        <v>1.0061782414307005E-2</v>
      </c>
      <c r="Y22" s="37">
        <f t="shared" si="15"/>
        <v>9.010551415797317E-3</v>
      </c>
      <c r="Z22" s="37">
        <f t="shared" si="16"/>
        <v>1.1984033383010432E-2</v>
      </c>
      <c r="AA22" s="38">
        <f t="shared" si="17"/>
        <v>1.0352122404371585E-2</v>
      </c>
      <c r="AB22" s="154">
        <f t="shared" si="18"/>
        <v>8.7055953935929803E-4</v>
      </c>
    </row>
    <row r="23" spans="1:32" s="5" customFormat="1" ht="13" x14ac:dyDescent="0.15">
      <c r="A23" s="41"/>
      <c r="B23" s="39" t="s">
        <v>39</v>
      </c>
      <c r="C23" s="34">
        <v>0.5</v>
      </c>
      <c r="D23" s="40">
        <f>48+3+D21</f>
        <v>360.5</v>
      </c>
      <c r="E23" s="35">
        <v>16</v>
      </c>
      <c r="F23" s="36">
        <f>8*0.35</f>
        <v>2.8</v>
      </c>
      <c r="G23" s="37">
        <f>4*0.719</f>
        <v>2.8759999999999999</v>
      </c>
      <c r="H23" s="37">
        <f>4*0.859</f>
        <v>3.4359999999999999</v>
      </c>
      <c r="I23" s="37">
        <f t="shared" si="7"/>
        <v>3.5268799999999998</v>
      </c>
      <c r="J23" s="37">
        <f t="shared" si="19"/>
        <v>3.6226096000000001</v>
      </c>
      <c r="K23" s="37">
        <f t="shared" si="19"/>
        <v>4.3279855999999999</v>
      </c>
      <c r="L23" s="38">
        <f t="shared" si="1"/>
        <v>3.8258250666666669</v>
      </c>
      <c r="M23" s="37">
        <f t="shared" si="2"/>
        <v>0.25259647662312668</v>
      </c>
      <c r="N23" s="37">
        <f t="shared" si="3"/>
        <v>1.2604136274258908</v>
      </c>
      <c r="O23" s="37">
        <f t="shared" si="4"/>
        <v>1.2871946501035327</v>
      </c>
      <c r="P23" s="37">
        <f t="shared" si="5"/>
        <v>1.4651022143667414</v>
      </c>
      <c r="Q23" s="38">
        <f t="shared" si="6"/>
        <v>1.3375701639653883</v>
      </c>
      <c r="R23" s="37">
        <f t="shared" si="8"/>
        <v>6.4232971034080419E-2</v>
      </c>
      <c r="S23" s="37">
        <f t="shared" si="9"/>
        <v>1.7521049063357096E-3</v>
      </c>
      <c r="T23" s="37">
        <f t="shared" si="10"/>
        <v>7.2372681001960084E-3</v>
      </c>
      <c r="U23" s="37">
        <f t="shared" si="11"/>
        <v>2.9464129813778594E-3</v>
      </c>
      <c r="V23" s="38">
        <f t="shared" si="12"/>
        <v>3.9785953293031929E-3</v>
      </c>
      <c r="W23" s="37">
        <f t="shared" si="13"/>
        <v>1.6654132735696987E-3</v>
      </c>
      <c r="X23" s="37">
        <f t="shared" si="14"/>
        <v>9.7833009708737859E-3</v>
      </c>
      <c r="Y23" s="37">
        <f t="shared" si="15"/>
        <v>1.004884771151179E-2</v>
      </c>
      <c r="Z23" s="37">
        <f t="shared" si="16"/>
        <v>1.2005507905686547E-2</v>
      </c>
      <c r="AA23" s="38">
        <f t="shared" si="17"/>
        <v>1.0612552196024042E-2</v>
      </c>
      <c r="AB23" s="154">
        <f t="shared" si="18"/>
        <v>7.0068370769244589E-4</v>
      </c>
    </row>
    <row r="24" spans="1:32" s="5" customFormat="1" ht="13" x14ac:dyDescent="0.15">
      <c r="A24" s="41"/>
      <c r="B24" s="39" t="s">
        <v>40</v>
      </c>
      <c r="C24" s="34">
        <v>0.53125</v>
      </c>
      <c r="D24" s="40">
        <f>25+D23</f>
        <v>385.5</v>
      </c>
      <c r="E24" s="35">
        <v>17</v>
      </c>
      <c r="F24" s="36">
        <f>4*0.722</f>
        <v>2.8879999999999999</v>
      </c>
      <c r="G24" s="37">
        <f>8*0.401</f>
        <v>3.2080000000000002</v>
      </c>
      <c r="H24" s="37">
        <f>4*0.812</f>
        <v>3.2480000000000002</v>
      </c>
      <c r="I24" s="37">
        <f t="shared" si="7"/>
        <v>3.6377248</v>
      </c>
      <c r="J24" s="37">
        <f t="shared" si="19"/>
        <v>4.0407968000000007</v>
      </c>
      <c r="K24" s="37">
        <f t="shared" si="19"/>
        <v>4.0911808000000001</v>
      </c>
      <c r="L24" s="38">
        <f t="shared" si="1"/>
        <v>3.9232341333333332</v>
      </c>
      <c r="M24" s="37">
        <f t="shared" si="2"/>
        <v>0.14349369490135963</v>
      </c>
      <c r="N24" s="37">
        <f t="shared" si="3"/>
        <v>1.2913584312753124</v>
      </c>
      <c r="O24" s="37">
        <f t="shared" si="4"/>
        <v>1.3964419002490007</v>
      </c>
      <c r="P24" s="37">
        <f t="shared" si="5"/>
        <v>1.4088336325441642</v>
      </c>
      <c r="Q24" s="38">
        <f t="shared" si="6"/>
        <v>1.3655446546894925</v>
      </c>
      <c r="R24" s="37">
        <f t="shared" si="8"/>
        <v>3.7265200771688364E-2</v>
      </c>
      <c r="S24" s="37">
        <f t="shared" si="9"/>
        <v>1.2377921539768622E-3</v>
      </c>
      <c r="T24" s="37">
        <f t="shared" si="10"/>
        <v>4.3698900058187192E-3</v>
      </c>
      <c r="U24" s="37">
        <f t="shared" si="11"/>
        <v>-2.2507432729030885E-3</v>
      </c>
      <c r="V24" s="38">
        <f t="shared" si="12"/>
        <v>1.1189796289641644E-3</v>
      </c>
      <c r="W24" s="37">
        <f t="shared" si="13"/>
        <v>1.9121352432036626E-3</v>
      </c>
      <c r="X24" s="37">
        <f t="shared" si="14"/>
        <v>9.436380804150454E-3</v>
      </c>
      <c r="Y24" s="37">
        <f t="shared" si="15"/>
        <v>1.0481963164721143E-2</v>
      </c>
      <c r="Z24" s="37">
        <f t="shared" si="16"/>
        <v>1.0612660959792478E-2</v>
      </c>
      <c r="AA24" s="38">
        <f t="shared" si="17"/>
        <v>1.0177001642888026E-2</v>
      </c>
      <c r="AB24" s="154">
        <f t="shared" si="18"/>
        <v>3.7222748353141281E-4</v>
      </c>
    </row>
    <row r="25" spans="1:32" s="5" customFormat="1" ht="13" x14ac:dyDescent="0.15">
      <c r="A25" s="41"/>
      <c r="B25" s="39" t="s">
        <v>41</v>
      </c>
      <c r="C25" s="34">
        <v>0.4513888888888889</v>
      </c>
      <c r="D25" s="40">
        <f>22+D24</f>
        <v>407.5</v>
      </c>
      <c r="E25" s="35">
        <v>18</v>
      </c>
      <c r="F25" s="36">
        <f>4*0.736</f>
        <v>2.944</v>
      </c>
      <c r="G25" s="37">
        <f>8*0.4</f>
        <v>3.2</v>
      </c>
      <c r="H25" s="37">
        <f>4*0.83</f>
        <v>3.32</v>
      </c>
      <c r="I25" s="37">
        <f t="shared" ref="I25:K26" si="20">1.2596*F25</f>
        <v>3.7082624000000002</v>
      </c>
      <c r="J25" s="37">
        <f t="shared" si="20"/>
        <v>4.0307200000000005</v>
      </c>
      <c r="K25" s="37">
        <f t="shared" si="20"/>
        <v>4.1818720000000003</v>
      </c>
      <c r="L25" s="38">
        <f t="shared" si="1"/>
        <v>3.9736181333333338</v>
      </c>
      <c r="M25" s="37">
        <f t="shared" si="2"/>
        <v>0.1396686324670568</v>
      </c>
      <c r="N25" s="37">
        <f t="shared" si="3"/>
        <v>1.3105634111113624</v>
      </c>
      <c r="O25" s="37">
        <f t="shared" si="4"/>
        <v>1.3939450200504135</v>
      </c>
      <c r="P25" s="37">
        <f t="shared" si="5"/>
        <v>1.4307589931731297</v>
      </c>
      <c r="Q25" s="38">
        <f t="shared" si="6"/>
        <v>1.3784224747783018</v>
      </c>
      <c r="R25" s="37">
        <f t="shared" si="8"/>
        <v>3.555491782948985E-2</v>
      </c>
      <c r="S25" s="37">
        <f t="shared" si="9"/>
        <v>8.7295362891136698E-4</v>
      </c>
      <c r="T25" s="37">
        <f t="shared" si="10"/>
        <v>-1.1349455448123551E-4</v>
      </c>
      <c r="U25" s="37">
        <f t="shared" si="11"/>
        <v>9.9660730131661602E-4</v>
      </c>
      <c r="V25" s="38">
        <f t="shared" si="12"/>
        <v>5.8535545858224918E-4</v>
      </c>
      <c r="W25" s="37">
        <f t="shared" si="13"/>
        <v>3.5124353528757923E-4</v>
      </c>
      <c r="X25" s="37">
        <f t="shared" si="14"/>
        <v>9.1000304294478526E-3</v>
      </c>
      <c r="Y25" s="37">
        <f t="shared" si="15"/>
        <v>9.8913374233128848E-3</v>
      </c>
      <c r="Z25" s="37">
        <f t="shared" si="16"/>
        <v>1.0262262576687118E-2</v>
      </c>
      <c r="AA25" s="38">
        <f t="shared" si="17"/>
        <v>9.7512101431492856E-3</v>
      </c>
      <c r="AB25" s="154">
        <f t="shared" si="18"/>
        <v>3.4274511034860594E-4</v>
      </c>
    </row>
    <row r="26" spans="1:32" s="5" customFormat="1" thickBot="1" x14ac:dyDescent="0.2">
      <c r="A26" s="155"/>
      <c r="B26" s="39" t="s">
        <v>42</v>
      </c>
      <c r="C26" s="34">
        <v>0.47916666666666669</v>
      </c>
      <c r="D26" s="40">
        <f>24.5+D25</f>
        <v>432</v>
      </c>
      <c r="E26" s="35">
        <v>19</v>
      </c>
      <c r="F26" s="36">
        <f>8*0.373</f>
        <v>2.984</v>
      </c>
      <c r="G26" s="37">
        <f>8*0.42</f>
        <v>3.36</v>
      </c>
      <c r="H26" s="37">
        <f>8*0.403</f>
        <v>3.2240000000000002</v>
      </c>
      <c r="I26" s="37">
        <f t="shared" si="20"/>
        <v>3.7586463999999999</v>
      </c>
      <c r="J26" s="37">
        <f t="shared" si="20"/>
        <v>4.2322560000000005</v>
      </c>
      <c r="K26" s="37">
        <f t="shared" si="20"/>
        <v>4.0609504000000003</v>
      </c>
      <c r="L26" s="48">
        <f t="shared" si="1"/>
        <v>4.0172842666666666</v>
      </c>
      <c r="M26" s="47">
        <f t="shared" si="2"/>
        <v>0.13845163018572401</v>
      </c>
      <c r="N26" s="47">
        <f t="shared" si="3"/>
        <v>1.3240588925862469</v>
      </c>
      <c r="O26" s="47">
        <f t="shared" si="4"/>
        <v>1.4427351842198455</v>
      </c>
      <c r="P26" s="47">
        <f t="shared" si="5"/>
        <v>1.4014170348891144</v>
      </c>
      <c r="Q26" s="48">
        <f t="shared" si="6"/>
        <v>1.3894037038984022</v>
      </c>
      <c r="R26" s="47">
        <f t="shared" si="8"/>
        <v>3.4781487605214358E-2</v>
      </c>
      <c r="S26" s="47">
        <f t="shared" si="9"/>
        <v>5.5083597856671188E-4</v>
      </c>
      <c r="T26" s="47">
        <f t="shared" si="10"/>
        <v>1.9914352722217119E-3</v>
      </c>
      <c r="U26" s="47">
        <f t="shared" si="11"/>
        <v>-1.1976309503679719E-3</v>
      </c>
      <c r="V26" s="48">
        <f t="shared" si="12"/>
        <v>4.4821343347348398E-4</v>
      </c>
      <c r="W26" s="47">
        <f t="shared" si="13"/>
        <v>9.2203296815364616E-4</v>
      </c>
      <c r="X26" s="47">
        <f t="shared" si="14"/>
        <v>8.700570370370371E-3</v>
      </c>
      <c r="Y26" s="47">
        <f t="shared" si="15"/>
        <v>9.7968888888888897E-3</v>
      </c>
      <c r="Z26" s="47">
        <f t="shared" si="16"/>
        <v>9.4003481481481493E-3</v>
      </c>
      <c r="AA26" s="48">
        <f t="shared" si="17"/>
        <v>9.2992691358024706E-3</v>
      </c>
      <c r="AB26" s="156">
        <f t="shared" si="18"/>
        <v>3.2048988468917573E-4</v>
      </c>
    </row>
    <row r="27" spans="1:32" ht="15" thickBot="1" x14ac:dyDescent="0.2">
      <c r="B27" s="185" t="s">
        <v>64</v>
      </c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7"/>
    </row>
    <row r="28" spans="1:32" ht="60" x14ac:dyDescent="0.15">
      <c r="B28" s="22" t="s">
        <v>0</v>
      </c>
      <c r="C28" s="23" t="s">
        <v>1</v>
      </c>
      <c r="D28" s="24" t="s">
        <v>2</v>
      </c>
      <c r="E28" s="25" t="s">
        <v>3</v>
      </c>
      <c r="F28" s="180" t="s">
        <v>66</v>
      </c>
      <c r="G28" s="173"/>
      <c r="H28" s="174"/>
      <c r="I28" s="172" t="s">
        <v>16</v>
      </c>
      <c r="J28" s="173"/>
      <c r="K28" s="174"/>
      <c r="L28" s="26" t="s">
        <v>4</v>
      </c>
      <c r="M28" s="27" t="s">
        <v>67</v>
      </c>
      <c r="N28" s="172" t="s">
        <v>68</v>
      </c>
      <c r="O28" s="173"/>
      <c r="P28" s="174"/>
      <c r="Q28" s="27" t="s">
        <v>5</v>
      </c>
      <c r="R28" s="27" t="s">
        <v>56</v>
      </c>
      <c r="S28" s="170" t="s">
        <v>6</v>
      </c>
      <c r="T28" s="171"/>
      <c r="U28" s="171"/>
      <c r="V28" s="26" t="s">
        <v>57</v>
      </c>
      <c r="W28" s="26" t="s">
        <v>56</v>
      </c>
      <c r="X28" s="172" t="s">
        <v>58</v>
      </c>
      <c r="Y28" s="173"/>
      <c r="Z28" s="174"/>
      <c r="AA28" s="26" t="s">
        <v>59</v>
      </c>
      <c r="AB28" s="49" t="s">
        <v>56</v>
      </c>
    </row>
    <row r="29" spans="1:32" ht="15" customHeight="1" x14ac:dyDescent="0.15">
      <c r="B29" s="28"/>
      <c r="C29" s="29"/>
      <c r="D29" s="30"/>
      <c r="E29" s="31"/>
      <c r="F29" s="181" t="s">
        <v>19</v>
      </c>
      <c r="G29" s="182"/>
      <c r="H29" s="183"/>
      <c r="I29" s="184" t="s">
        <v>7</v>
      </c>
      <c r="J29" s="182"/>
      <c r="K29" s="183"/>
      <c r="L29" s="32" t="s">
        <v>7</v>
      </c>
      <c r="M29" s="32"/>
      <c r="N29" s="184" t="s">
        <v>7</v>
      </c>
      <c r="O29" s="182"/>
      <c r="P29" s="183"/>
      <c r="Q29" s="33"/>
      <c r="R29" s="33"/>
      <c r="S29" s="175" t="s">
        <v>60</v>
      </c>
      <c r="T29" s="176"/>
      <c r="U29" s="176"/>
      <c r="V29" s="32" t="s">
        <v>60</v>
      </c>
      <c r="W29" s="30"/>
      <c r="X29" s="177" t="s">
        <v>61</v>
      </c>
      <c r="Y29" s="178"/>
      <c r="Z29" s="179"/>
      <c r="AA29" s="51" t="s">
        <v>61</v>
      </c>
      <c r="AB29" s="52"/>
    </row>
    <row r="30" spans="1:32" s="5" customFormat="1" ht="13" x14ac:dyDescent="0.15">
      <c r="B30" s="189" t="s">
        <v>8</v>
      </c>
      <c r="C30" s="34">
        <v>0.52083333333333337</v>
      </c>
      <c r="D30" s="40">
        <v>0</v>
      </c>
      <c r="E30" s="190">
        <v>1</v>
      </c>
      <c r="F30" s="36">
        <v>0.109</v>
      </c>
      <c r="G30" s="37">
        <v>0.114</v>
      </c>
      <c r="H30" s="37">
        <v>0.113</v>
      </c>
      <c r="I30" s="37">
        <f>1.2596*F30</f>
        <v>0.13729640000000001</v>
      </c>
      <c r="J30" s="37">
        <f>1.2596*G30</f>
        <v>0.14359440000000001</v>
      </c>
      <c r="K30" s="37">
        <f t="shared" ref="J30:K45" si="21">1.2596*H30</f>
        <v>0.14233480000000001</v>
      </c>
      <c r="L30" s="38">
        <f t="shared" ref="L30:L51" si="22">AVERAGE(I30:K30)</f>
        <v>0.14107519999999998</v>
      </c>
      <c r="M30" s="37">
        <f>STDEV(I30:K30)/SQRT(3)</f>
        <v>1.9240707817887919E-3</v>
      </c>
      <c r="N30" s="37">
        <f t="shared" ref="N30:N51" si="23">LN(I30)</f>
        <v>-1.9856131865082607</v>
      </c>
      <c r="O30" s="37">
        <f t="shared" ref="O30:O51" si="24">LN(J30)</f>
        <v>-1.9407626203429089</v>
      </c>
      <c r="P30" s="37">
        <f t="shared" ref="P30:P51" si="25">LN(K30)</f>
        <v>-1.9495732500250638</v>
      </c>
      <c r="Q30" s="38">
        <f t="shared" ref="Q30:Q51" si="26">AVERAGE(N30:P30)</f>
        <v>-1.9586496856254112</v>
      </c>
      <c r="R30" s="37">
        <f>STDEV(N30:P30)/SQRT(3)</f>
        <v>1.3719567337001909E-2</v>
      </c>
      <c r="S30" s="37"/>
      <c r="T30" s="37"/>
      <c r="U30" s="157"/>
      <c r="V30" s="158"/>
      <c r="W30" s="157"/>
      <c r="X30" s="157"/>
      <c r="Y30" s="157"/>
      <c r="Z30" s="157"/>
      <c r="AA30" s="158"/>
      <c r="AB30" s="159"/>
      <c r="AC30" s="153"/>
      <c r="AD30" s="153"/>
      <c r="AE30" s="153"/>
      <c r="AF30" s="153"/>
    </row>
    <row r="31" spans="1:32" s="5" customFormat="1" ht="13" x14ac:dyDescent="0.15">
      <c r="B31" s="189"/>
      <c r="C31" s="34">
        <v>0.83333333333333337</v>
      </c>
      <c r="D31" s="40">
        <v>7.5</v>
      </c>
      <c r="E31" s="190"/>
      <c r="F31" s="36">
        <v>0.14299999999999999</v>
      </c>
      <c r="G31" s="37">
        <v>0.13400000000000001</v>
      </c>
      <c r="H31" s="37">
        <v>0.13400000000000001</v>
      </c>
      <c r="I31" s="37">
        <f t="shared" ref="I31:I49" si="27">1.2596*F31</f>
        <v>0.1801228</v>
      </c>
      <c r="J31" s="37">
        <f t="shared" si="21"/>
        <v>0.16878640000000003</v>
      </c>
      <c r="K31" s="37">
        <f t="shared" si="21"/>
        <v>0.16878640000000003</v>
      </c>
      <c r="L31" s="38">
        <f t="shared" si="22"/>
        <v>0.1725652</v>
      </c>
      <c r="M31" s="37">
        <f t="shared" ref="M31:M50" si="28">STDEV(I31:K31)/SQRT(3)</f>
        <v>3.7787999999999897E-3</v>
      </c>
      <c r="N31" s="37">
        <f t="shared" si="23"/>
        <v>-1.7141164384774972</v>
      </c>
      <c r="O31" s="37">
        <f t="shared" si="24"/>
        <v>-1.779121268786493</v>
      </c>
      <c r="P31" s="37">
        <f t="shared" si="25"/>
        <v>-1.779121268786493</v>
      </c>
      <c r="Q31" s="38">
        <f t="shared" si="26"/>
        <v>-1.7574529920168278</v>
      </c>
      <c r="R31" s="37">
        <f t="shared" ref="R31:R51" si="29">STDEV(N31:P31)/SQRT(3)</f>
        <v>2.1668276769665283E-2</v>
      </c>
      <c r="S31" s="37">
        <f>(N31-N30)/(D31-D30)</f>
        <v>3.6199566404101803E-2</v>
      </c>
      <c r="T31" s="37">
        <f>(O31-O30)/(D31-D30)</f>
        <v>2.1552180207522122E-2</v>
      </c>
      <c r="U31" s="37">
        <f>(P31-P30)/(D31-D30)</f>
        <v>2.2726930831809433E-2</v>
      </c>
      <c r="V31" s="38">
        <f>AVERAGE(S31:U31)</f>
        <v>2.6826225814477786E-2</v>
      </c>
      <c r="W31" s="37">
        <f>STDEV(S31:U31)/SQRT(3)</f>
        <v>4.6989234623168669E-3</v>
      </c>
      <c r="X31" s="37">
        <f>I31/D31</f>
        <v>2.4016373333333334E-2</v>
      </c>
      <c r="Y31" s="37">
        <f>J31/D31</f>
        <v>2.2504853333333338E-2</v>
      </c>
      <c r="Z31" s="37">
        <f>K31/D31</f>
        <v>2.2504853333333338E-2</v>
      </c>
      <c r="AA31" s="38">
        <f>AVERAGE(X31:Z31)</f>
        <v>2.300869333333334E-2</v>
      </c>
      <c r="AB31" s="154">
        <f>STDEV(X31:Z31)/SQRT(3)</f>
        <v>5.0383999999999856E-4</v>
      </c>
    </row>
    <row r="32" spans="1:32" s="5" customFormat="1" ht="13" x14ac:dyDescent="0.15">
      <c r="B32" s="189" t="s">
        <v>9</v>
      </c>
      <c r="C32" s="34">
        <v>0.4375</v>
      </c>
      <c r="D32" s="40">
        <f>D30+22</f>
        <v>22</v>
      </c>
      <c r="E32" s="190">
        <v>2</v>
      </c>
      <c r="F32" s="36">
        <v>0.20100000000000001</v>
      </c>
      <c r="G32" s="37">
        <v>0.216</v>
      </c>
      <c r="H32" s="37">
        <v>0.216</v>
      </c>
      <c r="I32" s="37">
        <f t="shared" si="27"/>
        <v>0.2531796</v>
      </c>
      <c r="J32" s="37">
        <f t="shared" si="21"/>
        <v>0.27207360000000003</v>
      </c>
      <c r="K32" s="37">
        <f t="shared" si="21"/>
        <v>0.27207360000000003</v>
      </c>
      <c r="L32" s="38">
        <f t="shared" si="22"/>
        <v>0.26577560000000006</v>
      </c>
      <c r="M32" s="37">
        <f t="shared" si="28"/>
        <v>6.2980000000000076E-3</v>
      </c>
      <c r="N32" s="37">
        <f t="shared" si="23"/>
        <v>-1.3736561606783289</v>
      </c>
      <c r="O32" s="37">
        <f t="shared" si="24"/>
        <v>-1.3016826610532395</v>
      </c>
      <c r="P32" s="37">
        <f t="shared" si="25"/>
        <v>-1.3016826610532395</v>
      </c>
      <c r="Q32" s="38">
        <f t="shared" si="26"/>
        <v>-1.3256738275949358</v>
      </c>
      <c r="R32" s="37">
        <f t="shared" si="29"/>
        <v>2.3991166541696453E-2</v>
      </c>
      <c r="S32" s="37">
        <f t="shared" ref="S32:S50" si="30">(N32-N31)/(D32-D31)</f>
        <v>2.3480019158563334E-2</v>
      </c>
      <c r="T32" s="37">
        <f t="shared" ref="T32:T51" si="31">(O32-O31)/(D32-D31)</f>
        <v>3.2926800533327832E-2</v>
      </c>
      <c r="U32" s="37">
        <f t="shared" ref="U32:U51" si="32">(P32-P31)/(D32-D31)</f>
        <v>3.2926800533327832E-2</v>
      </c>
      <c r="V32" s="38">
        <f t="shared" ref="V32:V51" si="33">AVERAGE(S32:U32)</f>
        <v>2.9777873408406333E-2</v>
      </c>
      <c r="W32" s="37">
        <f t="shared" ref="W32:W50" si="34">STDEV(S32:U32)/SQRT(3)</f>
        <v>3.1489271249214999E-3</v>
      </c>
      <c r="X32" s="37">
        <f t="shared" ref="X32:X51" si="35">I32/D32</f>
        <v>1.1508163636363637E-2</v>
      </c>
      <c r="Y32" s="37">
        <f t="shared" ref="Y32:Y51" si="36">J32/D32</f>
        <v>1.236698181818182E-2</v>
      </c>
      <c r="Z32" s="37">
        <f t="shared" ref="Z32:Z51" si="37">K32/D32</f>
        <v>1.236698181818182E-2</v>
      </c>
      <c r="AA32" s="38">
        <f t="shared" ref="AA32:AA51" si="38">AVERAGE(X32:Z32)</f>
        <v>1.2080709090909093E-2</v>
      </c>
      <c r="AB32" s="154">
        <f t="shared" ref="AB32:AB51" si="39">STDEV(X32:Z32)/SQRT(3)</f>
        <v>2.8627272727272762E-4</v>
      </c>
    </row>
    <row r="33" spans="2:28" s="5" customFormat="1" ht="15" customHeight="1" x14ac:dyDescent="0.15">
      <c r="B33" s="189"/>
      <c r="C33" s="34">
        <v>0.59722222222222221</v>
      </c>
      <c r="D33" s="40">
        <f>D32+4</f>
        <v>26</v>
      </c>
      <c r="E33" s="190"/>
      <c r="F33" s="36">
        <v>0.23100000000000001</v>
      </c>
      <c r="G33" s="37">
        <v>0.248</v>
      </c>
      <c r="H33" s="37">
        <v>0.24299999999999999</v>
      </c>
      <c r="I33" s="37">
        <f t="shared" si="27"/>
        <v>0.29096760000000005</v>
      </c>
      <c r="J33" s="37">
        <f t="shared" si="21"/>
        <v>0.31238080000000001</v>
      </c>
      <c r="K33" s="37">
        <f t="shared" si="21"/>
        <v>0.30608279999999999</v>
      </c>
      <c r="L33" s="38">
        <f t="shared" si="22"/>
        <v>0.30314373333333333</v>
      </c>
      <c r="M33" s="37">
        <f t="shared" si="28"/>
        <v>6.3537355997169854E-3</v>
      </c>
      <c r="N33" s="37">
        <f t="shared" si="23"/>
        <v>-1.2345433582156109</v>
      </c>
      <c r="O33" s="37">
        <f t="shared" si="24"/>
        <v>-1.1635323225724223</v>
      </c>
      <c r="P33" s="37">
        <f t="shared" si="25"/>
        <v>-1.1838996253968561</v>
      </c>
      <c r="Q33" s="38">
        <f t="shared" si="26"/>
        <v>-1.1939917687282966</v>
      </c>
      <c r="R33" s="37">
        <f t="shared" si="29"/>
        <v>2.1111058030854359E-2</v>
      </c>
      <c r="S33" s="37">
        <f t="shared" si="30"/>
        <v>3.4778200615679489E-2</v>
      </c>
      <c r="T33" s="37">
        <f t="shared" si="31"/>
        <v>3.4537584620204287E-2</v>
      </c>
      <c r="U33" s="37">
        <f t="shared" si="32"/>
        <v>2.9445758914095843E-2</v>
      </c>
      <c r="V33" s="38">
        <f t="shared" si="33"/>
        <v>3.2920514716659875E-2</v>
      </c>
      <c r="W33" s="37">
        <f t="shared" si="34"/>
        <v>1.7387658391235365E-3</v>
      </c>
      <c r="X33" s="37">
        <f t="shared" si="35"/>
        <v>1.119106153846154E-2</v>
      </c>
      <c r="Y33" s="37">
        <f t="shared" si="36"/>
        <v>1.2014646153846155E-2</v>
      </c>
      <c r="Z33" s="37">
        <f t="shared" si="37"/>
        <v>1.1772415384615384E-2</v>
      </c>
      <c r="AA33" s="38">
        <f t="shared" si="38"/>
        <v>1.1659374358974359E-2</v>
      </c>
      <c r="AB33" s="154">
        <f t="shared" si="39"/>
        <v>2.4437444614296128E-4</v>
      </c>
    </row>
    <row r="34" spans="2:28" s="5" customFormat="1" ht="13" x14ac:dyDescent="0.15">
      <c r="B34" s="189"/>
      <c r="C34" s="34">
        <v>0.80208333333333337</v>
      </c>
      <c r="D34" s="40">
        <f>D33+5</f>
        <v>31</v>
      </c>
      <c r="E34" s="190"/>
      <c r="F34" s="36">
        <v>0.25600000000000001</v>
      </c>
      <c r="G34" s="37">
        <v>0.26200000000000001</v>
      </c>
      <c r="H34" s="37">
        <v>0.23300000000000001</v>
      </c>
      <c r="I34" s="37">
        <f t="shared" si="27"/>
        <v>0.32245760000000001</v>
      </c>
      <c r="J34" s="37">
        <f t="shared" si="21"/>
        <v>0.33001520000000001</v>
      </c>
      <c r="K34" s="37">
        <f t="shared" si="21"/>
        <v>0.29348680000000005</v>
      </c>
      <c r="L34" s="38">
        <f t="shared" si="22"/>
        <v>0.31531986666666667</v>
      </c>
      <c r="M34" s="37">
        <f t="shared" si="28"/>
        <v>1.11324065905705E-2</v>
      </c>
      <c r="N34" s="37">
        <f t="shared" si="23"/>
        <v>-1.1317836242578421</v>
      </c>
      <c r="O34" s="37">
        <f t="shared" si="24"/>
        <v>-1.1086165649763076</v>
      </c>
      <c r="P34" s="37">
        <f t="shared" si="25"/>
        <v>-1.2259226151717038</v>
      </c>
      <c r="Q34" s="38">
        <f t="shared" si="26"/>
        <v>-1.155440934801951</v>
      </c>
      <c r="R34" s="37">
        <f t="shared" si="29"/>
        <v>3.5869804430962604E-2</v>
      </c>
      <c r="S34" s="37">
        <f t="shared" si="30"/>
        <v>2.0551946791553765E-2</v>
      </c>
      <c r="T34" s="37">
        <f t="shared" si="31"/>
        <v>1.0983151519222956E-2</v>
      </c>
      <c r="U34" s="37">
        <f t="shared" si="32"/>
        <v>-8.4045979549695286E-3</v>
      </c>
      <c r="V34" s="38">
        <f t="shared" si="33"/>
        <v>7.7101667852690651E-3</v>
      </c>
      <c r="W34" s="37">
        <f t="shared" si="34"/>
        <v>8.5177206011129696E-3</v>
      </c>
      <c r="X34" s="37">
        <f t="shared" si="35"/>
        <v>1.040185806451613E-2</v>
      </c>
      <c r="Y34" s="37">
        <f t="shared" si="36"/>
        <v>1.0645651612903225E-2</v>
      </c>
      <c r="Z34" s="37">
        <f t="shared" si="37"/>
        <v>9.4673161290322588E-3</v>
      </c>
      <c r="AA34" s="38">
        <f t="shared" si="38"/>
        <v>1.0171608602150538E-2</v>
      </c>
      <c r="AB34" s="154">
        <f t="shared" si="39"/>
        <v>3.5910989001840347E-4</v>
      </c>
    </row>
    <row r="35" spans="2:28" s="5" customFormat="1" ht="15" customHeight="1" x14ac:dyDescent="0.15">
      <c r="B35" s="39" t="s">
        <v>10</v>
      </c>
      <c r="C35" s="34">
        <v>0.52083333333333337</v>
      </c>
      <c r="D35" s="40">
        <f>D30+48</f>
        <v>48</v>
      </c>
      <c r="E35" s="35">
        <v>3</v>
      </c>
      <c r="F35" s="36">
        <v>0.36</v>
      </c>
      <c r="G35" s="37">
        <v>0.35799999999999998</v>
      </c>
      <c r="H35" s="37">
        <v>0.39800000000000002</v>
      </c>
      <c r="I35" s="37">
        <f t="shared" si="27"/>
        <v>0.45345600000000003</v>
      </c>
      <c r="J35" s="37">
        <f t="shared" si="21"/>
        <v>0.45093680000000003</v>
      </c>
      <c r="K35" s="37">
        <f t="shared" si="21"/>
        <v>0.50132080000000001</v>
      </c>
      <c r="L35" s="38">
        <f t="shared" si="22"/>
        <v>0.46857120000000002</v>
      </c>
      <c r="M35" s="37">
        <f t="shared" si="28"/>
        <v>1.6390940762913312E-2</v>
      </c>
      <c r="N35" s="37">
        <f t="shared" si="23"/>
        <v>-0.79085703728724877</v>
      </c>
      <c r="O35" s="37">
        <f t="shared" si="24"/>
        <v>-0.79642808233670415</v>
      </c>
      <c r="P35" s="37">
        <f t="shared" si="25"/>
        <v>-0.69050906345296681</v>
      </c>
      <c r="Q35" s="38">
        <f t="shared" si="26"/>
        <v>-0.75926472769230668</v>
      </c>
      <c r="R35" s="37">
        <f t="shared" si="29"/>
        <v>3.441542851435668E-2</v>
      </c>
      <c r="S35" s="37">
        <f t="shared" si="30"/>
        <v>2.0054505115917252E-2</v>
      </c>
      <c r="T35" s="37">
        <f t="shared" si="31"/>
        <v>1.8364028390564908E-2</v>
      </c>
      <c r="U35" s="37">
        <f t="shared" si="32"/>
        <v>3.1494914806984527E-2</v>
      </c>
      <c r="V35" s="38">
        <f t="shared" si="33"/>
        <v>2.3304482771155561E-2</v>
      </c>
      <c r="W35" s="37">
        <f t="shared" si="34"/>
        <v>4.1241892370860603E-3</v>
      </c>
      <c r="X35" s="37">
        <f t="shared" si="35"/>
        <v>9.4470000000000005E-3</v>
      </c>
      <c r="Y35" s="37">
        <f t="shared" si="36"/>
        <v>9.3945166666666666E-3</v>
      </c>
      <c r="Z35" s="37">
        <f t="shared" si="37"/>
        <v>1.0444183333333334E-2</v>
      </c>
      <c r="AA35" s="38">
        <f t="shared" si="38"/>
        <v>9.7619000000000022E-3</v>
      </c>
      <c r="AB35" s="154">
        <f t="shared" si="39"/>
        <v>3.4147793256069433E-4</v>
      </c>
    </row>
    <row r="36" spans="2:28" s="5" customFormat="1" ht="13" x14ac:dyDescent="0.15">
      <c r="B36" s="39" t="s">
        <v>11</v>
      </c>
      <c r="C36" s="34">
        <v>0.54166666666666663</v>
      </c>
      <c r="D36" s="40">
        <f>D35+24.5</f>
        <v>72.5</v>
      </c>
      <c r="E36" s="35">
        <v>4</v>
      </c>
      <c r="F36" s="36">
        <v>0.47</v>
      </c>
      <c r="G36" s="37">
        <v>0.46800000000000003</v>
      </c>
      <c r="H36" s="37">
        <v>0.59</v>
      </c>
      <c r="I36" s="37">
        <f t="shared" si="27"/>
        <v>0.59201199999999998</v>
      </c>
      <c r="J36" s="37">
        <f t="shared" si="21"/>
        <v>0.58949280000000004</v>
      </c>
      <c r="K36" s="37">
        <f t="shared" si="21"/>
        <v>0.74316400000000005</v>
      </c>
      <c r="L36" s="38">
        <f t="shared" si="22"/>
        <v>0.64155626666666665</v>
      </c>
      <c r="M36" s="37">
        <f t="shared" si="28"/>
        <v>5.0809071358742373E-2</v>
      </c>
      <c r="N36" s="37">
        <f t="shared" si="23"/>
        <v>-0.52422837403330025</v>
      </c>
      <c r="O36" s="37">
        <f t="shared" si="24"/>
        <v>-0.52849277281975771</v>
      </c>
      <c r="P36" s="37">
        <f t="shared" si="25"/>
        <v>-0.29683853183763931</v>
      </c>
      <c r="Q36" s="38">
        <f t="shared" si="26"/>
        <v>-0.44985322623023238</v>
      </c>
      <c r="R36" s="37">
        <f t="shared" si="29"/>
        <v>7.6517250341119225E-2</v>
      </c>
      <c r="S36" s="37">
        <f t="shared" si="30"/>
        <v>1.0882802581793817E-2</v>
      </c>
      <c r="T36" s="37">
        <f t="shared" si="31"/>
        <v>1.0936135082324345E-2</v>
      </c>
      <c r="U36" s="37">
        <f t="shared" si="32"/>
        <v>1.6068184963890918E-2</v>
      </c>
      <c r="V36" s="38">
        <f t="shared" si="33"/>
        <v>1.2629040876003026E-2</v>
      </c>
      <c r="W36" s="37">
        <f t="shared" si="34"/>
        <v>1.7196409636746743E-3</v>
      </c>
      <c r="X36" s="37">
        <f t="shared" si="35"/>
        <v>8.1656827586206893E-3</v>
      </c>
      <c r="Y36" s="37">
        <f t="shared" si="36"/>
        <v>8.1309351724137939E-3</v>
      </c>
      <c r="Z36" s="37">
        <f t="shared" si="37"/>
        <v>1.0250537931034483E-2</v>
      </c>
      <c r="AA36" s="38">
        <f t="shared" si="38"/>
        <v>8.8490519540229892E-3</v>
      </c>
      <c r="AB36" s="154">
        <f t="shared" si="39"/>
        <v>7.0081477736196409E-4</v>
      </c>
    </row>
    <row r="37" spans="2:28" s="5" customFormat="1" ht="13" x14ac:dyDescent="0.15">
      <c r="B37" s="39" t="s">
        <v>12</v>
      </c>
      <c r="C37" s="34">
        <v>0.45833333333333331</v>
      </c>
      <c r="D37" s="40">
        <f>D36+22</f>
        <v>94.5</v>
      </c>
      <c r="E37" s="35">
        <v>5</v>
      </c>
      <c r="F37" s="36">
        <v>0.74</v>
      </c>
      <c r="G37" s="37">
        <v>0.70099999999999996</v>
      </c>
      <c r="H37" s="37">
        <v>0.89100000000000001</v>
      </c>
      <c r="I37" s="37">
        <f t="shared" si="27"/>
        <v>0.93210400000000004</v>
      </c>
      <c r="J37" s="37">
        <f t="shared" si="21"/>
        <v>0.88297959999999998</v>
      </c>
      <c r="K37" s="37">
        <f t="shared" si="21"/>
        <v>1.1223036</v>
      </c>
      <c r="L37" s="38">
        <f t="shared" si="22"/>
        <v>0.97912906666666666</v>
      </c>
      <c r="M37" s="37">
        <f t="shared" si="28"/>
        <v>7.2978334491029251E-2</v>
      </c>
      <c r="N37" s="37">
        <f t="shared" si="23"/>
        <v>-7.0310882539189032E-2</v>
      </c>
      <c r="O37" s="37">
        <f t="shared" si="24"/>
        <v>-0.12445318170281446</v>
      </c>
      <c r="P37" s="37">
        <f t="shared" si="25"/>
        <v>0.11538335873340475</v>
      </c>
      <c r="Q37" s="38">
        <f t="shared" si="26"/>
        <v>-2.6460235169532914E-2</v>
      </c>
      <c r="R37" s="37">
        <f t="shared" si="29"/>
        <v>7.26235751166176E-2</v>
      </c>
      <c r="S37" s="37">
        <f t="shared" si="30"/>
        <v>2.0632613249732326E-2</v>
      </c>
      <c r="T37" s="37">
        <f t="shared" si="31"/>
        <v>1.8365435959861058E-2</v>
      </c>
      <c r="U37" s="37">
        <f t="shared" si="32"/>
        <v>1.8737358662320184E-2</v>
      </c>
      <c r="V37" s="38">
        <f t="shared" si="33"/>
        <v>1.9245135957304524E-2</v>
      </c>
      <c r="W37" s="37">
        <f t="shared" si="34"/>
        <v>7.0199751944082531E-4</v>
      </c>
      <c r="X37" s="37">
        <f t="shared" si="35"/>
        <v>9.8635343915343919E-3</v>
      </c>
      <c r="Y37" s="37">
        <f t="shared" si="36"/>
        <v>9.3436994708994709E-3</v>
      </c>
      <c r="Z37" s="37">
        <f t="shared" si="37"/>
        <v>1.187622857142857E-2</v>
      </c>
      <c r="AA37" s="38">
        <f t="shared" si="38"/>
        <v>1.0361154144620811E-2</v>
      </c>
      <c r="AB37" s="154">
        <f t="shared" si="39"/>
        <v>7.7225750784157136E-4</v>
      </c>
    </row>
    <row r="38" spans="2:28" s="5" customFormat="1" ht="13" x14ac:dyDescent="0.15">
      <c r="B38" s="39" t="s">
        <v>13</v>
      </c>
      <c r="C38" s="34">
        <v>0.4236111111111111</v>
      </c>
      <c r="D38" s="40">
        <f>D37+23</f>
        <v>117.5</v>
      </c>
      <c r="E38" s="35">
        <v>6</v>
      </c>
      <c r="F38" s="36">
        <f>2*0.549</f>
        <v>1.0980000000000001</v>
      </c>
      <c r="G38" s="37">
        <f>2*0.494</f>
        <v>0.98799999999999999</v>
      </c>
      <c r="H38" s="37">
        <f>2*0.632</f>
        <v>1.264</v>
      </c>
      <c r="I38" s="37">
        <f t="shared" si="27"/>
        <v>1.3830408000000001</v>
      </c>
      <c r="J38" s="37">
        <f t="shared" si="21"/>
        <v>1.2444847999999999</v>
      </c>
      <c r="K38" s="37">
        <f t="shared" si="21"/>
        <v>1.5921344000000002</v>
      </c>
      <c r="L38" s="38">
        <f t="shared" si="22"/>
        <v>1.4065533333333333</v>
      </c>
      <c r="M38" s="37">
        <f t="shared" si="28"/>
        <v>0.10104403415154102</v>
      </c>
      <c r="N38" s="37">
        <f t="shared" si="23"/>
        <v>0.32428455333207146</v>
      </c>
      <c r="O38" s="37">
        <f t="shared" si="24"/>
        <v>0.21872162901046324</v>
      </c>
      <c r="P38" s="37">
        <f t="shared" si="25"/>
        <v>0.46507550596939834</v>
      </c>
      <c r="Q38" s="38">
        <f t="shared" si="26"/>
        <v>0.336027229437311</v>
      </c>
      <c r="R38" s="37">
        <f t="shared" si="29"/>
        <v>7.1358195055552881E-2</v>
      </c>
      <c r="S38" s="37">
        <f t="shared" si="30"/>
        <v>1.7156323298750456E-2</v>
      </c>
      <c r="T38" s="37">
        <f t="shared" si="31"/>
        <v>1.4920643944055553E-2</v>
      </c>
      <c r="U38" s="37">
        <f t="shared" si="32"/>
        <v>1.520400640156494E-2</v>
      </c>
      <c r="V38" s="38">
        <f t="shared" si="33"/>
        <v>1.576032454812365E-2</v>
      </c>
      <c r="W38" s="37">
        <f t="shared" si="34"/>
        <v>7.0277615079889714E-4</v>
      </c>
      <c r="X38" s="37">
        <f t="shared" si="35"/>
        <v>1.1770560000000001E-2</v>
      </c>
      <c r="Y38" s="37">
        <f t="shared" si="36"/>
        <v>1.0591359999999999E-2</v>
      </c>
      <c r="Z38" s="37">
        <f t="shared" si="37"/>
        <v>1.3550080000000001E-2</v>
      </c>
      <c r="AA38" s="38">
        <f t="shared" si="38"/>
        <v>1.1970666666666666E-2</v>
      </c>
      <c r="AB38" s="154">
        <f t="shared" si="39"/>
        <v>8.5994922682162565E-4</v>
      </c>
    </row>
    <row r="39" spans="2:28" s="5" customFormat="1" ht="13" x14ac:dyDescent="0.15">
      <c r="B39" s="39" t="s">
        <v>30</v>
      </c>
      <c r="C39" s="34">
        <v>0.43055555555555558</v>
      </c>
      <c r="D39" s="40">
        <f>24+D38</f>
        <v>141.5</v>
      </c>
      <c r="E39" s="35">
        <v>7</v>
      </c>
      <c r="F39" s="36">
        <f>2*0.713</f>
        <v>1.4259999999999999</v>
      </c>
      <c r="G39" s="37">
        <f>2*0.664</f>
        <v>1.3280000000000001</v>
      </c>
      <c r="H39" s="37">
        <f>2*0.913</f>
        <v>1.8260000000000001</v>
      </c>
      <c r="I39" s="37">
        <f t="shared" si="27"/>
        <v>1.7961895999999999</v>
      </c>
      <c r="J39" s="37">
        <f t="shared" si="21"/>
        <v>1.6727488000000001</v>
      </c>
      <c r="K39" s="37">
        <f t="shared" si="21"/>
        <v>2.3000296000000002</v>
      </c>
      <c r="L39" s="38">
        <f t="shared" si="22"/>
        <v>1.9229893333333334</v>
      </c>
      <c r="M39" s="37">
        <f t="shared" si="28"/>
        <v>0.19185839378059855</v>
      </c>
      <c r="N39" s="37">
        <f t="shared" si="23"/>
        <v>0.58566753223683665</v>
      </c>
      <c r="O39" s="37">
        <f t="shared" si="24"/>
        <v>0.51446826129897472</v>
      </c>
      <c r="P39" s="37">
        <f t="shared" si="25"/>
        <v>0.8329219924175093</v>
      </c>
      <c r="Q39" s="38">
        <f t="shared" si="26"/>
        <v>0.64435259531777356</v>
      </c>
      <c r="R39" s="37">
        <f t="shared" si="29"/>
        <v>9.649895886733563E-2</v>
      </c>
      <c r="S39" s="37">
        <f t="shared" si="30"/>
        <v>1.0890957454365217E-2</v>
      </c>
      <c r="T39" s="37">
        <f t="shared" si="31"/>
        <v>1.2322776345354646E-2</v>
      </c>
      <c r="U39" s="37">
        <f t="shared" si="32"/>
        <v>1.5326936935337957E-2</v>
      </c>
      <c r="V39" s="38">
        <f t="shared" si="33"/>
        <v>1.2846890245019274E-2</v>
      </c>
      <c r="W39" s="37">
        <f t="shared" si="34"/>
        <v>1.3070960209269303E-3</v>
      </c>
      <c r="X39" s="37">
        <f t="shared" si="35"/>
        <v>1.2693919434628975E-2</v>
      </c>
      <c r="Y39" s="37">
        <f t="shared" si="36"/>
        <v>1.1821546289752651E-2</v>
      </c>
      <c r="Z39" s="37">
        <f t="shared" si="37"/>
        <v>1.6254626148409897E-2</v>
      </c>
      <c r="AA39" s="38">
        <f t="shared" si="38"/>
        <v>1.359003062426384E-2</v>
      </c>
      <c r="AB39" s="154">
        <f t="shared" si="39"/>
        <v>1.3558897086968084E-3</v>
      </c>
    </row>
    <row r="40" spans="2:28" s="5" customFormat="1" ht="13" x14ac:dyDescent="0.15">
      <c r="B40" s="39" t="s">
        <v>31</v>
      </c>
      <c r="C40" s="34">
        <v>0.4826388888888889</v>
      </c>
      <c r="D40" s="40">
        <f>D39+25</f>
        <v>166.5</v>
      </c>
      <c r="E40" s="35">
        <v>8</v>
      </c>
      <c r="F40" s="36">
        <f>2*0.899</f>
        <v>1.798</v>
      </c>
      <c r="G40" s="37">
        <f>2*0.766</f>
        <v>1.532</v>
      </c>
      <c r="H40" s="37">
        <f>2*0.995</f>
        <v>1.99</v>
      </c>
      <c r="I40" s="37">
        <f t="shared" si="27"/>
        <v>2.2647608000000004</v>
      </c>
      <c r="J40" s="37">
        <f t="shared" si="21"/>
        <v>1.9297072000000002</v>
      </c>
      <c r="K40" s="37">
        <f t="shared" si="21"/>
        <v>2.5066040000000003</v>
      </c>
      <c r="L40" s="38">
        <f t="shared" si="22"/>
        <v>2.2336906666666669</v>
      </c>
      <c r="M40" s="37">
        <f t="shared" si="28"/>
        <v>0.16725877590485644</v>
      </c>
      <c r="N40" s="37">
        <f t="shared" si="23"/>
        <v>0.81746914629416123</v>
      </c>
      <c r="O40" s="37">
        <f t="shared" si="24"/>
        <v>0.65736828156313221</v>
      </c>
      <c r="P40" s="37">
        <f t="shared" si="25"/>
        <v>0.91892884898113369</v>
      </c>
      <c r="Q40" s="38">
        <f t="shared" si="26"/>
        <v>0.79792209227947575</v>
      </c>
      <c r="R40" s="37">
        <f t="shared" si="29"/>
        <v>7.6135948796645883E-2</v>
      </c>
      <c r="S40" s="37">
        <f t="shared" si="30"/>
        <v>9.272064562292983E-3</v>
      </c>
      <c r="T40" s="37">
        <f t="shared" si="31"/>
        <v>5.7160008105662996E-3</v>
      </c>
      <c r="U40" s="37">
        <f t="shared" si="32"/>
        <v>3.4402742625449755E-3</v>
      </c>
      <c r="V40" s="38">
        <f t="shared" si="33"/>
        <v>6.1427798784680866E-3</v>
      </c>
      <c r="W40" s="37">
        <f t="shared" si="34"/>
        <v>1.6969629542860846E-3</v>
      </c>
      <c r="X40" s="37">
        <f t="shared" si="35"/>
        <v>1.3602166966966969E-2</v>
      </c>
      <c r="Y40" s="37">
        <f t="shared" si="36"/>
        <v>1.1589833033033034E-2</v>
      </c>
      <c r="Z40" s="37">
        <f t="shared" si="37"/>
        <v>1.5054678678678681E-2</v>
      </c>
      <c r="AA40" s="38">
        <f t="shared" si="38"/>
        <v>1.3415559559559561E-2</v>
      </c>
      <c r="AB40" s="154">
        <f t="shared" si="39"/>
        <v>1.0045572126417832E-3</v>
      </c>
    </row>
    <row r="41" spans="2:28" s="5" customFormat="1" ht="13" x14ac:dyDescent="0.15">
      <c r="B41" s="39" t="s">
        <v>32</v>
      </c>
      <c r="C41" s="34">
        <v>0.52083333333333337</v>
      </c>
      <c r="D41" s="40">
        <f>25+D40</f>
        <v>191.5</v>
      </c>
      <c r="E41" s="35">
        <v>9</v>
      </c>
      <c r="F41" s="36">
        <f>2*1.093</f>
        <v>2.1859999999999999</v>
      </c>
      <c r="G41" s="37">
        <f>2*0.87</f>
        <v>1.74</v>
      </c>
      <c r="H41" s="37">
        <f>2*1.139</f>
        <v>2.278</v>
      </c>
      <c r="I41" s="37">
        <f t="shared" si="27"/>
        <v>2.7534855999999999</v>
      </c>
      <c r="J41" s="37">
        <f t="shared" si="21"/>
        <v>2.1917040000000001</v>
      </c>
      <c r="K41" s="37">
        <f t="shared" si="21"/>
        <v>2.8693688000000002</v>
      </c>
      <c r="L41" s="38">
        <f t="shared" si="22"/>
        <v>2.6048528000000002</v>
      </c>
      <c r="M41" s="37">
        <f t="shared" si="28"/>
        <v>0.2092655228942733</v>
      </c>
      <c r="N41" s="37">
        <f t="shared" si="23"/>
        <v>1.0128675999990793</v>
      </c>
      <c r="O41" s="37">
        <f t="shared" si="24"/>
        <v>0.7846793234711702</v>
      </c>
      <c r="P41" s="37">
        <f t="shared" si="25"/>
        <v>1.0540920752697229</v>
      </c>
      <c r="Q41" s="38">
        <f t="shared" si="26"/>
        <v>0.95054633291332413</v>
      </c>
      <c r="R41" s="37">
        <f t="shared" si="29"/>
        <v>8.3782979489268383E-2</v>
      </c>
      <c r="S41" s="37">
        <f t="shared" si="30"/>
        <v>7.815938148196722E-3</v>
      </c>
      <c r="T41" s="37">
        <f t="shared" si="31"/>
        <v>5.0924416763215193E-3</v>
      </c>
      <c r="U41" s="37">
        <f t="shared" si="32"/>
        <v>5.4065290515435691E-3</v>
      </c>
      <c r="V41" s="38">
        <f t="shared" si="33"/>
        <v>6.1049696253539371E-3</v>
      </c>
      <c r="W41" s="37">
        <f t="shared" si="34"/>
        <v>8.6027566985580968E-4</v>
      </c>
      <c r="X41" s="37">
        <f t="shared" si="35"/>
        <v>1.4378514882506526E-2</v>
      </c>
      <c r="Y41" s="37">
        <f t="shared" si="36"/>
        <v>1.144492950391645E-2</v>
      </c>
      <c r="Z41" s="37">
        <f t="shared" si="37"/>
        <v>1.4983649086161881E-2</v>
      </c>
      <c r="AA41" s="38">
        <f t="shared" si="38"/>
        <v>1.3602364490861621E-2</v>
      </c>
      <c r="AB41" s="154">
        <f t="shared" si="39"/>
        <v>1.0927703545392826E-3</v>
      </c>
    </row>
    <row r="42" spans="2:28" s="5" customFormat="1" ht="13" x14ac:dyDescent="0.15">
      <c r="B42" s="39" t="s">
        <v>33</v>
      </c>
      <c r="C42" s="34">
        <v>0.46527777777777773</v>
      </c>
      <c r="D42" s="40">
        <f>D41+22.5</f>
        <v>214</v>
      </c>
      <c r="E42" s="35">
        <v>10</v>
      </c>
      <c r="F42" s="36">
        <f>2*1.142</f>
        <v>2.2839999999999998</v>
      </c>
      <c r="G42" s="37">
        <f>2*1.048</f>
        <v>2.0960000000000001</v>
      </c>
      <c r="H42" s="37">
        <f>4*0.685</f>
        <v>2.74</v>
      </c>
      <c r="I42" s="37">
        <f t="shared" si="27"/>
        <v>2.8769263999999999</v>
      </c>
      <c r="J42" s="37">
        <f t="shared" si="21"/>
        <v>2.6401216000000001</v>
      </c>
      <c r="K42" s="37">
        <f t="shared" si="21"/>
        <v>3.4513040000000004</v>
      </c>
      <c r="L42" s="38">
        <f t="shared" si="22"/>
        <v>2.9894506666666665</v>
      </c>
      <c r="M42" s="37">
        <f t="shared" si="28"/>
        <v>0.2408322406843238</v>
      </c>
      <c r="N42" s="37">
        <f t="shared" si="23"/>
        <v>1.0567225020384963</v>
      </c>
      <c r="O42" s="37">
        <f t="shared" si="24"/>
        <v>0.9708249767035283</v>
      </c>
      <c r="P42" s="37">
        <f t="shared" si="25"/>
        <v>1.2387521306447116</v>
      </c>
      <c r="Q42" s="38">
        <f t="shared" si="26"/>
        <v>1.0887665364622452</v>
      </c>
      <c r="R42" s="37">
        <f t="shared" si="29"/>
        <v>7.8985979898057279E-2</v>
      </c>
      <c r="S42" s="37">
        <f t="shared" si="30"/>
        <v>1.9491067573074222E-3</v>
      </c>
      <c r="T42" s="37">
        <f t="shared" si="31"/>
        <v>8.2731401436603597E-3</v>
      </c>
      <c r="U42" s="37">
        <f t="shared" si="32"/>
        <v>8.2071135722217182E-3</v>
      </c>
      <c r="V42" s="38">
        <f t="shared" si="33"/>
        <v>6.1431201577298337E-3</v>
      </c>
      <c r="W42" s="37">
        <f t="shared" si="34"/>
        <v>2.0970933200683628E-3</v>
      </c>
      <c r="X42" s="37">
        <f t="shared" si="35"/>
        <v>1.3443581308411215E-2</v>
      </c>
      <c r="Y42" s="37">
        <f t="shared" si="36"/>
        <v>1.2337016822429906E-2</v>
      </c>
      <c r="Z42" s="37">
        <f t="shared" si="37"/>
        <v>1.6127588785046731E-2</v>
      </c>
      <c r="AA42" s="38">
        <f t="shared" si="38"/>
        <v>1.3969395638629284E-2</v>
      </c>
      <c r="AB42" s="154">
        <f t="shared" si="39"/>
        <v>1.1253843022631868E-3</v>
      </c>
    </row>
    <row r="43" spans="2:28" s="5" customFormat="1" ht="13" x14ac:dyDescent="0.15">
      <c r="B43" s="39" t="s">
        <v>34</v>
      </c>
      <c r="C43" s="34">
        <v>0.42152777777777778</v>
      </c>
      <c r="D43" s="40">
        <f>23+D42</f>
        <v>237</v>
      </c>
      <c r="E43" s="35">
        <v>11</v>
      </c>
      <c r="F43" s="36">
        <f>4*0.686</f>
        <v>2.7440000000000002</v>
      </c>
      <c r="G43" s="37">
        <f>4*0.596</f>
        <v>2.3839999999999999</v>
      </c>
      <c r="H43" s="37">
        <f>4*0.718</f>
        <v>2.8719999999999999</v>
      </c>
      <c r="I43" s="37">
        <f t="shared" si="27"/>
        <v>3.4563424000000005</v>
      </c>
      <c r="J43" s="37">
        <f t="shared" si="21"/>
        <v>3.0028864</v>
      </c>
      <c r="K43" s="37">
        <f t="shared" si="21"/>
        <v>3.6175712</v>
      </c>
      <c r="L43" s="38">
        <f t="shared" si="22"/>
        <v>3.3589333333333333</v>
      </c>
      <c r="M43" s="37">
        <f t="shared" si="28"/>
        <v>0.18400701575339765</v>
      </c>
      <c r="N43" s="37">
        <f t="shared" si="23"/>
        <v>1.2402109201083715</v>
      </c>
      <c r="O43" s="37">
        <f t="shared" si="24"/>
        <v>1.0995739594478358</v>
      </c>
      <c r="P43" s="37">
        <f t="shared" si="25"/>
        <v>1.2858028614307102</v>
      </c>
      <c r="Q43" s="38">
        <f t="shared" si="26"/>
        <v>1.2085292469956392</v>
      </c>
      <c r="R43" s="37">
        <f t="shared" si="29"/>
        <v>5.6044914404589488E-2</v>
      </c>
      <c r="S43" s="37">
        <f t="shared" si="30"/>
        <v>7.9777573073858809E-3</v>
      </c>
      <c r="T43" s="37">
        <f t="shared" si="31"/>
        <v>5.5977818584481507E-3</v>
      </c>
      <c r="U43" s="37">
        <f t="shared" si="32"/>
        <v>2.0456839472173323E-3</v>
      </c>
      <c r="V43" s="38">
        <f t="shared" si="33"/>
        <v>5.2070743710171214E-3</v>
      </c>
      <c r="W43" s="37">
        <f t="shared" si="34"/>
        <v>1.7235489397515759E-3</v>
      </c>
      <c r="X43" s="37">
        <f t="shared" si="35"/>
        <v>1.4583723206751057E-2</v>
      </c>
      <c r="Y43" s="37">
        <f t="shared" si="36"/>
        <v>1.2670406751054852E-2</v>
      </c>
      <c r="Z43" s="37">
        <f t="shared" si="37"/>
        <v>1.5264013502109704E-2</v>
      </c>
      <c r="AA43" s="38">
        <f t="shared" si="38"/>
        <v>1.4172714486638538E-2</v>
      </c>
      <c r="AB43" s="154">
        <f t="shared" si="39"/>
        <v>7.7640091035188871E-4</v>
      </c>
    </row>
    <row r="44" spans="2:28" s="5" customFormat="1" ht="13" x14ac:dyDescent="0.15">
      <c r="B44" s="39" t="s">
        <v>35</v>
      </c>
      <c r="C44" s="34">
        <v>0.4291666666666667</v>
      </c>
      <c r="D44" s="40">
        <f>24+D43</f>
        <v>261</v>
      </c>
      <c r="E44" s="35">
        <v>12</v>
      </c>
      <c r="F44" s="36">
        <f>4*0.811</f>
        <v>3.2440000000000002</v>
      </c>
      <c r="G44" s="37">
        <f>4*0.7</f>
        <v>2.8</v>
      </c>
      <c r="H44" s="37">
        <f>4*0.725</f>
        <v>2.9</v>
      </c>
      <c r="I44" s="37">
        <f t="shared" si="27"/>
        <v>4.0861424000000008</v>
      </c>
      <c r="J44" s="37">
        <f t="shared" si="21"/>
        <v>3.5268799999999998</v>
      </c>
      <c r="K44" s="37">
        <f t="shared" si="21"/>
        <v>3.6528399999999999</v>
      </c>
      <c r="L44" s="38">
        <f t="shared" si="22"/>
        <v>3.7552874666666667</v>
      </c>
      <c r="M44" s="37">
        <f t="shared" si="28"/>
        <v>0.16937652393730532</v>
      </c>
      <c r="N44" s="37">
        <f t="shared" si="23"/>
        <v>1.4076013464978991</v>
      </c>
      <c r="O44" s="37">
        <f t="shared" si="24"/>
        <v>1.2604136274258908</v>
      </c>
      <c r="P44" s="37">
        <f t="shared" si="25"/>
        <v>1.2955049472371609</v>
      </c>
      <c r="Q44" s="38">
        <f t="shared" si="26"/>
        <v>1.3211733070536502</v>
      </c>
      <c r="R44" s="37">
        <f t="shared" si="29"/>
        <v>4.4385450631022047E-2</v>
      </c>
      <c r="S44" s="37">
        <f t="shared" si="30"/>
        <v>6.9746010995636503E-3</v>
      </c>
      <c r="T44" s="37">
        <f t="shared" si="31"/>
        <v>6.7016528324189599E-3</v>
      </c>
      <c r="U44" s="37">
        <f t="shared" si="32"/>
        <v>4.0425357526877964E-4</v>
      </c>
      <c r="V44" s="38">
        <f t="shared" si="33"/>
        <v>4.69350250241713E-3</v>
      </c>
      <c r="W44" s="37">
        <f t="shared" si="34"/>
        <v>2.146071407511625E-3</v>
      </c>
      <c r="X44" s="37">
        <f t="shared" si="35"/>
        <v>1.5655718007662838E-2</v>
      </c>
      <c r="Y44" s="37">
        <f t="shared" si="36"/>
        <v>1.351295019157088E-2</v>
      </c>
      <c r="Z44" s="37">
        <f t="shared" si="37"/>
        <v>1.3995555555555554E-2</v>
      </c>
      <c r="AA44" s="38">
        <f t="shared" si="38"/>
        <v>1.4388074584929758E-2</v>
      </c>
      <c r="AB44" s="154">
        <f t="shared" si="39"/>
        <v>6.4895219899350706E-4</v>
      </c>
    </row>
    <row r="45" spans="2:28" s="5" customFormat="1" ht="13" x14ac:dyDescent="0.15">
      <c r="B45" s="39" t="s">
        <v>36</v>
      </c>
      <c r="C45" s="34">
        <v>0.4236111111111111</v>
      </c>
      <c r="D45" s="40">
        <f>24+D44</f>
        <v>285</v>
      </c>
      <c r="E45" s="35">
        <v>13</v>
      </c>
      <c r="F45" s="36">
        <f>4*0.796</f>
        <v>3.1840000000000002</v>
      </c>
      <c r="G45" s="37">
        <f>4*0.746</f>
        <v>2.984</v>
      </c>
      <c r="H45" s="37">
        <f>4*0.798</f>
        <v>3.1920000000000002</v>
      </c>
      <c r="I45" s="37">
        <f t="shared" si="27"/>
        <v>4.0105664000000001</v>
      </c>
      <c r="J45" s="37">
        <f t="shared" si="21"/>
        <v>3.7586463999999999</v>
      </c>
      <c r="K45" s="37">
        <f t="shared" si="21"/>
        <v>4.0206432000000003</v>
      </c>
      <c r="L45" s="38">
        <f t="shared" si="22"/>
        <v>3.9299520000000001</v>
      </c>
      <c r="M45" s="37">
        <f t="shared" si="28"/>
        <v>8.5702181843249167E-2</v>
      </c>
      <c r="N45" s="37">
        <f t="shared" si="23"/>
        <v>1.388932478226869</v>
      </c>
      <c r="O45" s="37">
        <f t="shared" si="24"/>
        <v>1.3240588925862469</v>
      </c>
      <c r="P45" s="37">
        <f t="shared" si="25"/>
        <v>1.3914418898322949</v>
      </c>
      <c r="Q45" s="38">
        <f t="shared" si="26"/>
        <v>1.3681444202151372</v>
      </c>
      <c r="R45" s="37">
        <f t="shared" si="29"/>
        <v>2.205466387856609E-2</v>
      </c>
      <c r="S45" s="37">
        <f t="shared" si="30"/>
        <v>-7.7786951129292048E-4</v>
      </c>
      <c r="T45" s="37">
        <f t="shared" si="31"/>
        <v>2.6518860483481697E-3</v>
      </c>
      <c r="U45" s="37">
        <f t="shared" si="32"/>
        <v>3.9973726081305823E-3</v>
      </c>
      <c r="V45" s="38">
        <f t="shared" si="33"/>
        <v>1.9571297150619438E-3</v>
      </c>
      <c r="W45" s="37">
        <f t="shared" si="34"/>
        <v>1.4215893800907089E-3</v>
      </c>
      <c r="X45" s="37">
        <f t="shared" si="35"/>
        <v>1.4072162807017544E-2</v>
      </c>
      <c r="Y45" s="37">
        <f t="shared" si="36"/>
        <v>1.318823298245614E-2</v>
      </c>
      <c r="Z45" s="37">
        <f t="shared" si="37"/>
        <v>1.4107520000000002E-2</v>
      </c>
      <c r="AA45" s="38">
        <f t="shared" si="38"/>
        <v>1.3789305263157895E-2</v>
      </c>
      <c r="AB45" s="154">
        <f t="shared" si="39"/>
        <v>3.0070940997631307E-4</v>
      </c>
    </row>
    <row r="46" spans="2:28" s="5" customFormat="1" ht="13" x14ac:dyDescent="0.15">
      <c r="B46" s="39" t="s">
        <v>37</v>
      </c>
      <c r="C46" s="34">
        <v>0.38541666666666669</v>
      </c>
      <c r="D46" s="40">
        <f>23+D45</f>
        <v>308</v>
      </c>
      <c r="E46" s="35">
        <v>14</v>
      </c>
      <c r="F46" s="36">
        <f>8*0.4</f>
        <v>3.2</v>
      </c>
      <c r="G46" s="37">
        <f>8*0.375</f>
        <v>3</v>
      </c>
      <c r="H46" s="37">
        <f>8*0.401</f>
        <v>3.2080000000000002</v>
      </c>
      <c r="I46" s="37">
        <f t="shared" si="27"/>
        <v>4.0307200000000005</v>
      </c>
      <c r="J46" s="37">
        <f t="shared" ref="J46:K49" si="40">1.2596*G46</f>
        <v>3.7788000000000004</v>
      </c>
      <c r="K46" s="37">
        <f t="shared" si="40"/>
        <v>4.0407968000000007</v>
      </c>
      <c r="L46" s="38">
        <f t="shared" si="22"/>
        <v>3.9501056000000005</v>
      </c>
      <c r="M46" s="37">
        <f t="shared" si="28"/>
        <v>8.5702181843249167E-2</v>
      </c>
      <c r="N46" s="37">
        <f t="shared" si="23"/>
        <v>1.3939450200504135</v>
      </c>
      <c r="O46" s="37">
        <f t="shared" si="24"/>
        <v>1.3294064989128422</v>
      </c>
      <c r="P46" s="37">
        <f t="shared" si="25"/>
        <v>1.3964419002490007</v>
      </c>
      <c r="Q46" s="38">
        <f t="shared" si="26"/>
        <v>1.3732644730707522</v>
      </c>
      <c r="R46" s="37">
        <f t="shared" si="29"/>
        <v>2.1940829713940825E-2</v>
      </c>
      <c r="S46" s="37">
        <f t="shared" si="30"/>
        <v>2.1793660102367355E-4</v>
      </c>
      <c r="T46" s="37">
        <f t="shared" si="31"/>
        <v>2.3250462289545071E-4</v>
      </c>
      <c r="U46" s="37">
        <f t="shared" si="32"/>
        <v>2.173917572480798E-4</v>
      </c>
      <c r="V46" s="38">
        <f t="shared" si="33"/>
        <v>2.2261099372240136E-4</v>
      </c>
      <c r="W46" s="37">
        <f t="shared" si="34"/>
        <v>4.9493143412433344E-6</v>
      </c>
      <c r="X46" s="37">
        <f t="shared" si="35"/>
        <v>1.3086753246753248E-2</v>
      </c>
      <c r="Y46" s="37">
        <f t="shared" si="36"/>
        <v>1.226883116883117E-2</v>
      </c>
      <c r="Z46" s="37">
        <f t="shared" si="37"/>
        <v>1.3119470129870133E-2</v>
      </c>
      <c r="AA46" s="38">
        <f t="shared" si="38"/>
        <v>1.2825018181818184E-2</v>
      </c>
      <c r="AB46" s="154">
        <f t="shared" si="39"/>
        <v>2.7825383715340634E-4</v>
      </c>
    </row>
    <row r="47" spans="2:28" s="5" customFormat="1" ht="13" x14ac:dyDescent="0.15">
      <c r="B47" s="39" t="s">
        <v>38</v>
      </c>
      <c r="C47" s="34">
        <v>0.48333333333333334</v>
      </c>
      <c r="D47" s="40">
        <f>2.5+24+D46</f>
        <v>334.5</v>
      </c>
      <c r="E47" s="35">
        <v>15</v>
      </c>
      <c r="F47" s="36">
        <f>8*0.402</f>
        <v>3.2160000000000002</v>
      </c>
      <c r="G47" s="37">
        <f>8*0.389</f>
        <v>3.1120000000000001</v>
      </c>
      <c r="H47" s="37">
        <f>8*0.411</f>
        <v>3.2879999999999998</v>
      </c>
      <c r="I47" s="37">
        <f t="shared" si="27"/>
        <v>4.0508736000000001</v>
      </c>
      <c r="J47" s="37">
        <f t="shared" si="40"/>
        <v>3.9198752000000003</v>
      </c>
      <c r="K47" s="37">
        <f t="shared" si="40"/>
        <v>4.1415648000000003</v>
      </c>
      <c r="L47" s="38">
        <f t="shared" si="22"/>
        <v>4.037437866666667</v>
      </c>
      <c r="M47" s="37">
        <f t="shared" si="28"/>
        <v>6.4347905650179796E-2</v>
      </c>
      <c r="N47" s="37">
        <f t="shared" si="23"/>
        <v>1.3989325615614525</v>
      </c>
      <c r="O47" s="37">
        <f t="shared" si="24"/>
        <v>1.3660598165608777</v>
      </c>
      <c r="P47" s="37">
        <f t="shared" si="25"/>
        <v>1.421073687438666</v>
      </c>
      <c r="Q47" s="38">
        <f t="shared" si="26"/>
        <v>1.3953553551869986</v>
      </c>
      <c r="R47" s="37">
        <f t="shared" si="29"/>
        <v>1.5981539363940776E-2</v>
      </c>
      <c r="S47" s="37">
        <f t="shared" si="30"/>
        <v>1.8820911362411218E-4</v>
      </c>
      <c r="T47" s="37">
        <f t="shared" si="31"/>
        <v>1.3831440621900181E-3</v>
      </c>
      <c r="U47" s="37">
        <f t="shared" si="32"/>
        <v>9.2950140338359617E-4</v>
      </c>
      <c r="V47" s="38">
        <f t="shared" si="33"/>
        <v>8.336181930659088E-4</v>
      </c>
      <c r="W47" s="37">
        <f t="shared" si="34"/>
        <v>3.4826358568459351E-4</v>
      </c>
      <c r="X47" s="37">
        <f t="shared" si="35"/>
        <v>1.2110234977578476E-2</v>
      </c>
      <c r="Y47" s="37">
        <f t="shared" si="36"/>
        <v>1.1718610463378177E-2</v>
      </c>
      <c r="Z47" s="37">
        <f t="shared" si="37"/>
        <v>1.2381359641255606E-2</v>
      </c>
      <c r="AA47" s="38">
        <f t="shared" si="38"/>
        <v>1.2070068360737421E-2</v>
      </c>
      <c r="AB47" s="154">
        <f t="shared" si="39"/>
        <v>1.923704204788634E-4</v>
      </c>
    </row>
    <row r="48" spans="2:28" s="5" customFormat="1" ht="13" x14ac:dyDescent="0.15">
      <c r="B48" s="39" t="s">
        <v>39</v>
      </c>
      <c r="C48" s="34">
        <v>0.52083333333333337</v>
      </c>
      <c r="D48" s="40">
        <f>48+3+D46</f>
        <v>359</v>
      </c>
      <c r="E48" s="35">
        <v>16</v>
      </c>
      <c r="F48" s="36">
        <f>4*0.816</f>
        <v>3.2639999999999998</v>
      </c>
      <c r="G48" s="37">
        <f>4*0.796</f>
        <v>3.1840000000000002</v>
      </c>
      <c r="H48" s="37">
        <f>8*0.39</f>
        <v>3.12</v>
      </c>
      <c r="I48" s="37">
        <f t="shared" si="27"/>
        <v>4.1113343999999996</v>
      </c>
      <c r="J48" s="37">
        <f t="shared" si="40"/>
        <v>4.0105664000000001</v>
      </c>
      <c r="K48" s="37">
        <f t="shared" si="40"/>
        <v>3.9299520000000001</v>
      </c>
      <c r="L48" s="38">
        <f t="shared" si="22"/>
        <v>4.0172842666666666</v>
      </c>
      <c r="M48" s="37">
        <f t="shared" si="28"/>
        <v>5.2468215956117309E-2</v>
      </c>
      <c r="N48" s="37">
        <f t="shared" si="23"/>
        <v>1.4137476473465931</v>
      </c>
      <c r="O48" s="37">
        <f t="shared" si="24"/>
        <v>1.388932478226869</v>
      </c>
      <c r="P48" s="37">
        <f t="shared" si="25"/>
        <v>1.3686272120661236</v>
      </c>
      <c r="Q48" s="38">
        <f t="shared" si="26"/>
        <v>1.3904357792131954</v>
      </c>
      <c r="R48" s="37">
        <f t="shared" si="29"/>
        <v>1.304681768818711E-2</v>
      </c>
      <c r="S48" s="37">
        <f t="shared" si="30"/>
        <v>6.0469737898532941E-4</v>
      </c>
      <c r="T48" s="37">
        <f t="shared" si="31"/>
        <v>9.3357802718331973E-4</v>
      </c>
      <c r="U48" s="37">
        <f t="shared" si="32"/>
        <v>-2.1406724641854055E-3</v>
      </c>
      <c r="V48" s="38">
        <f t="shared" si="33"/>
        <v>-2.0079901933891883E-4</v>
      </c>
      <c r="W48" s="37">
        <f t="shared" si="34"/>
        <v>9.7457210383244844E-4</v>
      </c>
      <c r="X48" s="37">
        <f t="shared" si="35"/>
        <v>1.1452184958217268E-2</v>
      </c>
      <c r="Y48" s="37">
        <f t="shared" si="36"/>
        <v>1.1171494150417828E-2</v>
      </c>
      <c r="Z48" s="37">
        <f t="shared" si="37"/>
        <v>1.0946941504178274E-2</v>
      </c>
      <c r="AA48" s="38">
        <f t="shared" si="38"/>
        <v>1.1190206870937788E-2</v>
      </c>
      <c r="AB48" s="154">
        <f t="shared" si="39"/>
        <v>1.4615101937637097E-4</v>
      </c>
    </row>
    <row r="49" spans="2:28" s="5" customFormat="1" ht="13" x14ac:dyDescent="0.15">
      <c r="B49" s="39" t="s">
        <v>40</v>
      </c>
      <c r="C49" s="34">
        <v>0.53472222222222221</v>
      </c>
      <c r="D49" s="40">
        <f>24+D48</f>
        <v>383</v>
      </c>
      <c r="E49" s="35">
        <v>17</v>
      </c>
      <c r="F49" s="36">
        <f>4*0.853</f>
        <v>3.4119999999999999</v>
      </c>
      <c r="G49" s="37">
        <f>8*0.397</f>
        <v>3.1760000000000002</v>
      </c>
      <c r="H49" s="37">
        <f>4*0.742</f>
        <v>2.968</v>
      </c>
      <c r="I49" s="37">
        <f t="shared" si="27"/>
        <v>4.2977552000000001</v>
      </c>
      <c r="J49" s="37">
        <f t="shared" si="40"/>
        <v>4.0004896000000008</v>
      </c>
      <c r="K49" s="37">
        <f t="shared" si="40"/>
        <v>3.7384927999999999</v>
      </c>
      <c r="L49" s="38">
        <f t="shared" si="22"/>
        <v>4.0122458666666665</v>
      </c>
      <c r="M49" s="37">
        <f t="shared" si="28"/>
        <v>0.16155212303143668</v>
      </c>
      <c r="N49" s="37">
        <f t="shared" si="23"/>
        <v>1.4580928398741653</v>
      </c>
      <c r="O49" s="37">
        <f t="shared" si="24"/>
        <v>1.3864167536296219</v>
      </c>
      <c r="P49" s="37">
        <f t="shared" si="25"/>
        <v>1.3186825355498666</v>
      </c>
      <c r="Q49" s="38">
        <f t="shared" si="26"/>
        <v>1.3877307096845513</v>
      </c>
      <c r="R49" s="37">
        <f t="shared" si="29"/>
        <v>4.0249650509182923E-2</v>
      </c>
      <c r="S49" s="37">
        <f t="shared" si="30"/>
        <v>1.8477163553155078E-3</v>
      </c>
      <c r="T49" s="37">
        <f t="shared" si="31"/>
        <v>-1.0482185821863073E-4</v>
      </c>
      <c r="U49" s="37">
        <f t="shared" si="32"/>
        <v>-2.0810281881773751E-3</v>
      </c>
      <c r="V49" s="38">
        <f t="shared" si="33"/>
        <v>-1.1271123036016599E-4</v>
      </c>
      <c r="W49" s="37">
        <f t="shared" si="34"/>
        <v>1.1341377199809652E-3</v>
      </c>
      <c r="X49" s="37">
        <f t="shared" si="35"/>
        <v>1.1221292950391645E-2</v>
      </c>
      <c r="Y49" s="37">
        <f t="shared" si="36"/>
        <v>1.0445142558746739E-2</v>
      </c>
      <c r="Z49" s="37">
        <f t="shared" si="37"/>
        <v>9.7610778067885109E-3</v>
      </c>
      <c r="AA49" s="38">
        <f t="shared" si="38"/>
        <v>1.0475837771975631E-2</v>
      </c>
      <c r="AB49" s="154">
        <f t="shared" si="39"/>
        <v>4.2180710974265453E-4</v>
      </c>
    </row>
    <row r="50" spans="2:28" s="5" customFormat="1" ht="13" x14ac:dyDescent="0.15">
      <c r="B50" s="39" t="s">
        <v>41</v>
      </c>
      <c r="C50" s="34">
        <v>0.46875</v>
      </c>
      <c r="D50" s="40">
        <f>22+D49</f>
        <v>405</v>
      </c>
      <c r="E50" s="35">
        <v>18</v>
      </c>
      <c r="F50" s="36">
        <f>4*0.875</f>
        <v>3.5</v>
      </c>
      <c r="G50" s="37">
        <f>4*0.82</f>
        <v>3.28</v>
      </c>
      <c r="H50" s="37">
        <f>4*0.75</f>
        <v>3</v>
      </c>
      <c r="I50" s="37">
        <f t="shared" ref="I50:K51" si="41">1.2596*F50</f>
        <v>4.4085999999999999</v>
      </c>
      <c r="J50" s="37">
        <f t="shared" si="41"/>
        <v>4.131488</v>
      </c>
      <c r="K50" s="37">
        <f t="shared" si="41"/>
        <v>3.7788000000000004</v>
      </c>
      <c r="L50" s="38">
        <f t="shared" si="22"/>
        <v>4.1062960000000004</v>
      </c>
      <c r="M50" s="37">
        <f t="shared" si="28"/>
        <v>0.18224341565426522</v>
      </c>
      <c r="N50" s="37">
        <f t="shared" si="23"/>
        <v>1.4835571787401005</v>
      </c>
      <c r="O50" s="37">
        <f t="shared" si="24"/>
        <v>1.4186376326407848</v>
      </c>
      <c r="P50" s="37">
        <f t="shared" si="25"/>
        <v>1.3294064989128422</v>
      </c>
      <c r="Q50" s="38">
        <f t="shared" si="26"/>
        <v>1.4105337700979093</v>
      </c>
      <c r="R50" s="37">
        <f t="shared" si="29"/>
        <v>4.4683563211718166E-2</v>
      </c>
      <c r="S50" s="37">
        <f t="shared" si="30"/>
        <v>1.1574699484516019E-3</v>
      </c>
      <c r="T50" s="37">
        <f t="shared" si="31"/>
        <v>1.464585409598313E-3</v>
      </c>
      <c r="U50" s="37">
        <f t="shared" si="32"/>
        <v>4.8745288013525692E-4</v>
      </c>
      <c r="V50" s="38">
        <f t="shared" si="33"/>
        <v>1.036502746061724E-3</v>
      </c>
      <c r="W50" s="37">
        <f t="shared" si="34"/>
        <v>2.8848558200497227E-4</v>
      </c>
      <c r="X50" s="37">
        <f t="shared" si="35"/>
        <v>1.0885432098765432E-2</v>
      </c>
      <c r="Y50" s="37">
        <f t="shared" si="36"/>
        <v>1.0201204938271605E-2</v>
      </c>
      <c r="Z50" s="37">
        <f t="shared" si="37"/>
        <v>9.3303703703703708E-3</v>
      </c>
      <c r="AA50" s="38">
        <f t="shared" si="38"/>
        <v>1.0139002469135803E-2</v>
      </c>
      <c r="AB50" s="154">
        <f t="shared" si="39"/>
        <v>4.4998374235621062E-4</v>
      </c>
    </row>
    <row r="51" spans="2:28" s="5" customFormat="1" thickBot="1" x14ac:dyDescent="0.2">
      <c r="B51" s="39" t="s">
        <v>42</v>
      </c>
      <c r="C51" s="34">
        <v>0.5</v>
      </c>
      <c r="D51" s="40">
        <f>25+D50</f>
        <v>430</v>
      </c>
      <c r="E51" s="35">
        <v>19</v>
      </c>
      <c r="F51" s="36">
        <f>8*0.425</f>
        <v>3.4</v>
      </c>
      <c r="G51" s="37">
        <f>4*0.823</f>
        <v>3.2919999999999998</v>
      </c>
      <c r="H51" s="37">
        <f>4*0.822</f>
        <v>3.2879999999999998</v>
      </c>
      <c r="I51" s="37">
        <f t="shared" si="41"/>
        <v>4.2826399999999998</v>
      </c>
      <c r="J51" s="37">
        <f t="shared" si="41"/>
        <v>4.1466032000000004</v>
      </c>
      <c r="K51" s="37">
        <f t="shared" si="41"/>
        <v>4.1415648000000003</v>
      </c>
      <c r="L51" s="48">
        <f t="shared" si="22"/>
        <v>4.1902693333333332</v>
      </c>
      <c r="M51" s="37">
        <f>STDEV(I51:K51)/SQRT(3)</f>
        <v>4.6208229476192096E-2</v>
      </c>
      <c r="N51" s="47">
        <f t="shared" si="23"/>
        <v>1.4545696418668481</v>
      </c>
      <c r="O51" s="47">
        <f t="shared" si="24"/>
        <v>1.422289493059556</v>
      </c>
      <c r="P51" s="47">
        <f t="shared" si="25"/>
        <v>1.421073687438666</v>
      </c>
      <c r="Q51" s="48">
        <f t="shared" si="26"/>
        <v>1.4326442741216898</v>
      </c>
      <c r="R51" s="37">
        <f t="shared" si="29"/>
        <v>1.0968300672046703E-2</v>
      </c>
      <c r="S51" s="37">
        <f>(N51-N50)/(D51-D50)</f>
        <v>-1.1595014749300957E-3</v>
      </c>
      <c r="T51" s="37">
        <f t="shared" si="31"/>
        <v>1.4607441675084764E-4</v>
      </c>
      <c r="U51" s="37">
        <f t="shared" si="32"/>
        <v>3.6666875410329512E-3</v>
      </c>
      <c r="V51" s="38">
        <f t="shared" si="33"/>
        <v>8.8442016095123435E-4</v>
      </c>
      <c r="W51" s="37">
        <f>STDEV(S51:U51)/SQRT(3)</f>
        <v>1.441283101144568E-3</v>
      </c>
      <c r="X51" s="37">
        <f t="shared" si="35"/>
        <v>9.9596279069767441E-3</v>
      </c>
      <c r="Y51" s="37">
        <f t="shared" si="36"/>
        <v>9.6432632558139542E-3</v>
      </c>
      <c r="Z51" s="37">
        <f t="shared" si="37"/>
        <v>9.6315460465116291E-3</v>
      </c>
      <c r="AA51" s="38">
        <f t="shared" si="38"/>
        <v>9.7448124031007752E-3</v>
      </c>
      <c r="AB51" s="154">
        <f t="shared" si="39"/>
        <v>1.0746099878184215E-4</v>
      </c>
    </row>
    <row r="52" spans="2:28" ht="15" thickBot="1" x14ac:dyDescent="0.2">
      <c r="B52" s="185" t="s">
        <v>63</v>
      </c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7"/>
    </row>
    <row r="53" spans="2:28" ht="60" x14ac:dyDescent="0.15">
      <c r="B53" s="22" t="s">
        <v>0</v>
      </c>
      <c r="C53" s="23" t="s">
        <v>1</v>
      </c>
      <c r="D53" s="24" t="s">
        <v>2</v>
      </c>
      <c r="E53" s="25" t="s">
        <v>3</v>
      </c>
      <c r="F53" s="180" t="s">
        <v>66</v>
      </c>
      <c r="G53" s="173"/>
      <c r="H53" s="174"/>
      <c r="I53" s="172" t="s">
        <v>16</v>
      </c>
      <c r="J53" s="173"/>
      <c r="K53" s="174"/>
      <c r="L53" s="26" t="s">
        <v>4</v>
      </c>
      <c r="M53" s="27" t="s">
        <v>67</v>
      </c>
      <c r="N53" s="172" t="s">
        <v>68</v>
      </c>
      <c r="O53" s="173"/>
      <c r="P53" s="174"/>
      <c r="Q53" s="27" t="s">
        <v>5</v>
      </c>
      <c r="R53" s="27" t="s">
        <v>56</v>
      </c>
      <c r="S53" s="170" t="s">
        <v>6</v>
      </c>
      <c r="T53" s="171"/>
      <c r="U53" s="171"/>
      <c r="V53" s="26" t="s">
        <v>57</v>
      </c>
      <c r="W53" s="26" t="s">
        <v>56</v>
      </c>
      <c r="X53" s="172" t="s">
        <v>58</v>
      </c>
      <c r="Y53" s="173"/>
      <c r="Z53" s="174"/>
      <c r="AA53" s="26" t="s">
        <v>59</v>
      </c>
      <c r="AB53" s="49" t="s">
        <v>56</v>
      </c>
    </row>
    <row r="54" spans="2:28" x14ac:dyDescent="0.15">
      <c r="B54" s="28"/>
      <c r="C54" s="29"/>
      <c r="D54" s="30"/>
      <c r="E54" s="31"/>
      <c r="F54" s="181" t="s">
        <v>19</v>
      </c>
      <c r="G54" s="182"/>
      <c r="H54" s="183"/>
      <c r="I54" s="184" t="s">
        <v>7</v>
      </c>
      <c r="J54" s="182"/>
      <c r="K54" s="183"/>
      <c r="L54" s="32" t="s">
        <v>7</v>
      </c>
      <c r="M54" s="32"/>
      <c r="N54" s="184" t="s">
        <v>7</v>
      </c>
      <c r="O54" s="182"/>
      <c r="P54" s="183"/>
      <c r="Q54" s="33"/>
      <c r="R54" s="33"/>
      <c r="S54" s="175" t="s">
        <v>60</v>
      </c>
      <c r="T54" s="176"/>
      <c r="U54" s="176"/>
      <c r="V54" s="32" t="s">
        <v>60</v>
      </c>
      <c r="W54" s="30"/>
      <c r="X54" s="177" t="s">
        <v>61</v>
      </c>
      <c r="Y54" s="178"/>
      <c r="Z54" s="179"/>
      <c r="AA54" s="51" t="s">
        <v>61</v>
      </c>
      <c r="AB54" s="52"/>
    </row>
    <row r="55" spans="2:28" s="5" customFormat="1" ht="13" x14ac:dyDescent="0.15">
      <c r="B55" s="189" t="s">
        <v>8</v>
      </c>
      <c r="C55" s="34">
        <v>0.5625</v>
      </c>
      <c r="D55" s="40">
        <v>0</v>
      </c>
      <c r="E55" s="190">
        <v>1</v>
      </c>
      <c r="F55" s="36">
        <v>9.9000000000000005E-2</v>
      </c>
      <c r="G55" s="37">
        <v>0.11</v>
      </c>
      <c r="H55" s="37">
        <v>9.5000000000000001E-2</v>
      </c>
      <c r="I55" s="37">
        <f>1.2596*F55</f>
        <v>0.12470040000000002</v>
      </c>
      <c r="J55" s="37">
        <f>1.2596*G55</f>
        <v>0.13855600000000001</v>
      </c>
      <c r="K55" s="37">
        <f t="shared" ref="J55:K70" si="42">1.2596*H55</f>
        <v>0.119662</v>
      </c>
      <c r="L55" s="38">
        <f t="shared" ref="L55:L76" si="43">AVERAGE(I55:K55)</f>
        <v>0.12763946666666667</v>
      </c>
      <c r="M55" s="53">
        <f t="shared" ref="M55:M76" si="44">STDEV(I55:K55)/SQRT(3)</f>
        <v>5.6487282832313503E-3</v>
      </c>
      <c r="N55" s="37">
        <f t="shared" ref="N55:N74" si="45">LN(I55)</f>
        <v>-2.0818412186028143</v>
      </c>
      <c r="O55" s="37">
        <f t="shared" ref="O55:O74" si="46">LN(J55)</f>
        <v>-1.9764807029449882</v>
      </c>
      <c r="P55" s="37">
        <f t="shared" ref="P55:P74" si="47">LN(K55)</f>
        <v>-2.1230841771368638</v>
      </c>
      <c r="Q55" s="38">
        <f t="shared" ref="Q55:Q76" si="48">AVERAGE(N55:P55)</f>
        <v>-2.0604686995615555</v>
      </c>
      <c r="R55" s="37">
        <f>STDEV(N55:P55)/SQRT(3)</f>
        <v>4.3649104950383245E-2</v>
      </c>
      <c r="S55" s="37"/>
      <c r="V55" s="160"/>
      <c r="AA55" s="160"/>
      <c r="AB55" s="35"/>
    </row>
    <row r="56" spans="2:28" s="5" customFormat="1" ht="13" x14ac:dyDescent="0.15">
      <c r="B56" s="189"/>
      <c r="C56" s="34">
        <v>0.84722222222222221</v>
      </c>
      <c r="D56" s="40">
        <v>8</v>
      </c>
      <c r="E56" s="190"/>
      <c r="F56" s="36">
        <v>0.14199999999999999</v>
      </c>
      <c r="G56" s="37">
        <v>0.123</v>
      </c>
      <c r="H56" s="37">
        <v>0.13</v>
      </c>
      <c r="I56" s="37">
        <f t="shared" ref="I56:I74" si="49">1.2596*F56</f>
        <v>0.1788632</v>
      </c>
      <c r="J56" s="37">
        <f t="shared" si="42"/>
        <v>0.15493080000000001</v>
      </c>
      <c r="K56" s="37">
        <f t="shared" si="42"/>
        <v>0.163748</v>
      </c>
      <c r="L56" s="38">
        <f t="shared" si="43"/>
        <v>0.16584733333333335</v>
      </c>
      <c r="M56" s="53">
        <f t="shared" si="44"/>
        <v>6.9879740214488784E-3</v>
      </c>
      <c r="N56" s="37">
        <f t="shared" si="45"/>
        <v>-1.7211340111361437</v>
      </c>
      <c r="O56" s="37">
        <f t="shared" si="46"/>
        <v>-1.8647767133649871</v>
      </c>
      <c r="P56" s="37">
        <f t="shared" si="47"/>
        <v>-1.8094266182818222</v>
      </c>
      <c r="Q56" s="38">
        <f t="shared" si="48"/>
        <v>-1.7984457809276508</v>
      </c>
      <c r="R56" s="37">
        <f t="shared" ref="R56:R76" si="50">STDEV(N56:P56)/SQRT(3)</f>
        <v>4.1827983327154365E-2</v>
      </c>
      <c r="S56" s="37">
        <f>(N56-N55)/(D56-D55)</f>
        <v>4.5088400933333828E-2</v>
      </c>
      <c r="T56" s="37">
        <f>(O56-O55)/(D56-D55)</f>
        <v>1.3962998697500145E-2</v>
      </c>
      <c r="U56" s="37">
        <f>(P56-P55)/(D56-D55)</f>
        <v>3.9207194856880206E-2</v>
      </c>
      <c r="V56" s="38">
        <f>AVERAGE(S56:U56)</f>
        <v>3.275286482923806E-2</v>
      </c>
      <c r="W56" s="37">
        <f>STDEV(S56:U56)/SQRT(3)</f>
        <v>9.5471016223930959E-3</v>
      </c>
      <c r="X56" s="37">
        <f>I56/D56</f>
        <v>2.23579E-2</v>
      </c>
      <c r="Y56" s="37">
        <f>J56/D56</f>
        <v>1.9366350000000001E-2</v>
      </c>
      <c r="Z56" s="37">
        <f>K56/D56</f>
        <v>2.0468500000000001E-2</v>
      </c>
      <c r="AA56" s="38">
        <f>AVERAGE(X56:Z56)</f>
        <v>2.0730916666666668E-2</v>
      </c>
      <c r="AB56" s="154">
        <f>STDEV(X56:Z56)/SQRT(3)</f>
        <v>8.7349675268110979E-4</v>
      </c>
    </row>
    <row r="57" spans="2:28" s="5" customFormat="1" ht="13" x14ac:dyDescent="0.15">
      <c r="B57" s="189" t="s">
        <v>9</v>
      </c>
      <c r="C57" s="34">
        <v>0.45833333333333331</v>
      </c>
      <c r="D57" s="40">
        <f>D56+15</f>
        <v>23</v>
      </c>
      <c r="E57" s="190">
        <v>2</v>
      </c>
      <c r="F57" s="36">
        <v>0.17499999999999999</v>
      </c>
      <c r="G57" s="37">
        <v>0.183</v>
      </c>
      <c r="H57" s="37">
        <v>0.216</v>
      </c>
      <c r="I57" s="37">
        <f t="shared" si="49"/>
        <v>0.22042999999999999</v>
      </c>
      <c r="J57" s="37">
        <f t="shared" si="42"/>
        <v>0.23050680000000001</v>
      </c>
      <c r="K57" s="37">
        <f t="shared" si="42"/>
        <v>0.27207360000000003</v>
      </c>
      <c r="L57" s="38">
        <f t="shared" si="43"/>
        <v>0.24100346666666669</v>
      </c>
      <c r="M57" s="53">
        <f t="shared" si="44"/>
        <v>1.5805066314037136E-2</v>
      </c>
      <c r="N57" s="37">
        <f t="shared" si="45"/>
        <v>-1.5121750948138906</v>
      </c>
      <c r="O57" s="37">
        <f t="shared" si="46"/>
        <v>-1.4674749158959834</v>
      </c>
      <c r="P57" s="37">
        <f t="shared" si="47"/>
        <v>-1.3016826610532395</v>
      </c>
      <c r="Q57" s="38">
        <f t="shared" si="48"/>
        <v>-1.4271108905877046</v>
      </c>
      <c r="R57" s="37">
        <f t="shared" si="50"/>
        <v>6.4027876928558908E-2</v>
      </c>
      <c r="S57" s="37">
        <f t="shared" ref="S57:S76" si="51">(N57-N56)/(D57-D56)</f>
        <v>1.3930594421483544E-2</v>
      </c>
      <c r="T57" s="37">
        <f t="shared" ref="T57:T76" si="52">(O57-O56)/(D57-D56)</f>
        <v>2.6486786497933575E-2</v>
      </c>
      <c r="U57" s="37">
        <f t="shared" ref="U57:U76" si="53">(P57-P56)/(D57-D56)</f>
        <v>3.3849597148572177E-2</v>
      </c>
      <c r="V57" s="38">
        <f t="shared" ref="V57:V76" si="54">AVERAGE(S57:U57)</f>
        <v>2.475565935599643E-2</v>
      </c>
      <c r="W57" s="37">
        <f t="shared" ref="W57:W76" si="55">STDEV(S57:U57)/SQRT(3)</f>
        <v>5.8149023579249894E-3</v>
      </c>
      <c r="X57" s="37">
        <f t="shared" ref="X57:X76" si="56">I57/D57</f>
        <v>9.5839130434782604E-3</v>
      </c>
      <c r="Y57" s="37">
        <f t="shared" ref="Y57:Y76" si="57">J57/D57</f>
        <v>1.0022034782608696E-2</v>
      </c>
      <c r="Z57" s="37">
        <f t="shared" ref="Z57:Z76" si="58">K57/D57</f>
        <v>1.182928695652174E-2</v>
      </c>
      <c r="AA57" s="38">
        <f t="shared" ref="AA57:AA76" si="59">AVERAGE(X57:Z57)</f>
        <v>1.0478411594202897E-2</v>
      </c>
      <c r="AB57" s="154">
        <f t="shared" ref="AB57:AB76" si="60">STDEV(X57:Z57)/SQRT(3)</f>
        <v>6.8717679626248418E-4</v>
      </c>
    </row>
    <row r="58" spans="2:28" s="5" customFormat="1" ht="13" x14ac:dyDescent="0.15">
      <c r="B58" s="189"/>
      <c r="C58" s="34">
        <v>0.61805555555555558</v>
      </c>
      <c r="D58" s="40">
        <f>D57+4</f>
        <v>27</v>
      </c>
      <c r="E58" s="190"/>
      <c r="F58" s="36">
        <v>0.24199999999999999</v>
      </c>
      <c r="G58" s="37">
        <v>0.20200000000000001</v>
      </c>
      <c r="H58" s="37">
        <v>0.191</v>
      </c>
      <c r="I58" s="37">
        <f t="shared" si="49"/>
        <v>0.30482320000000002</v>
      </c>
      <c r="J58" s="37">
        <f t="shared" si="42"/>
        <v>0.25443920000000003</v>
      </c>
      <c r="K58" s="37">
        <f t="shared" si="42"/>
        <v>0.24058360000000001</v>
      </c>
      <c r="L58" s="38">
        <f t="shared" si="43"/>
        <v>0.26661533333333337</v>
      </c>
      <c r="M58" s="53">
        <f t="shared" si="44"/>
        <v>1.9518155814978518E-2</v>
      </c>
      <c r="N58" s="37">
        <f t="shared" si="45"/>
        <v>-1.1880233425807181</v>
      </c>
      <c r="O58" s="37">
        <f t="shared" si="46"/>
        <v>-1.3686933713361997</v>
      </c>
      <c r="P58" s="37">
        <f t="shared" si="47"/>
        <v>-1.4246876406907747</v>
      </c>
      <c r="Q58" s="38">
        <f t="shared" si="48"/>
        <v>-1.3271347848692308</v>
      </c>
      <c r="R58" s="37">
        <f t="shared" si="50"/>
        <v>7.1409230453377756E-2</v>
      </c>
      <c r="S58" s="37">
        <f t="shared" si="51"/>
        <v>8.1037938058293124E-2</v>
      </c>
      <c r="T58" s="37">
        <f t="shared" si="52"/>
        <v>2.469538613994593E-2</v>
      </c>
      <c r="U58" s="37">
        <f t="shared" si="53"/>
        <v>-3.0751244909383801E-2</v>
      </c>
      <c r="V58" s="38">
        <f t="shared" si="54"/>
        <v>2.4994026429618416E-2</v>
      </c>
      <c r="W58" s="37">
        <f t="shared" si="55"/>
        <v>3.2271102897495095E-2</v>
      </c>
      <c r="X58" s="37">
        <f t="shared" si="56"/>
        <v>1.1289748148148149E-2</v>
      </c>
      <c r="Y58" s="37">
        <f t="shared" si="57"/>
        <v>9.4236740740740749E-3</v>
      </c>
      <c r="Z58" s="37">
        <f t="shared" si="58"/>
        <v>8.9105037037037049E-3</v>
      </c>
      <c r="AA58" s="38">
        <f t="shared" si="59"/>
        <v>9.8746419753086428E-3</v>
      </c>
      <c r="AB58" s="154">
        <f t="shared" si="60"/>
        <v>7.2289465981401719E-4</v>
      </c>
    </row>
    <row r="59" spans="2:28" s="5" customFormat="1" ht="13" x14ac:dyDescent="0.15">
      <c r="B59" s="189"/>
      <c r="C59" s="34">
        <v>0.81597222222222221</v>
      </c>
      <c r="D59" s="40">
        <f>D58+5</f>
        <v>32</v>
      </c>
      <c r="E59" s="190"/>
      <c r="F59" s="36">
        <v>0.254</v>
      </c>
      <c r="G59" s="37">
        <v>0.23799999999999999</v>
      </c>
      <c r="H59" s="37">
        <v>0.21099999999999999</v>
      </c>
      <c r="I59" s="37">
        <f t="shared" si="49"/>
        <v>0.31993840000000001</v>
      </c>
      <c r="J59" s="37">
        <f t="shared" si="42"/>
        <v>0.29978480000000002</v>
      </c>
      <c r="K59" s="37">
        <f t="shared" si="42"/>
        <v>0.2657756</v>
      </c>
      <c r="L59" s="38">
        <f t="shared" si="43"/>
        <v>0.29516626666666668</v>
      </c>
      <c r="M59" s="53">
        <f t="shared" si="44"/>
        <v>1.5805066314037133E-2</v>
      </c>
      <c r="N59" s="37">
        <f t="shared" si="45"/>
        <v>-1.139626801718868</v>
      </c>
      <c r="O59" s="37">
        <f t="shared" si="46"/>
        <v>-1.2046903950659298</v>
      </c>
      <c r="P59" s="37">
        <f t="shared" si="47"/>
        <v>-1.3251029352613379</v>
      </c>
      <c r="Q59" s="38">
        <f t="shared" si="48"/>
        <v>-1.2231400440153786</v>
      </c>
      <c r="R59" s="37">
        <f t="shared" si="50"/>
        <v>5.433121014737434E-2</v>
      </c>
      <c r="S59" s="37">
        <f t="shared" si="51"/>
        <v>9.6793081723700151E-3</v>
      </c>
      <c r="T59" s="37">
        <f t="shared" si="52"/>
        <v>3.2800595254053988E-2</v>
      </c>
      <c r="U59" s="37">
        <f t="shared" si="53"/>
        <v>1.9916941085887353E-2</v>
      </c>
      <c r="V59" s="38">
        <f t="shared" si="54"/>
        <v>2.0798948170770454E-2</v>
      </c>
      <c r="W59" s="37">
        <f t="shared" si="55"/>
        <v>6.6890938960806317E-3</v>
      </c>
      <c r="X59" s="37">
        <f t="shared" si="56"/>
        <v>9.9980750000000004E-3</v>
      </c>
      <c r="Y59" s="37">
        <f t="shared" si="57"/>
        <v>9.3682750000000006E-3</v>
      </c>
      <c r="Z59" s="37">
        <f t="shared" si="58"/>
        <v>8.3054875E-3</v>
      </c>
      <c r="AA59" s="38">
        <f t="shared" si="59"/>
        <v>9.2239458333333336E-3</v>
      </c>
      <c r="AB59" s="154">
        <f t="shared" si="60"/>
        <v>4.939083223136604E-4</v>
      </c>
    </row>
    <row r="60" spans="2:28" s="5" customFormat="1" ht="13" x14ac:dyDescent="0.15">
      <c r="B60" s="39" t="s">
        <v>10</v>
      </c>
      <c r="C60" s="34">
        <v>0.54513888888888895</v>
      </c>
      <c r="D60" s="40">
        <f>D55+47.5</f>
        <v>47.5</v>
      </c>
      <c r="E60" s="35">
        <v>3</v>
      </c>
      <c r="F60" s="36">
        <v>0.34599999999999997</v>
      </c>
      <c r="G60" s="37">
        <v>0.33300000000000002</v>
      </c>
      <c r="H60" s="37">
        <v>0.33200000000000002</v>
      </c>
      <c r="I60" s="37">
        <f t="shared" si="49"/>
        <v>0.43582159999999998</v>
      </c>
      <c r="J60" s="37">
        <f t="shared" si="42"/>
        <v>0.41944680000000006</v>
      </c>
      <c r="K60" s="37">
        <f t="shared" si="42"/>
        <v>0.41818720000000004</v>
      </c>
      <c r="L60" s="38">
        <f t="shared" si="43"/>
        <v>0.42448520000000006</v>
      </c>
      <c r="M60" s="53">
        <f t="shared" si="44"/>
        <v>5.6798509886556939E-3</v>
      </c>
      <c r="N60" s="37">
        <f t="shared" si="45"/>
        <v>-0.83052229367968033</v>
      </c>
      <c r="O60" s="37">
        <f t="shared" si="46"/>
        <v>-0.86881857875696056</v>
      </c>
      <c r="P60" s="37">
        <f t="shared" si="47"/>
        <v>-0.87182609982091586</v>
      </c>
      <c r="Q60" s="38">
        <f t="shared" si="48"/>
        <v>-0.85705565741918566</v>
      </c>
      <c r="R60" s="37">
        <f t="shared" si="50"/>
        <v>1.3295059724539321E-2</v>
      </c>
      <c r="S60" s="37">
        <f t="shared" si="51"/>
        <v>1.9942226325108881E-2</v>
      </c>
      <c r="T60" s="37">
        <f t="shared" si="52"/>
        <v>2.1669149439288337E-2</v>
      </c>
      <c r="U60" s="37">
        <f t="shared" si="53"/>
        <v>2.9243666802607877E-2</v>
      </c>
      <c r="V60" s="38">
        <f t="shared" si="54"/>
        <v>2.3618347522335031E-2</v>
      </c>
      <c r="W60" s="37">
        <f t="shared" si="55"/>
        <v>2.8564971914525551E-3</v>
      </c>
      <c r="X60" s="37">
        <f t="shared" si="56"/>
        <v>9.1751915789473684E-3</v>
      </c>
      <c r="Y60" s="37">
        <f t="shared" si="57"/>
        <v>8.8304589473684227E-3</v>
      </c>
      <c r="Z60" s="37">
        <f t="shared" si="58"/>
        <v>8.8039410526315805E-3</v>
      </c>
      <c r="AA60" s="38">
        <f t="shared" si="59"/>
        <v>8.9365305263157894E-3</v>
      </c>
      <c r="AB60" s="154">
        <f t="shared" si="60"/>
        <v>1.1957581028748826E-4</v>
      </c>
    </row>
    <row r="61" spans="2:28" s="5" customFormat="1" ht="13" x14ac:dyDescent="0.15">
      <c r="B61" s="39" t="s">
        <v>11</v>
      </c>
      <c r="C61" s="34">
        <v>0.55902777777777779</v>
      </c>
      <c r="D61" s="40">
        <f>D60+24.5</f>
        <v>72</v>
      </c>
      <c r="E61" s="35">
        <v>4</v>
      </c>
      <c r="F61" s="36">
        <v>0.61799999999999999</v>
      </c>
      <c r="G61" s="37">
        <v>0.499</v>
      </c>
      <c r="H61" s="37">
        <v>0.47699999999999998</v>
      </c>
      <c r="I61" s="37">
        <f t="shared" si="49"/>
        <v>0.77843280000000004</v>
      </c>
      <c r="J61" s="37">
        <f t="shared" si="42"/>
        <v>0.6285404</v>
      </c>
      <c r="K61" s="37">
        <f t="shared" si="42"/>
        <v>0.60082919999999995</v>
      </c>
      <c r="L61" s="38">
        <f t="shared" si="43"/>
        <v>0.6692674666666667</v>
      </c>
      <c r="M61" s="53">
        <f t="shared" si="44"/>
        <v>5.5165750705467247E-2</v>
      </c>
      <c r="N61" s="37">
        <f t="shared" si="45"/>
        <v>-0.25047261127971371</v>
      </c>
      <c r="O61" s="37">
        <f t="shared" si="46"/>
        <v>-0.46435497298588585</v>
      </c>
      <c r="P61" s="37">
        <f t="shared" si="47"/>
        <v>-0.50944457784906338</v>
      </c>
      <c r="Q61" s="38">
        <f t="shared" si="48"/>
        <v>-0.40809072070488767</v>
      </c>
      <c r="R61" s="37">
        <f t="shared" si="50"/>
        <v>7.9876716321161473E-2</v>
      </c>
      <c r="S61" s="37">
        <f t="shared" si="51"/>
        <v>2.3675497240814962E-2</v>
      </c>
      <c r="T61" s="37">
        <f t="shared" si="52"/>
        <v>1.6508718602901009E-2</v>
      </c>
      <c r="U61" s="37">
        <f t="shared" si="53"/>
        <v>1.4791082529463366E-2</v>
      </c>
      <c r="V61" s="38">
        <f t="shared" si="54"/>
        <v>1.8325099457726444E-2</v>
      </c>
      <c r="W61" s="37">
        <f t="shared" si="55"/>
        <v>2.7207618876675323E-3</v>
      </c>
      <c r="X61" s="37">
        <f t="shared" si="56"/>
        <v>1.0811566666666668E-2</v>
      </c>
      <c r="Y61" s="37">
        <f t="shared" si="57"/>
        <v>8.7297277777777776E-3</v>
      </c>
      <c r="Z61" s="37">
        <f t="shared" si="58"/>
        <v>8.3448499999999991E-3</v>
      </c>
      <c r="AA61" s="38">
        <f t="shared" si="59"/>
        <v>9.2953814814814833E-3</v>
      </c>
      <c r="AB61" s="154">
        <f t="shared" si="60"/>
        <v>7.6619098202038139E-4</v>
      </c>
    </row>
    <row r="62" spans="2:28" s="5" customFormat="1" ht="13" x14ac:dyDescent="0.15">
      <c r="B62" s="39" t="s">
        <v>12</v>
      </c>
      <c r="C62" s="34">
        <v>0.47222222222222227</v>
      </c>
      <c r="D62" s="40">
        <f>D61+22</f>
        <v>94</v>
      </c>
      <c r="E62" s="35">
        <v>5</v>
      </c>
      <c r="F62" s="36">
        <v>0.89</v>
      </c>
      <c r="G62" s="37">
        <v>0.64100000000000001</v>
      </c>
      <c r="H62" s="37">
        <v>0.73699999999999999</v>
      </c>
      <c r="I62" s="37">
        <f t="shared" si="49"/>
        <v>1.1210440000000002</v>
      </c>
      <c r="J62" s="37">
        <f t="shared" si="42"/>
        <v>0.8074036</v>
      </c>
      <c r="K62" s="37">
        <f t="shared" si="42"/>
        <v>0.92832520000000007</v>
      </c>
      <c r="L62" s="38">
        <f t="shared" si="43"/>
        <v>0.95225760000000015</v>
      </c>
      <c r="M62" s="53">
        <f t="shared" si="44"/>
        <v>9.1327514940021989E-2</v>
      </c>
      <c r="N62" s="37">
        <f t="shared" si="45"/>
        <v>0.11426039398878113</v>
      </c>
      <c r="O62" s="37">
        <f t="shared" si="46"/>
        <v>-0.21393161181673448</v>
      </c>
      <c r="P62" s="37">
        <f t="shared" si="47"/>
        <v>-7.437317654806784E-2</v>
      </c>
      <c r="Q62" s="38">
        <f t="shared" si="48"/>
        <v>-5.8014798125340404E-2</v>
      </c>
      <c r="R62" s="37">
        <f t="shared" si="50"/>
        <v>9.5093279778555279E-2</v>
      </c>
      <c r="S62" s="37">
        <f t="shared" si="51"/>
        <v>1.6578772966749766E-2</v>
      </c>
      <c r="T62" s="37">
        <f t="shared" si="52"/>
        <v>1.1382880053143245E-2</v>
      </c>
      <c r="U62" s="37">
        <f t="shared" si="53"/>
        <v>1.9775972786408889E-2</v>
      </c>
      <c r="V62" s="38">
        <f t="shared" si="54"/>
        <v>1.5912541935433965E-2</v>
      </c>
      <c r="W62" s="37">
        <f t="shared" si="55"/>
        <v>2.44566959117643E-3</v>
      </c>
      <c r="X62" s="37">
        <f t="shared" si="56"/>
        <v>1.1926000000000001E-2</v>
      </c>
      <c r="Y62" s="37">
        <f t="shared" si="57"/>
        <v>8.5894000000000005E-3</v>
      </c>
      <c r="Z62" s="37">
        <f t="shared" si="58"/>
        <v>9.8758000000000006E-3</v>
      </c>
      <c r="AA62" s="38">
        <f t="shared" si="59"/>
        <v>1.0130400000000001E-2</v>
      </c>
      <c r="AB62" s="154">
        <f t="shared" si="60"/>
        <v>9.7156930787257805E-4</v>
      </c>
    </row>
    <row r="63" spans="2:28" s="5" customFormat="1" ht="13" x14ac:dyDescent="0.15">
      <c r="B63" s="39" t="s">
        <v>13</v>
      </c>
      <c r="C63" s="34">
        <v>0.4375</v>
      </c>
      <c r="D63" s="40">
        <f>D62+23</f>
        <v>117</v>
      </c>
      <c r="E63" s="35">
        <v>6</v>
      </c>
      <c r="F63" s="36">
        <f>2*0.628</f>
        <v>1.256</v>
      </c>
      <c r="G63" s="37">
        <v>0.94199999999999995</v>
      </c>
      <c r="H63" s="37">
        <f>2*0.567</f>
        <v>1.1339999999999999</v>
      </c>
      <c r="I63" s="37">
        <f t="shared" si="49"/>
        <v>1.5820576000000002</v>
      </c>
      <c r="J63" s="37">
        <f t="shared" si="42"/>
        <v>1.1865432</v>
      </c>
      <c r="K63" s="37">
        <f t="shared" si="42"/>
        <v>1.4283863999999999</v>
      </c>
      <c r="L63" s="38">
        <f t="shared" si="43"/>
        <v>1.3989957333333336</v>
      </c>
      <c r="M63" s="53">
        <f t="shared" si="44"/>
        <v>0.11511699645313395</v>
      </c>
      <c r="N63" s="37">
        <f t="shared" si="45"/>
        <v>0.45872627829073959</v>
      </c>
      <c r="O63" s="37">
        <f t="shared" si="46"/>
        <v>0.17104420583895855</v>
      </c>
      <c r="P63" s="37">
        <f t="shared" si="47"/>
        <v>0.35654541555029284</v>
      </c>
      <c r="Q63" s="38">
        <f t="shared" si="48"/>
        <v>0.32877196655999702</v>
      </c>
      <c r="R63" s="37">
        <f t="shared" si="50"/>
        <v>8.41996972562854E-2</v>
      </c>
      <c r="S63" s="37">
        <f t="shared" si="51"/>
        <v>1.4976777578346021E-2</v>
      </c>
      <c r="T63" s="37">
        <f t="shared" si="52"/>
        <v>1.673807902850839E-2</v>
      </c>
      <c r="U63" s="37">
        <f t="shared" si="53"/>
        <v>1.8735590960798292E-2</v>
      </c>
      <c r="V63" s="38">
        <f t="shared" si="54"/>
        <v>1.6816815855884234E-2</v>
      </c>
      <c r="W63" s="37">
        <f t="shared" si="55"/>
        <v>1.0857899009499153E-3</v>
      </c>
      <c r="X63" s="37">
        <f t="shared" si="56"/>
        <v>1.352185982905983E-2</v>
      </c>
      <c r="Y63" s="37">
        <f t="shared" si="57"/>
        <v>1.0141394871794872E-2</v>
      </c>
      <c r="Z63" s="37">
        <f t="shared" si="58"/>
        <v>1.2208430769230769E-2</v>
      </c>
      <c r="AA63" s="38">
        <f t="shared" si="59"/>
        <v>1.195722849002849E-2</v>
      </c>
      <c r="AB63" s="154">
        <f t="shared" si="60"/>
        <v>9.8390595259089807E-4</v>
      </c>
    </row>
    <row r="64" spans="2:28" s="5" customFormat="1" ht="13" x14ac:dyDescent="0.15">
      <c r="B64" s="39" t="s">
        <v>30</v>
      </c>
      <c r="C64" s="34">
        <v>0.44722222222222219</v>
      </c>
      <c r="D64" s="40">
        <f>D63+24</f>
        <v>141</v>
      </c>
      <c r="E64" s="35">
        <v>7</v>
      </c>
      <c r="F64" s="36">
        <f>2*0.832</f>
        <v>1.6639999999999999</v>
      </c>
      <c r="G64" s="37">
        <f>4*0.339</f>
        <v>1.3560000000000001</v>
      </c>
      <c r="H64" s="37">
        <f>2*0.735</f>
        <v>1.47</v>
      </c>
      <c r="I64" s="37">
        <f t="shared" si="49"/>
        <v>2.0959743999999998</v>
      </c>
      <c r="J64" s="37">
        <f t="shared" si="42"/>
        <v>1.7080176000000002</v>
      </c>
      <c r="K64" s="37">
        <f t="shared" si="42"/>
        <v>1.851612</v>
      </c>
      <c r="L64" s="38">
        <f t="shared" si="43"/>
        <v>1.8852013333333335</v>
      </c>
      <c r="M64" s="53">
        <f t="shared" si="44"/>
        <v>0.11324575363914423</v>
      </c>
      <c r="N64" s="37">
        <f t="shared" si="45"/>
        <v>0.74001855264374927</v>
      </c>
      <c r="O64" s="37">
        <f t="shared" si="46"/>
        <v>0.53533339976293648</v>
      </c>
      <c r="P64" s="37">
        <f t="shared" si="47"/>
        <v>0.61605661103537745</v>
      </c>
      <c r="Q64" s="38">
        <f t="shared" si="48"/>
        <v>0.63046952114735433</v>
      </c>
      <c r="R64" s="37">
        <f t="shared" si="50"/>
        <v>5.9525350162437735E-2</v>
      </c>
      <c r="S64" s="37">
        <f t="shared" si="51"/>
        <v>1.1720511431375404E-2</v>
      </c>
      <c r="T64" s="37">
        <f t="shared" si="52"/>
        <v>1.5178716413499082E-2</v>
      </c>
      <c r="U64" s="37">
        <f t="shared" si="53"/>
        <v>1.0812966478545192E-2</v>
      </c>
      <c r="V64" s="38">
        <f t="shared" si="54"/>
        <v>1.2570731441139892E-2</v>
      </c>
      <c r="W64" s="37">
        <f t="shared" si="55"/>
        <v>1.3300499580078966E-3</v>
      </c>
      <c r="X64" s="37">
        <f t="shared" si="56"/>
        <v>1.4865066666666666E-2</v>
      </c>
      <c r="Y64" s="37">
        <f t="shared" si="57"/>
        <v>1.2113600000000002E-2</v>
      </c>
      <c r="Z64" s="37">
        <f t="shared" si="58"/>
        <v>1.3132E-2</v>
      </c>
      <c r="AA64" s="38">
        <f t="shared" si="59"/>
        <v>1.3370222222222223E-2</v>
      </c>
      <c r="AB64" s="154">
        <f t="shared" si="60"/>
        <v>8.0316137332726433E-4</v>
      </c>
    </row>
    <row r="65" spans="1:28" s="5" customFormat="1" ht="13" x14ac:dyDescent="0.15">
      <c r="B65" s="39" t="s">
        <v>31</v>
      </c>
      <c r="C65" s="34">
        <v>0.4861111111111111</v>
      </c>
      <c r="D65" s="40">
        <f>D64+25</f>
        <v>166</v>
      </c>
      <c r="E65" s="35">
        <v>8</v>
      </c>
      <c r="F65" s="36">
        <f>4*0.515</f>
        <v>2.06</v>
      </c>
      <c r="G65" s="37">
        <f>4*0.393</f>
        <v>1.5720000000000001</v>
      </c>
      <c r="H65" s="37">
        <f>4*0.503</f>
        <v>2.012</v>
      </c>
      <c r="I65" s="37">
        <f t="shared" si="49"/>
        <v>2.594776</v>
      </c>
      <c r="J65" s="37">
        <f t="shared" si="42"/>
        <v>1.9800912000000002</v>
      </c>
      <c r="K65" s="37">
        <f t="shared" si="42"/>
        <v>2.5343152</v>
      </c>
      <c r="L65" s="38">
        <f t="shared" si="43"/>
        <v>2.3697274666666668</v>
      </c>
      <c r="M65" s="53">
        <f t="shared" si="44"/>
        <v>0.19559839153276354</v>
      </c>
      <c r="N65" s="37">
        <f t="shared" si="45"/>
        <v>0.95350019304622224</v>
      </c>
      <c r="O65" s="37">
        <f t="shared" si="46"/>
        <v>0.6831429042517474</v>
      </c>
      <c r="P65" s="37">
        <f t="shared" si="47"/>
        <v>0.92992346248222535</v>
      </c>
      <c r="Q65" s="38">
        <f t="shared" si="48"/>
        <v>0.85552218659339829</v>
      </c>
      <c r="R65" s="37">
        <f t="shared" si="50"/>
        <v>8.6457944095166467E-2</v>
      </c>
      <c r="S65" s="37">
        <f t="shared" si="51"/>
        <v>8.5392656160989192E-3</v>
      </c>
      <c r="T65" s="37">
        <f t="shared" si="52"/>
        <v>5.9123801795524364E-3</v>
      </c>
      <c r="U65" s="37">
        <f t="shared" si="53"/>
        <v>1.2554674057873916E-2</v>
      </c>
      <c r="V65" s="38">
        <f t="shared" si="54"/>
        <v>9.002106617841758E-3</v>
      </c>
      <c r="W65" s="37">
        <f t="shared" si="55"/>
        <v>1.9313797603585075E-3</v>
      </c>
      <c r="X65" s="37">
        <f t="shared" si="56"/>
        <v>1.5631180722891568E-2</v>
      </c>
      <c r="Y65" s="37">
        <f t="shared" si="57"/>
        <v>1.1928260240963856E-2</v>
      </c>
      <c r="Z65" s="37">
        <f t="shared" si="58"/>
        <v>1.5266959036144579E-2</v>
      </c>
      <c r="AA65" s="38">
        <f t="shared" si="59"/>
        <v>1.4275466666666667E-2</v>
      </c>
      <c r="AB65" s="154">
        <f t="shared" si="60"/>
        <v>1.1783035634503859E-3</v>
      </c>
    </row>
    <row r="66" spans="1:28" s="5" customFormat="1" ht="13" x14ac:dyDescent="0.15">
      <c r="A66" s="35"/>
      <c r="B66" s="39" t="s">
        <v>32</v>
      </c>
      <c r="C66" s="34">
        <v>0.53472222222222221</v>
      </c>
      <c r="D66" s="40">
        <f>25+D65</f>
        <v>191</v>
      </c>
      <c r="E66" s="35">
        <v>9</v>
      </c>
      <c r="F66" s="36">
        <f>4*0.579</f>
        <v>2.3159999999999998</v>
      </c>
      <c r="G66" s="37">
        <f>4*0.474</f>
        <v>1.8959999999999999</v>
      </c>
      <c r="H66" s="37">
        <f>2*1.06</f>
        <v>2.12</v>
      </c>
      <c r="I66" s="37">
        <f t="shared" si="49"/>
        <v>2.9172335999999999</v>
      </c>
      <c r="J66" s="37">
        <f t="shared" si="42"/>
        <v>2.3882015999999999</v>
      </c>
      <c r="K66" s="37">
        <f t="shared" si="42"/>
        <v>2.6703520000000003</v>
      </c>
      <c r="L66" s="38">
        <f t="shared" si="43"/>
        <v>2.6585957333333332</v>
      </c>
      <c r="M66" s="53">
        <f t="shared" si="44"/>
        <v>0.15283146666666664</v>
      </c>
      <c r="N66" s="37">
        <f t="shared" si="45"/>
        <v>1.0706357699554814</v>
      </c>
      <c r="O66" s="37">
        <f t="shared" si="46"/>
        <v>0.87054061407756256</v>
      </c>
      <c r="P66" s="37">
        <f t="shared" si="47"/>
        <v>0.98221029892865375</v>
      </c>
      <c r="Q66" s="38">
        <f t="shared" si="48"/>
        <v>0.97446222765389923</v>
      </c>
      <c r="R66" s="37">
        <f t="shared" si="50"/>
        <v>5.7892262890681008E-2</v>
      </c>
      <c r="S66" s="37">
        <f t="shared" si="51"/>
        <v>4.6854230763703651E-3</v>
      </c>
      <c r="T66" s="37">
        <f t="shared" si="52"/>
        <v>7.4959083930326064E-3</v>
      </c>
      <c r="U66" s="37">
        <f t="shared" si="53"/>
        <v>2.0914734578571358E-3</v>
      </c>
      <c r="V66" s="38">
        <f t="shared" si="54"/>
        <v>4.7576016424200358E-3</v>
      </c>
      <c r="W66" s="37">
        <f t="shared" si="55"/>
        <v>1.5605433403341729E-3</v>
      </c>
      <c r="X66" s="37">
        <f t="shared" si="56"/>
        <v>1.5273474345549737E-2</v>
      </c>
      <c r="Y66" s="37">
        <f t="shared" si="57"/>
        <v>1.2503673298429319E-2</v>
      </c>
      <c r="Z66" s="37">
        <f t="shared" si="58"/>
        <v>1.398090052356021E-2</v>
      </c>
      <c r="AA66" s="38">
        <f t="shared" si="59"/>
        <v>1.3919349389179755E-2</v>
      </c>
      <c r="AB66" s="154">
        <f t="shared" si="60"/>
        <v>8.0016474694589838E-4</v>
      </c>
    </row>
    <row r="67" spans="1:28" s="5" customFormat="1" ht="13" x14ac:dyDescent="0.15">
      <c r="B67" s="39" t="s">
        <v>33</v>
      </c>
      <c r="C67" s="34">
        <v>0.47916666666666669</v>
      </c>
      <c r="D67" s="40">
        <f>22.5+D66</f>
        <v>213.5</v>
      </c>
      <c r="E67" s="35">
        <v>10</v>
      </c>
      <c r="F67" s="36">
        <f>2*1.179</f>
        <v>2.3580000000000001</v>
      </c>
      <c r="G67" s="37">
        <f>2*1.112</f>
        <v>2.2240000000000002</v>
      </c>
      <c r="H67" s="37">
        <f>2*1.142</f>
        <v>2.2839999999999998</v>
      </c>
      <c r="I67" s="37">
        <f t="shared" si="49"/>
        <v>2.9701368000000001</v>
      </c>
      <c r="J67" s="37">
        <f t="shared" si="42"/>
        <v>2.8013504000000005</v>
      </c>
      <c r="K67" s="37">
        <f t="shared" si="42"/>
        <v>2.8769263999999999</v>
      </c>
      <c r="L67" s="38">
        <f t="shared" si="43"/>
        <v>2.8828045333333336</v>
      </c>
      <c r="M67" s="53">
        <f t="shared" si="44"/>
        <v>4.8812998763489587E-2</v>
      </c>
      <c r="N67" s="37">
        <f t="shared" si="45"/>
        <v>1.0886080123599118</v>
      </c>
      <c r="O67" s="37">
        <f t="shared" si="46"/>
        <v>1.0301015866330687</v>
      </c>
      <c r="P67" s="37">
        <f t="shared" si="47"/>
        <v>1.0567225020384963</v>
      </c>
      <c r="Q67" s="38">
        <f t="shared" si="48"/>
        <v>1.0584773670104923</v>
      </c>
      <c r="R67" s="37">
        <f t="shared" si="50"/>
        <v>1.6912127070390491E-2</v>
      </c>
      <c r="S67" s="37">
        <f t="shared" si="51"/>
        <v>7.9876632908579574E-4</v>
      </c>
      <c r="T67" s="37">
        <f t="shared" si="52"/>
        <v>7.0915987802447188E-3</v>
      </c>
      <c r="U67" s="37">
        <f t="shared" si="53"/>
        <v>3.3116534715485566E-3</v>
      </c>
      <c r="V67" s="38">
        <f t="shared" si="54"/>
        <v>3.7340061936263574E-3</v>
      </c>
      <c r="W67" s="37">
        <f t="shared" si="55"/>
        <v>1.8288175989761438E-3</v>
      </c>
      <c r="X67" s="37">
        <f t="shared" si="56"/>
        <v>1.3911647775175645E-2</v>
      </c>
      <c r="Y67" s="37">
        <f t="shared" si="57"/>
        <v>1.3121079156908667E-2</v>
      </c>
      <c r="Z67" s="37">
        <f t="shared" si="58"/>
        <v>1.3475065105386416E-2</v>
      </c>
      <c r="AA67" s="38">
        <f t="shared" si="59"/>
        <v>1.3502597345823576E-2</v>
      </c>
      <c r="AB67" s="154">
        <f t="shared" si="60"/>
        <v>2.2863231270955323E-4</v>
      </c>
    </row>
    <row r="68" spans="1:28" s="5" customFormat="1" ht="15" customHeight="1" x14ac:dyDescent="0.15">
      <c r="B68" s="39" t="s">
        <v>34</v>
      </c>
      <c r="C68" s="34">
        <v>0.4375</v>
      </c>
      <c r="D68" s="40">
        <f>D67+23</f>
        <v>236.5</v>
      </c>
      <c r="E68" s="35">
        <v>11</v>
      </c>
      <c r="F68" s="36">
        <f>4*0.629</f>
        <v>2.516</v>
      </c>
      <c r="G68" s="37">
        <f>4*0.572</f>
        <v>2.2879999999999998</v>
      </c>
      <c r="H68" s="37">
        <f>4*0.652</f>
        <v>2.6080000000000001</v>
      </c>
      <c r="I68" s="37">
        <f t="shared" si="49"/>
        <v>3.1691536</v>
      </c>
      <c r="J68" s="37">
        <f t="shared" si="42"/>
        <v>2.8819648</v>
      </c>
      <c r="K68" s="37">
        <f t="shared" si="42"/>
        <v>3.2850368000000003</v>
      </c>
      <c r="L68" s="38">
        <f t="shared" si="43"/>
        <v>3.1120517333333333</v>
      </c>
      <c r="M68" s="53">
        <f t="shared" si="44"/>
        <v>0.11980849535628849</v>
      </c>
      <c r="N68" s="37">
        <f t="shared" si="45"/>
        <v>1.1534645490829267</v>
      </c>
      <c r="O68" s="37">
        <f t="shared" si="46"/>
        <v>1.058472283762284</v>
      </c>
      <c r="P68" s="37">
        <f t="shared" si="47"/>
        <v>1.1893778543091391</v>
      </c>
      <c r="Q68" s="38">
        <f t="shared" si="48"/>
        <v>1.1337715623847833</v>
      </c>
      <c r="R68" s="37">
        <f t="shared" si="50"/>
        <v>3.9050938502889439E-2</v>
      </c>
      <c r="S68" s="37">
        <f t="shared" si="51"/>
        <v>2.8198494227397804E-3</v>
      </c>
      <c r="T68" s="37">
        <f t="shared" si="52"/>
        <v>1.2335085708354457E-3</v>
      </c>
      <c r="U68" s="37">
        <f t="shared" si="53"/>
        <v>5.7676240117670802E-3</v>
      </c>
      <c r="V68" s="38">
        <f t="shared" si="54"/>
        <v>3.2736606684474353E-3</v>
      </c>
      <c r="W68" s="37">
        <f t="shared" si="55"/>
        <v>1.3284087213619809E-3</v>
      </c>
      <c r="X68" s="37">
        <f t="shared" si="56"/>
        <v>1.3400226638477801E-2</v>
      </c>
      <c r="Y68" s="37">
        <f t="shared" si="57"/>
        <v>1.2185897674418605E-2</v>
      </c>
      <c r="Z68" s="37">
        <f t="shared" si="58"/>
        <v>1.3890219027484146E-2</v>
      </c>
      <c r="AA68" s="38">
        <f t="shared" si="59"/>
        <v>1.3158781113460185E-2</v>
      </c>
      <c r="AB68" s="154">
        <f t="shared" si="60"/>
        <v>5.0658983237331274E-4</v>
      </c>
    </row>
    <row r="69" spans="1:28" s="5" customFormat="1" ht="13" x14ac:dyDescent="0.15">
      <c r="B69" s="39" t="s">
        <v>35</v>
      </c>
      <c r="C69" s="34">
        <v>0.44444444444444442</v>
      </c>
      <c r="D69" s="40">
        <f>24+D68</f>
        <v>260.5</v>
      </c>
      <c r="E69" s="35">
        <v>12</v>
      </c>
      <c r="F69" s="36">
        <f>8*0.349</f>
        <v>2.7919999999999998</v>
      </c>
      <c r="G69" s="37">
        <f>8*0.317</f>
        <v>2.536</v>
      </c>
      <c r="H69" s="37">
        <f>4*0.717</f>
        <v>2.8679999999999999</v>
      </c>
      <c r="I69" s="37">
        <f t="shared" si="49"/>
        <v>3.5168032</v>
      </c>
      <c r="J69" s="37">
        <f t="shared" si="42"/>
        <v>3.1943456000000001</v>
      </c>
      <c r="K69" s="37">
        <f t="shared" si="42"/>
        <v>3.6125327999999999</v>
      </c>
      <c r="L69" s="38">
        <f t="shared" si="43"/>
        <v>3.4412272000000002</v>
      </c>
      <c r="M69" s="53">
        <f t="shared" si="44"/>
        <v>0.12649628768328863</v>
      </c>
      <c r="N69" s="37">
        <f t="shared" si="45"/>
        <v>1.2575523951448586</v>
      </c>
      <c r="O69" s="37">
        <f t="shared" si="46"/>
        <v>1.1613822468197121</v>
      </c>
      <c r="P69" s="37">
        <f t="shared" si="47"/>
        <v>1.2844091329821063</v>
      </c>
      <c r="Q69" s="38">
        <f t="shared" si="48"/>
        <v>1.2344479249822256</v>
      </c>
      <c r="R69" s="37">
        <f t="shared" si="50"/>
        <v>3.7346423683425042E-2</v>
      </c>
      <c r="S69" s="37">
        <f t="shared" si="51"/>
        <v>4.3369935859138287E-3</v>
      </c>
      <c r="T69" s="37">
        <f t="shared" si="52"/>
        <v>4.28791512739284E-3</v>
      </c>
      <c r="U69" s="37">
        <f t="shared" si="53"/>
        <v>3.9596366113736348E-3</v>
      </c>
      <c r="V69" s="38">
        <f t="shared" si="54"/>
        <v>4.1948484415601011E-3</v>
      </c>
      <c r="W69" s="37">
        <f t="shared" si="55"/>
        <v>1.184562191521259E-4</v>
      </c>
      <c r="X69" s="37">
        <f t="shared" si="56"/>
        <v>1.3500204222648752E-2</v>
      </c>
      <c r="Y69" s="37">
        <f t="shared" si="57"/>
        <v>1.2262363147792707E-2</v>
      </c>
      <c r="Z69" s="37">
        <f t="shared" si="58"/>
        <v>1.386768829174664E-2</v>
      </c>
      <c r="AA69" s="38">
        <f t="shared" si="59"/>
        <v>1.3210085220729367E-2</v>
      </c>
      <c r="AB69" s="154">
        <f t="shared" si="60"/>
        <v>4.8559035578997533E-4</v>
      </c>
    </row>
    <row r="70" spans="1:28" s="5" customFormat="1" ht="13" x14ac:dyDescent="0.15">
      <c r="B70" s="39" t="s">
        <v>36</v>
      </c>
      <c r="C70" s="34">
        <v>0.4375</v>
      </c>
      <c r="D70" s="40">
        <f>24+D69</f>
        <v>284.5</v>
      </c>
      <c r="E70" s="35">
        <v>13</v>
      </c>
      <c r="F70" s="36">
        <f>4*0.739</f>
        <v>2.956</v>
      </c>
      <c r="G70" s="37">
        <f>8*0.35</f>
        <v>2.8</v>
      </c>
      <c r="H70" s="37">
        <f>8*0.356</f>
        <v>2.8479999999999999</v>
      </c>
      <c r="I70" s="37">
        <f t="shared" si="49"/>
        <v>3.7233776000000001</v>
      </c>
      <c r="J70" s="37">
        <f t="shared" si="42"/>
        <v>3.5268799999999998</v>
      </c>
      <c r="K70" s="37">
        <f t="shared" si="42"/>
        <v>3.5873407999999998</v>
      </c>
      <c r="L70" s="38">
        <f t="shared" si="43"/>
        <v>3.6125327999999999</v>
      </c>
      <c r="M70" s="53">
        <f t="shared" si="44"/>
        <v>5.8105663376989435E-2</v>
      </c>
      <c r="N70" s="37">
        <f t="shared" si="45"/>
        <v>1.3146312133306879</v>
      </c>
      <c r="O70" s="37">
        <f t="shared" si="46"/>
        <v>1.2604136274258908</v>
      </c>
      <c r="P70" s="37">
        <f t="shared" si="47"/>
        <v>1.2774112037944618</v>
      </c>
      <c r="Q70" s="38">
        <f t="shared" si="48"/>
        <v>1.2841520148503467</v>
      </c>
      <c r="R70" s="37">
        <f t="shared" si="50"/>
        <v>1.601005471159056E-2</v>
      </c>
      <c r="S70" s="37">
        <f t="shared" si="51"/>
        <v>2.3782840910762195E-3</v>
      </c>
      <c r="T70" s="37">
        <f t="shared" si="52"/>
        <v>4.1263075252574444E-3</v>
      </c>
      <c r="U70" s="37">
        <f t="shared" si="53"/>
        <v>-2.9158038281852189E-4</v>
      </c>
      <c r="V70" s="38">
        <f t="shared" si="54"/>
        <v>2.0710037445050471E-3</v>
      </c>
      <c r="W70" s="37">
        <f t="shared" si="55"/>
        <v>1.2845556041711646E-3</v>
      </c>
      <c r="X70" s="37">
        <f t="shared" si="56"/>
        <v>1.3087443233743409E-2</v>
      </c>
      <c r="Y70" s="37">
        <f t="shared" si="57"/>
        <v>1.2396766256590509E-2</v>
      </c>
      <c r="Z70" s="37">
        <f t="shared" si="58"/>
        <v>1.2609282249560632E-2</v>
      </c>
      <c r="AA70" s="38">
        <f t="shared" si="59"/>
        <v>1.2697830579964852E-2</v>
      </c>
      <c r="AB70" s="154">
        <f t="shared" si="60"/>
        <v>2.042378326080469E-4</v>
      </c>
    </row>
    <row r="71" spans="1:28" s="5" customFormat="1" ht="13" x14ac:dyDescent="0.15">
      <c r="B71" s="39" t="s">
        <v>37</v>
      </c>
      <c r="C71" s="34">
        <v>0.40277777777777773</v>
      </c>
      <c r="D71" s="40">
        <f>23+D70</f>
        <v>307.5</v>
      </c>
      <c r="E71" s="35">
        <v>14</v>
      </c>
      <c r="F71" s="36">
        <f>8*0.405</f>
        <v>3.24</v>
      </c>
      <c r="G71" s="37">
        <f>8*0.365</f>
        <v>2.92</v>
      </c>
      <c r="H71" s="37">
        <f>8*0.379</f>
        <v>3.032</v>
      </c>
      <c r="I71" s="37">
        <f t="shared" si="49"/>
        <v>4.0811040000000007</v>
      </c>
      <c r="J71" s="37">
        <f t="shared" ref="J71:K74" si="61">1.2596*G71</f>
        <v>3.678032</v>
      </c>
      <c r="K71" s="37">
        <f t="shared" si="61"/>
        <v>3.8191072000000004</v>
      </c>
      <c r="L71" s="38">
        <f t="shared" si="43"/>
        <v>3.8594144000000004</v>
      </c>
      <c r="M71" s="53">
        <f t="shared" si="44"/>
        <v>0.11808931940820638</v>
      </c>
      <c r="N71" s="37">
        <f t="shared" si="45"/>
        <v>1.4063675400489708</v>
      </c>
      <c r="O71" s="37">
        <f t="shared" si="46"/>
        <v>1.3023778265249228</v>
      </c>
      <c r="P71" s="37">
        <f t="shared" si="47"/>
        <v>1.3400166780248579</v>
      </c>
      <c r="Q71" s="38">
        <f t="shared" si="48"/>
        <v>1.3495873481995837</v>
      </c>
      <c r="R71" s="37">
        <f t="shared" si="50"/>
        <v>3.0398264344084037E-2</v>
      </c>
      <c r="S71" s="37">
        <f t="shared" si="51"/>
        <v>3.9885359442731697E-3</v>
      </c>
      <c r="T71" s="37">
        <f t="shared" si="52"/>
        <v>1.8245303956100887E-3</v>
      </c>
      <c r="U71" s="37">
        <f t="shared" si="53"/>
        <v>2.7219771404520038E-3</v>
      </c>
      <c r="V71" s="38">
        <f t="shared" si="54"/>
        <v>2.8450144934450872E-3</v>
      </c>
      <c r="W71" s="37">
        <f t="shared" si="55"/>
        <v>6.2771640261475008E-4</v>
      </c>
      <c r="X71" s="37">
        <f t="shared" si="56"/>
        <v>1.327188292682927E-2</v>
      </c>
      <c r="Y71" s="37">
        <f t="shared" si="57"/>
        <v>1.1961079674796747E-2</v>
      </c>
      <c r="Z71" s="37">
        <f t="shared" si="58"/>
        <v>1.2419860813008131E-2</v>
      </c>
      <c r="AA71" s="38">
        <f t="shared" si="59"/>
        <v>1.2550941138211383E-2</v>
      </c>
      <c r="AB71" s="154">
        <f t="shared" si="60"/>
        <v>3.8403030701855722E-4</v>
      </c>
    </row>
    <row r="72" spans="1:28" s="5" customFormat="1" ht="13" x14ac:dyDescent="0.15">
      <c r="B72" s="39" t="s">
        <v>38</v>
      </c>
      <c r="C72" s="34">
        <v>0.5</v>
      </c>
      <c r="D72" s="40">
        <f>2.5+24+D71</f>
        <v>334</v>
      </c>
      <c r="E72" s="35">
        <v>15</v>
      </c>
      <c r="F72" s="36">
        <f>8*0.405</f>
        <v>3.24</v>
      </c>
      <c r="G72" s="37">
        <f>8*0.365</f>
        <v>2.92</v>
      </c>
      <c r="H72" s="37">
        <f>0.397*8</f>
        <v>3.1760000000000002</v>
      </c>
      <c r="I72" s="37">
        <f t="shared" si="49"/>
        <v>4.0811040000000007</v>
      </c>
      <c r="J72" s="37">
        <f t="shared" si="61"/>
        <v>3.678032</v>
      </c>
      <c r="K72" s="37">
        <f t="shared" si="61"/>
        <v>4.0004896000000008</v>
      </c>
      <c r="L72" s="38">
        <f t="shared" si="43"/>
        <v>3.9198752000000003</v>
      </c>
      <c r="M72" s="53">
        <f t="shared" si="44"/>
        <v>0.12314053003448294</v>
      </c>
      <c r="N72" s="37">
        <f t="shared" si="45"/>
        <v>1.4063675400489708</v>
      </c>
      <c r="O72" s="37">
        <f t="shared" si="46"/>
        <v>1.3023778265249228</v>
      </c>
      <c r="P72" s="37">
        <f t="shared" si="47"/>
        <v>1.3864167536296219</v>
      </c>
      <c r="Q72" s="38">
        <f t="shared" si="48"/>
        <v>1.3650540400678384</v>
      </c>
      <c r="R72" s="37">
        <f t="shared" si="50"/>
        <v>3.1862931847448761E-2</v>
      </c>
      <c r="S72" s="37">
        <f t="shared" si="51"/>
        <v>0</v>
      </c>
      <c r="T72" s="37">
        <f t="shared" si="52"/>
        <v>0</v>
      </c>
      <c r="U72" s="37">
        <f t="shared" si="53"/>
        <v>1.7509462492363774E-3</v>
      </c>
      <c r="V72" s="38">
        <f t="shared" si="54"/>
        <v>5.8364874974545916E-4</v>
      </c>
      <c r="W72" s="37">
        <f t="shared" si="55"/>
        <v>5.8364874974545927E-4</v>
      </c>
      <c r="X72" s="37">
        <f t="shared" si="56"/>
        <v>1.2218874251497008E-2</v>
      </c>
      <c r="Y72" s="37">
        <f t="shared" si="57"/>
        <v>1.1012071856287425E-2</v>
      </c>
      <c r="Z72" s="37">
        <f t="shared" si="58"/>
        <v>1.1977513772455092E-2</v>
      </c>
      <c r="AA72" s="38">
        <f t="shared" si="59"/>
        <v>1.1736153293413175E-2</v>
      </c>
      <c r="AB72" s="154">
        <f t="shared" si="60"/>
        <v>3.6868422166012871E-4</v>
      </c>
    </row>
    <row r="73" spans="1:28" s="5" customFormat="1" ht="13" x14ac:dyDescent="0.15">
      <c r="B73" s="39" t="s">
        <v>39</v>
      </c>
      <c r="C73" s="34">
        <v>0.53472222222222221</v>
      </c>
      <c r="D73" s="40">
        <f>48+3+D71</f>
        <v>358.5</v>
      </c>
      <c r="E73" s="35">
        <v>16</v>
      </c>
      <c r="F73" s="36">
        <f>8*0.437</f>
        <v>3.496</v>
      </c>
      <c r="G73" s="37">
        <f>4*0.749</f>
        <v>2.996</v>
      </c>
      <c r="H73" s="37">
        <f>8*0.405</f>
        <v>3.24</v>
      </c>
      <c r="I73" s="37">
        <f t="shared" si="49"/>
        <v>4.4035615999999997</v>
      </c>
      <c r="J73" s="37">
        <f t="shared" si="61"/>
        <v>3.7737616000000003</v>
      </c>
      <c r="K73" s="37">
        <f t="shared" si="61"/>
        <v>4.0811040000000007</v>
      </c>
      <c r="L73" s="38">
        <f t="shared" si="43"/>
        <v>4.0861424</v>
      </c>
      <c r="M73" s="53">
        <f t="shared" si="44"/>
        <v>0.18182505245970171</v>
      </c>
      <c r="N73" s="37">
        <f t="shared" si="45"/>
        <v>1.4824136680380215</v>
      </c>
      <c r="O73" s="37">
        <f t="shared" si="46"/>
        <v>1.3280722758997057</v>
      </c>
      <c r="P73" s="37">
        <f t="shared" si="47"/>
        <v>1.4063675400489708</v>
      </c>
      <c r="Q73" s="38">
        <f t="shared" si="48"/>
        <v>1.405617827995566</v>
      </c>
      <c r="R73" s="37">
        <f t="shared" si="50"/>
        <v>4.4556099032270965E-2</v>
      </c>
      <c r="S73" s="37">
        <f t="shared" si="51"/>
        <v>3.1039235913898266E-3</v>
      </c>
      <c r="T73" s="37">
        <f t="shared" si="52"/>
        <v>1.0487530357054214E-3</v>
      </c>
      <c r="U73" s="37">
        <f t="shared" si="53"/>
        <v>8.1431781303464845E-4</v>
      </c>
      <c r="V73" s="38">
        <f t="shared" si="54"/>
        <v>1.6556648133766322E-3</v>
      </c>
      <c r="W73" s="37">
        <f t="shared" si="55"/>
        <v>7.2728492455991802E-4</v>
      </c>
      <c r="X73" s="37">
        <f t="shared" si="56"/>
        <v>1.2283295955369596E-2</v>
      </c>
      <c r="Y73" s="37">
        <f t="shared" si="57"/>
        <v>1.0526531659693167E-2</v>
      </c>
      <c r="Z73" s="37">
        <f t="shared" si="58"/>
        <v>1.1383832635983266E-2</v>
      </c>
      <c r="AA73" s="38">
        <f t="shared" si="59"/>
        <v>1.1397886750348677E-2</v>
      </c>
      <c r="AB73" s="154">
        <f t="shared" si="60"/>
        <v>5.0718285204937735E-4</v>
      </c>
    </row>
    <row r="74" spans="1:28" s="5" customFormat="1" ht="13" x14ac:dyDescent="0.15">
      <c r="B74" s="39" t="s">
        <v>40</v>
      </c>
      <c r="C74" s="34">
        <v>0.53472222222222221</v>
      </c>
      <c r="D74" s="40">
        <f>24+D73</f>
        <v>382.5</v>
      </c>
      <c r="E74" s="35">
        <v>17</v>
      </c>
      <c r="F74" s="36">
        <f>4*0.913</f>
        <v>3.6520000000000001</v>
      </c>
      <c r="G74" s="37">
        <f>8*0.363</f>
        <v>2.9039999999999999</v>
      </c>
      <c r="H74" s="37">
        <f>8*0.406</f>
        <v>3.2480000000000002</v>
      </c>
      <c r="I74" s="37">
        <f t="shared" si="49"/>
        <v>4.6000592000000005</v>
      </c>
      <c r="J74" s="37">
        <f t="shared" si="61"/>
        <v>3.6578784</v>
      </c>
      <c r="K74" s="37">
        <f t="shared" si="61"/>
        <v>4.0911808000000001</v>
      </c>
      <c r="L74" s="38">
        <f t="shared" si="43"/>
        <v>4.1163727999999997</v>
      </c>
      <c r="M74" s="53">
        <f t="shared" si="44"/>
        <v>0.27227568297601135</v>
      </c>
      <c r="N74" s="37">
        <f t="shared" si="45"/>
        <v>1.5260691729774547</v>
      </c>
      <c r="O74" s="37">
        <f t="shared" si="46"/>
        <v>1.2968833072072823</v>
      </c>
      <c r="P74" s="37">
        <f t="shared" si="47"/>
        <v>1.4088336325441642</v>
      </c>
      <c r="Q74" s="38">
        <f t="shared" si="48"/>
        <v>1.4105953709096337</v>
      </c>
      <c r="R74" s="37">
        <f t="shared" si="50"/>
        <v>6.6166124411104185E-2</v>
      </c>
      <c r="S74" s="37">
        <f t="shared" si="51"/>
        <v>1.8189793724763814E-3</v>
      </c>
      <c r="T74" s="37">
        <f t="shared" si="52"/>
        <v>-1.2995403621843076E-3</v>
      </c>
      <c r="U74" s="37">
        <f t="shared" si="53"/>
        <v>1.0275385396639007E-4</v>
      </c>
      <c r="V74" s="38">
        <f t="shared" si="54"/>
        <v>2.0739762141948795E-4</v>
      </c>
      <c r="W74" s="37">
        <f t="shared" si="55"/>
        <v>9.0175829585263157E-4</v>
      </c>
      <c r="X74" s="37">
        <f t="shared" si="56"/>
        <v>1.2026298562091505E-2</v>
      </c>
      <c r="Y74" s="37">
        <f t="shared" si="57"/>
        <v>9.5630807843137249E-3</v>
      </c>
      <c r="Z74" s="37">
        <f t="shared" si="58"/>
        <v>1.069589751633987E-2</v>
      </c>
      <c r="AA74" s="38">
        <f t="shared" si="59"/>
        <v>1.0761758954248366E-2</v>
      </c>
      <c r="AB74" s="154">
        <f t="shared" si="60"/>
        <v>7.1183185091767682E-4</v>
      </c>
    </row>
    <row r="75" spans="1:28" s="5" customFormat="1" ht="13" x14ac:dyDescent="0.15">
      <c r="B75" s="39" t="s">
        <v>41</v>
      </c>
      <c r="C75" s="34">
        <v>0.4861111111111111</v>
      </c>
      <c r="D75" s="40">
        <f>23+D74</f>
        <v>405.5</v>
      </c>
      <c r="E75" s="35">
        <v>18</v>
      </c>
      <c r="F75" s="36">
        <f>4*0.894</f>
        <v>3.5760000000000001</v>
      </c>
      <c r="G75" s="37">
        <f>8*0.388</f>
        <v>3.1040000000000001</v>
      </c>
      <c r="H75" s="37">
        <f>4*0.846</f>
        <v>3.3839999999999999</v>
      </c>
      <c r="I75" s="37">
        <f t="shared" ref="I75:K76" si="62">1.2596*F75</f>
        <v>4.5043296000000002</v>
      </c>
      <c r="J75" s="37">
        <f t="shared" si="62"/>
        <v>3.9097984000000001</v>
      </c>
      <c r="K75" s="37">
        <f t="shared" si="62"/>
        <v>4.2624864000000002</v>
      </c>
      <c r="L75" s="38">
        <f t="shared" si="43"/>
        <v>4.2255381333333331</v>
      </c>
      <c r="M75" s="53">
        <f t="shared" si="44"/>
        <v>0.17261780301252569</v>
      </c>
      <c r="N75" s="37">
        <f t="shared" ref="N75:P76" si="63">LN(I75)</f>
        <v>1.5050390675560004</v>
      </c>
      <c r="O75" s="37">
        <f t="shared" si="63"/>
        <v>1.3634858125657048</v>
      </c>
      <c r="P75" s="37">
        <f t="shared" si="63"/>
        <v>1.4498526519887094</v>
      </c>
      <c r="Q75" s="38">
        <f t="shared" si="48"/>
        <v>1.4394591773701382</v>
      </c>
      <c r="R75" s="37">
        <f t="shared" si="50"/>
        <v>4.1192026880502303E-2</v>
      </c>
      <c r="S75" s="37">
        <f t="shared" si="51"/>
        <v>-9.1435240962844944E-4</v>
      </c>
      <c r="T75" s="37">
        <f t="shared" si="52"/>
        <v>2.8957611025401085E-3</v>
      </c>
      <c r="U75" s="37">
        <f t="shared" si="53"/>
        <v>1.7834356280237054E-3</v>
      </c>
      <c r="V75" s="38">
        <f t="shared" si="54"/>
        <v>1.2549481069784548E-3</v>
      </c>
      <c r="W75" s="37">
        <f t="shared" si="55"/>
        <v>1.1311816150715692E-3</v>
      </c>
      <c r="X75" s="37">
        <f t="shared" si="56"/>
        <v>1.1108087792848336E-2</v>
      </c>
      <c r="Y75" s="37">
        <f t="shared" si="57"/>
        <v>9.6419196054254013E-3</v>
      </c>
      <c r="Z75" s="37">
        <f t="shared" si="58"/>
        <v>1.0511680394574599E-2</v>
      </c>
      <c r="AA75" s="38">
        <f t="shared" si="59"/>
        <v>1.0420562597616112E-2</v>
      </c>
      <c r="AB75" s="154">
        <f t="shared" si="60"/>
        <v>4.2569125280524225E-4</v>
      </c>
    </row>
    <row r="76" spans="1:28" s="5" customFormat="1" thickBot="1" x14ac:dyDescent="0.2">
      <c r="A76" s="44"/>
      <c r="B76" s="45" t="s">
        <v>42</v>
      </c>
      <c r="C76" s="43">
        <v>0.52083333333333337</v>
      </c>
      <c r="D76" s="57">
        <f>25+D75</f>
        <v>430.5</v>
      </c>
      <c r="E76" s="44">
        <v>19</v>
      </c>
      <c r="F76" s="46">
        <f>4*0.929</f>
        <v>3.7160000000000002</v>
      </c>
      <c r="G76" s="47">
        <f>4*0.822</f>
        <v>3.2879999999999998</v>
      </c>
      <c r="H76" s="47">
        <f>4*0.852</f>
        <v>3.4079999999999999</v>
      </c>
      <c r="I76" s="47">
        <f t="shared" si="62"/>
        <v>4.6806736000000004</v>
      </c>
      <c r="J76" s="47">
        <f t="shared" si="62"/>
        <v>4.1415648000000003</v>
      </c>
      <c r="K76" s="47">
        <f t="shared" si="62"/>
        <v>4.2927168</v>
      </c>
      <c r="L76" s="48">
        <f t="shared" si="43"/>
        <v>4.3716517333333336</v>
      </c>
      <c r="M76" s="54">
        <f t="shared" si="44"/>
        <v>0.16055385112646098</v>
      </c>
      <c r="N76" s="47">
        <f t="shared" si="63"/>
        <v>1.5434420311963246</v>
      </c>
      <c r="O76" s="47">
        <f t="shared" si="63"/>
        <v>1.421073687438666</v>
      </c>
      <c r="P76" s="47">
        <f t="shared" si="63"/>
        <v>1.4569198192118018</v>
      </c>
      <c r="Q76" s="48">
        <f t="shared" si="48"/>
        <v>1.4738118459489309</v>
      </c>
      <c r="R76" s="47">
        <f t="shared" si="50"/>
        <v>3.6320372217090675E-2</v>
      </c>
      <c r="S76" s="47">
        <f t="shared" si="51"/>
        <v>1.5361185456129701E-3</v>
      </c>
      <c r="T76" s="47">
        <f t="shared" si="52"/>
        <v>2.3035149949184497E-3</v>
      </c>
      <c r="U76" s="47">
        <f t="shared" si="53"/>
        <v>2.8268668892369677E-4</v>
      </c>
      <c r="V76" s="48">
        <f t="shared" si="54"/>
        <v>1.3741067431517057E-3</v>
      </c>
      <c r="W76" s="47">
        <f t="shared" si="55"/>
        <v>5.8896027842290759E-4</v>
      </c>
      <c r="X76" s="47">
        <f t="shared" si="56"/>
        <v>1.0872644831591173E-2</v>
      </c>
      <c r="Y76" s="47">
        <f t="shared" si="57"/>
        <v>9.6203595818815345E-3</v>
      </c>
      <c r="Z76" s="47">
        <f t="shared" si="58"/>
        <v>9.9714675958188156E-3</v>
      </c>
      <c r="AA76" s="48">
        <f t="shared" si="59"/>
        <v>1.0154824003097175E-2</v>
      </c>
      <c r="AB76" s="156">
        <f t="shared" si="60"/>
        <v>3.7294738937621562E-4</v>
      </c>
    </row>
    <row r="93" spans="1:4" x14ac:dyDescent="0.15">
      <c r="A93" s="55" t="s">
        <v>65</v>
      </c>
      <c r="B93" s="55" t="s">
        <v>64</v>
      </c>
      <c r="C93" s="55" t="s">
        <v>63</v>
      </c>
      <c r="D93" s="55"/>
    </row>
  </sheetData>
  <mergeCells count="46">
    <mergeCell ref="F54:H54"/>
    <mergeCell ref="I54:K54"/>
    <mergeCell ref="N4:P4"/>
    <mergeCell ref="S4:U4"/>
    <mergeCell ref="B57:B59"/>
    <mergeCell ref="E55:E56"/>
    <mergeCell ref="E57:E59"/>
    <mergeCell ref="B30:B31"/>
    <mergeCell ref="B32:B34"/>
    <mergeCell ref="E32:E34"/>
    <mergeCell ref="E30:E31"/>
    <mergeCell ref="B55:B56"/>
    <mergeCell ref="B52:AB52"/>
    <mergeCell ref="F53:H53"/>
    <mergeCell ref="I53:K53"/>
    <mergeCell ref="N53:P53"/>
    <mergeCell ref="S53:U53"/>
    <mergeCell ref="X53:Z53"/>
    <mergeCell ref="B7:B9"/>
    <mergeCell ref="E7:E9"/>
    <mergeCell ref="E5:E6"/>
    <mergeCell ref="F4:H4"/>
    <mergeCell ref="I4:K4"/>
    <mergeCell ref="A1:AB1"/>
    <mergeCell ref="B2:AB2"/>
    <mergeCell ref="F3:H3"/>
    <mergeCell ref="I3:K3"/>
    <mergeCell ref="N3:P3"/>
    <mergeCell ref="S3:U3"/>
    <mergeCell ref="X3:Z3"/>
    <mergeCell ref="N54:P54"/>
    <mergeCell ref="S54:U54"/>
    <mergeCell ref="X54:Z54"/>
    <mergeCell ref="X4:Z4"/>
    <mergeCell ref="F29:H29"/>
    <mergeCell ref="I29:K29"/>
    <mergeCell ref="N29:P29"/>
    <mergeCell ref="S29:U29"/>
    <mergeCell ref="X29:Z29"/>
    <mergeCell ref="F28:H28"/>
    <mergeCell ref="I28:K28"/>
    <mergeCell ref="N28:P28"/>
    <mergeCell ref="S28:U28"/>
    <mergeCell ref="X28:Z28"/>
    <mergeCell ref="B27:AB27"/>
    <mergeCell ref="B5:B6"/>
  </mergeCells>
  <pageMargins left="0.7" right="0.7" top="0.75" bottom="0.75" header="0.3" footer="0.3"/>
  <pageSetup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B5548-61E6-4FC4-93DF-665DB709D8F4}">
  <dimension ref="A1:AP163"/>
  <sheetViews>
    <sheetView zoomScaleNormal="100" workbookViewId="0">
      <selection sqref="A1:AB1"/>
    </sheetView>
  </sheetViews>
  <sheetFormatPr baseColWidth="10" defaultColWidth="9.1640625" defaultRowHeight="13" x14ac:dyDescent="0.2"/>
  <cols>
    <col min="1" max="1" width="85.6640625" style="58" customWidth="1"/>
    <col min="2" max="2" width="9.83203125" style="58" customWidth="1"/>
    <col min="3" max="3" width="9.5" style="58" customWidth="1"/>
    <col min="4" max="4" width="11.5" style="58" bestFit="1" customWidth="1"/>
    <col min="5" max="7" width="11.5" style="58" customWidth="1"/>
    <col min="8" max="8" width="9.83203125" style="58" customWidth="1"/>
    <col min="9" max="11" width="9.6640625" style="58" customWidth="1"/>
    <col min="12" max="15" width="9.1640625" style="58"/>
    <col min="16" max="16" width="12.1640625" style="58" customWidth="1"/>
    <col min="17" max="17" width="11.83203125" style="58" customWidth="1"/>
    <col min="18" max="18" width="11.6640625" style="58" bestFit="1" customWidth="1"/>
    <col min="19" max="19" width="9.1640625" style="58"/>
    <col min="20" max="21" width="9.5" style="58" bestFit="1" customWidth="1"/>
    <col min="22" max="25" width="9.5" style="58" customWidth="1"/>
    <col min="26" max="26" width="9.6640625" style="58" customWidth="1"/>
    <col min="27" max="27" width="9.5" style="58" customWidth="1"/>
    <col min="28" max="30" width="9.1640625" style="58"/>
    <col min="31" max="31" width="11.83203125" style="58" customWidth="1"/>
    <col min="32" max="16384" width="9.1640625" style="58"/>
  </cols>
  <sheetData>
    <row r="1" spans="1:42" ht="17" thickBot="1" x14ac:dyDescent="0.25">
      <c r="A1" s="200" t="s">
        <v>92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2"/>
    </row>
    <row r="2" spans="1:42" ht="15" thickBot="1" x14ac:dyDescent="0.25">
      <c r="A2" s="98"/>
      <c r="B2" s="203" t="s">
        <v>65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5"/>
    </row>
    <row r="3" spans="1:42" ht="47" customHeight="1" x14ac:dyDescent="0.2">
      <c r="A3" s="66"/>
      <c r="B3" s="105" t="s">
        <v>0</v>
      </c>
      <c r="C3" s="106" t="s">
        <v>1</v>
      </c>
      <c r="D3" s="140" t="s">
        <v>2</v>
      </c>
      <c r="E3" s="149"/>
      <c r="F3" s="106" t="s">
        <v>14</v>
      </c>
      <c r="G3" s="106" t="s">
        <v>15</v>
      </c>
      <c r="H3" s="208" t="s">
        <v>106</v>
      </c>
      <c r="I3" s="209"/>
      <c r="J3" s="210" t="s">
        <v>109</v>
      </c>
      <c r="K3" s="211"/>
      <c r="L3" s="212" t="s">
        <v>77</v>
      </c>
      <c r="M3" s="213"/>
      <c r="N3" s="107" t="s">
        <v>78</v>
      </c>
      <c r="O3" s="108" t="s">
        <v>79</v>
      </c>
      <c r="P3" s="107" t="s">
        <v>16</v>
      </c>
      <c r="Q3" s="107" t="s">
        <v>17</v>
      </c>
      <c r="R3" s="107" t="s">
        <v>80</v>
      </c>
      <c r="S3" s="107" t="s">
        <v>81</v>
      </c>
      <c r="T3" s="107" t="s">
        <v>82</v>
      </c>
      <c r="U3" s="109" t="s">
        <v>56</v>
      </c>
      <c r="V3" s="108" t="s">
        <v>83</v>
      </c>
      <c r="W3" s="107" t="s">
        <v>84</v>
      </c>
      <c r="X3" s="107" t="s">
        <v>82</v>
      </c>
      <c r="Y3" s="59" t="s">
        <v>56</v>
      </c>
      <c r="Z3" s="59" t="s">
        <v>72</v>
      </c>
      <c r="AA3" s="107" t="s">
        <v>73</v>
      </c>
      <c r="AB3" s="110" t="s">
        <v>56</v>
      </c>
      <c r="AD3" s="226" t="s">
        <v>115</v>
      </c>
      <c r="AE3" s="226"/>
      <c r="AF3" s="226"/>
      <c r="AG3" s="226"/>
      <c r="AH3" s="226"/>
    </row>
    <row r="4" spans="1:42" ht="37" customHeight="1" x14ac:dyDescent="0.2">
      <c r="A4" s="66"/>
      <c r="B4" s="60"/>
      <c r="C4" s="61"/>
      <c r="D4" s="63"/>
      <c r="E4" s="150"/>
      <c r="F4" s="61" t="s">
        <v>19</v>
      </c>
      <c r="G4" s="61" t="s">
        <v>19</v>
      </c>
      <c r="H4" s="138" t="s">
        <v>108</v>
      </c>
      <c r="I4" s="61" t="s">
        <v>107</v>
      </c>
      <c r="J4" s="63" t="s">
        <v>108</v>
      </c>
      <c r="K4" s="139" t="s">
        <v>107</v>
      </c>
      <c r="L4" s="206" t="s">
        <v>20</v>
      </c>
      <c r="M4" s="207"/>
      <c r="N4" s="64" t="s">
        <v>20</v>
      </c>
      <c r="O4" s="64" t="s">
        <v>19</v>
      </c>
      <c r="P4" s="64" t="s">
        <v>21</v>
      </c>
      <c r="Q4" s="64" t="s">
        <v>22</v>
      </c>
      <c r="R4" s="65" t="s">
        <v>85</v>
      </c>
      <c r="S4" s="65" t="s">
        <v>85</v>
      </c>
      <c r="T4" s="64"/>
      <c r="U4" s="63"/>
      <c r="V4" s="65" t="s">
        <v>86</v>
      </c>
      <c r="W4" s="65" t="s">
        <v>86</v>
      </c>
      <c r="X4" s="64"/>
      <c r="Y4" s="64"/>
      <c r="Z4" s="65" t="s">
        <v>74</v>
      </c>
      <c r="AA4" s="65" t="s">
        <v>74</v>
      </c>
      <c r="AB4" s="62"/>
      <c r="AD4" s="58" t="s">
        <v>2</v>
      </c>
      <c r="AE4" s="111" t="str">
        <f>S3</f>
        <v>Average specific CPC conc.</v>
      </c>
      <c r="AF4" s="58" t="s">
        <v>18</v>
      </c>
      <c r="AG4" s="111" t="str">
        <f>W3</f>
        <v>Average total CPC</v>
      </c>
      <c r="AH4" s="58" t="s">
        <v>18</v>
      </c>
    </row>
    <row r="5" spans="1:42" x14ac:dyDescent="0.15">
      <c r="A5" s="66"/>
      <c r="B5" s="215" t="s">
        <v>8</v>
      </c>
      <c r="C5" s="198">
        <v>0.47916666666666669</v>
      </c>
      <c r="D5" s="226">
        <v>0</v>
      </c>
      <c r="E5" s="120" t="s">
        <v>110</v>
      </c>
      <c r="F5" s="221">
        <v>5.45E-2</v>
      </c>
      <c r="G5" s="224">
        <v>5.1400000000000001E-2</v>
      </c>
      <c r="H5" s="69">
        <f>0.3549-F5</f>
        <v>0.3004</v>
      </c>
      <c r="I5" s="68">
        <f>0.3575-F5</f>
        <v>0.30299999999999999</v>
      </c>
      <c r="J5" s="68">
        <f>0.2344-G5</f>
        <v>0.183</v>
      </c>
      <c r="K5" s="68">
        <f>0.2349-G5</f>
        <v>0.1835</v>
      </c>
      <c r="L5" s="68">
        <f>(H5-(0.605*J5))/6.17</f>
        <v>3.0743111831442464E-2</v>
      </c>
      <c r="M5" s="68">
        <f>(I5-(0.605*K5))/6.17</f>
        <v>3.1115478119935171E-2</v>
      </c>
      <c r="N5" s="68">
        <f>AVERAGE(L5:M5)</f>
        <v>3.0929294975688817E-2</v>
      </c>
      <c r="O5" s="68">
        <f>'Growth curves CeBER'!I5</f>
        <v>0.1406076</v>
      </c>
      <c r="P5" s="68">
        <f>1.2334*O5</f>
        <v>0.17342541384000001</v>
      </c>
      <c r="Q5" s="99">
        <f>P5*2/1000</f>
        <v>3.4685082768000001E-4</v>
      </c>
      <c r="R5" s="100">
        <f>(N5*0.5)/Q5</f>
        <v>44.585874542331752</v>
      </c>
      <c r="S5" s="101"/>
      <c r="V5" s="70">
        <f>R5*P5</f>
        <v>7.7323237439222057</v>
      </c>
      <c r="W5" s="101"/>
      <c r="AA5" s="101"/>
      <c r="AB5" s="67"/>
      <c r="AD5" s="87">
        <f>D5</f>
        <v>0</v>
      </c>
      <c r="AE5" s="70">
        <f>S7</f>
        <v>47.564424201779083</v>
      </c>
      <c r="AF5" s="70">
        <f>U7</f>
        <v>1.8052747527049953</v>
      </c>
      <c r="AG5" s="70">
        <f>W7</f>
        <v>8.2896677471636959</v>
      </c>
      <c r="AH5" s="70">
        <f>Y7</f>
        <v>0.28110675412776337</v>
      </c>
      <c r="AJ5" s="141"/>
      <c r="AK5" s="141"/>
      <c r="AL5" s="141"/>
      <c r="AN5" s="141"/>
      <c r="AO5" s="141"/>
      <c r="AP5" s="141"/>
    </row>
    <row r="6" spans="1:42" ht="15" customHeight="1" x14ac:dyDescent="0.15">
      <c r="A6" s="66"/>
      <c r="B6" s="215"/>
      <c r="C6" s="198"/>
      <c r="D6" s="226"/>
      <c r="E6" s="120" t="s">
        <v>111</v>
      </c>
      <c r="F6" s="221"/>
      <c r="G6" s="224"/>
      <c r="H6" s="69">
        <f>0.3917-F5</f>
        <v>0.3372</v>
      </c>
      <c r="I6" s="68">
        <f>0.3915-F5</f>
        <v>0.33700000000000002</v>
      </c>
      <c r="J6" s="68">
        <f>0.2569-G5</f>
        <v>0.20550000000000002</v>
      </c>
      <c r="K6" s="68">
        <f>0.256-G5</f>
        <v>0.2046</v>
      </c>
      <c r="L6" s="68">
        <f t="shared" ref="L6:L55" si="0">(H6-(0.605*J6))/6.17</f>
        <v>3.4501215559157208E-2</v>
      </c>
      <c r="M6" s="68">
        <f t="shared" ref="M6:M55" si="1">(I6-(0.605*K6))/6.17</f>
        <v>3.4557050243111835E-2</v>
      </c>
      <c r="N6" s="68">
        <f t="shared" ref="N6:N55" si="2">AVERAGE(L6:M6)</f>
        <v>3.4529132901134518E-2</v>
      </c>
      <c r="O6" s="68">
        <f>'Growth curves CeBER'!J5</f>
        <v>0.148008</v>
      </c>
      <c r="P6" s="68">
        <f t="shared" ref="P6:P55" si="3">1.2334*O6</f>
        <v>0.1825530672</v>
      </c>
      <c r="Q6" s="99">
        <f>P6*2/1000</f>
        <v>3.651061344E-4</v>
      </c>
      <c r="R6" s="100">
        <f t="shared" ref="R6:R55" si="4">(N6*0.5)/Q6</f>
        <v>47.286432146474667</v>
      </c>
      <c r="S6" s="101"/>
      <c r="V6" s="70">
        <f t="shared" ref="V6:V55" si="5">R6*P6</f>
        <v>8.632283225283631</v>
      </c>
      <c r="W6" s="101"/>
      <c r="AA6" s="101"/>
      <c r="AB6" s="67"/>
      <c r="AD6" s="87">
        <f>D8</f>
        <v>22.5</v>
      </c>
      <c r="AE6" s="70">
        <f>S10</f>
        <v>19.444073499281867</v>
      </c>
      <c r="AF6" s="70">
        <f>U10</f>
        <v>0.26311363677235727</v>
      </c>
      <c r="AG6" s="70">
        <f>W10</f>
        <v>6.4325769854132906</v>
      </c>
      <c r="AH6" s="70">
        <f>Y10</f>
        <v>0.24589755672005703</v>
      </c>
      <c r="AJ6" s="143"/>
      <c r="AK6" s="141"/>
      <c r="AL6" s="141"/>
      <c r="AN6" s="141"/>
      <c r="AO6" s="141"/>
      <c r="AP6" s="141"/>
    </row>
    <row r="7" spans="1:42" ht="15" customHeight="1" x14ac:dyDescent="0.15">
      <c r="A7" s="66"/>
      <c r="B7" s="216"/>
      <c r="C7" s="199"/>
      <c r="D7" s="227"/>
      <c r="E7" s="151" t="s">
        <v>112</v>
      </c>
      <c r="F7" s="222"/>
      <c r="G7" s="225"/>
      <c r="H7" s="73">
        <f>0.3851-F5</f>
        <v>0.3306</v>
      </c>
      <c r="I7" s="74">
        <f>0.3933-F5</f>
        <v>0.33879999999999999</v>
      </c>
      <c r="J7" s="74">
        <f>0.2542-G5</f>
        <v>0.20279999999999998</v>
      </c>
      <c r="K7" s="74">
        <f>0.2612-G5</f>
        <v>0.20979999999999999</v>
      </c>
      <c r="L7" s="68">
        <f t="shared" si="0"/>
        <v>3.3696272285251225E-2</v>
      </c>
      <c r="M7" s="68">
        <f t="shared" si="1"/>
        <v>3.4338897893030795E-2</v>
      </c>
      <c r="N7" s="74">
        <f t="shared" si="2"/>
        <v>3.401758508914101E-2</v>
      </c>
      <c r="O7" s="74">
        <f>'Growth curves CeBER'!K5</f>
        <v>0.13567400000000002</v>
      </c>
      <c r="P7" s="74">
        <f t="shared" si="3"/>
        <v>0.16734031160000004</v>
      </c>
      <c r="Q7" s="75">
        <f>P7*2/1000</f>
        <v>3.3468062320000008E-4</v>
      </c>
      <c r="R7" s="76">
        <f t="shared" si="4"/>
        <v>50.820965916530838</v>
      </c>
      <c r="S7" s="77">
        <f>AVERAGE(R5:R7)</f>
        <v>47.564424201779083</v>
      </c>
      <c r="T7" s="78">
        <f>STDEV(R5:R7)</f>
        <v>3.126827593306392</v>
      </c>
      <c r="U7" s="78">
        <f>T7/SQRT(3)</f>
        <v>1.8052747527049953</v>
      </c>
      <c r="V7" s="78">
        <f t="shared" si="5"/>
        <v>8.504396272285252</v>
      </c>
      <c r="W7" s="77">
        <f>AVERAGE(V5:V7)</f>
        <v>8.2896677471636959</v>
      </c>
      <c r="X7" s="78">
        <f>STDEV(V5:V7)</f>
        <v>0.48689118050005831</v>
      </c>
      <c r="Y7" s="78">
        <f>X7/SQRT(3)</f>
        <v>0.28110675412776337</v>
      </c>
      <c r="Z7" s="71"/>
      <c r="AA7" s="134"/>
      <c r="AB7" s="72"/>
      <c r="AD7" s="87">
        <f>D11</f>
        <v>48.5</v>
      </c>
      <c r="AE7" s="70">
        <f>S13</f>
        <v>24.146467030650882</v>
      </c>
      <c r="AF7" s="70">
        <f>U13</f>
        <v>2.0175546281148069</v>
      </c>
      <c r="AG7" s="70">
        <f>W13</f>
        <v>13.453275256618044</v>
      </c>
      <c r="AH7" s="70">
        <f>Y13</f>
        <v>0.62176671428401353</v>
      </c>
      <c r="AJ7" s="144"/>
      <c r="AK7" s="141"/>
      <c r="AL7" s="141"/>
      <c r="AN7" s="141"/>
      <c r="AO7" s="141"/>
      <c r="AP7" s="141"/>
    </row>
    <row r="8" spans="1:42" x14ac:dyDescent="0.15">
      <c r="A8" s="66"/>
      <c r="B8" s="214" t="s">
        <v>9</v>
      </c>
      <c r="C8" s="197">
        <v>0.41666666666666669</v>
      </c>
      <c r="D8" s="217">
        <f>D5+22.5</f>
        <v>22.5</v>
      </c>
      <c r="E8" s="120" t="s">
        <v>110</v>
      </c>
      <c r="F8" s="220">
        <f>(0.0686+0.0622+0.0602)/3</f>
        <v>6.3666666666666663E-2</v>
      </c>
      <c r="G8" s="223">
        <f>(0.0672+0.0613+0.058)/3</f>
        <v>6.2166666666666669E-2</v>
      </c>
      <c r="H8" s="69">
        <f>0.1671-F8</f>
        <v>0.10343333333333334</v>
      </c>
      <c r="I8" s="68">
        <f>0.1814-F8</f>
        <v>0.11773333333333334</v>
      </c>
      <c r="J8" s="68">
        <f>0.117-G8</f>
        <v>5.4833333333333338E-2</v>
      </c>
      <c r="K8" s="68">
        <f>0.1297-G8</f>
        <v>6.7533333333333334E-2</v>
      </c>
      <c r="L8" s="68">
        <f t="shared" si="0"/>
        <v>1.1387223122636413E-2</v>
      </c>
      <c r="M8" s="68">
        <f t="shared" si="1"/>
        <v>1.245958941112912E-2</v>
      </c>
      <c r="N8" s="68">
        <f t="shared" si="2"/>
        <v>1.1923406266882767E-2</v>
      </c>
      <c r="O8" s="68">
        <f>'Growth curves CeBER'!I7</f>
        <v>0.25408039999999998</v>
      </c>
      <c r="P8" s="68">
        <f t="shared" si="3"/>
        <v>0.31338276535999998</v>
      </c>
      <c r="Q8" s="99">
        <f t="shared" ref="Q8:Q13" si="6">P8*1/1000</f>
        <v>3.1338276536E-4</v>
      </c>
      <c r="R8" s="100">
        <f t="shared" si="4"/>
        <v>19.023710913370898</v>
      </c>
      <c r="S8" s="102"/>
      <c r="T8" s="70"/>
      <c r="U8" s="70"/>
      <c r="V8" s="70">
        <f t="shared" si="5"/>
        <v>5.9617031334413833</v>
      </c>
      <c r="W8" s="102"/>
      <c r="X8" s="70"/>
      <c r="Y8" s="70"/>
      <c r="Z8" s="70">
        <f>(V8-$V$5)/(D8-$D$5)</f>
        <v>-7.8694249354703219E-2</v>
      </c>
      <c r="AA8" s="102"/>
      <c r="AB8" s="67"/>
      <c r="AD8" s="87">
        <f>D14</f>
        <v>72.5</v>
      </c>
      <c r="AE8" s="70">
        <f>S16</f>
        <v>36.440143102300105</v>
      </c>
      <c r="AF8" s="70">
        <f>U16</f>
        <v>2.032298544053925</v>
      </c>
      <c r="AG8" s="70">
        <f>W16</f>
        <v>30.744510686115614</v>
      </c>
      <c r="AH8" s="70">
        <f>Y16</f>
        <v>2.8472717714026339</v>
      </c>
      <c r="AJ8" s="144"/>
      <c r="AK8" s="141"/>
      <c r="AL8" s="141"/>
      <c r="AN8" s="141"/>
      <c r="AO8" s="141"/>
      <c r="AP8" s="141"/>
    </row>
    <row r="9" spans="1:42" x14ac:dyDescent="0.15">
      <c r="A9" s="66"/>
      <c r="B9" s="215"/>
      <c r="C9" s="198"/>
      <c r="D9" s="218"/>
      <c r="E9" s="120" t="s">
        <v>111</v>
      </c>
      <c r="F9" s="221"/>
      <c r="G9" s="224"/>
      <c r="H9" s="69">
        <f>0.1847-F8</f>
        <v>0.12103333333333334</v>
      </c>
      <c r="I9" s="68">
        <f>0.1808-F8</f>
        <v>0.11713333333333333</v>
      </c>
      <c r="J9" s="68">
        <f>0.1269-G8</f>
        <v>6.4733333333333337E-2</v>
      </c>
      <c r="K9" s="68">
        <f>0.1241-G8</f>
        <v>6.1933333333333333E-2</v>
      </c>
      <c r="L9" s="68">
        <f t="shared" si="0"/>
        <v>1.3268989735278229E-2</v>
      </c>
      <c r="M9" s="68">
        <f t="shared" si="1"/>
        <v>1.2911453268503511E-2</v>
      </c>
      <c r="N9" s="68">
        <f t="shared" si="2"/>
        <v>1.309022150189087E-2</v>
      </c>
      <c r="O9" s="68">
        <f>'Growth curves CeBER'!J7</f>
        <v>0.27381480000000002</v>
      </c>
      <c r="P9" s="68">
        <f t="shared" si="3"/>
        <v>0.33772317432000004</v>
      </c>
      <c r="Q9" s="99">
        <f t="shared" si="6"/>
        <v>3.3772317432000006E-4</v>
      </c>
      <c r="R9" s="100">
        <f t="shared" si="4"/>
        <v>19.380105508376513</v>
      </c>
      <c r="S9" s="101"/>
      <c r="T9" s="70"/>
      <c r="U9" s="70"/>
      <c r="V9" s="70">
        <f t="shared" si="5"/>
        <v>6.545110750945434</v>
      </c>
      <c r="W9" s="102"/>
      <c r="X9" s="70"/>
      <c r="Y9" s="70"/>
      <c r="Z9" s="70">
        <f>(V9-$V$6)/(D8-$D$5)</f>
        <v>-9.2763221081697642E-2</v>
      </c>
      <c r="AA9" s="102"/>
      <c r="AB9" s="67"/>
      <c r="AD9" s="87">
        <f>D17</f>
        <v>95</v>
      </c>
      <c r="AE9" s="70">
        <f>S19</f>
        <v>42.644932062767886</v>
      </c>
      <c r="AF9" s="70">
        <f>U19</f>
        <v>3.2573846435692397</v>
      </c>
      <c r="AG9" s="70">
        <f>W19</f>
        <v>46.782775375472717</v>
      </c>
      <c r="AH9" s="70">
        <f>Y19</f>
        <v>7.2383657426895445</v>
      </c>
      <c r="AJ9" s="144"/>
      <c r="AK9" s="141"/>
      <c r="AL9" s="141"/>
      <c r="AN9" s="141"/>
      <c r="AO9" s="141"/>
      <c r="AP9" s="141"/>
    </row>
    <row r="10" spans="1:42" x14ac:dyDescent="0.15">
      <c r="A10" s="66"/>
      <c r="B10" s="216"/>
      <c r="C10" s="199"/>
      <c r="D10" s="219"/>
      <c r="E10" s="151" t="s">
        <v>112</v>
      </c>
      <c r="F10" s="222"/>
      <c r="G10" s="225"/>
      <c r="H10" s="73">
        <f>0.1842-F8</f>
        <v>0.12053333333333334</v>
      </c>
      <c r="I10" s="74">
        <f>0.2011-F8</f>
        <v>0.13743333333333335</v>
      </c>
      <c r="J10" s="74">
        <f>0.1297-G8</f>
        <v>6.7533333333333334E-2</v>
      </c>
      <c r="K10" s="74">
        <f>0.144-G8</f>
        <v>8.1833333333333313E-2</v>
      </c>
      <c r="L10" s="68">
        <f t="shared" si="0"/>
        <v>1.2913398163155053E-2</v>
      </c>
      <c r="M10" s="68">
        <f t="shared" si="1"/>
        <v>1.4250270124257162E-2</v>
      </c>
      <c r="N10" s="74">
        <f t="shared" si="2"/>
        <v>1.3581834143706107E-2</v>
      </c>
      <c r="O10" s="74">
        <f>'Growth curves CeBER'!K7</f>
        <v>0.27628160000000002</v>
      </c>
      <c r="P10" s="74">
        <f t="shared" si="3"/>
        <v>0.34076572544000006</v>
      </c>
      <c r="Q10" s="75">
        <f t="shared" si="6"/>
        <v>3.4076572544000004E-4</v>
      </c>
      <c r="R10" s="76">
        <f t="shared" si="4"/>
        <v>19.92840407609819</v>
      </c>
      <c r="S10" s="77">
        <f>AVERAGE(R8:R10)</f>
        <v>19.444073499281867</v>
      </c>
      <c r="T10" s="78">
        <f>STDEV(R8:R10)</f>
        <v>0.45572618705394563</v>
      </c>
      <c r="U10" s="78">
        <f>T10/SQRT(3)</f>
        <v>0.26311363677235727</v>
      </c>
      <c r="V10" s="78">
        <f t="shared" si="5"/>
        <v>6.7909170718530536</v>
      </c>
      <c r="W10" s="77">
        <f>AVERAGE(V8:V10)</f>
        <v>6.4325769854132906</v>
      </c>
      <c r="X10" s="78">
        <f>STDEV(V8:V10)</f>
        <v>0.42590706169618858</v>
      </c>
      <c r="Y10" s="78">
        <f>X10/SQRT(3)</f>
        <v>0.24589755672005703</v>
      </c>
      <c r="Z10" s="78">
        <f>(V10-$V$7)/(D8-$D$5)</f>
        <v>-7.6154631130319922E-2</v>
      </c>
      <c r="AA10" s="77">
        <f>AVERAGE(Z8:Z10)</f>
        <v>-8.2537367188906932E-2</v>
      </c>
      <c r="AB10" s="135">
        <f>STDEV(Z8:Z10)/SQRT(3)</f>
        <v>5.165219616464602E-3</v>
      </c>
      <c r="AD10" s="87">
        <f>D20</f>
        <v>118.5</v>
      </c>
      <c r="AE10" s="70">
        <f>S22</f>
        <v>47.23522950528713</v>
      </c>
      <c r="AF10" s="70">
        <f>U22</f>
        <v>1.3444268637033707</v>
      </c>
      <c r="AG10" s="70">
        <f>W22</f>
        <v>66.959093733117228</v>
      </c>
      <c r="AH10" s="70">
        <f>Y22</f>
        <v>8.1440437624943769</v>
      </c>
      <c r="AJ10" s="144"/>
      <c r="AK10" s="141"/>
      <c r="AL10" s="141"/>
      <c r="AN10" s="141"/>
      <c r="AO10" s="141"/>
      <c r="AP10" s="141"/>
    </row>
    <row r="11" spans="1:42" x14ac:dyDescent="0.15">
      <c r="A11" s="66"/>
      <c r="B11" s="214" t="s">
        <v>10</v>
      </c>
      <c r="C11" s="197">
        <v>0.50694444444444442</v>
      </c>
      <c r="D11" s="217">
        <f>D8+24+2</f>
        <v>48.5</v>
      </c>
      <c r="E11" s="120" t="s">
        <v>110</v>
      </c>
      <c r="F11" s="220">
        <f>(0.0599+0.0418+0.0497)/3</f>
        <v>5.0466666666666667E-2</v>
      </c>
      <c r="G11" s="223">
        <f>(0.0572+0.0398+0.0473)/3</f>
        <v>4.8100000000000004E-2</v>
      </c>
      <c r="H11" s="81">
        <f>0.2894-F11</f>
        <v>0.23893333333333333</v>
      </c>
      <c r="I11" s="82">
        <f>0.298-F11</f>
        <v>0.24753333333333333</v>
      </c>
      <c r="J11" s="82">
        <f>0.197-G11</f>
        <v>0.1489</v>
      </c>
      <c r="K11" s="82">
        <f>0.2052-G11</f>
        <v>0.15709999999999999</v>
      </c>
      <c r="L11" s="68">
        <f t="shared" si="0"/>
        <v>2.4124608319827118E-2</v>
      </c>
      <c r="M11" s="68">
        <f t="shared" si="1"/>
        <v>2.4714397622906534E-2</v>
      </c>
      <c r="N11" s="82">
        <f t="shared" si="2"/>
        <v>2.4419502971366826E-2</v>
      </c>
      <c r="O11" s="82">
        <f>'Growth curves CeBER'!I10</f>
        <v>0.46992540000000005</v>
      </c>
      <c r="P11" s="82">
        <f t="shared" si="3"/>
        <v>0.5796059883600001</v>
      </c>
      <c r="Q11" s="83">
        <f t="shared" si="6"/>
        <v>5.7960598836000014E-4</v>
      </c>
      <c r="R11" s="84">
        <f t="shared" si="4"/>
        <v>21.065606171928977</v>
      </c>
      <c r="S11" s="85"/>
      <c r="T11" s="86"/>
      <c r="U11" s="86"/>
      <c r="V11" s="70">
        <f t="shared" si="5"/>
        <v>12.209751485683412</v>
      </c>
      <c r="W11" s="102"/>
      <c r="X11" s="70"/>
      <c r="Y11" s="70"/>
      <c r="Z11" s="70">
        <f t="shared" ref="Z11:Z53" si="7">(V11-$V$5)/(D11-$D$5)</f>
        <v>9.2318097768272309E-2</v>
      </c>
      <c r="AA11" s="102"/>
      <c r="AB11" s="103"/>
      <c r="AD11" s="87">
        <f>D23</f>
        <v>142.5</v>
      </c>
      <c r="AE11" s="70">
        <f>S25</f>
        <v>31.549644988607536</v>
      </c>
      <c r="AF11" s="70">
        <f>U25</f>
        <v>4.9023823907891648</v>
      </c>
      <c r="AG11" s="70">
        <f>W25</f>
        <v>66.964840937331147</v>
      </c>
      <c r="AH11" s="70">
        <f>Y25</f>
        <v>10.794317959505538</v>
      </c>
      <c r="AJ11" s="144"/>
      <c r="AK11" s="141"/>
      <c r="AL11" s="141"/>
      <c r="AN11" s="141"/>
      <c r="AO11" s="141"/>
      <c r="AP11" s="141"/>
    </row>
    <row r="12" spans="1:42" x14ac:dyDescent="0.15">
      <c r="A12" s="66"/>
      <c r="B12" s="215"/>
      <c r="C12" s="198"/>
      <c r="D12" s="218"/>
      <c r="E12" s="120" t="s">
        <v>111</v>
      </c>
      <c r="F12" s="221"/>
      <c r="G12" s="224"/>
      <c r="H12" s="69">
        <f>0.3237-F11</f>
        <v>0.27323333333333333</v>
      </c>
      <c r="I12" s="68">
        <f>0.3253-F11</f>
        <v>0.27483333333333332</v>
      </c>
      <c r="J12" s="68">
        <f>0.2141-G11</f>
        <v>0.16600000000000001</v>
      </c>
      <c r="K12" s="68">
        <f>0.214-G11</f>
        <v>0.16589999999999999</v>
      </c>
      <c r="L12" s="68">
        <f t="shared" si="0"/>
        <v>2.8007023230686112E-2</v>
      </c>
      <c r="M12" s="68">
        <f t="shared" si="1"/>
        <v>2.8276148028092921E-2</v>
      </c>
      <c r="N12" s="68">
        <f t="shared" si="2"/>
        <v>2.8141585629389516E-2</v>
      </c>
      <c r="O12" s="68">
        <f>'Growth curves CeBER'!J10</f>
        <v>0.40825540000000005</v>
      </c>
      <c r="P12" s="68">
        <f t="shared" si="3"/>
        <v>0.50354221036000013</v>
      </c>
      <c r="Q12" s="99">
        <f t="shared" si="6"/>
        <v>5.0354221036000009E-4</v>
      </c>
      <c r="R12" s="100">
        <f t="shared" si="4"/>
        <v>27.943621259943733</v>
      </c>
      <c r="S12" s="101"/>
      <c r="T12" s="70"/>
      <c r="U12" s="70"/>
      <c r="V12" s="70">
        <f t="shared" si="5"/>
        <v>14.070792814694759</v>
      </c>
      <c r="W12" s="102"/>
      <c r="X12" s="70"/>
      <c r="Y12" s="70"/>
      <c r="Z12" s="70">
        <f>(V12-$V$6)/(D11-$D$5)</f>
        <v>0.11213421833837377</v>
      </c>
      <c r="AA12" s="102"/>
      <c r="AB12" s="103"/>
      <c r="AD12" s="87">
        <f>D26</f>
        <v>192.5</v>
      </c>
      <c r="AE12" s="70">
        <f>S28</f>
        <v>37.863036390943627</v>
      </c>
      <c r="AF12" s="70">
        <f>U28</f>
        <v>3.4314020178259015</v>
      </c>
      <c r="AG12" s="70">
        <f>W28</f>
        <v>98.040383576445166</v>
      </c>
      <c r="AH12" s="70">
        <f>Y28</f>
        <v>13.014502746412953</v>
      </c>
      <c r="AJ12" s="144"/>
      <c r="AK12" s="141"/>
      <c r="AL12" s="141"/>
      <c r="AN12" s="141"/>
      <c r="AO12" s="141"/>
      <c r="AP12" s="141"/>
    </row>
    <row r="13" spans="1:42" x14ac:dyDescent="0.15">
      <c r="A13" s="66"/>
      <c r="B13" s="216"/>
      <c r="C13" s="199"/>
      <c r="D13" s="219"/>
      <c r="E13" s="151" t="s">
        <v>112</v>
      </c>
      <c r="F13" s="222"/>
      <c r="G13" s="225"/>
      <c r="H13" s="73">
        <f>0.3245-F11</f>
        <v>0.27403333333333335</v>
      </c>
      <c r="I13" s="74">
        <f>0.3405-F11</f>
        <v>0.29003333333333337</v>
      </c>
      <c r="J13" s="74">
        <f>0.2194-G11</f>
        <v>0.17130000000000001</v>
      </c>
      <c r="K13" s="74">
        <f>0.2348-G11</f>
        <v>0.1867</v>
      </c>
      <c r="L13" s="68">
        <f t="shared" si="0"/>
        <v>2.7616990815775257E-2</v>
      </c>
      <c r="M13" s="68">
        <f t="shared" si="1"/>
        <v>2.8700135062128589E-2</v>
      </c>
      <c r="N13" s="74">
        <f t="shared" si="2"/>
        <v>2.8158562938951921E-2</v>
      </c>
      <c r="O13" s="74">
        <f>'Growth curves CeBER'!K10</f>
        <v>0.48719300000000004</v>
      </c>
      <c r="P13" s="74">
        <f t="shared" si="3"/>
        <v>0.60090384620000004</v>
      </c>
      <c r="Q13" s="75">
        <f t="shared" si="6"/>
        <v>6.0090384620000001E-4</v>
      </c>
      <c r="R13" s="76">
        <f t="shared" si="4"/>
        <v>23.43017366007993</v>
      </c>
      <c r="S13" s="77">
        <f>AVERAGE(R11:R13)</f>
        <v>24.146467030650882</v>
      </c>
      <c r="T13" s="78">
        <f>STDEV(R11:R13)</f>
        <v>3.4945071229405769</v>
      </c>
      <c r="U13" s="78">
        <f>T13/SQRT(3)</f>
        <v>2.0175546281148069</v>
      </c>
      <c r="V13" s="78">
        <f t="shared" si="5"/>
        <v>14.079281469475962</v>
      </c>
      <c r="W13" s="77">
        <f>AVERAGE(V11:V13)</f>
        <v>13.453275256618044</v>
      </c>
      <c r="X13" s="78">
        <f>STDEV(V11:V13)</f>
        <v>1.0769315395950729</v>
      </c>
      <c r="Y13" s="78">
        <f>X13/SQRT(3)</f>
        <v>0.62176671428401353</v>
      </c>
      <c r="Z13" s="78">
        <f>(V13-$V$7)/(D11-$D$5)</f>
        <v>0.11494608654001465</v>
      </c>
      <c r="AA13" s="77">
        <f>AVERAGE(Z11:Z13)</f>
        <v>0.10646613421555358</v>
      </c>
      <c r="AB13" s="135">
        <f>STDEV(Z11:Z13)/SQRT(3)</f>
        <v>7.1204366013386446E-3</v>
      </c>
      <c r="AD13" s="87">
        <f>D29</f>
        <v>215.5</v>
      </c>
      <c r="AE13" s="70">
        <f>S31</f>
        <v>39.634715114721132</v>
      </c>
      <c r="AF13" s="70">
        <f>U31</f>
        <v>2.5220761600409483</v>
      </c>
      <c r="AG13" s="70">
        <f>W31</f>
        <v>115.07516207455427</v>
      </c>
      <c r="AH13" s="70">
        <f>Y31</f>
        <v>15.541823570894737</v>
      </c>
      <c r="AJ13" s="144"/>
      <c r="AK13" s="141"/>
      <c r="AL13" s="141"/>
      <c r="AN13" s="141"/>
      <c r="AO13" s="141"/>
      <c r="AP13" s="141"/>
    </row>
    <row r="14" spans="1:42" x14ac:dyDescent="0.15">
      <c r="A14" s="66"/>
      <c r="B14" s="214" t="s">
        <v>11</v>
      </c>
      <c r="C14" s="197">
        <v>0.50694444444444442</v>
      </c>
      <c r="D14" s="217">
        <f>D11+24</f>
        <v>72.5</v>
      </c>
      <c r="E14" s="120" t="s">
        <v>110</v>
      </c>
      <c r="F14" s="220">
        <v>4.9299999999999997E-2</v>
      </c>
      <c r="G14" s="223">
        <v>4.7100000000000003E-2</v>
      </c>
      <c r="H14" s="81">
        <f>0.2798-F14</f>
        <v>0.23049999999999998</v>
      </c>
      <c r="I14" s="82">
        <f>0.3137-F14</f>
        <v>0.26439999999999997</v>
      </c>
      <c r="J14" s="82">
        <f>0.1998-G14</f>
        <v>0.1527</v>
      </c>
      <c r="K14" s="82">
        <f>0.2323-G14</f>
        <v>0.1852</v>
      </c>
      <c r="L14" s="68">
        <f t="shared" si="0"/>
        <v>2.2385170178282007E-2</v>
      </c>
      <c r="M14" s="68">
        <f t="shared" si="1"/>
        <v>2.4692706645056725E-2</v>
      </c>
      <c r="N14" s="82">
        <f t="shared" si="2"/>
        <v>2.3538938411669368E-2</v>
      </c>
      <c r="O14" s="82">
        <f>'Growth curves CeBER'!I11</f>
        <v>0.72647260000000002</v>
      </c>
      <c r="P14" s="82">
        <f t="shared" si="3"/>
        <v>0.89603130484000004</v>
      </c>
      <c r="Q14" s="83">
        <f>O14*0.5/1000</f>
        <v>3.6323630000000001E-4</v>
      </c>
      <c r="R14" s="84">
        <f t="shared" si="4"/>
        <v>32.401687842968016</v>
      </c>
      <c r="S14" s="85"/>
      <c r="T14" s="86"/>
      <c r="U14" s="86"/>
      <c r="V14" s="70">
        <f t="shared" si="5"/>
        <v>29.032926636952997</v>
      </c>
      <c r="W14" s="102"/>
      <c r="X14" s="70"/>
      <c r="Y14" s="70"/>
      <c r="Z14" s="70">
        <f t="shared" si="7"/>
        <v>0.29380141921421782</v>
      </c>
      <c r="AA14" s="102"/>
      <c r="AB14" s="103"/>
      <c r="AD14" s="87">
        <f>D32</f>
        <v>238.5</v>
      </c>
      <c r="AE14" s="70">
        <f>S34</f>
        <v>35.668274682996781</v>
      </c>
      <c r="AF14" s="70">
        <f>U34</f>
        <v>1.9998977186975031</v>
      </c>
      <c r="AG14" s="70">
        <f>W34</f>
        <v>119.87554024851431</v>
      </c>
      <c r="AH14" s="70">
        <f>Y34</f>
        <v>10.536220352745431</v>
      </c>
      <c r="AJ14" s="144"/>
      <c r="AK14" s="141"/>
      <c r="AL14" s="141"/>
      <c r="AN14" s="141"/>
      <c r="AO14" s="141"/>
      <c r="AP14" s="141"/>
    </row>
    <row r="15" spans="1:42" x14ac:dyDescent="0.15">
      <c r="A15" s="66"/>
      <c r="B15" s="215"/>
      <c r="C15" s="198"/>
      <c r="D15" s="218"/>
      <c r="E15" s="120" t="s">
        <v>111</v>
      </c>
      <c r="F15" s="221"/>
      <c r="G15" s="224"/>
      <c r="H15" s="69">
        <f>0.2583-F14</f>
        <v>0.20899999999999996</v>
      </c>
      <c r="I15" s="68">
        <f>0.2742-F14</f>
        <v>0.22489999999999999</v>
      </c>
      <c r="J15" s="68">
        <f>0.1771-G14</f>
        <v>0.13</v>
      </c>
      <c r="K15" s="68">
        <f>0.1895-G14</f>
        <v>0.1424</v>
      </c>
      <c r="L15" s="68">
        <f t="shared" si="0"/>
        <v>2.1126418152350075E-2</v>
      </c>
      <c r="M15" s="68">
        <f t="shared" si="1"/>
        <v>2.2487520259319285E-2</v>
      </c>
      <c r="N15" s="68">
        <f t="shared" si="2"/>
        <v>2.1806969205834678E-2</v>
      </c>
      <c r="O15" s="68">
        <f>'Growth curves CeBER'!J11</f>
        <v>0.56119700000000006</v>
      </c>
      <c r="P15" s="68">
        <f t="shared" si="3"/>
        <v>0.69218037980000013</v>
      </c>
      <c r="Q15" s="99">
        <f>O15*0.5/1000</f>
        <v>2.8059850000000002E-4</v>
      </c>
      <c r="R15" s="100">
        <f t="shared" si="4"/>
        <v>38.857957554717288</v>
      </c>
      <c r="S15" s="101"/>
      <c r="T15" s="70"/>
      <c r="U15" s="70"/>
      <c r="V15" s="70">
        <f t="shared" si="5"/>
        <v>26.896715818476498</v>
      </c>
      <c r="W15" s="102"/>
      <c r="X15" s="70"/>
      <c r="Y15" s="70"/>
      <c r="Z15" s="70">
        <f>(V15-$V$6)/(D14-$D$5)</f>
        <v>0.25192320818197056</v>
      </c>
      <c r="AA15" s="102"/>
      <c r="AB15" s="103"/>
      <c r="AD15" s="87">
        <f>D35</f>
        <v>262.5</v>
      </c>
      <c r="AE15" s="70">
        <f>S37</f>
        <v>36.317441700521186</v>
      </c>
      <c r="AF15" s="70">
        <f>U37</f>
        <v>0.62137515968390189</v>
      </c>
      <c r="AG15" s="70">
        <f>W37</f>
        <v>126.66819737079057</v>
      </c>
      <c r="AH15" s="70">
        <f>Y37</f>
        <v>8.6216224814732918</v>
      </c>
      <c r="AJ15" s="144"/>
      <c r="AK15" s="141"/>
      <c r="AL15" s="141"/>
      <c r="AN15" s="141"/>
      <c r="AO15" s="141"/>
      <c r="AP15" s="141"/>
    </row>
    <row r="16" spans="1:42" x14ac:dyDescent="0.15">
      <c r="A16" s="66"/>
      <c r="B16" s="216"/>
      <c r="C16" s="199"/>
      <c r="D16" s="219"/>
      <c r="E16" s="151" t="s">
        <v>112</v>
      </c>
      <c r="F16" s="222"/>
      <c r="G16" s="225"/>
      <c r="H16" s="73">
        <f>0.347-F14</f>
        <v>0.29769999999999996</v>
      </c>
      <c r="I16" s="74">
        <f>0.3622-F14</f>
        <v>0.31290000000000001</v>
      </c>
      <c r="J16" s="74">
        <f>0.2443-G14</f>
        <v>0.19719999999999999</v>
      </c>
      <c r="K16" s="74">
        <f>0.2588-G14</f>
        <v>0.21169999999999997</v>
      </c>
      <c r="L16" s="68">
        <f t="shared" si="0"/>
        <v>2.8913128038897892E-2</v>
      </c>
      <c r="M16" s="68">
        <f t="shared" si="1"/>
        <v>2.9954862236628854E-2</v>
      </c>
      <c r="N16" s="74">
        <f t="shared" si="2"/>
        <v>2.9433995137763375E-2</v>
      </c>
      <c r="O16" s="74">
        <f>'Growth curves CeBER'!K11</f>
        <v>0.77334180000000008</v>
      </c>
      <c r="P16" s="74">
        <f t="shared" si="3"/>
        <v>0.95383977612000015</v>
      </c>
      <c r="Q16" s="75">
        <f>O16*0.5/1000</f>
        <v>3.8667090000000002E-4</v>
      </c>
      <c r="R16" s="76">
        <f t="shared" si="4"/>
        <v>38.060783909215012</v>
      </c>
      <c r="S16" s="77">
        <f>AVERAGE(R14:R16)</f>
        <v>36.440143102300105</v>
      </c>
      <c r="T16" s="78">
        <f>STDEV(R14:R16)</f>
        <v>3.5200443344496537</v>
      </c>
      <c r="U16" s="78">
        <f>T16/SQRT(3)</f>
        <v>2.032298544053925</v>
      </c>
      <c r="V16" s="78">
        <f t="shared" si="5"/>
        <v>36.303889602917351</v>
      </c>
      <c r="W16" s="77">
        <f>AVERAGE(V14:V16)</f>
        <v>30.744510686115614</v>
      </c>
      <c r="X16" s="78">
        <f>STDEV(V14:V16)</f>
        <v>4.9316193710259997</v>
      </c>
      <c r="Y16" s="78">
        <f>X16/SQRT(3)</f>
        <v>2.8472717714026339</v>
      </c>
      <c r="Z16" s="78">
        <f>(V16-$V$7)/(D14-$D$5)</f>
        <v>0.38344128731906346</v>
      </c>
      <c r="AA16" s="77">
        <f>AVERAGE(Z14:Z16)</f>
        <v>0.30972197157175063</v>
      </c>
      <c r="AB16" s="135">
        <f>STDEV(Z14:Z16)/SQRT(3)</f>
        <v>3.8791533764918215E-2</v>
      </c>
      <c r="AD16" s="87">
        <f>D38</f>
        <v>286.5</v>
      </c>
      <c r="AE16" s="70">
        <f>S40</f>
        <v>33.433151095120522</v>
      </c>
      <c r="AF16" s="70">
        <f>U40</f>
        <v>6.2499254090600358</v>
      </c>
      <c r="AG16" s="70">
        <f>W40</f>
        <v>117.52647217720151</v>
      </c>
      <c r="AH16" s="70">
        <f>Y40</f>
        <v>19.450284538841487</v>
      </c>
      <c r="AJ16" s="144"/>
      <c r="AK16" s="141"/>
      <c r="AL16" s="141"/>
      <c r="AN16" s="141"/>
      <c r="AO16" s="141"/>
      <c r="AP16" s="141"/>
    </row>
    <row r="17" spans="1:42" x14ac:dyDescent="0.15">
      <c r="A17" s="66"/>
      <c r="B17" s="214" t="s">
        <v>12</v>
      </c>
      <c r="C17" s="197">
        <v>0.44444444444444442</v>
      </c>
      <c r="D17" s="217">
        <f>22.5+D14</f>
        <v>95</v>
      </c>
      <c r="E17" s="120" t="s">
        <v>110</v>
      </c>
      <c r="F17" s="220">
        <v>5.3699999999999998E-2</v>
      </c>
      <c r="G17" s="223">
        <v>5.0900000000000001E-2</v>
      </c>
      <c r="H17" s="81">
        <f>0.2593-F17</f>
        <v>0.20559999999999998</v>
      </c>
      <c r="I17" s="82">
        <f>0.248-F17</f>
        <v>0.1943</v>
      </c>
      <c r="J17" s="82">
        <f>0.1865-G17</f>
        <v>0.1356</v>
      </c>
      <c r="K17" s="82">
        <f>0.1812-G17</f>
        <v>0.1303</v>
      </c>
      <c r="L17" s="68">
        <f t="shared" si="0"/>
        <v>2.0026256077795783E-2</v>
      </c>
      <c r="M17" s="68">
        <f t="shared" si="1"/>
        <v>1.8714505672609402E-2</v>
      </c>
      <c r="N17" s="82">
        <f t="shared" si="2"/>
        <v>1.937038087520259E-2</v>
      </c>
      <c r="O17" s="82">
        <f>'Growth curves CeBER'!I12</f>
        <v>1.0015208000000002</v>
      </c>
      <c r="P17" s="82">
        <f t="shared" si="3"/>
        <v>1.2352757547200004</v>
      </c>
      <c r="Q17" s="83">
        <f>O17*0.25/1000</f>
        <v>2.5038020000000004E-4</v>
      </c>
      <c r="R17" s="84">
        <f t="shared" si="4"/>
        <v>38.681934264775307</v>
      </c>
      <c r="S17" s="90"/>
      <c r="T17" s="89"/>
      <c r="U17" s="89"/>
      <c r="V17" s="70">
        <f t="shared" si="5"/>
        <v>47.782855542949761</v>
      </c>
      <c r="W17" s="102"/>
      <c r="X17" s="70"/>
      <c r="Y17" s="70"/>
      <c r="Z17" s="70">
        <f t="shared" si="7"/>
        <v>0.42158454525292161</v>
      </c>
      <c r="AA17" s="102"/>
      <c r="AB17" s="103"/>
      <c r="AD17" s="87">
        <f>D41</f>
        <v>309.5</v>
      </c>
      <c r="AE17" s="70">
        <f>S43</f>
        <v>43.715785027031906</v>
      </c>
      <c r="AF17" s="70">
        <f>U43</f>
        <v>3.5677010672929246</v>
      </c>
      <c r="AG17" s="70">
        <f>W43</f>
        <v>165.59373311723394</v>
      </c>
      <c r="AH17" s="70">
        <f>Y43</f>
        <v>19.48164201587003</v>
      </c>
      <c r="AJ17" s="144"/>
      <c r="AK17" s="141"/>
      <c r="AL17" s="141"/>
      <c r="AN17" s="141"/>
      <c r="AO17" s="141"/>
      <c r="AP17" s="141"/>
    </row>
    <row r="18" spans="1:42" ht="15" customHeight="1" x14ac:dyDescent="0.15">
      <c r="A18" s="66"/>
      <c r="B18" s="215"/>
      <c r="C18" s="198"/>
      <c r="D18" s="218"/>
      <c r="E18" s="120" t="s">
        <v>111</v>
      </c>
      <c r="F18" s="221"/>
      <c r="G18" s="224"/>
      <c r="H18" s="69">
        <f>0.1902-F17</f>
        <v>0.13650000000000001</v>
      </c>
      <c r="I18" s="68">
        <f>0.1927-F17</f>
        <v>0.13900000000000001</v>
      </c>
      <c r="J18" s="68">
        <f>0.1379-G17</f>
        <v>8.6999999999999994E-2</v>
      </c>
      <c r="K18" s="68">
        <f>0.14-G17</f>
        <v>8.9100000000000013E-2</v>
      </c>
      <c r="L18" s="68">
        <f t="shared" si="0"/>
        <v>1.359238249594814E-2</v>
      </c>
      <c r="M18" s="68">
        <f t="shared" si="1"/>
        <v>1.3791653160453809E-2</v>
      </c>
      <c r="N18" s="68">
        <f t="shared" si="2"/>
        <v>1.3692017828200974E-2</v>
      </c>
      <c r="O18" s="68">
        <f>'Growth curves CeBER'!J12</f>
        <v>0.68207020000000007</v>
      </c>
      <c r="P18" s="68">
        <f t="shared" si="3"/>
        <v>0.84126538468000012</v>
      </c>
      <c r="Q18" s="99">
        <f>O18*0.25/1000</f>
        <v>1.7051755000000002E-4</v>
      </c>
      <c r="R18" s="100">
        <f t="shared" si="4"/>
        <v>40.148412372219084</v>
      </c>
      <c r="S18" s="101"/>
      <c r="V18" s="70">
        <f t="shared" si="5"/>
        <v>33.775469578606163</v>
      </c>
      <c r="W18" s="102"/>
      <c r="X18" s="70"/>
      <c r="Y18" s="70"/>
      <c r="Z18" s="70">
        <f>(V18-$V$6)/(D17-$D$5)</f>
        <v>0.26466511950865823</v>
      </c>
      <c r="AA18" s="102"/>
      <c r="AB18" s="103"/>
      <c r="AD18" s="87">
        <f>D44</f>
        <v>335.5</v>
      </c>
      <c r="AE18" s="70">
        <f>S46</f>
        <v>44.437041158468027</v>
      </c>
      <c r="AF18" s="70">
        <f>U46</f>
        <v>2.3194404044419552</v>
      </c>
      <c r="AG18" s="70">
        <f>W46</f>
        <v>179.92553574644333</v>
      </c>
      <c r="AH18" s="70">
        <f>Y46</f>
        <v>13.151101542053201</v>
      </c>
      <c r="AJ18" s="141"/>
      <c r="AK18" s="141"/>
      <c r="AL18" s="141"/>
      <c r="AN18" s="141"/>
      <c r="AO18" s="141"/>
      <c r="AP18" s="141"/>
    </row>
    <row r="19" spans="1:42" ht="15" customHeight="1" x14ac:dyDescent="0.15">
      <c r="A19" s="66"/>
      <c r="B19" s="216"/>
      <c r="C19" s="199"/>
      <c r="D19" s="219"/>
      <c r="E19" s="151" t="s">
        <v>112</v>
      </c>
      <c r="F19" s="222"/>
      <c r="G19" s="225"/>
      <c r="H19" s="73">
        <f>0.2893-F17</f>
        <v>0.2356</v>
      </c>
      <c r="I19" s="74">
        <f>0.2897-F17</f>
        <v>0.23600000000000002</v>
      </c>
      <c r="J19" s="74">
        <f>0.198-G17</f>
        <v>0.14710000000000001</v>
      </c>
      <c r="K19" s="74">
        <f>0.1972-G17</f>
        <v>0.14629999999999999</v>
      </c>
      <c r="L19" s="68">
        <f t="shared" si="0"/>
        <v>2.3760858995137763E-2</v>
      </c>
      <c r="M19" s="68">
        <f t="shared" si="1"/>
        <v>2.3904132901134526E-2</v>
      </c>
      <c r="N19" s="74">
        <f t="shared" si="2"/>
        <v>2.3832495948136145E-2</v>
      </c>
      <c r="O19" s="74">
        <f>'Growth curves CeBER'!K12</f>
        <v>0.97068580000000004</v>
      </c>
      <c r="P19" s="74">
        <f t="shared" si="3"/>
        <v>1.1972438657200002</v>
      </c>
      <c r="Q19" s="75">
        <f>O19*0.25/1000</f>
        <v>2.4267145000000001E-4</v>
      </c>
      <c r="R19" s="76">
        <f t="shared" si="4"/>
        <v>49.10444955130928</v>
      </c>
      <c r="S19" s="77">
        <f>AVERAGE(R17:R19)</f>
        <v>42.644932062767886</v>
      </c>
      <c r="T19" s="78">
        <f>STDEV(R17:R19)</f>
        <v>5.6419557024565608</v>
      </c>
      <c r="U19" s="78">
        <f>T19/SQRT(3)</f>
        <v>3.2573846435692397</v>
      </c>
      <c r="V19" s="78">
        <f t="shared" si="5"/>
        <v>58.790001004862248</v>
      </c>
      <c r="W19" s="77">
        <f>AVERAGE(V17:V19)</f>
        <v>46.782775375472717</v>
      </c>
      <c r="X19" s="78">
        <f>STDEV(V17:V19)</f>
        <v>12.537217230104321</v>
      </c>
      <c r="Y19" s="78">
        <f>X19/SQRT(3)</f>
        <v>7.2383657426895445</v>
      </c>
      <c r="Z19" s="78">
        <f>(V19-$V$7)/(D17-$D$5)</f>
        <v>0.52932215507975788</v>
      </c>
      <c r="AA19" s="77">
        <f>AVERAGE(Z17:Z19)</f>
        <v>0.4051906066137792</v>
      </c>
      <c r="AB19" s="135">
        <f>STDEV(Z17:Z19)/SQRT(3)</f>
        <v>7.6838374825340477E-2</v>
      </c>
      <c r="AD19" s="87">
        <f>D47</f>
        <v>360.5</v>
      </c>
      <c r="AE19" s="70">
        <f>S49</f>
        <v>42.891356706665988</v>
      </c>
      <c r="AF19" s="70">
        <f>U49</f>
        <v>3.1405172981301304</v>
      </c>
      <c r="AG19" s="70">
        <f>W49</f>
        <v>193.8436880965244</v>
      </c>
      <c r="AH19" s="70">
        <f>Y49</f>
        <v>15.49278314412269</v>
      </c>
      <c r="AJ19" s="143"/>
      <c r="AK19" s="141"/>
      <c r="AL19" s="141"/>
      <c r="AN19" s="141"/>
      <c r="AO19" s="141"/>
      <c r="AP19" s="141"/>
    </row>
    <row r="20" spans="1:42" x14ac:dyDescent="0.15">
      <c r="A20" s="66"/>
      <c r="B20" s="214" t="s">
        <v>13</v>
      </c>
      <c r="C20" s="197">
        <v>0.40972222222222227</v>
      </c>
      <c r="D20" s="217">
        <f>23.5+D17</f>
        <v>118.5</v>
      </c>
      <c r="E20" s="120" t="s">
        <v>110</v>
      </c>
      <c r="F20" s="220">
        <f>(0.0493+0.0476)/2</f>
        <v>4.845E-2</v>
      </c>
      <c r="G20" s="223">
        <f>(0.0481+0.0467)/2</f>
        <v>4.7399999999999998E-2</v>
      </c>
      <c r="H20" s="69">
        <f>0.1657-F20</f>
        <v>0.11724999999999999</v>
      </c>
      <c r="I20" s="68">
        <f>0.1846-F20</f>
        <v>0.13614999999999999</v>
      </c>
      <c r="J20" s="68">
        <f>0.1203-G20</f>
        <v>7.2900000000000006E-2</v>
      </c>
      <c r="K20" s="68">
        <f>0.1393-G20</f>
        <v>9.1900000000000009E-2</v>
      </c>
      <c r="L20" s="68">
        <f t="shared" si="0"/>
        <v>1.1855024311183142E-2</v>
      </c>
      <c r="M20" s="68">
        <f t="shared" si="1"/>
        <v>1.3055186385737438E-2</v>
      </c>
      <c r="N20" s="68">
        <f t="shared" si="2"/>
        <v>1.2455105348460289E-2</v>
      </c>
      <c r="O20" s="68">
        <f>'Growth curves CeBER'!I13</f>
        <v>1.3715408000000002</v>
      </c>
      <c r="P20" s="68">
        <f t="shared" si="3"/>
        <v>1.6916584227200004</v>
      </c>
      <c r="Q20" s="99">
        <f t="shared" ref="Q20:Q25" si="8">O20*0.1/1000</f>
        <v>1.3715408000000004E-4</v>
      </c>
      <c r="R20" s="100">
        <f t="shared" si="4"/>
        <v>45.405522564331612</v>
      </c>
      <c r="S20" s="101"/>
      <c r="V20" s="70">
        <f t="shared" si="5"/>
        <v>76.810634683954603</v>
      </c>
      <c r="W20" s="102"/>
      <c r="X20" s="70"/>
      <c r="Y20" s="70"/>
      <c r="Z20" s="70">
        <f t="shared" si="7"/>
        <v>0.58293933282727761</v>
      </c>
      <c r="AA20" s="102"/>
      <c r="AB20" s="103"/>
      <c r="AD20" s="87">
        <f>D50</f>
        <v>385.5</v>
      </c>
      <c r="AE20" s="70">
        <f>S52</f>
        <v>37.960129510551873</v>
      </c>
      <c r="AF20" s="70">
        <f>U52</f>
        <v>5.5613256688104427</v>
      </c>
      <c r="AG20" s="70">
        <f>W52</f>
        <v>188.7339276066991</v>
      </c>
      <c r="AH20" s="70">
        <f>Y52</f>
        <v>28.620042797704802</v>
      </c>
      <c r="AJ20" s="141"/>
      <c r="AK20" s="141"/>
      <c r="AL20" s="141"/>
      <c r="AN20" s="141"/>
      <c r="AO20" s="141"/>
      <c r="AP20" s="141"/>
    </row>
    <row r="21" spans="1:42" x14ac:dyDescent="0.15">
      <c r="A21" s="66"/>
      <c r="B21" s="215"/>
      <c r="C21" s="198"/>
      <c r="D21" s="218"/>
      <c r="E21" s="120" t="s">
        <v>111</v>
      </c>
      <c r="F21" s="221"/>
      <c r="G21" s="224"/>
      <c r="H21" s="69">
        <f>0.1363-F20</f>
        <v>8.7850000000000011E-2</v>
      </c>
      <c r="I21" s="68">
        <f>0.1337-F20</f>
        <v>8.525000000000002E-2</v>
      </c>
      <c r="J21" s="68">
        <f>0.1073-G20</f>
        <v>5.9900000000000009E-2</v>
      </c>
      <c r="K21" s="68">
        <f>0.1056-G20</f>
        <v>5.8200000000000002E-2</v>
      </c>
      <c r="L21" s="68">
        <f t="shared" si="0"/>
        <v>8.3647487844408439E-3</v>
      </c>
      <c r="M21" s="68">
        <f t="shared" si="1"/>
        <v>8.1100486223662921E-3</v>
      </c>
      <c r="N21" s="68">
        <f t="shared" si="2"/>
        <v>8.237398703403568E-3</v>
      </c>
      <c r="O21" s="68">
        <f>'Growth curves CeBER'!J13</f>
        <v>0.88681460000000001</v>
      </c>
      <c r="P21" s="68">
        <f t="shared" si="3"/>
        <v>1.09379712764</v>
      </c>
      <c r="Q21" s="99">
        <f t="shared" si="8"/>
        <v>8.8681460000000005E-5</v>
      </c>
      <c r="R21" s="100">
        <f t="shared" si="4"/>
        <v>46.443747675126048</v>
      </c>
      <c r="S21" s="101"/>
      <c r="V21" s="70">
        <f t="shared" si="5"/>
        <v>50.800037803889801</v>
      </c>
      <c r="W21" s="102"/>
      <c r="X21" s="70"/>
      <c r="Y21" s="70"/>
      <c r="Z21" s="70">
        <f>(V21-$V$6)/(D20-$D$5)</f>
        <v>0.35584603019920819</v>
      </c>
      <c r="AA21" s="102"/>
      <c r="AB21" s="103"/>
      <c r="AD21" s="87">
        <f>D53</f>
        <v>407.5</v>
      </c>
      <c r="AE21" s="70">
        <f>S55</f>
        <v>47.055452868688349</v>
      </c>
      <c r="AF21" s="70">
        <f>U55</f>
        <v>5.5767278682998933</v>
      </c>
      <c r="AG21" s="70">
        <f>W55</f>
        <v>237.11813434179726</v>
      </c>
      <c r="AH21" s="70">
        <f>Y55</f>
        <v>20.388179810175487</v>
      </c>
      <c r="AJ21" s="141"/>
      <c r="AK21" s="141"/>
      <c r="AL21" s="141"/>
      <c r="AN21" s="141"/>
      <c r="AO21" s="141"/>
      <c r="AP21" s="141"/>
    </row>
    <row r="22" spans="1:42" x14ac:dyDescent="0.2">
      <c r="A22" s="66"/>
      <c r="B22" s="216"/>
      <c r="C22" s="199"/>
      <c r="D22" s="219"/>
      <c r="E22" s="151" t="s">
        <v>112</v>
      </c>
      <c r="F22" s="222"/>
      <c r="G22" s="225"/>
      <c r="H22" s="73">
        <f>0.1735-F20</f>
        <v>0.12504999999999999</v>
      </c>
      <c r="I22" s="74">
        <f>0.1711-F20</f>
        <v>0.12265000000000001</v>
      </c>
      <c r="J22" s="74">
        <f>0.1316-G20</f>
        <v>8.4199999999999997E-2</v>
      </c>
      <c r="K22" s="74">
        <f>0.1303-G20</f>
        <v>8.2900000000000001E-2</v>
      </c>
      <c r="L22" s="68">
        <f t="shared" si="0"/>
        <v>1.2011183144246353E-2</v>
      </c>
      <c r="M22" s="68">
        <f t="shared" si="1"/>
        <v>1.1749675850891414E-2</v>
      </c>
      <c r="N22" s="74">
        <f t="shared" si="2"/>
        <v>1.1880429497568883E-2</v>
      </c>
      <c r="O22" s="74">
        <f>'Growth curves CeBER'!K13</f>
        <v>1.1914644000000001</v>
      </c>
      <c r="P22" s="74">
        <f t="shared" si="3"/>
        <v>1.4695521909600002</v>
      </c>
      <c r="Q22" s="75">
        <f t="shared" si="8"/>
        <v>1.1914644000000002E-4</v>
      </c>
      <c r="R22" s="76">
        <f t="shared" si="4"/>
        <v>49.85641827640373</v>
      </c>
      <c r="S22" s="77">
        <f>AVERAGE(R20:R22)</f>
        <v>47.23522950528713</v>
      </c>
      <c r="T22" s="78">
        <f>STDEV(R20:R22)</f>
        <v>2.328615634994716</v>
      </c>
      <c r="U22" s="78">
        <f>T22/SQRT(3)</f>
        <v>1.3444268637033707</v>
      </c>
      <c r="V22" s="78">
        <f t="shared" si="5"/>
        <v>73.266608711507303</v>
      </c>
      <c r="W22" s="77">
        <f>AVERAGE(V20:V22)</f>
        <v>66.959093733117228</v>
      </c>
      <c r="X22" s="78">
        <f>STDEV(V20:V22)</f>
        <v>14.105897575704661</v>
      </c>
      <c r="Y22" s="78">
        <f>X22/SQRT(3)</f>
        <v>8.1440437624943769</v>
      </c>
      <c r="Z22" s="78">
        <f>(V22-$V$7)/(D20-$D$5)</f>
        <v>0.5465165606685406</v>
      </c>
      <c r="AA22" s="77">
        <f>AVERAGE(Z20:Z22)</f>
        <v>0.49510064123167546</v>
      </c>
      <c r="AB22" s="135">
        <f>STDEV(Z20:Z22)/SQRT(3)</f>
        <v>7.0416711092572776E-2</v>
      </c>
      <c r="AD22" s="87"/>
      <c r="AE22" s="70"/>
      <c r="AF22" s="70"/>
      <c r="AG22" s="70"/>
      <c r="AH22" s="70"/>
    </row>
    <row r="23" spans="1:42" x14ac:dyDescent="0.2">
      <c r="A23" s="66"/>
      <c r="B23" s="214" t="s">
        <v>30</v>
      </c>
      <c r="C23" s="197">
        <v>0.41666666666666669</v>
      </c>
      <c r="D23" s="217">
        <f>24+D20</f>
        <v>142.5</v>
      </c>
      <c r="E23" s="120" t="s">
        <v>110</v>
      </c>
      <c r="F23" s="220">
        <v>5.9400000000000001E-2</v>
      </c>
      <c r="G23" s="223">
        <v>5.7799999999999997E-2</v>
      </c>
      <c r="H23" s="81">
        <f>0.1478-F23</f>
        <v>8.8399999999999979E-2</v>
      </c>
      <c r="I23" s="82">
        <f>0.1599-F23</f>
        <v>0.10049999999999998</v>
      </c>
      <c r="J23" s="82">
        <f>0.1109-G23</f>
        <v>5.3100000000000001E-2</v>
      </c>
      <c r="K23" s="82">
        <f>0.1234-G23</f>
        <v>6.5599999999999992E-2</v>
      </c>
      <c r="L23" s="68">
        <f t="shared" si="0"/>
        <v>9.120664505672605E-3</v>
      </c>
      <c r="M23" s="68">
        <f t="shared" si="1"/>
        <v>9.8560777957860599E-3</v>
      </c>
      <c r="N23" s="82">
        <f t="shared" si="2"/>
        <v>9.4883711507293324E-3</v>
      </c>
      <c r="O23" s="82">
        <f>'Growth curves CeBER'!I14</f>
        <v>1.8229652000000001</v>
      </c>
      <c r="P23" s="82">
        <f t="shared" si="3"/>
        <v>2.2484452776800001</v>
      </c>
      <c r="Q23" s="83">
        <f t="shared" si="8"/>
        <v>1.8229652000000001E-4</v>
      </c>
      <c r="R23" s="84">
        <f t="shared" si="4"/>
        <v>26.024553707139695</v>
      </c>
      <c r="S23" s="90"/>
      <c r="T23" s="89"/>
      <c r="U23" s="89"/>
      <c r="V23" s="70">
        <f t="shared" si="5"/>
        <v>58.514784886547787</v>
      </c>
      <c r="W23" s="102"/>
      <c r="X23" s="70"/>
      <c r="Y23" s="70"/>
      <c r="Z23" s="70">
        <f t="shared" si="7"/>
        <v>0.35636814836930231</v>
      </c>
      <c r="AA23" s="102"/>
      <c r="AB23" s="103"/>
      <c r="AC23" s="70"/>
      <c r="AD23" s="70"/>
      <c r="AE23" s="70"/>
    </row>
    <row r="24" spans="1:42" x14ac:dyDescent="0.2">
      <c r="A24" s="66"/>
      <c r="B24" s="215"/>
      <c r="C24" s="198"/>
      <c r="D24" s="218"/>
      <c r="E24" s="120" t="s">
        <v>111</v>
      </c>
      <c r="F24" s="221"/>
      <c r="G24" s="224"/>
      <c r="H24" s="69">
        <f>0.1675-F23</f>
        <v>0.1081</v>
      </c>
      <c r="I24" s="68">
        <f>0.1485-F23</f>
        <v>8.9099999999999985E-2</v>
      </c>
      <c r="J24" s="68">
        <f>0.1406-G23</f>
        <v>8.2800000000000012E-2</v>
      </c>
      <c r="K24" s="68">
        <f>0.1224-G23</f>
        <v>6.4599999999999991E-2</v>
      </c>
      <c r="L24" s="68">
        <f t="shared" si="0"/>
        <v>9.4012965964343585E-3</v>
      </c>
      <c r="M24" s="68">
        <f t="shared" si="1"/>
        <v>8.1064829821717987E-3</v>
      </c>
      <c r="N24" s="68">
        <f t="shared" si="2"/>
        <v>8.7538897893030786E-3</v>
      </c>
      <c r="O24" s="68">
        <f>'Growth curves CeBER'!J14</f>
        <v>1.6034200000000001</v>
      </c>
      <c r="P24" s="68">
        <f t="shared" si="3"/>
        <v>1.9776582280000001</v>
      </c>
      <c r="Q24" s="99">
        <f t="shared" si="8"/>
        <v>1.60342E-4</v>
      </c>
      <c r="R24" s="100">
        <f t="shared" si="4"/>
        <v>27.29755706334921</v>
      </c>
      <c r="S24" s="101"/>
      <c r="V24" s="70">
        <f t="shared" si="5"/>
        <v>53.985238330632086</v>
      </c>
      <c r="W24" s="102"/>
      <c r="X24" s="70"/>
      <c r="Y24" s="70"/>
      <c r="Z24" s="70">
        <f>(V24-$V$7)/(D23-$D$5)</f>
        <v>0.31916380391822341</v>
      </c>
      <c r="AA24" s="102"/>
      <c r="AB24" s="103"/>
      <c r="AC24" s="70"/>
      <c r="AD24" s="70"/>
      <c r="AE24" s="70"/>
    </row>
    <row r="25" spans="1:42" x14ac:dyDescent="0.2">
      <c r="A25" s="66"/>
      <c r="B25" s="216"/>
      <c r="C25" s="199"/>
      <c r="D25" s="219"/>
      <c r="E25" s="151" t="s">
        <v>112</v>
      </c>
      <c r="F25" s="222"/>
      <c r="G25" s="225"/>
      <c r="H25" s="73">
        <f>0.1937-F23</f>
        <v>0.1343</v>
      </c>
      <c r="I25" s="74">
        <f>0.2018-F23</f>
        <v>0.1424</v>
      </c>
      <c r="J25" s="74">
        <f>0.136-G23</f>
        <v>7.8200000000000019E-2</v>
      </c>
      <c r="K25" s="74">
        <f>0.1446-G23</f>
        <v>8.6800000000000016E-2</v>
      </c>
      <c r="L25" s="68">
        <f t="shared" si="0"/>
        <v>1.4098703403565638E-2</v>
      </c>
      <c r="M25" s="68">
        <f t="shared" si="1"/>
        <v>1.4568233387358184E-2</v>
      </c>
      <c r="N25" s="74">
        <f t="shared" si="2"/>
        <v>1.4333468395461912E-2</v>
      </c>
      <c r="O25" s="74">
        <f>'Growth curves CeBER'!K14</f>
        <v>1.7341603999999999</v>
      </c>
      <c r="P25" s="74">
        <f t="shared" si="3"/>
        <v>2.1389134373599998</v>
      </c>
      <c r="Q25" s="75">
        <f t="shared" si="8"/>
        <v>1.7341604E-4</v>
      </c>
      <c r="R25" s="76">
        <f t="shared" si="4"/>
        <v>41.326824195333693</v>
      </c>
      <c r="S25" s="77">
        <f>AVERAGE(R23:R25)</f>
        <v>31.549644988607536</v>
      </c>
      <c r="T25" s="78">
        <f>STDEV(R23:R25)</f>
        <v>8.4911753789778164</v>
      </c>
      <c r="U25" s="78">
        <f>T25/SQRT(3)</f>
        <v>4.9023823907891648</v>
      </c>
      <c r="V25" s="78">
        <f t="shared" si="5"/>
        <v>88.394499594813595</v>
      </c>
      <c r="W25" s="77">
        <f>AVERAGE(V23:V25)</f>
        <v>66.964840937331147</v>
      </c>
      <c r="X25" s="78">
        <f>STDEV(V23:V25)</f>
        <v>18.696307138916801</v>
      </c>
      <c r="Y25" s="78">
        <f>X25/SQRT(3)</f>
        <v>10.794317959505538</v>
      </c>
      <c r="Z25" s="78">
        <f>(V25-$V$7)/(D23-$D$5)</f>
        <v>0.56063230401774278</v>
      </c>
      <c r="AA25" s="77">
        <f>AVERAGE(Z23:Z25)</f>
        <v>0.41205475210175618</v>
      </c>
      <c r="AB25" s="135">
        <f>STDEV(Z23:Z25)/SQRT(3)</f>
        <v>7.5061102912936634E-2</v>
      </c>
    </row>
    <row r="26" spans="1:42" x14ac:dyDescent="0.2">
      <c r="A26" s="66"/>
      <c r="B26" s="214" t="s">
        <v>32</v>
      </c>
      <c r="C26" s="197">
        <v>0.5</v>
      </c>
      <c r="D26" s="217">
        <f>D23+50</f>
        <v>192.5</v>
      </c>
      <c r="E26" s="120" t="s">
        <v>110</v>
      </c>
      <c r="F26" s="220">
        <v>5.3699999999999998E-2</v>
      </c>
      <c r="G26" s="223">
        <v>5.1299999999999998E-2</v>
      </c>
      <c r="H26" s="81">
        <f>0.2215-F26</f>
        <v>0.1678</v>
      </c>
      <c r="I26" s="82">
        <f>0.2303-F26</f>
        <v>0.17660000000000001</v>
      </c>
      <c r="J26" s="82">
        <f>0.1553-G26</f>
        <v>0.104</v>
      </c>
      <c r="K26" s="82">
        <f>0.1637-G26</f>
        <v>0.11240000000000001</v>
      </c>
      <c r="L26" s="68">
        <f t="shared" si="0"/>
        <v>1.6998379254457054E-2</v>
      </c>
      <c r="M26" s="68">
        <f t="shared" si="1"/>
        <v>1.760097244732577E-2</v>
      </c>
      <c r="N26" s="82">
        <f t="shared" si="2"/>
        <v>1.7299675850891413E-2</v>
      </c>
      <c r="O26" s="82">
        <f>'Growth curves CeBER'!I16</f>
        <v>2.2571220000000003</v>
      </c>
      <c r="P26" s="82">
        <f t="shared" si="3"/>
        <v>2.7839342748000004</v>
      </c>
      <c r="Q26" s="83">
        <f>P26*0.1/1000</f>
        <v>2.7839342748000006E-4</v>
      </c>
      <c r="R26" s="84">
        <f t="shared" si="4"/>
        <v>31.070553654026604</v>
      </c>
      <c r="S26" s="90"/>
      <c r="T26" s="89"/>
      <c r="U26" s="89"/>
      <c r="V26" s="70">
        <f t="shared" si="5"/>
        <v>86.498379254457063</v>
      </c>
      <c r="W26" s="102"/>
      <c r="X26" s="70"/>
      <c r="Y26" s="70"/>
      <c r="Z26" s="70">
        <f t="shared" si="7"/>
        <v>0.40917431434044083</v>
      </c>
      <c r="AA26" s="102"/>
      <c r="AB26" s="103"/>
    </row>
    <row r="27" spans="1:42" x14ac:dyDescent="0.2">
      <c r="A27" s="66"/>
      <c r="B27" s="215"/>
      <c r="C27" s="198"/>
      <c r="D27" s="218"/>
      <c r="E27" s="120" t="s">
        <v>111</v>
      </c>
      <c r="F27" s="221"/>
      <c r="G27" s="224"/>
      <c r="H27" s="69">
        <f>0.2132-F26</f>
        <v>0.1595</v>
      </c>
      <c r="I27" s="68">
        <f>0.2213-F26</f>
        <v>0.1676</v>
      </c>
      <c r="J27" s="68">
        <f>0.1457-G26</f>
        <v>9.4399999999999998E-2</v>
      </c>
      <c r="K27" s="68">
        <f>0.1565-G26</f>
        <v>0.1052</v>
      </c>
      <c r="L27" s="68">
        <f t="shared" si="0"/>
        <v>1.6594489465153971E-2</v>
      </c>
      <c r="M27" s="68">
        <f t="shared" si="1"/>
        <v>1.6848298217179904E-2</v>
      </c>
      <c r="N27" s="68">
        <f t="shared" si="2"/>
        <v>1.6721393841166936E-2</v>
      </c>
      <c r="O27" s="68">
        <f>'Growth curves CeBER'!J16</f>
        <v>1.6774240000000002</v>
      </c>
      <c r="P27" s="68">
        <f t="shared" si="3"/>
        <v>2.0689347616000004</v>
      </c>
      <c r="Q27" s="99">
        <f>P27*0.1/1000</f>
        <v>2.0689347616000006E-4</v>
      </c>
      <c r="R27" s="100">
        <f t="shared" si="4"/>
        <v>40.410635829414765</v>
      </c>
      <c r="S27" s="101"/>
      <c r="V27" s="70">
        <f t="shared" si="5"/>
        <v>83.606969205834673</v>
      </c>
      <c r="W27" s="102"/>
      <c r="X27" s="70"/>
      <c r="Y27" s="70"/>
      <c r="Z27" s="70">
        <f>(V27-$V$6)/(D26-$D$5)</f>
        <v>0.38947888821065479</v>
      </c>
      <c r="AA27" s="102"/>
      <c r="AB27" s="103"/>
    </row>
    <row r="28" spans="1:42" x14ac:dyDescent="0.2">
      <c r="A28" s="66"/>
      <c r="B28" s="216"/>
      <c r="C28" s="199"/>
      <c r="D28" s="219"/>
      <c r="E28" s="151" t="s">
        <v>112</v>
      </c>
      <c r="F28" s="222"/>
      <c r="G28" s="225"/>
      <c r="H28" s="73">
        <f>0.2809-F26</f>
        <v>0.22719999999999999</v>
      </c>
      <c r="I28" s="74">
        <f>0.2958-F26</f>
        <v>0.24210000000000001</v>
      </c>
      <c r="J28" s="74">
        <f>0.1793-G26</f>
        <v>0.128</v>
      </c>
      <c r="K28" s="74">
        <f>0.1931-G26</f>
        <v>0.14179999999999998</v>
      </c>
      <c r="L28" s="68">
        <f t="shared" si="0"/>
        <v>2.427228525121556E-2</v>
      </c>
      <c r="M28" s="68">
        <f t="shared" si="1"/>
        <v>2.5334035656401951E-2</v>
      </c>
      <c r="N28" s="74">
        <f t="shared" si="2"/>
        <v>2.4803160453808756E-2</v>
      </c>
      <c r="O28" s="74">
        <f>'Growth curves CeBER'!K16</f>
        <v>2.3878623999999999</v>
      </c>
      <c r="P28" s="74">
        <f t="shared" si="3"/>
        <v>2.9451894841600001</v>
      </c>
      <c r="Q28" s="75">
        <f>P28*0.1/1000</f>
        <v>2.9451894841599999E-4</v>
      </c>
      <c r="R28" s="76">
        <f t="shared" si="4"/>
        <v>42.107919689389504</v>
      </c>
      <c r="S28" s="77">
        <f>AVERAGE(R26:R28)</f>
        <v>37.863036390943627</v>
      </c>
      <c r="T28" s="78">
        <f>STDEV(R26:R28)</f>
        <v>5.9433626360688274</v>
      </c>
      <c r="U28" s="78">
        <f>T28/SQRT(3)</f>
        <v>3.4314020178259015</v>
      </c>
      <c r="V28" s="78">
        <f t="shared" si="5"/>
        <v>124.01580226904379</v>
      </c>
      <c r="W28" s="77">
        <f>AVERAGE(V26:V28)</f>
        <v>98.040383576445166</v>
      </c>
      <c r="X28" s="78">
        <f>STDEV(V26:V28)</f>
        <v>22.541779992031927</v>
      </c>
      <c r="Y28" s="78">
        <f>X28/SQRT(3)</f>
        <v>13.014502746412953</v>
      </c>
      <c r="Z28" s="78">
        <f>(V28-$V$7)/(D26-$D$5)</f>
        <v>0.60005925193121323</v>
      </c>
      <c r="AA28" s="77">
        <f>AVERAGE(Z26:Z28)</f>
        <v>0.46623748482743627</v>
      </c>
      <c r="AB28" s="135">
        <f>STDEV(Z26:Z28)/SQRT(3)</f>
        <v>6.7152007827246327E-2</v>
      </c>
    </row>
    <row r="29" spans="1:42" x14ac:dyDescent="0.2">
      <c r="A29" s="66"/>
      <c r="B29" s="214" t="s">
        <v>33</v>
      </c>
      <c r="C29" s="197">
        <v>0.4513888888888889</v>
      </c>
      <c r="D29" s="217">
        <f>23+D26</f>
        <v>215.5</v>
      </c>
      <c r="E29" s="120" t="s">
        <v>110</v>
      </c>
      <c r="F29" s="220">
        <f>(0.0566+0.0558)/2</f>
        <v>5.62E-2</v>
      </c>
      <c r="G29" s="223">
        <f>(0.055+0.0549)/2</f>
        <v>5.4949999999999999E-2</v>
      </c>
      <c r="H29" s="81">
        <f>0.2866-F29</f>
        <v>0.23040000000000002</v>
      </c>
      <c r="I29" s="82">
        <f>0.3145-F29</f>
        <v>0.25829999999999997</v>
      </c>
      <c r="J29" s="82">
        <f>0.1823-G29</f>
        <v>0.12734999999999999</v>
      </c>
      <c r="K29" s="82">
        <f>0.2065-G29</f>
        <v>0.15154999999999999</v>
      </c>
      <c r="L29" s="68">
        <f t="shared" si="0"/>
        <v>2.4854659643435986E-2</v>
      </c>
      <c r="M29" s="68">
        <f t="shared" si="1"/>
        <v>2.7003606158833061E-2</v>
      </c>
      <c r="N29" s="82">
        <f t="shared" si="2"/>
        <v>2.5929132901134522E-2</v>
      </c>
      <c r="O29" s="82">
        <f>'Growth curves CeBER'!I17</f>
        <v>2.4766672000000001</v>
      </c>
      <c r="P29" s="82">
        <f t="shared" si="3"/>
        <v>3.05472132448</v>
      </c>
      <c r="Q29" s="83">
        <f t="shared" ref="Q29:Q34" si="9">P29*0.1/1000</f>
        <v>3.0547213244800004E-4</v>
      </c>
      <c r="R29" s="84">
        <f t="shared" si="4"/>
        <v>42.441077510643936</v>
      </c>
      <c r="S29" s="90"/>
      <c r="T29" s="89"/>
      <c r="U29" s="89"/>
      <c r="V29" s="70">
        <f t="shared" si="5"/>
        <v>129.64566450567258</v>
      </c>
      <c r="W29" s="102"/>
      <c r="X29" s="70"/>
      <c r="Y29" s="70"/>
      <c r="Z29" s="70">
        <f t="shared" si="7"/>
        <v>0.56572315898724068</v>
      </c>
      <c r="AA29" s="102"/>
      <c r="AB29" s="103"/>
    </row>
    <row r="30" spans="1:42" x14ac:dyDescent="0.2">
      <c r="A30" s="66"/>
      <c r="B30" s="215"/>
      <c r="C30" s="198"/>
      <c r="D30" s="218"/>
      <c r="E30" s="120" t="s">
        <v>111</v>
      </c>
      <c r="F30" s="221"/>
      <c r="G30" s="224"/>
      <c r="H30" s="69">
        <f>0.2295-F29</f>
        <v>0.17330000000000001</v>
      </c>
      <c r="I30" s="68">
        <f>0.2185-F29</f>
        <v>0.1623</v>
      </c>
      <c r="J30" s="68">
        <f>0.167-G29</f>
        <v>0.11205000000000001</v>
      </c>
      <c r="K30" s="68">
        <f>0.1549-G29</f>
        <v>9.9950000000000011E-2</v>
      </c>
      <c r="L30" s="68">
        <f t="shared" si="0"/>
        <v>1.7100445705024312E-2</v>
      </c>
      <c r="M30" s="68">
        <f t="shared" si="1"/>
        <v>1.650409238249595E-2</v>
      </c>
      <c r="N30" s="68">
        <f t="shared" si="2"/>
        <v>1.6802269043760129E-2</v>
      </c>
      <c r="O30" s="68">
        <f>'Growth curves CeBER'!J17</f>
        <v>1.9685064000000001</v>
      </c>
      <c r="P30" s="68">
        <f t="shared" si="3"/>
        <v>2.4279557937600003</v>
      </c>
      <c r="Q30" s="99">
        <f t="shared" si="9"/>
        <v>2.4279557937600005E-4</v>
      </c>
      <c r="R30" s="100">
        <f t="shared" si="4"/>
        <v>34.601678265607262</v>
      </c>
      <c r="S30" s="101"/>
      <c r="V30" s="70">
        <f t="shared" si="5"/>
        <v>84.011345218800628</v>
      </c>
      <c r="W30" s="102"/>
      <c r="X30" s="70"/>
      <c r="Y30" s="70"/>
      <c r="Z30" s="70">
        <f>(V30-$V$6)/(D29-$D$5)</f>
        <v>0.34978683059636656</v>
      </c>
      <c r="AA30" s="102"/>
      <c r="AB30" s="103"/>
    </row>
    <row r="31" spans="1:42" x14ac:dyDescent="0.2">
      <c r="A31" s="66"/>
      <c r="B31" s="216"/>
      <c r="C31" s="199"/>
      <c r="D31" s="219"/>
      <c r="E31" s="151" t="s">
        <v>112</v>
      </c>
      <c r="F31" s="222"/>
      <c r="G31" s="225"/>
      <c r="H31" s="73">
        <f>0.3004-F29</f>
        <v>0.2442</v>
      </c>
      <c r="I31" s="74">
        <f>0.3072-F29</f>
        <v>0.251</v>
      </c>
      <c r="J31" s="74">
        <f>0.1946-G29</f>
        <v>0.13965</v>
      </c>
      <c r="K31" s="74">
        <f>0.1971-G29</f>
        <v>0.14215</v>
      </c>
      <c r="L31" s="68">
        <f t="shared" si="0"/>
        <v>2.5885210696920583E-2</v>
      </c>
      <c r="M31" s="68">
        <f t="shared" si="1"/>
        <v>2.6742179902755264E-2</v>
      </c>
      <c r="N31" s="74">
        <f t="shared" si="2"/>
        <v>2.6313695299837923E-2</v>
      </c>
      <c r="O31" s="74">
        <f>'Growth curves CeBER'!K17</f>
        <v>2.5482043999999999</v>
      </c>
      <c r="P31" s="74">
        <f t="shared" si="3"/>
        <v>3.1429553069600003</v>
      </c>
      <c r="Q31" s="75">
        <f t="shared" si="9"/>
        <v>3.1429553069600003E-4</v>
      </c>
      <c r="R31" s="76">
        <f t="shared" si="4"/>
        <v>41.861389567912191</v>
      </c>
      <c r="S31" s="77">
        <f>AVERAGE(R29:R31)</f>
        <v>39.634715114721132</v>
      </c>
      <c r="T31" s="78">
        <f>STDEV(R29:R31)</f>
        <v>4.3683640497491369</v>
      </c>
      <c r="U31" s="78">
        <f>T31/SQRT(3)</f>
        <v>2.5220761600409483</v>
      </c>
      <c r="V31" s="78">
        <f t="shared" si="5"/>
        <v>131.56847649918961</v>
      </c>
      <c r="W31" s="77">
        <f>AVERAGE(V29:V31)</f>
        <v>115.07516207455427</v>
      </c>
      <c r="X31" s="78">
        <f>STDEV(V29:V31)</f>
        <v>26.91922806706124</v>
      </c>
      <c r="Y31" s="78">
        <f>X31/SQRT(3)</f>
        <v>15.541823570894737</v>
      </c>
      <c r="Z31" s="78">
        <f>(V31-$V$7)/(D29-$D$5)</f>
        <v>0.57106301729421982</v>
      </c>
      <c r="AA31" s="77">
        <f>AVERAGE(Z29:Z31)</f>
        <v>0.49552433562594239</v>
      </c>
      <c r="AB31" s="135">
        <f>STDEV(Z29:Z31)/SQRT(3)</f>
        <v>7.2885055168781299E-2</v>
      </c>
    </row>
    <row r="32" spans="1:42" x14ac:dyDescent="0.2">
      <c r="A32" s="66"/>
      <c r="B32" s="214" t="s">
        <v>34</v>
      </c>
      <c r="C32" s="197">
        <v>0.40625</v>
      </c>
      <c r="D32" s="217">
        <f>23+D29</f>
        <v>238.5</v>
      </c>
      <c r="E32" s="120" t="s">
        <v>110</v>
      </c>
      <c r="F32" s="220">
        <f>(0.0488+0.0544)/2</f>
        <v>5.16E-2</v>
      </c>
      <c r="G32" s="223">
        <f>(0.0522+0.0455)/2</f>
        <v>4.8850000000000005E-2</v>
      </c>
      <c r="H32" s="81">
        <f>0.2731-F32</f>
        <v>0.2215</v>
      </c>
      <c r="I32" s="82">
        <f>0.303-F32</f>
        <v>0.25140000000000001</v>
      </c>
      <c r="J32" s="82">
        <f>0.1799-G32</f>
        <v>0.13105</v>
      </c>
      <c r="K32" s="82">
        <f>0.2056-G32</f>
        <v>0.15675</v>
      </c>
      <c r="L32" s="68">
        <f t="shared" si="0"/>
        <v>2.3049392220421395E-2</v>
      </c>
      <c r="M32" s="68">
        <f t="shared" si="1"/>
        <v>2.537540518638574E-2</v>
      </c>
      <c r="N32" s="82">
        <f t="shared" si="2"/>
        <v>2.4212398703403568E-2</v>
      </c>
      <c r="O32" s="82">
        <f>'Growth curves CeBER'!I18</f>
        <v>2.7677496000000006</v>
      </c>
      <c r="P32" s="82">
        <f t="shared" si="3"/>
        <v>3.4137423566400007</v>
      </c>
      <c r="Q32" s="83">
        <f t="shared" si="9"/>
        <v>3.4137423566400012E-4</v>
      </c>
      <c r="R32" s="84">
        <f t="shared" si="4"/>
        <v>35.46313132903618</v>
      </c>
      <c r="S32" s="90"/>
      <c r="T32" s="89"/>
      <c r="U32" s="89"/>
      <c r="V32" s="70">
        <f t="shared" si="5"/>
        <v>121.06199351701781</v>
      </c>
      <c r="W32" s="102"/>
      <c r="X32" s="70"/>
      <c r="Y32" s="70"/>
      <c r="Z32" s="70">
        <f t="shared" si="7"/>
        <v>0.47517681246580967</v>
      </c>
      <c r="AA32" s="102"/>
      <c r="AB32" s="103"/>
    </row>
    <row r="33" spans="1:28" x14ac:dyDescent="0.2">
      <c r="A33" s="66"/>
      <c r="B33" s="215"/>
      <c r="C33" s="198"/>
      <c r="D33" s="218"/>
      <c r="E33" s="120" t="s">
        <v>111</v>
      </c>
      <c r="F33" s="221"/>
      <c r="G33" s="224"/>
      <c r="H33" s="69">
        <f>0.2476-F32</f>
        <v>0.19599999999999998</v>
      </c>
      <c r="I33" s="68">
        <f>0.2622-F32</f>
        <v>0.21059999999999998</v>
      </c>
      <c r="J33" s="68">
        <f>0.1714-G32</f>
        <v>0.12254999999999999</v>
      </c>
      <c r="K33" s="68">
        <f>0.1861-G32</f>
        <v>0.13724999999999998</v>
      </c>
      <c r="L33" s="68">
        <f t="shared" si="0"/>
        <v>1.9749959481361424E-2</v>
      </c>
      <c r="M33" s="68">
        <f t="shared" si="1"/>
        <v>2.0674837925445701E-2</v>
      </c>
      <c r="N33" s="68">
        <f t="shared" si="2"/>
        <v>2.0212398703403564E-2</v>
      </c>
      <c r="O33" s="68">
        <f>'Growth curves CeBER'!J18</f>
        <v>2.5358704000000003</v>
      </c>
      <c r="P33" s="68">
        <f t="shared" si="3"/>
        <v>3.1277425513600003</v>
      </c>
      <c r="Q33" s="99">
        <f t="shared" si="9"/>
        <v>3.1277425513600004E-4</v>
      </c>
      <c r="R33" s="100">
        <f t="shared" si="4"/>
        <v>32.311480838815903</v>
      </c>
      <c r="S33" s="101"/>
      <c r="V33" s="70">
        <f t="shared" si="5"/>
        <v>101.06199351701781</v>
      </c>
      <c r="W33" s="102"/>
      <c r="X33" s="70"/>
      <c r="Y33" s="70"/>
      <c r="Z33" s="70">
        <f>(V33-$V$6)/(D32-$D$5)</f>
        <v>0.38754595510161083</v>
      </c>
      <c r="AA33" s="102"/>
      <c r="AB33" s="103"/>
    </row>
    <row r="34" spans="1:28" x14ac:dyDescent="0.2">
      <c r="A34" s="66"/>
      <c r="B34" s="216"/>
      <c r="C34" s="199"/>
      <c r="D34" s="219"/>
      <c r="E34" s="151" t="s">
        <v>112</v>
      </c>
      <c r="F34" s="222"/>
      <c r="G34" s="225"/>
      <c r="H34" s="73">
        <f>0.3249-F32</f>
        <v>0.27330000000000004</v>
      </c>
      <c r="I34" s="74">
        <f>0.3141-F32</f>
        <v>0.26250000000000001</v>
      </c>
      <c r="J34" s="74">
        <f>0.2179-G32</f>
        <v>0.16905000000000001</v>
      </c>
      <c r="K34" s="74">
        <f>0.2045-G32</f>
        <v>0.15564999999999998</v>
      </c>
      <c r="L34" s="68">
        <f t="shared" si="0"/>
        <v>2.7718760129659653E-2</v>
      </c>
      <c r="M34" s="68">
        <f t="shared" si="1"/>
        <v>2.7282293354943279E-2</v>
      </c>
      <c r="N34" s="74">
        <f t="shared" si="2"/>
        <v>2.7500526742301468E-2</v>
      </c>
      <c r="O34" s="74">
        <f>'Growth curves CeBER'!K18</f>
        <v>2.8417536000000001</v>
      </c>
      <c r="P34" s="74">
        <f t="shared" si="3"/>
        <v>3.5050188902400001</v>
      </c>
      <c r="Q34" s="75">
        <f t="shared" si="9"/>
        <v>3.5050188902400006E-4</v>
      </c>
      <c r="R34" s="76">
        <f t="shared" si="4"/>
        <v>39.230211881138267</v>
      </c>
      <c r="S34" s="77">
        <f>AVERAGE(R32:R34)</f>
        <v>35.668274682996781</v>
      </c>
      <c r="T34" s="78">
        <f>STDEV(R32:R34)</f>
        <v>3.4639244587251654</v>
      </c>
      <c r="U34" s="78">
        <f>T34/SQRT(3)</f>
        <v>1.9998977186975031</v>
      </c>
      <c r="V34" s="78">
        <f t="shared" si="5"/>
        <v>137.50263371150731</v>
      </c>
      <c r="W34" s="77">
        <f>AVERAGE(V32:V34)</f>
        <v>119.87554024851431</v>
      </c>
      <c r="X34" s="78">
        <f>STDEV(V32:V34)</f>
        <v>18.249268970696363</v>
      </c>
      <c r="Y34" s="78">
        <f>X34/SQRT(3)</f>
        <v>10.536220352745431</v>
      </c>
      <c r="Z34" s="78">
        <f>(V34-$V$7)/(D32-$D$5)</f>
        <v>0.54087311295271312</v>
      </c>
      <c r="AA34" s="77">
        <f>AVERAGE(Z32:Z34)</f>
        <v>0.46786529350671119</v>
      </c>
      <c r="AB34" s="135">
        <f>STDEV(Z32:Z34)/SQRT(3)</f>
        <v>4.4412453455426104E-2</v>
      </c>
    </row>
    <row r="35" spans="1:28" x14ac:dyDescent="0.2">
      <c r="A35" s="66"/>
      <c r="B35" s="214" t="s">
        <v>35</v>
      </c>
      <c r="C35" s="197">
        <v>0.41319444444444442</v>
      </c>
      <c r="D35" s="217">
        <f>D32+24</f>
        <v>262.5</v>
      </c>
      <c r="E35" s="120" t="s">
        <v>110</v>
      </c>
      <c r="F35" s="220">
        <f>F32</f>
        <v>5.16E-2</v>
      </c>
      <c r="G35" s="223">
        <f>G32</f>
        <v>4.8850000000000005E-2</v>
      </c>
      <c r="H35" s="81">
        <f>0.2552-F35</f>
        <v>0.20359999999999998</v>
      </c>
      <c r="I35" s="82">
        <f>0.2738-F35</f>
        <v>0.22219999999999998</v>
      </c>
      <c r="J35" s="82">
        <f>0.1817-G35</f>
        <v>0.13285</v>
      </c>
      <c r="K35" s="82">
        <f>0.1976-G35</f>
        <v>0.14874999999999999</v>
      </c>
      <c r="L35" s="68">
        <f t="shared" si="0"/>
        <v>1.9971758508914098E-2</v>
      </c>
      <c r="M35" s="68">
        <f t="shared" si="1"/>
        <v>2.1427269043760126E-2</v>
      </c>
      <c r="N35" s="82">
        <f t="shared" si="2"/>
        <v>2.0699513776337112E-2</v>
      </c>
      <c r="O35" s="82">
        <f>'Growth curves CeBER'!I19</f>
        <v>2.9848280000000003</v>
      </c>
      <c r="P35" s="82">
        <f t="shared" si="3"/>
        <v>3.6814868552000006</v>
      </c>
      <c r="Q35" s="83">
        <f t="shared" ref="Q35:Q46" si="10">P35*0.075/1000</f>
        <v>2.7611151414E-4</v>
      </c>
      <c r="R35" s="84">
        <f t="shared" si="4"/>
        <v>37.483974257302428</v>
      </c>
      <c r="S35" s="90"/>
      <c r="T35" s="89"/>
      <c r="U35" s="89"/>
      <c r="V35" s="70">
        <f t="shared" si="5"/>
        <v>137.9967585089141</v>
      </c>
      <c r="W35" s="102"/>
      <c r="X35" s="70"/>
      <c r="Y35" s="70"/>
      <c r="Z35" s="70">
        <f t="shared" si="7"/>
        <v>0.49624546577139772</v>
      </c>
      <c r="AA35" s="102"/>
      <c r="AB35" s="103"/>
    </row>
    <row r="36" spans="1:28" x14ac:dyDescent="0.2">
      <c r="A36" s="66"/>
      <c r="B36" s="215"/>
      <c r="C36" s="198"/>
      <c r="D36" s="218"/>
      <c r="E36" s="120" t="s">
        <v>111</v>
      </c>
      <c r="F36" s="221"/>
      <c r="G36" s="224"/>
      <c r="H36" s="69">
        <f>0.2054-F35</f>
        <v>0.15379999999999999</v>
      </c>
      <c r="I36" s="68">
        <f>0.222-F35</f>
        <v>0.1704</v>
      </c>
      <c r="J36" s="68">
        <f>0.1408-G35</f>
        <v>9.1950000000000004E-2</v>
      </c>
      <c r="K36" s="68">
        <f>0.157-G35</f>
        <v>0.10815</v>
      </c>
      <c r="L36" s="68">
        <f t="shared" si="0"/>
        <v>1.5910899513776337E-2</v>
      </c>
      <c r="M36" s="68">
        <f t="shared" si="1"/>
        <v>1.7012844408427878E-2</v>
      </c>
      <c r="N36" s="68">
        <f t="shared" si="2"/>
        <v>1.6461871961102107E-2</v>
      </c>
      <c r="O36" s="68">
        <f>'Growth curves CeBER'!J19</f>
        <v>2.5161359999999999</v>
      </c>
      <c r="P36" s="68">
        <f t="shared" si="3"/>
        <v>3.1034021424000002</v>
      </c>
      <c r="Q36" s="99">
        <f t="shared" si="10"/>
        <v>2.3275516068000003E-4</v>
      </c>
      <c r="R36" s="100">
        <f t="shared" si="4"/>
        <v>35.363065448276927</v>
      </c>
      <c r="S36" s="101"/>
      <c r="V36" s="70">
        <f t="shared" si="5"/>
        <v>109.74581307401404</v>
      </c>
      <c r="W36" s="102"/>
      <c r="X36" s="70"/>
      <c r="Y36" s="70"/>
      <c r="Z36" s="70">
        <f>(V36-$V$6)/(D35-$D$5)</f>
        <v>0.3851943994237349</v>
      </c>
      <c r="AA36" s="102"/>
      <c r="AB36" s="103"/>
    </row>
    <row r="37" spans="1:28" x14ac:dyDescent="0.2">
      <c r="A37" s="66"/>
      <c r="B37" s="216"/>
      <c r="C37" s="199"/>
      <c r="D37" s="219"/>
      <c r="E37" s="151" t="s">
        <v>112</v>
      </c>
      <c r="F37" s="222"/>
      <c r="G37" s="225"/>
      <c r="H37" s="73">
        <f>0.2486-F35</f>
        <v>0.19699999999999998</v>
      </c>
      <c r="I37" s="74">
        <f>0.2716-F35</f>
        <v>0.22</v>
      </c>
      <c r="J37" s="74">
        <f>0.1807-G35</f>
        <v>0.13184999999999999</v>
      </c>
      <c r="K37" s="74">
        <f>0.2016-G35</f>
        <v>0.15275</v>
      </c>
      <c r="L37" s="68">
        <f t="shared" si="0"/>
        <v>1.9000121555915718E-2</v>
      </c>
      <c r="M37" s="68">
        <f t="shared" si="1"/>
        <v>2.0678484602917345E-2</v>
      </c>
      <c r="N37" s="74">
        <f t="shared" si="2"/>
        <v>1.9839303079416531E-2</v>
      </c>
      <c r="O37" s="74">
        <f>'Growth curves CeBER'!K19</f>
        <v>2.9700272000000001</v>
      </c>
      <c r="P37" s="74">
        <f t="shared" si="3"/>
        <v>3.6632315484800002</v>
      </c>
      <c r="Q37" s="75">
        <f t="shared" si="10"/>
        <v>2.7474236613600001E-4</v>
      </c>
      <c r="R37" s="76">
        <f t="shared" si="4"/>
        <v>36.105285395984204</v>
      </c>
      <c r="S37" s="77">
        <f>AVERAGE(R35:R37)</f>
        <v>36.317441700521186</v>
      </c>
      <c r="T37" s="78">
        <f>STDEV(R35:R37)</f>
        <v>1.0762533471337423</v>
      </c>
      <c r="U37" s="78">
        <f>T37/SQRT(3)</f>
        <v>0.62137515968390189</v>
      </c>
      <c r="V37" s="78">
        <f t="shared" si="5"/>
        <v>132.26202052944356</v>
      </c>
      <c r="W37" s="77">
        <f>AVERAGE(V35:V37)</f>
        <v>126.66819737079057</v>
      </c>
      <c r="X37" s="78">
        <f>STDEV(V35:V37)</f>
        <v>14.933088181589802</v>
      </c>
      <c r="Y37" s="78">
        <f>X37/SQRT(3)</f>
        <v>8.6216224814732918</v>
      </c>
      <c r="Z37" s="78">
        <f>(V37-$V$7)/(D35-$D$5)</f>
        <v>0.47145761621774596</v>
      </c>
      <c r="AA37" s="77">
        <f>AVERAGE(Z35:Z37)</f>
        <v>0.45096582713762617</v>
      </c>
      <c r="AB37" s="135">
        <f>STDEV(Z35:Z37)/SQRT(3)</f>
        <v>3.3655212072903812E-2</v>
      </c>
    </row>
    <row r="38" spans="1:28" x14ac:dyDescent="0.2">
      <c r="A38" s="66"/>
      <c r="B38" s="214" t="s">
        <v>36</v>
      </c>
      <c r="C38" s="197">
        <v>0.40625</v>
      </c>
      <c r="D38" s="217">
        <f>48+D32</f>
        <v>286.5</v>
      </c>
      <c r="E38" s="120" t="s">
        <v>110</v>
      </c>
      <c r="F38" s="220">
        <f>(0.0585+0.0528+0.0569)/3</f>
        <v>5.6066666666666674E-2</v>
      </c>
      <c r="G38" s="223">
        <f>(0.0574+0.0504+0.055)/3</f>
        <v>5.4266666666666664E-2</v>
      </c>
      <c r="H38" s="81">
        <f>0.2611-F38</f>
        <v>0.20503333333333332</v>
      </c>
      <c r="I38" s="82">
        <f>0.2699-F38</f>
        <v>0.21383333333333329</v>
      </c>
      <c r="J38" s="82">
        <f>0.1675-G38</f>
        <v>0.11323333333333335</v>
      </c>
      <c r="K38" s="82">
        <f>0.1746-G38</f>
        <v>0.12033333333333335</v>
      </c>
      <c r="L38" s="68">
        <f t="shared" si="0"/>
        <v>2.2127579686655859E-2</v>
      </c>
      <c r="M38" s="68">
        <f t="shared" si="1"/>
        <v>2.2857644516477572E-2</v>
      </c>
      <c r="N38" s="82">
        <f t="shared" si="2"/>
        <v>2.2492612101566715E-2</v>
      </c>
      <c r="O38" s="82">
        <f>'Growth curves CeBER'!I20</f>
        <v>2.9996288</v>
      </c>
      <c r="P38" s="82">
        <f t="shared" si="3"/>
        <v>3.6997421619200002</v>
      </c>
      <c r="Q38" s="83">
        <f t="shared" si="10"/>
        <v>2.7748066214400004E-4</v>
      </c>
      <c r="R38" s="84">
        <f t="shared" si="4"/>
        <v>40.530053387817809</v>
      </c>
      <c r="S38" s="90"/>
      <c r="T38" s="89"/>
      <c r="U38" s="89"/>
      <c r="V38" s="70">
        <f t="shared" si="5"/>
        <v>149.95074734377809</v>
      </c>
      <c r="W38" s="102"/>
      <c r="X38" s="70"/>
      <c r="Y38" s="70"/>
      <c r="Z38" s="70">
        <f t="shared" si="7"/>
        <v>0.49639938429269076</v>
      </c>
      <c r="AA38" s="102"/>
      <c r="AB38" s="103"/>
    </row>
    <row r="39" spans="1:28" x14ac:dyDescent="0.2">
      <c r="A39" s="66"/>
      <c r="B39" s="215"/>
      <c r="C39" s="198"/>
      <c r="D39" s="218"/>
      <c r="E39" s="120" t="s">
        <v>111</v>
      </c>
      <c r="F39" s="221"/>
      <c r="G39" s="224"/>
      <c r="H39" s="69">
        <f>0.2324-F38</f>
        <v>0.17633333333333331</v>
      </c>
      <c r="I39" s="68">
        <f>0.2374-F38</f>
        <v>0.18133333333333332</v>
      </c>
      <c r="J39" s="68">
        <f>0.1636-G38</f>
        <v>0.10933333333333334</v>
      </c>
      <c r="K39" s="68">
        <f>0.1692-G38</f>
        <v>0.11493333333333333</v>
      </c>
      <c r="L39" s="68">
        <f t="shared" si="0"/>
        <v>1.7858454889249052E-2</v>
      </c>
      <c r="M39" s="68">
        <f t="shared" si="1"/>
        <v>1.8119719070772554E-2</v>
      </c>
      <c r="N39" s="68">
        <f t="shared" si="2"/>
        <v>1.7989086980010803E-2</v>
      </c>
      <c r="O39" s="68">
        <f>'Growth curves CeBER'!J20</f>
        <v>2.5062688</v>
      </c>
      <c r="P39" s="68">
        <f t="shared" si="3"/>
        <v>3.09123193792</v>
      </c>
      <c r="Q39" s="99">
        <f t="shared" si="10"/>
        <v>2.3184239534399998E-4</v>
      </c>
      <c r="R39" s="100">
        <f t="shared" si="4"/>
        <v>38.795939270121842</v>
      </c>
      <c r="S39" s="101"/>
      <c r="V39" s="70">
        <f t="shared" si="5"/>
        <v>119.92724653340537</v>
      </c>
      <c r="W39" s="102"/>
      <c r="X39" s="70"/>
      <c r="Y39" s="70"/>
      <c r="Z39" s="70">
        <f>(V39-$V$6)/(D38-$D$5)</f>
        <v>0.38846409531630621</v>
      </c>
      <c r="AA39" s="102"/>
      <c r="AB39" s="103"/>
    </row>
    <row r="40" spans="1:28" x14ac:dyDescent="0.2">
      <c r="A40" s="66"/>
      <c r="B40" s="216"/>
      <c r="C40" s="199"/>
      <c r="D40" s="219"/>
      <c r="E40" s="151" t="s">
        <v>112</v>
      </c>
      <c r="F40" s="222"/>
      <c r="G40" s="225"/>
      <c r="H40" s="73">
        <f>0.2193-F38</f>
        <v>0.16323333333333331</v>
      </c>
      <c r="I40" s="74">
        <f>0.2064-F38</f>
        <v>0.15033333333333332</v>
      </c>
      <c r="J40" s="74">
        <f>0.1934-G38</f>
        <v>0.13913333333333333</v>
      </c>
      <c r="K40" s="74">
        <f>0.1804-G38</f>
        <v>0.12613333333333335</v>
      </c>
      <c r="L40" s="68">
        <f t="shared" si="0"/>
        <v>1.2813236088600754E-2</v>
      </c>
      <c r="M40" s="68">
        <f t="shared" si="1"/>
        <v>1.199719070772555E-2</v>
      </c>
      <c r="N40" s="74">
        <f t="shared" si="2"/>
        <v>1.2405213398163152E-2</v>
      </c>
      <c r="O40" s="74">
        <f>'Growth curves CeBER'!K20</f>
        <v>3.1969728000000002</v>
      </c>
      <c r="P40" s="74">
        <f t="shared" si="3"/>
        <v>3.9431462515200004</v>
      </c>
      <c r="Q40" s="75">
        <f t="shared" si="10"/>
        <v>2.9573596886399997E-4</v>
      </c>
      <c r="R40" s="76">
        <f t="shared" si="4"/>
        <v>20.973460627421911</v>
      </c>
      <c r="S40" s="77">
        <f>AVERAGE(R38:R40)</f>
        <v>33.433151095120522</v>
      </c>
      <c r="T40" s="78">
        <f>STDEV(R38:R40)</f>
        <v>10.825188352007681</v>
      </c>
      <c r="U40" s="78">
        <f>T40/SQRT(3)</f>
        <v>6.2499254090600358</v>
      </c>
      <c r="V40" s="78">
        <f t="shared" si="5"/>
        <v>82.701422654421023</v>
      </c>
      <c r="W40" s="77">
        <f>AVERAGE(V38:V40)</f>
        <v>117.52647217720151</v>
      </c>
      <c r="X40" s="78">
        <f>STDEV(V38:V40)</f>
        <v>33.688881042944843</v>
      </c>
      <c r="Y40" s="78">
        <f>X40/SQRT(3)</f>
        <v>19.450284538841487</v>
      </c>
      <c r="Z40" s="78">
        <f>(V40-$V$7)/(D38-$D$5)</f>
        <v>0.25897740447516848</v>
      </c>
      <c r="AA40" s="77">
        <f>AVERAGE(Z38:Z40)</f>
        <v>0.3812802946947218</v>
      </c>
      <c r="AB40" s="135">
        <f>STDEV(Z38:Z40)/SQRT(3)</f>
        <v>6.8631878814066266E-2</v>
      </c>
    </row>
    <row r="41" spans="1:28" x14ac:dyDescent="0.2">
      <c r="A41" s="66"/>
      <c r="B41" s="214" t="s">
        <v>37</v>
      </c>
      <c r="C41" s="197">
        <v>0.37152777777777773</v>
      </c>
      <c r="D41" s="217">
        <f>23+D38</f>
        <v>309.5</v>
      </c>
      <c r="E41" s="120" t="s">
        <v>110</v>
      </c>
      <c r="F41" s="220">
        <f>(0.0297+0.0354+0.0757)/3</f>
        <v>4.6933333333333334E-2</v>
      </c>
      <c r="G41" s="223">
        <f>(0.0296+0.0366+0.0726)/3</f>
        <v>4.6266666666666671E-2</v>
      </c>
      <c r="H41" s="81">
        <f>0.3391-F41</f>
        <v>0.29216666666666669</v>
      </c>
      <c r="I41" s="82">
        <f>0.3128-F41</f>
        <v>0.2658666666666667</v>
      </c>
      <c r="J41" s="82">
        <f>0.219-G41</f>
        <v>0.17273333333333332</v>
      </c>
      <c r="K41" s="82">
        <f>0.1966-G41</f>
        <v>0.15033333333333332</v>
      </c>
      <c r="L41" s="68">
        <f t="shared" si="0"/>
        <v>3.0415397082658027E-2</v>
      </c>
      <c r="M41" s="68">
        <f t="shared" si="1"/>
        <v>2.8349270664505679E-2</v>
      </c>
      <c r="N41" s="82">
        <f t="shared" si="2"/>
        <v>2.9382333873581853E-2</v>
      </c>
      <c r="O41" s="82">
        <f>'Growth curves CeBER'!I21</f>
        <v>3.1624376000000001</v>
      </c>
      <c r="P41" s="82">
        <f t="shared" si="3"/>
        <v>3.9005505358400003</v>
      </c>
      <c r="Q41" s="83">
        <f t="shared" si="10"/>
        <v>2.9254129018799999E-4</v>
      </c>
      <c r="R41" s="84">
        <f t="shared" si="4"/>
        <v>50.219122665896947</v>
      </c>
      <c r="S41" s="90"/>
      <c r="T41" s="89"/>
      <c r="U41" s="89"/>
      <c r="V41" s="70">
        <f t="shared" si="5"/>
        <v>195.88222582387905</v>
      </c>
      <c r="W41" s="102"/>
      <c r="X41" s="70"/>
      <c r="Y41" s="70"/>
      <c r="Z41" s="70">
        <f t="shared" si="7"/>
        <v>0.60791567715656503</v>
      </c>
      <c r="AA41" s="102"/>
      <c r="AB41" s="103"/>
    </row>
    <row r="42" spans="1:28" x14ac:dyDescent="0.2">
      <c r="A42" s="66"/>
      <c r="B42" s="215"/>
      <c r="C42" s="198"/>
      <c r="D42" s="218"/>
      <c r="E42" s="120" t="s">
        <v>111</v>
      </c>
      <c r="F42" s="221"/>
      <c r="G42" s="224"/>
      <c r="H42" s="69">
        <f>0.2286-F41</f>
        <v>0.18166666666666667</v>
      </c>
      <c r="I42" s="68">
        <f>0.2353-F41</f>
        <v>0.18836666666666668</v>
      </c>
      <c r="J42" s="68">
        <f>0.1522-G41</f>
        <v>0.10593333333333332</v>
      </c>
      <c r="K42" s="68">
        <f>0.1566-G41</f>
        <v>0.11033333333333331</v>
      </c>
      <c r="L42" s="68">
        <f t="shared" si="0"/>
        <v>1.9056239870340358E-2</v>
      </c>
      <c r="M42" s="68">
        <f t="shared" si="1"/>
        <v>1.9710696920583474E-2</v>
      </c>
      <c r="N42" s="68">
        <f t="shared" si="2"/>
        <v>1.9383468395461914E-2</v>
      </c>
      <c r="O42" s="68">
        <f>'Growth curves CeBER'!J21</f>
        <v>2.7628160000000004</v>
      </c>
      <c r="P42" s="68">
        <f t="shared" si="3"/>
        <v>3.4076572544000006</v>
      </c>
      <c r="Q42" s="99">
        <f t="shared" si="10"/>
        <v>2.5557429408000005E-4</v>
      </c>
      <c r="R42" s="100">
        <f t="shared" si="4"/>
        <v>37.921396721914618</v>
      </c>
      <c r="S42" s="101"/>
      <c r="V42" s="70">
        <f t="shared" si="5"/>
        <v>129.22312263641274</v>
      </c>
      <c r="W42" s="102"/>
      <c r="X42" s="70"/>
      <c r="Y42" s="70"/>
      <c r="Z42" s="70">
        <f>(V42-$V$6)/(D41-$D$5)</f>
        <v>0.38963114510865626</v>
      </c>
      <c r="AA42" s="102"/>
      <c r="AB42" s="103"/>
    </row>
    <row r="43" spans="1:28" x14ac:dyDescent="0.2">
      <c r="A43" s="66"/>
      <c r="B43" s="216"/>
      <c r="C43" s="199"/>
      <c r="D43" s="219"/>
      <c r="E43" s="151" t="s">
        <v>112</v>
      </c>
      <c r="F43" s="222"/>
      <c r="G43" s="225"/>
      <c r="H43" s="73">
        <f>0.2871-F41</f>
        <v>0.24016666666666669</v>
      </c>
      <c r="I43" s="74">
        <f>0.3062-F41</f>
        <v>0.2592666666666667</v>
      </c>
      <c r="J43" s="74">
        <f>0.1888-G41</f>
        <v>0.14253333333333332</v>
      </c>
      <c r="K43" s="74">
        <f>0.204-G41</f>
        <v>0.15773333333333331</v>
      </c>
      <c r="L43" s="68">
        <f t="shared" si="0"/>
        <v>2.4948784440842794E-2</v>
      </c>
      <c r="M43" s="68">
        <f t="shared" si="1"/>
        <v>2.6553970826580234E-2</v>
      </c>
      <c r="N43" s="74">
        <f t="shared" si="2"/>
        <v>2.5751377633711513E-2</v>
      </c>
      <c r="O43" s="74">
        <f>'Growth curves CeBER'!K21</f>
        <v>3.2364416000000005</v>
      </c>
      <c r="P43" s="74">
        <f t="shared" si="3"/>
        <v>3.9918270694400007</v>
      </c>
      <c r="Q43" s="75">
        <f t="shared" si="10"/>
        <v>2.9938703020800008E-4</v>
      </c>
      <c r="R43" s="76">
        <f t="shared" si="4"/>
        <v>43.006835693284145</v>
      </c>
      <c r="S43" s="77">
        <f>AVERAGE(R41:R43)</f>
        <v>43.715785027031906</v>
      </c>
      <c r="T43" s="78">
        <f>STDEV(R41:R43)</f>
        <v>6.1794395147690553</v>
      </c>
      <c r="U43" s="78">
        <f>T43/SQRT(3)</f>
        <v>3.5677010672929246</v>
      </c>
      <c r="V43" s="78">
        <f t="shared" si="5"/>
        <v>171.67585089141008</v>
      </c>
      <c r="W43" s="77">
        <f>AVERAGE(V41:V43)</f>
        <v>165.59373311723394</v>
      </c>
      <c r="X43" s="78">
        <f>STDEV(V41:V43)</f>
        <v>33.743193786355455</v>
      </c>
      <c r="Y43" s="78">
        <f>X43/SQRT(3)</f>
        <v>19.48164201587003</v>
      </c>
      <c r="Z43" s="78">
        <f>(V43-$V$7)/(D41-$D$5)</f>
        <v>0.52720986952867477</v>
      </c>
      <c r="AA43" s="77">
        <f>AVERAGE(Z41:Z43)</f>
        <v>0.50825223059796532</v>
      </c>
      <c r="AB43" s="135">
        <f>STDEV(Z41:Z43)/SQRT(3)</f>
        <v>6.3722257462140552E-2</v>
      </c>
    </row>
    <row r="44" spans="1:28" x14ac:dyDescent="0.2">
      <c r="A44" s="66"/>
      <c r="B44" s="214" t="s">
        <v>38</v>
      </c>
      <c r="C44" s="197">
        <v>0.45833333333333331</v>
      </c>
      <c r="D44" s="217">
        <f>2+24+D41</f>
        <v>335.5</v>
      </c>
      <c r="E44" s="120" t="s">
        <v>110</v>
      </c>
      <c r="F44" s="220">
        <f>(0.0562+0.047+0.0465)/3</f>
        <v>4.99E-2</v>
      </c>
      <c r="G44" s="223">
        <f>(0.0534+0.0448+0.0441)/3</f>
        <v>4.7433333333333334E-2</v>
      </c>
      <c r="H44" s="81">
        <f>0.3464-F44</f>
        <v>0.29649999999999999</v>
      </c>
      <c r="I44" s="82">
        <f>0.3319-F44</f>
        <v>0.28199999999999997</v>
      </c>
      <c r="J44" s="82">
        <f>0.2184-G44</f>
        <v>0.17096666666666668</v>
      </c>
      <c r="K44" s="82">
        <f>0.2063-G44</f>
        <v>0.15886666666666668</v>
      </c>
      <c r="L44" s="68">
        <f t="shared" si="0"/>
        <v>3.1290950837385194E-2</v>
      </c>
      <c r="M44" s="68">
        <f t="shared" si="1"/>
        <v>3.0127336574824411E-2</v>
      </c>
      <c r="N44" s="82">
        <f t="shared" si="2"/>
        <v>3.0709143706104801E-2</v>
      </c>
      <c r="O44" s="82">
        <f>'Growth curves CeBER'!I22</f>
        <v>3.4041839999999999</v>
      </c>
      <c r="P44" s="82">
        <f t="shared" si="3"/>
        <v>4.1987205455999996</v>
      </c>
      <c r="Q44" s="83">
        <f t="shared" si="10"/>
        <v>3.1490404091999994E-4</v>
      </c>
      <c r="R44" s="84">
        <f t="shared" si="4"/>
        <v>48.759526261376763</v>
      </c>
      <c r="S44" s="90"/>
      <c r="T44" s="89"/>
      <c r="U44" s="89"/>
      <c r="V44" s="70">
        <f t="shared" si="5"/>
        <v>204.72762470736535</v>
      </c>
      <c r="W44" s="102"/>
      <c r="X44" s="70"/>
      <c r="Y44" s="70"/>
      <c r="Z44" s="70">
        <f t="shared" si="7"/>
        <v>0.58716930242456977</v>
      </c>
      <c r="AA44" s="102"/>
      <c r="AB44" s="103"/>
    </row>
    <row r="45" spans="1:28" x14ac:dyDescent="0.2">
      <c r="A45" s="66"/>
      <c r="B45" s="215"/>
      <c r="C45" s="198"/>
      <c r="D45" s="218"/>
      <c r="E45" s="120" t="s">
        <v>111</v>
      </c>
      <c r="F45" s="221"/>
      <c r="G45" s="224"/>
      <c r="H45" s="69">
        <f>0.2683-F44</f>
        <v>0.21839999999999998</v>
      </c>
      <c r="I45" s="68">
        <f>0.2882-F44</f>
        <v>0.23830000000000001</v>
      </c>
      <c r="J45" s="68">
        <f>0.1713-G44</f>
        <v>0.12386666666666668</v>
      </c>
      <c r="K45" s="68">
        <f>0.1891-G44</f>
        <v>0.14166666666666666</v>
      </c>
      <c r="L45" s="68">
        <f t="shared" si="0"/>
        <v>2.3251323608860071E-2</v>
      </c>
      <c r="M45" s="68">
        <f t="shared" si="1"/>
        <v>2.4731226364127501E-2</v>
      </c>
      <c r="N45" s="68">
        <f t="shared" si="2"/>
        <v>2.3991274986493786E-2</v>
      </c>
      <c r="O45" s="68">
        <f>'Growth curves CeBER'!J22</f>
        <v>2.9650935999999999</v>
      </c>
      <c r="P45" s="68">
        <f t="shared" si="3"/>
        <v>3.6571464462400001</v>
      </c>
      <c r="Q45" s="99">
        <f t="shared" si="10"/>
        <v>2.74285983468E-4</v>
      </c>
      <c r="R45" s="100">
        <f t="shared" si="4"/>
        <v>43.734052107137231</v>
      </c>
      <c r="S45" s="101"/>
      <c r="V45" s="70">
        <f t="shared" si="5"/>
        <v>159.94183324329191</v>
      </c>
      <c r="W45" s="102"/>
      <c r="X45" s="70"/>
      <c r="Y45" s="70"/>
      <c r="Z45" s="70">
        <f>(V45-$V$6)/(D44-$D$5)</f>
        <v>0.45099716845904109</v>
      </c>
      <c r="AA45" s="102"/>
      <c r="AB45" s="103"/>
    </row>
    <row r="46" spans="1:28" x14ac:dyDescent="0.2">
      <c r="A46" s="66"/>
      <c r="B46" s="216"/>
      <c r="C46" s="199"/>
      <c r="D46" s="219"/>
      <c r="E46" s="151" t="s">
        <v>112</v>
      </c>
      <c r="F46" s="222"/>
      <c r="G46" s="225"/>
      <c r="H46" s="73">
        <f>0.2975-F44</f>
        <v>0.24759999999999999</v>
      </c>
      <c r="I46" s="74">
        <f>0.3051-F44</f>
        <v>0.25519999999999998</v>
      </c>
      <c r="J46" s="74">
        <f>0.1922-G44</f>
        <v>0.14476666666666668</v>
      </c>
      <c r="K46" s="74">
        <f>0.198-G44</f>
        <v>0.15056666666666668</v>
      </c>
      <c r="L46" s="68">
        <f t="shared" si="0"/>
        <v>2.5934548892490538E-2</v>
      </c>
      <c r="M46" s="68">
        <f t="shared" si="1"/>
        <v>2.6597595894111287E-2</v>
      </c>
      <c r="N46" s="74">
        <f t="shared" si="2"/>
        <v>2.6266072393300914E-2</v>
      </c>
      <c r="O46" s="74">
        <f>'Growth curves CeBER'!K22</f>
        <v>3.4781879999999998</v>
      </c>
      <c r="P46" s="74">
        <f t="shared" si="3"/>
        <v>4.2899970792</v>
      </c>
      <c r="Q46" s="75">
        <f t="shared" si="10"/>
        <v>3.2174978094000003E-4</v>
      </c>
      <c r="R46" s="76">
        <f t="shared" si="4"/>
        <v>40.817545106890094</v>
      </c>
      <c r="S46" s="77">
        <f>AVERAGE(R44:R46)</f>
        <v>44.437041158468027</v>
      </c>
      <c r="T46" s="78">
        <f>STDEV(R44:R46)</f>
        <v>4.0173886256215718</v>
      </c>
      <c r="U46" s="78">
        <f>T46/SQRT(3)</f>
        <v>2.3194404044419552</v>
      </c>
      <c r="V46" s="78">
        <f t="shared" si="5"/>
        <v>175.10714928867276</v>
      </c>
      <c r="W46" s="77">
        <f>AVERAGE(V44:V46)</f>
        <v>179.92553574644333</v>
      </c>
      <c r="X46" s="78">
        <f>STDEV(V44:V46)</f>
        <v>22.778376046333552</v>
      </c>
      <c r="Y46" s="78">
        <f>X46/SQRT(3)</f>
        <v>13.151101542053201</v>
      </c>
      <c r="Z46" s="78">
        <f>(V46-$V$7)/(D44-$D$5)</f>
        <v>0.49658048589087184</v>
      </c>
      <c r="AA46" s="77">
        <f>AVERAGE(Z44:Z46)</f>
        <v>0.51158231892482753</v>
      </c>
      <c r="AB46" s="135">
        <f>STDEV(Z44:Z46)/SQRT(3)</f>
        <v>4.0018761279202883E-2</v>
      </c>
    </row>
    <row r="47" spans="1:28" x14ac:dyDescent="0.2">
      <c r="A47" s="66"/>
      <c r="B47" s="214" t="s">
        <v>39</v>
      </c>
      <c r="C47" s="197">
        <v>0.5</v>
      </c>
      <c r="D47" s="217">
        <f>25+D44</f>
        <v>360.5</v>
      </c>
      <c r="E47" s="120" t="s">
        <v>110</v>
      </c>
      <c r="F47" s="220">
        <f>(0.0558+0.049+0.0546)/3</f>
        <v>5.3133333333333338E-2</v>
      </c>
      <c r="G47" s="223">
        <f>(0.0538+0.0466+0.0518)/3</f>
        <v>5.0733333333333332E-2</v>
      </c>
      <c r="H47" s="82">
        <f>0.3887-F47</f>
        <v>0.33556666666666668</v>
      </c>
      <c r="I47" s="82">
        <f>0.3408-F47</f>
        <v>0.28766666666666663</v>
      </c>
      <c r="J47" s="82">
        <f>0.2556-G47</f>
        <v>0.20486666666666667</v>
      </c>
      <c r="K47" s="82">
        <f>0.2096-G47</f>
        <v>0.15886666666666668</v>
      </c>
      <c r="L47" s="68">
        <f t="shared" si="0"/>
        <v>3.4298595353862781E-2</v>
      </c>
      <c r="M47" s="68">
        <f t="shared" si="1"/>
        <v>3.1045759049162604E-2</v>
      </c>
      <c r="N47" s="82">
        <f t="shared" si="2"/>
        <v>3.2672177201512692E-2</v>
      </c>
      <c r="O47" s="82">
        <f>'Growth curves CeBER'!I23</f>
        <v>3.6163288000000002</v>
      </c>
      <c r="P47" s="82">
        <f t="shared" si="3"/>
        <v>4.4603799419200003</v>
      </c>
      <c r="Q47" s="83">
        <f t="shared" ref="Q47:Q55" si="11">P47*0.075/1000</f>
        <v>3.3452849564400002E-4</v>
      </c>
      <c r="R47" s="84">
        <f t="shared" si="4"/>
        <v>48.833175091131714</v>
      </c>
      <c r="S47" s="90"/>
      <c r="T47" s="89"/>
      <c r="U47" s="89"/>
      <c r="V47" s="70">
        <f t="shared" si="5"/>
        <v>217.81451467675129</v>
      </c>
      <c r="W47" s="102"/>
      <c r="X47" s="70"/>
      <c r="Y47" s="70"/>
      <c r="Z47" s="70">
        <f t="shared" si="7"/>
        <v>0.58275226333655783</v>
      </c>
      <c r="AA47" s="102"/>
      <c r="AB47" s="103"/>
    </row>
    <row r="48" spans="1:28" x14ac:dyDescent="0.2">
      <c r="A48" s="66"/>
      <c r="B48" s="215"/>
      <c r="C48" s="198"/>
      <c r="D48" s="218"/>
      <c r="E48" s="120" t="s">
        <v>111</v>
      </c>
      <c r="F48" s="221"/>
      <c r="G48" s="224"/>
      <c r="H48" s="68">
        <f>0.2803-F47</f>
        <v>0.22716666666666666</v>
      </c>
      <c r="I48" s="68">
        <f>0.3087-F47</f>
        <v>0.25556666666666661</v>
      </c>
      <c r="J48" s="68">
        <f>0.1847-G47</f>
        <v>0.13396666666666668</v>
      </c>
      <c r="K48" s="68">
        <f>0.2103-G47</f>
        <v>0.15956666666666666</v>
      </c>
      <c r="L48" s="68">
        <f t="shared" si="0"/>
        <v>2.3681820637493241E-2</v>
      </c>
      <c r="M48" s="68">
        <f t="shared" si="1"/>
        <v>2.5774527282549965E-2</v>
      </c>
      <c r="N48" s="68">
        <f t="shared" si="2"/>
        <v>2.4728173960021603E-2</v>
      </c>
      <c r="O48" s="68">
        <f>'Growth curves CeBER'!J23</f>
        <v>3.502856</v>
      </c>
      <c r="P48" s="68">
        <f t="shared" si="3"/>
        <v>4.3204225903999998</v>
      </c>
      <c r="Q48" s="99">
        <f t="shared" si="11"/>
        <v>3.2403169427999993E-4</v>
      </c>
      <c r="R48" s="100">
        <f t="shared" si="4"/>
        <v>38.157029692678258</v>
      </c>
      <c r="S48" s="101"/>
      <c r="V48" s="70">
        <f t="shared" si="5"/>
        <v>164.8544930668107</v>
      </c>
      <c r="W48" s="102"/>
      <c r="X48" s="70"/>
      <c r="Y48" s="70"/>
      <c r="Z48" s="70">
        <f>(V48-$V$6)/(D47-$D$5)</f>
        <v>0.43334870968523459</v>
      </c>
      <c r="AA48" s="102"/>
      <c r="AB48" s="103"/>
    </row>
    <row r="49" spans="1:34" x14ac:dyDescent="0.2">
      <c r="A49" s="66"/>
      <c r="B49" s="216"/>
      <c r="C49" s="199"/>
      <c r="D49" s="219"/>
      <c r="E49" s="151" t="s">
        <v>112</v>
      </c>
      <c r="F49" s="222"/>
      <c r="G49" s="225"/>
      <c r="H49" s="74">
        <f>0.3315-F47</f>
        <v>0.27836666666666665</v>
      </c>
      <c r="I49" s="74">
        <f>0.3582-F47</f>
        <v>0.30506666666666671</v>
      </c>
      <c r="J49" s="74">
        <f>0.2167-G47</f>
        <v>0.16596666666666668</v>
      </c>
      <c r="K49" s="74">
        <f>0.2407-G47</f>
        <v>0.18996666666666667</v>
      </c>
      <c r="L49" s="68">
        <f t="shared" si="0"/>
        <v>2.8842274446245271E-2</v>
      </c>
      <c r="M49" s="68">
        <f t="shared" si="1"/>
        <v>3.0816342517558083E-2</v>
      </c>
      <c r="N49" s="74">
        <f t="shared" si="2"/>
        <v>2.9829308481901677E-2</v>
      </c>
      <c r="O49" s="74">
        <f>'Growth curves CeBER'!K23</f>
        <v>3.8679424000000004</v>
      </c>
      <c r="P49" s="74">
        <f t="shared" si="3"/>
        <v>4.7707201561600003</v>
      </c>
      <c r="Q49" s="75">
        <f t="shared" si="11"/>
        <v>3.57804011712E-4</v>
      </c>
      <c r="R49" s="76">
        <f t="shared" si="4"/>
        <v>41.683865336187992</v>
      </c>
      <c r="S49" s="77">
        <f>AVERAGE(R47:R49)</f>
        <v>42.891356706665988</v>
      </c>
      <c r="T49" s="78">
        <f>STDEV(R47:R49)</f>
        <v>5.4395355224103206</v>
      </c>
      <c r="U49" s="78">
        <f>T49/SQRT(3)</f>
        <v>3.1405172981301304</v>
      </c>
      <c r="V49" s="78">
        <f t="shared" si="5"/>
        <v>198.86205654601119</v>
      </c>
      <c r="W49" s="77">
        <f>AVERAGE(V47:V49)</f>
        <v>193.8436880965244</v>
      </c>
      <c r="X49" s="78">
        <f>STDEV(V47:V49)</f>
        <v>26.834287556267192</v>
      </c>
      <c r="Y49" s="78">
        <f>X49/SQRT(3)</f>
        <v>15.49278314412269</v>
      </c>
      <c r="Z49" s="78">
        <f>(V49-$V$7)/(D47-$D$5)</f>
        <v>0.52803789257621625</v>
      </c>
      <c r="AA49" s="77">
        <f>AVERAGE(Z47:Z49)</f>
        <v>0.51471295519933624</v>
      </c>
      <c r="AB49" s="135">
        <f>STDEV(Z47:Z49)/SQRT(3)</f>
        <v>4.3640657373540746E-2</v>
      </c>
    </row>
    <row r="50" spans="1:34" x14ac:dyDescent="0.2">
      <c r="A50" s="66"/>
      <c r="B50" s="214" t="s">
        <v>40</v>
      </c>
      <c r="C50" s="197">
        <v>0.53125</v>
      </c>
      <c r="D50" s="217">
        <f>25+D47</f>
        <v>385.5</v>
      </c>
      <c r="E50" s="120" t="s">
        <v>110</v>
      </c>
      <c r="F50" s="220">
        <f>(0.057+0.0553+0.0547)/3</f>
        <v>5.566666666666667E-2</v>
      </c>
      <c r="G50" s="223">
        <f>(0.055+0.0533+0.0525)/3</f>
        <v>5.3600000000000002E-2</v>
      </c>
      <c r="H50" s="82">
        <f>0.3813-F50</f>
        <v>0.32563333333333333</v>
      </c>
      <c r="I50" s="82">
        <f>0.4162-F50</f>
        <v>0.36053333333333337</v>
      </c>
      <c r="J50" s="82">
        <f>0.2392-G50</f>
        <v>0.18559999999999999</v>
      </c>
      <c r="K50" s="82">
        <f>0.2689-G50</f>
        <v>0.21529999999999996</v>
      </c>
      <c r="L50" s="68">
        <f t="shared" si="0"/>
        <v>3.4577849810913018E-2</v>
      </c>
      <c r="M50" s="68">
        <f t="shared" si="1"/>
        <v>3.7322015126958409E-2</v>
      </c>
      <c r="N50" s="82">
        <f t="shared" si="2"/>
        <v>3.5949932468935714E-2</v>
      </c>
      <c r="O50" s="82">
        <f>'Growth curves CeBER'!I24</f>
        <v>3.9764816000000005</v>
      </c>
      <c r="P50" s="82">
        <f t="shared" si="3"/>
        <v>4.9045924054400007</v>
      </c>
      <c r="Q50" s="83">
        <f t="shared" si="11"/>
        <v>3.6784443040800002E-4</v>
      </c>
      <c r="R50" s="84">
        <f t="shared" si="4"/>
        <v>48.865674585668351</v>
      </c>
      <c r="S50" s="90"/>
      <c r="T50" s="89"/>
      <c r="U50" s="89"/>
      <c r="V50" s="70">
        <f t="shared" si="5"/>
        <v>239.66621645957144</v>
      </c>
      <c r="W50" s="102"/>
      <c r="X50" s="70"/>
      <c r="Y50" s="70"/>
      <c r="Z50" s="70">
        <f t="shared" si="7"/>
        <v>0.60164433908080217</v>
      </c>
      <c r="AA50" s="102"/>
      <c r="AB50" s="103"/>
    </row>
    <row r="51" spans="1:34" x14ac:dyDescent="0.2">
      <c r="A51" s="66"/>
      <c r="B51" s="215"/>
      <c r="C51" s="198"/>
      <c r="D51" s="218"/>
      <c r="E51" s="120" t="s">
        <v>111</v>
      </c>
      <c r="F51" s="221"/>
      <c r="G51" s="224"/>
      <c r="H51" s="68">
        <f>0.2434-F50</f>
        <v>0.18773333333333334</v>
      </c>
      <c r="I51" s="68">
        <f>0.2506-F50</f>
        <v>0.19493333333333332</v>
      </c>
      <c r="J51" s="68">
        <f>0.1529-G50</f>
        <v>9.9299999999999999E-2</v>
      </c>
      <c r="K51" s="68">
        <f>0.1565-G50</f>
        <v>0.10289999999999999</v>
      </c>
      <c r="L51" s="68">
        <f t="shared" si="0"/>
        <v>2.0689924365207994E-2</v>
      </c>
      <c r="M51" s="68">
        <f t="shared" si="1"/>
        <v>2.1503862776877363E-2</v>
      </c>
      <c r="N51" s="68">
        <f t="shared" si="2"/>
        <v>2.1096893571042677E-2</v>
      </c>
      <c r="O51" s="68">
        <f>'Growth curves CeBER'!J24</f>
        <v>3.7248680000000003</v>
      </c>
      <c r="P51" s="68">
        <f t="shared" si="3"/>
        <v>4.5942521912000007</v>
      </c>
      <c r="Q51" s="99">
        <f t="shared" si="11"/>
        <v>3.4456891434000005E-4</v>
      </c>
      <c r="R51" s="100">
        <f t="shared" si="4"/>
        <v>30.613460316715514</v>
      </c>
      <c r="S51" s="101"/>
      <c r="V51" s="70">
        <f t="shared" si="5"/>
        <v>140.64595714028451</v>
      </c>
      <c r="W51" s="102"/>
      <c r="X51" s="70"/>
      <c r="Y51" s="70"/>
      <c r="Z51" s="70">
        <f>(V51-$V$6)/(D50-$D$5)</f>
        <v>0.34244792195849771</v>
      </c>
      <c r="AA51" s="102"/>
      <c r="AB51" s="103"/>
    </row>
    <row r="52" spans="1:34" x14ac:dyDescent="0.2">
      <c r="A52" s="66"/>
      <c r="B52" s="216"/>
      <c r="C52" s="199"/>
      <c r="D52" s="219"/>
      <c r="E52" s="151" t="s">
        <v>112</v>
      </c>
      <c r="F52" s="222"/>
      <c r="G52" s="225"/>
      <c r="H52" s="74">
        <f>0.3316-F50</f>
        <v>0.27593333333333336</v>
      </c>
      <c r="I52" s="74">
        <f>0.3156-F50</f>
        <v>0.25993333333333335</v>
      </c>
      <c r="J52" s="74">
        <f>0.2211-G50</f>
        <v>0.16749999999999998</v>
      </c>
      <c r="K52" s="74">
        <f>0.2031-G50</f>
        <v>0.14949999999999999</v>
      </c>
      <c r="L52" s="68">
        <f t="shared" si="0"/>
        <v>2.8297541869259871E-2</v>
      </c>
      <c r="M52" s="68">
        <f t="shared" si="1"/>
        <v>2.7469340896812536E-2</v>
      </c>
      <c r="N52" s="74">
        <f t="shared" si="2"/>
        <v>2.7883441383036202E-2</v>
      </c>
      <c r="O52" s="74">
        <f>'Growth curves CeBER'!K24</f>
        <v>4.3810368000000004</v>
      </c>
      <c r="P52" s="74">
        <f t="shared" si="3"/>
        <v>5.4035707891200007</v>
      </c>
      <c r="Q52" s="75">
        <f t="shared" si="11"/>
        <v>4.0526780918400003E-4</v>
      </c>
      <c r="R52" s="76">
        <f t="shared" si="4"/>
        <v>34.401253629271771</v>
      </c>
      <c r="S52" s="77">
        <f>AVERAGE(R50:R52)</f>
        <v>37.960129510551873</v>
      </c>
      <c r="T52" s="78">
        <f>STDEV(R50:R52)</f>
        <v>9.6324986158166528</v>
      </c>
      <c r="U52" s="78">
        <f>T52/SQRT(3)</f>
        <v>5.5613256688104427</v>
      </c>
      <c r="V52" s="78">
        <f t="shared" si="5"/>
        <v>185.88960922024134</v>
      </c>
      <c r="W52" s="77">
        <f>AVERAGE(V50:V52)</f>
        <v>188.7339276066991</v>
      </c>
      <c r="X52" s="78">
        <f>STDEV(V50:V52)</f>
        <v>49.571368240420426</v>
      </c>
      <c r="Y52" s="78">
        <f>X52/SQRT(3)</f>
        <v>28.620042797704802</v>
      </c>
      <c r="Z52" s="78">
        <f>(V52-$V$7)/(D50-$D$5)</f>
        <v>0.46014322424891335</v>
      </c>
      <c r="AA52" s="77">
        <f>AVERAGE(Z50:Z52)</f>
        <v>0.46807849509607108</v>
      </c>
      <c r="AB52" s="135">
        <f>STDEV(Z50:Z52)/SQRT(3)</f>
        <v>7.4928681768784297E-2</v>
      </c>
    </row>
    <row r="53" spans="1:34" x14ac:dyDescent="0.2">
      <c r="A53" s="66"/>
      <c r="B53" s="214" t="s">
        <v>41</v>
      </c>
      <c r="C53" s="197">
        <v>0.4513888888888889</v>
      </c>
      <c r="D53" s="217">
        <f>22+D50</f>
        <v>407.5</v>
      </c>
      <c r="E53" s="120" t="s">
        <v>110</v>
      </c>
      <c r="F53" s="220">
        <f>(0.0541+0.0513+0.0497)/3</f>
        <v>5.1699999999999996E-2</v>
      </c>
      <c r="G53" s="223">
        <f>(0.0519+0.0481+0.0478)/3</f>
        <v>4.9266666666666674E-2</v>
      </c>
      <c r="H53" s="82">
        <f>0.41-F53</f>
        <v>0.35829999999999995</v>
      </c>
      <c r="I53" s="82">
        <f>0.4214-F53</f>
        <v>0.36970000000000003</v>
      </c>
      <c r="J53" s="82">
        <f>0.2563-G53</f>
        <v>0.20703333333333329</v>
      </c>
      <c r="K53" s="82">
        <f>0.2743-G53</f>
        <v>0.22503333333333331</v>
      </c>
      <c r="L53" s="68">
        <f t="shared" si="0"/>
        <v>3.7770637493246891E-2</v>
      </c>
      <c r="M53" s="68">
        <f t="shared" si="1"/>
        <v>3.7853295515937337E-2</v>
      </c>
      <c r="N53" s="82">
        <f t="shared" si="2"/>
        <v>3.7811966504592114E-2</v>
      </c>
      <c r="O53" s="82">
        <f>'Growth curves CeBER'!I25</f>
        <v>3.6015280000000001</v>
      </c>
      <c r="P53" s="82">
        <f t="shared" si="3"/>
        <v>4.4421246351999999</v>
      </c>
      <c r="Q53" s="83">
        <f t="shared" si="11"/>
        <v>3.3315934763999998E-4</v>
      </c>
      <c r="R53" s="84">
        <f t="shared" si="4"/>
        <v>56.747569552588942</v>
      </c>
      <c r="S53" s="90"/>
      <c r="T53" s="89"/>
      <c r="U53" s="89"/>
      <c r="V53" s="70">
        <f t="shared" si="5"/>
        <v>252.07977669728078</v>
      </c>
      <c r="W53" s="102"/>
      <c r="X53" s="70"/>
      <c r="Y53" s="70"/>
      <c r="Z53" s="70">
        <f t="shared" si="7"/>
        <v>0.59962565141928492</v>
      </c>
      <c r="AA53" s="102"/>
      <c r="AB53" s="103"/>
    </row>
    <row r="54" spans="1:34" ht="15" customHeight="1" x14ac:dyDescent="0.2">
      <c r="A54" s="66"/>
      <c r="B54" s="215"/>
      <c r="C54" s="198"/>
      <c r="D54" s="218"/>
      <c r="E54" s="120" t="s">
        <v>111</v>
      </c>
      <c r="F54" s="221"/>
      <c r="G54" s="224"/>
      <c r="H54" s="68">
        <f>0.331-F53</f>
        <v>0.27929999999999999</v>
      </c>
      <c r="I54" s="68">
        <f>0.3384-F53</f>
        <v>0.28669999999999995</v>
      </c>
      <c r="J54" s="68">
        <f>0.2148-G53</f>
        <v>0.16553333333333331</v>
      </c>
      <c r="K54" s="68">
        <f>0.2172-G53</f>
        <v>0.16793333333333332</v>
      </c>
      <c r="L54" s="68">
        <f t="shared" si="0"/>
        <v>2.903603457590492E-2</v>
      </c>
      <c r="M54" s="68">
        <f t="shared" si="1"/>
        <v>3.0000054024851428E-2</v>
      </c>
      <c r="N54" s="68">
        <f t="shared" si="2"/>
        <v>2.9518044300378174E-2</v>
      </c>
      <c r="O54" s="68">
        <f>'Growth curves CeBER'!J25</f>
        <v>4.2626303999999999</v>
      </c>
      <c r="P54" s="68">
        <f t="shared" si="3"/>
        <v>5.25752833536</v>
      </c>
      <c r="Q54" s="99">
        <f t="shared" si="11"/>
        <v>3.9431462515199998E-4</v>
      </c>
      <c r="R54" s="100">
        <f t="shared" si="4"/>
        <v>37.429558045177238</v>
      </c>
      <c r="S54" s="101"/>
      <c r="V54" s="70">
        <f t="shared" si="5"/>
        <v>196.78696200252119</v>
      </c>
      <c r="W54" s="102"/>
      <c r="X54" s="70"/>
      <c r="Y54" s="70"/>
      <c r="Z54" s="70">
        <f>(V54-$V$6)/(D53-$D$5)</f>
        <v>0.46172927307297562</v>
      </c>
      <c r="AA54" s="102"/>
      <c r="AB54" s="103"/>
    </row>
    <row r="55" spans="1:34" ht="16" customHeight="1" thickBot="1" x14ac:dyDescent="0.25">
      <c r="A55" s="120"/>
      <c r="B55" s="230"/>
      <c r="C55" s="232"/>
      <c r="D55" s="231"/>
      <c r="E55" s="152" t="s">
        <v>112</v>
      </c>
      <c r="F55" s="234"/>
      <c r="G55" s="233"/>
      <c r="H55" s="93">
        <f>0.4241-F53</f>
        <v>0.37239999999999995</v>
      </c>
      <c r="I55" s="93">
        <f>0.4429-F53</f>
        <v>0.39119999999999999</v>
      </c>
      <c r="J55" s="93">
        <f>0.2732-G53</f>
        <v>0.22393333333333332</v>
      </c>
      <c r="K55" s="93">
        <f>0.2844-G53</f>
        <v>0.23513333333333331</v>
      </c>
      <c r="L55" s="68">
        <f t="shared" si="0"/>
        <v>3.8398757428417064E-2</v>
      </c>
      <c r="M55" s="68">
        <f t="shared" si="1"/>
        <v>4.0347541869259866E-2</v>
      </c>
      <c r="N55" s="93">
        <f t="shared" si="2"/>
        <v>3.9373149648838465E-2</v>
      </c>
      <c r="O55" s="93">
        <f>'Growth curves CeBER'!K25</f>
        <v>4.5290448000000003</v>
      </c>
      <c r="P55" s="93">
        <f t="shared" si="3"/>
        <v>5.5861238563200004</v>
      </c>
      <c r="Q55" s="94">
        <f t="shared" si="11"/>
        <v>4.18959289224E-4</v>
      </c>
      <c r="R55" s="95">
        <f t="shared" si="4"/>
        <v>46.989231008298866</v>
      </c>
      <c r="S55" s="96">
        <f>AVERAGE(R53:R55)</f>
        <v>47.055452868688349</v>
      </c>
      <c r="T55" s="97">
        <f>STDEV(R53:R55)</f>
        <v>9.6591760078806939</v>
      </c>
      <c r="U55" s="97">
        <f>T55/SQRT(3)</f>
        <v>5.5767278682998933</v>
      </c>
      <c r="V55" s="97">
        <f t="shared" si="5"/>
        <v>262.48766432558978</v>
      </c>
      <c r="W55" s="96">
        <f>AVERAGE(V53:V55)</f>
        <v>237.11813434179726</v>
      </c>
      <c r="X55" s="97">
        <f>STDEV(V53:V55)</f>
        <v>35.313363305073928</v>
      </c>
      <c r="Y55" s="97">
        <f>X55/SQRT(3)</f>
        <v>20.388179810175487</v>
      </c>
      <c r="Z55" s="97">
        <f>(V55-$V$7)/(D53-$D$5)</f>
        <v>0.62327182344369214</v>
      </c>
      <c r="AA55" s="96">
        <f>AVERAGE(Z53:Z55)</f>
        <v>0.56154224931198427</v>
      </c>
      <c r="AB55" s="104">
        <f>STDEV(Z53:Z55)/SQRT(3)</f>
        <v>5.0371149256025843E-2</v>
      </c>
    </row>
    <row r="56" spans="1:34" ht="15" thickBot="1" x14ac:dyDescent="0.25">
      <c r="B56" s="235" t="s">
        <v>64</v>
      </c>
      <c r="C56" s="236"/>
      <c r="D56" s="236"/>
      <c r="E56" s="236"/>
      <c r="F56" s="236"/>
      <c r="G56" s="236"/>
      <c r="H56" s="236"/>
      <c r="I56" s="236"/>
      <c r="J56" s="236"/>
      <c r="K56" s="236"/>
      <c r="L56" s="236"/>
      <c r="M56" s="236"/>
      <c r="N56" s="236"/>
      <c r="O56" s="236"/>
      <c r="P56" s="236"/>
      <c r="Q56" s="236"/>
      <c r="R56" s="236"/>
      <c r="S56" s="236"/>
      <c r="T56" s="236"/>
      <c r="U56" s="236"/>
      <c r="V56" s="236"/>
      <c r="W56" s="236"/>
      <c r="X56" s="236"/>
      <c r="Y56" s="236"/>
      <c r="Z56" s="236"/>
      <c r="AA56" s="236"/>
      <c r="AB56" s="237"/>
    </row>
    <row r="57" spans="1:34" ht="45" customHeight="1" x14ac:dyDescent="0.2">
      <c r="B57" s="105" t="s">
        <v>0</v>
      </c>
      <c r="C57" s="106" t="s">
        <v>1</v>
      </c>
      <c r="D57" s="140" t="s">
        <v>2</v>
      </c>
      <c r="E57" s="149"/>
      <c r="F57" s="106" t="s">
        <v>14</v>
      </c>
      <c r="G57" s="106" t="s">
        <v>15</v>
      </c>
      <c r="H57" s="208" t="s">
        <v>75</v>
      </c>
      <c r="I57" s="209"/>
      <c r="J57" s="210" t="s">
        <v>76</v>
      </c>
      <c r="K57" s="211"/>
      <c r="L57" s="212" t="s">
        <v>77</v>
      </c>
      <c r="M57" s="213"/>
      <c r="N57" s="107" t="s">
        <v>78</v>
      </c>
      <c r="O57" s="108" t="s">
        <v>79</v>
      </c>
      <c r="P57" s="107" t="s">
        <v>16</v>
      </c>
      <c r="Q57" s="107" t="s">
        <v>17</v>
      </c>
      <c r="R57" s="107" t="s">
        <v>80</v>
      </c>
      <c r="S57" s="107" t="s">
        <v>81</v>
      </c>
      <c r="T57" s="107" t="s">
        <v>82</v>
      </c>
      <c r="U57" s="109" t="s">
        <v>56</v>
      </c>
      <c r="V57" s="108" t="s">
        <v>83</v>
      </c>
      <c r="W57" s="107" t="s">
        <v>84</v>
      </c>
      <c r="X57" s="107" t="s">
        <v>82</v>
      </c>
      <c r="Y57" s="59" t="s">
        <v>56</v>
      </c>
      <c r="Z57" s="59" t="s">
        <v>72</v>
      </c>
      <c r="AA57" s="107" t="s">
        <v>73</v>
      </c>
      <c r="AB57" s="110" t="s">
        <v>56</v>
      </c>
      <c r="AD57" s="58" t="s">
        <v>2</v>
      </c>
      <c r="AE57" s="111" t="str">
        <f>S57</f>
        <v>Average specific CPC conc.</v>
      </c>
      <c r="AF57" s="58" t="s">
        <v>18</v>
      </c>
      <c r="AG57" s="111" t="str">
        <f>W57</f>
        <v>Average total CPC</v>
      </c>
      <c r="AH57" s="58" t="s">
        <v>18</v>
      </c>
    </row>
    <row r="58" spans="1:34" ht="25" customHeight="1" x14ac:dyDescent="0.2">
      <c r="B58" s="60"/>
      <c r="C58" s="61"/>
      <c r="D58" s="63"/>
      <c r="E58" s="150"/>
      <c r="F58" s="61" t="s">
        <v>19</v>
      </c>
      <c r="G58" s="61" t="s">
        <v>19</v>
      </c>
      <c r="H58" s="228" t="s">
        <v>19</v>
      </c>
      <c r="I58" s="206"/>
      <c r="J58" s="229" t="s">
        <v>19</v>
      </c>
      <c r="K58" s="207"/>
      <c r="L58" s="206" t="s">
        <v>20</v>
      </c>
      <c r="M58" s="207"/>
      <c r="N58" s="64" t="s">
        <v>20</v>
      </c>
      <c r="O58" s="64" t="s">
        <v>19</v>
      </c>
      <c r="P58" s="64" t="s">
        <v>21</v>
      </c>
      <c r="Q58" s="64" t="s">
        <v>22</v>
      </c>
      <c r="R58" s="65" t="s">
        <v>85</v>
      </c>
      <c r="S58" s="65" t="s">
        <v>85</v>
      </c>
      <c r="T58" s="64"/>
      <c r="U58" s="63"/>
      <c r="V58" s="65" t="s">
        <v>86</v>
      </c>
      <c r="W58" s="65" t="s">
        <v>86</v>
      </c>
      <c r="X58" s="64"/>
      <c r="Y58" s="64"/>
      <c r="Z58" s="65" t="s">
        <v>74</v>
      </c>
      <c r="AA58" s="65" t="s">
        <v>74</v>
      </c>
      <c r="AB58" s="62"/>
      <c r="AD58" s="87">
        <f>D59</f>
        <v>0</v>
      </c>
      <c r="AE58" s="70">
        <f>S61</f>
        <v>54.401550535099027</v>
      </c>
      <c r="AF58" s="70">
        <f>U61</f>
        <v>1.8291784470801935</v>
      </c>
      <c r="AG58" s="70">
        <f>W61</f>
        <v>7.7227951107509467</v>
      </c>
      <c r="AH58" s="70">
        <f>Y61</f>
        <v>0.41015879231905006</v>
      </c>
    </row>
    <row r="59" spans="1:34" x14ac:dyDescent="0.2">
      <c r="B59" s="215" t="s">
        <v>8</v>
      </c>
      <c r="C59" s="198">
        <v>0.52083333333333337</v>
      </c>
      <c r="D59" s="226">
        <v>0</v>
      </c>
      <c r="E59" s="120" t="s">
        <v>110</v>
      </c>
      <c r="F59" s="221">
        <v>5.45E-2</v>
      </c>
      <c r="G59" s="224">
        <v>5.1400000000000001E-2</v>
      </c>
      <c r="H59" s="69">
        <f>0.3319-F59</f>
        <v>0.27739999999999998</v>
      </c>
      <c r="I59" s="68">
        <f>0.3371-F59</f>
        <v>0.28260000000000002</v>
      </c>
      <c r="J59" s="68">
        <f>0.2195-G59</f>
        <v>0.1681</v>
      </c>
      <c r="K59" s="68">
        <f>0.2249-G59</f>
        <v>0.17349999999999999</v>
      </c>
      <c r="L59" s="68">
        <f>(H59-(0.605*J59))/6.17</f>
        <v>2.8476418152350077E-2</v>
      </c>
      <c r="M59" s="68">
        <f>(I59-(0.605*K59))/6.17</f>
        <v>2.8789708265802273E-2</v>
      </c>
      <c r="N59" s="68">
        <f>AVERAGE(L59:M59)</f>
        <v>2.8633063209076173E-2</v>
      </c>
      <c r="O59" s="58">
        <f>'Growth curves CeBER'!F30</f>
        <v>0.114</v>
      </c>
      <c r="P59" s="68">
        <f>1.2334*O59</f>
        <v>0.1406076</v>
      </c>
      <c r="Q59" s="99">
        <f>P59*2/1000</f>
        <v>2.8121519999999998E-4</v>
      </c>
      <c r="R59" s="100">
        <f>(N59*0.5)/Q59</f>
        <v>50.909522687742651</v>
      </c>
      <c r="S59" s="101"/>
      <c r="V59" s="70">
        <f>R59*P59</f>
        <v>7.1582658022690433</v>
      </c>
      <c r="W59" s="101"/>
      <c r="AA59" s="101"/>
      <c r="AB59" s="67"/>
      <c r="AD59" s="87">
        <f>D62</f>
        <v>22</v>
      </c>
      <c r="AE59" s="70">
        <f>S64</f>
        <v>23.296964412976326</v>
      </c>
      <c r="AF59" s="70">
        <f>U64</f>
        <v>1.4677187773815235</v>
      </c>
      <c r="AG59" s="70">
        <f>W64</f>
        <v>6.622285251215561</v>
      </c>
      <c r="AH59" s="70">
        <f>Y64</f>
        <v>0.37229206532521175</v>
      </c>
    </row>
    <row r="60" spans="1:34" ht="15" customHeight="1" x14ac:dyDescent="0.2">
      <c r="B60" s="215"/>
      <c r="C60" s="198"/>
      <c r="D60" s="226"/>
      <c r="E60" s="120" t="s">
        <v>111</v>
      </c>
      <c r="F60" s="221"/>
      <c r="G60" s="224"/>
      <c r="H60" s="69">
        <f>0.3846-F59</f>
        <v>0.3301</v>
      </c>
      <c r="I60" s="68">
        <f>0.388-F59</f>
        <v>0.33350000000000002</v>
      </c>
      <c r="J60" s="68">
        <f>0.2504-G59</f>
        <v>0.19900000000000001</v>
      </c>
      <c r="K60" s="68">
        <f>0.2541-G59</f>
        <v>0.20269999999999999</v>
      </c>
      <c r="L60" s="68">
        <f t="shared" ref="L60:L109" si="12">(H60-(0.605*J60))/6.17</f>
        <v>3.3987844408427878E-2</v>
      </c>
      <c r="M60" s="68">
        <f t="shared" ref="M60:M109" si="13">(I60-(0.605*K60))/6.17</f>
        <v>3.4176094003241494E-2</v>
      </c>
      <c r="N60" s="68">
        <f t="shared" ref="N60:N109" si="14">AVERAGE(L60:M60)</f>
        <v>3.4081969205834686E-2</v>
      </c>
      <c r="O60" s="58">
        <f>'Growth curves CeBER'!G30</f>
        <v>0.121</v>
      </c>
      <c r="P60" s="68">
        <f t="shared" ref="P60:P109" si="15">1.2334*O60</f>
        <v>0.1492414</v>
      </c>
      <c r="Q60" s="99">
        <f>P60*2/1000</f>
        <v>2.9848279999999998E-4</v>
      </c>
      <c r="R60" s="100">
        <f t="shared" ref="R60:R109" si="16">(N60*0.5)/Q60</f>
        <v>57.092015362082321</v>
      </c>
      <c r="S60" s="101"/>
      <c r="V60" s="70">
        <f t="shared" ref="V60:V109" si="17">R60*P60</f>
        <v>8.5204923014586722</v>
      </c>
      <c r="W60" s="101"/>
      <c r="AA60" s="101"/>
      <c r="AB60" s="67"/>
      <c r="AD60" s="87">
        <f>D65</f>
        <v>48</v>
      </c>
      <c r="AE60" s="70">
        <f>S67</f>
        <v>26.829635416131026</v>
      </c>
      <c r="AF60" s="70">
        <f>U67</f>
        <v>1.1193636056802405</v>
      </c>
      <c r="AG60" s="70">
        <f>W67</f>
        <v>13.631867909238251</v>
      </c>
      <c r="AH60" s="70">
        <f>Y67</f>
        <v>0.15355113963412909</v>
      </c>
    </row>
    <row r="61" spans="1:34" ht="15" customHeight="1" x14ac:dyDescent="0.2">
      <c r="B61" s="216"/>
      <c r="C61" s="199"/>
      <c r="D61" s="227"/>
      <c r="E61" s="151" t="s">
        <v>112</v>
      </c>
      <c r="F61" s="222"/>
      <c r="G61" s="225"/>
      <c r="H61" s="73">
        <f>0.3472-F59</f>
        <v>0.29270000000000002</v>
      </c>
      <c r="I61" s="74">
        <f>0.3459-F59</f>
        <v>0.29139999999999999</v>
      </c>
      <c r="J61" s="74">
        <f>0.2289-G59</f>
        <v>0.17749999999999999</v>
      </c>
      <c r="K61" s="74">
        <f>0.2283-G59</f>
        <v>0.1769</v>
      </c>
      <c r="L61" s="68">
        <f t="shared" si="12"/>
        <v>3.0034440842787686E-2</v>
      </c>
      <c r="M61" s="68">
        <f t="shared" si="13"/>
        <v>2.988257698541329E-2</v>
      </c>
      <c r="N61" s="74">
        <f t="shared" si="14"/>
        <v>2.9958508914100488E-2</v>
      </c>
      <c r="O61" s="71">
        <f>'Growth curves CeBER'!H30</f>
        <v>0.11</v>
      </c>
      <c r="P61" s="74">
        <f t="shared" si="15"/>
        <v>0.13567400000000002</v>
      </c>
      <c r="Q61" s="75">
        <f>P61*2/1000</f>
        <v>2.7134800000000003E-4</v>
      </c>
      <c r="R61" s="76">
        <f t="shared" si="16"/>
        <v>55.203113555472093</v>
      </c>
      <c r="S61" s="77">
        <f>AVERAGE(R59:R61)</f>
        <v>54.401550535099027</v>
      </c>
      <c r="T61" s="78">
        <f>STDEV(R59:R61)</f>
        <v>3.1682300064528337</v>
      </c>
      <c r="U61" s="78">
        <f>T61/SQRT(3)</f>
        <v>1.8291784470801935</v>
      </c>
      <c r="V61" s="78">
        <f t="shared" si="17"/>
        <v>7.489627228525122</v>
      </c>
      <c r="W61" s="77">
        <f>AVERAGE(V59:V61)</f>
        <v>7.7227951107509467</v>
      </c>
      <c r="X61" s="78">
        <f>STDEV(V59:V61)</f>
        <v>0.71041586746768604</v>
      </c>
      <c r="Y61" s="78">
        <f>X61/SQRT(3)</f>
        <v>0.41015879231905006</v>
      </c>
      <c r="Z61" s="71"/>
      <c r="AA61" s="134"/>
      <c r="AB61" s="72"/>
      <c r="AD61" s="87">
        <f>D68</f>
        <v>72.5</v>
      </c>
      <c r="AE61" s="70">
        <f>S70</f>
        <v>43.929903005378883</v>
      </c>
      <c r="AF61" s="70">
        <f>U70</f>
        <v>1.0537223319315059</v>
      </c>
      <c r="AG61" s="70">
        <f>W70</f>
        <v>33.79540987844409</v>
      </c>
      <c r="AH61" s="70">
        <f>Y70</f>
        <v>0.12645517321473054</v>
      </c>
    </row>
    <row r="62" spans="1:34" x14ac:dyDescent="0.2">
      <c r="B62" s="215" t="s">
        <v>9</v>
      </c>
      <c r="C62" s="198">
        <v>0.4375</v>
      </c>
      <c r="D62" s="226">
        <f>D59+22</f>
        <v>22</v>
      </c>
      <c r="E62" s="120" t="s">
        <v>110</v>
      </c>
      <c r="F62" s="221">
        <f>(0.0686+0.0622+0.0602)/3</f>
        <v>6.3666666666666663E-2</v>
      </c>
      <c r="G62" s="224">
        <f>(0.0672+0.0613+0.058)/3</f>
        <v>6.2166666666666669E-2</v>
      </c>
      <c r="H62" s="69">
        <f>0.199-F62</f>
        <v>0.13533333333333336</v>
      </c>
      <c r="I62" s="68">
        <f>0.2008-F62</f>
        <v>0.13713333333333333</v>
      </c>
      <c r="J62" s="68">
        <f>0.1393-G62</f>
        <v>7.7133333333333332E-2</v>
      </c>
      <c r="K62" s="68">
        <f>0.1404-G62</f>
        <v>7.8233333333333321E-2</v>
      </c>
      <c r="L62" s="68">
        <f t="shared" si="12"/>
        <v>1.4370772555375479E-2</v>
      </c>
      <c r="M62" s="68">
        <f t="shared" si="13"/>
        <v>1.4554646137223123E-2</v>
      </c>
      <c r="N62" s="68">
        <f t="shared" si="14"/>
        <v>1.4462709346299301E-2</v>
      </c>
      <c r="O62" s="68">
        <f>'Growth curves CeBER'!F32</f>
        <v>0.22600000000000001</v>
      </c>
      <c r="P62" s="68">
        <f t="shared" si="15"/>
        <v>0.27874840000000001</v>
      </c>
      <c r="Q62" s="99">
        <f t="shared" ref="Q62:Q67" si="18">P62*1/1000</f>
        <v>2.7874840000000002E-4</v>
      </c>
      <c r="R62" s="100">
        <f t="shared" si="16"/>
        <v>25.942228450996129</v>
      </c>
      <c r="S62" s="102"/>
      <c r="T62" s="70"/>
      <c r="U62" s="70"/>
      <c r="V62" s="70">
        <f t="shared" si="17"/>
        <v>7.2313546731496494</v>
      </c>
      <c r="W62" s="102"/>
      <c r="X62" s="70"/>
      <c r="Y62" s="70"/>
      <c r="Z62" s="70">
        <f>(V62-$V$59)/(D62-$D$59)</f>
        <v>3.3222214036639146E-3</v>
      </c>
      <c r="AA62" s="102"/>
      <c r="AB62" s="67"/>
      <c r="AD62" s="87">
        <f>D71</f>
        <v>94.5</v>
      </c>
      <c r="AE62" s="70">
        <f>S73</f>
        <v>51.971705382720216</v>
      </c>
      <c r="AF62" s="70">
        <f>U73</f>
        <v>6.8180244291567371</v>
      </c>
      <c r="AG62" s="70">
        <f>W73</f>
        <v>57.33367611561318</v>
      </c>
      <c r="AH62" s="70">
        <f>Y73</f>
        <v>8.8885628483466057</v>
      </c>
    </row>
    <row r="63" spans="1:34" x14ac:dyDescent="0.2">
      <c r="B63" s="215"/>
      <c r="C63" s="198"/>
      <c r="D63" s="226"/>
      <c r="E63" s="120" t="s">
        <v>111</v>
      </c>
      <c r="F63" s="221"/>
      <c r="G63" s="224"/>
      <c r="H63" s="69">
        <f>0.188-F62</f>
        <v>0.12433333333333334</v>
      </c>
      <c r="I63" s="68">
        <f>0.1831-F62</f>
        <v>0.11943333333333335</v>
      </c>
      <c r="J63" s="68">
        <f>0.1309-G62</f>
        <v>6.8733333333333313E-2</v>
      </c>
      <c r="K63" s="68">
        <f>0.1235-G62</f>
        <v>6.133333333333333E-2</v>
      </c>
      <c r="L63" s="68">
        <f t="shared" si="12"/>
        <v>1.3411615343057811E-2</v>
      </c>
      <c r="M63" s="68">
        <f t="shared" si="13"/>
        <v>1.3343057806591035E-2</v>
      </c>
      <c r="N63" s="68">
        <f t="shared" si="14"/>
        <v>1.3377336574824424E-2</v>
      </c>
      <c r="O63" s="68">
        <f>'Growth curves CeBER'!G32</f>
        <v>0.23499999999999999</v>
      </c>
      <c r="P63" s="68">
        <f t="shared" si="15"/>
        <v>0.28984900000000002</v>
      </c>
      <c r="Q63" s="99">
        <f t="shared" si="18"/>
        <v>2.8984900000000001E-4</v>
      </c>
      <c r="R63" s="100">
        <f t="shared" si="16"/>
        <v>23.07638904192256</v>
      </c>
      <c r="S63" s="101"/>
      <c r="T63" s="70"/>
      <c r="U63" s="70"/>
      <c r="V63" s="70">
        <f t="shared" si="17"/>
        <v>6.688668287412213</v>
      </c>
      <c r="W63" s="102"/>
      <c r="X63" s="70"/>
      <c r="Y63" s="70"/>
      <c r="Z63" s="70">
        <f>(V63-$V$60)/(D62-$D$59)</f>
        <v>-8.3264727911202693E-2</v>
      </c>
      <c r="AA63" s="102"/>
      <c r="AB63" s="67"/>
      <c r="AD63" s="87">
        <f>D74</f>
        <v>117.5</v>
      </c>
      <c r="AE63" s="70">
        <f>S76</f>
        <v>62.13327149725361</v>
      </c>
      <c r="AF63" s="70">
        <f>U76</f>
        <v>3.4450365347457317</v>
      </c>
      <c r="AG63" s="70">
        <f>W76</f>
        <v>89.993555051323611</v>
      </c>
      <c r="AH63" s="70">
        <f>Y76</f>
        <v>10.760574513320385</v>
      </c>
    </row>
    <row r="64" spans="1:34" x14ac:dyDescent="0.2">
      <c r="B64" s="216"/>
      <c r="C64" s="199"/>
      <c r="D64" s="227"/>
      <c r="E64" s="151" t="s">
        <v>112</v>
      </c>
      <c r="F64" s="222"/>
      <c r="G64" s="225"/>
      <c r="H64" s="73">
        <f>0.1728-F62</f>
        <v>0.10913333333333335</v>
      </c>
      <c r="I64" s="74">
        <f>0.1786-F62</f>
        <v>0.11493333333333335</v>
      </c>
      <c r="J64" s="74">
        <f>0.1236-G62</f>
        <v>6.1433333333333333E-2</v>
      </c>
      <c r="K64" s="74">
        <f>0.1285-G62</f>
        <v>6.6333333333333327E-2</v>
      </c>
      <c r="L64" s="68">
        <f t="shared" si="12"/>
        <v>1.1663884386817938E-2</v>
      </c>
      <c r="M64" s="68">
        <f t="shared" si="13"/>
        <v>1.2123446785521342E-2</v>
      </c>
      <c r="N64" s="74">
        <f t="shared" si="14"/>
        <v>1.189366558616964E-2</v>
      </c>
      <c r="O64" s="74">
        <f>'Growth curves CeBER'!H32</f>
        <v>0.23100000000000001</v>
      </c>
      <c r="P64" s="74">
        <f t="shared" si="15"/>
        <v>0.28491540000000004</v>
      </c>
      <c r="Q64" s="75">
        <f t="shared" si="18"/>
        <v>2.8491540000000003E-4</v>
      </c>
      <c r="R64" s="76">
        <f t="shared" si="16"/>
        <v>20.872275746010288</v>
      </c>
      <c r="S64" s="77">
        <f>AVERAGE(R62:R64)</f>
        <v>23.296964412976326</v>
      </c>
      <c r="T64" s="78">
        <f>STDEV(R62:R64)</f>
        <v>2.5421634936476729</v>
      </c>
      <c r="U64" s="78">
        <f>T64/SQRT(3)</f>
        <v>1.4677187773815235</v>
      </c>
      <c r="V64" s="78">
        <f t="shared" si="17"/>
        <v>5.9468327930848206</v>
      </c>
      <c r="W64" s="77">
        <f t="shared" ref="W64:W109" si="19">AVERAGE(V62:V64)</f>
        <v>6.622285251215561</v>
      </c>
      <c r="X64" s="78">
        <f t="shared" ref="X64:X109" si="20">STDEV(V62:V64)</f>
        <v>0.64482877239801817</v>
      </c>
      <c r="Y64" s="78">
        <f t="shared" ref="Y64:Y109" si="21">X64/SQRT(3)</f>
        <v>0.37229206532521175</v>
      </c>
      <c r="Z64" s="78">
        <f>(V64-$V$61)/(D62-$D$59)</f>
        <v>-7.0127019792740969E-2</v>
      </c>
      <c r="AA64" s="77">
        <f>AVERAGE(Z62:Z64)</f>
        <v>-5.0023175433426582E-2</v>
      </c>
      <c r="AB64" s="135">
        <f>STDEV(Z62:Z64)/SQRT(3)</f>
        <v>2.6940974780876512E-2</v>
      </c>
      <c r="AD64" s="87">
        <f>D77</f>
        <v>141.5</v>
      </c>
      <c r="AE64" s="70">
        <f>S79</f>
        <v>52.266225047670893</v>
      </c>
      <c r="AF64" s="70">
        <f>U79</f>
        <v>2.7396688015393207</v>
      </c>
      <c r="AG64" s="70">
        <f>W79</f>
        <v>107.16495185035114</v>
      </c>
      <c r="AH64" s="70">
        <f>Y79</f>
        <v>13.973785113400739</v>
      </c>
    </row>
    <row r="65" spans="2:34" x14ac:dyDescent="0.2">
      <c r="B65" s="215" t="s">
        <v>10</v>
      </c>
      <c r="C65" s="198">
        <v>0.52083333333333337</v>
      </c>
      <c r="D65" s="226">
        <f>D59+48</f>
        <v>48</v>
      </c>
      <c r="E65" s="120" t="s">
        <v>110</v>
      </c>
      <c r="F65" s="221">
        <f>(0.0599+0.0418+0.0497)/3</f>
        <v>5.0466666666666667E-2</v>
      </c>
      <c r="G65" s="224">
        <f>(0.0572+0.0398+0.0473)/3</f>
        <v>4.8100000000000004E-2</v>
      </c>
      <c r="H65" s="69">
        <f>0.3239-F65</f>
        <v>0.27343333333333336</v>
      </c>
      <c r="I65" s="68">
        <f>0.3189-F65</f>
        <v>0.26843333333333336</v>
      </c>
      <c r="J65" s="68">
        <f>0.2149-G65</f>
        <v>0.1668</v>
      </c>
      <c r="K65" s="68">
        <f>0.209-G65</f>
        <v>0.16089999999999999</v>
      </c>
      <c r="L65" s="68">
        <f t="shared" si="12"/>
        <v>2.7960994057266347E-2</v>
      </c>
      <c r="M65" s="68">
        <f t="shared" si="13"/>
        <v>2.7729146407347385E-2</v>
      </c>
      <c r="N65" s="68">
        <f t="shared" si="14"/>
        <v>2.7845070232306868E-2</v>
      </c>
      <c r="O65" s="68">
        <f>'Growth curves CeBER'!F35</f>
        <v>0.39200000000000002</v>
      </c>
      <c r="P65" s="68">
        <f t="shared" si="15"/>
        <v>0.48349280000000006</v>
      </c>
      <c r="Q65" s="99">
        <f t="shared" si="18"/>
        <v>4.8349280000000008E-4</v>
      </c>
      <c r="R65" s="100">
        <f t="shared" si="16"/>
        <v>28.795744458145876</v>
      </c>
      <c r="S65" s="102"/>
      <c r="T65" s="70"/>
      <c r="U65" s="70"/>
      <c r="V65" s="70">
        <f t="shared" si="17"/>
        <v>13.922535116153433</v>
      </c>
      <c r="W65" s="102"/>
      <c r="X65" s="70"/>
      <c r="Y65" s="70"/>
      <c r="Z65" s="70">
        <f t="shared" ref="Z65:Z107" si="22">(V65-$V$59)/(D65-$D$59)</f>
        <v>0.14092227737259147</v>
      </c>
      <c r="AA65" s="102"/>
      <c r="AB65" s="103"/>
      <c r="AD65" s="87">
        <f>D80</f>
        <v>191.5</v>
      </c>
      <c r="AE65" s="70">
        <f>S82</f>
        <v>44.54226536377282</v>
      </c>
      <c r="AF65" s="70">
        <f>U82</f>
        <v>2.5317791917489312</v>
      </c>
      <c r="AG65" s="70">
        <f>W82</f>
        <v>122.93895191788222</v>
      </c>
      <c r="AH65" s="70">
        <f>Y82</f>
        <v>10.175407237773351</v>
      </c>
    </row>
    <row r="66" spans="2:34" x14ac:dyDescent="0.2">
      <c r="B66" s="215"/>
      <c r="C66" s="198"/>
      <c r="D66" s="226"/>
      <c r="E66" s="120" t="s">
        <v>111</v>
      </c>
      <c r="F66" s="221"/>
      <c r="G66" s="224"/>
      <c r="H66" s="69">
        <f>0.3126-F65</f>
        <v>0.26213333333333333</v>
      </c>
      <c r="I66" s="68">
        <f>0.3218-F65</f>
        <v>0.27133333333333332</v>
      </c>
      <c r="J66" s="68">
        <f>0.208-G65</f>
        <v>0.15989999999999999</v>
      </c>
      <c r="K66" s="68">
        <f>0.2163-G65</f>
        <v>0.16819999999999999</v>
      </c>
      <c r="L66" s="68">
        <f t="shared" si="12"/>
        <v>2.6806131820637496E-2</v>
      </c>
      <c r="M66" s="68">
        <f t="shared" si="13"/>
        <v>2.7483360345759048E-2</v>
      </c>
      <c r="N66" s="68">
        <f t="shared" si="14"/>
        <v>2.7144746083198272E-2</v>
      </c>
      <c r="O66" s="68">
        <f>'Growth curves CeBER'!G35</f>
        <v>0.41099999999999998</v>
      </c>
      <c r="P66" s="68">
        <f t="shared" si="15"/>
        <v>0.50692740000000003</v>
      </c>
      <c r="Q66" s="99">
        <f t="shared" si="18"/>
        <v>5.0692740000000003E-4</v>
      </c>
      <c r="R66" s="100">
        <f t="shared" si="16"/>
        <v>26.7738004329597</v>
      </c>
      <c r="S66" s="101"/>
      <c r="T66" s="70"/>
      <c r="U66" s="70"/>
      <c r="V66" s="70">
        <f t="shared" si="17"/>
        <v>13.572373041599135</v>
      </c>
      <c r="W66" s="102"/>
      <c r="X66" s="70"/>
      <c r="Y66" s="70"/>
      <c r="Z66" s="70">
        <f>(V66-$V$60)/(D65-$D$59)</f>
        <v>0.10524751541959299</v>
      </c>
      <c r="AA66" s="102"/>
      <c r="AB66" s="103"/>
      <c r="AD66" s="87">
        <f>D83</f>
        <v>214</v>
      </c>
      <c r="AE66" s="70">
        <f>S85</f>
        <v>47.242638438348571</v>
      </c>
      <c r="AF66" s="70">
        <f>U85</f>
        <v>4.2910924195071836</v>
      </c>
      <c r="AG66" s="70">
        <f>W85</f>
        <v>148.39012695840086</v>
      </c>
      <c r="AH66" s="70">
        <f>Y85</f>
        <v>3.8127328349890774</v>
      </c>
    </row>
    <row r="67" spans="2:34" x14ac:dyDescent="0.2">
      <c r="B67" s="216"/>
      <c r="C67" s="199"/>
      <c r="D67" s="227"/>
      <c r="E67" s="151" t="s">
        <v>112</v>
      </c>
      <c r="F67" s="222"/>
      <c r="G67" s="225"/>
      <c r="H67" s="73">
        <f>0.3213-F65</f>
        <v>0.27083333333333331</v>
      </c>
      <c r="I67" s="74">
        <f>0.3206-F65</f>
        <v>0.27013333333333334</v>
      </c>
      <c r="J67" s="74">
        <f>0.2227-G65</f>
        <v>0.17460000000000001</v>
      </c>
      <c r="K67" s="74">
        <f>0.221-G65</f>
        <v>0.1729</v>
      </c>
      <c r="L67" s="68">
        <f t="shared" si="12"/>
        <v>2.6774770394381413E-2</v>
      </c>
      <c r="M67" s="68">
        <f t="shared" si="13"/>
        <v>2.6828011885467316E-2</v>
      </c>
      <c r="N67" s="74">
        <f t="shared" si="14"/>
        <v>2.6801391139924365E-2</v>
      </c>
      <c r="O67" s="74">
        <f>'Growth curves CeBER'!H35</f>
        <v>0.436</v>
      </c>
      <c r="P67" s="74">
        <f t="shared" si="15"/>
        <v>0.53776239999999997</v>
      </c>
      <c r="Q67" s="75">
        <f t="shared" si="18"/>
        <v>5.3776239999999993E-4</v>
      </c>
      <c r="R67" s="76">
        <f t="shared" si="16"/>
        <v>24.919361357287499</v>
      </c>
      <c r="S67" s="77">
        <f>AVERAGE(R65:R67)</f>
        <v>26.829635416131026</v>
      </c>
      <c r="T67" s="78">
        <f>STDEV(R65:R67)</f>
        <v>1.9387946371816709</v>
      </c>
      <c r="U67" s="78">
        <f>T67/SQRT(3)</f>
        <v>1.1193636056802405</v>
      </c>
      <c r="V67" s="78">
        <f t="shared" si="17"/>
        <v>13.400695569962183</v>
      </c>
      <c r="W67" s="77">
        <f t="shared" si="19"/>
        <v>13.631867909238251</v>
      </c>
      <c r="X67" s="78">
        <f t="shared" si="20"/>
        <v>0.2659583754064147</v>
      </c>
      <c r="Y67" s="78">
        <f t="shared" si="21"/>
        <v>0.15355113963412909</v>
      </c>
      <c r="Z67" s="78">
        <f>(V67-$V$61)/(D65-$D$59)</f>
        <v>0.12314725711327211</v>
      </c>
      <c r="AA67" s="77">
        <f t="shared" ref="AA67:AA109" si="23">AVERAGE(Z65:Z67)</f>
        <v>0.12310568330181886</v>
      </c>
      <c r="AB67" s="135">
        <f t="shared" ref="AB67:AB109" si="24">STDEV(Z65:Z67)/SQRT(3)</f>
        <v>1.0298437687130525E-2</v>
      </c>
      <c r="AD67" s="87">
        <f>D86</f>
        <v>237</v>
      </c>
      <c r="AE67" s="70">
        <f>S88</f>
        <v>45.624692223538794</v>
      </c>
      <c r="AF67" s="70">
        <f>U88</f>
        <v>5.3533569445642497</v>
      </c>
      <c r="AG67" s="70">
        <f>W88</f>
        <v>149.5707050243112</v>
      </c>
      <c r="AH67" s="70">
        <f>Y88</f>
        <v>14.476139913688518</v>
      </c>
    </row>
    <row r="68" spans="2:34" x14ac:dyDescent="0.2">
      <c r="B68" s="215" t="s">
        <v>11</v>
      </c>
      <c r="C68" s="198">
        <v>0.54166666666666663</v>
      </c>
      <c r="D68" s="218">
        <f>D65+24.5</f>
        <v>72.5</v>
      </c>
      <c r="E68" s="120" t="s">
        <v>110</v>
      </c>
      <c r="F68" s="221">
        <v>4.9299999999999997E-2</v>
      </c>
      <c r="G68" s="224">
        <v>4.7100000000000003E-2</v>
      </c>
      <c r="H68" s="69">
        <f>0.326-F68</f>
        <v>0.2767</v>
      </c>
      <c r="I68" s="68">
        <f>0.3326-F68</f>
        <v>0.2833</v>
      </c>
      <c r="J68" s="68">
        <f>0.2264-G68</f>
        <v>0.17929999999999999</v>
      </c>
      <c r="K68" s="68">
        <f>0.2304-G68</f>
        <v>0.18329999999999999</v>
      </c>
      <c r="L68" s="68">
        <f t="shared" si="12"/>
        <v>2.7264748784440847E-2</v>
      </c>
      <c r="M68" s="68">
        <f t="shared" si="13"/>
        <v>2.794222042139384E-2</v>
      </c>
      <c r="N68" s="68">
        <f t="shared" si="14"/>
        <v>2.7603484602917346E-2</v>
      </c>
      <c r="O68" s="68">
        <f>'Growth curves CeBER'!F36</f>
        <v>0.60199999999999998</v>
      </c>
      <c r="P68" s="68">
        <f t="shared" si="15"/>
        <v>0.74250680000000002</v>
      </c>
      <c r="Q68" s="99">
        <f>O68*0.5/1000</f>
        <v>3.01E-4</v>
      </c>
      <c r="R68" s="100">
        <f t="shared" si="16"/>
        <v>45.852964456673334</v>
      </c>
      <c r="S68" s="102"/>
      <c r="T68" s="70"/>
      <c r="U68" s="70"/>
      <c r="V68" s="70">
        <f t="shared" si="17"/>
        <v>34.046137909238254</v>
      </c>
      <c r="W68" s="102"/>
      <c r="X68" s="70"/>
      <c r="Y68" s="70"/>
      <c r="Z68" s="70">
        <f t="shared" si="22"/>
        <v>0.37086720147543739</v>
      </c>
      <c r="AA68" s="102"/>
      <c r="AB68" s="103"/>
      <c r="AD68" s="87">
        <f>D89</f>
        <v>261</v>
      </c>
      <c r="AE68" s="70">
        <f>S91</f>
        <v>49.013176103448437</v>
      </c>
      <c r="AF68" s="70">
        <f>U91</f>
        <v>6.1258346923732407</v>
      </c>
      <c r="AG68" s="70">
        <f>W91</f>
        <v>173.23482802088964</v>
      </c>
      <c r="AH68" s="70">
        <f>Y91</f>
        <v>20.875698116497386</v>
      </c>
    </row>
    <row r="69" spans="2:34" x14ac:dyDescent="0.2">
      <c r="B69" s="215"/>
      <c r="C69" s="198"/>
      <c r="D69" s="218"/>
      <c r="E69" s="120" t="s">
        <v>111</v>
      </c>
      <c r="F69" s="221"/>
      <c r="G69" s="224"/>
      <c r="H69" s="69">
        <f>0.3225-F68</f>
        <v>0.2732</v>
      </c>
      <c r="I69" s="68">
        <f>0.3224-F68</f>
        <v>0.27310000000000001</v>
      </c>
      <c r="J69" s="68">
        <f>0.2212-G68</f>
        <v>0.1741</v>
      </c>
      <c r="K69" s="68">
        <f>0.2187-G68</f>
        <v>0.1716</v>
      </c>
      <c r="L69" s="68">
        <f t="shared" si="12"/>
        <v>2.7207374392220422E-2</v>
      </c>
      <c r="M69" s="68">
        <f t="shared" si="13"/>
        <v>2.7436304700162076E-2</v>
      </c>
      <c r="N69" s="68">
        <f t="shared" si="14"/>
        <v>2.7321839546191249E-2</v>
      </c>
      <c r="O69" s="68">
        <f>'Growth curves CeBER'!G36</f>
        <v>0.625</v>
      </c>
      <c r="P69" s="68">
        <f t="shared" si="15"/>
        <v>0.77087499999999998</v>
      </c>
      <c r="Q69" s="99">
        <f>O69*0.5/1000</f>
        <v>3.1250000000000001E-4</v>
      </c>
      <c r="R69" s="100">
        <f t="shared" si="16"/>
        <v>43.714943273905995</v>
      </c>
      <c r="S69" s="101"/>
      <c r="T69" s="70"/>
      <c r="U69" s="70"/>
      <c r="V69" s="70">
        <f t="shared" si="17"/>
        <v>33.698756896272286</v>
      </c>
      <c r="W69" s="102"/>
      <c r="X69" s="70"/>
      <c r="Y69" s="70"/>
      <c r="Z69" s="70">
        <f>(V69-$V$60)/(D68-$D$59)</f>
        <v>0.34728640820432566</v>
      </c>
      <c r="AA69" s="102"/>
      <c r="AB69" s="103"/>
      <c r="AD69" s="87">
        <f>D92</f>
        <v>285</v>
      </c>
      <c r="AE69" s="70">
        <f>S94</f>
        <v>40.304314632775601</v>
      </c>
      <c r="AF69" s="70">
        <f>U94</f>
        <v>0.33163584954529496</v>
      </c>
      <c r="AG69" s="70">
        <f>W94</f>
        <v>150.87592292454528</v>
      </c>
      <c r="AH69" s="70">
        <f>Y94</f>
        <v>4.1539223305204711</v>
      </c>
    </row>
    <row r="70" spans="2:34" x14ac:dyDescent="0.2">
      <c r="B70" s="216"/>
      <c r="C70" s="199"/>
      <c r="D70" s="219"/>
      <c r="E70" s="151" t="s">
        <v>112</v>
      </c>
      <c r="F70" s="222"/>
      <c r="G70" s="225"/>
      <c r="H70" s="73">
        <f>0.3276-F68</f>
        <v>0.27829999999999999</v>
      </c>
      <c r="I70" s="74">
        <f>0.333-F68</f>
        <v>0.28370000000000001</v>
      </c>
      <c r="J70" s="74">
        <f>0.2307-G68</f>
        <v>0.18359999999999999</v>
      </c>
      <c r="K70" s="74">
        <f>0.2361-G68</f>
        <v>0.189</v>
      </c>
      <c r="L70" s="68">
        <f t="shared" si="12"/>
        <v>2.7102431118314427E-2</v>
      </c>
      <c r="M70" s="68">
        <f t="shared" si="13"/>
        <v>2.7448136142625611E-2</v>
      </c>
      <c r="N70" s="74">
        <f t="shared" si="14"/>
        <v>2.7275283630470021E-2</v>
      </c>
      <c r="O70" s="74">
        <f>'Growth curves CeBER'!H36</f>
        <v>0.64600000000000002</v>
      </c>
      <c r="P70" s="74">
        <f t="shared" si="15"/>
        <v>0.79677640000000005</v>
      </c>
      <c r="Q70" s="75">
        <f>O70*0.5/1000</f>
        <v>3.2299999999999999E-4</v>
      </c>
      <c r="R70" s="76">
        <f t="shared" si="16"/>
        <v>42.221801285557312</v>
      </c>
      <c r="S70" s="77">
        <f>AVERAGE(R68:R70)</f>
        <v>43.929903005378883</v>
      </c>
      <c r="T70" s="78">
        <f>STDEV(R68:R70)</f>
        <v>1.8251006159753254</v>
      </c>
      <c r="U70" s="78">
        <f>T70/SQRT(3)</f>
        <v>1.0537223319315059</v>
      </c>
      <c r="V70" s="78">
        <f t="shared" si="17"/>
        <v>33.64133482982173</v>
      </c>
      <c r="W70" s="77">
        <f t="shared" si="19"/>
        <v>33.79540987844409</v>
      </c>
      <c r="X70" s="78">
        <f t="shared" si="20"/>
        <v>0.21902678488783631</v>
      </c>
      <c r="Y70" s="78">
        <f t="shared" si="21"/>
        <v>0.12645517321473054</v>
      </c>
      <c r="Z70" s="78">
        <f>(V70-$V$61)/(D68-$D$59)</f>
        <v>0.36071320829374631</v>
      </c>
      <c r="AA70" s="77">
        <f t="shared" si="23"/>
        <v>0.35962227265783647</v>
      </c>
      <c r="AB70" s="135">
        <f t="shared" si="24"/>
        <v>6.8290081818909512E-3</v>
      </c>
      <c r="AD70" s="87">
        <f>D95</f>
        <v>308</v>
      </c>
      <c r="AE70" s="70">
        <f>S97</f>
        <v>51.689904907061837</v>
      </c>
      <c r="AF70" s="70">
        <f>U97</f>
        <v>4.105617660587165</v>
      </c>
      <c r="AG70" s="70">
        <f>W97</f>
        <v>196.16288492706647</v>
      </c>
      <c r="AH70" s="70">
        <f>Y97</f>
        <v>12.45748571197098</v>
      </c>
    </row>
    <row r="71" spans="2:34" x14ac:dyDescent="0.2">
      <c r="B71" s="215" t="s">
        <v>12</v>
      </c>
      <c r="C71" s="198">
        <v>0.45833333333333331</v>
      </c>
      <c r="D71" s="218">
        <f>22+D68</f>
        <v>94.5</v>
      </c>
      <c r="E71" s="120" t="s">
        <v>110</v>
      </c>
      <c r="F71" s="221">
        <v>5.3699999999999998E-2</v>
      </c>
      <c r="G71" s="224">
        <v>5.0900000000000001E-2</v>
      </c>
      <c r="H71" s="69">
        <f>0.323-F71</f>
        <v>0.26929999999999998</v>
      </c>
      <c r="I71" s="68">
        <f>0.3379-F71</f>
        <v>0.28420000000000001</v>
      </c>
      <c r="J71" s="68">
        <f>0.2069-G71</f>
        <v>0.156</v>
      </c>
      <c r="K71" s="68">
        <f>0.2199-G71</f>
        <v>0.16900000000000001</v>
      </c>
      <c r="L71" s="68">
        <f t="shared" si="12"/>
        <v>2.8350081037277146E-2</v>
      </c>
      <c r="M71" s="68">
        <f t="shared" si="13"/>
        <v>2.9490275526742302E-2</v>
      </c>
      <c r="N71" s="68">
        <f t="shared" si="14"/>
        <v>2.8920178282009726E-2</v>
      </c>
      <c r="O71" s="58">
        <f>'Growth curves CeBER'!F37</f>
        <v>0.89500000000000002</v>
      </c>
      <c r="P71" s="68">
        <f t="shared" si="15"/>
        <v>1.103893</v>
      </c>
      <c r="Q71" s="99">
        <f>O71*0.25/1000</f>
        <v>2.2375000000000002E-4</v>
      </c>
      <c r="R71" s="100">
        <f t="shared" si="16"/>
        <v>64.626096719574804</v>
      </c>
      <c r="S71" s="101"/>
      <c r="V71" s="70">
        <f t="shared" si="17"/>
        <v>71.340295786061589</v>
      </c>
      <c r="W71" s="102"/>
      <c r="X71" s="70"/>
      <c r="Y71" s="70"/>
      <c r="Z71" s="70">
        <f t="shared" si="22"/>
        <v>0.67917492046341321</v>
      </c>
      <c r="AA71" s="102"/>
      <c r="AB71" s="103"/>
      <c r="AD71" s="87">
        <f>D98</f>
        <v>334.5</v>
      </c>
      <c r="AE71" s="70">
        <f>S100</f>
        <v>49.96708106531171</v>
      </c>
      <c r="AF71" s="70">
        <f>U100</f>
        <v>4.4462939135356789</v>
      </c>
      <c r="AG71" s="70">
        <f>W100</f>
        <v>195.7839005942734</v>
      </c>
      <c r="AH71" s="70">
        <f>Y100</f>
        <v>16.161380515519003</v>
      </c>
    </row>
    <row r="72" spans="2:34" ht="15" customHeight="1" x14ac:dyDescent="0.2">
      <c r="B72" s="215"/>
      <c r="C72" s="198"/>
      <c r="D72" s="218"/>
      <c r="E72" s="120" t="s">
        <v>111</v>
      </c>
      <c r="F72" s="221"/>
      <c r="G72" s="224"/>
      <c r="H72" s="69">
        <f>0.2146-F71</f>
        <v>0.16090000000000002</v>
      </c>
      <c r="I72" s="68">
        <f>0.2147-F71</f>
        <v>0.161</v>
      </c>
      <c r="J72" s="68">
        <f>0.1487-G71</f>
        <v>9.7799999999999998E-2</v>
      </c>
      <c r="K72" s="68">
        <f>0.1474-G71</f>
        <v>9.6500000000000002E-2</v>
      </c>
      <c r="L72" s="68">
        <f t="shared" si="12"/>
        <v>1.6488006482982175E-2</v>
      </c>
      <c r="M72" s="68">
        <f t="shared" si="13"/>
        <v>1.6631685575364669E-2</v>
      </c>
      <c r="N72" s="68">
        <f t="shared" si="14"/>
        <v>1.6559846029173424E-2</v>
      </c>
      <c r="O72" s="58">
        <f>'Growth curves CeBER'!G37</f>
        <v>0.80300000000000005</v>
      </c>
      <c r="P72" s="68">
        <f t="shared" si="15"/>
        <v>0.99042020000000008</v>
      </c>
      <c r="Q72" s="99">
        <f>O72*0.25/1000</f>
        <v>2.0075E-4</v>
      </c>
      <c r="R72" s="100">
        <f t="shared" si="16"/>
        <v>41.244946523470546</v>
      </c>
      <c r="S72" s="101"/>
      <c r="V72" s="70">
        <f t="shared" si="17"/>
        <v>40.849828184765009</v>
      </c>
      <c r="W72" s="102"/>
      <c r="X72" s="70"/>
      <c r="Y72" s="70"/>
      <c r="Z72" s="70">
        <f>(V72-$V$60)/(D71-$D$59)</f>
        <v>0.34210937442652206</v>
      </c>
      <c r="AA72" s="102"/>
      <c r="AB72" s="103"/>
      <c r="AD72" s="87">
        <f>D101</f>
        <v>359.5</v>
      </c>
      <c r="AE72" s="70">
        <f>S103</f>
        <v>50.123164195826327</v>
      </c>
      <c r="AF72" s="70">
        <f>U103</f>
        <v>4.4908867260099763</v>
      </c>
      <c r="AG72" s="70">
        <f>W103</f>
        <v>207.82369890149468</v>
      </c>
      <c r="AH72" s="70">
        <f>Y103</f>
        <v>12.472352364892023</v>
      </c>
    </row>
    <row r="73" spans="2:34" ht="15" customHeight="1" x14ac:dyDescent="0.2">
      <c r="B73" s="216"/>
      <c r="C73" s="199"/>
      <c r="D73" s="219"/>
      <c r="E73" s="151" t="s">
        <v>112</v>
      </c>
      <c r="F73" s="222"/>
      <c r="G73" s="225"/>
      <c r="H73" s="73">
        <f>0.3128-F71</f>
        <v>0.2591</v>
      </c>
      <c r="I73" s="74">
        <f>0.2995-F71</f>
        <v>0.24579999999999999</v>
      </c>
      <c r="J73" s="74">
        <f>0.2294-G71</f>
        <v>0.17849999999999999</v>
      </c>
      <c r="K73" s="74">
        <f>0.2124-G71</f>
        <v>0.1615</v>
      </c>
      <c r="L73" s="68">
        <f t="shared" si="12"/>
        <v>2.449068071312804E-2</v>
      </c>
      <c r="M73" s="68">
        <f t="shared" si="13"/>
        <v>2.4002025931928687E-2</v>
      </c>
      <c r="N73" s="74">
        <f t="shared" si="14"/>
        <v>2.4246353322528363E-2</v>
      </c>
      <c r="O73" s="71">
        <f>'Growth curves CeBER'!H37</f>
        <v>0.96899999999999997</v>
      </c>
      <c r="P73" s="74">
        <f t="shared" si="15"/>
        <v>1.1951646</v>
      </c>
      <c r="Q73" s="75">
        <f>O73*0.25/1000</f>
        <v>2.4225000000000001E-4</v>
      </c>
      <c r="R73" s="76">
        <f t="shared" si="16"/>
        <v>50.0440729051153</v>
      </c>
      <c r="S73" s="77">
        <f>AVERAGE(R71:R73)</f>
        <v>51.971705382720216</v>
      </c>
      <c r="T73" s="78">
        <f>STDEV(R71:R73)</f>
        <v>11.80916471854526</v>
      </c>
      <c r="U73" s="78">
        <f>T73/SQRT(3)</f>
        <v>6.8180244291567371</v>
      </c>
      <c r="V73" s="78">
        <f t="shared" si="17"/>
        <v>59.810904376012964</v>
      </c>
      <c r="W73" s="77">
        <f t="shared" si="19"/>
        <v>57.33367611561318</v>
      </c>
      <c r="X73" s="78">
        <f t="shared" si="20"/>
        <v>15.395442459605459</v>
      </c>
      <c r="Y73" s="78">
        <f t="shared" si="21"/>
        <v>8.8885628483466057</v>
      </c>
      <c r="Z73" s="78">
        <f>(V73-$V$61)/(D71-$D$59)</f>
        <v>0.55366430843902481</v>
      </c>
      <c r="AA73" s="77">
        <f t="shared" si="23"/>
        <v>0.52498286777632008</v>
      </c>
      <c r="AB73" s="135">
        <f t="shared" si="24"/>
        <v>9.8353553333798596E-2</v>
      </c>
      <c r="AD73" s="87">
        <f>D104</f>
        <v>384</v>
      </c>
      <c r="AE73" s="70">
        <f>S106</f>
        <v>45.965148062711954</v>
      </c>
      <c r="AF73" s="70">
        <f>U106</f>
        <v>4.2987575971491436</v>
      </c>
      <c r="AG73" s="70">
        <f>W106</f>
        <v>197.23887988474701</v>
      </c>
      <c r="AH73" s="70">
        <f>Y106</f>
        <v>22.171375583661021</v>
      </c>
    </row>
    <row r="74" spans="2:34" x14ac:dyDescent="0.2">
      <c r="B74" s="215" t="s">
        <v>13</v>
      </c>
      <c r="C74" s="198">
        <v>0.4236111111111111</v>
      </c>
      <c r="D74" s="218">
        <f>23+D71</f>
        <v>117.5</v>
      </c>
      <c r="E74" s="120" t="s">
        <v>110</v>
      </c>
      <c r="F74" s="221">
        <f>(0.0493+0.0476)/2</f>
        <v>4.845E-2</v>
      </c>
      <c r="G74" s="224">
        <f>(0.0481+0.0467)/2</f>
        <v>4.7399999999999998E-2</v>
      </c>
      <c r="H74" s="69">
        <f>0.2021-F74</f>
        <v>0.15365000000000001</v>
      </c>
      <c r="I74" s="68">
        <f>0.1946-F74</f>
        <v>0.14615</v>
      </c>
      <c r="J74" s="68">
        <f>0.144-G74</f>
        <v>9.6599999999999991E-2</v>
      </c>
      <c r="K74" s="68">
        <f>0.1357-G74</f>
        <v>8.829999999999999E-2</v>
      </c>
      <c r="L74" s="68">
        <f t="shared" si="12"/>
        <v>1.5430632090761752E-2</v>
      </c>
      <c r="M74" s="68">
        <f t="shared" si="13"/>
        <v>1.5028930307941656E-2</v>
      </c>
      <c r="N74" s="68">
        <f t="shared" si="14"/>
        <v>1.5229781199351703E-2</v>
      </c>
      <c r="O74" s="58">
        <f>'Growth curves CeBER'!F38</f>
        <v>1.246</v>
      </c>
      <c r="P74" s="68">
        <f t="shared" si="15"/>
        <v>1.5368164</v>
      </c>
      <c r="Q74" s="99">
        <f t="shared" ref="Q74:Q79" si="25">O74*0.1/1000</f>
        <v>1.2459999999999999E-4</v>
      </c>
      <c r="R74" s="100">
        <f t="shared" si="16"/>
        <v>61.114691811202661</v>
      </c>
      <c r="S74" s="101"/>
      <c r="V74" s="70">
        <f t="shared" si="17"/>
        <v>93.922060656401953</v>
      </c>
      <c r="W74" s="102"/>
      <c r="X74" s="70"/>
      <c r="Y74" s="70"/>
      <c r="Z74" s="70">
        <f t="shared" si="22"/>
        <v>0.73841527535432261</v>
      </c>
      <c r="AA74" s="102"/>
      <c r="AB74" s="103"/>
      <c r="AD74" s="87">
        <f>D107</f>
        <v>406</v>
      </c>
      <c r="AE74" s="70">
        <f>S109</f>
        <v>52.106079750846298</v>
      </c>
      <c r="AF74" s="70">
        <f>U109</f>
        <v>3.6706330746939431</v>
      </c>
      <c r="AG74" s="70">
        <f>W109</f>
        <v>225.96848550333155</v>
      </c>
      <c r="AH74" s="70">
        <f>Y109</f>
        <v>15.763798566255531</v>
      </c>
    </row>
    <row r="75" spans="2:34" x14ac:dyDescent="0.2">
      <c r="B75" s="215"/>
      <c r="C75" s="198"/>
      <c r="D75" s="218"/>
      <c r="E75" s="120" t="s">
        <v>111</v>
      </c>
      <c r="F75" s="221"/>
      <c r="G75" s="224"/>
      <c r="H75" s="69">
        <f>0.1605-F74</f>
        <v>0.11205000000000001</v>
      </c>
      <c r="I75" s="68">
        <f>0.1561-F74</f>
        <v>0.10765</v>
      </c>
      <c r="J75" s="68">
        <f>0.1155-G74</f>
        <v>6.8100000000000008E-2</v>
      </c>
      <c r="K75" s="68">
        <f>0.1119-G74</f>
        <v>6.4500000000000002E-2</v>
      </c>
      <c r="L75" s="68">
        <f t="shared" si="12"/>
        <v>1.1482901134521882E-2</v>
      </c>
      <c r="M75" s="68">
        <f t="shared" si="13"/>
        <v>1.1122771474878444E-2</v>
      </c>
      <c r="N75" s="68">
        <f t="shared" si="14"/>
        <v>1.1302836304700163E-2</v>
      </c>
      <c r="O75" s="58">
        <f>'Growth curves CeBER'!G38</f>
        <v>0.996</v>
      </c>
      <c r="P75" s="68">
        <f t="shared" si="15"/>
        <v>1.2284664000000001</v>
      </c>
      <c r="Q75" s="99">
        <f t="shared" si="25"/>
        <v>9.9600000000000009E-5</v>
      </c>
      <c r="R75" s="100">
        <f t="shared" si="16"/>
        <v>56.741146107932536</v>
      </c>
      <c r="S75" s="101"/>
      <c r="V75" s="70">
        <f t="shared" si="17"/>
        <v>69.704591491085893</v>
      </c>
      <c r="W75" s="102"/>
      <c r="X75" s="70"/>
      <c r="Y75" s="70"/>
      <c r="Z75" s="70">
        <f>(V75-$V$60)/(D74-$D$59)</f>
        <v>0.52071573778406144</v>
      </c>
      <c r="AA75" s="102"/>
      <c r="AB75" s="103"/>
    </row>
    <row r="76" spans="2:34" x14ac:dyDescent="0.2">
      <c r="B76" s="216"/>
      <c r="C76" s="199"/>
      <c r="D76" s="219"/>
      <c r="E76" s="151" t="s">
        <v>112</v>
      </c>
      <c r="F76" s="222"/>
      <c r="G76" s="225"/>
      <c r="H76" s="73">
        <f>0.2387-F74</f>
        <v>0.19025</v>
      </c>
      <c r="I76" s="74">
        <f>0.2729-F74</f>
        <v>0.22444999999999998</v>
      </c>
      <c r="J76" s="74">
        <f>0.197-G74</f>
        <v>0.14960000000000001</v>
      </c>
      <c r="K76" s="74">
        <f>0.2315-G74</f>
        <v>0.18410000000000001</v>
      </c>
      <c r="L76" s="68">
        <f t="shared" si="12"/>
        <v>1.6165640194489465E-2</v>
      </c>
      <c r="M76" s="68">
        <f t="shared" si="13"/>
        <v>1.8325688816855749E-2</v>
      </c>
      <c r="N76" s="74">
        <f t="shared" si="14"/>
        <v>1.7245664505672609E-2</v>
      </c>
      <c r="O76" s="71">
        <f>'Growth curves CeBER'!H38</f>
        <v>1.258</v>
      </c>
      <c r="P76" s="74">
        <f t="shared" si="15"/>
        <v>1.5516172000000001</v>
      </c>
      <c r="Q76" s="75">
        <f t="shared" si="25"/>
        <v>1.2579999999999999E-4</v>
      </c>
      <c r="R76" s="76">
        <f t="shared" si="16"/>
        <v>68.543976572625638</v>
      </c>
      <c r="S76" s="77">
        <f>AVERAGE(R74:R76)</f>
        <v>62.13327149725361</v>
      </c>
      <c r="T76" s="78">
        <f>STDEV(R74:R76)</f>
        <v>5.9669783121106308</v>
      </c>
      <c r="U76" s="78">
        <f>T76/SQRT(3)</f>
        <v>3.4450365347457317</v>
      </c>
      <c r="V76" s="78">
        <f t="shared" si="17"/>
        <v>106.354013006483</v>
      </c>
      <c r="W76" s="77">
        <f t="shared" si="19"/>
        <v>89.993555051323611</v>
      </c>
      <c r="X76" s="78">
        <f t="shared" si="20"/>
        <v>18.637861775701651</v>
      </c>
      <c r="Y76" s="78">
        <f t="shared" si="21"/>
        <v>10.760574513320385</v>
      </c>
      <c r="Z76" s="78">
        <f>(V76-$V$61)/(D74-$D$59)</f>
        <v>0.84139902789751386</v>
      </c>
      <c r="AA76" s="77">
        <f t="shared" si="23"/>
        <v>0.70017668034529945</v>
      </c>
      <c r="AB76" s="135">
        <f t="shared" si="24"/>
        <v>9.4527043309829223E-2</v>
      </c>
      <c r="AD76" s="87"/>
      <c r="AE76" s="70"/>
      <c r="AF76" s="70"/>
      <c r="AG76" s="70"/>
      <c r="AH76" s="70"/>
    </row>
    <row r="77" spans="2:34" x14ac:dyDescent="0.2">
      <c r="B77" s="215" t="s">
        <v>30</v>
      </c>
      <c r="C77" s="198">
        <v>0.43055555555555558</v>
      </c>
      <c r="D77" s="218">
        <f>24+D74</f>
        <v>141.5</v>
      </c>
      <c r="E77" s="120" t="s">
        <v>110</v>
      </c>
      <c r="F77" s="221">
        <v>5.9400000000000001E-2</v>
      </c>
      <c r="G77" s="224">
        <v>5.7799999999999997E-2</v>
      </c>
      <c r="H77" s="69">
        <f>0.248-F77</f>
        <v>0.18859999999999999</v>
      </c>
      <c r="I77" s="68">
        <f>0.2545-F77</f>
        <v>0.1951</v>
      </c>
      <c r="J77" s="68">
        <f>0.162-G77</f>
        <v>0.10420000000000001</v>
      </c>
      <c r="K77" s="68">
        <f>0.1659-G77</f>
        <v>0.1081</v>
      </c>
      <c r="L77" s="68">
        <f t="shared" si="12"/>
        <v>2.0349918962722847E-2</v>
      </c>
      <c r="M77" s="68">
        <f t="shared" si="13"/>
        <v>2.1020988654781199E-2</v>
      </c>
      <c r="N77" s="68">
        <f t="shared" si="14"/>
        <v>2.0685453808752023E-2</v>
      </c>
      <c r="O77" s="68">
        <f>'Growth curves CeBER'!F39</f>
        <v>1.8</v>
      </c>
      <c r="P77" s="68">
        <f t="shared" si="15"/>
        <v>2.2201200000000001</v>
      </c>
      <c r="Q77" s="99">
        <f t="shared" si="25"/>
        <v>1.8000000000000001E-4</v>
      </c>
      <c r="R77" s="100">
        <f t="shared" si="16"/>
        <v>57.459593913200059</v>
      </c>
      <c r="S77" s="101"/>
      <c r="V77" s="70">
        <f t="shared" si="17"/>
        <v>127.56719363857373</v>
      </c>
      <c r="W77" s="102"/>
      <c r="X77" s="70"/>
      <c r="Y77" s="70"/>
      <c r="Z77" s="70">
        <f t="shared" si="22"/>
        <v>0.85094648647565152</v>
      </c>
      <c r="AA77" s="102"/>
      <c r="AB77" s="103"/>
      <c r="AE77" s="70"/>
      <c r="AF77" s="70"/>
      <c r="AG77" s="70"/>
      <c r="AH77" s="70"/>
    </row>
    <row r="78" spans="2:34" x14ac:dyDescent="0.2">
      <c r="B78" s="215"/>
      <c r="C78" s="198"/>
      <c r="D78" s="218"/>
      <c r="E78" s="120" t="s">
        <v>111</v>
      </c>
      <c r="F78" s="221"/>
      <c r="G78" s="224"/>
      <c r="H78" s="69">
        <f>0.1739-F77</f>
        <v>0.11449999999999999</v>
      </c>
      <c r="I78" s="68">
        <f>0.178-F77</f>
        <v>0.11859999999999998</v>
      </c>
      <c r="J78" s="68">
        <f>0.1157-G77</f>
        <v>5.79E-2</v>
      </c>
      <c r="K78" s="68">
        <f>0.1192-G77</f>
        <v>6.1400000000000003E-2</v>
      </c>
      <c r="L78" s="68">
        <f t="shared" si="12"/>
        <v>1.2880145867098866E-2</v>
      </c>
      <c r="M78" s="68">
        <f t="shared" si="13"/>
        <v>1.3201458670988653E-2</v>
      </c>
      <c r="N78" s="68">
        <f t="shared" si="14"/>
        <v>1.304080226904376E-2</v>
      </c>
      <c r="O78" s="68">
        <f>'Growth curves CeBER'!G39</f>
        <v>1.3540000000000001</v>
      </c>
      <c r="P78" s="68">
        <f t="shared" si="15"/>
        <v>1.6700236000000002</v>
      </c>
      <c r="Q78" s="99">
        <f t="shared" si="25"/>
        <v>1.3540000000000001E-4</v>
      </c>
      <c r="R78" s="100">
        <f t="shared" si="16"/>
        <v>48.156581495730279</v>
      </c>
      <c r="S78" s="101"/>
      <c r="V78" s="70">
        <f t="shared" si="17"/>
        <v>80.422627593192871</v>
      </c>
      <c r="W78" s="102"/>
      <c r="X78" s="70"/>
      <c r="Y78" s="70"/>
      <c r="Z78" s="70">
        <f>(V78-$V$60)/(D77-$D$59)</f>
        <v>0.50814229888151374</v>
      </c>
      <c r="AA78" s="102"/>
      <c r="AB78" s="103"/>
      <c r="AE78" s="70"/>
      <c r="AF78" s="70"/>
      <c r="AG78" s="70"/>
      <c r="AH78" s="70"/>
    </row>
    <row r="79" spans="2:34" x14ac:dyDescent="0.2">
      <c r="B79" s="216"/>
      <c r="C79" s="199"/>
      <c r="D79" s="219"/>
      <c r="E79" s="151" t="s">
        <v>112</v>
      </c>
      <c r="F79" s="222"/>
      <c r="G79" s="225"/>
      <c r="H79" s="73">
        <f>0.2217-F77</f>
        <v>0.1623</v>
      </c>
      <c r="I79" s="74">
        <f>0.2379-F77</f>
        <v>0.17849999999999999</v>
      </c>
      <c r="J79" s="74">
        <f>0.1445-G77</f>
        <v>8.6699999999999999E-2</v>
      </c>
      <c r="K79" s="74">
        <f>0.159-G77</f>
        <v>0.10120000000000001</v>
      </c>
      <c r="L79" s="68">
        <f t="shared" si="12"/>
        <v>1.7803322528363048E-2</v>
      </c>
      <c r="M79" s="68">
        <f t="shared" si="13"/>
        <v>1.9007131280388976E-2</v>
      </c>
      <c r="N79" s="74">
        <f t="shared" si="14"/>
        <v>1.8405226904376012E-2</v>
      </c>
      <c r="O79" s="74">
        <f>'Growth curves CeBER'!H39</f>
        <v>1.798</v>
      </c>
      <c r="P79" s="74">
        <f t="shared" si="15"/>
        <v>2.2176532</v>
      </c>
      <c r="Q79" s="75">
        <f t="shared" si="25"/>
        <v>1.7980000000000001E-4</v>
      </c>
      <c r="R79" s="76">
        <f t="shared" si="16"/>
        <v>51.182499734082342</v>
      </c>
      <c r="S79" s="77">
        <f>AVERAGE(R77:R79)</f>
        <v>52.266225047670893</v>
      </c>
      <c r="T79" s="78">
        <f>STDEV(R77:R79)</f>
        <v>4.7452455601774384</v>
      </c>
      <c r="U79" s="78">
        <f>T79/SQRT(3)</f>
        <v>2.7396688015393207</v>
      </c>
      <c r="V79" s="78">
        <f t="shared" si="17"/>
        <v>113.50503431928685</v>
      </c>
      <c r="W79" s="77">
        <f t="shared" si="19"/>
        <v>107.16495185035114</v>
      </c>
      <c r="X79" s="78">
        <f t="shared" si="20"/>
        <v>24.203305790459705</v>
      </c>
      <c r="Y79" s="78">
        <f t="shared" si="21"/>
        <v>13.973785113400739</v>
      </c>
      <c r="Z79" s="78">
        <f>(V79-$V$61)/(D77-$D$59)</f>
        <v>0.74922549180750342</v>
      </c>
      <c r="AA79" s="77">
        <f t="shared" si="23"/>
        <v>0.70277142572155638</v>
      </c>
      <c r="AB79" s="135">
        <f t="shared" si="24"/>
        <v>0.10164835291329473</v>
      </c>
    </row>
    <row r="80" spans="2:34" x14ac:dyDescent="0.2">
      <c r="B80" s="215" t="s">
        <v>32</v>
      </c>
      <c r="C80" s="198">
        <v>0.52083333333333337</v>
      </c>
      <c r="D80" s="218">
        <f>D77+50</f>
        <v>191.5</v>
      </c>
      <c r="E80" s="120" t="s">
        <v>110</v>
      </c>
      <c r="F80" s="221">
        <v>5.3699999999999998E-2</v>
      </c>
      <c r="G80" s="224">
        <v>5.1299999999999998E-2</v>
      </c>
      <c r="H80" s="69">
        <f>0.3241-F80</f>
        <v>0.27039999999999997</v>
      </c>
      <c r="I80" s="68">
        <f>0.3125-F80</f>
        <v>0.25880000000000003</v>
      </c>
      <c r="J80" s="68">
        <f>0.2228-G80</f>
        <v>0.17149999999999999</v>
      </c>
      <c r="K80" s="68">
        <f>0.2143-G80</f>
        <v>0.16299999999999998</v>
      </c>
      <c r="L80" s="68">
        <f t="shared" si="12"/>
        <v>2.7008508914100483E-2</v>
      </c>
      <c r="M80" s="68">
        <f t="shared" si="13"/>
        <v>2.5961912479740688E-2</v>
      </c>
      <c r="N80" s="68">
        <f t="shared" si="14"/>
        <v>2.6485210696920586E-2</v>
      </c>
      <c r="O80" s="58">
        <f>'Growth curves CeBER'!F41</f>
        <v>2.1680000000000001</v>
      </c>
      <c r="P80" s="68">
        <f t="shared" si="15"/>
        <v>2.6740112000000003</v>
      </c>
      <c r="Q80" s="99">
        <f>P80*0.1/1000</f>
        <v>2.6740112000000007E-4</v>
      </c>
      <c r="R80" s="100">
        <f t="shared" si="16"/>
        <v>49.523372783406025</v>
      </c>
      <c r="S80" s="101"/>
      <c r="V80" s="70">
        <f t="shared" si="17"/>
        <v>132.4260534846029</v>
      </c>
      <c r="W80" s="102"/>
      <c r="X80" s="70"/>
      <c r="Y80" s="70"/>
      <c r="Z80" s="70">
        <f t="shared" si="22"/>
        <v>0.65413988345866247</v>
      </c>
      <c r="AA80" s="102"/>
      <c r="AB80" s="103"/>
    </row>
    <row r="81" spans="2:28" x14ac:dyDescent="0.2">
      <c r="B81" s="215"/>
      <c r="C81" s="198"/>
      <c r="D81" s="218"/>
      <c r="E81" s="120" t="s">
        <v>111</v>
      </c>
      <c r="F81" s="221"/>
      <c r="G81" s="224"/>
      <c r="H81" s="69">
        <f>0.2488-F80</f>
        <v>0.1951</v>
      </c>
      <c r="I81" s="68">
        <f>0.2419-F80</f>
        <v>0.18820000000000001</v>
      </c>
      <c r="J81" s="68">
        <f>0.1628-G80</f>
        <v>0.1115</v>
      </c>
      <c r="K81" s="68">
        <f>0.1548-G80</f>
        <v>0.10349999999999999</v>
      </c>
      <c r="L81" s="68">
        <f t="shared" si="12"/>
        <v>2.0687601296596435E-2</v>
      </c>
      <c r="M81" s="68">
        <f t="shared" si="13"/>
        <v>2.0353727714748786E-2</v>
      </c>
      <c r="N81" s="74">
        <f t="shared" si="14"/>
        <v>2.0520664505672609E-2</v>
      </c>
      <c r="O81" s="71">
        <f>'Growth curves CeBER'!G41</f>
        <v>2.016</v>
      </c>
      <c r="P81" s="74">
        <f t="shared" si="15"/>
        <v>2.4865344</v>
      </c>
      <c r="Q81" s="75">
        <f>P81*0.1/1000</f>
        <v>2.4865344000000002E-4</v>
      </c>
      <c r="R81" s="76">
        <f t="shared" si="16"/>
        <v>41.263584581159641</v>
      </c>
      <c r="S81" s="134"/>
      <c r="T81" s="71"/>
      <c r="U81" s="71"/>
      <c r="V81" s="78">
        <f t="shared" si="17"/>
        <v>102.60332252836304</v>
      </c>
      <c r="W81" s="77"/>
      <c r="X81" s="78"/>
      <c r="Y81" s="78"/>
      <c r="Z81" s="78">
        <f>(V81-$V$60)/(D80-$D$59)</f>
        <v>0.49129415262091053</v>
      </c>
      <c r="AA81" s="77"/>
      <c r="AB81" s="135"/>
    </row>
    <row r="82" spans="2:28" x14ac:dyDescent="0.2">
      <c r="B82" s="216"/>
      <c r="C82" s="199"/>
      <c r="D82" s="219"/>
      <c r="E82" s="151" t="s">
        <v>112</v>
      </c>
      <c r="F82" s="222"/>
      <c r="G82" s="225"/>
      <c r="H82" s="73">
        <f>0.3204-F80</f>
        <v>0.26670000000000005</v>
      </c>
      <c r="I82" s="74">
        <f>0.3244-F80</f>
        <v>0.27070000000000005</v>
      </c>
      <c r="J82" s="74">
        <f>0.2111-G80</f>
        <v>0.1598</v>
      </c>
      <c r="K82" s="74">
        <f>0.234-G80</f>
        <v>0.18270000000000003</v>
      </c>
      <c r="L82" s="68">
        <f t="shared" si="12"/>
        <v>2.7556077795786067E-2</v>
      </c>
      <c r="M82" s="68">
        <f t="shared" si="13"/>
        <v>2.595891410048623E-2</v>
      </c>
      <c r="N82" s="74">
        <f t="shared" si="14"/>
        <v>2.6757495948136149E-2</v>
      </c>
      <c r="O82" s="71">
        <f>'Growth curves CeBER'!H41</f>
        <v>2.532</v>
      </c>
      <c r="P82" s="74">
        <f t="shared" si="15"/>
        <v>3.1229688000000002</v>
      </c>
      <c r="Q82" s="75">
        <f>P82*0.1/1000</f>
        <v>3.1229688000000005E-4</v>
      </c>
      <c r="R82" s="76">
        <f t="shared" si="16"/>
        <v>42.839838726752802</v>
      </c>
      <c r="S82" s="77">
        <f>AVERAGE(R80:R82)</f>
        <v>44.54226536377282</v>
      </c>
      <c r="T82" s="78">
        <f>STDEV(R80:R82)</f>
        <v>4.3851701936548153</v>
      </c>
      <c r="U82" s="78">
        <f>T82/SQRT(3)</f>
        <v>2.5317791917489312</v>
      </c>
      <c r="V82" s="78">
        <f t="shared" si="17"/>
        <v>133.78747974068074</v>
      </c>
      <c r="W82" s="77">
        <f t="shared" si="19"/>
        <v>122.93895191788222</v>
      </c>
      <c r="X82" s="78">
        <f t="shared" si="20"/>
        <v>17.624322323527529</v>
      </c>
      <c r="Y82" s="78">
        <f t="shared" si="21"/>
        <v>10.175407237773351</v>
      </c>
      <c r="Z82" s="78">
        <f>(V82-$V$61)/(D80-$D$59)</f>
        <v>0.65951881207391971</v>
      </c>
      <c r="AA82" s="77">
        <f t="shared" si="23"/>
        <v>0.60165094938449759</v>
      </c>
      <c r="AB82" s="135">
        <f t="shared" si="24"/>
        <v>5.5200242035102404E-2</v>
      </c>
    </row>
    <row r="83" spans="2:28" x14ac:dyDescent="0.2">
      <c r="B83" s="215" t="s">
        <v>33</v>
      </c>
      <c r="C83" s="198">
        <v>0.46527777777777773</v>
      </c>
      <c r="D83" s="218">
        <f>22.5+D80</f>
        <v>214</v>
      </c>
      <c r="E83" s="120" t="s">
        <v>110</v>
      </c>
      <c r="F83" s="221">
        <f>(0.0566+0.0558)/2</f>
        <v>5.62E-2</v>
      </c>
      <c r="G83" s="224">
        <f>(0.055+0.0549)/2</f>
        <v>5.4949999999999999E-2</v>
      </c>
      <c r="H83" s="69">
        <f>0.3082-F83</f>
        <v>0.252</v>
      </c>
      <c r="I83" s="68">
        <f>0.3193-F83</f>
        <v>0.2631</v>
      </c>
      <c r="J83" s="68">
        <f>0.1897-G83</f>
        <v>0.13475000000000001</v>
      </c>
      <c r="K83" s="68">
        <f>0.1973-G83</f>
        <v>0.14235</v>
      </c>
      <c r="L83" s="68">
        <f t="shared" si="12"/>
        <v>2.762986223662885E-2</v>
      </c>
      <c r="M83" s="68">
        <f t="shared" si="13"/>
        <v>2.8683670988654781E-2</v>
      </c>
      <c r="N83" s="68">
        <f t="shared" si="14"/>
        <v>2.8156766612641815E-2</v>
      </c>
      <c r="O83" s="58">
        <f>'Growth curves CeBER'!F42</f>
        <v>2.73</v>
      </c>
      <c r="P83" s="68">
        <f t="shared" si="15"/>
        <v>3.3671820000000001</v>
      </c>
      <c r="Q83" s="99">
        <f t="shared" ref="Q83:Q88" si="26">P83*0.1/1000</f>
        <v>3.3671820000000002E-4</v>
      </c>
      <c r="R83" s="100">
        <f t="shared" si="16"/>
        <v>41.810580201251099</v>
      </c>
      <c r="S83" s="101"/>
      <c r="V83" s="70">
        <f t="shared" si="17"/>
        <v>140.78383306320907</v>
      </c>
      <c r="W83" s="102"/>
      <c r="X83" s="70"/>
      <c r="Y83" s="70"/>
      <c r="Z83" s="70">
        <f t="shared" si="22"/>
        <v>0.62441853860252339</v>
      </c>
      <c r="AA83" s="102"/>
      <c r="AB83" s="103"/>
    </row>
    <row r="84" spans="2:28" x14ac:dyDescent="0.2">
      <c r="B84" s="215"/>
      <c r="C84" s="198"/>
      <c r="D84" s="218"/>
      <c r="E84" s="120" t="s">
        <v>111</v>
      </c>
      <c r="F84" s="221"/>
      <c r="G84" s="224"/>
      <c r="H84" s="69">
        <f>0.3283-F83</f>
        <v>0.27210000000000001</v>
      </c>
      <c r="I84" s="68">
        <f>0.3282-F83</f>
        <v>0.27200000000000002</v>
      </c>
      <c r="J84" s="68">
        <f>0.197-G83</f>
        <v>0.14205000000000001</v>
      </c>
      <c r="K84" s="68">
        <f>0.1933-G83</f>
        <v>0.13835</v>
      </c>
      <c r="L84" s="68">
        <f t="shared" si="12"/>
        <v>3.0171758508914102E-2</v>
      </c>
      <c r="M84" s="68">
        <f t="shared" si="13"/>
        <v>3.0518354943273911E-2</v>
      </c>
      <c r="N84" s="68">
        <f t="shared" si="14"/>
        <v>3.0345056726094007E-2</v>
      </c>
      <c r="O84" s="58">
        <f>'Growth curves CeBER'!G42</f>
        <v>2.2080000000000002</v>
      </c>
      <c r="P84" s="68">
        <f t="shared" si="15"/>
        <v>2.7233472000000005</v>
      </c>
      <c r="Q84" s="99">
        <f t="shared" si="26"/>
        <v>2.723347200000001E-4</v>
      </c>
      <c r="R84" s="100">
        <f t="shared" si="16"/>
        <v>55.712794766113547</v>
      </c>
      <c r="S84" s="101"/>
      <c r="V84" s="70">
        <f t="shared" si="17"/>
        <v>151.72528363047002</v>
      </c>
      <c r="W84" s="102"/>
      <c r="X84" s="70"/>
      <c r="Y84" s="70"/>
      <c r="Z84" s="70">
        <f>(V84-$V$60)/(D83-$D$59)</f>
        <v>0.66918126789257648</v>
      </c>
      <c r="AA84" s="102"/>
      <c r="AB84" s="103"/>
    </row>
    <row r="85" spans="2:28" x14ac:dyDescent="0.2">
      <c r="B85" s="216"/>
      <c r="C85" s="199"/>
      <c r="D85" s="219"/>
      <c r="E85" s="151" t="s">
        <v>112</v>
      </c>
      <c r="F85" s="222"/>
      <c r="G85" s="225"/>
      <c r="H85" s="69">
        <f>0.3451-F83</f>
        <v>0.28890000000000005</v>
      </c>
      <c r="I85" s="68">
        <f>0.3609-F83</f>
        <v>0.30469999999999997</v>
      </c>
      <c r="J85" s="68">
        <f>0.2263-G83</f>
        <v>0.17135</v>
      </c>
      <c r="K85" s="68">
        <f>0.242-G83</f>
        <v>0.18704999999999999</v>
      </c>
      <c r="L85" s="68">
        <f t="shared" si="12"/>
        <v>3.0021596434359813E-2</v>
      </c>
      <c r="M85" s="68">
        <f t="shared" si="13"/>
        <v>3.1042909238249591E-2</v>
      </c>
      <c r="N85" s="68">
        <f t="shared" si="14"/>
        <v>3.0532252836304702E-2</v>
      </c>
      <c r="O85" s="58">
        <f>'Growth curves CeBER'!H42</f>
        <v>2.8</v>
      </c>
      <c r="P85" s="68">
        <f t="shared" si="15"/>
        <v>3.4535200000000001</v>
      </c>
      <c r="Q85" s="99">
        <f t="shared" si="26"/>
        <v>3.4535200000000005E-4</v>
      </c>
      <c r="R85" s="100">
        <f t="shared" si="16"/>
        <v>44.204540347681061</v>
      </c>
      <c r="S85" s="102">
        <f>AVERAGE(R83:R85)</f>
        <v>47.242638438348571</v>
      </c>
      <c r="T85" s="70">
        <f>STDEV(R83:R85)</f>
        <v>7.4323900905601041</v>
      </c>
      <c r="U85" s="78">
        <f>T85/SQRT(3)</f>
        <v>4.2910924195071836</v>
      </c>
      <c r="V85" s="78">
        <f t="shared" si="17"/>
        <v>152.66126418152351</v>
      </c>
      <c r="W85" s="77">
        <f t="shared" si="19"/>
        <v>148.39012695840086</v>
      </c>
      <c r="X85" s="78">
        <f t="shared" si="20"/>
        <v>6.6038469858872064</v>
      </c>
      <c r="Y85" s="78">
        <f t="shared" si="21"/>
        <v>3.8127328349890774</v>
      </c>
      <c r="Z85" s="78">
        <f>(V85-$V$61)/(D83-$D$59)</f>
        <v>0.678372135294385</v>
      </c>
      <c r="AA85" s="77">
        <f t="shared" si="23"/>
        <v>0.65732398059649499</v>
      </c>
      <c r="AB85" s="135">
        <f t="shared" si="24"/>
        <v>1.6665274230300738E-2</v>
      </c>
    </row>
    <row r="86" spans="2:28" x14ac:dyDescent="0.2">
      <c r="B86" s="214" t="s">
        <v>34</v>
      </c>
      <c r="C86" s="197">
        <v>0.42152777777777778</v>
      </c>
      <c r="D86" s="217">
        <f>23+D83</f>
        <v>237</v>
      </c>
      <c r="E86" s="120" t="s">
        <v>110</v>
      </c>
      <c r="F86" s="220">
        <f>(0.0488+0.0544)/2</f>
        <v>5.16E-2</v>
      </c>
      <c r="G86" s="223">
        <f>(0.0522+0.0455)/2</f>
        <v>4.8850000000000005E-2</v>
      </c>
      <c r="H86" s="81">
        <f>0.2994-F86</f>
        <v>0.24779999999999999</v>
      </c>
      <c r="I86" s="82">
        <f>0.2941-F86</f>
        <v>0.24249999999999997</v>
      </c>
      <c r="J86" s="82">
        <f>0.1978-G86</f>
        <v>0.14895</v>
      </c>
      <c r="K86" s="82">
        <f>0.1912-G86</f>
        <v>0.14235</v>
      </c>
      <c r="L86" s="68">
        <f t="shared" si="12"/>
        <v>2.5556766612641814E-2</v>
      </c>
      <c r="M86" s="68">
        <f t="shared" si="13"/>
        <v>2.5344935170178277E-2</v>
      </c>
      <c r="N86" s="82">
        <f t="shared" si="14"/>
        <v>2.5450850891410047E-2</v>
      </c>
      <c r="O86" s="89">
        <f>'Growth curves CeBER'!F43</f>
        <v>2.952</v>
      </c>
      <c r="P86" s="82">
        <f t="shared" si="15"/>
        <v>3.6409967999999999</v>
      </c>
      <c r="Q86" s="83">
        <f t="shared" si="26"/>
        <v>3.6409968000000005E-4</v>
      </c>
      <c r="R86" s="84">
        <f t="shared" si="16"/>
        <v>34.950388986073875</v>
      </c>
      <c r="S86" s="90"/>
      <c r="T86" s="89"/>
      <c r="U86" s="89"/>
      <c r="V86" s="70">
        <f t="shared" si="17"/>
        <v>127.25425445705022</v>
      </c>
      <c r="W86" s="102"/>
      <c r="X86" s="70"/>
      <c r="Y86" s="70"/>
      <c r="Z86" s="70">
        <f t="shared" si="22"/>
        <v>0.50673412934506823</v>
      </c>
      <c r="AA86" s="102"/>
      <c r="AB86" s="103"/>
    </row>
    <row r="87" spans="2:28" x14ac:dyDescent="0.2">
      <c r="B87" s="215"/>
      <c r="C87" s="198"/>
      <c r="D87" s="218"/>
      <c r="E87" s="120" t="s">
        <v>111</v>
      </c>
      <c r="F87" s="221"/>
      <c r="G87" s="224"/>
      <c r="H87" s="69">
        <f>0.3335-F86</f>
        <v>0.28190000000000004</v>
      </c>
      <c r="I87" s="68">
        <f>0.3283-F86</f>
        <v>0.2767</v>
      </c>
      <c r="J87" s="68">
        <f>0.2184-G86</f>
        <v>0.16955000000000001</v>
      </c>
      <c r="K87" s="68">
        <f>0.2121-G86</f>
        <v>0.16325000000000001</v>
      </c>
      <c r="L87" s="68">
        <f t="shared" si="12"/>
        <v>2.9063573743922211E-2</v>
      </c>
      <c r="M87" s="68">
        <f t="shared" si="13"/>
        <v>2.8838533225283632E-2</v>
      </c>
      <c r="N87" s="68">
        <f t="shared" si="14"/>
        <v>2.8951053484602921E-2</v>
      </c>
      <c r="O87" s="58">
        <f>'Growth curves CeBER'!G43</f>
        <v>2.3359999999999999</v>
      </c>
      <c r="P87" s="68">
        <f t="shared" si="15"/>
        <v>2.8812224</v>
      </c>
      <c r="Q87" s="99">
        <f t="shared" si="26"/>
        <v>2.8812224000000005E-4</v>
      </c>
      <c r="R87" s="100">
        <f t="shared" si="16"/>
        <v>50.240921153123956</v>
      </c>
      <c r="S87" s="101"/>
      <c r="V87" s="70">
        <f t="shared" si="17"/>
        <v>144.75526742301457</v>
      </c>
      <c r="W87" s="102"/>
      <c r="X87" s="70"/>
      <c r="Y87" s="70"/>
      <c r="Z87" s="70">
        <f>(V87-$V$60)/(D86-$D$59)</f>
        <v>0.57483027477449755</v>
      </c>
      <c r="AA87" s="102"/>
      <c r="AB87" s="103"/>
    </row>
    <row r="88" spans="2:28" x14ac:dyDescent="0.2">
      <c r="B88" s="216"/>
      <c r="C88" s="199"/>
      <c r="D88" s="219"/>
      <c r="E88" s="151" t="s">
        <v>112</v>
      </c>
      <c r="F88" s="222"/>
      <c r="G88" s="225"/>
      <c r="H88" s="69">
        <f>0.3705-F86</f>
        <v>0.31890000000000002</v>
      </c>
      <c r="I88" s="68">
        <f>0.3912-F86</f>
        <v>0.33960000000000001</v>
      </c>
      <c r="J88" s="68">
        <f>0.2239-G86</f>
        <v>0.17504999999999998</v>
      </c>
      <c r="K88" s="68">
        <f>0.2414-G86</f>
        <v>0.19255</v>
      </c>
      <c r="L88" s="68">
        <f t="shared" si="12"/>
        <v>3.4521029173419773E-2</v>
      </c>
      <c r="M88" s="68">
        <f t="shared" si="13"/>
        <v>3.6160008103727721E-2</v>
      </c>
      <c r="N88" s="68">
        <f t="shared" si="14"/>
        <v>3.5340518638573751E-2</v>
      </c>
      <c r="O88" s="58">
        <f>'Growth curves CeBER'!H43</f>
        <v>2.7719999999999998</v>
      </c>
      <c r="P88" s="68">
        <f t="shared" si="15"/>
        <v>3.4189848</v>
      </c>
      <c r="Q88" s="99">
        <f t="shared" si="26"/>
        <v>3.4189848000000002E-4</v>
      </c>
      <c r="R88" s="100">
        <f t="shared" si="16"/>
        <v>51.682766531418551</v>
      </c>
      <c r="S88" s="102">
        <f>AVERAGE(R86:R88)</f>
        <v>45.624692223538794</v>
      </c>
      <c r="T88" s="70">
        <f>STDEV(R86:R88)</f>
        <v>9.2722862190369657</v>
      </c>
      <c r="U88" s="78">
        <f>T88/SQRT(3)</f>
        <v>5.3533569445642497</v>
      </c>
      <c r="V88" s="78">
        <f t="shared" si="17"/>
        <v>176.70259319286876</v>
      </c>
      <c r="W88" s="77">
        <f t="shared" si="19"/>
        <v>149.5707050243112</v>
      </c>
      <c r="X88" s="78">
        <f t="shared" si="20"/>
        <v>25.073409827984253</v>
      </c>
      <c r="Y88" s="78">
        <f t="shared" si="21"/>
        <v>14.476139913688518</v>
      </c>
      <c r="Z88" s="78">
        <f>(V88-$V$61)/(D86-$D$59)</f>
        <v>0.71397875934322219</v>
      </c>
      <c r="AA88" s="77">
        <f t="shared" si="23"/>
        <v>0.59851438782092936</v>
      </c>
      <c r="AB88" s="135">
        <f t="shared" si="24"/>
        <v>6.0987121793225095E-2</v>
      </c>
    </row>
    <row r="89" spans="2:28" x14ac:dyDescent="0.2">
      <c r="B89" s="214" t="s">
        <v>35</v>
      </c>
      <c r="C89" s="197">
        <v>0.43055555555555558</v>
      </c>
      <c r="D89" s="217">
        <f>24+D86</f>
        <v>261</v>
      </c>
      <c r="E89" s="120" t="s">
        <v>110</v>
      </c>
      <c r="F89" s="220">
        <f>F86</f>
        <v>5.16E-2</v>
      </c>
      <c r="G89" s="223">
        <f>G86</f>
        <v>4.8850000000000005E-2</v>
      </c>
      <c r="H89" s="81">
        <f>0.2431-F89</f>
        <v>0.1915</v>
      </c>
      <c r="I89" s="82">
        <f>0.2376-F89</f>
        <v>0.186</v>
      </c>
      <c r="J89" s="82">
        <f>0.1611-G89</f>
        <v>0.11224999999999999</v>
      </c>
      <c r="K89" s="82">
        <f>0.1564-G89</f>
        <v>0.10755000000000001</v>
      </c>
      <c r="L89" s="68">
        <f t="shared" si="12"/>
        <v>2.0030591572123179E-2</v>
      </c>
      <c r="M89" s="68">
        <f t="shared" si="13"/>
        <v>1.9600040518638572E-2</v>
      </c>
      <c r="N89" s="82">
        <f t="shared" si="14"/>
        <v>1.9815316045380876E-2</v>
      </c>
      <c r="O89" s="89">
        <f>'Growth curves CeBER'!F44</f>
        <v>2.8319999999999999</v>
      </c>
      <c r="P89" s="82">
        <f t="shared" si="15"/>
        <v>3.4929888</v>
      </c>
      <c r="Q89" s="83">
        <f t="shared" ref="Q89:Q109" si="27">P89*0.075/1000</f>
        <v>2.6197416000000001E-4</v>
      </c>
      <c r="R89" s="84">
        <f t="shared" si="16"/>
        <v>37.819218592743795</v>
      </c>
      <c r="S89" s="90"/>
      <c r="T89" s="89"/>
      <c r="U89" s="89"/>
      <c r="V89" s="70">
        <f t="shared" si="17"/>
        <v>132.10210696920583</v>
      </c>
      <c r="W89" s="102"/>
      <c r="X89" s="70"/>
      <c r="Y89" s="70"/>
      <c r="Z89" s="70">
        <f t="shared" si="22"/>
        <v>0.47871203512236321</v>
      </c>
      <c r="AA89" s="102"/>
      <c r="AB89" s="103"/>
    </row>
    <row r="90" spans="2:28" x14ac:dyDescent="0.2">
      <c r="B90" s="215"/>
      <c r="C90" s="198"/>
      <c r="D90" s="218"/>
      <c r="E90" s="120" t="s">
        <v>111</v>
      </c>
      <c r="F90" s="221"/>
      <c r="G90" s="224"/>
      <c r="H90" s="69">
        <f>0.323-F89</f>
        <v>0.27140000000000003</v>
      </c>
      <c r="I90" s="68">
        <f>0.3676-F89</f>
        <v>0.316</v>
      </c>
      <c r="J90" s="68">
        <f>0.208-G89</f>
        <v>0.15914999999999999</v>
      </c>
      <c r="K90" s="68">
        <f>0.2487-G89</f>
        <v>0.19985</v>
      </c>
      <c r="L90" s="68">
        <f t="shared" si="12"/>
        <v>2.8381564019448951E-2</v>
      </c>
      <c r="M90" s="68">
        <f t="shared" si="13"/>
        <v>3.1619246353322528E-2</v>
      </c>
      <c r="N90" s="68">
        <f t="shared" si="14"/>
        <v>3.0000405186385741E-2</v>
      </c>
      <c r="O90" s="58">
        <f>'Growth curves CeBER'!G44</f>
        <v>2.7519999999999998</v>
      </c>
      <c r="P90" s="68">
        <f t="shared" si="15"/>
        <v>3.3943167999999999</v>
      </c>
      <c r="Q90" s="99">
        <f t="shared" si="27"/>
        <v>2.5457375999999996E-4</v>
      </c>
      <c r="R90" s="100">
        <f t="shared" si="16"/>
        <v>58.922815113359967</v>
      </c>
      <c r="S90" s="101"/>
      <c r="V90" s="70">
        <f t="shared" si="17"/>
        <v>200.00270124257165</v>
      </c>
      <c r="W90" s="102"/>
      <c r="X90" s="70"/>
      <c r="Y90" s="70"/>
      <c r="Z90" s="70">
        <f>(V90-$V$60)/(D89-$D$59)</f>
        <v>0.73364831011920684</v>
      </c>
      <c r="AA90" s="102"/>
      <c r="AB90" s="103"/>
    </row>
    <row r="91" spans="2:28" x14ac:dyDescent="0.2">
      <c r="B91" s="216"/>
      <c r="C91" s="199"/>
      <c r="D91" s="219"/>
      <c r="E91" s="151" t="s">
        <v>112</v>
      </c>
      <c r="F91" s="222"/>
      <c r="G91" s="225"/>
      <c r="H91" s="69">
        <f>0.3076-F89</f>
        <v>0.25600000000000001</v>
      </c>
      <c r="I91" s="68">
        <f>0.3235-F89</f>
        <v>0.27190000000000003</v>
      </c>
      <c r="J91" s="68">
        <f>0.1916-G89</f>
        <v>0.14274999999999999</v>
      </c>
      <c r="K91" s="68">
        <f>0.2047-G89</f>
        <v>0.15584999999999999</v>
      </c>
      <c r="L91" s="68">
        <f t="shared" si="12"/>
        <v>2.7493719611021074E-2</v>
      </c>
      <c r="M91" s="68">
        <f t="shared" si="13"/>
        <v>2.8786183144246361E-2</v>
      </c>
      <c r="N91" s="68">
        <f t="shared" si="14"/>
        <v>2.8139951377633719E-2</v>
      </c>
      <c r="O91" s="58">
        <f>'Growth curves CeBER'!H44</f>
        <v>3.024</v>
      </c>
      <c r="P91" s="68">
        <f t="shared" si="15"/>
        <v>3.7298016000000001</v>
      </c>
      <c r="Q91" s="99">
        <f t="shared" si="27"/>
        <v>2.7973511999999999E-4</v>
      </c>
      <c r="R91" s="100">
        <f t="shared" si="16"/>
        <v>50.297494604241543</v>
      </c>
      <c r="S91" s="102">
        <f>AVERAGE(R89:R91)</f>
        <v>49.013176103448437</v>
      </c>
      <c r="T91" s="70">
        <f>STDEV(R89:R91)</f>
        <v>10.610256925958517</v>
      </c>
      <c r="U91" s="78">
        <f>T91/SQRT(3)</f>
        <v>6.1258346923732407</v>
      </c>
      <c r="V91" s="78">
        <f t="shared" si="17"/>
        <v>187.59967585089149</v>
      </c>
      <c r="W91" s="77">
        <f t="shared" si="19"/>
        <v>173.23482802088964</v>
      </c>
      <c r="X91" s="78">
        <f t="shared" si="20"/>
        <v>36.157769781243388</v>
      </c>
      <c r="Y91" s="78">
        <f t="shared" si="21"/>
        <v>20.875698116497386</v>
      </c>
      <c r="Z91" s="78">
        <f>(V91-$V$61)/(D89-$D$59)</f>
        <v>0.69007681464508186</v>
      </c>
      <c r="AA91" s="77">
        <f t="shared" si="23"/>
        <v>0.63414571996221725</v>
      </c>
      <c r="AB91" s="135">
        <f t="shared" si="24"/>
        <v>7.872810085273281E-2</v>
      </c>
    </row>
    <row r="92" spans="2:28" x14ac:dyDescent="0.2">
      <c r="B92" s="214" t="s">
        <v>36</v>
      </c>
      <c r="C92" s="197">
        <v>0.4236111111111111</v>
      </c>
      <c r="D92" s="217">
        <f>48+D86</f>
        <v>285</v>
      </c>
      <c r="E92" s="120" t="s">
        <v>110</v>
      </c>
      <c r="F92" s="220">
        <f>(0.0585+0.0528+0.0569)/3</f>
        <v>5.6066666666666674E-2</v>
      </c>
      <c r="G92" s="223">
        <f>(0.0574+0.0504+0.055)/3</f>
        <v>5.4266666666666664E-2</v>
      </c>
      <c r="H92" s="81">
        <f>0.2913-F92</f>
        <v>0.23523333333333332</v>
      </c>
      <c r="I92" s="82">
        <f>0.2708-F92</f>
        <v>0.2147333333333333</v>
      </c>
      <c r="J92" s="82">
        <f>0.2142-G92</f>
        <v>0.15993333333333334</v>
      </c>
      <c r="K92" s="82">
        <f>0.1936-G92</f>
        <v>0.13933333333333334</v>
      </c>
      <c r="L92" s="68">
        <f t="shared" si="12"/>
        <v>2.2443057806591032E-2</v>
      </c>
      <c r="M92" s="68">
        <f t="shared" si="13"/>
        <v>2.114046461372231E-2</v>
      </c>
      <c r="N92" s="82">
        <f t="shared" si="14"/>
        <v>2.179176121015667E-2</v>
      </c>
      <c r="O92" s="89">
        <f>'Growth curves CeBER'!F45</f>
        <v>2.9119999999999999</v>
      </c>
      <c r="P92" s="82">
        <f t="shared" si="15"/>
        <v>3.5916608000000001</v>
      </c>
      <c r="Q92" s="83">
        <f t="shared" si="27"/>
        <v>2.6937456E-4</v>
      </c>
      <c r="R92" s="84">
        <f t="shared" si="16"/>
        <v>40.448810775146455</v>
      </c>
      <c r="S92" s="90"/>
      <c r="T92" s="89"/>
      <c r="U92" s="89"/>
      <c r="V92" s="70">
        <f t="shared" si="17"/>
        <v>145.27840806771115</v>
      </c>
      <c r="W92" s="102"/>
      <c r="X92" s="70"/>
      <c r="Y92" s="70"/>
      <c r="Z92" s="70">
        <f t="shared" si="22"/>
        <v>0.48463207812435821</v>
      </c>
      <c r="AA92" s="102"/>
      <c r="AB92" s="103"/>
    </row>
    <row r="93" spans="2:28" x14ac:dyDescent="0.2">
      <c r="B93" s="215"/>
      <c r="C93" s="198"/>
      <c r="D93" s="218"/>
      <c r="E93" s="120" t="s">
        <v>111</v>
      </c>
      <c r="F93" s="221"/>
      <c r="G93" s="224"/>
      <c r="H93" s="69">
        <f>0.2765-F92</f>
        <v>0.22043333333333334</v>
      </c>
      <c r="I93" s="68">
        <f>0.2743-F92</f>
        <v>0.21823333333333331</v>
      </c>
      <c r="J93" s="68">
        <f>0.1913-G92</f>
        <v>0.13703333333333334</v>
      </c>
      <c r="K93" s="68">
        <f>0.1884-G92</f>
        <v>0.13413333333333335</v>
      </c>
      <c r="L93" s="68">
        <f t="shared" si="12"/>
        <v>2.2289816315505133E-2</v>
      </c>
      <c r="M93" s="68">
        <f t="shared" si="13"/>
        <v>2.2217612101566715E-2</v>
      </c>
      <c r="N93" s="68">
        <f t="shared" si="14"/>
        <v>2.2253714208535925E-2</v>
      </c>
      <c r="O93" s="58">
        <f>'Growth curves CeBER'!G45</f>
        <v>3.032</v>
      </c>
      <c r="P93" s="68">
        <f t="shared" si="15"/>
        <v>3.7396688</v>
      </c>
      <c r="Q93" s="99">
        <f t="shared" si="27"/>
        <v>2.8047515999999998E-4</v>
      </c>
      <c r="R93" s="100">
        <f t="shared" si="16"/>
        <v>39.671452916785796</v>
      </c>
      <c r="S93" s="101"/>
      <c r="V93" s="70">
        <f t="shared" si="17"/>
        <v>148.35809472357283</v>
      </c>
      <c r="W93" s="102"/>
      <c r="X93" s="70"/>
      <c r="Y93" s="70"/>
      <c r="Z93" s="70">
        <f>(V93-$V$60)/(D92-$D$59)</f>
        <v>0.49065825411268132</v>
      </c>
      <c r="AA93" s="102"/>
      <c r="AB93" s="103"/>
    </row>
    <row r="94" spans="2:28" x14ac:dyDescent="0.2">
      <c r="B94" s="216"/>
      <c r="C94" s="199"/>
      <c r="D94" s="219"/>
      <c r="E94" s="151" t="s">
        <v>112</v>
      </c>
      <c r="F94" s="222"/>
      <c r="G94" s="225"/>
      <c r="H94" s="69">
        <f>0.2789-F92</f>
        <v>0.2228333333333333</v>
      </c>
      <c r="I94" s="68">
        <f>0.2865-F92</f>
        <v>0.2304333333333333</v>
      </c>
      <c r="J94" s="68">
        <f>0.1819-G92</f>
        <v>0.12763333333333335</v>
      </c>
      <c r="K94" s="68">
        <f>0.1894-G92</f>
        <v>0.13513333333333336</v>
      </c>
      <c r="L94" s="68">
        <f t="shared" si="12"/>
        <v>2.3600513236088597E-2</v>
      </c>
      <c r="M94" s="68">
        <f t="shared" si="13"/>
        <v>2.4096866558616956E-2</v>
      </c>
      <c r="N94" s="68">
        <f t="shared" si="14"/>
        <v>2.3848689897352775E-2</v>
      </c>
      <c r="O94" s="58">
        <f>'Growth curves CeBER'!H45</f>
        <v>3.16</v>
      </c>
      <c r="P94" s="68">
        <f t="shared" si="15"/>
        <v>3.8975440000000003</v>
      </c>
      <c r="Q94" s="99">
        <f t="shared" si="27"/>
        <v>2.9231580000000002E-4</v>
      </c>
      <c r="R94" s="100">
        <f t="shared" si="16"/>
        <v>40.792680206394543</v>
      </c>
      <c r="S94" s="102">
        <f>AVERAGE(R92:R94)</f>
        <v>40.304314632775601</v>
      </c>
      <c r="T94" s="70">
        <f>STDEV(R92:R94)</f>
        <v>0.57441014102371879</v>
      </c>
      <c r="U94" s="78">
        <f>T94/SQRT(3)</f>
        <v>0.33163584954529496</v>
      </c>
      <c r="V94" s="78">
        <f t="shared" si="17"/>
        <v>158.99126598235182</v>
      </c>
      <c r="W94" s="77">
        <f t="shared" si="19"/>
        <v>150.87592292454528</v>
      </c>
      <c r="X94" s="78">
        <f t="shared" si="20"/>
        <v>7.1948045271563741</v>
      </c>
      <c r="Y94" s="78">
        <f t="shared" si="21"/>
        <v>4.1539223305204711</v>
      </c>
      <c r="Z94" s="78">
        <f>(V94-$V$61)/(D92-$D$59)</f>
        <v>0.5315846973818481</v>
      </c>
      <c r="AA94" s="77">
        <f t="shared" si="23"/>
        <v>0.50229167653962925</v>
      </c>
      <c r="AB94" s="135">
        <f t="shared" si="24"/>
        <v>1.4749457637571663E-2</v>
      </c>
    </row>
    <row r="95" spans="2:28" x14ac:dyDescent="0.2">
      <c r="B95" s="214" t="s">
        <v>37</v>
      </c>
      <c r="C95" s="197">
        <v>0.38541666666666669</v>
      </c>
      <c r="D95" s="217">
        <f>23+D92</f>
        <v>308</v>
      </c>
      <c r="E95" s="120" t="s">
        <v>110</v>
      </c>
      <c r="F95" s="220">
        <f>(0.0297+0.0354+0.0757)/3</f>
        <v>4.6933333333333334E-2</v>
      </c>
      <c r="G95" s="223">
        <f>(0.0296+0.0366+0.0726)/3</f>
        <v>4.6266666666666671E-2</v>
      </c>
      <c r="H95" s="81">
        <f>0.3517-F95</f>
        <v>0.30476666666666669</v>
      </c>
      <c r="I95" s="82">
        <f>0.3296-F95</f>
        <v>0.28266666666666668</v>
      </c>
      <c r="J95" s="82">
        <f>0.2261-G95</f>
        <v>0.17983333333333332</v>
      </c>
      <c r="K95" s="82">
        <f>0.2071-G95</f>
        <v>0.16083333333333333</v>
      </c>
      <c r="L95" s="68">
        <f t="shared" si="12"/>
        <v>3.1761345218800655E-2</v>
      </c>
      <c r="M95" s="68">
        <f t="shared" si="13"/>
        <v>3.0042544570502434E-2</v>
      </c>
      <c r="N95" s="82">
        <f t="shared" si="14"/>
        <v>3.0901944894651544E-2</v>
      </c>
      <c r="O95" s="89">
        <f>'Growth curves CeBER'!F46</f>
        <v>3.1040000000000001</v>
      </c>
      <c r="P95" s="82">
        <f t="shared" si="15"/>
        <v>3.8284736000000001</v>
      </c>
      <c r="Q95" s="83">
        <f t="shared" si="27"/>
        <v>2.8713551999999998E-4</v>
      </c>
      <c r="R95" s="84">
        <f t="shared" si="16"/>
        <v>53.810731766399968</v>
      </c>
      <c r="S95" s="90"/>
      <c r="T95" s="89"/>
      <c r="U95" s="89"/>
      <c r="V95" s="70">
        <f t="shared" si="17"/>
        <v>206.01296596434366</v>
      </c>
      <c r="W95" s="102"/>
      <c r="X95" s="70"/>
      <c r="Y95" s="70"/>
      <c r="Z95" s="70">
        <f t="shared" si="22"/>
        <v>0.64563214338335917</v>
      </c>
      <c r="AA95" s="102"/>
      <c r="AB95" s="103"/>
    </row>
    <row r="96" spans="2:28" x14ac:dyDescent="0.2">
      <c r="B96" s="215"/>
      <c r="C96" s="198"/>
      <c r="D96" s="218"/>
      <c r="E96" s="120" t="s">
        <v>111</v>
      </c>
      <c r="F96" s="221"/>
      <c r="G96" s="224"/>
      <c r="H96" s="69">
        <f>0.3263-F95</f>
        <v>0.27936666666666665</v>
      </c>
      <c r="I96" s="68">
        <f>0.3333-F95</f>
        <v>0.28636666666666666</v>
      </c>
      <c r="J96" s="68">
        <f>0.191-G95</f>
        <v>0.14473333333333332</v>
      </c>
      <c r="K96" s="68">
        <f>0.1909-G95</f>
        <v>0.14463333333333331</v>
      </c>
      <c r="L96" s="68">
        <f t="shared" si="12"/>
        <v>3.1086385737439222E-2</v>
      </c>
      <c r="M96" s="68">
        <f t="shared" si="13"/>
        <v>3.22307131280389E-2</v>
      </c>
      <c r="N96" s="68">
        <f t="shared" si="14"/>
        <v>3.1658549432739061E-2</v>
      </c>
      <c r="O96" s="58">
        <f>'Growth curves CeBER'!G46</f>
        <v>2.976</v>
      </c>
      <c r="P96" s="68">
        <f t="shared" si="15"/>
        <v>3.6705984000000003</v>
      </c>
      <c r="Q96" s="99">
        <f t="shared" si="27"/>
        <v>2.7529488000000005E-4</v>
      </c>
      <c r="R96" s="100">
        <f t="shared" si="16"/>
        <v>57.499342945896878</v>
      </c>
      <c r="S96" s="101"/>
      <c r="V96" s="70">
        <f t="shared" si="17"/>
        <v>211.05699621826039</v>
      </c>
      <c r="W96" s="102"/>
      <c r="X96" s="70"/>
      <c r="Y96" s="70"/>
      <c r="Z96" s="70">
        <f>(V96-$V$60)/(D95-$D$59)</f>
        <v>0.65758605167792772</v>
      </c>
      <c r="AA96" s="102"/>
      <c r="AB96" s="103"/>
    </row>
    <row r="97" spans="2:34" x14ac:dyDescent="0.2">
      <c r="B97" s="216"/>
      <c r="C97" s="199"/>
      <c r="D97" s="219"/>
      <c r="E97" s="151" t="s">
        <v>112</v>
      </c>
      <c r="F97" s="222"/>
      <c r="G97" s="225"/>
      <c r="H97" s="69">
        <f>0.2812-F95</f>
        <v>0.23426666666666668</v>
      </c>
      <c r="I97" s="68">
        <f>0.3426-F95</f>
        <v>0.29566666666666669</v>
      </c>
      <c r="J97" s="68">
        <f>0.1935-G95</f>
        <v>0.14723333333333333</v>
      </c>
      <c r="K97" s="68">
        <f>0.2505-G95</f>
        <v>0.20423333333333332</v>
      </c>
      <c r="L97" s="68">
        <f t="shared" si="12"/>
        <v>2.3531685575364669E-2</v>
      </c>
      <c r="M97" s="68">
        <f t="shared" si="13"/>
        <v>2.7893922204213942E-2</v>
      </c>
      <c r="N97" s="68">
        <f t="shared" si="14"/>
        <v>2.5712803889789304E-2</v>
      </c>
      <c r="O97" s="58">
        <f>'Growth curves CeBER'!H46</f>
        <v>3.1760000000000002</v>
      </c>
      <c r="P97" s="68">
        <f t="shared" si="15"/>
        <v>3.9172784000000003</v>
      </c>
      <c r="Q97" s="99">
        <f t="shared" si="27"/>
        <v>2.9379588000000002E-4</v>
      </c>
      <c r="R97" s="100">
        <f t="shared" si="16"/>
        <v>43.75964000888866</v>
      </c>
      <c r="S97" s="102">
        <f>AVERAGE(R95:R97)</f>
        <v>51.689904907061837</v>
      </c>
      <c r="T97" s="70">
        <f>STDEV(R95:R97)</f>
        <v>7.1111383845890437</v>
      </c>
      <c r="U97" s="78">
        <f>T97/SQRT(3)</f>
        <v>4.105617660587165</v>
      </c>
      <c r="V97" s="78">
        <f t="shared" si="17"/>
        <v>171.41869259859536</v>
      </c>
      <c r="W97" s="77">
        <f t="shared" si="19"/>
        <v>196.16288492706647</v>
      </c>
      <c r="X97" s="78">
        <f t="shared" si="20"/>
        <v>21.576998187697086</v>
      </c>
      <c r="Y97" s="78">
        <f t="shared" si="21"/>
        <v>12.45748571197098</v>
      </c>
      <c r="Z97" s="78">
        <f>(V97-$V$61)/(D95-$D$59)</f>
        <v>0.53223722522750083</v>
      </c>
      <c r="AA97" s="77">
        <f t="shared" si="23"/>
        <v>0.61181847342959594</v>
      </c>
      <c r="AB97" s="135">
        <f t="shared" si="24"/>
        <v>3.9939976965154993E-2</v>
      </c>
    </row>
    <row r="98" spans="2:34" x14ac:dyDescent="0.2">
      <c r="B98" s="214" t="s">
        <v>38</v>
      </c>
      <c r="C98" s="197">
        <v>0.4826388888888889</v>
      </c>
      <c r="D98" s="217">
        <f>2.5+24+D95</f>
        <v>334.5</v>
      </c>
      <c r="E98" s="120" t="s">
        <v>110</v>
      </c>
      <c r="F98" s="220">
        <f>(0.0562+0.047+0.0465)/3</f>
        <v>4.99E-2</v>
      </c>
      <c r="G98" s="223">
        <f>(0.0534+0.0448+0.0441)/3</f>
        <v>4.7433333333333334E-2</v>
      </c>
      <c r="H98" s="81">
        <f>0.3503-F98</f>
        <v>0.3004</v>
      </c>
      <c r="I98" s="82">
        <f>0.3451-F98</f>
        <v>0.29520000000000002</v>
      </c>
      <c r="J98" s="82">
        <f>0.2068-G98</f>
        <v>0.15936666666666668</v>
      </c>
      <c r="K98" s="82">
        <f>0.2037-G98</f>
        <v>0.15626666666666666</v>
      </c>
      <c r="L98" s="68">
        <f t="shared" si="12"/>
        <v>3.306048082117774E-2</v>
      </c>
      <c r="M98" s="68">
        <f t="shared" si="13"/>
        <v>3.2521663965424101E-2</v>
      </c>
      <c r="N98" s="82">
        <f t="shared" si="14"/>
        <v>3.2791072393300924E-2</v>
      </c>
      <c r="O98" s="82">
        <f>'Growth curves CeBER'!F47</f>
        <v>3.1920000000000002</v>
      </c>
      <c r="P98" s="82">
        <f t="shared" si="15"/>
        <v>3.9370128000000002</v>
      </c>
      <c r="Q98" s="83">
        <f t="shared" si="27"/>
        <v>2.9527596000000002E-4</v>
      </c>
      <c r="R98" s="84">
        <f t="shared" si="16"/>
        <v>55.526146445008465</v>
      </c>
      <c r="S98" s="90"/>
      <c r="T98" s="89"/>
      <c r="U98" s="89"/>
      <c r="V98" s="70">
        <f t="shared" si="17"/>
        <v>218.60714928867284</v>
      </c>
      <c r="W98" s="102"/>
      <c r="X98" s="70"/>
      <c r="Y98" s="70"/>
      <c r="Z98" s="70">
        <f t="shared" si="22"/>
        <v>0.63213418082631923</v>
      </c>
      <c r="AA98" s="102"/>
      <c r="AB98" s="103"/>
    </row>
    <row r="99" spans="2:34" x14ac:dyDescent="0.2">
      <c r="B99" s="215"/>
      <c r="C99" s="198"/>
      <c r="D99" s="218"/>
      <c r="E99" s="120" t="s">
        <v>111</v>
      </c>
      <c r="F99" s="221"/>
      <c r="G99" s="224"/>
      <c r="H99" s="69">
        <f>0.3222-F98</f>
        <v>0.27229999999999999</v>
      </c>
      <c r="I99" s="68">
        <f>0.3343-F98</f>
        <v>0.28439999999999999</v>
      </c>
      <c r="J99" s="68">
        <f>0.1908-G98</f>
        <v>0.14336666666666667</v>
      </c>
      <c r="K99" s="68">
        <f>0.1995-G98</f>
        <v>0.15206666666666668</v>
      </c>
      <c r="L99" s="68">
        <f t="shared" si="12"/>
        <v>3.007506753106429E-2</v>
      </c>
      <c r="M99" s="68">
        <f t="shared" si="13"/>
        <v>3.1183090221501886E-2</v>
      </c>
      <c r="N99" s="68">
        <f t="shared" si="14"/>
        <v>3.0629078876283088E-2</v>
      </c>
      <c r="O99" s="58">
        <f>'Growth curves CeBER'!G47</f>
        <v>3.1120000000000001</v>
      </c>
      <c r="P99" s="68">
        <f t="shared" si="15"/>
        <v>3.8383408000000001</v>
      </c>
      <c r="Q99" s="99">
        <f t="shared" si="27"/>
        <v>2.8787555999999998E-4</v>
      </c>
      <c r="R99" s="100">
        <f t="shared" si="16"/>
        <v>53.198470332603243</v>
      </c>
      <c r="S99" s="101"/>
      <c r="V99" s="70">
        <f t="shared" si="17"/>
        <v>204.19385917522061</v>
      </c>
      <c r="W99" s="102"/>
      <c r="X99" s="70"/>
      <c r="Y99" s="70"/>
      <c r="Z99" s="70">
        <f>(V99-$V$60)/(D98-$D$59)</f>
        <v>0.58497269618463965</v>
      </c>
      <c r="AA99" s="102"/>
      <c r="AB99" s="103"/>
    </row>
    <row r="100" spans="2:34" x14ac:dyDescent="0.2">
      <c r="B100" s="216"/>
      <c r="C100" s="199"/>
      <c r="D100" s="219"/>
      <c r="E100" s="151" t="s">
        <v>112</v>
      </c>
      <c r="F100" s="222"/>
      <c r="G100" s="225"/>
      <c r="H100" s="69">
        <f>0.2735-F98</f>
        <v>0.22360000000000002</v>
      </c>
      <c r="I100" s="68">
        <f>0.3144-F98</f>
        <v>0.26450000000000001</v>
      </c>
      <c r="J100" s="68">
        <f>0.1798-G98</f>
        <v>0.13236666666666666</v>
      </c>
      <c r="K100" s="68">
        <f>0.2184-G98</f>
        <v>0.17096666666666668</v>
      </c>
      <c r="L100" s="68">
        <f t="shared" si="12"/>
        <v>2.3260642895732042E-2</v>
      </c>
      <c r="M100" s="68">
        <f t="shared" si="13"/>
        <v>2.6104565099945978E-2</v>
      </c>
      <c r="N100" s="68">
        <f t="shared" si="14"/>
        <v>2.468260399783901E-2</v>
      </c>
      <c r="O100" s="68">
        <f>'Growth curves CeBER'!H47</f>
        <v>3.24</v>
      </c>
      <c r="P100" s="68">
        <f t="shared" si="15"/>
        <v>3.9962160000000004</v>
      </c>
      <c r="Q100" s="99">
        <f t="shared" si="27"/>
        <v>2.9971620000000007E-4</v>
      </c>
      <c r="R100" s="100">
        <f t="shared" si="16"/>
        <v>41.176626418323409</v>
      </c>
      <c r="S100" s="102">
        <f>AVERAGE(R98:R100)</f>
        <v>49.96708106531171</v>
      </c>
      <c r="T100" s="70">
        <f>STDEV(R98:R100)</f>
        <v>7.7012069636280556</v>
      </c>
      <c r="U100" s="78">
        <f>T100/SQRT(3)</f>
        <v>4.4462939135356789</v>
      </c>
      <c r="V100" s="78">
        <f t="shared" si="17"/>
        <v>164.5506933189267</v>
      </c>
      <c r="W100" s="77">
        <f t="shared" si="19"/>
        <v>195.7839005942734</v>
      </c>
      <c r="X100" s="78">
        <f t="shared" si="20"/>
        <v>27.992332173332603</v>
      </c>
      <c r="Y100" s="78">
        <f t="shared" si="21"/>
        <v>16.161380515519003</v>
      </c>
      <c r="Z100" s="78">
        <f>(V100-$V$61)/(D98-$D$59)</f>
        <v>0.46953980893991509</v>
      </c>
      <c r="AA100" s="77">
        <f t="shared" si="23"/>
        <v>0.56221556198362466</v>
      </c>
      <c r="AB100" s="135">
        <f t="shared" si="24"/>
        <v>4.8296472645752604E-2</v>
      </c>
    </row>
    <row r="101" spans="2:34" x14ac:dyDescent="0.2">
      <c r="B101" s="214" t="s">
        <v>39</v>
      </c>
      <c r="C101" s="197">
        <v>0.52083333333333337</v>
      </c>
      <c r="D101" s="217">
        <f>25+D98</f>
        <v>359.5</v>
      </c>
      <c r="E101" s="120" t="s">
        <v>110</v>
      </c>
      <c r="F101" s="220">
        <f>(0.0558+0.049+0.0546)/3</f>
        <v>5.3133333333333338E-2</v>
      </c>
      <c r="G101" s="223">
        <f>(0.0538+0.0466+0.0518)/3</f>
        <v>5.0733333333333332E-2</v>
      </c>
      <c r="H101" s="82">
        <f>0.4143-F101</f>
        <v>0.36116666666666664</v>
      </c>
      <c r="I101" s="82">
        <f>0.3915-F101</f>
        <v>0.3383666666666667</v>
      </c>
      <c r="J101" s="82">
        <f>0.2848-G101</f>
        <v>0.23406666666666667</v>
      </c>
      <c r="K101" s="82">
        <f>0.266-G101</f>
        <v>0.21526666666666669</v>
      </c>
      <c r="L101" s="68">
        <f t="shared" si="12"/>
        <v>3.5584494867639108E-2</v>
      </c>
      <c r="M101" s="68">
        <f t="shared" si="13"/>
        <v>3.3732631010264726E-2</v>
      </c>
      <c r="N101" s="82">
        <f t="shared" si="14"/>
        <v>3.465856293895192E-2</v>
      </c>
      <c r="O101" s="89">
        <f>'Growth curves CeBER'!F48</f>
        <v>3.22</v>
      </c>
      <c r="P101" s="82">
        <f t="shared" si="15"/>
        <v>3.9715480000000003</v>
      </c>
      <c r="Q101" s="83">
        <f t="shared" si="27"/>
        <v>2.9786610000000002E-4</v>
      </c>
      <c r="R101" s="84">
        <f t="shared" si="16"/>
        <v>58.178092335703724</v>
      </c>
      <c r="S101" s="90"/>
      <c r="T101" s="89"/>
      <c r="U101" s="89"/>
      <c r="V101" s="70">
        <f t="shared" si="17"/>
        <v>231.05708625967947</v>
      </c>
      <c r="W101" s="102"/>
      <c r="X101" s="70"/>
      <c r="Y101" s="70"/>
      <c r="Z101" s="70">
        <f t="shared" si="22"/>
        <v>0.62280617651574521</v>
      </c>
      <c r="AA101" s="102"/>
      <c r="AB101" s="103"/>
    </row>
    <row r="102" spans="2:34" x14ac:dyDescent="0.2">
      <c r="B102" s="215"/>
      <c r="C102" s="198"/>
      <c r="D102" s="218"/>
      <c r="E102" s="120" t="s">
        <v>111</v>
      </c>
      <c r="F102" s="221"/>
      <c r="G102" s="224"/>
      <c r="H102" s="68">
        <f>0.3077-F101</f>
        <v>0.25456666666666661</v>
      </c>
      <c r="I102" s="68">
        <f>0.3347-F101</f>
        <v>0.28156666666666663</v>
      </c>
      <c r="J102" s="68">
        <f>0.1939-G101</f>
        <v>0.14316666666666666</v>
      </c>
      <c r="K102" s="68">
        <f>0.2175-G101</f>
        <v>0.16676666666666667</v>
      </c>
      <c r="L102" s="68">
        <f t="shared" si="12"/>
        <v>2.7220556455969738E-2</v>
      </c>
      <c r="M102" s="68">
        <f t="shared" si="13"/>
        <v>2.9282468935710418E-2</v>
      </c>
      <c r="N102" s="68">
        <f t="shared" si="14"/>
        <v>2.8251512695840079E-2</v>
      </c>
      <c r="O102" s="58">
        <f>'Growth curves CeBER'!G48</f>
        <v>3.58</v>
      </c>
      <c r="P102" s="68">
        <f t="shared" si="15"/>
        <v>4.4155720000000001</v>
      </c>
      <c r="Q102" s="99">
        <f t="shared" si="27"/>
        <v>3.3116790000000003E-4</v>
      </c>
      <c r="R102" s="100">
        <f t="shared" si="16"/>
        <v>42.65436459246213</v>
      </c>
      <c r="S102" s="101"/>
      <c r="V102" s="70">
        <f t="shared" si="17"/>
        <v>188.34341797226719</v>
      </c>
      <c r="W102" s="102"/>
      <c r="X102" s="70"/>
      <c r="Y102" s="70"/>
      <c r="Z102" s="70">
        <f>(V102-$V$60)/(D101-$D$59)</f>
        <v>0.50020285304814616</v>
      </c>
      <c r="AA102" s="102"/>
      <c r="AB102" s="103"/>
    </row>
    <row r="103" spans="2:34" x14ac:dyDescent="0.2">
      <c r="B103" s="216"/>
      <c r="C103" s="199"/>
      <c r="D103" s="219"/>
      <c r="E103" s="151" t="s">
        <v>112</v>
      </c>
      <c r="F103" s="222"/>
      <c r="G103" s="225"/>
      <c r="H103" s="68">
        <f>0.349-F101</f>
        <v>0.29586666666666661</v>
      </c>
      <c r="I103" s="68">
        <f>0.3478-F101</f>
        <v>0.29466666666666663</v>
      </c>
      <c r="J103" s="68">
        <f>0.2282-G101</f>
        <v>0.17746666666666666</v>
      </c>
      <c r="K103" s="68">
        <f>0.225-G101</f>
        <v>0.17426666666666668</v>
      </c>
      <c r="L103" s="68">
        <f t="shared" si="12"/>
        <v>3.0550945434900049E-2</v>
      </c>
      <c r="M103" s="68">
        <f t="shared" si="13"/>
        <v>3.0670232306861153E-2</v>
      </c>
      <c r="N103" s="68">
        <f t="shared" si="14"/>
        <v>3.0610588870880601E-2</v>
      </c>
      <c r="O103" s="58">
        <f>'Growth curves CeBER'!H48</f>
        <v>3.34</v>
      </c>
      <c r="P103" s="68">
        <f t="shared" si="15"/>
        <v>4.1195560000000002</v>
      </c>
      <c r="Q103" s="99">
        <f t="shared" si="27"/>
        <v>3.089667E-4</v>
      </c>
      <c r="R103" s="100">
        <f t="shared" si="16"/>
        <v>49.537035659313126</v>
      </c>
      <c r="S103" s="102">
        <f>AVERAGE(R101:R103)</f>
        <v>50.123164195826327</v>
      </c>
      <c r="T103" s="70">
        <f>STDEV(R101:R103)</f>
        <v>7.7784439804859309</v>
      </c>
      <c r="U103" s="78">
        <f>T103/SQRT(3)</f>
        <v>4.4908867260099763</v>
      </c>
      <c r="V103" s="78">
        <f t="shared" si="17"/>
        <v>204.07059247253736</v>
      </c>
      <c r="W103" s="77">
        <f t="shared" si="19"/>
        <v>207.82369890149468</v>
      </c>
      <c r="X103" s="78">
        <f t="shared" si="20"/>
        <v>21.602747985894823</v>
      </c>
      <c r="Y103" s="78">
        <f t="shared" si="21"/>
        <v>12.472352364892023</v>
      </c>
      <c r="Z103" s="78">
        <f>(V103-$V$61)/(D101-$D$59)</f>
        <v>0.54681770582479072</v>
      </c>
      <c r="AA103" s="77">
        <f t="shared" si="23"/>
        <v>0.5566089117962274</v>
      </c>
      <c r="AB103" s="135">
        <f t="shared" si="24"/>
        <v>3.5729514023686841E-2</v>
      </c>
    </row>
    <row r="104" spans="2:34" x14ac:dyDescent="0.2">
      <c r="B104" s="214" t="s">
        <v>40</v>
      </c>
      <c r="C104" s="197">
        <v>0.53472222222222221</v>
      </c>
      <c r="D104" s="217">
        <f>24.5+D101</f>
        <v>384</v>
      </c>
      <c r="E104" s="120" t="s">
        <v>110</v>
      </c>
      <c r="F104" s="220">
        <f>(0.057+0.0553+0.0547)/3</f>
        <v>5.566666666666667E-2</v>
      </c>
      <c r="G104" s="223">
        <f>(0.055+0.0533+0.0525)/3</f>
        <v>5.3600000000000002E-2</v>
      </c>
      <c r="H104" s="82">
        <f>0.3667-F104</f>
        <v>0.31103333333333338</v>
      </c>
      <c r="I104" s="82">
        <f>0.4138-F104</f>
        <v>0.3581333333333333</v>
      </c>
      <c r="J104" s="82">
        <f>0.2409-G104</f>
        <v>0.18729999999999999</v>
      </c>
      <c r="K104" s="82">
        <f>0.2794-G104</f>
        <v>0.22579999999999997</v>
      </c>
      <c r="L104" s="68">
        <f t="shared" si="12"/>
        <v>3.2044867639114002E-2</v>
      </c>
      <c r="M104" s="68">
        <f t="shared" si="13"/>
        <v>3.5903457590491628E-2</v>
      </c>
      <c r="N104" s="82">
        <f t="shared" si="14"/>
        <v>3.3974162614802815E-2</v>
      </c>
      <c r="O104" s="82">
        <f>'Growth curves CeBER'!F49</f>
        <v>3.4239999999999999</v>
      </c>
      <c r="P104" s="82">
        <f t="shared" si="15"/>
        <v>4.2231616000000001</v>
      </c>
      <c r="Q104" s="83">
        <f t="shared" si="27"/>
        <v>3.1673711999999999E-4</v>
      </c>
      <c r="R104" s="84">
        <f t="shared" si="16"/>
        <v>53.631482496909136</v>
      </c>
      <c r="S104" s="90"/>
      <c r="T104" s="89"/>
      <c r="U104" s="89"/>
      <c r="V104" s="70">
        <f t="shared" si="17"/>
        <v>226.49441743201879</v>
      </c>
      <c r="W104" s="102"/>
      <c r="X104" s="70"/>
      <c r="Y104" s="70"/>
      <c r="Z104" s="70">
        <f t="shared" si="22"/>
        <v>0.5711878948691399</v>
      </c>
      <c r="AA104" s="102"/>
      <c r="AB104" s="103"/>
    </row>
    <row r="105" spans="2:34" x14ac:dyDescent="0.2">
      <c r="B105" s="215"/>
      <c r="C105" s="198"/>
      <c r="D105" s="218"/>
      <c r="E105" s="120" t="s">
        <v>111</v>
      </c>
      <c r="F105" s="221"/>
      <c r="G105" s="224"/>
      <c r="H105" s="68">
        <f>0.2636-F104</f>
        <v>0.20793333333333333</v>
      </c>
      <c r="I105" s="68">
        <f>0.286-F104</f>
        <v>0.23033333333333331</v>
      </c>
      <c r="J105" s="68">
        <f>0.1707-G104</f>
        <v>0.11709999999999998</v>
      </c>
      <c r="K105" s="68">
        <f>0.1905-G104</f>
        <v>0.13689999999999999</v>
      </c>
      <c r="L105" s="68">
        <f t="shared" si="12"/>
        <v>2.2218449486763915E-2</v>
      </c>
      <c r="M105" s="68">
        <f t="shared" si="13"/>
        <v>2.3907428417071851E-2</v>
      </c>
      <c r="N105" s="68">
        <f t="shared" si="14"/>
        <v>2.3062938951917883E-2</v>
      </c>
      <c r="O105" s="58">
        <f>'Growth curves CeBER'!G49</f>
        <v>3.2160000000000002</v>
      </c>
      <c r="P105" s="68">
        <f t="shared" si="15"/>
        <v>3.9666144000000005</v>
      </c>
      <c r="Q105" s="99">
        <f t="shared" si="27"/>
        <v>2.9749608000000007E-4</v>
      </c>
      <c r="R105" s="100">
        <f t="shared" si="16"/>
        <v>38.761752679090556</v>
      </c>
      <c r="S105" s="101"/>
      <c r="V105" s="70">
        <f t="shared" si="17"/>
        <v>153.75292634611921</v>
      </c>
      <c r="W105" s="102"/>
      <c r="X105" s="70"/>
      <c r="Y105" s="70"/>
      <c r="Z105" s="70">
        <f>(V105-$V$60)/(D104-$D$59)</f>
        <v>0.3782094636579702</v>
      </c>
      <c r="AA105" s="102"/>
      <c r="AB105" s="103"/>
    </row>
    <row r="106" spans="2:34" x14ac:dyDescent="0.2">
      <c r="B106" s="216"/>
      <c r="C106" s="199"/>
      <c r="D106" s="219"/>
      <c r="E106" s="151" t="s">
        <v>112</v>
      </c>
      <c r="F106" s="222"/>
      <c r="G106" s="225"/>
      <c r="H106" s="68">
        <f>0.3554-F104</f>
        <v>0.2997333333333333</v>
      </c>
      <c r="I106" s="68">
        <f>0.3648-F104</f>
        <v>0.30913333333333337</v>
      </c>
      <c r="J106" s="68">
        <f>0.23-G104</f>
        <v>0.1764</v>
      </c>
      <c r="K106" s="68">
        <f>0.2366-G104</f>
        <v>0.183</v>
      </c>
      <c r="L106" s="68">
        <f t="shared" si="12"/>
        <v>3.1282225823878983E-2</v>
      </c>
      <c r="M106" s="68">
        <f t="shared" si="13"/>
        <v>3.2158562938951925E-2</v>
      </c>
      <c r="N106" s="68">
        <f t="shared" si="14"/>
        <v>3.1720394381415454E-2</v>
      </c>
      <c r="O106" s="58">
        <f>'Growth curves CeBER'!H49</f>
        <v>3.7679999999999998</v>
      </c>
      <c r="P106" s="68">
        <f t="shared" si="15"/>
        <v>4.6474511999999999</v>
      </c>
      <c r="Q106" s="99">
        <f t="shared" si="27"/>
        <v>3.4855883999999996E-4</v>
      </c>
      <c r="R106" s="100">
        <f t="shared" si="16"/>
        <v>45.50220901213617</v>
      </c>
      <c r="S106" s="102">
        <f>AVERAGE(R104:R106)</f>
        <v>45.965148062711954</v>
      </c>
      <c r="T106" s="70">
        <f>STDEV(R104:R106)</f>
        <v>7.44566656768502</v>
      </c>
      <c r="U106" s="78">
        <f>T106/SQRT(3)</f>
        <v>4.2987575971491436</v>
      </c>
      <c r="V106" s="78">
        <f t="shared" si="17"/>
        <v>211.46929587610305</v>
      </c>
      <c r="W106" s="77">
        <f t="shared" si="19"/>
        <v>197.23887988474701</v>
      </c>
      <c r="X106" s="78">
        <f t="shared" si="20"/>
        <v>38.401948984592956</v>
      </c>
      <c r="Y106" s="78">
        <f t="shared" si="21"/>
        <v>22.171375583661021</v>
      </c>
      <c r="Z106" s="78">
        <f>(V106-$V$61)/(D104-$D$59)</f>
        <v>0.53119705376973425</v>
      </c>
      <c r="AA106" s="77">
        <f t="shared" si="23"/>
        <v>0.49353147076561471</v>
      </c>
      <c r="AB106" s="135">
        <f t="shared" si="24"/>
        <v>5.8805302582508677E-2</v>
      </c>
    </row>
    <row r="107" spans="2:34" x14ac:dyDescent="0.2">
      <c r="B107" s="214" t="s">
        <v>41</v>
      </c>
      <c r="C107" s="197">
        <v>0.46875</v>
      </c>
      <c r="D107" s="217">
        <f>22+D104</f>
        <v>406</v>
      </c>
      <c r="E107" s="120" t="s">
        <v>110</v>
      </c>
      <c r="F107" s="220">
        <f>(0.0541+0.0513+0.0497)/3</f>
        <v>5.1699999999999996E-2</v>
      </c>
      <c r="G107" s="223">
        <f>(0.0519+0.0481+0.0478)/3</f>
        <v>4.9266666666666674E-2</v>
      </c>
      <c r="H107" s="82">
        <f>0.4636-F107</f>
        <v>0.41190000000000004</v>
      </c>
      <c r="I107" s="82">
        <f>0.4346-F107</f>
        <v>0.38290000000000002</v>
      </c>
      <c r="J107" s="82">
        <f>0.3245-G107</f>
        <v>0.27523333333333333</v>
      </c>
      <c r="K107" s="82">
        <f>0.3021-G107</f>
        <v>0.2528333333333333</v>
      </c>
      <c r="L107" s="68">
        <f t="shared" si="12"/>
        <v>3.9770475418692608E-2</v>
      </c>
      <c r="M107" s="68">
        <f t="shared" si="13"/>
        <v>3.7266747703943823E-2</v>
      </c>
      <c r="N107" s="82">
        <f t="shared" si="14"/>
        <v>3.8518611561318215E-2</v>
      </c>
      <c r="O107" s="82">
        <f>'Growth curves CeBER'!F50</f>
        <v>3.58</v>
      </c>
      <c r="P107" s="82">
        <f t="shared" si="15"/>
        <v>4.4155720000000001</v>
      </c>
      <c r="Q107" s="83">
        <f t="shared" si="27"/>
        <v>3.3116790000000003E-4</v>
      </c>
      <c r="R107" s="84">
        <f t="shared" si="16"/>
        <v>58.155714308841844</v>
      </c>
      <c r="S107" s="90"/>
      <c r="T107" s="89"/>
      <c r="U107" s="89"/>
      <c r="V107" s="70">
        <f t="shared" si="17"/>
        <v>256.79074374212138</v>
      </c>
      <c r="W107" s="102"/>
      <c r="X107" s="70"/>
      <c r="Y107" s="70"/>
      <c r="Z107" s="70">
        <f t="shared" si="22"/>
        <v>0.6148583200488974</v>
      </c>
      <c r="AA107" s="102"/>
      <c r="AB107" s="103"/>
    </row>
    <row r="108" spans="2:34" ht="15" customHeight="1" x14ac:dyDescent="0.2">
      <c r="B108" s="215"/>
      <c r="C108" s="198"/>
      <c r="D108" s="218"/>
      <c r="E108" s="120" t="s">
        <v>111</v>
      </c>
      <c r="F108" s="221"/>
      <c r="G108" s="224"/>
      <c r="H108" s="68">
        <f>0.3518-F107</f>
        <v>0.30010000000000003</v>
      </c>
      <c r="I108" s="68">
        <f>0.3641-F107</f>
        <v>0.31240000000000001</v>
      </c>
      <c r="J108" s="68">
        <f>0.2383-G107</f>
        <v>0.18903333333333333</v>
      </c>
      <c r="K108" s="68">
        <f>0.246-G107</f>
        <v>0.19673333333333332</v>
      </c>
      <c r="L108" s="68">
        <f t="shared" si="12"/>
        <v>3.0102890329551601E-2</v>
      </c>
      <c r="M108" s="68">
        <f t="shared" si="13"/>
        <v>3.1341383036196657E-2</v>
      </c>
      <c r="N108" s="68">
        <f t="shared" si="14"/>
        <v>3.0722136682874129E-2</v>
      </c>
      <c r="O108" s="58">
        <f>'Growth curves CeBER'!G50</f>
        <v>3.1520000000000001</v>
      </c>
      <c r="P108" s="68">
        <f t="shared" si="15"/>
        <v>3.8876768000000004</v>
      </c>
      <c r="Q108" s="99">
        <f t="shared" si="27"/>
        <v>2.9157576000000003E-4</v>
      </c>
      <c r="R108" s="100">
        <f t="shared" si="16"/>
        <v>52.682940246600275</v>
      </c>
      <c r="S108" s="101"/>
      <c r="V108" s="70">
        <f t="shared" si="17"/>
        <v>204.81424455249419</v>
      </c>
      <c r="W108" s="102"/>
      <c r="X108" s="70"/>
      <c r="Y108" s="70"/>
      <c r="Z108" s="70">
        <f>(V108-$V$60)/(D107-$D$59)</f>
        <v>0.48348214840156534</v>
      </c>
      <c r="AA108" s="102"/>
      <c r="AB108" s="103"/>
    </row>
    <row r="109" spans="2:34" ht="16" customHeight="1" thickBot="1" x14ac:dyDescent="0.25">
      <c r="B109" s="230"/>
      <c r="C109" s="232"/>
      <c r="D109" s="231"/>
      <c r="E109" s="152" t="s">
        <v>112</v>
      </c>
      <c r="F109" s="234"/>
      <c r="G109" s="233"/>
      <c r="H109" s="93">
        <f>0.3538-F107</f>
        <v>0.30210000000000004</v>
      </c>
      <c r="I109" s="93">
        <f>0.3784-F107</f>
        <v>0.32669999999999999</v>
      </c>
      <c r="J109" s="93">
        <f>0.23-G107</f>
        <v>0.18073333333333333</v>
      </c>
      <c r="K109" s="93">
        <f>0.2461-G107</f>
        <v>0.19683333333333333</v>
      </c>
      <c r="L109" s="68">
        <f t="shared" si="12"/>
        <v>3.124089681253377E-2</v>
      </c>
      <c r="M109" s="68">
        <f t="shared" si="13"/>
        <v>3.3649243652079955E-2</v>
      </c>
      <c r="N109" s="93">
        <f t="shared" si="14"/>
        <v>3.2445070232306861E-2</v>
      </c>
      <c r="O109" s="92">
        <f>'Growth curves CeBER'!H50</f>
        <v>3.8559999999999999</v>
      </c>
      <c r="P109" s="93">
        <f t="shared" si="15"/>
        <v>4.7559904</v>
      </c>
      <c r="Q109" s="94">
        <f t="shared" si="27"/>
        <v>3.5669928E-4</v>
      </c>
      <c r="R109" s="95">
        <f t="shared" si="16"/>
        <v>45.479584697096755</v>
      </c>
      <c r="S109" s="96">
        <f>AVERAGE(R107:R109)</f>
        <v>52.106079750846298</v>
      </c>
      <c r="T109" s="97">
        <f>STDEV(R107:R109)</f>
        <v>6.3577229813126745</v>
      </c>
      <c r="U109" s="97">
        <f>T109/SQRT(3)</f>
        <v>3.6706330746939431</v>
      </c>
      <c r="V109" s="97">
        <f t="shared" si="17"/>
        <v>216.30046821537908</v>
      </c>
      <c r="W109" s="96">
        <f t="shared" si="19"/>
        <v>225.96848550333155</v>
      </c>
      <c r="X109" s="97">
        <f t="shared" si="20"/>
        <v>27.303700037036002</v>
      </c>
      <c r="Y109" s="97">
        <f t="shared" si="21"/>
        <v>15.763798566255531</v>
      </c>
      <c r="Z109" s="70">
        <f>(V109-$V$61)/(D107-$D$59)</f>
        <v>0.51431241622377821</v>
      </c>
      <c r="AA109" s="102">
        <f t="shared" si="23"/>
        <v>0.53755096155808035</v>
      </c>
      <c r="AB109" s="103">
        <f t="shared" si="24"/>
        <v>3.9665043851054266E-2</v>
      </c>
    </row>
    <row r="110" spans="2:34" ht="15" thickBot="1" x14ac:dyDescent="0.25">
      <c r="B110" s="235" t="s">
        <v>63</v>
      </c>
      <c r="C110" s="236"/>
      <c r="D110" s="236"/>
      <c r="E110" s="236"/>
      <c r="F110" s="236"/>
      <c r="G110" s="236"/>
      <c r="H110" s="236"/>
      <c r="I110" s="236"/>
      <c r="J110" s="236"/>
      <c r="K110" s="236"/>
      <c r="L110" s="236"/>
      <c r="M110" s="236"/>
      <c r="N110" s="236"/>
      <c r="O110" s="236"/>
      <c r="P110" s="236"/>
      <c r="Q110" s="236"/>
      <c r="R110" s="236"/>
      <c r="S110" s="236"/>
      <c r="T110" s="236"/>
      <c r="U110" s="236"/>
      <c r="V110" s="236"/>
      <c r="W110" s="236"/>
      <c r="X110" s="236"/>
      <c r="Y110" s="236"/>
      <c r="Z110" s="236"/>
      <c r="AA110" s="236"/>
      <c r="AB110" s="237"/>
    </row>
    <row r="111" spans="2:34" ht="45" customHeight="1" x14ac:dyDescent="0.2">
      <c r="B111" s="105" t="s">
        <v>0</v>
      </c>
      <c r="C111" s="106" t="s">
        <v>1</v>
      </c>
      <c r="D111" s="140" t="s">
        <v>2</v>
      </c>
      <c r="E111" s="149"/>
      <c r="F111" s="106" t="s">
        <v>14</v>
      </c>
      <c r="G111" s="106" t="s">
        <v>15</v>
      </c>
      <c r="H111" s="208" t="s">
        <v>75</v>
      </c>
      <c r="I111" s="209"/>
      <c r="J111" s="210" t="s">
        <v>76</v>
      </c>
      <c r="K111" s="211"/>
      <c r="L111" s="212" t="s">
        <v>77</v>
      </c>
      <c r="M111" s="213"/>
      <c r="N111" s="107" t="s">
        <v>78</v>
      </c>
      <c r="O111" s="108" t="s">
        <v>79</v>
      </c>
      <c r="P111" s="107" t="s">
        <v>16</v>
      </c>
      <c r="Q111" s="107" t="s">
        <v>17</v>
      </c>
      <c r="R111" s="107" t="s">
        <v>80</v>
      </c>
      <c r="S111" s="107" t="s">
        <v>81</v>
      </c>
      <c r="T111" s="107" t="s">
        <v>82</v>
      </c>
      <c r="U111" s="109" t="s">
        <v>56</v>
      </c>
      <c r="V111" s="108" t="s">
        <v>83</v>
      </c>
      <c r="W111" s="107" t="s">
        <v>84</v>
      </c>
      <c r="X111" s="107" t="s">
        <v>82</v>
      </c>
      <c r="Y111" s="59" t="s">
        <v>56</v>
      </c>
      <c r="Z111" s="59" t="s">
        <v>72</v>
      </c>
      <c r="AA111" s="107" t="s">
        <v>73</v>
      </c>
      <c r="AB111" s="110" t="s">
        <v>56</v>
      </c>
      <c r="AD111" s="58" t="s">
        <v>2</v>
      </c>
      <c r="AE111" s="111" t="str">
        <f>S111</f>
        <v>Average specific CPC conc.</v>
      </c>
      <c r="AF111" s="58" t="s">
        <v>18</v>
      </c>
      <c r="AG111" s="111" t="str">
        <f>W111</f>
        <v>Average total CPC</v>
      </c>
      <c r="AH111" s="58" t="s">
        <v>18</v>
      </c>
    </row>
    <row r="112" spans="2:34" ht="31" customHeight="1" x14ac:dyDescent="0.2">
      <c r="B112" s="60"/>
      <c r="C112" s="61"/>
      <c r="D112" s="63"/>
      <c r="E112" s="150"/>
      <c r="F112" s="61" t="s">
        <v>19</v>
      </c>
      <c r="G112" s="61" t="s">
        <v>19</v>
      </c>
      <c r="H112" s="228" t="s">
        <v>19</v>
      </c>
      <c r="I112" s="206"/>
      <c r="J112" s="229" t="s">
        <v>19</v>
      </c>
      <c r="K112" s="207"/>
      <c r="L112" s="206" t="s">
        <v>20</v>
      </c>
      <c r="M112" s="207"/>
      <c r="N112" s="64" t="s">
        <v>20</v>
      </c>
      <c r="O112" s="64" t="s">
        <v>19</v>
      </c>
      <c r="P112" s="64" t="s">
        <v>21</v>
      </c>
      <c r="Q112" s="64" t="s">
        <v>22</v>
      </c>
      <c r="R112" s="65" t="s">
        <v>85</v>
      </c>
      <c r="S112" s="65" t="s">
        <v>85</v>
      </c>
      <c r="T112" s="64"/>
      <c r="U112" s="63"/>
      <c r="V112" s="65" t="s">
        <v>86</v>
      </c>
      <c r="W112" s="65" t="s">
        <v>86</v>
      </c>
      <c r="X112" s="64"/>
      <c r="Y112" s="64"/>
      <c r="Z112" s="65" t="s">
        <v>74</v>
      </c>
      <c r="AA112" s="65" t="s">
        <v>74</v>
      </c>
      <c r="AB112" s="62"/>
      <c r="AD112" s="87">
        <f>D113</f>
        <v>0</v>
      </c>
      <c r="AE112" s="70">
        <f>S115</f>
        <v>53.883595886649317</v>
      </c>
      <c r="AF112" s="70">
        <f>U115</f>
        <v>0.69010312584300237</v>
      </c>
      <c r="AG112" s="70">
        <f>W115</f>
        <v>6.9873446785521338</v>
      </c>
      <c r="AH112" s="70">
        <f>Y115</f>
        <v>0.76044359838661746</v>
      </c>
    </row>
    <row r="113" spans="2:34" x14ac:dyDescent="0.2">
      <c r="B113" s="215" t="s">
        <v>8</v>
      </c>
      <c r="C113" s="198">
        <v>0.5625</v>
      </c>
      <c r="D113" s="226">
        <v>0</v>
      </c>
      <c r="E113" s="120" t="s">
        <v>110</v>
      </c>
      <c r="F113" s="221">
        <v>5.45E-2</v>
      </c>
      <c r="G113" s="224">
        <v>5.1400000000000001E-2</v>
      </c>
      <c r="H113" s="69">
        <f>0.3649-F113</f>
        <v>0.31040000000000001</v>
      </c>
      <c r="I113" s="68">
        <f>0.3757-F113</f>
        <v>0.32119999999999999</v>
      </c>
      <c r="J113" s="68">
        <f>0.2379-G113</f>
        <v>0.1865</v>
      </c>
      <c r="K113" s="68">
        <f>0.2474-G113</f>
        <v>0.19600000000000001</v>
      </c>
      <c r="L113" s="267">
        <f>(H113-(0.605*J113))/6.17</f>
        <v>3.2020664505672612E-2</v>
      </c>
      <c r="M113" s="267">
        <f>(I113-(0.605*K113))/6.17</f>
        <v>3.2839546191247966E-2</v>
      </c>
      <c r="N113" s="68">
        <f>AVERAGE(L113:M113)</f>
        <v>3.2430105348460289E-2</v>
      </c>
      <c r="O113" s="58">
        <f>'Growth curves CeBER'!F55</f>
        <v>0.11899999999999999</v>
      </c>
      <c r="P113" s="68">
        <f>1.2334*O113</f>
        <v>0.14677460000000001</v>
      </c>
      <c r="Q113" s="99">
        <f>P113*2/1000</f>
        <v>2.935492E-4</v>
      </c>
      <c r="R113" s="100">
        <f>(N113*0.5)/Q113</f>
        <v>55.237938560998103</v>
      </c>
      <c r="S113" s="101"/>
      <c r="V113" s="70">
        <f>R113*P113</f>
        <v>8.1075263371150719</v>
      </c>
      <c r="W113" s="101"/>
      <c r="AA113" s="101"/>
      <c r="AB113" s="67"/>
      <c r="AD113" s="87">
        <f>D116</f>
        <v>21.5</v>
      </c>
      <c r="AE113" s="70">
        <f>S118</f>
        <v>23.768503951745089</v>
      </c>
      <c r="AF113" s="70">
        <f>U118</f>
        <v>1.2850353897968823</v>
      </c>
      <c r="AG113" s="70">
        <f>W118</f>
        <v>6.3420583468395471</v>
      </c>
      <c r="AH113" s="70">
        <f>Y118</f>
        <v>0.35866502515398496</v>
      </c>
    </row>
    <row r="114" spans="2:34" ht="15" customHeight="1" x14ac:dyDescent="0.2">
      <c r="B114" s="215"/>
      <c r="C114" s="198"/>
      <c r="D114" s="226"/>
      <c r="E114" s="120" t="s">
        <v>111</v>
      </c>
      <c r="F114" s="221"/>
      <c r="G114" s="224"/>
      <c r="H114" s="69">
        <f>0.338-F113</f>
        <v>0.28350000000000003</v>
      </c>
      <c r="I114" s="68">
        <f>0.3398-F113</f>
        <v>0.2853</v>
      </c>
      <c r="J114" s="68">
        <f>0.2215-G113</f>
        <v>0.1701</v>
      </c>
      <c r="K114" s="68">
        <f>0.2244-G113</f>
        <v>0.17299999999999999</v>
      </c>
      <c r="L114" s="267">
        <f t="shared" ref="L114:L162" si="28">(H114-(0.605*J114))/6.17</f>
        <v>2.9268962722852513E-2</v>
      </c>
      <c r="M114" s="267">
        <f t="shared" ref="M114:M162" si="29">(I114-(0.605*K114))/6.17</f>
        <v>2.9276337115072933E-2</v>
      </c>
      <c r="N114" s="68">
        <f t="shared" ref="N114:N163" si="30">AVERAGE(L114:M114)</f>
        <v>2.9272649918962723E-2</v>
      </c>
      <c r="O114" s="58">
        <f>'Growth curves CeBER'!G55</f>
        <v>0.112</v>
      </c>
      <c r="P114" s="68">
        <f t="shared" ref="P114:P163" si="31">1.2334*O114</f>
        <v>0.13814080000000001</v>
      </c>
      <c r="Q114" s="99">
        <f>P114*2/1000</f>
        <v>2.7628160000000001E-4</v>
      </c>
      <c r="R114" s="100">
        <f t="shared" ref="R114:R163" si="32">(N114*0.5)/Q114</f>
        <v>52.976111907131568</v>
      </c>
      <c r="S114" s="101"/>
      <c r="V114" s="70">
        <f t="shared" ref="V114:V163" si="33">R114*P114</f>
        <v>7.318162479740681</v>
      </c>
      <c r="W114" s="101"/>
      <c r="AA114" s="101"/>
      <c r="AB114" s="67"/>
      <c r="AD114" s="87">
        <f>D119</f>
        <v>47.5</v>
      </c>
      <c r="AE114" s="70">
        <f>S121</f>
        <v>21.582714283469489</v>
      </c>
      <c r="AF114" s="70">
        <f>U121</f>
        <v>1.2252636258295844</v>
      </c>
      <c r="AG114" s="70">
        <f>W121</f>
        <v>9.9246150729335501</v>
      </c>
      <c r="AH114" s="70">
        <f>Y121</f>
        <v>0.44038022416311839</v>
      </c>
    </row>
    <row r="115" spans="2:34" ht="15" customHeight="1" x14ac:dyDescent="0.2">
      <c r="B115" s="216"/>
      <c r="C115" s="199"/>
      <c r="D115" s="227"/>
      <c r="E115" s="151" t="s">
        <v>112</v>
      </c>
      <c r="F115" s="222"/>
      <c r="G115" s="225"/>
      <c r="H115" s="73">
        <f>0.2709-F113</f>
        <v>0.21639999999999998</v>
      </c>
      <c r="I115" s="74">
        <f>0.2815-F113</f>
        <v>0.22699999999999998</v>
      </c>
      <c r="J115" s="74">
        <f>0.189-G113</f>
        <v>0.1376</v>
      </c>
      <c r="K115" s="74">
        <f>0.195-G113</f>
        <v>0.14360000000000001</v>
      </c>
      <c r="L115" s="267">
        <f t="shared" si="28"/>
        <v>2.1580551053484602E-2</v>
      </c>
      <c r="M115" s="267">
        <f t="shared" si="29"/>
        <v>2.2710210696920578E-2</v>
      </c>
      <c r="N115" s="74">
        <f>AVERAGE(L115:M115)</f>
        <v>2.214538087520259E-2</v>
      </c>
      <c r="O115" s="71">
        <f>'Growth curves CeBER'!H55</f>
        <v>8.4000000000000005E-2</v>
      </c>
      <c r="P115" s="74">
        <f t="shared" si="31"/>
        <v>0.10360560000000001</v>
      </c>
      <c r="Q115" s="75">
        <f>P115*2/1000</f>
        <v>2.0721120000000002E-4</v>
      </c>
      <c r="R115" s="76">
        <f t="shared" si="32"/>
        <v>53.436737191818274</v>
      </c>
      <c r="S115" s="77">
        <f>AVERAGE(R113:R115)</f>
        <v>53.883595886649317</v>
      </c>
      <c r="T115" s="78">
        <f>STDEV(R113:R115)</f>
        <v>1.1952936764221787</v>
      </c>
      <c r="U115" s="78">
        <f>T115/SQRT(3)</f>
        <v>0.69010312584300237</v>
      </c>
      <c r="V115" s="78">
        <f t="shared" si="33"/>
        <v>5.5363452188006477</v>
      </c>
      <c r="W115" s="77">
        <f>AVERAGE(V113:V115)</f>
        <v>6.9873446785521338</v>
      </c>
      <c r="X115" s="78">
        <f>STDEV(V113:V115)</f>
        <v>1.3171269486961237</v>
      </c>
      <c r="Y115" s="78">
        <f>X115/SQRT(3)</f>
        <v>0.76044359838661746</v>
      </c>
      <c r="Z115" s="71"/>
      <c r="AA115" s="134"/>
      <c r="AB115" s="72"/>
      <c r="AD115" s="87">
        <f>D122</f>
        <v>72</v>
      </c>
      <c r="AE115" s="70">
        <f>S124</f>
        <v>32.820096650590443</v>
      </c>
      <c r="AF115" s="70">
        <f>U124</f>
        <v>1.9374436684104426</v>
      </c>
      <c r="AG115" s="70">
        <f>W124</f>
        <v>22.964778549432737</v>
      </c>
      <c r="AH115" s="70">
        <f>Y124</f>
        <v>2.1238566366136733</v>
      </c>
    </row>
    <row r="116" spans="2:34" x14ac:dyDescent="0.2">
      <c r="B116" s="215" t="s">
        <v>9</v>
      </c>
      <c r="C116" s="198">
        <v>0.45833333333333331</v>
      </c>
      <c r="D116" s="218">
        <f>D113+21.5</f>
        <v>21.5</v>
      </c>
      <c r="E116" s="120" t="s">
        <v>110</v>
      </c>
      <c r="F116" s="221">
        <f>(0.0686+0.0622+0.0602)/3</f>
        <v>6.3666666666666663E-2</v>
      </c>
      <c r="G116" s="224">
        <f>(0.0672+0.0613+0.058)/3</f>
        <v>6.2166666666666669E-2</v>
      </c>
      <c r="H116" s="69">
        <f>0.1664-F116</f>
        <v>0.10273333333333333</v>
      </c>
      <c r="I116" s="68">
        <f>0.1729-F116</f>
        <v>0.10923333333333334</v>
      </c>
      <c r="J116" s="68">
        <f>0.1169-G116</f>
        <v>5.4733333333333335E-2</v>
      </c>
      <c r="K116" s="68">
        <f>0.1239-G116</f>
        <v>6.1733333333333328E-2</v>
      </c>
      <c r="L116" s="267">
        <f t="shared" si="28"/>
        <v>1.1283576445164775E-2</v>
      </c>
      <c r="M116" s="267">
        <f t="shared" si="29"/>
        <v>1.1650675310642898E-2</v>
      </c>
      <c r="N116" s="68">
        <f t="shared" si="30"/>
        <v>1.1467125877903836E-2</v>
      </c>
      <c r="O116" s="68">
        <f>'Growth curves CeBER'!F57</f>
        <v>0.21</v>
      </c>
      <c r="P116" s="68">
        <f t="shared" si="31"/>
        <v>0.25901400000000002</v>
      </c>
      <c r="Q116" s="99">
        <f t="shared" ref="Q116:Q121" si="34">P116*1/1000</f>
        <v>2.5901400000000001E-4</v>
      </c>
      <c r="R116" s="100">
        <f t="shared" si="32"/>
        <v>22.136112098002108</v>
      </c>
      <c r="S116" s="102"/>
      <c r="T116" s="70"/>
      <c r="U116" s="70"/>
      <c r="V116" s="70">
        <f t="shared" si="33"/>
        <v>5.7335629389519189</v>
      </c>
      <c r="W116" s="102"/>
      <c r="X116" s="70"/>
      <c r="Y116" s="70"/>
      <c r="Z116" s="70">
        <f>(V116-$V$113)/(D116-$D$113)</f>
        <v>-0.11041690224014665</v>
      </c>
      <c r="AA116" s="102"/>
      <c r="AB116" s="67"/>
      <c r="AD116" s="87">
        <f>D125</f>
        <v>94</v>
      </c>
      <c r="AE116" s="70">
        <f>S127</f>
        <v>42.389094538853222</v>
      </c>
      <c r="AF116" s="70">
        <f>U127</f>
        <v>1.6086062837777744</v>
      </c>
      <c r="AG116" s="70">
        <f>W127</f>
        <v>43.023237574284174</v>
      </c>
      <c r="AH116" s="70">
        <f>Y127</f>
        <v>4.1081409757049858</v>
      </c>
    </row>
    <row r="117" spans="2:34" x14ac:dyDescent="0.2">
      <c r="B117" s="215"/>
      <c r="C117" s="198"/>
      <c r="D117" s="218"/>
      <c r="E117" s="120" t="s">
        <v>111</v>
      </c>
      <c r="F117" s="221"/>
      <c r="G117" s="224"/>
      <c r="H117" s="69">
        <f>0.1923-F116</f>
        <v>0.12863333333333332</v>
      </c>
      <c r="I117" s="68">
        <f>0.1915-F116</f>
        <v>0.12783333333333335</v>
      </c>
      <c r="J117" s="68">
        <f>0.1313-G116</f>
        <v>6.9133333333333324E-2</v>
      </c>
      <c r="K117" s="68">
        <f>0.1324-G116</f>
        <v>7.0233333333333314E-2</v>
      </c>
      <c r="L117" s="267">
        <f t="shared" si="28"/>
        <v>1.4069313884386819E-2</v>
      </c>
      <c r="M117" s="267">
        <f t="shared" si="29"/>
        <v>1.3831793625067534E-2</v>
      </c>
      <c r="N117" s="68">
        <f t="shared" si="30"/>
        <v>1.3950553754727178E-2</v>
      </c>
      <c r="O117" s="68">
        <f>'Growth curves CeBER'!G57</f>
        <v>0.215</v>
      </c>
      <c r="P117" s="68">
        <f t="shared" si="31"/>
        <v>0.265181</v>
      </c>
      <c r="Q117" s="99">
        <f t="shared" si="34"/>
        <v>2.6518100000000002E-4</v>
      </c>
      <c r="R117" s="100">
        <f t="shared" si="32"/>
        <v>26.303833522626388</v>
      </c>
      <c r="S117" s="101"/>
      <c r="T117" s="70"/>
      <c r="U117" s="70"/>
      <c r="V117" s="70">
        <f t="shared" si="33"/>
        <v>6.975276877363588</v>
      </c>
      <c r="W117" s="102"/>
      <c r="X117" s="70"/>
      <c r="Y117" s="70"/>
      <c r="Z117" s="70">
        <f>(V117-$V$114)/(D116-$D$113)</f>
        <v>-1.594816755242293E-2</v>
      </c>
      <c r="AA117" s="102"/>
      <c r="AB117" s="67"/>
      <c r="AD117" s="87">
        <f>D128</f>
        <v>117</v>
      </c>
      <c r="AE117" s="70">
        <f>S130</f>
        <v>43.063027444185273</v>
      </c>
      <c r="AF117" s="70">
        <f>U130</f>
        <v>1.3420914906017154</v>
      </c>
      <c r="AG117" s="70">
        <f>W130</f>
        <v>60.933275054024854</v>
      </c>
      <c r="AH117" s="70">
        <f>Y130</f>
        <v>5.5117790297006035</v>
      </c>
    </row>
    <row r="118" spans="2:34" x14ac:dyDescent="0.2">
      <c r="B118" s="216"/>
      <c r="C118" s="199"/>
      <c r="D118" s="219"/>
      <c r="E118" s="151" t="s">
        <v>112</v>
      </c>
      <c r="F118" s="222"/>
      <c r="G118" s="225"/>
      <c r="H118" s="73">
        <f>0.1886-F116</f>
        <v>0.12493333333333333</v>
      </c>
      <c r="I118" s="74">
        <f>0.1763-F116</f>
        <v>0.11263333333333335</v>
      </c>
      <c r="J118" s="74">
        <f>0.1358-G116</f>
        <v>7.3633333333333328E-2</v>
      </c>
      <c r="K118" s="74">
        <f>0.1235-G116</f>
        <v>6.133333333333333E-2</v>
      </c>
      <c r="L118" s="267">
        <f t="shared" si="28"/>
        <v>1.3028390059427337E-2</v>
      </c>
      <c r="M118" s="267">
        <f t="shared" si="29"/>
        <v>1.22409508373852E-2</v>
      </c>
      <c r="N118" s="74">
        <f t="shared" si="30"/>
        <v>1.2634670448406268E-2</v>
      </c>
      <c r="O118" s="74">
        <f>'Growth curves CeBER'!H57</f>
        <v>0.224</v>
      </c>
      <c r="P118" s="74">
        <f t="shared" si="31"/>
        <v>0.27628160000000002</v>
      </c>
      <c r="Q118" s="75">
        <f t="shared" si="34"/>
        <v>2.7628160000000001E-4</v>
      </c>
      <c r="R118" s="76">
        <f t="shared" si="32"/>
        <v>22.865566234606771</v>
      </c>
      <c r="S118" s="77">
        <f>AVERAGE(R116:R118)</f>
        <v>23.768503951745089</v>
      </c>
      <c r="T118" s="78">
        <f>STDEV(R116:R118)</f>
        <v>2.2257465846522768</v>
      </c>
      <c r="U118" s="78">
        <f>T118/SQRT(3)</f>
        <v>1.2850353897968823</v>
      </c>
      <c r="V118" s="78">
        <f t="shared" si="33"/>
        <v>6.3173352242031342</v>
      </c>
      <c r="W118" s="77">
        <f t="shared" ref="W118:W163" si="35">AVERAGE(V116:V118)</f>
        <v>6.3420583468395471</v>
      </c>
      <c r="X118" s="78">
        <f t="shared" ref="X118:X163" si="36">STDEV(V116:V118)</f>
        <v>0.62122604646467128</v>
      </c>
      <c r="Y118" s="78">
        <f t="shared" ref="Y118:Y163" si="37">X118/SQRT(3)</f>
        <v>0.35866502515398496</v>
      </c>
      <c r="Z118" s="78">
        <f>(V118-$V$115)/(D116-$D$113)</f>
        <v>3.6325116530348207E-2</v>
      </c>
      <c r="AA118" s="77">
        <f>AVERAGE(Z116:Z118)</f>
        <v>-3.0013317754073798E-2</v>
      </c>
      <c r="AB118" s="135">
        <f>STDEV(Z116:Z118)/SQRT(3)</f>
        <v>4.2940564954583121E-2</v>
      </c>
      <c r="AD118" s="87">
        <f>D131</f>
        <v>141</v>
      </c>
      <c r="AE118" s="70">
        <f>S133</f>
        <v>45.112057065305464</v>
      </c>
      <c r="AF118" s="70">
        <f>U133</f>
        <v>5.3020647410206765</v>
      </c>
      <c r="AG118" s="70">
        <f>W133</f>
        <v>84.832982131280374</v>
      </c>
      <c r="AH118" s="70">
        <f>Y133</f>
        <v>15.131556425088474</v>
      </c>
    </row>
    <row r="119" spans="2:34" x14ac:dyDescent="0.2">
      <c r="B119" s="215" t="s">
        <v>10</v>
      </c>
      <c r="C119" s="198">
        <v>0.54513888888888895</v>
      </c>
      <c r="D119" s="218">
        <f>D113+47.5</f>
        <v>47.5</v>
      </c>
      <c r="E119" s="120" t="s">
        <v>110</v>
      </c>
      <c r="F119" s="221">
        <f>(0.0599+0.0418+0.0497)/3</f>
        <v>5.0466666666666667E-2</v>
      </c>
      <c r="G119" s="224">
        <f>(0.0572+0.0398+0.0473)/3</f>
        <v>4.8100000000000004E-2</v>
      </c>
      <c r="H119" s="69">
        <f>0.2136-F119</f>
        <v>0.16313333333333335</v>
      </c>
      <c r="I119" s="68">
        <f>0.2421-F119</f>
        <v>0.19163333333333335</v>
      </c>
      <c r="J119" s="68">
        <f>0.1394-G119</f>
        <v>9.1299999999999992E-2</v>
      </c>
      <c r="K119" s="68">
        <f>0.1662-G119</f>
        <v>0.11809999999999998</v>
      </c>
      <c r="L119" s="267">
        <f t="shared" si="28"/>
        <v>1.748733117233928E-2</v>
      </c>
      <c r="M119" s="267">
        <f t="shared" si="29"/>
        <v>1.9478579146407351E-2</v>
      </c>
      <c r="N119" s="68">
        <f t="shared" si="30"/>
        <v>1.8482955159373315E-2</v>
      </c>
      <c r="O119" s="68">
        <f>'Growth curves CeBER'!F60</f>
        <v>0.378</v>
      </c>
      <c r="P119" s="68">
        <f t="shared" si="31"/>
        <v>0.46622520000000001</v>
      </c>
      <c r="Q119" s="99">
        <f t="shared" si="34"/>
        <v>4.6622520000000003E-4</v>
      </c>
      <c r="R119" s="100">
        <f t="shared" si="32"/>
        <v>19.82191777640217</v>
      </c>
      <c r="S119" s="102"/>
      <c r="T119" s="70"/>
      <c r="U119" s="70"/>
      <c r="V119" s="70">
        <f t="shared" si="33"/>
        <v>9.2414775796866575</v>
      </c>
      <c r="W119" s="102"/>
      <c r="X119" s="70"/>
      <c r="Y119" s="70"/>
      <c r="Z119" s="70">
        <f t="shared" ref="Z119:Z161" si="38">(V119-$V$113)/(D119-$D$113)</f>
        <v>2.3872657738349172E-2</v>
      </c>
      <c r="AA119" s="102"/>
      <c r="AB119" s="103"/>
      <c r="AD119" s="87">
        <f>D134</f>
        <v>191</v>
      </c>
      <c r="AE119" s="70">
        <f>S136</f>
        <v>42.707347990463383</v>
      </c>
      <c r="AF119" s="70">
        <f>U136</f>
        <v>3.5399459523358372</v>
      </c>
      <c r="AG119" s="70">
        <f>W136</f>
        <v>110.12999729875743</v>
      </c>
      <c r="AH119" s="70">
        <f>Y136</f>
        <v>8.6129469119241033</v>
      </c>
    </row>
    <row r="120" spans="2:34" x14ac:dyDescent="0.2">
      <c r="B120" s="215"/>
      <c r="C120" s="198"/>
      <c r="D120" s="218"/>
      <c r="E120" s="120" t="s">
        <v>111</v>
      </c>
      <c r="F120" s="221"/>
      <c r="G120" s="224"/>
      <c r="H120" s="69">
        <f>0.278-F119</f>
        <v>0.22753333333333337</v>
      </c>
      <c r="I120" s="68">
        <f>0.2594-F119</f>
        <v>0.20893333333333336</v>
      </c>
      <c r="J120" s="68">
        <f>0.1995-G119</f>
        <v>0.15140000000000001</v>
      </c>
      <c r="K120" s="68">
        <f>0.1797-G119</f>
        <v>0.13159999999999999</v>
      </c>
      <c r="L120" s="267">
        <f t="shared" si="28"/>
        <v>2.2031820637493253E-2</v>
      </c>
      <c r="M120" s="267">
        <f t="shared" si="29"/>
        <v>2.0958725013506218E-2</v>
      </c>
      <c r="N120" s="68">
        <f t="shared" si="30"/>
        <v>2.1495272825499734E-2</v>
      </c>
      <c r="O120" s="68">
        <f>'Growth curves CeBER'!G60</f>
        <v>0.36399999999999999</v>
      </c>
      <c r="P120" s="68">
        <f t="shared" si="31"/>
        <v>0.44895760000000001</v>
      </c>
      <c r="Q120" s="99">
        <f t="shared" si="34"/>
        <v>4.4895760000000003E-4</v>
      </c>
      <c r="R120" s="100">
        <f t="shared" si="32"/>
        <v>23.939090044917084</v>
      </c>
      <c r="S120" s="101"/>
      <c r="T120" s="70"/>
      <c r="U120" s="70"/>
      <c r="V120" s="70">
        <f t="shared" si="33"/>
        <v>10.747636412749866</v>
      </c>
      <c r="W120" s="102"/>
      <c r="X120" s="70"/>
      <c r="Y120" s="70"/>
      <c r="Z120" s="70">
        <f>(V120-$V$114)/(D119-$D$113)</f>
        <v>7.2199451221246005E-2</v>
      </c>
      <c r="AA120" s="102"/>
      <c r="AB120" s="103"/>
      <c r="AD120" s="87">
        <f>D137</f>
        <v>213.5</v>
      </c>
      <c r="AE120" s="70">
        <f>S139</f>
        <v>41.176108138085276</v>
      </c>
      <c r="AF120" s="70">
        <f>U139</f>
        <v>4.293054906728778</v>
      </c>
      <c r="AG120" s="70">
        <f>W139</f>
        <v>118.6185170178282</v>
      </c>
      <c r="AH120" s="70">
        <f>Y139</f>
        <v>10.335994266369168</v>
      </c>
    </row>
    <row r="121" spans="2:34" x14ac:dyDescent="0.2">
      <c r="B121" s="216"/>
      <c r="C121" s="199"/>
      <c r="D121" s="219"/>
      <c r="E121" s="151" t="s">
        <v>112</v>
      </c>
      <c r="F121" s="222"/>
      <c r="G121" s="225"/>
      <c r="H121" s="73">
        <f>0.2511-F119</f>
        <v>0.20063333333333333</v>
      </c>
      <c r="I121" s="74">
        <f>0.2534-F119</f>
        <v>0.20293333333333335</v>
      </c>
      <c r="J121" s="74">
        <f>0.1814-G119</f>
        <v>0.1333</v>
      </c>
      <c r="K121" s="74">
        <f>0.1827-G119</f>
        <v>0.1346</v>
      </c>
      <c r="L121" s="267">
        <f t="shared" si="28"/>
        <v>1.9446812533765533E-2</v>
      </c>
      <c r="M121" s="267">
        <f t="shared" si="29"/>
        <v>1.9692112371690981E-2</v>
      </c>
      <c r="N121" s="74">
        <f t="shared" si="30"/>
        <v>1.9569462452728257E-2</v>
      </c>
      <c r="O121" s="74">
        <f>'Growth curves CeBER'!H60</f>
        <v>0.378</v>
      </c>
      <c r="P121" s="74">
        <f t="shared" si="31"/>
        <v>0.46622520000000001</v>
      </c>
      <c r="Q121" s="75">
        <f t="shared" si="34"/>
        <v>4.6622520000000003E-4</v>
      </c>
      <c r="R121" s="76">
        <f t="shared" si="32"/>
        <v>20.98713502908922</v>
      </c>
      <c r="S121" s="77">
        <f>AVERAGE(R119:R121)</f>
        <v>21.582714283469489</v>
      </c>
      <c r="T121" s="78">
        <f>STDEV(R119:R121)</f>
        <v>2.1222188526029022</v>
      </c>
      <c r="U121" s="78">
        <f>T121/SQRT(3)</f>
        <v>1.2252636258295844</v>
      </c>
      <c r="V121" s="78">
        <f t="shared" si="33"/>
        <v>9.7847312263641282</v>
      </c>
      <c r="W121" s="77">
        <f t="shared" si="35"/>
        <v>9.9246150729335501</v>
      </c>
      <c r="X121" s="78">
        <f t="shared" si="36"/>
        <v>0.76276092289909236</v>
      </c>
      <c r="Y121" s="78">
        <f t="shared" si="37"/>
        <v>0.44038022416311839</v>
      </c>
      <c r="Z121" s="78">
        <f>(V121-$V$115)/(D119-$D$113)</f>
        <v>8.9439705422389063E-2</v>
      </c>
      <c r="AA121" s="77">
        <f t="shared" ref="AA121:AA163" si="39">AVERAGE(Z119:Z121)</f>
        <v>6.1837271460661404E-2</v>
      </c>
      <c r="AB121" s="135">
        <f t="shared" ref="AB121:AB163" si="40">STDEV(Z119:Z121)/SQRT(3)</f>
        <v>1.9623884363561439E-2</v>
      </c>
      <c r="AD121" s="87">
        <f>D140</f>
        <v>236.5</v>
      </c>
      <c r="AE121" s="70">
        <f>S142</f>
        <v>40.091613627755628</v>
      </c>
      <c r="AF121" s="70">
        <f>U142</f>
        <v>0.72673287146649601</v>
      </c>
      <c r="AG121" s="70">
        <f>W142</f>
        <v>129.35919773095625</v>
      </c>
      <c r="AH121" s="70">
        <f>Y142</f>
        <v>5.598110725574716</v>
      </c>
    </row>
    <row r="122" spans="2:34" x14ac:dyDescent="0.2">
      <c r="B122" s="215" t="s">
        <v>11</v>
      </c>
      <c r="C122" s="198">
        <v>0.55902777777777779</v>
      </c>
      <c r="D122" s="218">
        <f>D119+24.5</f>
        <v>72</v>
      </c>
      <c r="E122" s="120" t="s">
        <v>110</v>
      </c>
      <c r="F122" s="221">
        <v>4.9299999999999997E-2</v>
      </c>
      <c r="G122" s="224">
        <v>4.7100000000000003E-2</v>
      </c>
      <c r="H122" s="69">
        <f>0.1846-F122</f>
        <v>0.13529999999999998</v>
      </c>
      <c r="I122" s="68">
        <f>0.1468-F122</f>
        <v>9.7500000000000017E-2</v>
      </c>
      <c r="J122" s="68">
        <f>0.1463-G122</f>
        <v>9.920000000000001E-2</v>
      </c>
      <c r="K122" s="68">
        <f>0.1078-G122</f>
        <v>6.0700000000000004E-2</v>
      </c>
      <c r="L122" s="267">
        <f t="shared" si="28"/>
        <v>1.2201620745542943E-2</v>
      </c>
      <c r="M122" s="267">
        <f t="shared" si="29"/>
        <v>9.8503241491085924E-3</v>
      </c>
      <c r="N122" s="68">
        <f t="shared" si="30"/>
        <v>1.1025972447325769E-2</v>
      </c>
      <c r="O122" s="68">
        <f>'Growth curves CeBER'!F61</f>
        <v>0.61899999999999999</v>
      </c>
      <c r="P122" s="68">
        <f t="shared" si="31"/>
        <v>0.7634746</v>
      </c>
      <c r="Q122" s="99">
        <f>O122*0.25/1000</f>
        <v>1.5474999999999999E-4</v>
      </c>
      <c r="R122" s="100">
        <f t="shared" si="32"/>
        <v>35.625112915430591</v>
      </c>
      <c r="S122" s="102"/>
      <c r="T122" s="70"/>
      <c r="U122" s="70"/>
      <c r="V122" s="70">
        <f t="shared" si="33"/>
        <v>27.198868833063205</v>
      </c>
      <c r="W122" s="102"/>
      <c r="X122" s="70"/>
      <c r="Y122" s="70"/>
      <c r="Z122" s="70">
        <f t="shared" si="38"/>
        <v>0.26515753466594627</v>
      </c>
      <c r="AA122" s="102"/>
      <c r="AB122" s="103"/>
      <c r="AD122" s="87">
        <f>D143</f>
        <v>260.5</v>
      </c>
      <c r="AE122" s="70">
        <f>S145</f>
        <v>43.124786852668969</v>
      </c>
      <c r="AF122" s="70">
        <f>U145</f>
        <v>1.7508728654958974</v>
      </c>
      <c r="AG122" s="70">
        <f>W145</f>
        <v>155.12002521159735</v>
      </c>
      <c r="AH122" s="70">
        <f>Y145</f>
        <v>3.9719107310020521</v>
      </c>
    </row>
    <row r="123" spans="2:34" x14ac:dyDescent="0.2">
      <c r="B123" s="215"/>
      <c r="C123" s="198"/>
      <c r="D123" s="218"/>
      <c r="E123" s="120" t="s">
        <v>111</v>
      </c>
      <c r="F123" s="221"/>
      <c r="G123" s="224"/>
      <c r="H123" s="69">
        <f>0.2087-F122</f>
        <v>0.15939999999999999</v>
      </c>
      <c r="I123" s="68">
        <f>0.2391-F122</f>
        <v>0.18980000000000002</v>
      </c>
      <c r="J123" s="68">
        <f>0.1514-G122</f>
        <v>0.1043</v>
      </c>
      <c r="K123" s="68">
        <f>0.1801-G122</f>
        <v>0.13300000000000001</v>
      </c>
      <c r="L123" s="267">
        <f t="shared" si="28"/>
        <v>1.5607536466774714E-2</v>
      </c>
      <c r="M123" s="267">
        <f t="shared" si="29"/>
        <v>1.7720421393841168E-2</v>
      </c>
      <c r="N123" s="68">
        <f t="shared" si="30"/>
        <v>1.6663978930307941E-2</v>
      </c>
      <c r="O123" s="68">
        <f>'Growth curves CeBER'!G61</f>
        <v>0.49399999999999999</v>
      </c>
      <c r="P123" s="68">
        <f t="shared" si="31"/>
        <v>0.60929960000000005</v>
      </c>
      <c r="Q123" s="99">
        <f>O123*0.5/1000</f>
        <v>2.4699999999999999E-4</v>
      </c>
      <c r="R123" s="100">
        <f t="shared" si="32"/>
        <v>33.73275087106871</v>
      </c>
      <c r="S123" s="101"/>
      <c r="T123" s="70"/>
      <c r="U123" s="70"/>
      <c r="V123" s="70">
        <f t="shared" si="33"/>
        <v>20.553351612641819</v>
      </c>
      <c r="W123" s="102"/>
      <c r="X123" s="70"/>
      <c r="Y123" s="70"/>
      <c r="Z123" s="70">
        <f>(V123-$V$114)/(D122-$D$113)</f>
        <v>0.18382207129029357</v>
      </c>
      <c r="AA123" s="102"/>
      <c r="AB123" s="103"/>
      <c r="AD123" s="87">
        <f>D146</f>
        <v>284.5</v>
      </c>
      <c r="AE123" s="70">
        <f>S148</f>
        <v>34.688702469987582</v>
      </c>
      <c r="AF123" s="70">
        <f>U148</f>
        <v>2.899616772268367</v>
      </c>
      <c r="AG123" s="70">
        <f>W148</f>
        <v>137.82180803169459</v>
      </c>
      <c r="AH123" s="70">
        <f>Y148</f>
        <v>9.3334548258282179</v>
      </c>
    </row>
    <row r="124" spans="2:34" x14ac:dyDescent="0.2">
      <c r="B124" s="216"/>
      <c r="C124" s="199"/>
      <c r="D124" s="219"/>
      <c r="E124" s="151" t="s">
        <v>112</v>
      </c>
      <c r="F124" s="222"/>
      <c r="G124" s="225"/>
      <c r="H124" s="73">
        <f>0.2392-F122</f>
        <v>0.18990000000000001</v>
      </c>
      <c r="I124" s="74">
        <f>0.235-F122</f>
        <v>0.18569999999999998</v>
      </c>
      <c r="J124" s="74">
        <f>0.1857-G122</f>
        <v>0.1386</v>
      </c>
      <c r="K124" s="74">
        <f>0.1797-G122</f>
        <v>0.1326</v>
      </c>
      <c r="L124" s="267">
        <f t="shared" si="28"/>
        <v>1.718752025931929E-2</v>
      </c>
      <c r="M124" s="267">
        <f t="shared" si="29"/>
        <v>1.7095137763371147E-2</v>
      </c>
      <c r="N124" s="74">
        <f t="shared" si="30"/>
        <v>1.714132901134522E-2</v>
      </c>
      <c r="O124" s="74">
        <f>'Growth curves CeBER'!H61</f>
        <v>0.58899999999999997</v>
      </c>
      <c r="P124" s="74">
        <f t="shared" si="31"/>
        <v>0.72647260000000002</v>
      </c>
      <c r="Q124" s="75">
        <f>O124*0.5/1000</f>
        <v>2.945E-4</v>
      </c>
      <c r="R124" s="76">
        <f t="shared" si="32"/>
        <v>29.102426165272021</v>
      </c>
      <c r="S124" s="77">
        <f>AVERAGE(R122:R124)</f>
        <v>32.820096650590443</v>
      </c>
      <c r="T124" s="78">
        <f>STDEV(R122:R124)</f>
        <v>3.3557508704895151</v>
      </c>
      <c r="U124" s="78">
        <f>T124/SQRT(3)</f>
        <v>1.9374436684104426</v>
      </c>
      <c r="V124" s="78">
        <f t="shared" si="33"/>
        <v>21.142115202593196</v>
      </c>
      <c r="W124" s="77">
        <f t="shared" si="35"/>
        <v>22.964778549432737</v>
      </c>
      <c r="X124" s="78">
        <f t="shared" si="36"/>
        <v>3.6786276026072322</v>
      </c>
      <c r="Y124" s="78">
        <f t="shared" si="37"/>
        <v>2.1238566366136733</v>
      </c>
      <c r="Z124" s="78">
        <f>(V124-$V$115)/(D122-$D$113)</f>
        <v>0.21674680533045207</v>
      </c>
      <c r="AA124" s="77">
        <f t="shared" si="39"/>
        <v>0.22190880376223066</v>
      </c>
      <c r="AB124" s="135">
        <f t="shared" si="40"/>
        <v>2.3620958712481571E-2</v>
      </c>
      <c r="AD124" s="87">
        <f>D149</f>
        <v>307.5</v>
      </c>
      <c r="AE124" s="70">
        <f>S151</f>
        <v>42.171731912527861</v>
      </c>
      <c r="AF124" s="70">
        <f>U151</f>
        <v>4.0412267476446324</v>
      </c>
      <c r="AG124" s="70">
        <f>W151</f>
        <v>180.11066090401587</v>
      </c>
      <c r="AH124" s="70">
        <f>Y151</f>
        <v>15.105415060791929</v>
      </c>
    </row>
    <row r="125" spans="2:34" x14ac:dyDescent="0.2">
      <c r="B125" s="215" t="s">
        <v>12</v>
      </c>
      <c r="C125" s="198">
        <v>0.47222222222222227</v>
      </c>
      <c r="D125" s="218">
        <f>22+D122</f>
        <v>94</v>
      </c>
      <c r="E125" s="120" t="s">
        <v>110</v>
      </c>
      <c r="F125" s="221">
        <v>5.3699999999999998E-2</v>
      </c>
      <c r="G125" s="224">
        <v>5.0900000000000001E-2</v>
      </c>
      <c r="H125" s="69">
        <f>0.1367-F125</f>
        <v>8.299999999999999E-2</v>
      </c>
      <c r="I125" s="68">
        <f>0.1367-F125</f>
        <v>8.299999999999999E-2</v>
      </c>
      <c r="J125" s="68">
        <f>0.1036-G125</f>
        <v>5.2699999999999997E-2</v>
      </c>
      <c r="K125" s="68">
        <f>0.1026-G125</f>
        <v>5.1699999999999996E-2</v>
      </c>
      <c r="L125" s="267">
        <f t="shared" si="28"/>
        <v>8.2846839546191244E-3</v>
      </c>
      <c r="M125" s="267">
        <f t="shared" si="29"/>
        <v>8.3827390599675849E-3</v>
      </c>
      <c r="N125" s="68">
        <f t="shared" si="30"/>
        <v>8.3337115072933537E-3</v>
      </c>
      <c r="O125" s="58">
        <f>'Growth curves CeBER'!F62</f>
        <v>0.84899999999999998</v>
      </c>
      <c r="P125" s="68">
        <f t="shared" si="31"/>
        <v>1.0471566000000001</v>
      </c>
      <c r="Q125" s="99">
        <f>O125*0.125/1000</f>
        <v>1.0612499999999999E-4</v>
      </c>
      <c r="R125" s="100">
        <f t="shared" si="32"/>
        <v>39.263658456034648</v>
      </c>
      <c r="S125" s="101"/>
      <c r="V125" s="70">
        <f t="shared" si="33"/>
        <v>41.115199092382497</v>
      </c>
      <c r="W125" s="102"/>
      <c r="X125" s="70"/>
      <c r="Y125" s="70"/>
      <c r="Z125" s="70">
        <f t="shared" si="38"/>
        <v>0.35114545484327042</v>
      </c>
      <c r="AA125" s="102"/>
      <c r="AB125" s="103"/>
      <c r="AD125" s="87">
        <f>D152</f>
        <v>334</v>
      </c>
      <c r="AE125" s="70">
        <f>S154</f>
        <v>39.521048949777246</v>
      </c>
      <c r="AF125" s="70">
        <f>U154</f>
        <v>0.48650996460725665</v>
      </c>
      <c r="AG125" s="70">
        <f>W154</f>
        <v>172.18728615162976</v>
      </c>
      <c r="AH125" s="70">
        <f>Y154</f>
        <v>6.8210766464727417</v>
      </c>
    </row>
    <row r="126" spans="2:34" ht="15" customHeight="1" x14ac:dyDescent="0.2">
      <c r="B126" s="215"/>
      <c r="C126" s="198"/>
      <c r="D126" s="218"/>
      <c r="E126" s="120" t="s">
        <v>111</v>
      </c>
      <c r="F126" s="221"/>
      <c r="G126" s="224"/>
      <c r="H126" s="69">
        <f>0.1935-F125</f>
        <v>0.13980000000000001</v>
      </c>
      <c r="I126" s="68">
        <f>0.2092-F125</f>
        <v>0.1555</v>
      </c>
      <c r="J126" s="68">
        <f>0.1347-G125</f>
        <v>8.3799999999999986E-2</v>
      </c>
      <c r="K126" s="68">
        <f>0.1488-G125</f>
        <v>9.7899999999999987E-2</v>
      </c>
      <c r="L126" s="267">
        <f t="shared" si="28"/>
        <v>1.4441004862236631E-2</v>
      </c>
      <c r="M126" s="267">
        <f t="shared" si="29"/>
        <v>1.5602998379254459E-2</v>
      </c>
      <c r="N126" s="68">
        <f t="shared" si="30"/>
        <v>1.5022001620745545E-2</v>
      </c>
      <c r="O126" s="58">
        <f>'Growth curves CeBER'!G62</f>
        <v>0.69399999999999995</v>
      </c>
      <c r="P126" s="68">
        <f t="shared" si="31"/>
        <v>0.85597959999999995</v>
      </c>
      <c r="Q126" s="99">
        <f>O126*0.25/1000</f>
        <v>1.7349999999999999E-4</v>
      </c>
      <c r="R126" s="100">
        <f t="shared" si="32"/>
        <v>43.291070953157195</v>
      </c>
      <c r="S126" s="101"/>
      <c r="V126" s="70">
        <f t="shared" si="33"/>
        <v>37.056273598055114</v>
      </c>
      <c r="W126" s="102"/>
      <c r="X126" s="70"/>
      <c r="Y126" s="70"/>
      <c r="Z126" s="70">
        <f>(V126-$V$114)/(D125-$D$113)</f>
        <v>0.31636288423738756</v>
      </c>
      <c r="AA126" s="102"/>
      <c r="AB126" s="103"/>
      <c r="AD126" s="87">
        <f>D155</f>
        <v>359</v>
      </c>
      <c r="AE126" s="70">
        <f>S157</f>
        <v>37.443847522716304</v>
      </c>
      <c r="AF126" s="70">
        <f>U157</f>
        <v>0.88333212338147415</v>
      </c>
      <c r="AG126" s="70">
        <f>W157</f>
        <v>165.32901134521885</v>
      </c>
      <c r="AH126" s="70">
        <f>Y157</f>
        <v>3.3806214617816144</v>
      </c>
    </row>
    <row r="127" spans="2:34" ht="15" customHeight="1" x14ac:dyDescent="0.2">
      <c r="B127" s="216"/>
      <c r="C127" s="199"/>
      <c r="D127" s="219"/>
      <c r="E127" s="151" t="s">
        <v>112</v>
      </c>
      <c r="F127" s="222"/>
      <c r="G127" s="225"/>
      <c r="H127" s="73">
        <f>0.2772-F125</f>
        <v>0.2235</v>
      </c>
      <c r="I127" s="74">
        <f>0.2524-F125</f>
        <v>0.19870000000000002</v>
      </c>
      <c r="J127" s="74">
        <f>0.2021-G125</f>
        <v>0.1512</v>
      </c>
      <c r="K127" s="74">
        <f>0.1767-G125</f>
        <v>0.1258</v>
      </c>
      <c r="L127" s="267">
        <f t="shared" si="28"/>
        <v>2.1397730956239872E-2</v>
      </c>
      <c r="M127" s="267">
        <f t="shared" si="29"/>
        <v>1.9868881685575369E-2</v>
      </c>
      <c r="N127" s="74">
        <f t="shared" si="30"/>
        <v>2.063330632090762E-2</v>
      </c>
      <c r="O127" s="71">
        <f>'Growth curves CeBER'!H62</f>
        <v>0.92500000000000004</v>
      </c>
      <c r="P127" s="74">
        <f t="shared" si="31"/>
        <v>1.140895</v>
      </c>
      <c r="Q127" s="75">
        <f>O127*0.25/1000</f>
        <v>2.3125000000000001E-4</v>
      </c>
      <c r="R127" s="76">
        <f t="shared" si="32"/>
        <v>44.612554207367829</v>
      </c>
      <c r="S127" s="77">
        <f>AVERAGE(R125:R127)</f>
        <v>42.389094538853222</v>
      </c>
      <c r="T127" s="78">
        <f>STDEV(R125:R127)</f>
        <v>2.7861878128776647</v>
      </c>
      <c r="U127" s="78">
        <f>T127/SQRT(3)</f>
        <v>1.6086062837777744</v>
      </c>
      <c r="V127" s="78">
        <f t="shared" si="33"/>
        <v>50.898240032414918</v>
      </c>
      <c r="W127" s="77">
        <f t="shared" si="35"/>
        <v>43.023237574284174</v>
      </c>
      <c r="X127" s="78">
        <f t="shared" si="36"/>
        <v>7.1155088945766165</v>
      </c>
      <c r="Y127" s="78">
        <f t="shared" si="37"/>
        <v>4.1081409757049858</v>
      </c>
      <c r="Z127" s="78">
        <f>(V127-$V$115)/(D125-$D$113)</f>
        <v>0.48257334908100286</v>
      </c>
      <c r="AA127" s="77">
        <f t="shared" si="39"/>
        <v>0.38336056272055363</v>
      </c>
      <c r="AB127" s="135">
        <f t="shared" si="40"/>
        <v>5.0612381678601888E-2</v>
      </c>
      <c r="AD127" s="87">
        <f>D158</f>
        <v>383</v>
      </c>
      <c r="AE127" s="70">
        <f>S160</f>
        <v>27.471472943194541</v>
      </c>
      <c r="AF127" s="70">
        <f>U160</f>
        <v>0.51178689279059841</v>
      </c>
      <c r="AG127" s="70">
        <f>W160</f>
        <v>121.71636952998379</v>
      </c>
      <c r="AH127" s="70">
        <f>Y160</f>
        <v>3.678515914689894</v>
      </c>
    </row>
    <row r="128" spans="2:34" x14ac:dyDescent="0.2">
      <c r="B128" s="215" t="s">
        <v>13</v>
      </c>
      <c r="C128" s="198">
        <v>0.4375</v>
      </c>
      <c r="D128" s="218">
        <f>23+D125</f>
        <v>117</v>
      </c>
      <c r="E128" s="120" t="s">
        <v>110</v>
      </c>
      <c r="F128" s="221">
        <f>(0.0493+0.0476)/2</f>
        <v>4.845E-2</v>
      </c>
      <c r="G128" s="224">
        <f>(0.0481+0.0467)/2</f>
        <v>4.7399999999999998E-2</v>
      </c>
      <c r="H128" s="69">
        <f>0.175-F128</f>
        <v>0.12655</v>
      </c>
      <c r="I128" s="68">
        <f>0.1064-F128</f>
        <v>5.7949999999999995E-2</v>
      </c>
      <c r="J128" s="68">
        <f>0.1139-G128</f>
        <v>6.6500000000000004E-2</v>
      </c>
      <c r="K128" s="68">
        <f>0.0832-G128</f>
        <v>3.5799999999999998E-2</v>
      </c>
      <c r="L128" s="267">
        <f t="shared" si="28"/>
        <v>1.3989870340356562E-2</v>
      </c>
      <c r="M128" s="267">
        <f t="shared" si="29"/>
        <v>5.8818476499189623E-3</v>
      </c>
      <c r="N128" s="68">
        <f t="shared" si="30"/>
        <v>9.9358589951377627E-3</v>
      </c>
      <c r="O128" s="58">
        <f>'Growth curves CeBER'!F63</f>
        <v>1.19</v>
      </c>
      <c r="P128" s="68">
        <f t="shared" si="31"/>
        <v>1.467746</v>
      </c>
      <c r="Q128" s="99">
        <f t="shared" ref="Q128:Q133" si="41">O128*0.1/1000</f>
        <v>1.1899999999999999E-4</v>
      </c>
      <c r="R128" s="100">
        <f t="shared" si="32"/>
        <v>41.747306702259507</v>
      </c>
      <c r="S128" s="101"/>
      <c r="V128" s="70">
        <f t="shared" si="33"/>
        <v>61.274442423014584</v>
      </c>
      <c r="W128" s="102"/>
      <c r="X128" s="70"/>
      <c r="Y128" s="70"/>
      <c r="Z128" s="70">
        <f t="shared" si="38"/>
        <v>0.45441808620426938</v>
      </c>
      <c r="AA128" s="102"/>
      <c r="AB128" s="103"/>
      <c r="AD128" s="87">
        <f>D161</f>
        <v>405.5</v>
      </c>
      <c r="AE128" s="70">
        <f>S163</f>
        <v>40.763201708549083</v>
      </c>
      <c r="AF128" s="70">
        <f>U163</f>
        <v>3.8572748452317955</v>
      </c>
      <c r="AG128" s="70">
        <f>W163</f>
        <v>185.96425355663609</v>
      </c>
      <c r="AH128" s="70">
        <f>Y163</f>
        <v>15.497879924437425</v>
      </c>
    </row>
    <row r="129" spans="2:34" x14ac:dyDescent="0.2">
      <c r="B129" s="215"/>
      <c r="C129" s="198"/>
      <c r="D129" s="218"/>
      <c r="E129" s="120" t="s">
        <v>111</v>
      </c>
      <c r="F129" s="221"/>
      <c r="G129" s="224"/>
      <c r="H129" s="69">
        <f>0.1254-F128</f>
        <v>7.6950000000000018E-2</v>
      </c>
      <c r="I129" s="68">
        <f>0.138-F128</f>
        <v>8.9550000000000018E-2</v>
      </c>
      <c r="J129" s="68">
        <f>0.0938-G128</f>
        <v>4.6399999999999997E-2</v>
      </c>
      <c r="K129" s="68">
        <f>0.1068-G128</f>
        <v>5.9400000000000008E-2</v>
      </c>
      <c r="L129" s="267">
        <f t="shared" si="28"/>
        <v>7.9218800648298247E-3</v>
      </c>
      <c r="M129" s="267">
        <f t="shared" si="29"/>
        <v>8.6893030794165348E-3</v>
      </c>
      <c r="N129" s="68">
        <f t="shared" si="30"/>
        <v>8.3055915721231797E-3</v>
      </c>
      <c r="O129" s="58">
        <f>'Growth curves CeBER'!G63</f>
        <v>0.996</v>
      </c>
      <c r="P129" s="68">
        <f t="shared" si="31"/>
        <v>1.2284664000000001</v>
      </c>
      <c r="Q129" s="99">
        <f t="shared" si="41"/>
        <v>9.9600000000000009E-5</v>
      </c>
      <c r="R129" s="100">
        <f t="shared" si="32"/>
        <v>41.694736807847285</v>
      </c>
      <c r="S129" s="101"/>
      <c r="V129" s="70">
        <f t="shared" si="33"/>
        <v>51.220583225283647</v>
      </c>
      <c r="W129" s="102"/>
      <c r="X129" s="70"/>
      <c r="Y129" s="70"/>
      <c r="Z129" s="70">
        <f>(V129-$V$114)/(D128-$D$113)</f>
        <v>0.3752343653465211</v>
      </c>
      <c r="AA129" s="102"/>
      <c r="AB129" s="103"/>
      <c r="AD129" s="87"/>
      <c r="AE129" s="70"/>
      <c r="AF129" s="70"/>
      <c r="AG129" s="70"/>
      <c r="AH129" s="70"/>
    </row>
    <row r="130" spans="2:34" x14ac:dyDescent="0.2">
      <c r="B130" s="216"/>
      <c r="C130" s="199"/>
      <c r="D130" s="219"/>
      <c r="E130" s="151" t="s">
        <v>112</v>
      </c>
      <c r="F130" s="222"/>
      <c r="G130" s="225"/>
      <c r="H130" s="73">
        <f>0.1973-F128</f>
        <v>0.14885000000000001</v>
      </c>
      <c r="I130" s="74">
        <f>0.147-F128</f>
        <v>9.8549999999999999E-2</v>
      </c>
      <c r="J130" s="74">
        <f>0.1604-G128</f>
        <v>0.11299999999999999</v>
      </c>
      <c r="K130" s="74">
        <f>0.1108-G128</f>
        <v>6.3399999999999998E-2</v>
      </c>
      <c r="L130" s="267">
        <f t="shared" si="28"/>
        <v>1.3044570502431121E-2</v>
      </c>
      <c r="M130" s="267">
        <f t="shared" si="29"/>
        <v>9.7557536466774727E-3</v>
      </c>
      <c r="N130" s="74">
        <f t="shared" si="30"/>
        <v>1.1400162074554297E-2</v>
      </c>
      <c r="O130" s="71">
        <f>'Growth curves CeBER'!H63</f>
        <v>1.246</v>
      </c>
      <c r="P130" s="74">
        <f t="shared" si="31"/>
        <v>1.5368164</v>
      </c>
      <c r="Q130" s="75">
        <f t="shared" si="41"/>
        <v>1.2459999999999999E-4</v>
      </c>
      <c r="R130" s="76">
        <f t="shared" si="32"/>
        <v>45.747038822449028</v>
      </c>
      <c r="S130" s="77">
        <f>AVERAGE(R128:R130)</f>
        <v>43.063027444185273</v>
      </c>
      <c r="T130" s="78">
        <f>STDEV(R128:R130)</f>
        <v>2.3245706501280194</v>
      </c>
      <c r="U130" s="78">
        <f>T130/SQRT(3)</f>
        <v>1.3420914906017154</v>
      </c>
      <c r="V130" s="78">
        <f t="shared" si="33"/>
        <v>70.304799513776359</v>
      </c>
      <c r="W130" s="77">
        <f t="shared" si="35"/>
        <v>60.933275054024854</v>
      </c>
      <c r="X130" s="78">
        <f t="shared" si="36"/>
        <v>9.546681319534132</v>
      </c>
      <c r="Y130" s="78">
        <f t="shared" si="37"/>
        <v>5.5117790297006035</v>
      </c>
      <c r="Z130" s="78">
        <f>(V130-$V$115)/(D128-$D$113)</f>
        <v>0.55357653243568983</v>
      </c>
      <c r="AA130" s="77">
        <f t="shared" si="39"/>
        <v>0.46107632799549342</v>
      </c>
      <c r="AB130" s="135">
        <f t="shared" si="40"/>
        <v>5.1590474826037749E-2</v>
      </c>
    </row>
    <row r="131" spans="2:34" x14ac:dyDescent="0.2">
      <c r="B131" s="215" t="s">
        <v>30</v>
      </c>
      <c r="C131" s="198">
        <v>0.44722222222222219</v>
      </c>
      <c r="D131" s="218">
        <f>24+D128</f>
        <v>141</v>
      </c>
      <c r="E131" s="120" t="s">
        <v>110</v>
      </c>
      <c r="F131" s="221">
        <v>5.9400000000000001E-2</v>
      </c>
      <c r="G131" s="224">
        <v>5.7799999999999997E-2</v>
      </c>
      <c r="H131" s="69">
        <f>0.1793-F131</f>
        <v>0.11989999999999998</v>
      </c>
      <c r="I131" s="68">
        <f>0.1818-F131</f>
        <v>0.12239999999999998</v>
      </c>
      <c r="J131" s="68">
        <f>0.135-G131</f>
        <v>7.7200000000000019E-2</v>
      </c>
      <c r="K131" s="68">
        <f>0.1361-G131</f>
        <v>7.8300000000000008E-2</v>
      </c>
      <c r="L131" s="267">
        <f t="shared" si="28"/>
        <v>1.1862884927066445E-2</v>
      </c>
      <c r="M131" s="267">
        <f t="shared" si="29"/>
        <v>1.2160210696920578E-2</v>
      </c>
      <c r="N131" s="68">
        <f t="shared" si="30"/>
        <v>1.2011547811993512E-2</v>
      </c>
      <c r="O131" s="68">
        <f>'Growth curves CeBER'!F64</f>
        <v>1.484</v>
      </c>
      <c r="P131" s="68">
        <f t="shared" si="31"/>
        <v>1.8303656000000001</v>
      </c>
      <c r="Q131" s="99">
        <f t="shared" si="41"/>
        <v>1.484E-4</v>
      </c>
      <c r="R131" s="100">
        <f t="shared" si="32"/>
        <v>40.470174568711293</v>
      </c>
      <c r="S131" s="101"/>
      <c r="V131" s="70">
        <f t="shared" si="33"/>
        <v>74.075215356563987</v>
      </c>
      <c r="W131" s="102"/>
      <c r="X131" s="70"/>
      <c r="Y131" s="70"/>
      <c r="Z131" s="70">
        <f t="shared" si="38"/>
        <v>0.46785595049254547</v>
      </c>
      <c r="AA131" s="102"/>
      <c r="AB131" s="103"/>
      <c r="AE131" s="70"/>
      <c r="AF131" s="70"/>
      <c r="AG131" s="70"/>
      <c r="AH131" s="70"/>
    </row>
    <row r="132" spans="2:34" x14ac:dyDescent="0.2">
      <c r="B132" s="215"/>
      <c r="C132" s="198"/>
      <c r="D132" s="218"/>
      <c r="E132" s="120" t="s">
        <v>111</v>
      </c>
      <c r="F132" s="221"/>
      <c r="G132" s="224"/>
      <c r="H132" s="69">
        <f>0.1581-F131</f>
        <v>9.8699999999999982E-2</v>
      </c>
      <c r="I132" s="68">
        <f>0.1752-F131</f>
        <v>0.11579999999999999</v>
      </c>
      <c r="J132" s="68">
        <f>0.1175-G131</f>
        <v>5.9699999999999996E-2</v>
      </c>
      <c r="K132" s="68">
        <f>0.1353-G131</f>
        <v>7.7500000000000013E-2</v>
      </c>
      <c r="L132" s="267">
        <f t="shared" si="28"/>
        <v>1.0142868719611019E-2</v>
      </c>
      <c r="M132" s="267">
        <f t="shared" si="29"/>
        <v>1.116896272285251E-2</v>
      </c>
      <c r="N132" s="68">
        <f t="shared" si="30"/>
        <v>1.0655915721231764E-2</v>
      </c>
      <c r="O132" s="68">
        <f>'Growth curves CeBER'!G64</f>
        <v>1.36</v>
      </c>
      <c r="P132" s="68">
        <f t="shared" si="31"/>
        <v>1.6774240000000002</v>
      </c>
      <c r="Q132" s="99">
        <f t="shared" si="41"/>
        <v>1.36E-4</v>
      </c>
      <c r="R132" s="100">
        <f t="shared" si="32"/>
        <v>39.176160739822663</v>
      </c>
      <c r="S132" s="101"/>
      <c r="V132" s="70">
        <f t="shared" si="33"/>
        <v>65.715032252836295</v>
      </c>
      <c r="W132" s="102"/>
      <c r="X132" s="70"/>
      <c r="Y132" s="70"/>
      <c r="Z132" s="70">
        <f>(V132-$V$114)/(D131-$D$113)</f>
        <v>0.41416219697230933</v>
      </c>
      <c r="AA132" s="102"/>
      <c r="AB132" s="103"/>
      <c r="AE132" s="70"/>
      <c r="AF132" s="70"/>
      <c r="AG132" s="70"/>
      <c r="AH132" s="70"/>
    </row>
    <row r="133" spans="2:34" x14ac:dyDescent="0.2">
      <c r="B133" s="216"/>
      <c r="C133" s="199"/>
      <c r="D133" s="219"/>
      <c r="E133" s="151" t="s">
        <v>112</v>
      </c>
      <c r="F133" s="222"/>
      <c r="G133" s="225"/>
      <c r="H133" s="73">
        <f>0.2575-F131</f>
        <v>0.1981</v>
      </c>
      <c r="I133" s="74">
        <f>0.2422-F131</f>
        <v>0.18279999999999999</v>
      </c>
      <c r="J133" s="74">
        <f>0.1909-G131</f>
        <v>0.1331</v>
      </c>
      <c r="K133" s="74">
        <f>0.1749-G131</f>
        <v>0.11710000000000001</v>
      </c>
      <c r="L133" s="267">
        <f t="shared" si="28"/>
        <v>1.9055834683954619E-2</v>
      </c>
      <c r="M133" s="267">
        <f t="shared" si="29"/>
        <v>1.8144975688816855E-2</v>
      </c>
      <c r="N133" s="74">
        <f t="shared" si="30"/>
        <v>1.8600405186385737E-2</v>
      </c>
      <c r="O133" s="74">
        <f>'Growth curves CeBER'!H64</f>
        <v>1.67</v>
      </c>
      <c r="P133" s="74">
        <f t="shared" si="31"/>
        <v>2.0597780000000001</v>
      </c>
      <c r="Q133" s="75">
        <f t="shared" si="41"/>
        <v>1.6700000000000002E-4</v>
      </c>
      <c r="R133" s="76">
        <f t="shared" si="32"/>
        <v>55.689835887382436</v>
      </c>
      <c r="S133" s="77">
        <f>AVERAGE(R131:R133)</f>
        <v>45.112057065305464</v>
      </c>
      <c r="T133" s="78">
        <f>STDEV(R131:R133)</f>
        <v>9.1834455164673319</v>
      </c>
      <c r="U133" s="78">
        <f>T133/SQRT(3)</f>
        <v>5.3020647410206765</v>
      </c>
      <c r="V133" s="78">
        <f t="shared" si="33"/>
        <v>114.70869878444083</v>
      </c>
      <c r="W133" s="77">
        <f t="shared" si="35"/>
        <v>84.832982131280374</v>
      </c>
      <c r="X133" s="78">
        <f t="shared" si="36"/>
        <v>26.208624525848524</v>
      </c>
      <c r="Y133" s="78">
        <f t="shared" si="37"/>
        <v>15.131556425088474</v>
      </c>
      <c r="Z133" s="78">
        <f>(V133-$V$115)/(D131-$D$113)</f>
        <v>0.77427201110383104</v>
      </c>
      <c r="AA133" s="77">
        <f t="shared" si="39"/>
        <v>0.5520967195228953</v>
      </c>
      <c r="AB133" s="135">
        <f t="shared" si="40"/>
        <v>0.1121637938219197</v>
      </c>
    </row>
    <row r="134" spans="2:34" x14ac:dyDescent="0.2">
      <c r="B134" s="215" t="s">
        <v>32</v>
      </c>
      <c r="C134" s="198">
        <v>0.53472222222222221</v>
      </c>
      <c r="D134" s="218">
        <f>D131+50</f>
        <v>191</v>
      </c>
      <c r="E134" s="120" t="s">
        <v>110</v>
      </c>
      <c r="F134" s="221">
        <v>5.3699999999999998E-2</v>
      </c>
      <c r="G134" s="224">
        <v>5.1299999999999998E-2</v>
      </c>
      <c r="H134" s="69">
        <f>0.2305-F134</f>
        <v>0.17680000000000001</v>
      </c>
      <c r="I134" s="68">
        <f>0.2563-F134</f>
        <v>0.20259999999999997</v>
      </c>
      <c r="J134" s="68">
        <f>0.154-G134</f>
        <v>0.1027</v>
      </c>
      <c r="K134" s="68">
        <f>0.178-G134</f>
        <v>0.12669999999999998</v>
      </c>
      <c r="L134" s="267">
        <f t="shared" si="28"/>
        <v>1.858452188006483E-2</v>
      </c>
      <c r="M134" s="267">
        <f t="shared" si="29"/>
        <v>2.0412722852512152E-2</v>
      </c>
      <c r="N134" s="68">
        <f t="shared" si="30"/>
        <v>1.9498622366288493E-2</v>
      </c>
      <c r="O134" s="58">
        <f>'Growth curves CeBER'!F66</f>
        <v>2.2120000000000002</v>
      </c>
      <c r="P134" s="68">
        <f t="shared" si="31"/>
        <v>2.7282808000000003</v>
      </c>
      <c r="Q134" s="99">
        <f>P134*0.1/1000</f>
        <v>2.7282808000000003E-4</v>
      </c>
      <c r="R134" s="100">
        <f t="shared" si="32"/>
        <v>35.734266000567999</v>
      </c>
      <c r="S134" s="101"/>
      <c r="V134" s="70">
        <f t="shared" si="33"/>
        <v>97.493111831442477</v>
      </c>
      <c r="W134" s="102"/>
      <c r="X134" s="70"/>
      <c r="Y134" s="70"/>
      <c r="Z134" s="70">
        <f t="shared" si="38"/>
        <v>0.467987358609044</v>
      </c>
      <c r="AA134" s="102"/>
      <c r="AB134" s="103"/>
    </row>
    <row r="135" spans="2:34" x14ac:dyDescent="0.2">
      <c r="B135" s="215"/>
      <c r="C135" s="198"/>
      <c r="D135" s="218"/>
      <c r="E135" s="120" t="s">
        <v>111</v>
      </c>
      <c r="F135" s="221"/>
      <c r="G135" s="224"/>
      <c r="H135" s="69">
        <f>0.238-F134</f>
        <v>0.18429999999999999</v>
      </c>
      <c r="I135" s="68">
        <f>0.314-F134</f>
        <v>0.26029999999999998</v>
      </c>
      <c r="J135" s="68">
        <f>0.164-G134</f>
        <v>0.11270000000000001</v>
      </c>
      <c r="K135" s="68">
        <f>0.2398-G134</f>
        <v>0.1885</v>
      </c>
      <c r="L135" s="267">
        <f t="shared" si="28"/>
        <v>1.8819529983792542E-2</v>
      </c>
      <c r="M135" s="267">
        <f t="shared" si="29"/>
        <v>2.3704619124797405E-2</v>
      </c>
      <c r="N135" s="68">
        <f t="shared" si="30"/>
        <v>2.1262074554294973E-2</v>
      </c>
      <c r="O135" s="58">
        <f>'Growth curves CeBER'!G66</f>
        <v>1.8240000000000001</v>
      </c>
      <c r="P135" s="68">
        <f t="shared" si="31"/>
        <v>2.2497216</v>
      </c>
      <c r="Q135" s="99">
        <f>P135*0.1/1000</f>
        <v>2.2497216E-4</v>
      </c>
      <c r="R135" s="100">
        <f t="shared" si="32"/>
        <v>47.25490157158773</v>
      </c>
      <c r="S135" s="101"/>
      <c r="V135" s="70">
        <f t="shared" si="33"/>
        <v>106.31037277147486</v>
      </c>
      <c r="W135" s="102"/>
      <c r="X135" s="70"/>
      <c r="Y135" s="70"/>
      <c r="Z135" s="70">
        <f>(V135-$V$114)/(D134-$D$113)</f>
        <v>0.51828382351693292</v>
      </c>
      <c r="AA135" s="102"/>
      <c r="AB135" s="103"/>
    </row>
    <row r="136" spans="2:34" x14ac:dyDescent="0.2">
      <c r="B136" s="216"/>
      <c r="C136" s="199"/>
      <c r="D136" s="219"/>
      <c r="E136" s="151" t="s">
        <v>112</v>
      </c>
      <c r="F136" s="222"/>
      <c r="G136" s="225"/>
      <c r="H136" s="73">
        <f>0.3135-F134</f>
        <v>0.25980000000000003</v>
      </c>
      <c r="I136" s="74">
        <f>0.2932-F134</f>
        <v>0.23950000000000002</v>
      </c>
      <c r="J136" s="74">
        <f>0.2155-G134</f>
        <v>0.16420000000000001</v>
      </c>
      <c r="K136" s="74">
        <f>0.196-G134</f>
        <v>0.1447</v>
      </c>
      <c r="L136" s="267">
        <f t="shared" si="28"/>
        <v>2.6006320907617508E-2</v>
      </c>
      <c r="M136" s="267">
        <f t="shared" si="29"/>
        <v>2.4628282009724476E-2</v>
      </c>
      <c r="N136" s="74">
        <f t="shared" si="30"/>
        <v>2.531730145867099E-2</v>
      </c>
      <c r="O136" s="71">
        <f>'Growth curves CeBER'!H66</f>
        <v>2.274</v>
      </c>
      <c r="P136" s="74">
        <f t="shared" si="31"/>
        <v>2.8047516000000003</v>
      </c>
      <c r="Q136" s="75">
        <f>P136*0.1/1000</f>
        <v>2.8047516000000004E-4</v>
      </c>
      <c r="R136" s="76">
        <f t="shared" si="32"/>
        <v>45.132876399234405</v>
      </c>
      <c r="S136" s="77">
        <f>AVERAGE(R134:R136)</f>
        <v>42.707347990463383</v>
      </c>
      <c r="T136" s="78">
        <f>STDEV(R134:R136)</f>
        <v>6.1313662454934645</v>
      </c>
      <c r="U136" s="78">
        <f>T136/SQRT(3)</f>
        <v>3.5399459523358372</v>
      </c>
      <c r="V136" s="78">
        <f t="shared" si="33"/>
        <v>126.58650729335496</v>
      </c>
      <c r="W136" s="77">
        <f t="shared" si="35"/>
        <v>110.12999729875743</v>
      </c>
      <c r="X136" s="78">
        <f t="shared" si="36"/>
        <v>14.91806165434601</v>
      </c>
      <c r="Y136" s="78">
        <f t="shared" si="37"/>
        <v>8.6129469119241033</v>
      </c>
      <c r="Z136" s="78">
        <f>(V136-$V$115)/(D134-$D$113)</f>
        <v>0.63377048206572939</v>
      </c>
      <c r="AA136" s="77">
        <f t="shared" si="39"/>
        <v>0.54001388806390205</v>
      </c>
      <c r="AB136" s="135">
        <f t="shared" si="40"/>
        <v>4.9075308743044117E-2</v>
      </c>
    </row>
    <row r="137" spans="2:34" x14ac:dyDescent="0.2">
      <c r="B137" s="215" t="s">
        <v>33</v>
      </c>
      <c r="C137" s="198">
        <v>0.47916666666666669</v>
      </c>
      <c r="D137" s="218">
        <f>22.5+D134</f>
        <v>213.5</v>
      </c>
      <c r="E137" s="120" t="s">
        <v>110</v>
      </c>
      <c r="F137" s="221">
        <f>(0.0566+0.0558)/2</f>
        <v>5.62E-2</v>
      </c>
      <c r="G137" s="224">
        <f>(0.055+0.0549)/2</f>
        <v>5.4949999999999999E-2</v>
      </c>
      <c r="H137" s="69">
        <f>0.2448-F137</f>
        <v>0.18859999999999999</v>
      </c>
      <c r="I137" s="68">
        <f>0.2609-F137</f>
        <v>0.20470000000000002</v>
      </c>
      <c r="J137" s="68">
        <f>0.173-G137</f>
        <v>0.11804999999999999</v>
      </c>
      <c r="K137" s="68">
        <f>0.1873-G137</f>
        <v>0.13235</v>
      </c>
      <c r="L137" s="267">
        <f t="shared" si="28"/>
        <v>1.8991855753646678E-2</v>
      </c>
      <c r="M137" s="267">
        <f t="shared" si="29"/>
        <v>2.0199068071312807E-2</v>
      </c>
      <c r="N137" s="68">
        <f t="shared" si="30"/>
        <v>1.9595461912479743E-2</v>
      </c>
      <c r="O137" s="58">
        <f>'Growth curves CeBER'!F67</f>
        <v>2.41</v>
      </c>
      <c r="P137" s="68">
        <f t="shared" si="31"/>
        <v>2.9724940000000002</v>
      </c>
      <c r="Q137" s="99">
        <f t="shared" ref="Q137:Q142" si="42">P137*0.1/1000</f>
        <v>2.9724940000000005E-4</v>
      </c>
      <c r="R137" s="100">
        <f t="shared" si="32"/>
        <v>32.961314492947231</v>
      </c>
      <c r="S137" s="101"/>
      <c r="V137" s="70">
        <f t="shared" si="33"/>
        <v>97.977309562398688</v>
      </c>
      <c r="W137" s="102"/>
      <c r="X137" s="70"/>
      <c r="Y137" s="70"/>
      <c r="Z137" s="70">
        <f t="shared" si="38"/>
        <v>0.42093575281163287</v>
      </c>
      <c r="AA137" s="102"/>
      <c r="AB137" s="103"/>
    </row>
    <row r="138" spans="2:34" x14ac:dyDescent="0.2">
      <c r="B138" s="215"/>
      <c r="C138" s="198"/>
      <c r="D138" s="218"/>
      <c r="E138" s="120" t="s">
        <v>111</v>
      </c>
      <c r="F138" s="221"/>
      <c r="G138" s="224"/>
      <c r="H138" s="69">
        <f>0.2745-F137</f>
        <v>0.21830000000000002</v>
      </c>
      <c r="I138" s="68">
        <f>0.3531-F137</f>
        <v>0.29690000000000005</v>
      </c>
      <c r="J138" s="68">
        <f>0.178-G137</f>
        <v>0.12304999999999999</v>
      </c>
      <c r="K138" s="68">
        <f>0.2535-G137</f>
        <v>0.19855</v>
      </c>
      <c r="L138" s="267">
        <f t="shared" si="28"/>
        <v>2.331519448946516E-2</v>
      </c>
      <c r="M138" s="267">
        <f t="shared" si="29"/>
        <v>2.8651094003241499E-2</v>
      </c>
      <c r="N138" s="68">
        <f t="shared" si="30"/>
        <v>2.598314424635333E-2</v>
      </c>
      <c r="O138" s="58">
        <f>'Growth curves CeBER'!G67</f>
        <v>2.2200000000000002</v>
      </c>
      <c r="P138" s="68">
        <f t="shared" si="31"/>
        <v>2.7381480000000002</v>
      </c>
      <c r="Q138" s="99">
        <f t="shared" si="42"/>
        <v>2.7381480000000005E-4</v>
      </c>
      <c r="R138" s="100">
        <f t="shared" si="32"/>
        <v>47.446566522980724</v>
      </c>
      <c r="S138" s="101"/>
      <c r="V138" s="70">
        <f t="shared" si="33"/>
        <v>129.91572123176664</v>
      </c>
      <c r="W138" s="102"/>
      <c r="X138" s="70"/>
      <c r="Y138" s="70"/>
      <c r="Z138" s="70">
        <f>(V138-$V$114)/(D137-$D$113)</f>
        <v>0.57422744146147986</v>
      </c>
      <c r="AA138" s="102"/>
      <c r="AB138" s="103"/>
    </row>
    <row r="139" spans="2:34" x14ac:dyDescent="0.2">
      <c r="B139" s="216"/>
      <c r="C139" s="199"/>
      <c r="D139" s="219"/>
      <c r="E139" s="151" t="s">
        <v>112</v>
      </c>
      <c r="F139" s="222"/>
      <c r="G139" s="225"/>
      <c r="H139" s="73">
        <f>0.3028-F137</f>
        <v>0.24660000000000001</v>
      </c>
      <c r="I139" s="74">
        <f>0.3031-F137</f>
        <v>0.24689999999999998</v>
      </c>
      <c r="J139" s="74">
        <f>0.204-G137</f>
        <v>0.14904999999999999</v>
      </c>
      <c r="K139" s="74">
        <f>0.1996-G137</f>
        <v>0.14465</v>
      </c>
      <c r="L139" s="267">
        <f t="shared" si="28"/>
        <v>2.5352471636953002E-2</v>
      </c>
      <c r="M139" s="267">
        <f t="shared" si="29"/>
        <v>2.5832536466774712E-2</v>
      </c>
      <c r="N139" s="74">
        <f t="shared" si="30"/>
        <v>2.5592504051863856E-2</v>
      </c>
      <c r="O139" s="71">
        <f>'Growth curves CeBER'!H67</f>
        <v>2.4060000000000001</v>
      </c>
      <c r="P139" s="74">
        <f t="shared" si="31"/>
        <v>2.9675604000000004</v>
      </c>
      <c r="Q139" s="75">
        <f t="shared" si="42"/>
        <v>2.9675604000000007E-4</v>
      </c>
      <c r="R139" s="76">
        <f t="shared" si="32"/>
        <v>43.120443398327879</v>
      </c>
      <c r="S139" s="77">
        <f>AVERAGE(R137:R139)</f>
        <v>41.176108138085276</v>
      </c>
      <c r="T139" s="78">
        <f>STDEV(R137:R139)</f>
        <v>7.4357892181371099</v>
      </c>
      <c r="U139" s="78">
        <f>T139/SQRT(3)</f>
        <v>4.293054906728778</v>
      </c>
      <c r="V139" s="78">
        <f t="shared" si="33"/>
        <v>127.96252025931926</v>
      </c>
      <c r="W139" s="77">
        <f t="shared" si="35"/>
        <v>118.6185170178282</v>
      </c>
      <c r="X139" s="78">
        <f t="shared" si="36"/>
        <v>17.902467216092003</v>
      </c>
      <c r="Y139" s="78">
        <f t="shared" si="37"/>
        <v>10.335994266369168</v>
      </c>
      <c r="Z139" s="78">
        <f>(V139-$V$115)/(D137-$D$113)</f>
        <v>0.57342470744973595</v>
      </c>
      <c r="AA139" s="77">
        <f t="shared" si="39"/>
        <v>0.52286263390761623</v>
      </c>
      <c r="AB139" s="135">
        <f t="shared" si="40"/>
        <v>5.0963967378725342E-2</v>
      </c>
    </row>
    <row r="140" spans="2:34" x14ac:dyDescent="0.2">
      <c r="B140" s="215" t="s">
        <v>34</v>
      </c>
      <c r="C140" s="198">
        <v>0.4375</v>
      </c>
      <c r="D140" s="218">
        <f>23+D137</f>
        <v>236.5</v>
      </c>
      <c r="E140" s="120" t="s">
        <v>110</v>
      </c>
      <c r="F140" s="221">
        <f>(0.0488+0.0544)/2</f>
        <v>5.16E-2</v>
      </c>
      <c r="G140" s="224">
        <f>(0.0522+0.0455)/2</f>
        <v>4.8850000000000005E-2</v>
      </c>
      <c r="H140" s="69">
        <f>0.3085-F140</f>
        <v>0.25690000000000002</v>
      </c>
      <c r="I140" s="68">
        <f>0.3236-F140</f>
        <v>0.27200000000000002</v>
      </c>
      <c r="J140" s="68">
        <f>0.1987-G140</f>
        <v>0.14984999999999998</v>
      </c>
      <c r="K140" s="68">
        <f>0.21-G140</f>
        <v>0.16114999999999999</v>
      </c>
      <c r="L140" s="267">
        <f t="shared" si="28"/>
        <v>2.6943395461912489E-2</v>
      </c>
      <c r="M140" s="267">
        <f t="shared" si="29"/>
        <v>2.8282698541329015E-2</v>
      </c>
      <c r="N140" s="68">
        <f t="shared" si="30"/>
        <v>2.7613047001620754E-2</v>
      </c>
      <c r="O140" s="58">
        <f>'Growth curves CeBER'!F68</f>
        <v>2.8959999999999999</v>
      </c>
      <c r="P140" s="68">
        <f t="shared" si="31"/>
        <v>3.5719264000000002</v>
      </c>
      <c r="Q140" s="99">
        <f t="shared" si="42"/>
        <v>3.5719264000000004E-4</v>
      </c>
      <c r="R140" s="100">
        <f t="shared" si="32"/>
        <v>38.652877900312774</v>
      </c>
      <c r="S140" s="101"/>
      <c r="V140" s="70">
        <f t="shared" si="33"/>
        <v>138.06523500810377</v>
      </c>
      <c r="W140" s="102"/>
      <c r="X140" s="70"/>
      <c r="Y140" s="70"/>
      <c r="Z140" s="70">
        <f t="shared" si="38"/>
        <v>0.54950405357711918</v>
      </c>
      <c r="AA140" s="102"/>
      <c r="AB140" s="103"/>
    </row>
    <row r="141" spans="2:34" x14ac:dyDescent="0.2">
      <c r="B141" s="215"/>
      <c r="C141" s="198"/>
      <c r="D141" s="218"/>
      <c r="E141" s="120" t="s">
        <v>111</v>
      </c>
      <c r="F141" s="221"/>
      <c r="G141" s="224"/>
      <c r="H141" s="69">
        <f>0.2661-F140</f>
        <v>0.2145</v>
      </c>
      <c r="I141" s="68">
        <f>0.3062-F140</f>
        <v>0.25460000000000005</v>
      </c>
      <c r="J141" s="68">
        <f>0.175-G140</f>
        <v>0.12614999999999998</v>
      </c>
      <c r="K141" s="68">
        <f>0.213-G140</f>
        <v>0.16414999999999999</v>
      </c>
      <c r="L141" s="267">
        <f t="shared" si="28"/>
        <v>2.2395340356564021E-2</v>
      </c>
      <c r="M141" s="267">
        <f t="shared" si="29"/>
        <v>2.516843598055106E-2</v>
      </c>
      <c r="N141" s="68">
        <f t="shared" si="30"/>
        <v>2.378188816855754E-2</v>
      </c>
      <c r="O141" s="58">
        <f>'Growth curves CeBER'!G68</f>
        <v>2.3519999999999999</v>
      </c>
      <c r="P141" s="68">
        <f t="shared" si="31"/>
        <v>2.9009567999999999</v>
      </c>
      <c r="Q141" s="99">
        <f t="shared" si="42"/>
        <v>2.9009568000000003E-4</v>
      </c>
      <c r="R141" s="100">
        <f t="shared" si="32"/>
        <v>40.989731678454397</v>
      </c>
      <c r="S141" s="101"/>
      <c r="V141" s="70">
        <f t="shared" si="33"/>
        <v>118.90944084278769</v>
      </c>
      <c r="W141" s="102"/>
      <c r="X141" s="70"/>
      <c r="Y141" s="70"/>
      <c r="Z141" s="70">
        <f>(V141-$V$114)/(D140-$D$113)</f>
        <v>0.47184472880780975</v>
      </c>
      <c r="AA141" s="102"/>
      <c r="AB141" s="103"/>
    </row>
    <row r="142" spans="2:34" x14ac:dyDescent="0.2">
      <c r="B142" s="216"/>
      <c r="C142" s="199"/>
      <c r="D142" s="219"/>
      <c r="E142" s="151" t="s">
        <v>112</v>
      </c>
      <c r="F142" s="222"/>
      <c r="G142" s="225"/>
      <c r="H142" s="73">
        <f>0.3127-F140</f>
        <v>0.2611</v>
      </c>
      <c r="I142" s="74">
        <f>0.3171-F140</f>
        <v>0.26550000000000001</v>
      </c>
      <c r="J142" s="74">
        <f>0.2159-G140</f>
        <v>0.16705</v>
      </c>
      <c r="K142" s="74">
        <f>0.2174-G140</f>
        <v>0.16855000000000001</v>
      </c>
      <c r="L142" s="267">
        <f t="shared" si="28"/>
        <v>2.5937560777957863E-2</v>
      </c>
      <c r="M142" s="267">
        <f t="shared" si="29"/>
        <v>2.6503606158833067E-2</v>
      </c>
      <c r="N142" s="74">
        <f t="shared" si="30"/>
        <v>2.6220583468395467E-2</v>
      </c>
      <c r="O142" s="71">
        <f>'Growth curves CeBER'!H68</f>
        <v>2.6160000000000001</v>
      </c>
      <c r="P142" s="74">
        <f t="shared" si="31"/>
        <v>3.2265744000000001</v>
      </c>
      <c r="Q142" s="75">
        <f t="shared" si="42"/>
        <v>3.2265744000000004E-4</v>
      </c>
      <c r="R142" s="76">
        <f t="shared" si="32"/>
        <v>40.632231304499697</v>
      </c>
      <c r="S142" s="77">
        <f>AVERAGE(R140:R142)</f>
        <v>40.091613627755628</v>
      </c>
      <c r="T142" s="78">
        <f>STDEV(R140:R142)</f>
        <v>1.2587382569103935</v>
      </c>
      <c r="U142" s="78">
        <f>T142/SQRT(3)</f>
        <v>0.72673287146649601</v>
      </c>
      <c r="V142" s="78">
        <f t="shared" si="33"/>
        <v>131.10291734197733</v>
      </c>
      <c r="W142" s="77">
        <f t="shared" si="35"/>
        <v>129.35919773095625</v>
      </c>
      <c r="X142" s="78">
        <f t="shared" si="36"/>
        <v>9.6962122030916795</v>
      </c>
      <c r="Y142" s="78">
        <f t="shared" si="37"/>
        <v>5.598110725574716</v>
      </c>
      <c r="Z142" s="78">
        <f>(V142-$V$115)/(D140-$D$113)</f>
        <v>0.53093688001343209</v>
      </c>
      <c r="AA142" s="77">
        <f t="shared" si="39"/>
        <v>0.51742855413278699</v>
      </c>
      <c r="AB142" s="135">
        <f t="shared" si="40"/>
        <v>2.3413662905659369E-2</v>
      </c>
    </row>
    <row r="143" spans="2:34" x14ac:dyDescent="0.2">
      <c r="B143" s="215" t="s">
        <v>35</v>
      </c>
      <c r="C143" s="198">
        <v>0.44444444444444442</v>
      </c>
      <c r="D143" s="218">
        <f>24+D140</f>
        <v>260.5</v>
      </c>
      <c r="E143" s="120" t="s">
        <v>110</v>
      </c>
      <c r="F143" s="221">
        <f>F140</f>
        <v>5.16E-2</v>
      </c>
      <c r="G143" s="224">
        <f>G140</f>
        <v>4.8850000000000005E-2</v>
      </c>
      <c r="H143" s="69">
        <f>0.2685-F143</f>
        <v>0.21690000000000001</v>
      </c>
      <c r="I143" s="68">
        <f>0.3002-F143</f>
        <v>0.24860000000000002</v>
      </c>
      <c r="J143" s="68">
        <f>0.1815-G143</f>
        <v>0.13264999999999999</v>
      </c>
      <c r="K143" s="68">
        <f>0.2089-G143</f>
        <v>0.16005</v>
      </c>
      <c r="L143" s="267">
        <f t="shared" si="28"/>
        <v>2.2146961102106972E-2</v>
      </c>
      <c r="M143" s="267">
        <f t="shared" si="29"/>
        <v>2.4598014586709894E-2</v>
      </c>
      <c r="N143" s="68">
        <f t="shared" si="30"/>
        <v>2.3372487844408433E-2</v>
      </c>
      <c r="O143" s="58">
        <f>'Growth curves CeBER'!F69</f>
        <v>3.08</v>
      </c>
      <c r="P143" s="68">
        <f t="shared" si="31"/>
        <v>3.7988720000000002</v>
      </c>
      <c r="Q143" s="99">
        <f t="shared" ref="Q143:Q163" si="43">P143*0.075/1000</f>
        <v>2.8491539999999998E-4</v>
      </c>
      <c r="R143" s="100">
        <f t="shared" si="32"/>
        <v>41.016540075419641</v>
      </c>
      <c r="S143" s="101"/>
      <c r="V143" s="70">
        <f t="shared" si="33"/>
        <v>155.81658562938958</v>
      </c>
      <c r="W143" s="102"/>
      <c r="X143" s="70"/>
      <c r="Y143" s="70"/>
      <c r="Z143" s="70">
        <f t="shared" si="38"/>
        <v>0.56702134085326106</v>
      </c>
      <c r="AA143" s="102"/>
      <c r="AB143" s="103"/>
    </row>
    <row r="144" spans="2:34" x14ac:dyDescent="0.2">
      <c r="B144" s="215"/>
      <c r="C144" s="198"/>
      <c r="D144" s="218"/>
      <c r="E144" s="120" t="s">
        <v>111</v>
      </c>
      <c r="F144" s="221"/>
      <c r="G144" s="224"/>
      <c r="H144" s="69">
        <f>0.2793-F143</f>
        <v>0.22769999999999999</v>
      </c>
      <c r="I144" s="68">
        <f>0.2964-F143</f>
        <v>0.24479999999999999</v>
      </c>
      <c r="J144" s="68">
        <f>0.1852-G143</f>
        <v>0.13635</v>
      </c>
      <c r="K144" s="68">
        <f>0.199-G143</f>
        <v>0.15015000000000001</v>
      </c>
      <c r="L144" s="267">
        <f t="shared" si="28"/>
        <v>2.3534562398703402E-2</v>
      </c>
      <c r="M144" s="267">
        <f t="shared" si="29"/>
        <v>2.4952876823338736E-2</v>
      </c>
      <c r="N144" s="68">
        <f t="shared" si="30"/>
        <v>2.4243719611021071E-2</v>
      </c>
      <c r="O144" s="58">
        <f>'Growth curves CeBER'!G69</f>
        <v>2.8119999999999998</v>
      </c>
      <c r="P144" s="68">
        <f t="shared" si="31"/>
        <v>3.4683207999999999</v>
      </c>
      <c r="Q144" s="99">
        <f t="shared" si="43"/>
        <v>2.6012406000000001E-4</v>
      </c>
      <c r="R144" s="100">
        <f t="shared" si="32"/>
        <v>46.600302200075362</v>
      </c>
      <c r="S144" s="101"/>
      <c r="V144" s="70">
        <f t="shared" si="33"/>
        <v>161.62479740680712</v>
      </c>
      <c r="W144" s="102"/>
      <c r="X144" s="70"/>
      <c r="Y144" s="70"/>
      <c r="Z144" s="70">
        <f>(V144-$V$114)/(D143-$D$113)</f>
        <v>0.59234792678336445</v>
      </c>
      <c r="AA144" s="102"/>
      <c r="AB144" s="103"/>
    </row>
    <row r="145" spans="2:28" x14ac:dyDescent="0.2">
      <c r="B145" s="216"/>
      <c r="C145" s="199"/>
      <c r="D145" s="219"/>
      <c r="E145" s="151" t="s">
        <v>112</v>
      </c>
      <c r="F145" s="222"/>
      <c r="G145" s="225"/>
      <c r="H145" s="73">
        <f>0.2692-F143</f>
        <v>0.21759999999999999</v>
      </c>
      <c r="I145" s="74">
        <f>0.2775-F143</f>
        <v>0.22590000000000002</v>
      </c>
      <c r="J145" s="74">
        <f>0.1859-G143</f>
        <v>0.13705000000000001</v>
      </c>
      <c r="K145" s="74">
        <f>0.1923-G143</f>
        <v>0.14344999999999999</v>
      </c>
      <c r="L145" s="267">
        <f t="shared" si="28"/>
        <v>2.1828970826580227E-2</v>
      </c>
      <c r="M145" s="267">
        <f t="shared" si="29"/>
        <v>2.254663695299838E-2</v>
      </c>
      <c r="N145" s="74">
        <f t="shared" si="30"/>
        <v>2.2187803889789304E-2</v>
      </c>
      <c r="O145" s="71">
        <f>'Growth curves CeBER'!H69</f>
        <v>2.8719999999999999</v>
      </c>
      <c r="P145" s="74">
        <f t="shared" si="31"/>
        <v>3.5423247999999998</v>
      </c>
      <c r="Q145" s="75">
        <f t="shared" si="43"/>
        <v>2.6567436E-4</v>
      </c>
      <c r="R145" s="76">
        <f t="shared" si="32"/>
        <v>41.75751828251191</v>
      </c>
      <c r="S145" s="77">
        <f>AVERAGE(R143:R145)</f>
        <v>43.124786852668969</v>
      </c>
      <c r="T145" s="78">
        <f>STDEV(R143:R145)</f>
        <v>3.0326007606326031</v>
      </c>
      <c r="U145" s="78">
        <f>T145/SQRT(3)</f>
        <v>1.7508728654958974</v>
      </c>
      <c r="V145" s="78">
        <f t="shared" si="33"/>
        <v>147.91869259859533</v>
      </c>
      <c r="W145" s="77">
        <f t="shared" si="35"/>
        <v>155.12002521159735</v>
      </c>
      <c r="X145" s="78">
        <f t="shared" si="36"/>
        <v>6.8795511892235934</v>
      </c>
      <c r="Y145" s="78">
        <f t="shared" si="37"/>
        <v>3.9719107310020521</v>
      </c>
      <c r="Z145" s="78">
        <f>(V145-$V$115)/(D143-$D$113)</f>
        <v>0.54657331047905833</v>
      </c>
      <c r="AA145" s="77">
        <f t="shared" si="39"/>
        <v>0.56864752603856139</v>
      </c>
      <c r="AB145" s="135">
        <f t="shared" si="40"/>
        <v>1.3238985776162254E-2</v>
      </c>
    </row>
    <row r="146" spans="2:28" x14ac:dyDescent="0.2">
      <c r="B146" s="215" t="s">
        <v>36</v>
      </c>
      <c r="C146" s="198">
        <v>0.44097222222222227</v>
      </c>
      <c r="D146" s="218">
        <f>48+D140</f>
        <v>284.5</v>
      </c>
      <c r="E146" s="120" t="s">
        <v>110</v>
      </c>
      <c r="F146" s="221">
        <f>(0.0585+0.0528+0.0569)/3</f>
        <v>5.6066666666666674E-2</v>
      </c>
      <c r="G146" s="224">
        <f>(0.0574+0.0504+0.055)/3</f>
        <v>5.4266666666666664E-2</v>
      </c>
      <c r="H146" s="69">
        <f>0.2709-F146</f>
        <v>0.21483333333333329</v>
      </c>
      <c r="I146" s="68">
        <f>0.2631-F146</f>
        <v>0.20703333333333332</v>
      </c>
      <c r="J146" s="68">
        <f>0.195-G146</f>
        <v>0.14073333333333335</v>
      </c>
      <c r="K146" s="68">
        <f>0.186-G146</f>
        <v>0.13173333333333334</v>
      </c>
      <c r="L146" s="267">
        <f t="shared" si="28"/>
        <v>2.1019394921663957E-2</v>
      </c>
      <c r="M146" s="267">
        <f t="shared" si="29"/>
        <v>2.0637709346299295E-2</v>
      </c>
      <c r="N146" s="68">
        <f t="shared" si="30"/>
        <v>2.0828552133981625E-2</v>
      </c>
      <c r="O146" s="58">
        <f>'Growth curves CeBER'!F70</f>
        <v>3.64</v>
      </c>
      <c r="P146" s="68">
        <f t="shared" si="31"/>
        <v>4.4895760000000005</v>
      </c>
      <c r="Q146" s="99">
        <f t="shared" si="43"/>
        <v>3.3671820000000002E-4</v>
      </c>
      <c r="R146" s="100">
        <f t="shared" si="32"/>
        <v>30.928759024581421</v>
      </c>
      <c r="S146" s="101"/>
      <c r="V146" s="70">
        <f t="shared" si="33"/>
        <v>138.85701422654418</v>
      </c>
      <c r="W146" s="102"/>
      <c r="X146" s="70"/>
      <c r="Y146" s="70"/>
      <c r="Z146" s="70">
        <f t="shared" si="38"/>
        <v>0.45957640734421479</v>
      </c>
      <c r="AA146" s="102"/>
      <c r="AB146" s="103"/>
    </row>
    <row r="147" spans="2:28" x14ac:dyDescent="0.2">
      <c r="B147" s="215"/>
      <c r="C147" s="198"/>
      <c r="D147" s="218"/>
      <c r="E147" s="120" t="s">
        <v>111</v>
      </c>
      <c r="F147" s="221"/>
      <c r="G147" s="224"/>
      <c r="H147" s="69">
        <f>0.27-F146</f>
        <v>0.21393333333333334</v>
      </c>
      <c r="I147" s="68">
        <f>0.2858-F146</f>
        <v>0.22973333333333332</v>
      </c>
      <c r="J147" s="68">
        <f>0.1792-G146</f>
        <v>0.12493333333333334</v>
      </c>
      <c r="K147" s="68">
        <f>0.1932-G146</f>
        <v>0.13893333333333335</v>
      </c>
      <c r="L147" s="267">
        <f t="shared" si="28"/>
        <v>2.2422798487304163E-2</v>
      </c>
      <c r="M147" s="267">
        <f t="shared" si="29"/>
        <v>2.3610804970286326E-2</v>
      </c>
      <c r="N147" s="68">
        <f t="shared" si="30"/>
        <v>2.3016801728795243E-2</v>
      </c>
      <c r="O147" s="58">
        <f>'Growth curves CeBER'!G70</f>
        <v>3.08</v>
      </c>
      <c r="P147" s="68">
        <f t="shared" si="31"/>
        <v>3.7988720000000002</v>
      </c>
      <c r="Q147" s="99">
        <f t="shared" si="43"/>
        <v>2.8491539999999998E-4</v>
      </c>
      <c r="R147" s="100">
        <f t="shared" si="32"/>
        <v>40.392344058613972</v>
      </c>
      <c r="S147" s="101"/>
      <c r="V147" s="70">
        <f t="shared" si="33"/>
        <v>153.445344858635</v>
      </c>
      <c r="W147" s="102"/>
      <c r="X147" s="70"/>
      <c r="Y147" s="70"/>
      <c r="Z147" s="70">
        <f>(V147-$V$114)/(D146-$D$113)</f>
        <v>0.51362805757080598</v>
      </c>
      <c r="AA147" s="102"/>
      <c r="AB147" s="103"/>
    </row>
    <row r="148" spans="2:28" x14ac:dyDescent="0.2">
      <c r="B148" s="216"/>
      <c r="C148" s="199"/>
      <c r="D148" s="219"/>
      <c r="E148" s="151" t="s">
        <v>112</v>
      </c>
      <c r="F148" s="222"/>
      <c r="G148" s="225"/>
      <c r="H148" s="73">
        <f>0.2406-F146</f>
        <v>0.18453333333333333</v>
      </c>
      <c r="I148" s="74">
        <f>0.2451-F146</f>
        <v>0.18903333333333333</v>
      </c>
      <c r="J148" s="74">
        <f>0.1758-G146</f>
        <v>0.12153333333333335</v>
      </c>
      <c r="K148" s="74">
        <f>0.1795-G146</f>
        <v>0.12523333333333334</v>
      </c>
      <c r="L148" s="267">
        <f t="shared" si="28"/>
        <v>1.7991193949216638E-2</v>
      </c>
      <c r="M148" s="267">
        <f t="shared" si="29"/>
        <v>1.8357725553754728E-2</v>
      </c>
      <c r="N148" s="74">
        <f t="shared" si="30"/>
        <v>1.8174459751485683E-2</v>
      </c>
      <c r="O148" s="71">
        <f>'Growth curves CeBER'!H70</f>
        <v>3</v>
      </c>
      <c r="P148" s="74">
        <f t="shared" si="31"/>
        <v>3.7002000000000002</v>
      </c>
      <c r="Q148" s="75">
        <f t="shared" si="43"/>
        <v>2.7751499999999999E-4</v>
      </c>
      <c r="R148" s="76">
        <f t="shared" si="32"/>
        <v>32.745004326767351</v>
      </c>
      <c r="S148" s="77">
        <f>AVERAGE(R146:R148)</f>
        <v>34.688702469987582</v>
      </c>
      <c r="T148" s="78">
        <f>STDEV(R146:R148)</f>
        <v>5.0222835720476864</v>
      </c>
      <c r="U148" s="78">
        <f>T148/SQRT(3)</f>
        <v>2.899616772268367</v>
      </c>
      <c r="V148" s="78">
        <f t="shared" si="33"/>
        <v>121.16306500990456</v>
      </c>
      <c r="W148" s="77">
        <f t="shared" si="35"/>
        <v>137.82180803169459</v>
      </c>
      <c r="X148" s="78">
        <f t="shared" si="36"/>
        <v>16.166017968483398</v>
      </c>
      <c r="Y148" s="78">
        <f t="shared" si="37"/>
        <v>9.3334548258282179</v>
      </c>
      <c r="Z148" s="78">
        <f>(V148-$V$115)/(D146-$D$113)</f>
        <v>0.40642080770159544</v>
      </c>
      <c r="AA148" s="77">
        <f t="shared" si="39"/>
        <v>0.45987509087220541</v>
      </c>
      <c r="AB148" s="135">
        <f t="shared" si="40"/>
        <v>3.0948427612278121E-2</v>
      </c>
    </row>
    <row r="149" spans="2:28" x14ac:dyDescent="0.2">
      <c r="B149" s="215" t="s">
        <v>37</v>
      </c>
      <c r="C149" s="198">
        <v>0.40277777777777773</v>
      </c>
      <c r="D149" s="218">
        <f>23+D146</f>
        <v>307.5</v>
      </c>
      <c r="E149" s="120" t="s">
        <v>110</v>
      </c>
      <c r="F149" s="221">
        <f>(0.0297+0.0354+0.0757)/3</f>
        <v>4.6933333333333334E-2</v>
      </c>
      <c r="G149" s="224">
        <f>(0.0296+0.0366+0.0726)/3</f>
        <v>4.6266666666666671E-2</v>
      </c>
      <c r="H149" s="69">
        <f>0.3687-F149</f>
        <v>0.3217666666666667</v>
      </c>
      <c r="I149" s="68">
        <f>0.3497-F149</f>
        <v>0.30276666666666668</v>
      </c>
      <c r="J149" s="68">
        <f>0.2534-G149</f>
        <v>0.20713333333333334</v>
      </c>
      <c r="K149" s="68">
        <f>0.2396-G149</f>
        <v>0.19333333333333333</v>
      </c>
      <c r="L149" s="267">
        <f t="shared" si="28"/>
        <v>3.1839708265802277E-2</v>
      </c>
      <c r="M149" s="267">
        <f t="shared" si="29"/>
        <v>3.0113452188006488E-2</v>
      </c>
      <c r="N149" s="68">
        <f t="shared" si="30"/>
        <v>3.0976580226904381E-2</v>
      </c>
      <c r="O149" s="58">
        <f>'Growth curves CeBER'!F72</f>
        <v>3.6720000000000002</v>
      </c>
      <c r="P149" s="68">
        <f t="shared" si="31"/>
        <v>4.5290448000000003</v>
      </c>
      <c r="Q149" s="99">
        <f t="shared" si="43"/>
        <v>3.3967836000000002E-4</v>
      </c>
      <c r="R149" s="100">
        <f t="shared" si="32"/>
        <v>45.596929146302372</v>
      </c>
      <c r="S149" s="101"/>
      <c r="V149" s="70">
        <f t="shared" si="33"/>
        <v>206.5105348460292</v>
      </c>
      <c r="W149" s="102"/>
      <c r="X149" s="70"/>
      <c r="Y149" s="70"/>
      <c r="Z149" s="70">
        <f t="shared" si="38"/>
        <v>0.6452130358013467</v>
      </c>
      <c r="AA149" s="102"/>
      <c r="AB149" s="103"/>
    </row>
    <row r="150" spans="2:28" x14ac:dyDescent="0.2">
      <c r="B150" s="215"/>
      <c r="C150" s="198"/>
      <c r="D150" s="218"/>
      <c r="E150" s="120" t="s">
        <v>111</v>
      </c>
      <c r="F150" s="221"/>
      <c r="G150" s="224"/>
      <c r="H150" s="69">
        <f>0.31-F149</f>
        <v>0.26306666666666667</v>
      </c>
      <c r="I150" s="68">
        <f>0.295-F149</f>
        <v>0.24806666666666666</v>
      </c>
      <c r="J150" s="68">
        <f>0.1998-G149</f>
        <v>0.15353333333333333</v>
      </c>
      <c r="K150" s="68">
        <f>0.188-G149</f>
        <v>0.14173333333333332</v>
      </c>
      <c r="L150" s="267">
        <f t="shared" si="28"/>
        <v>2.7581685575364671E-2</v>
      </c>
      <c r="M150" s="267">
        <f t="shared" si="29"/>
        <v>2.6307617504051868E-2</v>
      </c>
      <c r="N150" s="68">
        <f t="shared" si="30"/>
        <v>2.6944651539708271E-2</v>
      </c>
      <c r="O150" s="58">
        <f>'Growth curves CeBER'!G71</f>
        <v>3.1120000000000001</v>
      </c>
      <c r="P150" s="68">
        <f t="shared" si="31"/>
        <v>3.8383408000000001</v>
      </c>
      <c r="Q150" s="99">
        <f t="shared" si="43"/>
        <v>2.8787555999999998E-4</v>
      </c>
      <c r="R150" s="100">
        <f t="shared" si="32"/>
        <v>46.799130047212543</v>
      </c>
      <c r="S150" s="101"/>
      <c r="V150" s="70">
        <f t="shared" si="33"/>
        <v>179.63101026472182</v>
      </c>
      <c r="W150" s="102"/>
      <c r="X150" s="70"/>
      <c r="Y150" s="70"/>
      <c r="Z150" s="70">
        <f>(V150-$V$114)/(D149-$D$113)</f>
        <v>0.56036698466660528</v>
      </c>
      <c r="AA150" s="102"/>
      <c r="AB150" s="103"/>
    </row>
    <row r="151" spans="2:28" x14ac:dyDescent="0.2">
      <c r="B151" s="216"/>
      <c r="C151" s="199"/>
      <c r="D151" s="219"/>
      <c r="E151" s="151" t="s">
        <v>112</v>
      </c>
      <c r="F151" s="222"/>
      <c r="G151" s="225"/>
      <c r="H151" s="73">
        <f>0.2756-F149</f>
        <v>0.22866666666666668</v>
      </c>
      <c r="I151" s="74">
        <f>0.286-F149</f>
        <v>0.23906666666666665</v>
      </c>
      <c r="J151" s="74">
        <f>0.1933-G149</f>
        <v>0.14703333333333332</v>
      </c>
      <c r="K151" s="74">
        <f>0.2006-G149</f>
        <v>0.15433333333333332</v>
      </c>
      <c r="L151" s="267">
        <f t="shared" si="28"/>
        <v>2.2643679092382504E-2</v>
      </c>
      <c r="M151" s="267">
        <f t="shared" si="29"/>
        <v>2.3613452188006482E-2</v>
      </c>
      <c r="N151" s="74">
        <f t="shared" si="30"/>
        <v>2.3128565640194491E-2</v>
      </c>
      <c r="O151" s="71">
        <f>'Growth curves CeBER'!H71</f>
        <v>3.6640000000000001</v>
      </c>
      <c r="P151" s="74">
        <f t="shared" si="31"/>
        <v>4.5191776000000008</v>
      </c>
      <c r="Q151" s="75">
        <f t="shared" si="43"/>
        <v>3.3893832000000008E-4</v>
      </c>
      <c r="R151" s="76">
        <f t="shared" si="32"/>
        <v>34.119136544068674</v>
      </c>
      <c r="S151" s="77">
        <f>AVERAGE(R149:R151)</f>
        <v>42.171731912527861</v>
      </c>
      <c r="T151" s="78">
        <f>STDEV(R149:R151)</f>
        <v>6.9996100518268332</v>
      </c>
      <c r="U151" s="78">
        <f>T151/SQRT(3)</f>
        <v>4.0412267476446324</v>
      </c>
      <c r="V151" s="78">
        <f t="shared" si="33"/>
        <v>154.19043760129659</v>
      </c>
      <c r="W151" s="77">
        <f t="shared" si="35"/>
        <v>180.11066090401587</v>
      </c>
      <c r="X151" s="78">
        <f t="shared" si="36"/>
        <v>26.163346354707741</v>
      </c>
      <c r="Y151" s="78">
        <f t="shared" si="37"/>
        <v>15.105415060791929</v>
      </c>
      <c r="Z151" s="78">
        <f>(V151-$V$115)/(D149-$D$113)</f>
        <v>0.48342794270730388</v>
      </c>
      <c r="AA151" s="77">
        <f t="shared" si="39"/>
        <v>0.56300265439175201</v>
      </c>
      <c r="AB151" s="135">
        <f t="shared" si="40"/>
        <v>4.6721922595419248E-2</v>
      </c>
    </row>
    <row r="152" spans="2:28" x14ac:dyDescent="0.2">
      <c r="B152" s="215" t="s">
        <v>38</v>
      </c>
      <c r="C152" s="198">
        <v>0.5</v>
      </c>
      <c r="D152" s="218">
        <f>2.5+24+D149</f>
        <v>334</v>
      </c>
      <c r="E152" s="120" t="s">
        <v>110</v>
      </c>
      <c r="F152" s="221">
        <f>(0.0562+0.047+0.0465)/3</f>
        <v>4.99E-2</v>
      </c>
      <c r="G152" s="224">
        <f>(0.0534+0.0448+0.0441)/3</f>
        <v>4.7433333333333334E-2</v>
      </c>
      <c r="H152" s="69">
        <f>0.3376-F152</f>
        <v>0.28770000000000001</v>
      </c>
      <c r="I152" s="68">
        <f>0.3413-F152</f>
        <v>0.29139999999999999</v>
      </c>
      <c r="J152" s="68">
        <f>0.2485-G152</f>
        <v>0.20106666666666667</v>
      </c>
      <c r="K152" s="68">
        <f>0.2538-G152</f>
        <v>0.2063666666666667</v>
      </c>
      <c r="L152" s="267">
        <f t="shared" si="28"/>
        <v>2.6913236088600759E-2</v>
      </c>
      <c r="M152" s="267">
        <f t="shared" si="29"/>
        <v>2.6993219881145326E-2</v>
      </c>
      <c r="N152" s="68">
        <f t="shared" si="30"/>
        <v>2.6953227984873041E-2</v>
      </c>
      <c r="O152" s="68">
        <f>'Growth curves CeBER'!F72</f>
        <v>3.6720000000000002</v>
      </c>
      <c r="P152" s="68">
        <f t="shared" si="31"/>
        <v>4.5290448000000003</v>
      </c>
      <c r="Q152" s="99">
        <f t="shared" si="43"/>
        <v>3.3967836000000002E-4</v>
      </c>
      <c r="R152" s="100">
        <f t="shared" si="32"/>
        <v>39.674632179796554</v>
      </c>
      <c r="S152" s="101"/>
      <c r="V152" s="70">
        <f t="shared" si="33"/>
        <v>179.68818656582025</v>
      </c>
      <c r="W152" s="102"/>
      <c r="X152" s="70"/>
      <c r="Y152" s="70"/>
      <c r="Z152" s="70">
        <f t="shared" si="38"/>
        <v>0.51371455158294965</v>
      </c>
      <c r="AA152" s="102"/>
      <c r="AB152" s="103"/>
    </row>
    <row r="153" spans="2:28" x14ac:dyDescent="0.2">
      <c r="B153" s="215"/>
      <c r="C153" s="198"/>
      <c r="D153" s="218"/>
      <c r="E153" s="120" t="s">
        <v>111</v>
      </c>
      <c r="F153" s="221"/>
      <c r="G153" s="224"/>
      <c r="H153" s="69">
        <f>0.2867-F152</f>
        <v>0.23680000000000001</v>
      </c>
      <c r="I153" s="68">
        <f>0.2796-F152</f>
        <v>0.22970000000000002</v>
      </c>
      <c r="J153" s="68">
        <f>0.1927-G152</f>
        <v>0.14526666666666668</v>
      </c>
      <c r="K153" s="68">
        <f>0.1881-G152</f>
        <v>0.14066666666666666</v>
      </c>
      <c r="L153" s="267">
        <f t="shared" si="28"/>
        <v>2.4135116153430579E-2</v>
      </c>
      <c r="M153" s="267">
        <f t="shared" si="29"/>
        <v>2.3435440302539176E-2</v>
      </c>
      <c r="N153" s="68">
        <f t="shared" si="30"/>
        <v>2.3785278227984877E-2</v>
      </c>
      <c r="O153" s="58">
        <f>'Growth curves CeBER'!G72</f>
        <v>3.1920000000000002</v>
      </c>
      <c r="P153" s="68">
        <f t="shared" si="31"/>
        <v>3.9370128000000002</v>
      </c>
      <c r="Q153" s="99">
        <f t="shared" si="43"/>
        <v>2.9527596000000002E-4</v>
      </c>
      <c r="R153" s="100">
        <f t="shared" si="32"/>
        <v>40.276354072280178</v>
      </c>
      <c r="S153" s="101"/>
      <c r="V153" s="70">
        <f t="shared" si="33"/>
        <v>158.56852151989921</v>
      </c>
      <c r="W153" s="102"/>
      <c r="X153" s="70"/>
      <c r="Y153" s="70"/>
      <c r="Z153" s="70">
        <f>(V153-$V$114)/(D152-$D$113)</f>
        <v>0.45284538634777999</v>
      </c>
      <c r="AA153" s="102"/>
      <c r="AB153" s="103"/>
    </row>
    <row r="154" spans="2:28" x14ac:dyDescent="0.2">
      <c r="B154" s="216"/>
      <c r="C154" s="199"/>
      <c r="D154" s="219"/>
      <c r="E154" s="151" t="s">
        <v>112</v>
      </c>
      <c r="F154" s="222"/>
      <c r="G154" s="225"/>
      <c r="H154" s="73">
        <f>0.3379-F152</f>
        <v>0.28799999999999998</v>
      </c>
      <c r="I154" s="74">
        <f>0.382-F152</f>
        <v>0.33210000000000001</v>
      </c>
      <c r="J154" s="74">
        <f>0.2658-G152</f>
        <v>0.21836666666666665</v>
      </c>
      <c r="K154" s="74">
        <f>0.3085-G152</f>
        <v>0.26106666666666667</v>
      </c>
      <c r="L154" s="267">
        <f t="shared" si="28"/>
        <v>2.5265505132360887E-2</v>
      </c>
      <c r="M154" s="267">
        <f t="shared" si="29"/>
        <v>2.8226039978390061E-2</v>
      </c>
      <c r="N154" s="74">
        <f t="shared" si="30"/>
        <v>2.6745772555375476E-2</v>
      </c>
      <c r="O154" s="74">
        <f>'Growth curves CeBER'!H72</f>
        <v>3.7440000000000002</v>
      </c>
      <c r="P154" s="74">
        <f t="shared" si="31"/>
        <v>4.6178496000000004</v>
      </c>
      <c r="Q154" s="75">
        <f t="shared" si="43"/>
        <v>3.4633872000000007E-4</v>
      </c>
      <c r="R154" s="76">
        <f t="shared" si="32"/>
        <v>38.612160597255006</v>
      </c>
      <c r="S154" s="77">
        <f>AVERAGE(R152:R154)</f>
        <v>39.521048949777246</v>
      </c>
      <c r="T154" s="78">
        <f>STDEV(R152:R154)</f>
        <v>0.84265997708830476</v>
      </c>
      <c r="U154" s="78">
        <f>T154/SQRT(3)</f>
        <v>0.48650996460725665</v>
      </c>
      <c r="V154" s="78">
        <f t="shared" si="33"/>
        <v>178.30515036916981</v>
      </c>
      <c r="W154" s="77">
        <f t="shared" si="35"/>
        <v>172.18728615162976</v>
      </c>
      <c r="X154" s="78">
        <f t="shared" si="36"/>
        <v>11.81445131401232</v>
      </c>
      <c r="Y154" s="78">
        <f t="shared" si="37"/>
        <v>6.8210766464727417</v>
      </c>
      <c r="Z154" s="78">
        <f>(V154-$V$115)/(D152-$D$113)</f>
        <v>0.51727187170769207</v>
      </c>
      <c r="AA154" s="77">
        <f t="shared" si="39"/>
        <v>0.49461060321280725</v>
      </c>
      <c r="AB154" s="135">
        <f t="shared" si="40"/>
        <v>2.0907842519451422E-2</v>
      </c>
    </row>
    <row r="155" spans="2:28" x14ac:dyDescent="0.2">
      <c r="B155" s="215" t="s">
        <v>39</v>
      </c>
      <c r="C155" s="198">
        <v>0.53472222222222221</v>
      </c>
      <c r="D155" s="218">
        <f>25+D152</f>
        <v>359</v>
      </c>
      <c r="E155" s="120" t="s">
        <v>110</v>
      </c>
      <c r="F155" s="221">
        <f>(0.0558+0.049+0.0546)/3</f>
        <v>5.3133333333333338E-2</v>
      </c>
      <c r="G155" s="224">
        <f>(0.0538+0.0466+0.0518)/3</f>
        <v>5.0733333333333332E-2</v>
      </c>
      <c r="H155" s="68">
        <f>0.3194-F155</f>
        <v>0.26626666666666665</v>
      </c>
      <c r="I155" s="68">
        <f>0.2899-F155</f>
        <v>0.23676666666666665</v>
      </c>
      <c r="J155" s="68">
        <f>0.2303-G155</f>
        <v>0.17956666666666668</v>
      </c>
      <c r="K155" s="68">
        <f>0.2037-G155</f>
        <v>0.15296666666666667</v>
      </c>
      <c r="L155" s="267">
        <f t="shared" si="28"/>
        <v>2.5547622906537008E-2</v>
      </c>
      <c r="M155" s="267">
        <f t="shared" si="29"/>
        <v>2.3374689357104267E-2</v>
      </c>
      <c r="N155" s="68">
        <f t="shared" si="30"/>
        <v>2.4461156131820636E-2</v>
      </c>
      <c r="O155" s="58">
        <f>'Growth curves CeBER'!F73</f>
        <v>3.6840000000000002</v>
      </c>
      <c r="P155" s="68">
        <f t="shared" si="31"/>
        <v>4.5438456</v>
      </c>
      <c r="Q155" s="99">
        <f t="shared" si="43"/>
        <v>3.4078841999999997E-4</v>
      </c>
      <c r="R155" s="100">
        <f t="shared" si="32"/>
        <v>35.889065907551434</v>
      </c>
      <c r="S155" s="101"/>
      <c r="V155" s="70">
        <f t="shared" si="33"/>
        <v>163.0743742121376</v>
      </c>
      <c r="W155" s="102"/>
      <c r="X155" s="70"/>
      <c r="Y155" s="70"/>
      <c r="Z155" s="70">
        <f t="shared" si="38"/>
        <v>0.43166252889978418</v>
      </c>
      <c r="AA155" s="102"/>
      <c r="AB155" s="103"/>
    </row>
    <row r="156" spans="2:28" x14ac:dyDescent="0.2">
      <c r="B156" s="215"/>
      <c r="C156" s="198"/>
      <c r="D156" s="218"/>
      <c r="E156" s="120" t="s">
        <v>111</v>
      </c>
      <c r="F156" s="221"/>
      <c r="G156" s="224"/>
      <c r="H156" s="68">
        <f>0.2787-F155</f>
        <v>0.22556666666666667</v>
      </c>
      <c r="I156" s="68">
        <f>0.2901-F155</f>
        <v>0.23696666666666669</v>
      </c>
      <c r="J156" s="68">
        <f>0.1825-G155</f>
        <v>0.13176666666666667</v>
      </c>
      <c r="K156" s="68">
        <f>0.1911-G155</f>
        <v>0.14036666666666667</v>
      </c>
      <c r="L156" s="267">
        <f t="shared" si="28"/>
        <v>2.3638222582387899E-2</v>
      </c>
      <c r="M156" s="267">
        <f t="shared" si="29"/>
        <v>2.4642598595353865E-2</v>
      </c>
      <c r="N156" s="68">
        <f t="shared" si="30"/>
        <v>2.4140410588870884E-2</v>
      </c>
      <c r="O156" s="58">
        <f>'Growth curves CeBER'!G73</f>
        <v>3.48</v>
      </c>
      <c r="P156" s="68">
        <f t="shared" si="31"/>
        <v>4.2922320000000003</v>
      </c>
      <c r="Q156" s="99">
        <f t="shared" si="43"/>
        <v>3.2191740000000004E-4</v>
      </c>
      <c r="R156" s="100">
        <f t="shared" si="32"/>
        <v>37.494727822837291</v>
      </c>
      <c r="S156" s="101"/>
      <c r="V156" s="70">
        <f t="shared" si="33"/>
        <v>160.93607059247256</v>
      </c>
      <c r="W156" s="102"/>
      <c r="X156" s="70"/>
      <c r="Y156" s="70"/>
      <c r="Z156" s="70">
        <f>(V156-$V$114)/(D155-$D$113)</f>
        <v>0.42790503652571549</v>
      </c>
      <c r="AA156" s="102"/>
      <c r="AB156" s="103"/>
    </row>
    <row r="157" spans="2:28" x14ac:dyDescent="0.2">
      <c r="B157" s="216"/>
      <c r="C157" s="199"/>
      <c r="D157" s="219"/>
      <c r="E157" s="151" t="s">
        <v>112</v>
      </c>
      <c r="F157" s="222"/>
      <c r="G157" s="225"/>
      <c r="H157" s="74">
        <f>0.2906-F155</f>
        <v>0.23746666666666669</v>
      </c>
      <c r="I157" s="74">
        <f>0.3209-F155</f>
        <v>0.26776666666666671</v>
      </c>
      <c r="J157" s="74">
        <f>0.1916-G155</f>
        <v>0.14086666666666667</v>
      </c>
      <c r="K157" s="74">
        <f>0.2188-G155</f>
        <v>0.16806666666666667</v>
      </c>
      <c r="L157" s="267">
        <f t="shared" si="28"/>
        <v>2.4674608319827127E-2</v>
      </c>
      <c r="M157" s="267">
        <f t="shared" si="29"/>
        <v>2.6918368449486772E-2</v>
      </c>
      <c r="N157" s="74">
        <f t="shared" si="30"/>
        <v>2.5796488384656951E-2</v>
      </c>
      <c r="O157" s="71">
        <f>'Growth curves CeBER'!H73</f>
        <v>3.58</v>
      </c>
      <c r="P157" s="74">
        <f t="shared" si="31"/>
        <v>4.4155720000000001</v>
      </c>
      <c r="Q157" s="75">
        <f t="shared" si="43"/>
        <v>3.3116790000000003E-4</v>
      </c>
      <c r="R157" s="76">
        <f t="shared" si="32"/>
        <v>38.947748837760166</v>
      </c>
      <c r="S157" s="77">
        <f>AVERAGE(R155:R157)</f>
        <v>37.443847522716304</v>
      </c>
      <c r="T157" s="78">
        <f>STDEV(R155:R157)</f>
        <v>1.5299761176544133</v>
      </c>
      <c r="U157" s="78">
        <f>T157/SQRT(3)</f>
        <v>0.88333212338147415</v>
      </c>
      <c r="V157" s="78">
        <f t="shared" si="33"/>
        <v>171.97658923104635</v>
      </c>
      <c r="W157" s="77">
        <f t="shared" si="35"/>
        <v>165.32901134521885</v>
      </c>
      <c r="X157" s="78">
        <f t="shared" si="36"/>
        <v>5.8554081329635235</v>
      </c>
      <c r="Y157" s="78">
        <f t="shared" si="37"/>
        <v>3.3806214617816144</v>
      </c>
      <c r="Z157" s="78">
        <f>(V157-$V$115)/(D155-$D$113)</f>
        <v>0.46362184961628328</v>
      </c>
      <c r="AA157" s="77">
        <f t="shared" si="39"/>
        <v>0.44106313834726096</v>
      </c>
      <c r="AB157" s="135">
        <f t="shared" si="40"/>
        <v>1.1331391174147318E-2</v>
      </c>
    </row>
    <row r="158" spans="2:28" x14ac:dyDescent="0.2">
      <c r="B158" s="215" t="s">
        <v>40</v>
      </c>
      <c r="C158" s="198">
        <v>0.53472222222222221</v>
      </c>
      <c r="D158" s="218">
        <f>24+D155</f>
        <v>383</v>
      </c>
      <c r="E158" s="120" t="s">
        <v>110</v>
      </c>
      <c r="F158" s="221">
        <f>(0.057+0.0553+0.0547)/3</f>
        <v>5.566666666666667E-2</v>
      </c>
      <c r="G158" s="224">
        <f>(0.055+0.0533+0.0525)/3</f>
        <v>5.3600000000000002E-2</v>
      </c>
      <c r="H158" s="68">
        <f>0.2281-F158</f>
        <v>0.17243333333333333</v>
      </c>
      <c r="I158" s="68">
        <f>0.2292-F158</f>
        <v>0.17353333333333332</v>
      </c>
      <c r="J158" s="68">
        <f>0.1441-G158</f>
        <v>9.0499999999999997E-2</v>
      </c>
      <c r="K158" s="68">
        <f>0.1439-G158</f>
        <v>9.0299999999999991E-2</v>
      </c>
      <c r="L158" s="267">
        <f t="shared" si="28"/>
        <v>1.9073068611561318E-2</v>
      </c>
      <c r="M158" s="267">
        <f t="shared" si="29"/>
        <v>1.9270961642355481E-2</v>
      </c>
      <c r="N158" s="68">
        <f t="shared" si="30"/>
        <v>1.9172015126958399E-2</v>
      </c>
      <c r="O158" s="68">
        <f>'Growth curves CeBER'!F74</f>
        <v>3.6560000000000001</v>
      </c>
      <c r="P158" s="68">
        <f t="shared" si="31"/>
        <v>4.5093104000000004</v>
      </c>
      <c r="Q158" s="99">
        <f t="shared" si="43"/>
        <v>3.3819828000000002E-4</v>
      </c>
      <c r="R158" s="100">
        <f t="shared" si="32"/>
        <v>28.344341560457373</v>
      </c>
      <c r="S158" s="101"/>
      <c r="V158" s="70">
        <f t="shared" si="33"/>
        <v>127.81343417972268</v>
      </c>
      <c r="W158" s="102"/>
      <c r="X158" s="70"/>
      <c r="Y158" s="70"/>
      <c r="Z158" s="70">
        <f t="shared" si="38"/>
        <v>0.31254806225223919</v>
      </c>
      <c r="AA158" s="102"/>
      <c r="AB158" s="103"/>
    </row>
    <row r="159" spans="2:28" x14ac:dyDescent="0.2">
      <c r="B159" s="215"/>
      <c r="C159" s="198"/>
      <c r="D159" s="218"/>
      <c r="E159" s="120" t="s">
        <v>111</v>
      </c>
      <c r="F159" s="221"/>
      <c r="G159" s="224"/>
      <c r="H159" s="68">
        <f>0.214-F158</f>
        <v>0.15833333333333333</v>
      </c>
      <c r="I159" s="68">
        <f>0.2208-F158</f>
        <v>0.16513333333333333</v>
      </c>
      <c r="J159" s="68">
        <f>0.1429-G158</f>
        <v>8.929999999999999E-2</v>
      </c>
      <c r="K159" s="68">
        <f>0.1468-G158</f>
        <v>9.3200000000000005E-2</v>
      </c>
      <c r="L159" s="267">
        <f t="shared" si="28"/>
        <v>1.6905483522420314E-2</v>
      </c>
      <c r="M159" s="267">
        <f t="shared" si="29"/>
        <v>1.7625175580767153E-2</v>
      </c>
      <c r="N159" s="68">
        <f t="shared" si="30"/>
        <v>1.7265329551593732E-2</v>
      </c>
      <c r="O159" s="58">
        <f>'Growth curves CeBER'!G74</f>
        <v>3.512</v>
      </c>
      <c r="P159" s="68">
        <f t="shared" si="31"/>
        <v>4.3317008000000001</v>
      </c>
      <c r="Q159" s="99">
        <f t="shared" si="43"/>
        <v>3.2487755999999998E-4</v>
      </c>
      <c r="R159" s="100">
        <f t="shared" si="32"/>
        <v>26.572056179555357</v>
      </c>
      <c r="S159" s="101"/>
      <c r="V159" s="70">
        <f t="shared" si="33"/>
        <v>115.10219701062489</v>
      </c>
      <c r="W159" s="102"/>
      <c r="X159" s="70"/>
      <c r="Y159" s="70"/>
      <c r="Z159" s="70">
        <f>(V159-$V$114)/(D158-$D$113)</f>
        <v>0.28142045569421464</v>
      </c>
      <c r="AA159" s="102"/>
      <c r="AB159" s="103"/>
    </row>
    <row r="160" spans="2:28" x14ac:dyDescent="0.2">
      <c r="B160" s="216"/>
      <c r="C160" s="199"/>
      <c r="D160" s="219"/>
      <c r="E160" s="151" t="s">
        <v>112</v>
      </c>
      <c r="F160" s="222"/>
      <c r="G160" s="225"/>
      <c r="H160" s="74">
        <f>0.2186-F158</f>
        <v>0.16293333333333332</v>
      </c>
      <c r="I160" s="74">
        <f>0.2294-F158</f>
        <v>0.17373333333333332</v>
      </c>
      <c r="J160" s="74">
        <f>0.1405-G158</f>
        <v>8.6900000000000005E-2</v>
      </c>
      <c r="K160" s="74">
        <f>0.1492-G158</f>
        <v>9.5599999999999991E-2</v>
      </c>
      <c r="L160" s="267">
        <f t="shared" si="28"/>
        <v>1.7886358725013506E-2</v>
      </c>
      <c r="M160" s="267">
        <f t="shared" si="29"/>
        <v>1.8783684494867638E-2</v>
      </c>
      <c r="N160" s="74">
        <f t="shared" si="30"/>
        <v>1.833502160994057E-2</v>
      </c>
      <c r="O160" s="71">
        <f>'Growth curves CeBER'!H74</f>
        <v>3.6040000000000001</v>
      </c>
      <c r="P160" s="74">
        <f t="shared" si="31"/>
        <v>4.4451736000000004</v>
      </c>
      <c r="Q160" s="75">
        <f t="shared" si="43"/>
        <v>3.3338802000000003E-4</v>
      </c>
      <c r="R160" s="76">
        <f t="shared" si="32"/>
        <v>27.498021089570898</v>
      </c>
      <c r="S160" s="77">
        <f>AVERAGE(R158:R160)</f>
        <v>27.471472943194541</v>
      </c>
      <c r="T160" s="78">
        <f>STDEV(R158:R160)</f>
        <v>0.88644090096112227</v>
      </c>
      <c r="U160" s="78">
        <f>T160/SQRT(3)</f>
        <v>0.51178689279059841</v>
      </c>
      <c r="V160" s="78">
        <f t="shared" si="33"/>
        <v>122.2334773996038</v>
      </c>
      <c r="W160" s="77">
        <f t="shared" si="35"/>
        <v>121.71636952998379</v>
      </c>
      <c r="X160" s="78">
        <f t="shared" si="36"/>
        <v>6.3713764606935976</v>
      </c>
      <c r="Y160" s="78">
        <f t="shared" si="37"/>
        <v>3.678515914689894</v>
      </c>
      <c r="Z160" s="78">
        <f>(V160-$V$115)/(D158-$D$113)</f>
        <v>0.30469225112481241</v>
      </c>
      <c r="AA160" s="77">
        <f t="shared" si="39"/>
        <v>0.29955358969042206</v>
      </c>
      <c r="AB160" s="135">
        <f t="shared" si="40"/>
        <v>9.3458788334887851E-3</v>
      </c>
    </row>
    <row r="161" spans="1:28" x14ac:dyDescent="0.2">
      <c r="B161" s="215" t="s">
        <v>41</v>
      </c>
      <c r="C161" s="198">
        <v>0.4861111111111111</v>
      </c>
      <c r="D161" s="218">
        <f>22.5+D158</f>
        <v>405.5</v>
      </c>
      <c r="E161" s="120" t="s">
        <v>110</v>
      </c>
      <c r="F161" s="221">
        <f>(0.0541+0.0513+0.0497)/3</f>
        <v>5.1699999999999996E-2</v>
      </c>
      <c r="G161" s="224">
        <f>(0.0519+0.0481+0.0478)/3</f>
        <v>4.9266666666666674E-2</v>
      </c>
      <c r="H161" s="68">
        <f>0.3688-F161</f>
        <v>0.31710000000000005</v>
      </c>
      <c r="I161" s="68">
        <f>0.3542-F161</f>
        <v>0.30249999999999999</v>
      </c>
      <c r="J161" s="68">
        <f>0.2361-G161</f>
        <v>0.18683333333333332</v>
      </c>
      <c r="K161" s="68">
        <f>0.2295-G161</f>
        <v>0.18023333333333333</v>
      </c>
      <c r="L161" s="267">
        <f t="shared" si="28"/>
        <v>3.3073878984332804E-2</v>
      </c>
      <c r="M161" s="267">
        <f t="shared" si="29"/>
        <v>3.1354754186925987E-2</v>
      </c>
      <c r="N161" s="68">
        <f t="shared" si="30"/>
        <v>3.2214316585629399E-2</v>
      </c>
      <c r="O161" s="68">
        <f>'Growth curves CeBER'!F75</f>
        <v>3.6640000000000001</v>
      </c>
      <c r="P161" s="68">
        <f t="shared" si="31"/>
        <v>4.5191776000000008</v>
      </c>
      <c r="Q161" s="99">
        <f t="shared" si="43"/>
        <v>3.3893832000000008E-4</v>
      </c>
      <c r="R161" s="100">
        <f t="shared" si="32"/>
        <v>47.522387828011588</v>
      </c>
      <c r="S161" s="101"/>
      <c r="V161" s="70">
        <f t="shared" si="33"/>
        <v>214.76211057086266</v>
      </c>
      <c r="W161" s="102"/>
      <c r="X161" s="70"/>
      <c r="Y161" s="70"/>
      <c r="Z161" s="70">
        <f t="shared" si="38"/>
        <v>0.5096290609956784</v>
      </c>
      <c r="AA161" s="102"/>
      <c r="AB161" s="103"/>
    </row>
    <row r="162" spans="1:28" ht="15" customHeight="1" x14ac:dyDescent="0.2">
      <c r="B162" s="215"/>
      <c r="C162" s="198"/>
      <c r="D162" s="218"/>
      <c r="E162" s="120" t="s">
        <v>111</v>
      </c>
      <c r="F162" s="221"/>
      <c r="G162" s="224"/>
      <c r="H162" s="68">
        <f>0.3267-F161</f>
        <v>0.27500000000000002</v>
      </c>
      <c r="I162" s="68">
        <f>0.3372-F161</f>
        <v>0.28549999999999998</v>
      </c>
      <c r="J162" s="68">
        <f>0.2317-G161</f>
        <v>0.18243333333333331</v>
      </c>
      <c r="K162" s="68">
        <f>0.238-G161</f>
        <v>0.18873333333333331</v>
      </c>
      <c r="L162" s="267">
        <f t="shared" si="28"/>
        <v>2.6681982712047546E-2</v>
      </c>
      <c r="M162" s="267">
        <f t="shared" si="29"/>
        <v>2.776601836844949E-2</v>
      </c>
      <c r="N162" s="68">
        <f t="shared" si="30"/>
        <v>2.7224000540248518E-2</v>
      </c>
      <c r="O162" s="58">
        <f>'Growth curves CeBER'!G75</f>
        <v>3.6240000000000001</v>
      </c>
      <c r="P162" s="68">
        <f t="shared" si="31"/>
        <v>4.4698416000000005</v>
      </c>
      <c r="Q162" s="99">
        <f t="shared" si="43"/>
        <v>3.3523812000000003E-4</v>
      </c>
      <c r="R162" s="100">
        <f t="shared" si="32"/>
        <v>40.603975079338404</v>
      </c>
      <c r="S162" s="101"/>
      <c r="V162" s="70">
        <f t="shared" si="33"/>
        <v>181.49333693499011</v>
      </c>
      <c r="W162" s="102"/>
      <c r="X162" s="70"/>
      <c r="Y162" s="70"/>
      <c r="Z162" s="70">
        <f>(V162-$V$114)/(D161-$D$113)</f>
        <v>0.42953187288594186</v>
      </c>
      <c r="AA162" s="102"/>
      <c r="AB162" s="103"/>
    </row>
    <row r="163" spans="1:28" ht="16" customHeight="1" thickBot="1" x14ac:dyDescent="0.25">
      <c r="A163" s="123"/>
      <c r="B163" s="230"/>
      <c r="C163" s="232"/>
      <c r="D163" s="231"/>
      <c r="E163" s="152" t="s">
        <v>112</v>
      </c>
      <c r="F163" s="234"/>
      <c r="G163" s="233"/>
      <c r="H163" s="93">
        <f>0.2979-F161</f>
        <v>0.2462</v>
      </c>
      <c r="I163" s="93">
        <f>0.3212-F161</f>
        <v>0.26949999999999996</v>
      </c>
      <c r="J163" s="93">
        <f>0.2193-G161</f>
        <v>0.17003333333333331</v>
      </c>
      <c r="K163" s="93">
        <f>0.2371-G161</f>
        <v>0.18783333333333332</v>
      </c>
      <c r="L163" s="93">
        <f>(H163-(0.605*J163))/6.17</f>
        <v>2.3230118854673153E-2</v>
      </c>
      <c r="M163" s="93">
        <f>(I163-(0.605*K163))/6.17</f>
        <v>2.5261075094543485E-2</v>
      </c>
      <c r="N163" s="93">
        <f t="shared" si="30"/>
        <v>2.4245596974608319E-2</v>
      </c>
      <c r="O163" s="92">
        <f>'Growth curves CeBER'!H75</f>
        <v>3.8359999999999999</v>
      </c>
      <c r="P163" s="93">
        <f t="shared" si="31"/>
        <v>4.7313223999999998</v>
      </c>
      <c r="Q163" s="94">
        <f t="shared" si="43"/>
        <v>3.5484918E-4</v>
      </c>
      <c r="R163" s="95">
        <f t="shared" si="32"/>
        <v>34.163242218297249</v>
      </c>
      <c r="S163" s="96">
        <f>AVERAGE(R161:R163)</f>
        <v>40.763201708549083</v>
      </c>
      <c r="T163" s="97">
        <f>STDEV(R161:R163)</f>
        <v>6.6809960106988475</v>
      </c>
      <c r="U163" s="97">
        <f>T163/SQRT(3)</f>
        <v>3.8572748452317955</v>
      </c>
      <c r="V163" s="97">
        <f t="shared" si="33"/>
        <v>161.63731316405546</v>
      </c>
      <c r="W163" s="96">
        <f t="shared" si="35"/>
        <v>185.96425355663609</v>
      </c>
      <c r="X163" s="97">
        <f t="shared" si="36"/>
        <v>26.843115438727331</v>
      </c>
      <c r="Y163" s="97">
        <f t="shared" si="37"/>
        <v>15.497879924437425</v>
      </c>
      <c r="Z163" s="97">
        <f>(V163-$V$115)/(D161-$D$113)</f>
        <v>0.38495923044452479</v>
      </c>
      <c r="AA163" s="96">
        <f t="shared" si="39"/>
        <v>0.44137338810871501</v>
      </c>
      <c r="AB163" s="104">
        <f t="shared" si="40"/>
        <v>3.6472856457424513E-2</v>
      </c>
    </row>
  </sheetData>
  <mergeCells count="276">
    <mergeCell ref="AD3:AH3"/>
    <mergeCell ref="D161:D163"/>
    <mergeCell ref="C152:C154"/>
    <mergeCell ref="C155:C157"/>
    <mergeCell ref="C158:C160"/>
    <mergeCell ref="C161:C163"/>
    <mergeCell ref="C149:C151"/>
    <mergeCell ref="D149:D151"/>
    <mergeCell ref="D152:D154"/>
    <mergeCell ref="D155:D157"/>
    <mergeCell ref="D158:D160"/>
    <mergeCell ref="D101:D103"/>
    <mergeCell ref="C101:C103"/>
    <mergeCell ref="C104:C106"/>
    <mergeCell ref="D104:D106"/>
    <mergeCell ref="D107:D109"/>
    <mergeCell ref="C107:C109"/>
    <mergeCell ref="C92:C94"/>
    <mergeCell ref="D92:D94"/>
    <mergeCell ref="D95:D97"/>
    <mergeCell ref="C95:C97"/>
    <mergeCell ref="C98:C100"/>
    <mergeCell ref="D98:D100"/>
    <mergeCell ref="C83:C85"/>
    <mergeCell ref="D83:D85"/>
    <mergeCell ref="D86:D88"/>
    <mergeCell ref="C86:C88"/>
    <mergeCell ref="C89:C91"/>
    <mergeCell ref="D89:D91"/>
    <mergeCell ref="C74:C76"/>
    <mergeCell ref="D74:D76"/>
    <mergeCell ref="C77:C79"/>
    <mergeCell ref="D77:D79"/>
    <mergeCell ref="C80:C82"/>
    <mergeCell ref="D80:D82"/>
    <mergeCell ref="B104:B106"/>
    <mergeCell ref="B107:B109"/>
    <mergeCell ref="B80:B82"/>
    <mergeCell ref="B83:B85"/>
    <mergeCell ref="B86:B88"/>
    <mergeCell ref="B89:B91"/>
    <mergeCell ref="B92:B94"/>
    <mergeCell ref="B65:B67"/>
    <mergeCell ref="B68:B70"/>
    <mergeCell ref="B71:B73"/>
    <mergeCell ref="B74:B76"/>
    <mergeCell ref="B77:B79"/>
    <mergeCell ref="B161:B163"/>
    <mergeCell ref="F158:F160"/>
    <mergeCell ref="G158:G160"/>
    <mergeCell ref="F161:F163"/>
    <mergeCell ref="G161:G163"/>
    <mergeCell ref="B113:B115"/>
    <mergeCell ref="B116:B118"/>
    <mergeCell ref="B119:B121"/>
    <mergeCell ref="B122:B124"/>
    <mergeCell ref="B125:B127"/>
    <mergeCell ref="B128:B130"/>
    <mergeCell ref="B131:B133"/>
    <mergeCell ref="B134:B136"/>
    <mergeCell ref="B137:B139"/>
    <mergeCell ref="B140:B142"/>
    <mergeCell ref="B143:B145"/>
    <mergeCell ref="B146:B148"/>
    <mergeCell ref="F149:F151"/>
    <mergeCell ref="G149:G151"/>
    <mergeCell ref="F152:F154"/>
    <mergeCell ref="G152:G154"/>
    <mergeCell ref="F155:F157"/>
    <mergeCell ref="G155:G157"/>
    <mergeCell ref="B149:B151"/>
    <mergeCell ref="F146:F148"/>
    <mergeCell ref="G146:G148"/>
    <mergeCell ref="F131:F133"/>
    <mergeCell ref="G131:G133"/>
    <mergeCell ref="F134:F136"/>
    <mergeCell ref="G134:G136"/>
    <mergeCell ref="F137:F139"/>
    <mergeCell ref="G137:G139"/>
    <mergeCell ref="B158:B160"/>
    <mergeCell ref="B152:B154"/>
    <mergeCell ref="B155:B157"/>
    <mergeCell ref="D140:D142"/>
    <mergeCell ref="C140:C142"/>
    <mergeCell ref="C143:C145"/>
    <mergeCell ref="D143:D145"/>
    <mergeCell ref="D146:D148"/>
    <mergeCell ref="C146:C148"/>
    <mergeCell ref="C131:C133"/>
    <mergeCell ref="D131:D133"/>
    <mergeCell ref="D134:D136"/>
    <mergeCell ref="C134:C136"/>
    <mergeCell ref="C137:C139"/>
    <mergeCell ref="D137:D139"/>
    <mergeCell ref="B110:AB110"/>
    <mergeCell ref="H111:I111"/>
    <mergeCell ref="J111:K111"/>
    <mergeCell ref="L111:M111"/>
    <mergeCell ref="F107:F109"/>
    <mergeCell ref="G107:G109"/>
    <mergeCell ref="F140:F142"/>
    <mergeCell ref="G140:G142"/>
    <mergeCell ref="F143:F145"/>
    <mergeCell ref="G143:G145"/>
    <mergeCell ref="C122:C124"/>
    <mergeCell ref="D122:D124"/>
    <mergeCell ref="D125:D127"/>
    <mergeCell ref="C125:C127"/>
    <mergeCell ref="C128:C130"/>
    <mergeCell ref="D128:D130"/>
    <mergeCell ref="D113:D115"/>
    <mergeCell ref="C113:C115"/>
    <mergeCell ref="C116:C118"/>
    <mergeCell ref="D116:D118"/>
    <mergeCell ref="D119:D121"/>
    <mergeCell ref="C119:C121"/>
    <mergeCell ref="F122:F124"/>
    <mergeCell ref="G122:G124"/>
    <mergeCell ref="F125:F127"/>
    <mergeCell ref="G125:G127"/>
    <mergeCell ref="F128:F130"/>
    <mergeCell ref="G128:G130"/>
    <mergeCell ref="F113:F115"/>
    <mergeCell ref="G113:G115"/>
    <mergeCell ref="F116:F118"/>
    <mergeCell ref="G116:G118"/>
    <mergeCell ref="F119:F121"/>
    <mergeCell ref="G119:G121"/>
    <mergeCell ref="F44:F46"/>
    <mergeCell ref="F83:F85"/>
    <mergeCell ref="G83:G85"/>
    <mergeCell ref="F86:F88"/>
    <mergeCell ref="G86:G88"/>
    <mergeCell ref="F89:F91"/>
    <mergeCell ref="G89:G91"/>
    <mergeCell ref="F74:F76"/>
    <mergeCell ref="G74:G76"/>
    <mergeCell ref="F77:F79"/>
    <mergeCell ref="G77:G79"/>
    <mergeCell ref="F80:F82"/>
    <mergeCell ref="G80:G82"/>
    <mergeCell ref="B56:AB56"/>
    <mergeCell ref="H57:I57"/>
    <mergeCell ref="J57:K57"/>
    <mergeCell ref="L57:M57"/>
    <mergeCell ref="H58:I58"/>
    <mergeCell ref="J58:K58"/>
    <mergeCell ref="L58:M58"/>
    <mergeCell ref="C59:C61"/>
    <mergeCell ref="D59:D61"/>
    <mergeCell ref="F59:F61"/>
    <mergeCell ref="G59:G61"/>
    <mergeCell ref="B41:B43"/>
    <mergeCell ref="C41:C43"/>
    <mergeCell ref="D41:D43"/>
    <mergeCell ref="F65:F67"/>
    <mergeCell ref="G65:G67"/>
    <mergeCell ref="F68:F70"/>
    <mergeCell ref="G68:G70"/>
    <mergeCell ref="F71:F73"/>
    <mergeCell ref="G71:G73"/>
    <mergeCell ref="B44:B46"/>
    <mergeCell ref="B47:B49"/>
    <mergeCell ref="B50:B52"/>
    <mergeCell ref="B53:B55"/>
    <mergeCell ref="B59:B61"/>
    <mergeCell ref="D44:D46"/>
    <mergeCell ref="D47:D49"/>
    <mergeCell ref="D50:D52"/>
    <mergeCell ref="D53:D55"/>
    <mergeCell ref="C53:C55"/>
    <mergeCell ref="C50:C52"/>
    <mergeCell ref="C47:C49"/>
    <mergeCell ref="C44:C46"/>
    <mergeCell ref="G53:G55"/>
    <mergeCell ref="F53:F55"/>
    <mergeCell ref="B29:B31"/>
    <mergeCell ref="C29:C31"/>
    <mergeCell ref="D29:D31"/>
    <mergeCell ref="F35:F37"/>
    <mergeCell ref="G35:G37"/>
    <mergeCell ref="G38:G40"/>
    <mergeCell ref="F38:F40"/>
    <mergeCell ref="D38:D40"/>
    <mergeCell ref="C32:C34"/>
    <mergeCell ref="B32:B34"/>
    <mergeCell ref="B35:B37"/>
    <mergeCell ref="C35:C37"/>
    <mergeCell ref="D35:D37"/>
    <mergeCell ref="C38:C40"/>
    <mergeCell ref="B38:B40"/>
    <mergeCell ref="H112:I112"/>
    <mergeCell ref="J112:K112"/>
    <mergeCell ref="L112:M112"/>
    <mergeCell ref="F23:F25"/>
    <mergeCell ref="G23:G25"/>
    <mergeCell ref="G26:G28"/>
    <mergeCell ref="F26:F28"/>
    <mergeCell ref="D26:D28"/>
    <mergeCell ref="C20:C22"/>
    <mergeCell ref="C23:C25"/>
    <mergeCell ref="D23:D25"/>
    <mergeCell ref="F29:F31"/>
    <mergeCell ref="G29:G31"/>
    <mergeCell ref="G32:G34"/>
    <mergeCell ref="F32:F34"/>
    <mergeCell ref="D32:D34"/>
    <mergeCell ref="C26:C28"/>
    <mergeCell ref="F41:F43"/>
    <mergeCell ref="G41:G43"/>
    <mergeCell ref="G44:G46"/>
    <mergeCell ref="G47:G49"/>
    <mergeCell ref="G50:G52"/>
    <mergeCell ref="F50:F52"/>
    <mergeCell ref="F47:F49"/>
    <mergeCell ref="G20:G22"/>
    <mergeCell ref="F20:F22"/>
    <mergeCell ref="D20:D22"/>
    <mergeCell ref="B20:B22"/>
    <mergeCell ref="B23:B25"/>
    <mergeCell ref="B26:B28"/>
    <mergeCell ref="F11:F13"/>
    <mergeCell ref="B5:B7"/>
    <mergeCell ref="C5:C7"/>
    <mergeCell ref="D5:D7"/>
    <mergeCell ref="F5:F7"/>
    <mergeCell ref="G5:G7"/>
    <mergeCell ref="G8:G10"/>
    <mergeCell ref="F8:F10"/>
    <mergeCell ref="D8:D10"/>
    <mergeCell ref="C8:C10"/>
    <mergeCell ref="B8:B10"/>
    <mergeCell ref="G11:G13"/>
    <mergeCell ref="G14:G16"/>
    <mergeCell ref="F14:F16"/>
    <mergeCell ref="D14:D16"/>
    <mergeCell ref="C14:C16"/>
    <mergeCell ref="B14:B16"/>
    <mergeCell ref="B17:B19"/>
    <mergeCell ref="G62:G64"/>
    <mergeCell ref="F62:F64"/>
    <mergeCell ref="D62:D64"/>
    <mergeCell ref="C62:C64"/>
    <mergeCell ref="B62:B64"/>
    <mergeCell ref="F101:F103"/>
    <mergeCell ref="G101:G103"/>
    <mergeCell ref="F104:F106"/>
    <mergeCell ref="G104:G106"/>
    <mergeCell ref="F92:F94"/>
    <mergeCell ref="G92:G94"/>
    <mergeCell ref="F95:F97"/>
    <mergeCell ref="G95:G97"/>
    <mergeCell ref="F98:F100"/>
    <mergeCell ref="G98:G100"/>
    <mergeCell ref="C65:C67"/>
    <mergeCell ref="D65:D67"/>
    <mergeCell ref="C68:C70"/>
    <mergeCell ref="D68:D70"/>
    <mergeCell ref="D71:D73"/>
    <mergeCell ref="C71:C73"/>
    <mergeCell ref="B95:B97"/>
    <mergeCell ref="B98:B100"/>
    <mergeCell ref="B101:B103"/>
    <mergeCell ref="C17:C19"/>
    <mergeCell ref="A1:AB1"/>
    <mergeCell ref="B2:AB2"/>
    <mergeCell ref="L4:M4"/>
    <mergeCell ref="H3:I3"/>
    <mergeCell ref="J3:K3"/>
    <mergeCell ref="L3:M3"/>
    <mergeCell ref="B11:B13"/>
    <mergeCell ref="C11:C13"/>
    <mergeCell ref="D11:D13"/>
    <mergeCell ref="D17:D19"/>
    <mergeCell ref="F17:F19"/>
    <mergeCell ref="G17:G19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C0860-8FA3-F04E-8126-ECA7D0A8A55C}">
  <dimension ref="A1:AL228"/>
  <sheetViews>
    <sheetView zoomScaleNormal="100" workbookViewId="0">
      <selection sqref="A1:AB1"/>
    </sheetView>
  </sheetViews>
  <sheetFormatPr baseColWidth="10" defaultColWidth="9.1640625" defaultRowHeight="13" x14ac:dyDescent="0.2"/>
  <cols>
    <col min="1" max="1" width="85.6640625" style="58" customWidth="1"/>
    <col min="2" max="2" width="9.83203125" style="58" customWidth="1"/>
    <col min="3" max="3" width="9.5" style="58" customWidth="1"/>
    <col min="4" max="4" width="11.5" style="58" bestFit="1" customWidth="1"/>
    <col min="5" max="7" width="11.5" style="58" customWidth="1"/>
    <col min="8" max="8" width="9.83203125" style="58" customWidth="1"/>
    <col min="9" max="11" width="9.6640625" style="58" customWidth="1"/>
    <col min="12" max="15" width="9.1640625" style="58"/>
    <col min="16" max="16" width="12.1640625" style="58" customWidth="1"/>
    <col min="17" max="17" width="11.83203125" style="58" customWidth="1"/>
    <col min="18" max="18" width="11.6640625" style="58" bestFit="1" customWidth="1"/>
    <col min="19" max="19" width="9.1640625" style="58"/>
    <col min="20" max="21" width="9.5" style="58" bestFit="1" customWidth="1"/>
    <col min="22" max="25" width="9.5" style="58" customWidth="1"/>
    <col min="26" max="26" width="9.6640625" style="58" customWidth="1"/>
    <col min="27" max="27" width="9.5" style="58" customWidth="1"/>
    <col min="28" max="30" width="9.1640625" style="58"/>
    <col min="31" max="31" width="11.83203125" style="58" customWidth="1"/>
    <col min="32" max="16384" width="9.1640625" style="58"/>
  </cols>
  <sheetData>
    <row r="1" spans="1:38" ht="17" thickBot="1" x14ac:dyDescent="0.25">
      <c r="A1" s="200" t="s">
        <v>93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  <c r="U1" s="201"/>
      <c r="V1" s="201"/>
      <c r="W1" s="201"/>
      <c r="X1" s="201"/>
      <c r="Y1" s="201"/>
      <c r="Z1" s="201"/>
      <c r="AA1" s="201"/>
      <c r="AB1" s="202"/>
    </row>
    <row r="2" spans="1:38" ht="15" thickBot="1" x14ac:dyDescent="0.25">
      <c r="A2" s="98"/>
      <c r="B2" s="203" t="s">
        <v>65</v>
      </c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204"/>
      <c r="U2" s="204"/>
      <c r="V2" s="204"/>
      <c r="W2" s="204"/>
      <c r="X2" s="204"/>
      <c r="Y2" s="204"/>
      <c r="Z2" s="204"/>
      <c r="AA2" s="204"/>
      <c r="AB2" s="205"/>
    </row>
    <row r="3" spans="1:38" ht="47" customHeight="1" x14ac:dyDescent="0.2">
      <c r="A3" s="66"/>
      <c r="B3" s="105" t="s">
        <v>0</v>
      </c>
      <c r="C3" s="106" t="s">
        <v>1</v>
      </c>
      <c r="D3" s="140" t="s">
        <v>2</v>
      </c>
      <c r="E3" s="149"/>
      <c r="F3" s="148" t="s">
        <v>14</v>
      </c>
      <c r="G3" s="106" t="s">
        <v>15</v>
      </c>
      <c r="H3" s="208" t="s">
        <v>75</v>
      </c>
      <c r="I3" s="209"/>
      <c r="J3" s="210" t="s">
        <v>76</v>
      </c>
      <c r="K3" s="211"/>
      <c r="L3" s="212" t="s">
        <v>77</v>
      </c>
      <c r="M3" s="213"/>
      <c r="N3" s="107" t="s">
        <v>78</v>
      </c>
      <c r="O3" s="108" t="s">
        <v>79</v>
      </c>
      <c r="P3" s="107" t="s">
        <v>16</v>
      </c>
      <c r="Q3" s="107" t="s">
        <v>17</v>
      </c>
      <c r="R3" s="107" t="s">
        <v>80</v>
      </c>
      <c r="S3" s="107" t="s">
        <v>81</v>
      </c>
      <c r="T3" s="107" t="s">
        <v>82</v>
      </c>
      <c r="U3" s="109" t="s">
        <v>56</v>
      </c>
      <c r="V3" s="108" t="s">
        <v>83</v>
      </c>
      <c r="W3" s="107" t="s">
        <v>84</v>
      </c>
      <c r="X3" s="107" t="s">
        <v>82</v>
      </c>
      <c r="Y3" s="59" t="s">
        <v>56</v>
      </c>
      <c r="Z3" s="59" t="s">
        <v>72</v>
      </c>
      <c r="AA3" s="107" t="s">
        <v>73</v>
      </c>
      <c r="AB3" s="110" t="s">
        <v>56</v>
      </c>
      <c r="AD3" s="226" t="s">
        <v>115</v>
      </c>
      <c r="AE3" s="226"/>
      <c r="AF3" s="226"/>
      <c r="AG3" s="226"/>
      <c r="AH3" s="226"/>
    </row>
    <row r="4" spans="1:38" ht="37" customHeight="1" x14ac:dyDescent="0.2">
      <c r="A4" s="66"/>
      <c r="B4" s="60"/>
      <c r="C4" s="61"/>
      <c r="D4" s="63"/>
      <c r="E4" s="150"/>
      <c r="F4" s="138" t="s">
        <v>19</v>
      </c>
      <c r="G4" s="61" t="s">
        <v>19</v>
      </c>
      <c r="H4" s="228" t="s">
        <v>19</v>
      </c>
      <c r="I4" s="206"/>
      <c r="J4" s="229" t="s">
        <v>19</v>
      </c>
      <c r="K4" s="207"/>
      <c r="L4" s="206" t="s">
        <v>20</v>
      </c>
      <c r="M4" s="207"/>
      <c r="N4" s="64" t="s">
        <v>20</v>
      </c>
      <c r="O4" s="64" t="s">
        <v>19</v>
      </c>
      <c r="P4" s="64" t="s">
        <v>21</v>
      </c>
      <c r="Q4" s="64" t="s">
        <v>22</v>
      </c>
      <c r="R4" s="65" t="s">
        <v>85</v>
      </c>
      <c r="S4" s="65" t="s">
        <v>85</v>
      </c>
      <c r="T4" s="64"/>
      <c r="U4" s="63"/>
      <c r="V4" s="65" t="s">
        <v>86</v>
      </c>
      <c r="W4" s="65" t="s">
        <v>86</v>
      </c>
      <c r="X4" s="64"/>
      <c r="Y4" s="64"/>
      <c r="Z4" s="65" t="s">
        <v>74</v>
      </c>
      <c r="AA4" s="65" t="s">
        <v>74</v>
      </c>
      <c r="AB4" s="62"/>
      <c r="AD4" s="58" t="s">
        <v>2</v>
      </c>
      <c r="AE4" s="111" t="str">
        <f>S3</f>
        <v>Average specific CPC conc.</v>
      </c>
      <c r="AF4" s="58" t="s">
        <v>18</v>
      </c>
      <c r="AG4" s="111" t="str">
        <f>W3</f>
        <v>Average total CPC</v>
      </c>
      <c r="AH4" s="58" t="s">
        <v>18</v>
      </c>
    </row>
    <row r="5" spans="1:38" x14ac:dyDescent="0.15">
      <c r="A5" s="66"/>
      <c r="B5" s="215" t="s">
        <v>8</v>
      </c>
      <c r="C5" s="198">
        <v>0.47916666666666669</v>
      </c>
      <c r="D5" s="226">
        <v>0</v>
      </c>
      <c r="E5" s="120" t="s">
        <v>110</v>
      </c>
      <c r="F5" s="238">
        <v>5.45E-2</v>
      </c>
      <c r="G5" s="224">
        <v>5.1400000000000001E-2</v>
      </c>
      <c r="H5" s="69">
        <f>0.3302-F5</f>
        <v>0.2757</v>
      </c>
      <c r="I5" s="68">
        <f>0.3288-F5</f>
        <v>0.27429999999999999</v>
      </c>
      <c r="J5" s="68">
        <f>0.2188-G5</f>
        <v>0.16739999999999999</v>
      </c>
      <c r="K5" s="68">
        <f>0.2169-G5</f>
        <v>0.16550000000000001</v>
      </c>
      <c r="L5" s="68">
        <f>(H5-(0.605*J5))/6.17</f>
        <v>2.8269529983792546E-2</v>
      </c>
      <c r="M5" s="68">
        <f>(I5-(0.605*K5))/6.17</f>
        <v>2.8228930307941651E-2</v>
      </c>
      <c r="N5" s="68">
        <f>AVERAGE(L5:M5)</f>
        <v>2.8249230145867096E-2</v>
      </c>
      <c r="O5" s="58">
        <f>'Growth curves UTEX #1926'!F5</f>
        <v>0.10199999999999999</v>
      </c>
      <c r="P5" s="68">
        <f>1.2596*O5</f>
        <v>0.12847919999999999</v>
      </c>
      <c r="Q5" s="99">
        <f>P5*2/1000</f>
        <v>2.5695839999999998E-4</v>
      </c>
      <c r="R5" s="100">
        <f>(N5*0.5)/Q5</f>
        <v>54.96848934665514</v>
      </c>
      <c r="S5" s="101"/>
      <c r="V5" s="70">
        <f>R5*P5</f>
        <v>7.0623075364667747</v>
      </c>
      <c r="W5" s="101"/>
      <c r="AA5" s="101"/>
      <c r="AB5" s="67"/>
      <c r="AD5" s="87">
        <f>D5</f>
        <v>0</v>
      </c>
      <c r="AE5" s="70">
        <f>S7</f>
        <v>49.632291470517167</v>
      </c>
      <c r="AF5" s="70">
        <f>U7</f>
        <v>6.1339953732329908</v>
      </c>
      <c r="AG5" s="70">
        <f>W7</f>
        <v>6.5314188276607235</v>
      </c>
      <c r="AH5" s="70">
        <f>Y7</f>
        <v>0.59682514083259441</v>
      </c>
      <c r="AJ5" s="141"/>
      <c r="AK5" s="141"/>
      <c r="AL5" s="141"/>
    </row>
    <row r="6" spans="1:38" ht="15" customHeight="1" x14ac:dyDescent="0.15">
      <c r="A6" s="66"/>
      <c r="B6" s="215"/>
      <c r="C6" s="198"/>
      <c r="D6" s="226"/>
      <c r="E6" s="120" t="s">
        <v>111</v>
      </c>
      <c r="F6" s="238"/>
      <c r="G6" s="224"/>
      <c r="H6" s="69">
        <f>0.2606-F5</f>
        <v>0.20610000000000001</v>
      </c>
      <c r="I6" s="68">
        <f>0.2659-F5</f>
        <v>0.21140000000000003</v>
      </c>
      <c r="J6" s="68">
        <f>0.1758-G5</f>
        <v>0.12440000000000001</v>
      </c>
      <c r="K6" s="68">
        <f>0.1814-G5</f>
        <v>0.13</v>
      </c>
      <c r="L6" s="68">
        <f t="shared" ref="L6:L55" si="0">(H6-(0.605*J6))/6.17</f>
        <v>2.1205510534846032E-2</v>
      </c>
      <c r="M6" s="68">
        <f t="shared" ref="M6:M49" si="1">(I6-(0.605*K6))/6.17</f>
        <v>2.1515397082658028E-2</v>
      </c>
      <c r="N6" s="68">
        <f t="shared" ref="N6:N55" si="2">AVERAGE(L6:M6)</f>
        <v>2.1360453808752032E-2</v>
      </c>
      <c r="O6" s="68">
        <f>'Growth curves UTEX #1926'!J5</f>
        <v>0.11336400000000001</v>
      </c>
      <c r="P6" s="68">
        <f t="shared" ref="P6:P55" si="3">1.2596*O6</f>
        <v>0.14279329440000002</v>
      </c>
      <c r="Q6" s="99">
        <f>P6*2/1000</f>
        <v>2.8558658880000002E-4</v>
      </c>
      <c r="R6" s="100">
        <f t="shared" ref="R6:R55" si="4">(N6*0.5)/Q6</f>
        <v>37.397508577881844</v>
      </c>
      <c r="S6" s="101"/>
      <c r="V6" s="70">
        <f t="shared" ref="V6:V55" si="5">R6*P6</f>
        <v>5.3401134521880085</v>
      </c>
      <c r="W6" s="101"/>
      <c r="AA6" s="101"/>
      <c r="AB6" s="67"/>
      <c r="AD6" s="87">
        <f>D8</f>
        <v>22.5</v>
      </c>
      <c r="AE6" s="70">
        <f>S10</f>
        <v>21.136981644863443</v>
      </c>
      <c r="AF6" s="70">
        <f>U10</f>
        <v>1.4523982773364121</v>
      </c>
      <c r="AG6" s="70">
        <f>W10</f>
        <v>6.1171731496488393</v>
      </c>
      <c r="AH6" s="70">
        <f>Y10</f>
        <v>0.30659926393475451</v>
      </c>
      <c r="AJ6" s="141"/>
      <c r="AK6" s="141"/>
      <c r="AL6" s="141"/>
    </row>
    <row r="7" spans="1:38" ht="15" customHeight="1" x14ac:dyDescent="0.15">
      <c r="A7" s="66"/>
      <c r="B7" s="216"/>
      <c r="C7" s="199"/>
      <c r="D7" s="227"/>
      <c r="E7" s="151" t="s">
        <v>112</v>
      </c>
      <c r="F7" s="239"/>
      <c r="G7" s="225"/>
      <c r="H7" s="73">
        <f>0.3473-F5</f>
        <v>0.2928</v>
      </c>
      <c r="I7" s="74">
        <f>0.3334-F5</f>
        <v>0.27889999999999998</v>
      </c>
      <c r="J7" s="74">
        <f>0.2375-G5</f>
        <v>0.18609999999999999</v>
      </c>
      <c r="K7" s="74">
        <f>0.2235-G5</f>
        <v>0.1721</v>
      </c>
      <c r="L7" s="68">
        <f t="shared" si="0"/>
        <v>2.9207374392220424E-2</v>
      </c>
      <c r="M7" s="68">
        <f t="shared" si="1"/>
        <v>2.8327309562398699E-2</v>
      </c>
      <c r="N7" s="74">
        <f t="shared" si="2"/>
        <v>2.8767341977309561E-2</v>
      </c>
      <c r="O7" s="71">
        <f>'Growth curves UTEX #1926'!H5</f>
        <v>0.10100000000000001</v>
      </c>
      <c r="P7" s="74">
        <f t="shared" si="3"/>
        <v>0.12721960000000002</v>
      </c>
      <c r="Q7" s="75">
        <f>P7*2/1000</f>
        <v>2.5443920000000004E-4</v>
      </c>
      <c r="R7" s="76">
        <f t="shared" si="4"/>
        <v>56.530876487014496</v>
      </c>
      <c r="S7" s="77">
        <f>AVERAGE(R5:R7)</f>
        <v>49.632291470517167</v>
      </c>
      <c r="T7" s="78">
        <f>STDEV(R5:R7)</f>
        <v>10.624391639831957</v>
      </c>
      <c r="U7" s="78">
        <f>T7/SQRT(3)</f>
        <v>6.1339953732329908</v>
      </c>
      <c r="V7" s="78">
        <f t="shared" si="5"/>
        <v>7.1918354943273899</v>
      </c>
      <c r="W7" s="77">
        <f>AVERAGE(V5:V7)</f>
        <v>6.5314188276607235</v>
      </c>
      <c r="X7" s="78">
        <f>STDEV(V5:V7)</f>
        <v>1.0337314671565041</v>
      </c>
      <c r="Y7" s="78">
        <f>X7/SQRT(3)</f>
        <v>0.59682514083259441</v>
      </c>
      <c r="Z7" s="71"/>
      <c r="AA7" s="134"/>
      <c r="AB7" s="72"/>
      <c r="AD7" s="87">
        <f>D11</f>
        <v>48.5</v>
      </c>
      <c r="AE7" s="70">
        <f>S13</f>
        <v>20.92753900187283</v>
      </c>
      <c r="AF7" s="70">
        <f>U13</f>
        <v>0.46984895065999516</v>
      </c>
      <c r="AG7" s="70">
        <f>W13</f>
        <v>9.505929227444625</v>
      </c>
      <c r="AH7" s="70">
        <f>Y13</f>
        <v>0.1391881714329154</v>
      </c>
      <c r="AJ7" s="141"/>
      <c r="AK7" s="141"/>
      <c r="AL7" s="141"/>
    </row>
    <row r="8" spans="1:38" x14ac:dyDescent="0.15">
      <c r="A8" s="66"/>
      <c r="B8" s="214" t="s">
        <v>9</v>
      </c>
      <c r="C8" s="197">
        <v>0.41666666666666669</v>
      </c>
      <c r="D8" s="218">
        <f>D5+22.5</f>
        <v>22.5</v>
      </c>
      <c r="E8" s="120" t="s">
        <v>110</v>
      </c>
      <c r="F8" s="238">
        <f>(0.0686+0.0622+0.0602)/3</f>
        <v>6.3666666666666663E-2</v>
      </c>
      <c r="G8" s="224">
        <f>(0.0672+0.0613+0.058)/3</f>
        <v>6.2166666666666669E-2</v>
      </c>
      <c r="H8" s="69">
        <f>0.1751-F8</f>
        <v>0.11143333333333334</v>
      </c>
      <c r="I8" s="68">
        <f>0.1753-F8</f>
        <v>0.11163333333333335</v>
      </c>
      <c r="J8" s="68">
        <f>0.1211-G8</f>
        <v>5.8933333333333331E-2</v>
      </c>
      <c r="K8" s="68">
        <f>0.1227-G8</f>
        <v>6.0533333333333335E-2</v>
      </c>
      <c r="L8" s="68">
        <f t="shared" si="0"/>
        <v>1.2281793625067535E-2</v>
      </c>
      <c r="M8" s="68">
        <f t="shared" si="1"/>
        <v>1.2157320367368992E-2</v>
      </c>
      <c r="N8" s="68">
        <f t="shared" si="2"/>
        <v>1.2219556996218264E-2</v>
      </c>
      <c r="O8" s="68">
        <f>'Growth curves UTEX #1926'!I7</f>
        <v>0.2556988</v>
      </c>
      <c r="P8" s="68">
        <f t="shared" si="3"/>
        <v>0.32207820848000002</v>
      </c>
      <c r="Q8" s="99">
        <f t="shared" ref="Q8:Q13" si="6">P8*1/1000</f>
        <v>3.2207820848000003E-4</v>
      </c>
      <c r="R8" s="100">
        <f t="shared" si="4"/>
        <v>18.969859919872626</v>
      </c>
      <c r="S8" s="102"/>
      <c r="T8" s="70"/>
      <c r="U8" s="70"/>
      <c r="V8" s="70">
        <f t="shared" si="5"/>
        <v>6.1097784981091321</v>
      </c>
      <c r="W8" s="102"/>
      <c r="X8" s="70"/>
      <c r="Y8" s="70"/>
      <c r="Z8" s="70">
        <f>(V8-$V$5)/(D8-$D$5)</f>
        <v>-4.2334623927006335E-2</v>
      </c>
      <c r="AA8" s="102"/>
      <c r="AB8" s="67"/>
      <c r="AD8" s="87">
        <f>D14</f>
        <v>72.5</v>
      </c>
      <c r="AE8" s="70">
        <f>S16</f>
        <v>40.595754146555528</v>
      </c>
      <c r="AF8" s="70">
        <f>U16</f>
        <v>1.3592755460310688</v>
      </c>
      <c r="AG8" s="70">
        <f>W16</f>
        <v>26.090953587250137</v>
      </c>
      <c r="AH8" s="70">
        <f>Y16</f>
        <v>0.42743381934196295</v>
      </c>
      <c r="AJ8" s="141"/>
      <c r="AK8" s="141"/>
      <c r="AL8" s="141"/>
    </row>
    <row r="9" spans="1:38" x14ac:dyDescent="0.15">
      <c r="A9" s="66"/>
      <c r="B9" s="215"/>
      <c r="C9" s="198"/>
      <c r="D9" s="218"/>
      <c r="E9" s="120" t="s">
        <v>111</v>
      </c>
      <c r="F9" s="238"/>
      <c r="G9" s="224"/>
      <c r="H9" s="69">
        <f>0.1843-F8</f>
        <v>0.12063333333333333</v>
      </c>
      <c r="I9" s="68">
        <f>0.1917-F8</f>
        <v>0.12803333333333333</v>
      </c>
      <c r="J9" s="68">
        <f>0.1287-G8</f>
        <v>6.6533333333333333E-2</v>
      </c>
      <c r="K9" s="68">
        <f>0.1353-G8</f>
        <v>7.3133333333333328E-2</v>
      </c>
      <c r="L9" s="68">
        <f t="shared" si="0"/>
        <v>1.3027660723933007E-2</v>
      </c>
      <c r="M9" s="68">
        <f t="shared" si="1"/>
        <v>1.3579848730415994E-2</v>
      </c>
      <c r="N9" s="68">
        <f t="shared" si="2"/>
        <v>1.33037547271745E-2</v>
      </c>
      <c r="O9" s="68">
        <f>'Growth curves UTEX #1926'!G7</f>
        <v>0.221</v>
      </c>
      <c r="P9" s="68">
        <f t="shared" si="3"/>
        <v>0.2783716</v>
      </c>
      <c r="Q9" s="99">
        <f t="shared" si="6"/>
        <v>2.7837160000000001E-4</v>
      </c>
      <c r="R9" s="100">
        <f t="shared" si="4"/>
        <v>23.895675290105924</v>
      </c>
      <c r="S9" s="101"/>
      <c r="T9" s="70"/>
      <c r="U9" s="70"/>
      <c r="V9" s="70">
        <f t="shared" si="5"/>
        <v>6.6518773635872499</v>
      </c>
      <c r="W9" s="102"/>
      <c r="X9" s="70"/>
      <c r="Y9" s="70"/>
      <c r="Z9" s="70">
        <f>(V9-$V$6)/(D8-$D$5)</f>
        <v>5.830061828441073E-2</v>
      </c>
      <c r="AA9" s="102"/>
      <c r="AB9" s="67"/>
      <c r="AD9" s="87">
        <f>D17</f>
        <v>95</v>
      </c>
      <c r="AE9" s="70">
        <f>S19</f>
        <v>55.323225600544554</v>
      </c>
      <c r="AF9" s="70">
        <f>U19</f>
        <v>9.8193182927652973</v>
      </c>
      <c r="AG9" s="70">
        <f>W19</f>
        <v>49.481116542409517</v>
      </c>
      <c r="AH9" s="70">
        <f>Y19</f>
        <v>11.529081014304984</v>
      </c>
      <c r="AJ9" s="141"/>
      <c r="AK9" s="141"/>
      <c r="AL9" s="141"/>
    </row>
    <row r="10" spans="1:38" x14ac:dyDescent="0.15">
      <c r="A10" s="66"/>
      <c r="B10" s="216"/>
      <c r="C10" s="199"/>
      <c r="D10" s="219"/>
      <c r="E10" s="151" t="s">
        <v>112</v>
      </c>
      <c r="F10" s="239"/>
      <c r="G10" s="225"/>
      <c r="H10" s="73">
        <f>0.1687-F8</f>
        <v>0.10503333333333333</v>
      </c>
      <c r="I10" s="74">
        <f>0.163-F8</f>
        <v>9.9333333333333343E-2</v>
      </c>
      <c r="J10" s="74">
        <f>0.1202-G8</f>
        <v>5.8033333333333333E-2</v>
      </c>
      <c r="K10" s="74">
        <f>0.1139-G8</f>
        <v>5.1733333333333333E-2</v>
      </c>
      <c r="L10" s="68">
        <f t="shared" si="0"/>
        <v>1.1332766072393301E-2</v>
      </c>
      <c r="M10" s="68">
        <f t="shared" si="1"/>
        <v>1.1026688276607242E-2</v>
      </c>
      <c r="N10" s="74">
        <f t="shared" si="2"/>
        <v>1.1179727174500272E-2</v>
      </c>
      <c r="O10" s="74">
        <f>'Growth curves UTEX #1926'!H7</f>
        <v>0.216</v>
      </c>
      <c r="P10" s="74">
        <f t="shared" si="3"/>
        <v>0.27207360000000003</v>
      </c>
      <c r="Q10" s="75">
        <f t="shared" si="6"/>
        <v>2.7207360000000005E-4</v>
      </c>
      <c r="R10" s="76">
        <f t="shared" si="4"/>
        <v>20.54540972461178</v>
      </c>
      <c r="S10" s="77">
        <f>AVERAGE(R8:R10)</f>
        <v>21.136981644863443</v>
      </c>
      <c r="T10" s="78">
        <f>STDEV(R8:R10)</f>
        <v>2.5156276091721788</v>
      </c>
      <c r="U10" s="78">
        <f>T10/SQRT(3)</f>
        <v>1.4523982773364121</v>
      </c>
      <c r="V10" s="78">
        <f t="shared" si="5"/>
        <v>5.5898635872501359</v>
      </c>
      <c r="W10" s="77">
        <f>AVERAGE(V8:V10)</f>
        <v>6.1171731496488393</v>
      </c>
      <c r="X10" s="78">
        <f>STDEV(V8:V10)</f>
        <v>0.53104550269821482</v>
      </c>
      <c r="Y10" s="78">
        <f>X10/SQRT(3)</f>
        <v>0.30659926393475451</v>
      </c>
      <c r="Z10" s="78">
        <f>(V10-$V$7)/(D8-$D$5)</f>
        <v>-7.1198751425655737E-2</v>
      </c>
      <c r="AA10" s="77">
        <f>AVERAGE(Z8:Z10)</f>
        <v>-1.8410919022750449E-2</v>
      </c>
      <c r="AB10" s="135">
        <f>STDEV(Z8:Z10)/SQRT(3)</f>
        <v>3.9250390363602575E-2</v>
      </c>
      <c r="AD10" s="87">
        <f>D20</f>
        <v>118.5</v>
      </c>
      <c r="AE10" s="70">
        <f>S22</f>
        <v>43.594914139983892</v>
      </c>
      <c r="AF10" s="70">
        <f>U22</f>
        <v>2.2092991757930607</v>
      </c>
      <c r="AG10" s="70">
        <f>W22</f>
        <v>49.911309751485682</v>
      </c>
      <c r="AH10" s="70">
        <f>Y22</f>
        <v>5.8621016775512773</v>
      </c>
      <c r="AJ10" s="141"/>
      <c r="AK10" s="141"/>
      <c r="AL10" s="141"/>
    </row>
    <row r="11" spans="1:38" x14ac:dyDescent="0.15">
      <c r="A11" s="66"/>
      <c r="B11" s="214" t="s">
        <v>10</v>
      </c>
      <c r="C11" s="197">
        <v>0.50694444444444442</v>
      </c>
      <c r="D11" s="218">
        <f>D8+24+2</f>
        <v>48.5</v>
      </c>
      <c r="E11" s="120" t="s">
        <v>110</v>
      </c>
      <c r="F11" s="238">
        <f>(0.0599+0.0418+0.0497)/3</f>
        <v>5.0466666666666667E-2</v>
      </c>
      <c r="G11" s="224">
        <f>(0.0572+0.0398+0.0473)/3</f>
        <v>4.8100000000000004E-2</v>
      </c>
      <c r="H11" s="69">
        <f>0.2367-F11</f>
        <v>0.18623333333333333</v>
      </c>
      <c r="I11" s="68">
        <f>0.2487-F11</f>
        <v>0.19823333333333334</v>
      </c>
      <c r="J11" s="68">
        <f>0.1606-G11</f>
        <v>0.11249999999999999</v>
      </c>
      <c r="K11" s="68">
        <f>0.1729-G11</f>
        <v>0.12479999999999999</v>
      </c>
      <c r="L11" s="68">
        <f t="shared" si="0"/>
        <v>1.9152485143165858E-2</v>
      </c>
      <c r="M11" s="68">
        <f t="shared" si="1"/>
        <v>1.9891301998919506E-2</v>
      </c>
      <c r="N11" s="68">
        <f t="shared" si="2"/>
        <v>1.9521893571042684E-2</v>
      </c>
      <c r="O11" s="68">
        <f>'Growth curves UTEX #1926'!F10</f>
        <v>0.379</v>
      </c>
      <c r="P11" s="68">
        <f t="shared" si="3"/>
        <v>0.47738840000000005</v>
      </c>
      <c r="Q11" s="99">
        <f t="shared" si="6"/>
        <v>4.7738840000000006E-4</v>
      </c>
      <c r="R11" s="100">
        <f t="shared" si="4"/>
        <v>20.446552085306934</v>
      </c>
      <c r="S11" s="102"/>
      <c r="T11" s="70"/>
      <c r="U11" s="70"/>
      <c r="V11" s="70">
        <f t="shared" si="5"/>
        <v>9.760946785521341</v>
      </c>
      <c r="W11" s="102"/>
      <c r="X11" s="70"/>
      <c r="Y11" s="70"/>
      <c r="Z11" s="70">
        <f t="shared" ref="Z11:Z53" si="7">(V11-$V$5)/(D11-$D$5)</f>
        <v>5.5642046372259099E-2</v>
      </c>
      <c r="AA11" s="102"/>
      <c r="AB11" s="103"/>
      <c r="AD11" s="87">
        <f>D23</f>
        <v>142.5</v>
      </c>
      <c r="AE11" s="70">
        <f>S25</f>
        <v>46.643806722986369</v>
      </c>
      <c r="AF11" s="70">
        <f>U25</f>
        <v>1.8175193857147842</v>
      </c>
      <c r="AG11" s="70">
        <f>W25</f>
        <v>73.006613344138302</v>
      </c>
      <c r="AH11" s="70">
        <f>Y25</f>
        <v>6.310547367824074</v>
      </c>
      <c r="AJ11" s="141"/>
      <c r="AK11" s="141"/>
      <c r="AL11" s="141"/>
    </row>
    <row r="12" spans="1:38" x14ac:dyDescent="0.15">
      <c r="A12" s="66"/>
      <c r="B12" s="215"/>
      <c r="C12" s="198"/>
      <c r="D12" s="218"/>
      <c r="E12" s="120" t="s">
        <v>111</v>
      </c>
      <c r="F12" s="238"/>
      <c r="G12" s="224"/>
      <c r="H12" s="69">
        <f>0.2297-F11</f>
        <v>0.17923333333333333</v>
      </c>
      <c r="I12" s="68">
        <f>0.2311-F11</f>
        <v>0.18063333333333334</v>
      </c>
      <c r="J12" s="68">
        <f>0.1522-G11</f>
        <v>0.1041</v>
      </c>
      <c r="K12" s="68">
        <f>0.1523-G11</f>
        <v>0.10419999999999999</v>
      </c>
      <c r="L12" s="68">
        <f t="shared" si="0"/>
        <v>1.8841626148028093E-2</v>
      </c>
      <c r="M12" s="68">
        <f t="shared" si="1"/>
        <v>1.9058725013506216E-2</v>
      </c>
      <c r="N12" s="68">
        <f t="shared" si="2"/>
        <v>1.8950175580767156E-2</v>
      </c>
      <c r="O12" s="68">
        <f>'Growth curves UTEX #1926'!G10</f>
        <v>0.34399999999999997</v>
      </c>
      <c r="P12" s="68">
        <f t="shared" si="3"/>
        <v>0.43330239999999998</v>
      </c>
      <c r="Q12" s="99">
        <f t="shared" si="6"/>
        <v>4.3330239999999997E-4</v>
      </c>
      <c r="R12" s="100">
        <f t="shared" si="4"/>
        <v>21.867148186540344</v>
      </c>
      <c r="S12" s="101"/>
      <c r="T12" s="70"/>
      <c r="U12" s="70"/>
      <c r="V12" s="70">
        <f t="shared" si="5"/>
        <v>9.4750877903835775</v>
      </c>
      <c r="W12" s="102"/>
      <c r="X12" s="70"/>
      <c r="Y12" s="70"/>
      <c r="Z12" s="70">
        <f>(V12-$V$6)/(D11-$D$5)</f>
        <v>8.5257202849393171E-2</v>
      </c>
      <c r="AA12" s="102"/>
      <c r="AB12" s="103"/>
      <c r="AD12" s="87">
        <f>D26</f>
        <v>192.5</v>
      </c>
      <c r="AE12" s="70">
        <f>S28</f>
        <v>44.841313669638566</v>
      </c>
      <c r="AF12" s="70">
        <f>U28</f>
        <v>2.3414346262736605</v>
      </c>
      <c r="AG12" s="70">
        <f>W28</f>
        <v>91.965086439762288</v>
      </c>
      <c r="AH12" s="70">
        <f>Y28</f>
        <v>5.7705292432031809</v>
      </c>
      <c r="AJ12" s="141"/>
      <c r="AK12" s="141"/>
      <c r="AL12" s="141"/>
    </row>
    <row r="13" spans="1:38" x14ac:dyDescent="0.15">
      <c r="A13" s="66"/>
      <c r="B13" s="216"/>
      <c r="C13" s="199"/>
      <c r="D13" s="219"/>
      <c r="E13" s="151" t="s">
        <v>112</v>
      </c>
      <c r="F13" s="239"/>
      <c r="G13" s="225"/>
      <c r="H13" s="73">
        <f>0.2424-F11</f>
        <v>0.19193333333333334</v>
      </c>
      <c r="I13" s="74">
        <f>0.2368-F11</f>
        <v>0.18633333333333335</v>
      </c>
      <c r="J13" s="74">
        <f>0.1742-G11</f>
        <v>0.12609999999999999</v>
      </c>
      <c r="K13" s="74">
        <f>0.1686-G11</f>
        <v>0.1205</v>
      </c>
      <c r="L13" s="68">
        <f t="shared" si="0"/>
        <v>1.8742760669908161E-2</v>
      </c>
      <c r="M13" s="68">
        <f t="shared" si="1"/>
        <v>1.8384251755807674E-2</v>
      </c>
      <c r="N13" s="74">
        <f t="shared" si="2"/>
        <v>1.8563506212857919E-2</v>
      </c>
      <c r="O13" s="74">
        <f>'Growth curves UTEX #1926'!H10</f>
        <v>0.36</v>
      </c>
      <c r="P13" s="74">
        <f t="shared" si="3"/>
        <v>0.45345600000000003</v>
      </c>
      <c r="Q13" s="75">
        <f t="shared" si="6"/>
        <v>4.5345600000000003E-4</v>
      </c>
      <c r="R13" s="76">
        <f t="shared" si="4"/>
        <v>20.468916733771213</v>
      </c>
      <c r="S13" s="77">
        <f>AVERAGE(R11:R13)</f>
        <v>20.92753900187283</v>
      </c>
      <c r="T13" s="78">
        <f>STDEV(R11:R13)</f>
        <v>0.81380225442603416</v>
      </c>
      <c r="U13" s="78">
        <f>T13/SQRT(3)</f>
        <v>0.46984895065999516</v>
      </c>
      <c r="V13" s="78">
        <f t="shared" si="5"/>
        <v>9.28175310642896</v>
      </c>
      <c r="W13" s="77">
        <f>AVERAGE(V11:V13)</f>
        <v>9.505929227444625</v>
      </c>
      <c r="X13" s="78">
        <f>STDEV(V11:V13)</f>
        <v>0.24108098473441641</v>
      </c>
      <c r="Y13" s="78">
        <f>X13/SQRT(3)</f>
        <v>0.1391881714329154</v>
      </c>
      <c r="Z13" s="78">
        <f>(V13-$V$7)/(D11-$D$5)</f>
        <v>4.3091084785599386E-2</v>
      </c>
      <c r="AA13" s="77">
        <f>AVERAGE(Z11:Z13)</f>
        <v>6.1330111335750552E-2</v>
      </c>
      <c r="AB13" s="135">
        <f>STDEV(Z11:Z13)/SQRT(3)</f>
        <v>1.2500145871337178E-2</v>
      </c>
      <c r="AD13" s="87">
        <f>D29</f>
        <v>215.5</v>
      </c>
      <c r="AE13" s="70">
        <f>S31</f>
        <v>47.017498372560432</v>
      </c>
      <c r="AF13" s="70">
        <f>U31</f>
        <v>1.9900290937740619</v>
      </c>
      <c r="AG13" s="70">
        <f>W31</f>
        <v>108.16335764451647</v>
      </c>
      <c r="AH13" s="70">
        <f>Y31</f>
        <v>5.332904061212683</v>
      </c>
      <c r="AJ13" s="141"/>
      <c r="AK13" s="141"/>
      <c r="AL13" s="141"/>
    </row>
    <row r="14" spans="1:38" x14ac:dyDescent="0.15">
      <c r="A14" s="66"/>
      <c r="B14" s="214" t="s">
        <v>11</v>
      </c>
      <c r="C14" s="197">
        <v>0.50694444444444442</v>
      </c>
      <c r="D14" s="218">
        <f>D11+24</f>
        <v>72.5</v>
      </c>
      <c r="E14" s="120" t="s">
        <v>110</v>
      </c>
      <c r="F14" s="238">
        <v>4.9299999999999997E-2</v>
      </c>
      <c r="G14" s="224">
        <v>4.7100000000000003E-2</v>
      </c>
      <c r="H14" s="69">
        <f>0.2541-F14</f>
        <v>0.20479999999999998</v>
      </c>
      <c r="I14" s="68">
        <f>0.2927-F14</f>
        <v>0.24340000000000001</v>
      </c>
      <c r="J14" s="68">
        <f>0.1814-G14</f>
        <v>0.1343</v>
      </c>
      <c r="K14" s="68">
        <f>0.2173-G14</f>
        <v>0.17019999999999999</v>
      </c>
      <c r="L14" s="68">
        <f t="shared" si="0"/>
        <v>2.0024068071312802E-2</v>
      </c>
      <c r="M14" s="68">
        <f t="shared" si="1"/>
        <v>2.2759967585089146E-2</v>
      </c>
      <c r="N14" s="68">
        <f t="shared" si="2"/>
        <v>2.1392017828200972E-2</v>
      </c>
      <c r="O14" s="68">
        <f>'Growth curves UTEX #1926'!F11</f>
        <v>0.54700000000000004</v>
      </c>
      <c r="P14" s="68">
        <f t="shared" si="3"/>
        <v>0.68900120000000009</v>
      </c>
      <c r="Q14" s="99">
        <f>O14*0.5/1000</f>
        <v>2.7350000000000003E-4</v>
      </c>
      <c r="R14" s="100">
        <f t="shared" si="4"/>
        <v>39.107893653018223</v>
      </c>
      <c r="S14" s="102"/>
      <c r="T14" s="70"/>
      <c r="U14" s="70"/>
      <c r="V14" s="70">
        <f t="shared" si="5"/>
        <v>26.945385656401942</v>
      </c>
      <c r="W14" s="102"/>
      <c r="X14" s="70"/>
      <c r="Y14" s="70"/>
      <c r="Z14" s="70">
        <f t="shared" si="7"/>
        <v>0.27424935337841611</v>
      </c>
      <c r="AA14" s="102"/>
      <c r="AB14" s="103"/>
      <c r="AD14" s="87">
        <f>D32</f>
        <v>238.5</v>
      </c>
      <c r="AE14" s="70">
        <f>S34</f>
        <v>46.048940248659356</v>
      </c>
      <c r="AF14" s="70">
        <f>U34</f>
        <v>0.31507341028230651</v>
      </c>
      <c r="AG14" s="70">
        <f>W34</f>
        <v>115.02012425715827</v>
      </c>
      <c r="AH14" s="70">
        <f>Y34</f>
        <v>2.4183624627427975</v>
      </c>
      <c r="AJ14" s="141"/>
      <c r="AK14" s="141"/>
      <c r="AL14" s="141"/>
    </row>
    <row r="15" spans="1:38" x14ac:dyDescent="0.15">
      <c r="A15" s="66"/>
      <c r="B15" s="215"/>
      <c r="C15" s="198"/>
      <c r="D15" s="218"/>
      <c r="E15" s="120" t="s">
        <v>111</v>
      </c>
      <c r="F15" s="238"/>
      <c r="G15" s="224"/>
      <c r="H15" s="69">
        <f>0.3057-F14</f>
        <v>0.25640000000000002</v>
      </c>
      <c r="I15" s="68">
        <f>0.2389-F14</f>
        <v>0.18959999999999999</v>
      </c>
      <c r="J15" s="68">
        <f>0.2421-G14</f>
        <v>0.19500000000000001</v>
      </c>
      <c r="K15" s="68">
        <f>0.1741-G14</f>
        <v>0.127</v>
      </c>
      <c r="L15" s="68">
        <f t="shared" si="0"/>
        <v>2.2435170178282015E-2</v>
      </c>
      <c r="M15" s="68">
        <f t="shared" si="1"/>
        <v>1.827633711507293E-2</v>
      </c>
      <c r="N15" s="68">
        <f t="shared" si="2"/>
        <v>2.0355753646677473E-2</v>
      </c>
      <c r="O15" s="68">
        <f>'Growth curves UTEX #1926'!G11</f>
        <v>0.47</v>
      </c>
      <c r="P15" s="68">
        <f t="shared" si="3"/>
        <v>0.59201199999999998</v>
      </c>
      <c r="Q15" s="99">
        <f>O15*0.5/1000</f>
        <v>2.3499999999999999E-4</v>
      </c>
      <c r="R15" s="100">
        <f t="shared" si="4"/>
        <v>43.310114141866961</v>
      </c>
      <c r="S15" s="101"/>
      <c r="T15" s="70"/>
      <c r="U15" s="70"/>
      <c r="V15" s="70">
        <f t="shared" si="5"/>
        <v>25.640107293354944</v>
      </c>
      <c r="W15" s="102"/>
      <c r="X15" s="70"/>
      <c r="Y15" s="70"/>
      <c r="Z15" s="70">
        <f>(V15-$V$6)/(D14-$D$5)</f>
        <v>0.27999991505057847</v>
      </c>
      <c r="AA15" s="102"/>
      <c r="AB15" s="103"/>
      <c r="AD15" s="87">
        <f>D35</f>
        <v>262.5</v>
      </c>
      <c r="AE15" s="70">
        <f>S37</f>
        <v>43.611128889740066</v>
      </c>
      <c r="AF15" s="70">
        <f>U37</f>
        <v>1.7561716019498925</v>
      </c>
      <c r="AG15" s="70">
        <f>W37</f>
        <v>126.55186385737439</v>
      </c>
      <c r="AH15" s="70">
        <f>Y37</f>
        <v>7.8799725022567264</v>
      </c>
      <c r="AJ15" s="141"/>
      <c r="AK15" s="141"/>
      <c r="AL15" s="141"/>
    </row>
    <row r="16" spans="1:38" x14ac:dyDescent="0.15">
      <c r="A16" s="66"/>
      <c r="B16" s="216"/>
      <c r="C16" s="199"/>
      <c r="D16" s="219"/>
      <c r="E16" s="151" t="s">
        <v>112</v>
      </c>
      <c r="F16" s="239"/>
      <c r="G16" s="225"/>
      <c r="H16" s="73">
        <f>0.2777-F14</f>
        <v>0.22839999999999999</v>
      </c>
      <c r="I16" s="74">
        <f>0.2912-F14</f>
        <v>0.2419</v>
      </c>
      <c r="J16" s="74">
        <f>0.2219-G14</f>
        <v>0.17479999999999998</v>
      </c>
      <c r="K16" s="74">
        <f>0.2337-G14</f>
        <v>0.18659999999999999</v>
      </c>
      <c r="L16" s="68">
        <f t="shared" si="0"/>
        <v>1.9877795786061591E-2</v>
      </c>
      <c r="M16" s="68">
        <f t="shared" si="1"/>
        <v>2.0908752025931929E-2</v>
      </c>
      <c r="N16" s="74">
        <f t="shared" si="2"/>
        <v>2.039327390599676E-2</v>
      </c>
      <c r="O16" s="74">
        <f>'Growth curves UTEX #1926'!H11</f>
        <v>0.51800000000000002</v>
      </c>
      <c r="P16" s="74">
        <f t="shared" si="3"/>
        <v>0.65247280000000007</v>
      </c>
      <c r="Q16" s="75">
        <f>O16*0.5/1000</f>
        <v>2.5900000000000001E-4</v>
      </c>
      <c r="R16" s="76">
        <f t="shared" si="4"/>
        <v>39.369254644781392</v>
      </c>
      <c r="S16" s="77">
        <f>AVERAGE(R14:R16)</f>
        <v>40.595754146555528</v>
      </c>
      <c r="T16" s="78">
        <f>STDEV(R14:R16)</f>
        <v>2.3543343072117393</v>
      </c>
      <c r="U16" s="78">
        <f>T16/SQRT(3)</f>
        <v>1.3592755460310688</v>
      </c>
      <c r="V16" s="78">
        <f t="shared" si="5"/>
        <v>25.687367811993525</v>
      </c>
      <c r="W16" s="77">
        <f>AVERAGE(V14:V16)</f>
        <v>26.090953587250137</v>
      </c>
      <c r="X16" s="78">
        <f>STDEV(V14:V16)</f>
        <v>0.74033709197349651</v>
      </c>
      <c r="Y16" s="78">
        <f>X16/SQRT(3)</f>
        <v>0.42743381934196295</v>
      </c>
      <c r="Z16" s="78">
        <f>(V16-$V$7)/(D14-$D$5)</f>
        <v>0.25511079058849845</v>
      </c>
      <c r="AA16" s="77">
        <f>AVERAGE(Z14:Z16)</f>
        <v>0.26978668633916431</v>
      </c>
      <c r="AB16" s="135">
        <f>STDEV(Z14:Z16)/SQRT(3)</f>
        <v>7.5233786060440889E-3</v>
      </c>
      <c r="AD16" s="87">
        <f>D38</f>
        <v>286.5</v>
      </c>
      <c r="AE16" s="70">
        <f>S40</f>
        <v>42.498103068238429</v>
      </c>
      <c r="AF16" s="70">
        <f>U40</f>
        <v>3.5285542227846283</v>
      </c>
      <c r="AG16" s="70">
        <f>W40</f>
        <v>132.16171438861875</v>
      </c>
      <c r="AH16" s="70">
        <f>Y40</f>
        <v>13.573181343406739</v>
      </c>
      <c r="AJ16" s="141"/>
      <c r="AK16" s="141"/>
      <c r="AL16" s="141"/>
    </row>
    <row r="17" spans="1:38" x14ac:dyDescent="0.15">
      <c r="A17" s="66"/>
      <c r="B17" s="214" t="s">
        <v>12</v>
      </c>
      <c r="C17" s="197">
        <v>0.44444444444444442</v>
      </c>
      <c r="D17" s="218">
        <f>22.5+D14</f>
        <v>95</v>
      </c>
      <c r="E17" s="120" t="s">
        <v>110</v>
      </c>
      <c r="F17" s="238">
        <v>5.3699999999999998E-2</v>
      </c>
      <c r="G17" s="224">
        <v>5.0900000000000001E-2</v>
      </c>
      <c r="H17" s="69">
        <f>0.3274-F17</f>
        <v>0.27370000000000005</v>
      </c>
      <c r="I17" s="68">
        <f>0.333-F17</f>
        <v>0.27929999999999999</v>
      </c>
      <c r="J17" s="68">
        <f>0.2135-G17</f>
        <v>0.16259999999999999</v>
      </c>
      <c r="K17" s="68">
        <f>0.2169-G17</f>
        <v>0.16600000000000001</v>
      </c>
      <c r="L17" s="68">
        <f t="shared" si="0"/>
        <v>2.8416045380875214E-2</v>
      </c>
      <c r="M17" s="68">
        <f t="shared" si="1"/>
        <v>2.8990275526742298E-2</v>
      </c>
      <c r="N17" s="68">
        <f t="shared" si="2"/>
        <v>2.8703160453808756E-2</v>
      </c>
      <c r="O17" s="58">
        <f>'Growth curves UTEX #1926'!F12</f>
        <v>0.76600000000000001</v>
      </c>
      <c r="P17" s="68">
        <f t="shared" si="3"/>
        <v>0.96485360000000009</v>
      </c>
      <c r="Q17" s="99">
        <f>O17*0.25/1000</f>
        <v>1.9149999999999999E-4</v>
      </c>
      <c r="R17" s="100">
        <f t="shared" si="4"/>
        <v>74.942977686184747</v>
      </c>
      <c r="S17" s="101"/>
      <c r="V17" s="70">
        <f t="shared" si="5"/>
        <v>72.309001815235035</v>
      </c>
      <c r="W17" s="102"/>
      <c r="X17" s="70"/>
      <c r="Y17" s="70"/>
      <c r="Z17" s="70">
        <f t="shared" si="7"/>
        <v>0.68680730819756064</v>
      </c>
      <c r="AA17" s="102"/>
      <c r="AB17" s="103"/>
      <c r="AD17" s="87">
        <f>D41</f>
        <v>309.5</v>
      </c>
      <c r="AE17" s="70">
        <f>S43</f>
        <v>50.254924258671736</v>
      </c>
      <c r="AF17" s="70">
        <f>U43</f>
        <v>5.7884650276284244</v>
      </c>
      <c r="AG17" s="70">
        <f>W43</f>
        <v>165.68962722852515</v>
      </c>
      <c r="AH17" s="70">
        <f>Y43</f>
        <v>20.421602479527678</v>
      </c>
      <c r="AJ17" s="141"/>
      <c r="AK17" s="141"/>
      <c r="AL17" s="141"/>
    </row>
    <row r="18" spans="1:38" ht="15" customHeight="1" x14ac:dyDescent="0.15">
      <c r="A18" s="66"/>
      <c r="B18" s="215"/>
      <c r="C18" s="198"/>
      <c r="D18" s="218"/>
      <c r="E18" s="120" t="s">
        <v>111</v>
      </c>
      <c r="F18" s="238"/>
      <c r="G18" s="224"/>
      <c r="H18" s="69">
        <f>0.1939-F17</f>
        <v>0.14019999999999999</v>
      </c>
      <c r="I18" s="68">
        <f>0.1929-F17</f>
        <v>0.13919999999999999</v>
      </c>
      <c r="J18" s="68">
        <f>0.14-G17</f>
        <v>8.9100000000000013E-2</v>
      </c>
      <c r="K18" s="68">
        <f>0.1382-G17</f>
        <v>8.7299999999999989E-2</v>
      </c>
      <c r="L18" s="68">
        <f t="shared" si="0"/>
        <v>1.3986142625607777E-2</v>
      </c>
      <c r="M18" s="68">
        <f t="shared" si="1"/>
        <v>1.4000567260940034E-2</v>
      </c>
      <c r="N18" s="68">
        <f t="shared" si="2"/>
        <v>1.3993354943273906E-2</v>
      </c>
      <c r="O18" s="58">
        <f>'Growth curves UTEX #1926'!G12</f>
        <v>0.60499999999999998</v>
      </c>
      <c r="P18" s="68">
        <f t="shared" si="3"/>
        <v>0.76205800000000001</v>
      </c>
      <c r="Q18" s="99">
        <f>O18*0.25/1000</f>
        <v>1.5124999999999999E-4</v>
      </c>
      <c r="R18" s="100">
        <f t="shared" si="4"/>
        <v>46.259024605864155</v>
      </c>
      <c r="S18" s="101"/>
      <c r="V18" s="70">
        <f t="shared" si="5"/>
        <v>35.252059773095624</v>
      </c>
      <c r="W18" s="102"/>
      <c r="X18" s="70"/>
      <c r="Y18" s="70"/>
      <c r="Z18" s="70">
        <f>(V18-$V$6)/(D17-$D$5)</f>
        <v>0.31486259285165913</v>
      </c>
      <c r="AA18" s="102"/>
      <c r="AB18" s="103"/>
      <c r="AD18" s="87">
        <f>D44</f>
        <v>335.5</v>
      </c>
      <c r="AE18" s="70">
        <f>S46</f>
        <v>49.068805510635649</v>
      </c>
      <c r="AF18" s="70">
        <f>U46</f>
        <v>3.66665026525708</v>
      </c>
      <c r="AG18" s="70">
        <f>W46</f>
        <v>170.9119394921664</v>
      </c>
      <c r="AH18" s="70">
        <f>Y46</f>
        <v>21.920932151895954</v>
      </c>
      <c r="AJ18" s="141"/>
      <c r="AK18" s="141"/>
      <c r="AL18" s="141"/>
    </row>
    <row r="19" spans="1:38" ht="15" customHeight="1" x14ac:dyDescent="0.15">
      <c r="A19" s="66"/>
      <c r="B19" s="216"/>
      <c r="C19" s="199"/>
      <c r="D19" s="219"/>
      <c r="E19" s="151" t="s">
        <v>112</v>
      </c>
      <c r="F19" s="239"/>
      <c r="G19" s="225"/>
      <c r="H19" s="73">
        <f>0.2189-F17</f>
        <v>0.16520000000000001</v>
      </c>
      <c r="I19" s="74">
        <f>0.2198-F17</f>
        <v>0.1661</v>
      </c>
      <c r="J19" s="74">
        <f>0.1592-G17</f>
        <v>0.10830000000000001</v>
      </c>
      <c r="K19" s="74">
        <f>0.1592-G17</f>
        <v>0.10830000000000001</v>
      </c>
      <c r="L19" s="68">
        <f t="shared" si="0"/>
        <v>1.6155348460291739E-2</v>
      </c>
      <c r="M19" s="68">
        <f t="shared" si="1"/>
        <v>1.6301215559157214E-2</v>
      </c>
      <c r="N19" s="74">
        <f t="shared" si="2"/>
        <v>1.6228282009724475E-2</v>
      </c>
      <c r="O19" s="71">
        <f>'Growth curves UTEX #1926'!H12</f>
        <v>0.72499999999999998</v>
      </c>
      <c r="P19" s="74">
        <f t="shared" si="3"/>
        <v>0.91320999999999997</v>
      </c>
      <c r="Q19" s="75">
        <f>O19*0.25/1000</f>
        <v>1.8124999999999999E-4</v>
      </c>
      <c r="R19" s="76">
        <f t="shared" si="4"/>
        <v>44.767674509584758</v>
      </c>
      <c r="S19" s="77">
        <f>AVERAGE(R17:R19)</f>
        <v>55.323225600544554</v>
      </c>
      <c r="T19" s="78">
        <f>STDEV(R17:R19)</f>
        <v>17.007558178759982</v>
      </c>
      <c r="U19" s="78">
        <f>T19/SQRT(3)</f>
        <v>9.8193182927652973</v>
      </c>
      <c r="V19" s="78">
        <f t="shared" si="5"/>
        <v>40.882288038897897</v>
      </c>
      <c r="W19" s="77">
        <f>AVERAGE(V17:V19)</f>
        <v>49.481116542409517</v>
      </c>
      <c r="X19" s="78">
        <f>STDEV(V17:V19)</f>
        <v>19.968954081353957</v>
      </c>
      <c r="Y19" s="78">
        <f>X19/SQRT(3)</f>
        <v>11.529081014304984</v>
      </c>
      <c r="Z19" s="78">
        <f>(V19-$V$7)/(D17-$D$5)</f>
        <v>0.35463634257442639</v>
      </c>
      <c r="AA19" s="77">
        <f>AVERAGE(Z17:Z19)</f>
        <v>0.45210208120788203</v>
      </c>
      <c r="AB19" s="135">
        <f>STDEV(Z17:Z19)/SQRT(3)</f>
        <v>0.11791295585297908</v>
      </c>
      <c r="AD19" s="87">
        <f>D47</f>
        <v>360.5</v>
      </c>
      <c r="AE19" s="70">
        <f>S49</f>
        <v>55.031908979471986</v>
      </c>
      <c r="AF19" s="70">
        <f>U49</f>
        <v>7.2935515603779528</v>
      </c>
      <c r="AG19" s="70">
        <f>W49</f>
        <v>207.1752206014767</v>
      </c>
      <c r="AH19" s="70">
        <f>Y49</f>
        <v>17.46868307909212</v>
      </c>
      <c r="AJ19" s="141"/>
      <c r="AK19" s="141"/>
      <c r="AL19" s="141"/>
    </row>
    <row r="20" spans="1:38" x14ac:dyDescent="0.15">
      <c r="A20" s="66"/>
      <c r="B20" s="214" t="s">
        <v>13</v>
      </c>
      <c r="C20" s="197">
        <v>0.40972222222222227</v>
      </c>
      <c r="D20" s="218">
        <f>23.5+D17</f>
        <v>118.5</v>
      </c>
      <c r="E20" s="120" t="s">
        <v>110</v>
      </c>
      <c r="F20" s="238">
        <f>(0.0493+0.0476)/2</f>
        <v>4.845E-2</v>
      </c>
      <c r="G20" s="224">
        <f>(0.0481+0.0467)/2</f>
        <v>4.7399999999999998E-2</v>
      </c>
      <c r="H20" s="69">
        <f>0.132-F20</f>
        <v>8.3550000000000013E-2</v>
      </c>
      <c r="I20" s="68">
        <f>0.1514-F20</f>
        <v>0.10295000000000001</v>
      </c>
      <c r="J20" s="68">
        <f>0.0956-G20</f>
        <v>4.8200000000000007E-2</v>
      </c>
      <c r="K20" s="68">
        <f>0.1153-G20</f>
        <v>6.7900000000000002E-2</v>
      </c>
      <c r="L20" s="68">
        <f t="shared" si="0"/>
        <v>8.8150729335494341E-3</v>
      </c>
      <c r="M20" s="68">
        <f t="shared" si="1"/>
        <v>1.0027633711507297E-2</v>
      </c>
      <c r="N20" s="68">
        <f t="shared" si="2"/>
        <v>9.4213533225283655E-3</v>
      </c>
      <c r="O20" s="58">
        <f>'Growth curves UTEX #1926'!F13</f>
        <v>0.996</v>
      </c>
      <c r="P20" s="68">
        <f t="shared" si="3"/>
        <v>1.2545615999999999</v>
      </c>
      <c r="Q20" s="99">
        <f t="shared" ref="Q20:Q25" si="8">O20*0.1/1000</f>
        <v>9.9600000000000009E-5</v>
      </c>
      <c r="R20" s="100">
        <f t="shared" si="4"/>
        <v>47.295950414299021</v>
      </c>
      <c r="S20" s="101"/>
      <c r="V20" s="70">
        <f t="shared" si="5"/>
        <v>59.335683225283638</v>
      </c>
      <c r="W20" s="102"/>
      <c r="X20" s="70"/>
      <c r="Y20" s="70"/>
      <c r="Z20" s="70">
        <f t="shared" si="7"/>
        <v>0.44112553323896087</v>
      </c>
      <c r="AA20" s="102"/>
      <c r="AB20" s="103"/>
      <c r="AD20" s="87">
        <f>D50</f>
        <v>385.5</v>
      </c>
      <c r="AE20" s="70">
        <f>S52</f>
        <v>63.062601986616698</v>
      </c>
      <c r="AF20" s="70">
        <f>U52</f>
        <v>6.8105579157731215</v>
      </c>
      <c r="AG20" s="70">
        <f>W52</f>
        <v>245.57734557896637</v>
      </c>
      <c r="AH20" s="70">
        <f>Y52</f>
        <v>18.165713172328672</v>
      </c>
      <c r="AJ20" s="141"/>
      <c r="AK20" s="141"/>
      <c r="AL20" s="141"/>
    </row>
    <row r="21" spans="1:38" x14ac:dyDescent="0.15">
      <c r="A21" s="66"/>
      <c r="B21" s="215"/>
      <c r="C21" s="198"/>
      <c r="D21" s="218"/>
      <c r="E21" s="120" t="s">
        <v>111</v>
      </c>
      <c r="F21" s="238"/>
      <c r="G21" s="224"/>
      <c r="H21" s="69">
        <f>0.1119-F20</f>
        <v>6.3450000000000006E-2</v>
      </c>
      <c r="I21" s="68">
        <f>0.1117-F20</f>
        <v>6.3250000000000001E-2</v>
      </c>
      <c r="J21" s="68">
        <f>0.0887-G20</f>
        <v>4.1300000000000003E-2</v>
      </c>
      <c r="K21" s="68">
        <f>0.0887-G20</f>
        <v>4.1300000000000003E-2</v>
      </c>
      <c r="L21" s="68">
        <f t="shared" si="0"/>
        <v>6.2339546191247982E-3</v>
      </c>
      <c r="M21" s="68">
        <f t="shared" si="1"/>
        <v>6.2015397082658017E-3</v>
      </c>
      <c r="N21" s="68">
        <f t="shared" si="2"/>
        <v>6.2177471636952995E-3</v>
      </c>
      <c r="O21" s="58">
        <f>'Growth curves UTEX #1926'!G13</f>
        <v>0.78400000000000003</v>
      </c>
      <c r="P21" s="68">
        <f t="shared" si="3"/>
        <v>0.98752640000000003</v>
      </c>
      <c r="Q21" s="99">
        <f t="shared" si="8"/>
        <v>7.8400000000000008E-5</v>
      </c>
      <c r="R21" s="100">
        <f t="shared" si="4"/>
        <v>39.653999768464914</v>
      </c>
      <c r="S21" s="101"/>
      <c r="V21" s="70">
        <f t="shared" si="5"/>
        <v>39.15937163695299</v>
      </c>
      <c r="W21" s="102"/>
      <c r="X21" s="70"/>
      <c r="Y21" s="70"/>
      <c r="Z21" s="70">
        <f>(V21-$V$6)/(D20-$D$5)</f>
        <v>0.28539458383767918</v>
      </c>
      <c r="AA21" s="102"/>
      <c r="AB21" s="103"/>
      <c r="AD21" s="87">
        <f>D53</f>
        <v>407.5</v>
      </c>
      <c r="AE21" s="70">
        <f>S55</f>
        <v>67.500850438415796</v>
      </c>
      <c r="AF21" s="70">
        <f>U55</f>
        <v>5.1187997499723288</v>
      </c>
      <c r="AG21" s="70">
        <f>W55</f>
        <v>267.00981451467675</v>
      </c>
      <c r="AH21" s="70">
        <f>Y55</f>
        <v>13.875637407060868</v>
      </c>
      <c r="AJ21" s="141"/>
      <c r="AK21" s="141"/>
      <c r="AL21" s="141"/>
    </row>
    <row r="22" spans="1:38" x14ac:dyDescent="0.2">
      <c r="A22" s="66"/>
      <c r="B22" s="216"/>
      <c r="C22" s="199"/>
      <c r="D22" s="219"/>
      <c r="E22" s="151" t="s">
        <v>112</v>
      </c>
      <c r="F22" s="239"/>
      <c r="G22" s="225"/>
      <c r="H22" s="73">
        <f>0.1473-F20</f>
        <v>9.8849999999999993E-2</v>
      </c>
      <c r="I22" s="74">
        <f>0.1232-F20</f>
        <v>7.4750000000000011E-2</v>
      </c>
      <c r="J22" s="74">
        <f>0.1192-G20</f>
        <v>7.1800000000000003E-2</v>
      </c>
      <c r="K22" s="74">
        <f>0.0966-G20</f>
        <v>4.9200000000000008E-2</v>
      </c>
      <c r="L22" s="68">
        <f t="shared" si="0"/>
        <v>8.9807131280388967E-3</v>
      </c>
      <c r="M22" s="68">
        <f t="shared" si="1"/>
        <v>7.2907617504051883E-3</v>
      </c>
      <c r="N22" s="74">
        <f t="shared" si="2"/>
        <v>8.1357374392220429E-3</v>
      </c>
      <c r="O22" s="71">
        <f>'Growth curves UTEX #1926'!H13</f>
        <v>0.92800000000000005</v>
      </c>
      <c r="P22" s="74">
        <f t="shared" si="3"/>
        <v>1.1689088000000001</v>
      </c>
      <c r="Q22" s="75">
        <f t="shared" si="8"/>
        <v>9.2800000000000006E-5</v>
      </c>
      <c r="R22" s="76">
        <f t="shared" si="4"/>
        <v>43.834792237187727</v>
      </c>
      <c r="S22" s="77">
        <f>AVERAGE(R20:R22)</f>
        <v>43.594914139983892</v>
      </c>
      <c r="T22" s="78">
        <f>STDEV(R20:R22)</f>
        <v>3.8266184215936252</v>
      </c>
      <c r="U22" s="78">
        <f>T22/SQRT(3)</f>
        <v>2.2092991757930607</v>
      </c>
      <c r="V22" s="78">
        <f t="shared" si="5"/>
        <v>51.238874392220424</v>
      </c>
      <c r="W22" s="77">
        <f>AVERAGE(V20:V22)</f>
        <v>49.911309751485682</v>
      </c>
      <c r="X22" s="78">
        <f>STDEV(V20:V22)</f>
        <v>10.15345794465356</v>
      </c>
      <c r="Y22" s="78">
        <f>X22/SQRT(3)</f>
        <v>5.8621016775512773</v>
      </c>
      <c r="Z22" s="78">
        <f>(V22-$V$7)/(D20-$D$5)</f>
        <v>0.37170496960247285</v>
      </c>
      <c r="AA22" s="77">
        <f>AVERAGE(Z20:Z22)</f>
        <v>0.36607502889303761</v>
      </c>
      <c r="AB22" s="135">
        <f>STDEV(Z20:Z22)/SQRT(3)</f>
        <v>4.5043698503601307E-2</v>
      </c>
      <c r="AD22" s="87"/>
      <c r="AE22" s="70"/>
      <c r="AF22" s="70"/>
      <c r="AG22" s="70"/>
      <c r="AH22" s="70"/>
    </row>
    <row r="23" spans="1:38" x14ac:dyDescent="0.2">
      <c r="A23" s="66"/>
      <c r="B23" s="214" t="s">
        <v>30</v>
      </c>
      <c r="C23" s="197">
        <v>0.41666666666666669</v>
      </c>
      <c r="D23" s="218">
        <f>24+D20</f>
        <v>142.5</v>
      </c>
      <c r="E23" s="120" t="s">
        <v>110</v>
      </c>
      <c r="F23" s="238">
        <v>5.9400000000000001E-2</v>
      </c>
      <c r="G23" s="224">
        <v>5.7799999999999997E-2</v>
      </c>
      <c r="H23" s="69">
        <f>0.1754-F23</f>
        <v>0.11599999999999999</v>
      </c>
      <c r="I23" s="68">
        <f>0.1978-F23</f>
        <v>0.1384</v>
      </c>
      <c r="J23" s="68">
        <f>0.1273-G23</f>
        <v>6.9500000000000006E-2</v>
      </c>
      <c r="K23" s="68">
        <f>0.1497-G23</f>
        <v>9.1900000000000009E-2</v>
      </c>
      <c r="L23" s="68">
        <f t="shared" si="0"/>
        <v>1.1985818476499188E-2</v>
      </c>
      <c r="M23" s="68">
        <f t="shared" si="1"/>
        <v>1.3419854132901135E-2</v>
      </c>
      <c r="N23" s="68">
        <f t="shared" si="2"/>
        <v>1.2702836304700161E-2</v>
      </c>
      <c r="O23" s="68">
        <f>'Growth curves UTEX #1926'!F14</f>
        <v>1.3480000000000001</v>
      </c>
      <c r="P23" s="68">
        <f t="shared" si="3"/>
        <v>1.6979408000000002</v>
      </c>
      <c r="Q23" s="99">
        <f t="shared" si="8"/>
        <v>1.348E-4</v>
      </c>
      <c r="R23" s="100">
        <f t="shared" si="4"/>
        <v>47.117345343843333</v>
      </c>
      <c r="S23" s="101"/>
      <c r="V23" s="70">
        <f t="shared" si="5"/>
        <v>80.00246304700164</v>
      </c>
      <c r="W23" s="102"/>
      <c r="X23" s="70"/>
      <c r="Y23" s="70"/>
      <c r="Z23" s="70">
        <f t="shared" si="7"/>
        <v>0.51186074042480612</v>
      </c>
      <c r="AA23" s="102"/>
      <c r="AB23" s="103"/>
      <c r="AC23" s="70"/>
      <c r="AD23" s="70"/>
      <c r="AE23" s="70"/>
    </row>
    <row r="24" spans="1:38" x14ac:dyDescent="0.2">
      <c r="A24" s="66"/>
      <c r="B24" s="215"/>
      <c r="C24" s="198"/>
      <c r="D24" s="218"/>
      <c r="E24" s="120" t="s">
        <v>111</v>
      </c>
      <c r="F24" s="238"/>
      <c r="G24" s="224"/>
      <c r="H24" s="69">
        <f>0.1543-F23</f>
        <v>9.4899999999999984E-2</v>
      </c>
      <c r="I24" s="68">
        <f>0.1643-F23</f>
        <v>0.10489999999999999</v>
      </c>
      <c r="J24" s="68">
        <f>0.1208-G23</f>
        <v>6.3E-2</v>
      </c>
      <c r="K24" s="68">
        <f>0.1294-G23</f>
        <v>7.1599999999999997E-2</v>
      </c>
      <c r="L24" s="68">
        <f t="shared" si="0"/>
        <v>9.2034035656401933E-3</v>
      </c>
      <c r="M24" s="68">
        <f t="shared" si="1"/>
        <v>9.9808752025931924E-3</v>
      </c>
      <c r="N24" s="68">
        <f t="shared" si="2"/>
        <v>9.5921393841166928E-3</v>
      </c>
      <c r="O24" s="68">
        <f>'Growth curves UTEX #1926'!G14</f>
        <v>1.1080000000000001</v>
      </c>
      <c r="P24" s="68">
        <f t="shared" si="3"/>
        <v>1.3956368000000001</v>
      </c>
      <c r="Q24" s="99">
        <f t="shared" si="8"/>
        <v>1.1080000000000001E-4</v>
      </c>
      <c r="R24" s="100">
        <f t="shared" si="4"/>
        <v>43.285827545652943</v>
      </c>
      <c r="S24" s="101"/>
      <c r="V24" s="70">
        <f t="shared" si="5"/>
        <v>60.41129384116693</v>
      </c>
      <c r="W24" s="102"/>
      <c r="X24" s="70"/>
      <c r="Y24" s="70"/>
      <c r="Z24" s="70">
        <f>(V24-$V$7)/(D23-$D$5)</f>
        <v>0.37346988313571605</v>
      </c>
      <c r="AA24" s="102"/>
      <c r="AB24" s="103"/>
      <c r="AC24" s="70"/>
      <c r="AD24" s="70"/>
      <c r="AE24" s="70"/>
    </row>
    <row r="25" spans="1:38" x14ac:dyDescent="0.2">
      <c r="A25" s="66"/>
      <c r="B25" s="216"/>
      <c r="C25" s="199"/>
      <c r="D25" s="219"/>
      <c r="E25" s="151" t="s">
        <v>112</v>
      </c>
      <c r="F25" s="239"/>
      <c r="G25" s="225"/>
      <c r="H25" s="73">
        <f>0.193-F23</f>
        <v>0.1336</v>
      </c>
      <c r="I25" s="74">
        <f>0.1794-F23</f>
        <v>0.12</v>
      </c>
      <c r="J25" s="74">
        <f>0.1462-G23</f>
        <v>8.8400000000000006E-2</v>
      </c>
      <c r="K25" s="74">
        <f>0.134-G23</f>
        <v>7.6200000000000018E-2</v>
      </c>
      <c r="L25" s="68">
        <f t="shared" si="0"/>
        <v>1.2985089141004862E-2</v>
      </c>
      <c r="M25" s="68">
        <f t="shared" si="1"/>
        <v>1.1977147487844408E-2</v>
      </c>
      <c r="N25" s="74">
        <f t="shared" si="2"/>
        <v>1.2481118314424635E-2</v>
      </c>
      <c r="O25" s="74">
        <f>'Growth curves UTEX #1926'!H14</f>
        <v>1.26</v>
      </c>
      <c r="P25" s="74">
        <f t="shared" si="3"/>
        <v>1.5870960000000001</v>
      </c>
      <c r="Q25" s="75">
        <f t="shared" si="8"/>
        <v>1.26E-4</v>
      </c>
      <c r="R25" s="76">
        <f t="shared" si="4"/>
        <v>49.528247279462839</v>
      </c>
      <c r="S25" s="77">
        <f>AVERAGE(R23:R25)</f>
        <v>46.643806722986369</v>
      </c>
      <c r="T25" s="78">
        <f>STDEV(R23:R25)</f>
        <v>3.1480359197993817</v>
      </c>
      <c r="U25" s="78">
        <f>T25/SQRT(3)</f>
        <v>1.8175193857147842</v>
      </c>
      <c r="V25" s="78">
        <f t="shared" si="5"/>
        <v>78.606083144246355</v>
      </c>
      <c r="W25" s="77">
        <f>AVERAGE(V23:V25)</f>
        <v>73.006613344138302</v>
      </c>
      <c r="X25" s="78">
        <f>STDEV(V23:V25)</f>
        <v>10.93018866464134</v>
      </c>
      <c r="Y25" s="78">
        <f>X25/SQRT(3)</f>
        <v>6.310547367824074</v>
      </c>
      <c r="Z25" s="78">
        <f>(V25-$V$7)/(D23-$D$5)</f>
        <v>0.50115261508715059</v>
      </c>
      <c r="AA25" s="77">
        <f>AVERAGE(Z23:Z25)</f>
        <v>0.46216107954922431</v>
      </c>
      <c r="AB25" s="135">
        <f>STDEV(Z23:Z25)/SQRT(3)</f>
        <v>4.4453204713894738E-2</v>
      </c>
    </row>
    <row r="26" spans="1:38" x14ac:dyDescent="0.2">
      <c r="A26" s="66"/>
      <c r="B26" s="214" t="s">
        <v>32</v>
      </c>
      <c r="C26" s="197">
        <v>0.5</v>
      </c>
      <c r="D26" s="218">
        <f>D23+50</f>
        <v>192.5</v>
      </c>
      <c r="E26" s="120" t="s">
        <v>110</v>
      </c>
      <c r="F26" s="238">
        <v>5.3699999999999998E-2</v>
      </c>
      <c r="G26" s="224">
        <v>5.1299999999999998E-2</v>
      </c>
      <c r="H26" s="69">
        <f>0.2466-F26</f>
        <v>0.19290000000000002</v>
      </c>
      <c r="I26" s="68">
        <f>0.2392-F26</f>
        <v>0.1855</v>
      </c>
      <c r="J26" s="68">
        <f>0.1687-G26</f>
        <v>0.11739999999999999</v>
      </c>
      <c r="K26" s="68">
        <f>0.1612-G26</f>
        <v>0.10990000000000001</v>
      </c>
      <c r="L26" s="68">
        <f t="shared" si="0"/>
        <v>1.9752512155591578E-2</v>
      </c>
      <c r="M26" s="68">
        <f t="shared" si="1"/>
        <v>1.9288573743922201E-2</v>
      </c>
      <c r="N26" s="68">
        <f t="shared" si="2"/>
        <v>1.952054294975689E-2</v>
      </c>
      <c r="O26" s="58">
        <f>'Growth curves UTEX #1926'!F16</f>
        <v>1.6879999999999999</v>
      </c>
      <c r="P26" s="68">
        <f t="shared" si="3"/>
        <v>2.1262048</v>
      </c>
      <c r="Q26" s="99">
        <f>P26*0.1/1000</f>
        <v>2.1262048000000001E-4</v>
      </c>
      <c r="R26" s="100">
        <f t="shared" si="4"/>
        <v>45.904662969806317</v>
      </c>
      <c r="S26" s="101"/>
      <c r="V26" s="70">
        <f t="shared" si="5"/>
        <v>97.60271474878445</v>
      </c>
      <c r="W26" s="102"/>
      <c r="X26" s="70"/>
      <c r="Y26" s="70"/>
      <c r="Z26" s="70">
        <f t="shared" si="7"/>
        <v>0.47033977772632557</v>
      </c>
      <c r="AA26" s="102"/>
      <c r="AB26" s="103"/>
    </row>
    <row r="27" spans="1:38" x14ac:dyDescent="0.2">
      <c r="A27" s="66"/>
      <c r="B27" s="215"/>
      <c r="C27" s="198"/>
      <c r="D27" s="218"/>
      <c r="E27" s="120" t="s">
        <v>111</v>
      </c>
      <c r="F27" s="238"/>
      <c r="G27" s="224"/>
      <c r="H27" s="69">
        <f>0.2021-F26</f>
        <v>0.1484</v>
      </c>
      <c r="I27" s="68">
        <f>0.2116-F26</f>
        <v>0.15790000000000001</v>
      </c>
      <c r="J27" s="68">
        <f>0.136-G26</f>
        <v>8.4700000000000011E-2</v>
      </c>
      <c r="K27" s="68">
        <f>0.1448-G26</f>
        <v>9.3500000000000014E-2</v>
      </c>
      <c r="L27" s="68">
        <f t="shared" si="0"/>
        <v>1.5746596434359807E-2</v>
      </c>
      <c r="M27" s="68">
        <f t="shared" si="1"/>
        <v>1.6423419773095624E-2</v>
      </c>
      <c r="N27" s="68">
        <f t="shared" si="2"/>
        <v>1.6085008103727715E-2</v>
      </c>
      <c r="O27" s="58">
        <f>'Growth curves UTEX #1926'!G16</f>
        <v>1.5820000000000001</v>
      </c>
      <c r="P27" s="68">
        <f t="shared" si="3"/>
        <v>1.9926872000000002</v>
      </c>
      <c r="Q27" s="99">
        <f>P27*0.1/1000</f>
        <v>1.9926872000000003E-4</v>
      </c>
      <c r="R27" s="100">
        <f t="shared" si="4"/>
        <v>40.36009290300985</v>
      </c>
      <c r="S27" s="101"/>
      <c r="V27" s="70">
        <f t="shared" si="5"/>
        <v>80.425040518638582</v>
      </c>
      <c r="W27" s="102"/>
      <c r="X27" s="70"/>
      <c r="Y27" s="70"/>
      <c r="Z27" s="70">
        <f>(V27-$V$6)/(D26-$D$5)</f>
        <v>0.39005156917636663</v>
      </c>
      <c r="AA27" s="102"/>
      <c r="AB27" s="103"/>
    </row>
    <row r="28" spans="1:38" x14ac:dyDescent="0.2">
      <c r="A28" s="66"/>
      <c r="B28" s="216"/>
      <c r="C28" s="199"/>
      <c r="D28" s="219"/>
      <c r="E28" s="151" t="s">
        <v>112</v>
      </c>
      <c r="F28" s="239"/>
      <c r="G28" s="225"/>
      <c r="H28" s="73">
        <f>0.2498-F26</f>
        <v>0.1961</v>
      </c>
      <c r="I28" s="74">
        <f>0.2447-F26</f>
        <v>0.191</v>
      </c>
      <c r="J28" s="74">
        <f>0.1749-G26</f>
        <v>0.1236</v>
      </c>
      <c r="K28" s="74">
        <f>0.1683-G26</f>
        <v>0.11700000000000001</v>
      </c>
      <c r="L28" s="68">
        <f t="shared" si="0"/>
        <v>1.9663209076175039E-2</v>
      </c>
      <c r="M28" s="68">
        <f t="shared" si="1"/>
        <v>1.9483792544570503E-2</v>
      </c>
      <c r="N28" s="74">
        <f t="shared" si="2"/>
        <v>1.957350081037277E-2</v>
      </c>
      <c r="O28" s="74">
        <f>'Growth curves UTEX #1926'!H16</f>
        <v>1.61</v>
      </c>
      <c r="P28" s="74">
        <f t="shared" si="3"/>
        <v>2.0279560000000001</v>
      </c>
      <c r="Q28" s="75">
        <f>P28*0.1/1000</f>
        <v>2.0279560000000001E-4</v>
      </c>
      <c r="R28" s="76">
        <f t="shared" si="4"/>
        <v>48.259185136099518</v>
      </c>
      <c r="S28" s="77">
        <f>AVERAGE(R26:R28)</f>
        <v>44.841313669638566</v>
      </c>
      <c r="T28" s="78">
        <f>STDEV(R26:R28)</f>
        <v>4.0554837353070257</v>
      </c>
      <c r="U28" s="78">
        <f>T28/SQRT(3)</f>
        <v>2.3414346262736605</v>
      </c>
      <c r="V28" s="78">
        <f t="shared" si="5"/>
        <v>97.867504051863833</v>
      </c>
      <c r="W28" s="77">
        <f>AVERAGE(V26:V28)</f>
        <v>91.965086439762288</v>
      </c>
      <c r="X28" s="78">
        <f>STDEV(V26:V28)</f>
        <v>9.9948498357898909</v>
      </c>
      <c r="Y28" s="78">
        <f>X28/SQRT(3)</f>
        <v>5.7705292432031809</v>
      </c>
      <c r="Z28" s="78">
        <f>(V28-$V$7)/(D26-$D$5)</f>
        <v>0.47104243406512436</v>
      </c>
      <c r="AA28" s="77">
        <f>AVERAGE(Z26:Z28)</f>
        <v>0.44381126032260559</v>
      </c>
      <c r="AB28" s="135">
        <f>STDEV(Z26:Z28)/SQRT(3)</f>
        <v>2.688061089079426E-2</v>
      </c>
    </row>
    <row r="29" spans="1:38" x14ac:dyDescent="0.2">
      <c r="A29" s="66"/>
      <c r="B29" s="214" t="s">
        <v>33</v>
      </c>
      <c r="C29" s="197">
        <v>0.4513888888888889</v>
      </c>
      <c r="D29" s="218">
        <f>23+D26</f>
        <v>215.5</v>
      </c>
      <c r="E29" s="120" t="s">
        <v>110</v>
      </c>
      <c r="F29" s="238">
        <f>(0.0566+0.0558)/2</f>
        <v>5.62E-2</v>
      </c>
      <c r="G29" s="224">
        <f>(0.055+0.0549)/2</f>
        <v>5.4949999999999999E-2</v>
      </c>
      <c r="H29" s="69">
        <f>0.3123-F29</f>
        <v>0.25609999999999999</v>
      </c>
      <c r="I29" s="68">
        <f>0.2688-F29</f>
        <v>0.21259999999999998</v>
      </c>
      <c r="J29" s="68">
        <f>0.2243-G29</f>
        <v>0.16935</v>
      </c>
      <c r="K29" s="68">
        <f>0.1836-G29</f>
        <v>0.12865000000000001</v>
      </c>
      <c r="L29" s="68">
        <f t="shared" si="0"/>
        <v>2.4901661264181526E-2</v>
      </c>
      <c r="M29" s="68">
        <f t="shared" si="1"/>
        <v>2.1842260940032415E-2</v>
      </c>
      <c r="N29" s="68">
        <f t="shared" si="2"/>
        <v>2.3371961102106972E-2</v>
      </c>
      <c r="O29" s="58">
        <f>'Growth curves UTEX #1926'!F17</f>
        <v>1.8560000000000001</v>
      </c>
      <c r="P29" s="68">
        <f t="shared" si="3"/>
        <v>2.3378176000000002</v>
      </c>
      <c r="Q29" s="99">
        <f t="shared" ref="Q29:Q34" si="9">P29*0.1/1000</f>
        <v>2.3378176000000004E-4</v>
      </c>
      <c r="R29" s="100">
        <f t="shared" si="4"/>
        <v>49.986707906782307</v>
      </c>
      <c r="S29" s="101"/>
      <c r="V29" s="70">
        <f t="shared" si="5"/>
        <v>116.85980551053484</v>
      </c>
      <c r="W29" s="102"/>
      <c r="X29" s="70"/>
      <c r="Y29" s="70"/>
      <c r="Z29" s="70">
        <f t="shared" si="7"/>
        <v>0.50950115069173119</v>
      </c>
      <c r="AA29" s="102"/>
      <c r="AB29" s="103"/>
    </row>
    <row r="30" spans="1:38" x14ac:dyDescent="0.2">
      <c r="A30" s="66"/>
      <c r="B30" s="215"/>
      <c r="C30" s="198"/>
      <c r="D30" s="218"/>
      <c r="E30" s="120" t="s">
        <v>111</v>
      </c>
      <c r="F30" s="238"/>
      <c r="G30" s="224"/>
      <c r="H30" s="69">
        <f>0.237-F29</f>
        <v>0.18079999999999999</v>
      </c>
      <c r="I30" s="68">
        <f>0.2615-F29</f>
        <v>0.20530000000000001</v>
      </c>
      <c r="J30" s="68">
        <f>0.1621-G29</f>
        <v>0.10715</v>
      </c>
      <c r="K30" s="68">
        <f>0.1843-G29</f>
        <v>0.12934999999999999</v>
      </c>
      <c r="L30" s="68">
        <f t="shared" si="0"/>
        <v>1.8796474878444082E-2</v>
      </c>
      <c r="M30" s="68">
        <f t="shared" si="1"/>
        <v>2.0590478119935168E-2</v>
      </c>
      <c r="N30" s="68">
        <f t="shared" si="2"/>
        <v>1.9693476499189625E-2</v>
      </c>
      <c r="O30" s="58">
        <f>'Growth curves UTEX #1926'!G17</f>
        <v>1.8080000000000001</v>
      </c>
      <c r="P30" s="68">
        <f t="shared" si="3"/>
        <v>2.2773568000000002</v>
      </c>
      <c r="Q30" s="99">
        <f t="shared" si="9"/>
        <v>2.2773568000000003E-4</v>
      </c>
      <c r="R30" s="100">
        <f t="shared" si="4"/>
        <v>43.237573706477662</v>
      </c>
      <c r="S30" s="101"/>
      <c r="V30" s="70">
        <f t="shared" si="5"/>
        <v>98.467382495948115</v>
      </c>
      <c r="W30" s="102"/>
      <c r="X30" s="70"/>
      <c r="Y30" s="70"/>
      <c r="Z30" s="70">
        <f>(V30-$V$6)/(D29-$D$5)</f>
        <v>0.43214509997104461</v>
      </c>
      <c r="AA30" s="102"/>
      <c r="AB30" s="103"/>
    </row>
    <row r="31" spans="1:38" x14ac:dyDescent="0.2">
      <c r="A31" s="66"/>
      <c r="B31" s="216"/>
      <c r="C31" s="199"/>
      <c r="D31" s="219"/>
      <c r="E31" s="151" t="s">
        <v>112</v>
      </c>
      <c r="F31" s="239"/>
      <c r="G31" s="225"/>
      <c r="H31" s="73">
        <f>0.2647-F29</f>
        <v>0.20849999999999999</v>
      </c>
      <c r="I31" s="74">
        <f>0.2703-F29</f>
        <v>0.21409999999999998</v>
      </c>
      <c r="J31" s="74">
        <f>0.1792-G29</f>
        <v>0.12425</v>
      </c>
      <c r="K31" s="74">
        <f>0.1839-G29</f>
        <v>0.12895000000000001</v>
      </c>
      <c r="L31" s="68">
        <f t="shared" si="0"/>
        <v>2.160919773095624E-2</v>
      </c>
      <c r="M31" s="68">
        <f t="shared" si="1"/>
        <v>2.205595623987034E-2</v>
      </c>
      <c r="N31" s="74">
        <f t="shared" si="2"/>
        <v>2.1832576985413292E-2</v>
      </c>
      <c r="O31" s="71">
        <f>'Growth curves UTEX #1926'!H17</f>
        <v>1.8120000000000001</v>
      </c>
      <c r="P31" s="74">
        <f t="shared" si="3"/>
        <v>2.2823952000000003</v>
      </c>
      <c r="Q31" s="75">
        <f t="shared" si="9"/>
        <v>2.2823952000000002E-4</v>
      </c>
      <c r="R31" s="76">
        <f t="shared" si="4"/>
        <v>47.828213504421342</v>
      </c>
      <c r="S31" s="77">
        <f>AVERAGE(R29:R31)</f>
        <v>47.017498372560432</v>
      </c>
      <c r="T31" s="78">
        <f>STDEV(R29:R31)</f>
        <v>3.4468314989569246</v>
      </c>
      <c r="U31" s="78">
        <f>T31/SQRT(3)</f>
        <v>1.9900290937740619</v>
      </c>
      <c r="V31" s="78">
        <f t="shared" si="5"/>
        <v>109.16288492706646</v>
      </c>
      <c r="W31" s="77">
        <f>AVERAGE(V29:V31)</f>
        <v>108.16335764451647</v>
      </c>
      <c r="X31" s="78">
        <f>STDEV(V29:V31)</f>
        <v>9.236860785910773</v>
      </c>
      <c r="Y31" s="78">
        <f>X31/SQRT(3)</f>
        <v>5.332904061212683</v>
      </c>
      <c r="Z31" s="78">
        <f>(V31-$V$7)/(D29-$D$5)</f>
        <v>0.47318352404983327</v>
      </c>
      <c r="AA31" s="77">
        <f>AVERAGE(Z29:Z31)</f>
        <v>0.471609924904203</v>
      </c>
      <c r="AB31" s="135">
        <f>STDEV(Z29:Z31)/SQRT(3)</f>
        <v>2.2344625054501025E-2</v>
      </c>
    </row>
    <row r="32" spans="1:38" x14ac:dyDescent="0.2">
      <c r="A32" s="66"/>
      <c r="B32" s="214" t="s">
        <v>34</v>
      </c>
      <c r="C32" s="197">
        <v>0.40625</v>
      </c>
      <c r="D32" s="218">
        <f>23+D29</f>
        <v>238.5</v>
      </c>
      <c r="E32" s="120" t="s">
        <v>110</v>
      </c>
      <c r="F32" s="238">
        <f>(0.0488+0.0544)/2</f>
        <v>5.16E-2</v>
      </c>
      <c r="G32" s="224">
        <f>(0.0522+0.0455)/2</f>
        <v>4.8850000000000005E-2</v>
      </c>
      <c r="H32" s="69">
        <f>0.2763-F32</f>
        <v>0.22469999999999998</v>
      </c>
      <c r="I32" s="68">
        <f>0.2692-F32</f>
        <v>0.21759999999999999</v>
      </c>
      <c r="J32" s="68">
        <f>0.1736-G32</f>
        <v>0.12475</v>
      </c>
      <c r="K32" s="68">
        <f>0.1663-G32</f>
        <v>0.11745</v>
      </c>
      <c r="L32" s="68">
        <f t="shared" si="0"/>
        <v>2.4185777957860616E-2</v>
      </c>
      <c r="M32" s="68">
        <f t="shared" si="1"/>
        <v>2.375085089141005E-2</v>
      </c>
      <c r="N32" s="68">
        <f t="shared" si="2"/>
        <v>2.3968314424635331E-2</v>
      </c>
      <c r="O32" s="68">
        <f>'Growth curves UTEX #1926'!F18</f>
        <v>2.04</v>
      </c>
      <c r="P32" s="68">
        <f t="shared" si="3"/>
        <v>2.5695840000000003</v>
      </c>
      <c r="Q32" s="99">
        <f t="shared" si="9"/>
        <v>2.5695840000000003E-4</v>
      </c>
      <c r="R32" s="100">
        <f t="shared" si="4"/>
        <v>46.638511184369392</v>
      </c>
      <c r="S32" s="101"/>
      <c r="V32" s="70">
        <f t="shared" si="5"/>
        <v>119.84157212317666</v>
      </c>
      <c r="W32" s="102"/>
      <c r="X32" s="70"/>
      <c r="Y32" s="70"/>
      <c r="Z32" s="70">
        <f t="shared" si="7"/>
        <v>0.47286903390654039</v>
      </c>
      <c r="AA32" s="102"/>
      <c r="AB32" s="103"/>
    </row>
    <row r="33" spans="1:28" x14ac:dyDescent="0.2">
      <c r="A33" s="66"/>
      <c r="B33" s="215"/>
      <c r="C33" s="198"/>
      <c r="D33" s="218"/>
      <c r="E33" s="120" t="s">
        <v>111</v>
      </c>
      <c r="F33" s="238"/>
      <c r="G33" s="224"/>
      <c r="H33" s="69">
        <f>0.269-F32</f>
        <v>0.21740000000000001</v>
      </c>
      <c r="I33" s="68">
        <f>0.2663-F32</f>
        <v>0.21469999999999997</v>
      </c>
      <c r="J33" s="68">
        <f>0.179-G32</f>
        <v>0.13014999999999999</v>
      </c>
      <c r="K33" s="68">
        <f>0.1749-G32</f>
        <v>0.12605</v>
      </c>
      <c r="L33" s="68">
        <f t="shared" si="0"/>
        <v>2.247313614262561E-2</v>
      </c>
      <c r="M33" s="68">
        <f t="shared" si="1"/>
        <v>2.2437560777957857E-2</v>
      </c>
      <c r="N33" s="68">
        <f t="shared" si="2"/>
        <v>2.2455348460291735E-2</v>
      </c>
      <c r="O33" s="68">
        <f>'Growth curves UTEX #1926'!G18</f>
        <v>1.94</v>
      </c>
      <c r="P33" s="68">
        <f t="shared" si="3"/>
        <v>2.4436240000000002</v>
      </c>
      <c r="Q33" s="99">
        <f t="shared" si="9"/>
        <v>2.4436240000000006E-4</v>
      </c>
      <c r="R33" s="100">
        <f t="shared" si="4"/>
        <v>45.946816000112392</v>
      </c>
      <c r="S33" s="101"/>
      <c r="V33" s="70">
        <f t="shared" si="5"/>
        <v>112.27674230145865</v>
      </c>
      <c r="W33" s="102"/>
      <c r="X33" s="70"/>
      <c r="Y33" s="70"/>
      <c r="Z33" s="70">
        <f>(V33-$V$6)/(D32-$D$5)</f>
        <v>0.44837160943090421</v>
      </c>
      <c r="AA33" s="102"/>
      <c r="AB33" s="103"/>
    </row>
    <row r="34" spans="1:28" x14ac:dyDescent="0.2">
      <c r="A34" s="66"/>
      <c r="B34" s="216"/>
      <c r="C34" s="199"/>
      <c r="D34" s="219"/>
      <c r="E34" s="151" t="s">
        <v>112</v>
      </c>
      <c r="F34" s="239"/>
      <c r="G34" s="225"/>
      <c r="H34" s="73">
        <f>0.2719-F32</f>
        <v>0.22029999999999997</v>
      </c>
      <c r="I34" s="74">
        <f>0.2648-F32</f>
        <v>0.21319999999999997</v>
      </c>
      <c r="J34" s="74">
        <f>0.1815-G32</f>
        <v>0.13264999999999999</v>
      </c>
      <c r="K34" s="74">
        <f>0.172-G32</f>
        <v>0.12314999999999998</v>
      </c>
      <c r="L34" s="68">
        <f t="shared" si="0"/>
        <v>2.2698014586709881E-2</v>
      </c>
      <c r="M34" s="68">
        <f t="shared" si="1"/>
        <v>2.2478808752025931E-2</v>
      </c>
      <c r="N34" s="74">
        <f t="shared" si="2"/>
        <v>2.2588411669367904E-2</v>
      </c>
      <c r="O34" s="71">
        <f>'Growth curves UTEX #1926'!H18</f>
        <v>1.968</v>
      </c>
      <c r="P34" s="74">
        <f t="shared" si="3"/>
        <v>2.4788928000000001</v>
      </c>
      <c r="Q34" s="75">
        <f t="shared" si="9"/>
        <v>2.4788928000000002E-4</v>
      </c>
      <c r="R34" s="76">
        <f t="shared" si="4"/>
        <v>45.561493561496292</v>
      </c>
      <c r="S34" s="77">
        <f>AVERAGE(R32:R34)</f>
        <v>46.048940248659356</v>
      </c>
      <c r="T34" s="78">
        <f>STDEV(R32:R34)</f>
        <v>0.54572315472294919</v>
      </c>
      <c r="U34" s="78">
        <f>T34/SQRT(3)</f>
        <v>0.31507341028230651</v>
      </c>
      <c r="V34" s="78">
        <f t="shared" si="5"/>
        <v>112.94205834683952</v>
      </c>
      <c r="W34" s="77">
        <f>AVERAGE(V32:V34)</f>
        <v>115.02012425715827</v>
      </c>
      <c r="X34" s="78">
        <f>STDEV(V32:V34)</f>
        <v>4.1887266565879209</v>
      </c>
      <c r="Y34" s="78">
        <f>X34/SQRT(3)</f>
        <v>2.4183624627427975</v>
      </c>
      <c r="Z34" s="78">
        <f>(V34-$V$7)/(D32-$D$5)</f>
        <v>0.44339716080717873</v>
      </c>
      <c r="AA34" s="77">
        <f>AVERAGE(Z32:Z34)</f>
        <v>0.45487926804820783</v>
      </c>
      <c r="AB34" s="135">
        <f>STDEV(Z32:Z34)/SQRT(3)</f>
        <v>9.108787725885803E-3</v>
      </c>
    </row>
    <row r="35" spans="1:28" x14ac:dyDescent="0.2">
      <c r="A35" s="66"/>
      <c r="B35" s="214" t="s">
        <v>35</v>
      </c>
      <c r="C35" s="197">
        <v>0.41319444444444442</v>
      </c>
      <c r="D35" s="218">
        <f>D32+24</f>
        <v>262.5</v>
      </c>
      <c r="E35" s="120" t="s">
        <v>110</v>
      </c>
      <c r="F35" s="238">
        <f>F32</f>
        <v>5.16E-2</v>
      </c>
      <c r="G35" s="224">
        <f>G32</f>
        <v>4.8850000000000005E-2</v>
      </c>
      <c r="H35" s="69">
        <f>0.2272-F35</f>
        <v>0.17560000000000001</v>
      </c>
      <c r="I35" s="68">
        <f>0.2353-F35</f>
        <v>0.1837</v>
      </c>
      <c r="J35" s="68">
        <f>0.1573-G35</f>
        <v>0.10844999999999999</v>
      </c>
      <c r="K35" s="68">
        <f>0.1623-G35</f>
        <v>0.11345</v>
      </c>
      <c r="L35" s="68">
        <f t="shared" si="0"/>
        <v>1.7826215559157213E-2</v>
      </c>
      <c r="M35" s="68">
        <f t="shared" si="1"/>
        <v>1.8648743922204215E-2</v>
      </c>
      <c r="N35" s="68">
        <f t="shared" si="2"/>
        <v>1.8237479740680712E-2</v>
      </c>
      <c r="O35" s="58">
        <f>'Growth curves UTEX #1926'!F19</f>
        <v>2.3519999999999999</v>
      </c>
      <c r="P35" s="68">
        <f t="shared" si="3"/>
        <v>2.9625792</v>
      </c>
      <c r="Q35" s="99">
        <f t="shared" ref="Q35:Q55" si="10">P35*0.075/1000</f>
        <v>2.2219343999999998E-4</v>
      </c>
      <c r="R35" s="100">
        <f t="shared" si="4"/>
        <v>41.039644871335341</v>
      </c>
      <c r="S35" s="101"/>
      <c r="V35" s="70">
        <f t="shared" si="5"/>
        <v>121.58319827120475</v>
      </c>
      <c r="W35" s="102"/>
      <c r="X35" s="70"/>
      <c r="Y35" s="70"/>
      <c r="Z35" s="70">
        <f t="shared" si="7"/>
        <v>0.43627005994185897</v>
      </c>
      <c r="AA35" s="102"/>
      <c r="AB35" s="103"/>
    </row>
    <row r="36" spans="1:28" x14ac:dyDescent="0.2">
      <c r="A36" s="66"/>
      <c r="B36" s="215"/>
      <c r="C36" s="198"/>
      <c r="D36" s="218"/>
      <c r="E36" s="120" t="s">
        <v>111</v>
      </c>
      <c r="F36" s="238"/>
      <c r="G36" s="224"/>
      <c r="H36" s="69">
        <f>0.2383-F35</f>
        <v>0.1867</v>
      </c>
      <c r="I36" s="68">
        <f>0.2067-F35</f>
        <v>0.15509999999999999</v>
      </c>
      <c r="J36" s="68">
        <f>0.169-G35</f>
        <v>0.12015000000000001</v>
      </c>
      <c r="K36" s="68">
        <f>0.1385-G35</f>
        <v>8.9650000000000007E-2</v>
      </c>
      <c r="L36" s="68">
        <f t="shared" si="0"/>
        <v>1.8477998379254457E-2</v>
      </c>
      <c r="M36" s="68">
        <f t="shared" si="1"/>
        <v>1.6347123176661264E-2</v>
      </c>
      <c r="N36" s="68">
        <f t="shared" si="2"/>
        <v>1.7412560777957858E-2</v>
      </c>
      <c r="O36" s="58">
        <f>'Growth curves UTEX #1926'!G19</f>
        <v>2.1520000000000001</v>
      </c>
      <c r="P36" s="68">
        <f t="shared" si="3"/>
        <v>2.7106592000000003</v>
      </c>
      <c r="Q36" s="99">
        <f t="shared" si="10"/>
        <v>2.0329944000000002E-4</v>
      </c>
      <c r="R36" s="100">
        <f t="shared" si="4"/>
        <v>42.824910826015696</v>
      </c>
      <c r="S36" s="101"/>
      <c r="V36" s="70">
        <f t="shared" si="5"/>
        <v>116.08373851971906</v>
      </c>
      <c r="W36" s="102"/>
      <c r="X36" s="70"/>
      <c r="Y36" s="70"/>
      <c r="Z36" s="70">
        <f>(V36-$V$6)/(D35-$D$5)</f>
        <v>0.42188047644773735</v>
      </c>
      <c r="AA36" s="102"/>
      <c r="AB36" s="103"/>
    </row>
    <row r="37" spans="1:28" x14ac:dyDescent="0.2">
      <c r="A37" s="66"/>
      <c r="B37" s="216"/>
      <c r="C37" s="199"/>
      <c r="D37" s="219"/>
      <c r="E37" s="151" t="s">
        <v>112</v>
      </c>
      <c r="F37" s="239"/>
      <c r="G37" s="225"/>
      <c r="H37" s="73">
        <f>0.2636-F35</f>
        <v>0.21199999999999999</v>
      </c>
      <c r="I37" s="74">
        <f>0.2596-F35</f>
        <v>0.20799999999999999</v>
      </c>
      <c r="J37" s="74">
        <f>0.1819-G35</f>
        <v>0.13305</v>
      </c>
      <c r="K37" s="74">
        <f>0.1756-G35</f>
        <v>0.12675</v>
      </c>
      <c r="L37" s="68">
        <f t="shared" si="0"/>
        <v>2.1313573743922204E-2</v>
      </c>
      <c r="M37" s="68">
        <f t="shared" si="1"/>
        <v>2.1283022690437602E-2</v>
      </c>
      <c r="N37" s="74">
        <f t="shared" si="2"/>
        <v>2.1298298217179903E-2</v>
      </c>
      <c r="O37" s="74">
        <f>'Growth curves UTEX #1926'!H19</f>
        <v>2.4</v>
      </c>
      <c r="P37" s="74">
        <f t="shared" si="3"/>
        <v>3.0230399999999999</v>
      </c>
      <c r="Q37" s="75">
        <f t="shared" si="10"/>
        <v>2.2672799999999999E-4</v>
      </c>
      <c r="R37" s="76">
        <f t="shared" si="4"/>
        <v>46.968830971869167</v>
      </c>
      <c r="S37" s="77">
        <f>AVERAGE(R35:R37)</f>
        <v>43.611128889740066</v>
      </c>
      <c r="T37" s="78">
        <f>STDEV(R35:R37)</f>
        <v>3.0417784413868403</v>
      </c>
      <c r="U37" s="78">
        <f>T37/SQRT(3)</f>
        <v>1.7561716019498925</v>
      </c>
      <c r="V37" s="78">
        <f t="shared" si="5"/>
        <v>141.98865478119936</v>
      </c>
      <c r="W37" s="77">
        <f>AVERAGE(V35:V37)</f>
        <v>126.55186385737439</v>
      </c>
      <c r="X37" s="78">
        <f>STDEV(V35:V37)</f>
        <v>13.648512736154309</v>
      </c>
      <c r="Y37" s="78">
        <f>X37/SQRT(3)</f>
        <v>7.8799725022567264</v>
      </c>
      <c r="Z37" s="78">
        <f>(V37-$V$7)/(D35-$D$5)</f>
        <v>0.51351169252141704</v>
      </c>
      <c r="AA37" s="77">
        <f>AVERAGE(Z35:Z37)</f>
        <v>0.45722074297033782</v>
      </c>
      <c r="AB37" s="135">
        <f>STDEV(Z35:Z37)/SQRT(3)</f>
        <v>2.8450356056970459E-2</v>
      </c>
    </row>
    <row r="38" spans="1:28" x14ac:dyDescent="0.2">
      <c r="A38" s="66"/>
      <c r="B38" s="214" t="s">
        <v>36</v>
      </c>
      <c r="C38" s="197">
        <v>0.40625</v>
      </c>
      <c r="D38" s="218">
        <f>48+D32</f>
        <v>286.5</v>
      </c>
      <c r="E38" s="120" t="s">
        <v>110</v>
      </c>
      <c r="F38" s="238">
        <f>(0.0585+0.0528+0.0569)/3</f>
        <v>5.6066666666666674E-2</v>
      </c>
      <c r="G38" s="224">
        <f>(0.0574+0.0504+0.055)/3</f>
        <v>5.4266666666666664E-2</v>
      </c>
      <c r="H38" s="69">
        <f>0.2372-F38</f>
        <v>0.18113333333333331</v>
      </c>
      <c r="I38" s="68">
        <f>0.2293-F38</f>
        <v>0.17323333333333332</v>
      </c>
      <c r="J38" s="68">
        <f>0.1662-G38</f>
        <v>0.11193333333333333</v>
      </c>
      <c r="K38" s="68">
        <f>0.1587-G38</f>
        <v>0.10443333333333335</v>
      </c>
      <c r="L38" s="68">
        <f t="shared" si="0"/>
        <v>1.838146947595894E-2</v>
      </c>
      <c r="M38" s="68">
        <f t="shared" si="1"/>
        <v>1.7836493787142083E-2</v>
      </c>
      <c r="N38" s="68">
        <f t="shared" si="2"/>
        <v>1.8108981631550509E-2</v>
      </c>
      <c r="O38" s="58">
        <f>'Growth curves UTEX #1926'!F20</f>
        <v>2.4239999999999999</v>
      </c>
      <c r="P38" s="68">
        <f t="shared" si="3"/>
        <v>3.0532704000000002</v>
      </c>
      <c r="Q38" s="99">
        <f t="shared" si="10"/>
        <v>2.2899528E-4</v>
      </c>
      <c r="R38" s="100">
        <f t="shared" si="4"/>
        <v>39.540076178754667</v>
      </c>
      <c r="S38" s="101"/>
      <c r="V38" s="70">
        <f t="shared" si="5"/>
        <v>120.72654421033674</v>
      </c>
      <c r="W38" s="102"/>
      <c r="X38" s="70"/>
      <c r="Y38" s="70"/>
      <c r="Z38" s="70">
        <f t="shared" si="7"/>
        <v>0.39673381037999988</v>
      </c>
      <c r="AA38" s="102"/>
      <c r="AB38" s="103"/>
    </row>
    <row r="39" spans="1:28" x14ac:dyDescent="0.2">
      <c r="A39" s="66"/>
      <c r="B39" s="215"/>
      <c r="C39" s="198"/>
      <c r="D39" s="218"/>
      <c r="E39" s="120" t="s">
        <v>111</v>
      </c>
      <c r="F39" s="238"/>
      <c r="G39" s="224"/>
      <c r="H39" s="69">
        <f>0.2291-F38</f>
        <v>0.17303333333333332</v>
      </c>
      <c r="I39" s="68">
        <f>0.2148-F38</f>
        <v>0.15873333333333331</v>
      </c>
      <c r="J39" s="68">
        <f>0.1572-G38</f>
        <v>0.10293333333333335</v>
      </c>
      <c r="K39" s="68">
        <f>0.1431-G38</f>
        <v>8.8833333333333347E-2</v>
      </c>
      <c r="L39" s="68">
        <f t="shared" si="0"/>
        <v>1.7951161534305777E-2</v>
      </c>
      <c r="M39" s="68">
        <f t="shared" si="1"/>
        <v>1.7016072393300913E-2</v>
      </c>
      <c r="N39" s="68">
        <f t="shared" si="2"/>
        <v>1.7483616963803343E-2</v>
      </c>
      <c r="O39" s="58">
        <f>'Growth curves UTEX #1926'!G20</f>
        <v>2.4079999999999999</v>
      </c>
      <c r="P39" s="68">
        <f t="shared" si="3"/>
        <v>3.0331168000000002</v>
      </c>
      <c r="Q39" s="99">
        <f t="shared" si="10"/>
        <v>2.2748376E-4</v>
      </c>
      <c r="R39" s="100">
        <f t="shared" si="4"/>
        <v>38.428274976207845</v>
      </c>
      <c r="S39" s="101"/>
      <c r="V39" s="70">
        <f t="shared" si="5"/>
        <v>116.55744642535562</v>
      </c>
      <c r="W39" s="102"/>
      <c r="X39" s="70"/>
      <c r="Y39" s="70"/>
      <c r="Z39" s="70">
        <f>(V39-$V$6)/(D38-$D$5)</f>
        <v>0.38819313428679797</v>
      </c>
      <c r="AA39" s="102"/>
      <c r="AB39" s="103"/>
    </row>
    <row r="40" spans="1:28" x14ac:dyDescent="0.2">
      <c r="A40" s="66"/>
      <c r="B40" s="216"/>
      <c r="C40" s="199"/>
      <c r="D40" s="219"/>
      <c r="E40" s="151" t="s">
        <v>112</v>
      </c>
      <c r="F40" s="239"/>
      <c r="G40" s="225"/>
      <c r="H40" s="73">
        <f>0.2903-F38</f>
        <v>0.23423333333333332</v>
      </c>
      <c r="I40" s="74">
        <f>0.2793-F38</f>
        <v>0.22323333333333331</v>
      </c>
      <c r="J40" s="74">
        <f>0.1953-G38</f>
        <v>0.14103333333333334</v>
      </c>
      <c r="K40" s="74">
        <f>0.1823-G38</f>
        <v>0.12803333333333333</v>
      </c>
      <c r="L40" s="68">
        <f t="shared" si="0"/>
        <v>2.4134224743381952E-2</v>
      </c>
      <c r="M40" s="68">
        <f t="shared" si="1"/>
        <v>2.3626121015667204E-2</v>
      </c>
      <c r="N40" s="74">
        <f t="shared" si="2"/>
        <v>2.3880172879524576E-2</v>
      </c>
      <c r="O40" s="71">
        <f>'Growth curves UTEX #1926'!H20</f>
        <v>2.552</v>
      </c>
      <c r="P40" s="74">
        <f t="shared" si="3"/>
        <v>3.2144992000000001</v>
      </c>
      <c r="Q40" s="75">
        <f t="shared" si="10"/>
        <v>2.4108743999999999E-4</v>
      </c>
      <c r="R40" s="76">
        <f t="shared" si="4"/>
        <v>49.525958049752774</v>
      </c>
      <c r="S40" s="77">
        <f>AVERAGE(R38:R40)</f>
        <v>42.498103068238429</v>
      </c>
      <c r="T40" s="78">
        <f>STDEV(R38:R40)</f>
        <v>6.1116351911246873</v>
      </c>
      <c r="U40" s="78">
        <f>T40/SQRT(3)</f>
        <v>3.5285542227846283</v>
      </c>
      <c r="V40" s="78">
        <f t="shared" si="5"/>
        <v>159.20115253016385</v>
      </c>
      <c r="W40" s="77">
        <f>AVERAGE(V38:V40)</f>
        <v>132.16171438861875</v>
      </c>
      <c r="X40" s="78">
        <f>STDEV(V38:V40)</f>
        <v>23.509439707126461</v>
      </c>
      <c r="Y40" s="78">
        <f>X40/SQRT(3)</f>
        <v>13.573181343406739</v>
      </c>
      <c r="Z40" s="78">
        <f>(V40-$V$7)/(D38-$D$5)</f>
        <v>0.53057353241129657</v>
      </c>
      <c r="AA40" s="77">
        <f>AVERAGE(Z38:Z40)</f>
        <v>0.43850015902603151</v>
      </c>
      <c r="AB40" s="135">
        <f>STDEV(Z38:Z40)/SQRT(3)</f>
        <v>4.6102658462533475E-2</v>
      </c>
    </row>
    <row r="41" spans="1:28" x14ac:dyDescent="0.2">
      <c r="A41" s="66"/>
      <c r="B41" s="214" t="s">
        <v>37</v>
      </c>
      <c r="C41" s="197">
        <v>0.37152777777777773</v>
      </c>
      <c r="D41" s="218">
        <f>23+D38</f>
        <v>309.5</v>
      </c>
      <c r="E41" s="120" t="s">
        <v>110</v>
      </c>
      <c r="F41" s="238">
        <f>(0.0297+0.0354+0.0757)/3</f>
        <v>4.6933333333333334E-2</v>
      </c>
      <c r="G41" s="224">
        <f>(0.0296+0.0366+0.0726)/3</f>
        <v>4.6266666666666671E-2</v>
      </c>
      <c r="H41" s="69">
        <f>0.4328-F41</f>
        <v>0.38586666666666669</v>
      </c>
      <c r="I41" s="68">
        <f>0.3481-F41</f>
        <v>0.30116666666666669</v>
      </c>
      <c r="J41" s="68">
        <f>0.3462-G41</f>
        <v>0.29993333333333333</v>
      </c>
      <c r="K41" s="68">
        <f>0.2643-G41</f>
        <v>0.2180333333333333</v>
      </c>
      <c r="L41" s="68">
        <f t="shared" si="0"/>
        <v>3.3129173419773103E-2</v>
      </c>
      <c r="M41" s="68">
        <f t="shared" si="1"/>
        <v>2.7432171799027561E-2</v>
      </c>
      <c r="N41" s="68">
        <f t="shared" si="2"/>
        <v>3.028067260940033E-2</v>
      </c>
      <c r="O41" s="58">
        <f>'Growth curves UTEX #1926'!F21</f>
        <v>2.5920000000000001</v>
      </c>
      <c r="P41" s="68">
        <f t="shared" si="3"/>
        <v>3.2648832000000003</v>
      </c>
      <c r="Q41" s="99">
        <f t="shared" si="10"/>
        <v>2.4486624000000001E-4</v>
      </c>
      <c r="R41" s="100">
        <f t="shared" si="4"/>
        <v>61.831048268230703</v>
      </c>
      <c r="S41" s="101"/>
      <c r="V41" s="70">
        <f t="shared" si="5"/>
        <v>201.87115072933554</v>
      </c>
      <c r="W41" s="102"/>
      <c r="X41" s="70"/>
      <c r="Y41" s="70"/>
      <c r="Z41" s="70">
        <f t="shared" si="7"/>
        <v>0.6294308342257473</v>
      </c>
      <c r="AA41" s="102"/>
      <c r="AB41" s="103"/>
    </row>
    <row r="42" spans="1:28" x14ac:dyDescent="0.2">
      <c r="A42" s="66"/>
      <c r="B42" s="215"/>
      <c r="C42" s="198"/>
      <c r="D42" s="218"/>
      <c r="E42" s="120" t="s">
        <v>111</v>
      </c>
      <c r="F42" s="238"/>
      <c r="G42" s="224"/>
      <c r="H42" s="69">
        <f>0.2439-F41</f>
        <v>0.19696666666666668</v>
      </c>
      <c r="I42" s="68">
        <f>0.2384-F41</f>
        <v>0.19146666666666667</v>
      </c>
      <c r="J42" s="68">
        <f>0.1703-G41</f>
        <v>0.12403333333333333</v>
      </c>
      <c r="K42" s="68">
        <f>0.1629-G41</f>
        <v>0.11663333333333331</v>
      </c>
      <c r="L42" s="68">
        <f t="shared" si="0"/>
        <v>1.9761183144246356E-2</v>
      </c>
      <c r="M42" s="68">
        <f t="shared" si="1"/>
        <v>1.9595380875202597E-2</v>
      </c>
      <c r="N42" s="68">
        <f t="shared" si="2"/>
        <v>1.9678282009724476E-2</v>
      </c>
      <c r="O42" s="58">
        <f>'Growth curves UTEX #1926'!G21</f>
        <v>2.3359999999999999</v>
      </c>
      <c r="P42" s="68">
        <f t="shared" si="3"/>
        <v>2.9424256</v>
      </c>
      <c r="Q42" s="99">
        <f t="shared" si="10"/>
        <v>2.2068192000000001E-4</v>
      </c>
      <c r="R42" s="100">
        <f t="shared" si="4"/>
        <v>44.585170388504132</v>
      </c>
      <c r="S42" s="101"/>
      <c r="V42" s="70">
        <f t="shared" si="5"/>
        <v>131.1885467314965</v>
      </c>
      <c r="W42" s="102"/>
      <c r="X42" s="70"/>
      <c r="Y42" s="70"/>
      <c r="Z42" s="70">
        <f>(V42-$V$6)/(D41-$D$5)</f>
        <v>0.40661852432732953</v>
      </c>
      <c r="AA42" s="102"/>
      <c r="AB42" s="103"/>
    </row>
    <row r="43" spans="1:28" x14ac:dyDescent="0.2">
      <c r="A43" s="66"/>
      <c r="B43" s="216"/>
      <c r="C43" s="199"/>
      <c r="D43" s="219"/>
      <c r="E43" s="151" t="s">
        <v>112</v>
      </c>
      <c r="F43" s="239"/>
      <c r="G43" s="225"/>
      <c r="H43" s="73">
        <f>0.3138-F41</f>
        <v>0.2668666666666667</v>
      </c>
      <c r="I43" s="74">
        <f>0.286-F41</f>
        <v>0.23906666666666665</v>
      </c>
      <c r="J43" s="74">
        <f>0.2257-G41</f>
        <v>0.17943333333333333</v>
      </c>
      <c r="K43" s="74">
        <f>0.2013-G41</f>
        <v>0.15503333333333333</v>
      </c>
      <c r="L43" s="68">
        <f t="shared" si="0"/>
        <v>2.5657941653160463E-2</v>
      </c>
      <c r="M43" s="68">
        <f t="shared" si="1"/>
        <v>2.3544813614262562E-2</v>
      </c>
      <c r="N43" s="74">
        <f t="shared" si="2"/>
        <v>2.4601377633711514E-2</v>
      </c>
      <c r="O43" s="71">
        <f>'Growth curves UTEX #1926'!H21</f>
        <v>2.9359999999999999</v>
      </c>
      <c r="P43" s="74">
        <f t="shared" si="3"/>
        <v>3.6981856</v>
      </c>
      <c r="Q43" s="75">
        <f t="shared" si="10"/>
        <v>2.7736391999999999E-4</v>
      </c>
      <c r="R43" s="76">
        <f t="shared" si="4"/>
        <v>44.348554119280394</v>
      </c>
      <c r="S43" s="77">
        <f>AVERAGE(R41:R43)</f>
        <v>50.254924258671736</v>
      </c>
      <c r="T43" s="78">
        <f>STDEV(R41:R43)</f>
        <v>10.025915525688015</v>
      </c>
      <c r="U43" s="78">
        <f>T43/SQRT(3)</f>
        <v>5.7884650276284244</v>
      </c>
      <c r="V43" s="78">
        <f t="shared" si="5"/>
        <v>164.00918422474342</v>
      </c>
      <c r="W43" s="77">
        <f>AVERAGE(V41:V43)</f>
        <v>165.68962722852515</v>
      </c>
      <c r="X43" s="78">
        <f>STDEV(V41:V43)</f>
        <v>35.371253066516502</v>
      </c>
      <c r="Y43" s="78">
        <f>X43/SQRT(3)</f>
        <v>20.421602479527678</v>
      </c>
      <c r="Z43" s="78">
        <f>(V43-$V$7)/(D41-$D$5)</f>
        <v>0.5066796404859969</v>
      </c>
      <c r="AA43" s="77">
        <f>AVERAGE(Z41:Z43)</f>
        <v>0.51424299967969123</v>
      </c>
      <c r="AB43" s="135">
        <f>STDEV(Z41:Z43)/SQRT(3)</f>
        <v>6.4431448486710535E-2</v>
      </c>
    </row>
    <row r="44" spans="1:28" x14ac:dyDescent="0.2">
      <c r="A44" s="66"/>
      <c r="B44" s="214" t="s">
        <v>38</v>
      </c>
      <c r="C44" s="197">
        <v>0.45833333333333331</v>
      </c>
      <c r="D44" s="218">
        <f>2+24+D41</f>
        <v>335.5</v>
      </c>
      <c r="E44" s="120" t="s">
        <v>110</v>
      </c>
      <c r="F44" s="238">
        <f>(0.0562+0.047+0.0465)/3</f>
        <v>4.99E-2</v>
      </c>
      <c r="G44" s="224">
        <f>(0.0534+0.0448+0.0441)/3</f>
        <v>4.7433333333333334E-2</v>
      </c>
      <c r="H44" s="69">
        <f>0.2471-F44</f>
        <v>0.19719999999999999</v>
      </c>
      <c r="I44" s="68">
        <f>0.245-F44</f>
        <v>0.1951</v>
      </c>
      <c r="J44" s="68">
        <f>0.1572-G44</f>
        <v>0.10976666666666668</v>
      </c>
      <c r="K44" s="68">
        <f>0.1549-G44</f>
        <v>0.10746666666666668</v>
      </c>
      <c r="L44" s="68">
        <f t="shared" si="0"/>
        <v>2.1197920043219878E-2</v>
      </c>
      <c r="M44" s="68">
        <f t="shared" si="1"/>
        <v>2.1083090221501889E-2</v>
      </c>
      <c r="N44" s="68">
        <f t="shared" si="2"/>
        <v>2.1140505132360883E-2</v>
      </c>
      <c r="O44" s="68">
        <f>'Growth curves UTEX #1926'!F22</f>
        <v>2.68</v>
      </c>
      <c r="P44" s="68">
        <f t="shared" si="3"/>
        <v>3.3757280000000005</v>
      </c>
      <c r="Q44" s="99">
        <f t="shared" si="10"/>
        <v>2.5317960000000001E-4</v>
      </c>
      <c r="R44" s="100">
        <f t="shared" si="4"/>
        <v>41.750016850411491</v>
      </c>
      <c r="S44" s="101"/>
      <c r="V44" s="70">
        <f t="shared" si="5"/>
        <v>140.93670088240592</v>
      </c>
      <c r="W44" s="102"/>
      <c r="X44" s="70"/>
      <c r="Y44" s="70"/>
      <c r="Z44" s="70">
        <f t="shared" si="7"/>
        <v>0.39902948836345503</v>
      </c>
      <c r="AA44" s="102"/>
      <c r="AB44" s="103"/>
    </row>
    <row r="45" spans="1:28" x14ac:dyDescent="0.2">
      <c r="A45" s="66"/>
      <c r="B45" s="215"/>
      <c r="C45" s="198"/>
      <c r="D45" s="218"/>
      <c r="E45" s="120" t="s">
        <v>111</v>
      </c>
      <c r="F45" s="238"/>
      <c r="G45" s="224"/>
      <c r="H45" s="69">
        <f>0.2752-F44</f>
        <v>0.2253</v>
      </c>
      <c r="I45" s="68">
        <f>0.2803-F44</f>
        <v>0.23039999999999999</v>
      </c>
      <c r="J45" s="68">
        <f>0.1803-G44</f>
        <v>0.13286666666666666</v>
      </c>
      <c r="K45" s="68">
        <f>0.1838-G44</f>
        <v>0.13636666666666666</v>
      </c>
      <c r="L45" s="68">
        <f t="shared" si="0"/>
        <v>2.3487142085359264E-2</v>
      </c>
      <c r="M45" s="68">
        <f t="shared" si="1"/>
        <v>2.3970529443544029E-2</v>
      </c>
      <c r="N45" s="68">
        <f t="shared" si="2"/>
        <v>2.3728835764451645E-2</v>
      </c>
      <c r="O45" s="68">
        <f>'Growth curves UTEX #1926'!G22</f>
        <v>2.4</v>
      </c>
      <c r="P45" s="68">
        <f t="shared" si="3"/>
        <v>3.0230399999999999</v>
      </c>
      <c r="Q45" s="99">
        <f t="shared" si="10"/>
        <v>2.2672799999999999E-4</v>
      </c>
      <c r="R45" s="100">
        <f t="shared" si="4"/>
        <v>52.328860494627143</v>
      </c>
      <c r="S45" s="101"/>
      <c r="V45" s="70">
        <f t="shared" si="5"/>
        <v>158.19223842967764</v>
      </c>
      <c r="W45" s="102"/>
      <c r="X45" s="70"/>
      <c r="Y45" s="70"/>
      <c r="Z45" s="70">
        <f>(V45-$V$6)/(D44-$D$5)</f>
        <v>0.45559500738446984</v>
      </c>
      <c r="AA45" s="102"/>
      <c r="AB45" s="103"/>
    </row>
    <row r="46" spans="1:28" x14ac:dyDescent="0.2">
      <c r="A46" s="66"/>
      <c r="B46" s="216"/>
      <c r="C46" s="199"/>
      <c r="D46" s="219"/>
      <c r="E46" s="151" t="s">
        <v>112</v>
      </c>
      <c r="F46" s="239"/>
      <c r="G46" s="225"/>
      <c r="H46" s="73">
        <f>0.345-F44</f>
        <v>0.29509999999999997</v>
      </c>
      <c r="I46" s="74">
        <f>0.3527-F44</f>
        <v>0.30280000000000001</v>
      </c>
      <c r="J46" s="74">
        <f>0.2133-G44</f>
        <v>0.16586666666666666</v>
      </c>
      <c r="K46" s="74">
        <f>0.2163-G44</f>
        <v>0.16886666666666666</v>
      </c>
      <c r="L46" s="68">
        <f t="shared" si="0"/>
        <v>3.1564127498649376E-2</v>
      </c>
      <c r="M46" s="68">
        <f t="shared" si="1"/>
        <v>3.2517936250675311E-2</v>
      </c>
      <c r="N46" s="74">
        <f t="shared" si="2"/>
        <v>3.204103187466234E-2</v>
      </c>
      <c r="O46" s="74">
        <f>'Growth curves UTEX #1926'!H22</f>
        <v>3.1920000000000002</v>
      </c>
      <c r="P46" s="74">
        <f t="shared" si="3"/>
        <v>4.0206432000000003</v>
      </c>
      <c r="Q46" s="75">
        <f t="shared" si="10"/>
        <v>3.0154824000000002E-4</v>
      </c>
      <c r="R46" s="76">
        <f t="shared" si="4"/>
        <v>53.127539186868304</v>
      </c>
      <c r="S46" s="77">
        <f>AVERAGE(R44:R46)</f>
        <v>49.068805510635649</v>
      </c>
      <c r="T46" s="78">
        <f>STDEV(R44:R46)</f>
        <v>6.3508245530111633</v>
      </c>
      <c r="U46" s="78">
        <f>T46/SQRT(3)</f>
        <v>3.66665026525708</v>
      </c>
      <c r="V46" s="78">
        <f t="shared" si="5"/>
        <v>213.6068791644156</v>
      </c>
      <c r="W46" s="77">
        <f>AVERAGE(V44:V46)</f>
        <v>170.9119394921664</v>
      </c>
      <c r="X46" s="78">
        <f>STDEV(V44:V46)</f>
        <v>37.968168236353954</v>
      </c>
      <c r="Y46" s="78">
        <f>X46/SQRT(3)</f>
        <v>21.920932151895954</v>
      </c>
      <c r="Z46" s="78">
        <f>(V46-$V$7)/(D44-$D$5)</f>
        <v>0.61524603180354165</v>
      </c>
      <c r="AA46" s="77">
        <f>AVERAGE(Z44:Z46)</f>
        <v>0.48995684251715549</v>
      </c>
      <c r="AB46" s="135">
        <f>STDEV(Z44:Z46)/SQRT(3)</f>
        <v>6.4737805028074899E-2</v>
      </c>
    </row>
    <row r="47" spans="1:28" x14ac:dyDescent="0.2">
      <c r="A47" s="66"/>
      <c r="B47" s="214" t="s">
        <v>39</v>
      </c>
      <c r="C47" s="197">
        <v>0.5</v>
      </c>
      <c r="D47" s="218">
        <f>25+D44</f>
        <v>360.5</v>
      </c>
      <c r="E47" s="120" t="s">
        <v>110</v>
      </c>
      <c r="F47" s="238">
        <f>(0.0558+0.049+0.0546)/3</f>
        <v>5.3133333333333338E-2</v>
      </c>
      <c r="G47" s="224">
        <f>(0.0538+0.0466+0.0518)/3</f>
        <v>5.0733333333333332E-2</v>
      </c>
      <c r="H47" s="68">
        <f>0.3536-F47</f>
        <v>0.30046666666666666</v>
      </c>
      <c r="I47" s="68">
        <f>0.3361-F47</f>
        <v>0.2829666666666667</v>
      </c>
      <c r="J47" s="68">
        <f>0.2251-G47</f>
        <v>0.17436666666666667</v>
      </c>
      <c r="K47" s="68">
        <f>0.2133-G47</f>
        <v>0.16256666666666666</v>
      </c>
      <c r="L47" s="68">
        <f t="shared" si="0"/>
        <v>3.1600459211237164E-2</v>
      </c>
      <c r="M47" s="68">
        <f t="shared" si="1"/>
        <v>2.9921204754186932E-2</v>
      </c>
      <c r="N47" s="68">
        <f t="shared" si="2"/>
        <v>3.0760831982712046E-2</v>
      </c>
      <c r="O47" s="68">
        <f>'Growth curves UTEX #1926'!F23</f>
        <v>2.8</v>
      </c>
      <c r="P47" s="68">
        <f t="shared" si="3"/>
        <v>3.5268799999999998</v>
      </c>
      <c r="Q47" s="99">
        <f t="shared" si="10"/>
        <v>2.6451599999999996E-4</v>
      </c>
      <c r="R47" s="100">
        <f t="shared" si="4"/>
        <v>58.145503452932999</v>
      </c>
      <c r="S47" s="101"/>
      <c r="V47" s="70">
        <f t="shared" si="5"/>
        <v>205.07221321808032</v>
      </c>
      <c r="W47" s="102"/>
      <c r="X47" s="70"/>
      <c r="Y47" s="70"/>
      <c r="Z47" s="70">
        <f t="shared" si="7"/>
        <v>0.54926464821529419</v>
      </c>
      <c r="AA47" s="102"/>
      <c r="AB47" s="103"/>
    </row>
    <row r="48" spans="1:28" x14ac:dyDescent="0.2">
      <c r="A48" s="66"/>
      <c r="B48" s="215"/>
      <c r="C48" s="198"/>
      <c r="D48" s="218"/>
      <c r="E48" s="120" t="s">
        <v>111</v>
      </c>
      <c r="F48" s="238"/>
      <c r="G48" s="224"/>
      <c r="H48" s="68">
        <f>0.3653-F47</f>
        <v>0.3121666666666667</v>
      </c>
      <c r="I48" s="68">
        <f>0.381-F47</f>
        <v>0.32786666666666664</v>
      </c>
      <c r="J48" s="68">
        <f>0.209-G47</f>
        <v>0.15826666666666667</v>
      </c>
      <c r="K48" s="68">
        <f>0.2209-G47</f>
        <v>0.17016666666666669</v>
      </c>
      <c r="L48" s="68">
        <f t="shared" si="0"/>
        <v>3.5075418692598601E-2</v>
      </c>
      <c r="M48" s="68">
        <f t="shared" si="1"/>
        <v>3.6453133441383033E-2</v>
      </c>
      <c r="N48" s="68">
        <f t="shared" si="2"/>
        <v>3.5764276066990813E-2</v>
      </c>
      <c r="O48" s="58">
        <f>'Growth curves UTEX #1926'!G23</f>
        <v>2.8759999999999999</v>
      </c>
      <c r="P48" s="68">
        <f t="shared" si="3"/>
        <v>3.6226096000000001</v>
      </c>
      <c r="Q48" s="99">
        <f t="shared" si="10"/>
        <v>2.7169571999999996E-4</v>
      </c>
      <c r="R48" s="100">
        <f t="shared" si="4"/>
        <v>65.816782220549555</v>
      </c>
      <c r="S48" s="101"/>
      <c r="V48" s="70">
        <f t="shared" si="5"/>
        <v>238.42850711327213</v>
      </c>
      <c r="W48" s="102"/>
      <c r="X48" s="70"/>
      <c r="Y48" s="70"/>
      <c r="Z48" s="70">
        <f>(V48-$V$6)/(D47-$D$5)</f>
        <v>0.64656974663268829</v>
      </c>
      <c r="AA48" s="102"/>
      <c r="AB48" s="103"/>
    </row>
    <row r="49" spans="1:37" x14ac:dyDescent="0.2">
      <c r="A49" s="66"/>
      <c r="B49" s="216"/>
      <c r="C49" s="199"/>
      <c r="D49" s="219"/>
      <c r="E49" s="151" t="s">
        <v>112</v>
      </c>
      <c r="F49" s="239"/>
      <c r="G49" s="225"/>
      <c r="H49" s="74">
        <f>0.3263-F47</f>
        <v>0.27316666666666667</v>
      </c>
      <c r="I49" s="74">
        <f>0.3284-F47</f>
        <v>0.27526666666666666</v>
      </c>
      <c r="J49" s="74">
        <f>0.2332-G47</f>
        <v>0.18246666666666667</v>
      </c>
      <c r="K49" s="74">
        <f>0.2301-G47</f>
        <v>0.17936666666666667</v>
      </c>
      <c r="L49" s="68">
        <f t="shared" si="0"/>
        <v>2.6381577525661809E-2</v>
      </c>
      <c r="M49" s="68">
        <f t="shared" si="1"/>
        <v>2.702590491626148E-2</v>
      </c>
      <c r="N49" s="74">
        <f t="shared" si="2"/>
        <v>2.6703741220961644E-2</v>
      </c>
      <c r="O49" s="71">
        <f>'Growth curves UTEX #1926'!H23</f>
        <v>3.4359999999999999</v>
      </c>
      <c r="P49" s="74">
        <f t="shared" si="3"/>
        <v>4.3279855999999999</v>
      </c>
      <c r="Q49" s="75">
        <f t="shared" si="10"/>
        <v>3.2459891999999995E-4</v>
      </c>
      <c r="R49" s="76">
        <f t="shared" si="4"/>
        <v>41.133441264933424</v>
      </c>
      <c r="S49" s="77">
        <f>AVERAGE(R47:R49)</f>
        <v>55.031908979471986</v>
      </c>
      <c r="T49" s="78">
        <f>STDEV(R47:R49)</f>
        <v>12.632801870197877</v>
      </c>
      <c r="U49" s="78">
        <f>T49/SQRT(3)</f>
        <v>7.2935515603779528</v>
      </c>
      <c r="V49" s="78">
        <f t="shared" si="5"/>
        <v>178.02494147307763</v>
      </c>
      <c r="W49" s="77">
        <f>AVERAGE(V47:V49)</f>
        <v>207.1752206014767</v>
      </c>
      <c r="X49" s="78">
        <f>STDEV(V47:V49)</f>
        <v>30.256646634306286</v>
      </c>
      <c r="Y49" s="78">
        <f>X49/SQRT(3)</f>
        <v>17.46868307909212</v>
      </c>
      <c r="Z49" s="78">
        <f>(V49-$V$7)/(D47-$D$5)</f>
        <v>0.4738782412725388</v>
      </c>
      <c r="AA49" s="77">
        <f>AVERAGE(Z47:Z49)</f>
        <v>0.55657087870684041</v>
      </c>
      <c r="AB49" s="135">
        <f>STDEV(Z47:Z49)/SQRT(3)</f>
        <v>4.9985413735360099E-2</v>
      </c>
    </row>
    <row r="50" spans="1:37" x14ac:dyDescent="0.2">
      <c r="A50" s="66"/>
      <c r="B50" s="214" t="s">
        <v>40</v>
      </c>
      <c r="C50" s="197">
        <v>0.53125</v>
      </c>
      <c r="D50" s="218">
        <f>25+D47</f>
        <v>385.5</v>
      </c>
      <c r="E50" s="120" t="s">
        <v>110</v>
      </c>
      <c r="F50" s="238">
        <f>(0.057+0.0553+0.0547)/3</f>
        <v>5.566666666666667E-2</v>
      </c>
      <c r="G50" s="224">
        <f>(0.055+0.0533+0.0525)/3</f>
        <v>5.3600000000000002E-2</v>
      </c>
      <c r="H50" s="68">
        <f>0.4274-F50</f>
        <v>0.37173333333333336</v>
      </c>
      <c r="I50" s="68"/>
      <c r="J50" s="68">
        <f>0.2491-G50</f>
        <v>0.19549999999999998</v>
      </c>
      <c r="K50" s="68"/>
      <c r="L50" s="68">
        <f t="shared" si="0"/>
        <v>4.1078741220961654E-2</v>
      </c>
      <c r="M50" s="68"/>
      <c r="N50" s="68">
        <f t="shared" si="2"/>
        <v>4.1078741220961654E-2</v>
      </c>
      <c r="O50" s="68">
        <f>'Growth curves UTEX #1926'!F24</f>
        <v>2.8879999999999999</v>
      </c>
      <c r="P50" s="68">
        <f t="shared" si="3"/>
        <v>3.6377248</v>
      </c>
      <c r="Q50" s="99">
        <f t="shared" si="10"/>
        <v>2.7282935999999996E-4</v>
      </c>
      <c r="R50" s="100">
        <f t="shared" si="4"/>
        <v>75.282845696961758</v>
      </c>
      <c r="S50" s="101"/>
      <c r="V50" s="70">
        <f t="shared" si="5"/>
        <v>273.85827480641109</v>
      </c>
      <c r="W50" s="102"/>
      <c r="X50" s="70"/>
      <c r="Y50" s="70"/>
      <c r="Z50" s="70">
        <f t="shared" si="7"/>
        <v>0.69207773610880496</v>
      </c>
      <c r="AA50" s="102"/>
      <c r="AB50" s="103"/>
    </row>
    <row r="51" spans="1:37" x14ac:dyDescent="0.2">
      <c r="A51" s="66"/>
      <c r="B51" s="215"/>
      <c r="C51" s="198"/>
      <c r="D51" s="218"/>
      <c r="E51" s="120" t="s">
        <v>111</v>
      </c>
      <c r="F51" s="238"/>
      <c r="G51" s="224"/>
      <c r="H51" s="68">
        <f>0.3935-F50</f>
        <v>0.33783333333333332</v>
      </c>
      <c r="I51" s="68">
        <f>0.4341-F50</f>
        <v>0.37843333333333329</v>
      </c>
      <c r="J51" s="68">
        <f>0.2435-G50</f>
        <v>0.18989999999999999</v>
      </c>
      <c r="K51" s="68">
        <f>0.2791-G50</f>
        <v>0.22550000000000001</v>
      </c>
      <c r="L51" s="68">
        <f t="shared" si="0"/>
        <v>3.6133522420313348E-2</v>
      </c>
      <c r="M51" s="68">
        <f>(I51-(0.605*K51))/6.17</f>
        <v>3.9222987574284163E-2</v>
      </c>
      <c r="N51" s="68">
        <f t="shared" si="2"/>
        <v>3.7678254997298752E-2</v>
      </c>
      <c r="O51" s="58">
        <f>'Growth curves UTEX #1926'!G24</f>
        <v>3.2080000000000002</v>
      </c>
      <c r="P51" s="68">
        <f t="shared" si="3"/>
        <v>4.0407968000000007</v>
      </c>
      <c r="Q51" s="99">
        <f t="shared" si="10"/>
        <v>3.0305976000000005E-4</v>
      </c>
      <c r="R51" s="100">
        <f t="shared" si="4"/>
        <v>62.163077997056995</v>
      </c>
      <c r="S51" s="101"/>
      <c r="V51" s="70">
        <f t="shared" si="5"/>
        <v>251.18836664865836</v>
      </c>
      <c r="W51" s="102"/>
      <c r="X51" s="70"/>
      <c r="Y51" s="70"/>
      <c r="Z51" s="70">
        <f>(V51-$V$6)/(D50-$D$5)</f>
        <v>0.63773865939421626</v>
      </c>
      <c r="AA51" s="102"/>
      <c r="AB51" s="103"/>
    </row>
    <row r="52" spans="1:37" x14ac:dyDescent="0.2">
      <c r="A52" s="66"/>
      <c r="B52" s="216"/>
      <c r="C52" s="199"/>
      <c r="D52" s="219"/>
      <c r="E52" s="151" t="s">
        <v>112</v>
      </c>
      <c r="F52" s="239"/>
      <c r="G52" s="225"/>
      <c r="H52" s="74">
        <f>0.3443-F50</f>
        <v>0.2886333333333333</v>
      </c>
      <c r="I52" s="74">
        <f>0.3521-F50</f>
        <v>0.29643333333333333</v>
      </c>
      <c r="J52" s="74">
        <f>0.2115-G50</f>
        <v>0.15789999999999998</v>
      </c>
      <c r="K52" s="74">
        <f>0.2151-G50</f>
        <v>0.1615</v>
      </c>
      <c r="L52" s="68">
        <f>(H52-(0.605*J52))/6.17</f>
        <v>3.1297217720151267E-2</v>
      </c>
      <c r="M52" s="74">
        <f>(I52-(0.605*K52))/6.17</f>
        <v>3.2208400864397621E-2</v>
      </c>
      <c r="N52" s="74">
        <f t="shared" si="2"/>
        <v>3.1752809292274448E-2</v>
      </c>
      <c r="O52" s="71">
        <f>'Growth curves UTEX #1926'!H24</f>
        <v>3.2480000000000002</v>
      </c>
      <c r="P52" s="74">
        <f t="shared" si="3"/>
        <v>4.0911808000000001</v>
      </c>
      <c r="Q52" s="75">
        <f t="shared" si="10"/>
        <v>3.0683855999999996E-4</v>
      </c>
      <c r="R52" s="76">
        <f t="shared" si="4"/>
        <v>51.741882265831343</v>
      </c>
      <c r="S52" s="77">
        <f>AVERAGE(R50:R52)</f>
        <v>63.062601986616698</v>
      </c>
      <c r="T52" s="78">
        <f>STDEV(R50:R52)</f>
        <v>11.796232338009444</v>
      </c>
      <c r="U52" s="78">
        <f>T52/SQRT(3)</f>
        <v>6.8105579157731215</v>
      </c>
      <c r="V52" s="78">
        <f t="shared" si="5"/>
        <v>211.6853952818297</v>
      </c>
      <c r="W52" s="77">
        <f>AVERAGE(V50:V52)</f>
        <v>245.57734557896637</v>
      </c>
      <c r="X52" s="78">
        <f>STDEV(V50:V52)</f>
        <v>31.463938170196467</v>
      </c>
      <c r="Y52" s="78">
        <f>X52/SQRT(3)</f>
        <v>18.165713172328672</v>
      </c>
      <c r="Z52" s="78">
        <f>(V52-$V$7)/(D50-$D$5)</f>
        <v>0.53046319011025245</v>
      </c>
      <c r="AA52" s="77">
        <f>AVERAGE(Z50:Z52)</f>
        <v>0.62009319520442452</v>
      </c>
      <c r="AB52" s="135">
        <f>STDEV(Z50:Z52)/SQRT(3)</f>
        <v>4.7481003831126849E-2</v>
      </c>
    </row>
    <row r="53" spans="1:37" x14ac:dyDescent="0.2">
      <c r="A53" s="66"/>
      <c r="B53" s="214" t="s">
        <v>41</v>
      </c>
      <c r="C53" s="197">
        <v>0.4513888888888889</v>
      </c>
      <c r="D53" s="218">
        <f>22+D50</f>
        <v>407.5</v>
      </c>
      <c r="E53" s="120" t="s">
        <v>110</v>
      </c>
      <c r="F53" s="238">
        <f>(0.0541+0.0513+0.0497)/3</f>
        <v>5.1699999999999996E-2</v>
      </c>
      <c r="G53" s="224">
        <f>(0.0519+0.0481+0.0478)/3</f>
        <v>4.9266666666666674E-2</v>
      </c>
      <c r="H53" s="68">
        <f>0.4489-F53</f>
        <v>0.3972</v>
      </c>
      <c r="I53" s="68"/>
      <c r="J53" s="68">
        <f>0.2857-G53</f>
        <v>0.23643333333333333</v>
      </c>
      <c r="K53" s="68"/>
      <c r="L53" s="68">
        <f t="shared" si="0"/>
        <v>4.1192517558076708E-2</v>
      </c>
      <c r="M53" s="68"/>
      <c r="N53" s="68">
        <f t="shared" si="2"/>
        <v>4.1192517558076708E-2</v>
      </c>
      <c r="O53" s="68">
        <f>'Growth curves UTEX #1926'!F25</f>
        <v>2.944</v>
      </c>
      <c r="P53" s="68">
        <f t="shared" si="3"/>
        <v>3.7082624000000002</v>
      </c>
      <c r="Q53" s="99">
        <f t="shared" si="10"/>
        <v>2.7811968E-4</v>
      </c>
      <c r="R53" s="100">
        <f t="shared" si="4"/>
        <v>74.05538068732983</v>
      </c>
      <c r="S53" s="101"/>
      <c r="V53" s="70">
        <f t="shared" si="5"/>
        <v>274.61678372051136</v>
      </c>
      <c r="W53" s="102"/>
      <c r="X53" s="70"/>
      <c r="Y53" s="70"/>
      <c r="Z53" s="70">
        <f t="shared" si="7"/>
        <v>0.65657540167863704</v>
      </c>
      <c r="AA53" s="102"/>
      <c r="AB53" s="103"/>
    </row>
    <row r="54" spans="1:37" ht="15" customHeight="1" x14ac:dyDescent="0.2">
      <c r="A54" s="66"/>
      <c r="B54" s="215"/>
      <c r="C54" s="198"/>
      <c r="D54" s="218"/>
      <c r="E54" s="120" t="s">
        <v>111</v>
      </c>
      <c r="F54" s="238"/>
      <c r="G54" s="224"/>
      <c r="H54" s="68">
        <f>0.4495-F53</f>
        <v>0.39780000000000004</v>
      </c>
      <c r="I54" s="68">
        <f>0.465-F53</f>
        <v>0.4133</v>
      </c>
      <c r="J54" s="68">
        <f>0.2768-G53</f>
        <v>0.22753333333333331</v>
      </c>
      <c r="K54" s="68">
        <f>0.2864-G53</f>
        <v>0.23713333333333331</v>
      </c>
      <c r="L54" s="68">
        <f t="shared" si="0"/>
        <v>4.2162452728255001E-2</v>
      </c>
      <c r="M54" s="68">
        <f>(I54-(0.605*K54))/6.17</f>
        <v>4.3733279308481907E-2</v>
      </c>
      <c r="N54" s="68">
        <f t="shared" si="2"/>
        <v>4.2947866018368454E-2</v>
      </c>
      <c r="O54" s="68">
        <f>'Growth curves UTEX #1926'!G25</f>
        <v>3.2</v>
      </c>
      <c r="P54" s="68">
        <f t="shared" si="3"/>
        <v>4.0307200000000005</v>
      </c>
      <c r="Q54" s="99">
        <f t="shared" si="10"/>
        <v>3.0230400000000004E-4</v>
      </c>
      <c r="R54" s="100">
        <f t="shared" si="4"/>
        <v>71.034233781836249</v>
      </c>
      <c r="S54" s="101"/>
      <c r="V54" s="70">
        <f t="shared" si="5"/>
        <v>286.31910678912305</v>
      </c>
      <c r="W54" s="102"/>
      <c r="X54" s="70"/>
      <c r="Y54" s="70"/>
      <c r="Z54" s="70">
        <f>(V54-$V$6)/(D53-$D$5)</f>
        <v>0.68951900205382832</v>
      </c>
      <c r="AA54" s="102"/>
      <c r="AB54" s="103"/>
    </row>
    <row r="55" spans="1:37" ht="16" customHeight="1" thickBot="1" x14ac:dyDescent="0.25">
      <c r="A55" s="120"/>
      <c r="B55" s="230"/>
      <c r="C55" s="232"/>
      <c r="D55" s="231"/>
      <c r="E55" s="152" t="s">
        <v>112</v>
      </c>
      <c r="F55" s="240"/>
      <c r="G55" s="233"/>
      <c r="H55" s="68">
        <f>0.4011-F53</f>
        <v>0.34940000000000004</v>
      </c>
      <c r="I55" s="68">
        <f>0.421-F53</f>
        <v>0.36929999999999996</v>
      </c>
      <c r="J55" s="68">
        <f>0.2688-G53</f>
        <v>0.2195333333333333</v>
      </c>
      <c r="K55" s="68">
        <f>0.2831-G53</f>
        <v>0.23383333333333334</v>
      </c>
      <c r="L55" s="68">
        <f t="shared" si="0"/>
        <v>3.5102485143165871E-2</v>
      </c>
      <c r="M55" s="68">
        <f>(I55-(0.605*K55))/6.17</f>
        <v>3.6925580767152882E-2</v>
      </c>
      <c r="N55" s="68">
        <f t="shared" si="2"/>
        <v>3.6014032955159377E-2</v>
      </c>
      <c r="O55" s="68">
        <f>'Growth curves UTEX #1926'!H25</f>
        <v>3.32</v>
      </c>
      <c r="P55" s="68">
        <f t="shared" si="3"/>
        <v>4.1818720000000003</v>
      </c>
      <c r="Q55" s="94">
        <f t="shared" si="10"/>
        <v>3.1364039999999999E-4</v>
      </c>
      <c r="R55" s="95">
        <f t="shared" si="4"/>
        <v>57.412936846081337</v>
      </c>
      <c r="S55" s="96">
        <f>AVERAGE(R53:R55)</f>
        <v>67.500850438415796</v>
      </c>
      <c r="T55" s="97">
        <f>STDEV(R53:R55)</f>
        <v>8.8660212407229384</v>
      </c>
      <c r="U55" s="97">
        <f>T55/SQRT(3)</f>
        <v>5.1187997499723288</v>
      </c>
      <c r="V55" s="97">
        <f t="shared" si="5"/>
        <v>240.09355303439585</v>
      </c>
      <c r="W55" s="96">
        <f>AVERAGE(V53:V55)</f>
        <v>267.00981451467675</v>
      </c>
      <c r="X55" s="97">
        <f>STDEV(V53:V55)</f>
        <v>24.033308976432696</v>
      </c>
      <c r="Y55" s="97">
        <f>X55/SQRT(3)</f>
        <v>13.875637407060868</v>
      </c>
      <c r="Z55" s="97">
        <f>(V55-$V$7)/(D53-$D$5)</f>
        <v>0.57153795715354228</v>
      </c>
      <c r="AA55" s="96">
        <f>AVERAGE(Z53:Z55)</f>
        <v>0.63921078696200251</v>
      </c>
      <c r="AB55" s="104">
        <f>STDEV(Z53:Z55)/SQRT(3)</f>
        <v>3.514744714358687E-2</v>
      </c>
    </row>
    <row r="56" spans="1:37" ht="15" thickBot="1" x14ac:dyDescent="0.25">
      <c r="B56" s="235" t="s">
        <v>64</v>
      </c>
      <c r="C56" s="236"/>
      <c r="D56" s="236"/>
      <c r="E56" s="236"/>
      <c r="F56" s="236"/>
      <c r="G56" s="236"/>
      <c r="H56" s="236"/>
      <c r="I56" s="236"/>
      <c r="J56" s="236"/>
      <c r="K56" s="236"/>
      <c r="L56" s="236"/>
      <c r="M56" s="236"/>
      <c r="N56" s="236"/>
      <c r="O56" s="236"/>
      <c r="P56" s="236"/>
      <c r="Q56" s="236"/>
      <c r="R56" s="236"/>
      <c r="S56" s="236"/>
      <c r="T56" s="236"/>
      <c r="U56" s="236"/>
      <c r="V56" s="236"/>
      <c r="W56" s="236"/>
      <c r="X56" s="236"/>
      <c r="Y56" s="236"/>
      <c r="Z56" s="236"/>
      <c r="AA56" s="236"/>
      <c r="AB56" s="237"/>
      <c r="AD56" s="226" t="s">
        <v>115</v>
      </c>
      <c r="AE56" s="226"/>
      <c r="AF56" s="226"/>
      <c r="AG56" s="226"/>
      <c r="AH56" s="226"/>
    </row>
    <row r="57" spans="1:37" ht="45" customHeight="1" x14ac:dyDescent="0.2">
      <c r="B57" s="105" t="s">
        <v>0</v>
      </c>
      <c r="C57" s="106" t="s">
        <v>1</v>
      </c>
      <c r="D57" s="140" t="s">
        <v>2</v>
      </c>
      <c r="E57" s="149"/>
      <c r="F57" s="148" t="s">
        <v>14</v>
      </c>
      <c r="G57" s="106" t="s">
        <v>15</v>
      </c>
      <c r="H57" s="208" t="s">
        <v>75</v>
      </c>
      <c r="I57" s="209"/>
      <c r="J57" s="210" t="s">
        <v>76</v>
      </c>
      <c r="K57" s="211"/>
      <c r="L57" s="212" t="s">
        <v>77</v>
      </c>
      <c r="M57" s="213"/>
      <c r="N57" s="107" t="s">
        <v>78</v>
      </c>
      <c r="O57" s="108" t="s">
        <v>79</v>
      </c>
      <c r="P57" s="107" t="s">
        <v>16</v>
      </c>
      <c r="Q57" s="107" t="s">
        <v>17</v>
      </c>
      <c r="R57" s="107" t="s">
        <v>80</v>
      </c>
      <c r="S57" s="107" t="s">
        <v>81</v>
      </c>
      <c r="T57" s="107" t="s">
        <v>82</v>
      </c>
      <c r="U57" s="109" t="s">
        <v>56</v>
      </c>
      <c r="V57" s="108" t="s">
        <v>83</v>
      </c>
      <c r="W57" s="107" t="s">
        <v>84</v>
      </c>
      <c r="X57" s="107" t="s">
        <v>82</v>
      </c>
      <c r="Y57" s="59" t="s">
        <v>56</v>
      </c>
      <c r="Z57" s="59" t="s">
        <v>72</v>
      </c>
      <c r="AA57" s="107" t="s">
        <v>73</v>
      </c>
      <c r="AB57" s="110" t="s">
        <v>56</v>
      </c>
      <c r="AD57" s="58" t="s">
        <v>2</v>
      </c>
      <c r="AE57" s="111" t="str">
        <f>S57</f>
        <v>Average specific CPC conc.</v>
      </c>
      <c r="AF57" s="58" t="s">
        <v>18</v>
      </c>
      <c r="AG57" s="111" t="str">
        <f>W57</f>
        <v>Average total CPC</v>
      </c>
      <c r="AH57" s="58" t="s">
        <v>18</v>
      </c>
    </row>
    <row r="58" spans="1:37" ht="25" customHeight="1" x14ac:dyDescent="0.15">
      <c r="B58" s="60"/>
      <c r="C58" s="61"/>
      <c r="D58" s="63"/>
      <c r="E58" s="150"/>
      <c r="F58" s="138" t="s">
        <v>19</v>
      </c>
      <c r="G58" s="61" t="s">
        <v>19</v>
      </c>
      <c r="H58" s="228" t="s">
        <v>19</v>
      </c>
      <c r="I58" s="206"/>
      <c r="J58" s="229" t="s">
        <v>19</v>
      </c>
      <c r="K58" s="207"/>
      <c r="L58" s="206" t="s">
        <v>20</v>
      </c>
      <c r="M58" s="207"/>
      <c r="N58" s="64" t="s">
        <v>20</v>
      </c>
      <c r="O58" s="64" t="s">
        <v>19</v>
      </c>
      <c r="P58" s="64" t="s">
        <v>21</v>
      </c>
      <c r="Q58" s="64" t="s">
        <v>22</v>
      </c>
      <c r="R58" s="65" t="s">
        <v>85</v>
      </c>
      <c r="S58" s="65" t="s">
        <v>85</v>
      </c>
      <c r="T58" s="64"/>
      <c r="U58" s="63"/>
      <c r="V58" s="65" t="s">
        <v>86</v>
      </c>
      <c r="W58" s="65" t="s">
        <v>86</v>
      </c>
      <c r="X58" s="64"/>
      <c r="Y58" s="64"/>
      <c r="Z58" s="65" t="s">
        <v>74</v>
      </c>
      <c r="AA58" s="65" t="s">
        <v>74</v>
      </c>
      <c r="AB58" s="62"/>
      <c r="AD58" s="87">
        <f>D59</f>
        <v>0</v>
      </c>
      <c r="AE58" s="70">
        <f>S61</f>
        <v>58.640741345048376</v>
      </c>
      <c r="AF58" s="70">
        <f>U61</f>
        <v>1.8640700442403806</v>
      </c>
      <c r="AG58" s="70">
        <f>W61</f>
        <v>8.2793861426256079</v>
      </c>
      <c r="AH58" s="70">
        <f>Y61</f>
        <v>0.36622593685667643</v>
      </c>
      <c r="AI58" s="141"/>
      <c r="AJ58" s="142"/>
      <c r="AK58" s="142"/>
    </row>
    <row r="59" spans="1:37" x14ac:dyDescent="0.15">
      <c r="B59" s="215" t="s">
        <v>8</v>
      </c>
      <c r="C59" s="198">
        <v>0.52083333333333337</v>
      </c>
      <c r="D59" s="226">
        <v>0</v>
      </c>
      <c r="E59" s="120" t="s">
        <v>110</v>
      </c>
      <c r="F59" s="238">
        <v>5.45E-2</v>
      </c>
      <c r="G59" s="224">
        <v>5.1400000000000001E-2</v>
      </c>
      <c r="H59" s="69">
        <f>0.3494-F59</f>
        <v>0.2949</v>
      </c>
      <c r="I59" s="68">
        <f>0.3515-F59</f>
        <v>0.29699999999999999</v>
      </c>
      <c r="J59" s="68">
        <f>0.2327-G59</f>
        <v>0.18129999999999999</v>
      </c>
      <c r="K59" s="68">
        <f>0.2325-G59</f>
        <v>0.18110000000000001</v>
      </c>
      <c r="L59" s="68">
        <f>(H59-(0.605*J59))/6.17</f>
        <v>3.001839546191248E-2</v>
      </c>
      <c r="M59" s="68">
        <f>(I59-(0.605*K59))/6.17</f>
        <v>3.0378363047001616E-2</v>
      </c>
      <c r="N59" s="68">
        <f>AVERAGE(L59:M59)</f>
        <v>3.019837925445705E-2</v>
      </c>
      <c r="O59" s="58">
        <f>'Growth curves UTEX #1926'!F30</f>
        <v>0.109</v>
      </c>
      <c r="P59" s="68">
        <f>1.2596*O59</f>
        <v>0.13729640000000001</v>
      </c>
      <c r="Q59" s="99">
        <f>P59*2/1000</f>
        <v>2.7459280000000005E-4</v>
      </c>
      <c r="R59" s="100">
        <f>(N59*0.5)/Q59</f>
        <v>54.987565687186709</v>
      </c>
      <c r="S59" s="101"/>
      <c r="V59" s="70">
        <f>R59*P59</f>
        <v>7.5495948136142621</v>
      </c>
      <c r="W59" s="101"/>
      <c r="AA59" s="101"/>
      <c r="AB59" s="67"/>
      <c r="AD59" s="87">
        <f>D62</f>
        <v>22</v>
      </c>
      <c r="AE59" s="70">
        <f>S64</f>
        <v>21.550309885610407</v>
      </c>
      <c r="AF59" s="70">
        <f>U64</f>
        <v>1.374708317290722</v>
      </c>
      <c r="AG59" s="70">
        <f>W64</f>
        <v>5.7117031334413833</v>
      </c>
      <c r="AH59" s="70">
        <f>Y64</f>
        <v>0.24316046104438371</v>
      </c>
      <c r="AI59" s="143"/>
      <c r="AJ59" s="141"/>
      <c r="AK59" s="141"/>
    </row>
    <row r="60" spans="1:37" ht="15" customHeight="1" x14ac:dyDescent="0.15">
      <c r="B60" s="215"/>
      <c r="C60" s="198"/>
      <c r="D60" s="226"/>
      <c r="E60" s="120" t="s">
        <v>111</v>
      </c>
      <c r="F60" s="238"/>
      <c r="G60" s="224"/>
      <c r="H60" s="69">
        <f>0.3979-F59</f>
        <v>0.34339999999999998</v>
      </c>
      <c r="I60" s="68">
        <f>0.3946-F59</f>
        <v>0.34010000000000001</v>
      </c>
      <c r="J60" s="68">
        <f>0.2683-G59</f>
        <v>0.21689999999999998</v>
      </c>
      <c r="K60" s="68">
        <f>0.2634-G59</f>
        <v>0.21200000000000002</v>
      </c>
      <c r="L60" s="68">
        <f t="shared" ref="L60:L108" si="11">(H60-(0.605*J60))/6.17</f>
        <v>3.4388249594813611E-2</v>
      </c>
      <c r="M60" s="68">
        <f t="shared" ref="M60:M109" si="12">(I60-(0.605*K60))/6.17</f>
        <v>3.4333873581847647E-2</v>
      </c>
      <c r="N60" s="68">
        <f t="shared" ref="N60:N109" si="13">AVERAGE(L60:M60)</f>
        <v>3.4361061588330633E-2</v>
      </c>
      <c r="O60" s="58">
        <f>'Growth curves UTEX #1926'!G30</f>
        <v>0.114</v>
      </c>
      <c r="P60" s="68">
        <f t="shared" ref="P60:P109" si="14">1.2596*O60</f>
        <v>0.14359440000000001</v>
      </c>
      <c r="Q60" s="99">
        <f>P60*2/1000</f>
        <v>2.8718880000000002E-4</v>
      </c>
      <c r="R60" s="100">
        <f t="shared" ref="R60:R109" si="15">(N60*0.5)/Q60</f>
        <v>59.823122608421066</v>
      </c>
      <c r="S60" s="101"/>
      <c r="V60" s="70">
        <f t="shared" ref="V60:V109" si="16">R60*P60</f>
        <v>8.5902653970826588</v>
      </c>
      <c r="W60" s="101"/>
      <c r="AA60" s="101"/>
      <c r="AB60" s="67"/>
      <c r="AD60" s="87">
        <f>D65</f>
        <v>48</v>
      </c>
      <c r="AE60" s="70">
        <f>S67</f>
        <v>21.240449738739844</v>
      </c>
      <c r="AF60" s="70">
        <f>U67</f>
        <v>0.5364241488526168</v>
      </c>
      <c r="AG60" s="70">
        <f>W67</f>
        <v>9.9421528903295524</v>
      </c>
      <c r="AH60" s="70">
        <f>Y67</f>
        <v>0.27366738262829848</v>
      </c>
      <c r="AI60" s="143"/>
      <c r="AJ60" s="141"/>
      <c r="AK60" s="141"/>
    </row>
    <row r="61" spans="1:37" ht="15" customHeight="1" x14ac:dyDescent="0.15">
      <c r="B61" s="216"/>
      <c r="C61" s="199"/>
      <c r="D61" s="227"/>
      <c r="E61" s="151" t="s">
        <v>112</v>
      </c>
      <c r="F61" s="239"/>
      <c r="G61" s="225"/>
      <c r="H61" s="73">
        <f>0.3965-F59</f>
        <v>0.34200000000000003</v>
      </c>
      <c r="I61" s="74">
        <f>0.3974-F59</f>
        <v>0.34289999999999998</v>
      </c>
      <c r="J61" s="74">
        <f>0.2624-G59</f>
        <v>0.21100000000000002</v>
      </c>
      <c r="K61" s="74">
        <f>0.2628-G59</f>
        <v>0.21139999999999998</v>
      </c>
      <c r="L61" s="68">
        <f t="shared" si="11"/>
        <v>3.4739870340356568E-2</v>
      </c>
      <c r="M61" s="68">
        <f t="shared" si="12"/>
        <v>3.484651539708266E-2</v>
      </c>
      <c r="N61" s="74">
        <f t="shared" si="13"/>
        <v>3.4793192868719611E-2</v>
      </c>
      <c r="O61" s="71">
        <f>'Growth curves UTEX #1926'!H30</f>
        <v>0.113</v>
      </c>
      <c r="P61" s="74">
        <f t="shared" si="14"/>
        <v>0.14233480000000001</v>
      </c>
      <c r="Q61" s="75">
        <f>P61*2/1000</f>
        <v>2.8466960000000002E-4</v>
      </c>
      <c r="R61" s="76">
        <f t="shared" si="15"/>
        <v>61.111535739537359</v>
      </c>
      <c r="S61" s="77">
        <f>AVERAGE(R59:R61)</f>
        <v>58.640741345048376</v>
      </c>
      <c r="T61" s="78">
        <f>STDEV(R59:R61)</f>
        <v>3.2286640254915038</v>
      </c>
      <c r="U61" s="78">
        <f>T61/SQRT(3)</f>
        <v>1.8640700442403806</v>
      </c>
      <c r="V61" s="78">
        <f t="shared" si="16"/>
        <v>8.6982982171799037</v>
      </c>
      <c r="W61" s="77">
        <f>AVERAGE(V59:V61)</f>
        <v>8.2793861426256079</v>
      </c>
      <c r="X61" s="78">
        <f>STDEV(V59:V61)</f>
        <v>0.63432192968527501</v>
      </c>
      <c r="Y61" s="78">
        <f>X61/SQRT(3)</f>
        <v>0.36622593685667643</v>
      </c>
      <c r="Z61" s="71"/>
      <c r="AA61" s="134"/>
      <c r="AB61" s="72"/>
      <c r="AD61" s="87">
        <f>D68</f>
        <v>72.5</v>
      </c>
      <c r="AE61" s="70">
        <f>S70</f>
        <v>40.618572359868523</v>
      </c>
      <c r="AF61" s="70">
        <f>U70</f>
        <v>2.3686319285502373</v>
      </c>
      <c r="AG61" s="70">
        <f>W70</f>
        <v>25.819860583468397</v>
      </c>
      <c r="AH61" s="70">
        <f>Y70</f>
        <v>0.46150939892505444</v>
      </c>
      <c r="AI61" s="144"/>
      <c r="AJ61" s="141"/>
      <c r="AK61" s="141"/>
    </row>
    <row r="62" spans="1:37" x14ac:dyDescent="0.15">
      <c r="B62" s="214" t="s">
        <v>9</v>
      </c>
      <c r="C62" s="197">
        <v>0.4375</v>
      </c>
      <c r="D62" s="226">
        <f>D59+22</f>
        <v>22</v>
      </c>
      <c r="E62" s="120" t="s">
        <v>110</v>
      </c>
      <c r="F62" s="238">
        <f>(0.0686+0.0622+0.0602)/3</f>
        <v>6.3666666666666663E-2</v>
      </c>
      <c r="G62" s="224">
        <f>(0.0672+0.0613+0.058)/3</f>
        <v>6.2166666666666669E-2</v>
      </c>
      <c r="H62" s="69">
        <f>0.184-F62</f>
        <v>0.12033333333333333</v>
      </c>
      <c r="I62" s="68">
        <f>0.1701-F62</f>
        <v>0.10643333333333334</v>
      </c>
      <c r="J62" s="68">
        <f>0.1325-G62</f>
        <v>7.0333333333333331E-2</v>
      </c>
      <c r="K62" s="68">
        <f>0.1181-G62</f>
        <v>5.5933333333333328E-2</v>
      </c>
      <c r="L62" s="68">
        <f t="shared" si="11"/>
        <v>1.2606428957320368E-2</v>
      </c>
      <c r="M62" s="68">
        <f t="shared" si="12"/>
        <v>1.1765586169638034E-2</v>
      </c>
      <c r="N62" s="68">
        <f t="shared" si="13"/>
        <v>1.2186007563479201E-2</v>
      </c>
      <c r="O62" s="68">
        <f>'Growth curves UTEX #1926'!F32</f>
        <v>0.20100000000000001</v>
      </c>
      <c r="P62" s="68">
        <f t="shared" si="14"/>
        <v>0.2531796</v>
      </c>
      <c r="Q62" s="99">
        <f t="shared" ref="Q62:Q67" si="17">P62*1/1000</f>
        <v>2.5317960000000001E-4</v>
      </c>
      <c r="R62" s="100">
        <f t="shared" si="15"/>
        <v>24.065934940017286</v>
      </c>
      <c r="S62" s="102"/>
      <c r="T62" s="70"/>
      <c r="U62" s="70"/>
      <c r="V62" s="70">
        <f t="shared" si="16"/>
        <v>6.0930037817396006</v>
      </c>
      <c r="W62" s="102"/>
      <c r="X62" s="70"/>
      <c r="Y62" s="70"/>
      <c r="Z62" s="70">
        <f>(V62-$V$59)/(D62-$D$59)</f>
        <v>-6.6208683267030069E-2</v>
      </c>
      <c r="AA62" s="102"/>
      <c r="AB62" s="67"/>
      <c r="AD62" s="87">
        <f>D71</f>
        <v>94.5</v>
      </c>
      <c r="AE62" s="70">
        <f>S73</f>
        <v>49.923069928019636</v>
      </c>
      <c r="AF62" s="70">
        <f>U73</f>
        <v>3.3261955816398165</v>
      </c>
      <c r="AG62" s="70">
        <f>W73</f>
        <v>48.487965153970833</v>
      </c>
      <c r="AH62" s="70">
        <f>Y73</f>
        <v>1.9186290586077923</v>
      </c>
      <c r="AI62" s="144"/>
      <c r="AJ62" s="141"/>
      <c r="AK62" s="141"/>
    </row>
    <row r="63" spans="1:37" x14ac:dyDescent="0.15">
      <c r="B63" s="215"/>
      <c r="C63" s="198"/>
      <c r="D63" s="226"/>
      <c r="E63" s="120" t="s">
        <v>111</v>
      </c>
      <c r="F63" s="238"/>
      <c r="G63" s="224"/>
      <c r="H63" s="69">
        <f>0.1751-F62</f>
        <v>0.11143333333333334</v>
      </c>
      <c r="I63" s="68">
        <f>0.1694-F62</f>
        <v>0.10573333333333333</v>
      </c>
      <c r="J63" s="68">
        <f>0.1266-G62</f>
        <v>6.4433333333333315E-2</v>
      </c>
      <c r="K63" s="68">
        <f>0.1208-G62</f>
        <v>5.8633333333333336E-2</v>
      </c>
      <c r="L63" s="68">
        <f t="shared" si="11"/>
        <v>1.1742490545651003E-2</v>
      </c>
      <c r="M63" s="68">
        <f t="shared" si="12"/>
        <v>1.1387385197190708E-2</v>
      </c>
      <c r="N63" s="68">
        <f t="shared" si="13"/>
        <v>1.1564937871420856E-2</v>
      </c>
      <c r="O63" s="68">
        <f>'Growth curves UTEX #1926'!G32</f>
        <v>0.216</v>
      </c>
      <c r="P63" s="68">
        <f t="shared" si="14"/>
        <v>0.27207360000000003</v>
      </c>
      <c r="Q63" s="99">
        <f t="shared" si="17"/>
        <v>2.7207360000000005E-4</v>
      </c>
      <c r="R63" s="100">
        <f t="shared" si="15"/>
        <v>21.253326069528345</v>
      </c>
      <c r="S63" s="101"/>
      <c r="T63" s="70"/>
      <c r="U63" s="70"/>
      <c r="V63" s="70">
        <f t="shared" si="16"/>
        <v>5.782468935710428</v>
      </c>
      <c r="W63" s="102"/>
      <c r="X63" s="70"/>
      <c r="Y63" s="70"/>
      <c r="Z63" s="70">
        <f>(V63-$V$60)/(D62-$D$59)</f>
        <v>-0.12762711188055595</v>
      </c>
      <c r="AA63" s="102"/>
      <c r="AB63" s="67"/>
      <c r="AD63" s="87">
        <f>D74</f>
        <v>117.5</v>
      </c>
      <c r="AE63" s="70">
        <f>S76</f>
        <v>48.413014848468357</v>
      </c>
      <c r="AF63" s="70">
        <f>U76</f>
        <v>3.1874169842207527</v>
      </c>
      <c r="AG63" s="70">
        <f>W76</f>
        <v>68.686477957860617</v>
      </c>
      <c r="AH63" s="70">
        <f>Y76</f>
        <v>9.4447045268339167</v>
      </c>
      <c r="AI63" s="144"/>
      <c r="AJ63" s="141"/>
      <c r="AK63" s="141"/>
    </row>
    <row r="64" spans="1:37" x14ac:dyDescent="0.15">
      <c r="B64" s="216"/>
      <c r="C64" s="199"/>
      <c r="D64" s="227"/>
      <c r="E64" s="151" t="s">
        <v>112</v>
      </c>
      <c r="F64" s="239"/>
      <c r="G64" s="225"/>
      <c r="H64" s="73">
        <f>0.1586-F62</f>
        <v>9.4933333333333328E-2</v>
      </c>
      <c r="I64" s="74">
        <f>0.1589-F62</f>
        <v>9.523333333333335E-2</v>
      </c>
      <c r="J64" s="74">
        <f>0.1123-G62</f>
        <v>5.0133333333333328E-2</v>
      </c>
      <c r="K64" s="74">
        <f>0.1118-G62</f>
        <v>4.9633333333333328E-2</v>
      </c>
      <c r="L64" s="68">
        <f t="shared" si="11"/>
        <v>1.0470448406266883E-2</v>
      </c>
      <c r="M64" s="68">
        <f t="shared" si="12"/>
        <v>1.0568098325229609E-2</v>
      </c>
      <c r="N64" s="74">
        <f t="shared" si="13"/>
        <v>1.0519273365748247E-2</v>
      </c>
      <c r="O64" s="74">
        <f>'Growth curves UTEX #1926'!H32</f>
        <v>0.216</v>
      </c>
      <c r="P64" s="74">
        <f t="shared" si="14"/>
        <v>0.27207360000000003</v>
      </c>
      <c r="Q64" s="75">
        <f t="shared" si="17"/>
        <v>2.7207360000000005E-4</v>
      </c>
      <c r="R64" s="76">
        <f t="shared" si="15"/>
        <v>19.331668647285596</v>
      </c>
      <c r="S64" s="77">
        <f>AVERAGE(R62:R64)</f>
        <v>21.550309885610407</v>
      </c>
      <c r="T64" s="78">
        <f>STDEV(R62:R64)</f>
        <v>2.3810646511350471</v>
      </c>
      <c r="U64" s="78">
        <f>T64/SQRT(3)</f>
        <v>1.374708317290722</v>
      </c>
      <c r="V64" s="78">
        <f t="shared" si="16"/>
        <v>5.259636682874123</v>
      </c>
      <c r="W64" s="77">
        <f t="shared" ref="W64:W109" si="18">AVERAGE(V62:V64)</f>
        <v>5.7117031334413833</v>
      </c>
      <c r="X64" s="78">
        <f t="shared" ref="X64:X109" si="19">STDEV(V62:V64)</f>
        <v>0.42116627292074532</v>
      </c>
      <c r="Y64" s="78">
        <f t="shared" ref="Y64:Y109" si="20">X64/SQRT(3)</f>
        <v>0.24316046104438371</v>
      </c>
      <c r="Z64" s="78">
        <f>(V64-$V$61)/(D62-$D$59)</f>
        <v>-0.15630279701389913</v>
      </c>
      <c r="AA64" s="77">
        <f>AVERAGE(Z62:Z64)</f>
        <v>-0.11671286405382837</v>
      </c>
      <c r="AB64" s="135">
        <f>STDEV(Z62:Z64)/SQRT(3)</f>
        <v>2.6574285422665472E-2</v>
      </c>
      <c r="AD64" s="87">
        <f>D77</f>
        <v>141.5</v>
      </c>
      <c r="AE64" s="70">
        <f>S79</f>
        <v>52.555909937818001</v>
      </c>
      <c r="AF64" s="70">
        <f>U79</f>
        <v>0.91405545850317027</v>
      </c>
      <c r="AG64" s="70">
        <f>W79</f>
        <v>101.02191045380874</v>
      </c>
      <c r="AH64" s="70">
        <f>Y79</f>
        <v>9.8912150286879097</v>
      </c>
      <c r="AI64" s="144"/>
      <c r="AJ64" s="141"/>
      <c r="AK64" s="141"/>
    </row>
    <row r="65" spans="2:37" x14ac:dyDescent="0.15">
      <c r="B65" s="214" t="s">
        <v>10</v>
      </c>
      <c r="C65" s="197">
        <v>0.52083333333333337</v>
      </c>
      <c r="D65" s="226">
        <f>D59+48</f>
        <v>48</v>
      </c>
      <c r="E65" s="120" t="s">
        <v>110</v>
      </c>
      <c r="F65" s="238">
        <f>(0.0599+0.0418+0.0497)/3</f>
        <v>5.0466666666666667E-2</v>
      </c>
      <c r="G65" s="224">
        <f>(0.0572+0.0398+0.0473)/3</f>
        <v>4.8100000000000004E-2</v>
      </c>
      <c r="H65" s="69">
        <f>0.2567-F65</f>
        <v>0.20623333333333332</v>
      </c>
      <c r="I65" s="68">
        <f>0.2448-F65</f>
        <v>0.19433333333333333</v>
      </c>
      <c r="J65" s="68">
        <f>0.1796-G65</f>
        <v>0.13150000000000001</v>
      </c>
      <c r="K65" s="68">
        <f>0.1662-G65</f>
        <v>0.11809999999999998</v>
      </c>
      <c r="L65" s="68">
        <f t="shared" si="11"/>
        <v>2.0530929227444622E-2</v>
      </c>
      <c r="M65" s="68">
        <f t="shared" si="12"/>
        <v>1.9916180443003785E-2</v>
      </c>
      <c r="N65" s="68">
        <f t="shared" si="13"/>
        <v>2.0223554835224204E-2</v>
      </c>
      <c r="O65" s="68">
        <f>'Growth curves UTEX #1926'!F35</f>
        <v>0.36</v>
      </c>
      <c r="P65" s="68">
        <f t="shared" si="14"/>
        <v>0.45345600000000003</v>
      </c>
      <c r="Q65" s="99">
        <f t="shared" si="17"/>
        <v>4.5345600000000003E-4</v>
      </c>
      <c r="R65" s="100">
        <f t="shared" si="15"/>
        <v>22.299357418607542</v>
      </c>
      <c r="S65" s="102"/>
      <c r="T65" s="70"/>
      <c r="U65" s="70"/>
      <c r="V65" s="70">
        <f t="shared" si="16"/>
        <v>10.111777417612101</v>
      </c>
      <c r="W65" s="102"/>
      <c r="X65" s="70"/>
      <c r="Y65" s="70"/>
      <c r="Z65" s="70">
        <f t="shared" ref="Z65:Z107" si="21">(V65-$V$59)/(D65-$D$59)</f>
        <v>5.3378804249954982E-2</v>
      </c>
      <c r="AA65" s="102"/>
      <c r="AB65" s="103"/>
      <c r="AD65" s="87">
        <f>D80</f>
        <v>191.5</v>
      </c>
      <c r="AE65" s="70">
        <f>S82</f>
        <v>52.845515863270414</v>
      </c>
      <c r="AF65" s="70">
        <f>U82</f>
        <v>2.2682147006564053</v>
      </c>
      <c r="AG65" s="70">
        <f>W82</f>
        <v>136.84197730956242</v>
      </c>
      <c r="AH65" s="70">
        <f>Y82</f>
        <v>7.1398416077493776</v>
      </c>
      <c r="AI65" s="144"/>
      <c r="AJ65" s="141"/>
      <c r="AK65" s="141"/>
    </row>
    <row r="66" spans="2:37" x14ac:dyDescent="0.15">
      <c r="B66" s="215"/>
      <c r="C66" s="198"/>
      <c r="D66" s="226"/>
      <c r="E66" s="120" t="s">
        <v>111</v>
      </c>
      <c r="F66" s="238"/>
      <c r="G66" s="224"/>
      <c r="H66" s="69">
        <f>0.2443-F65</f>
        <v>0.19383333333333333</v>
      </c>
      <c r="I66" s="68">
        <f>0.2352-F65</f>
        <v>0.18473333333333333</v>
      </c>
      <c r="J66" s="68">
        <f>0.174-G65</f>
        <v>0.12589999999999998</v>
      </c>
      <c r="K66" s="68">
        <f>0.1642-G65</f>
        <v>0.11610000000000001</v>
      </c>
      <c r="L66" s="68">
        <f t="shared" si="11"/>
        <v>1.9070313344138307E-2</v>
      </c>
      <c r="M66" s="68">
        <f t="shared" si="12"/>
        <v>1.8556374932468936E-2</v>
      </c>
      <c r="N66" s="68">
        <f t="shared" si="13"/>
        <v>1.8813344138303621E-2</v>
      </c>
      <c r="O66" s="68">
        <f>'Growth curves UTEX #1926'!G35</f>
        <v>0.35799999999999998</v>
      </c>
      <c r="P66" s="68">
        <f t="shared" si="14"/>
        <v>0.45093680000000003</v>
      </c>
      <c r="Q66" s="99">
        <f t="shared" si="17"/>
        <v>4.5093680000000004E-4</v>
      </c>
      <c r="R66" s="100">
        <f t="shared" si="15"/>
        <v>20.860289222684443</v>
      </c>
      <c r="S66" s="101"/>
      <c r="T66" s="70"/>
      <c r="U66" s="70"/>
      <c r="V66" s="70">
        <f t="shared" si="16"/>
        <v>9.40667206915181</v>
      </c>
      <c r="W66" s="102"/>
      <c r="X66" s="70"/>
      <c r="Y66" s="70"/>
      <c r="Z66" s="70">
        <f>(V66-$V$60)/(D65-$D$59)</f>
        <v>1.7008472334773983E-2</v>
      </c>
      <c r="AA66" s="102"/>
      <c r="AB66" s="103"/>
      <c r="AD66" s="87">
        <f>D83</f>
        <v>214</v>
      </c>
      <c r="AE66" s="70">
        <f>S85</f>
        <v>47.330316084400501</v>
      </c>
      <c r="AF66" s="70">
        <f>U85</f>
        <v>8.9087419578337617</v>
      </c>
      <c r="AG66" s="70">
        <f>W85</f>
        <v>138.11433009184228</v>
      </c>
      <c r="AH66" s="70">
        <f>Y85</f>
        <v>20.49600501671835</v>
      </c>
      <c r="AI66" s="144"/>
      <c r="AJ66" s="141"/>
      <c r="AK66" s="141"/>
    </row>
    <row r="67" spans="2:37" x14ac:dyDescent="0.15">
      <c r="B67" s="216"/>
      <c r="C67" s="199"/>
      <c r="D67" s="227"/>
      <c r="E67" s="151" t="s">
        <v>112</v>
      </c>
      <c r="F67" s="239"/>
      <c r="G67" s="225"/>
      <c r="H67" s="73">
        <f>0.2432-F65</f>
        <v>0.19273333333333334</v>
      </c>
      <c r="I67" s="74">
        <f>0.2652-F65</f>
        <v>0.21473333333333333</v>
      </c>
      <c r="J67" s="74">
        <f>0.1643-G65</f>
        <v>0.1162</v>
      </c>
      <c r="K67" s="74">
        <f>0.1849-G65</f>
        <v>0.1368</v>
      </c>
      <c r="L67" s="68">
        <f t="shared" si="11"/>
        <v>1.9843165856293896E-2</v>
      </c>
      <c r="M67" s="68">
        <f t="shared" si="12"/>
        <v>2.1388870880605079E-2</v>
      </c>
      <c r="N67" s="74">
        <f t="shared" si="13"/>
        <v>2.0616018368449486E-2</v>
      </c>
      <c r="O67" s="74">
        <f>'Growth curves UTEX #1926'!H35</f>
        <v>0.39800000000000002</v>
      </c>
      <c r="P67" s="74">
        <f t="shared" si="14"/>
        <v>0.50132080000000001</v>
      </c>
      <c r="Q67" s="75">
        <f t="shared" si="17"/>
        <v>5.0132080000000003E-4</v>
      </c>
      <c r="R67" s="76">
        <f t="shared" si="15"/>
        <v>20.561702574927555</v>
      </c>
      <c r="S67" s="77">
        <f>AVERAGE(R65:R67)</f>
        <v>21.240449738739844</v>
      </c>
      <c r="T67" s="78">
        <f>STDEV(R65:R67)</f>
        <v>0.9291138802196226</v>
      </c>
      <c r="U67" s="78">
        <f>T67/SQRT(3)</f>
        <v>0.5364241488526168</v>
      </c>
      <c r="V67" s="78">
        <f t="shared" si="16"/>
        <v>10.308009184224742</v>
      </c>
      <c r="W67" s="77">
        <f t="shared" si="18"/>
        <v>9.9421528903295524</v>
      </c>
      <c r="X67" s="78">
        <f t="shared" si="19"/>
        <v>0.47400581108660533</v>
      </c>
      <c r="Y67" s="78">
        <f t="shared" si="20"/>
        <v>0.27366738262829848</v>
      </c>
      <c r="Z67" s="78">
        <f>(V67-$V$61)/(D65-$D$59)</f>
        <v>3.3535645146767469E-2</v>
      </c>
      <c r="AA67" s="77">
        <f t="shared" ref="AA67:AA109" si="22">AVERAGE(Z65:Z67)</f>
        <v>3.4640973910498807E-2</v>
      </c>
      <c r="AB67" s="135">
        <f t="shared" ref="AB67:AB109" si="23">STDEV(Z65:Z67)/SQRT(3)</f>
        <v>1.0513746155423664E-2</v>
      </c>
      <c r="AD67" s="87">
        <f>D86</f>
        <v>237</v>
      </c>
      <c r="AE67" s="70">
        <f>S88</f>
        <v>46.648003632278517</v>
      </c>
      <c r="AF67" s="70">
        <f>U88</f>
        <v>2.5658662748905572</v>
      </c>
      <c r="AG67" s="70">
        <f>W88</f>
        <v>156.53991085899517</v>
      </c>
      <c r="AH67" s="70">
        <f>Y88</f>
        <v>11.301408967439661</v>
      </c>
      <c r="AI67" s="144"/>
      <c r="AJ67" s="141"/>
      <c r="AK67" s="141"/>
    </row>
    <row r="68" spans="2:37" x14ac:dyDescent="0.15">
      <c r="B68" s="214" t="s">
        <v>11</v>
      </c>
      <c r="C68" s="197">
        <v>0.54166666666666663</v>
      </c>
      <c r="D68" s="218">
        <f>D65+24.5</f>
        <v>72.5</v>
      </c>
      <c r="E68" s="120" t="s">
        <v>110</v>
      </c>
      <c r="F68" s="238">
        <v>4.9299999999999997E-2</v>
      </c>
      <c r="G68" s="224">
        <v>4.7100000000000003E-2</v>
      </c>
      <c r="H68" s="69">
        <f>0.2525-F68</f>
        <v>0.20319999999999999</v>
      </c>
      <c r="I68" s="68">
        <f>0.2562-F68</f>
        <v>0.20689999999999997</v>
      </c>
      <c r="J68" s="68">
        <f>0.1783-G68</f>
        <v>0.13119999999999998</v>
      </c>
      <c r="K68" s="68">
        <f>0.178-G68</f>
        <v>0.13089999999999999</v>
      </c>
      <c r="L68" s="68">
        <f t="shared" si="11"/>
        <v>2.0068719611021069E-2</v>
      </c>
      <c r="M68" s="68">
        <f t="shared" si="12"/>
        <v>2.0697811993517015E-2</v>
      </c>
      <c r="N68" s="68">
        <f t="shared" si="13"/>
        <v>2.0383265802269041E-2</v>
      </c>
      <c r="O68" s="68">
        <f>'Growth curves UTEX #1926'!F36</f>
        <v>0.47</v>
      </c>
      <c r="P68" s="68">
        <f t="shared" si="14"/>
        <v>0.59201199999999998</v>
      </c>
      <c r="Q68" s="99">
        <f>O68*0.5/1000</f>
        <v>2.3499999999999999E-4</v>
      </c>
      <c r="R68" s="100">
        <f t="shared" si="15"/>
        <v>43.368650643125619</v>
      </c>
      <c r="S68" s="102"/>
      <c r="T68" s="70"/>
      <c r="U68" s="70"/>
      <c r="V68" s="70">
        <f t="shared" si="16"/>
        <v>25.674761604538084</v>
      </c>
      <c r="W68" s="102"/>
      <c r="X68" s="70"/>
      <c r="Y68" s="70"/>
      <c r="Z68" s="70">
        <f t="shared" si="21"/>
        <v>0.25000230056446648</v>
      </c>
      <c r="AA68" s="102"/>
      <c r="AB68" s="103"/>
      <c r="AD68" s="87">
        <f>D89</f>
        <v>261</v>
      </c>
      <c r="AE68" s="70">
        <f>S91</f>
        <v>37.141074830016059</v>
      </c>
      <c r="AF68" s="70">
        <f>U91</f>
        <v>4.0256553901222007</v>
      </c>
      <c r="AG68" s="70">
        <f>W91</f>
        <v>139.80019809112193</v>
      </c>
      <c r="AH68" s="70">
        <f>Y91</f>
        <v>17.656341118434497</v>
      </c>
      <c r="AI68" s="144"/>
      <c r="AJ68" s="141"/>
      <c r="AK68" s="141"/>
    </row>
    <row r="69" spans="2:37" x14ac:dyDescent="0.15">
      <c r="B69" s="215"/>
      <c r="C69" s="198"/>
      <c r="D69" s="218"/>
      <c r="E69" s="120" t="s">
        <v>111</v>
      </c>
      <c r="F69" s="238"/>
      <c r="G69" s="224"/>
      <c r="H69" s="69">
        <f>0.2326-F68</f>
        <v>0.18330000000000002</v>
      </c>
      <c r="I69" s="68">
        <f>0.2852-F68</f>
        <v>0.2359</v>
      </c>
      <c r="J69" s="68">
        <f>0.1655-G68</f>
        <v>0.11840000000000001</v>
      </c>
      <c r="K69" s="68">
        <f>0.2151-G68</f>
        <v>0.16800000000000001</v>
      </c>
      <c r="L69" s="68">
        <f t="shared" si="11"/>
        <v>1.8098541329011349E-2</v>
      </c>
      <c r="M69" s="68">
        <f t="shared" si="12"/>
        <v>2.1760129659643433E-2</v>
      </c>
      <c r="N69" s="68">
        <f t="shared" si="13"/>
        <v>1.9929335494327391E-2</v>
      </c>
      <c r="O69" s="68">
        <f>'Growth curves UTEX #1926'!G36</f>
        <v>0.46800000000000003</v>
      </c>
      <c r="P69" s="68">
        <f t="shared" si="14"/>
        <v>0.58949280000000004</v>
      </c>
      <c r="Q69" s="99">
        <f>O69*0.5/1000</f>
        <v>2.3400000000000002E-4</v>
      </c>
      <c r="R69" s="100">
        <f t="shared" si="15"/>
        <v>42.584050201554248</v>
      </c>
      <c r="S69" s="101"/>
      <c r="T69" s="70"/>
      <c r="U69" s="70"/>
      <c r="V69" s="70">
        <f t="shared" si="16"/>
        <v>25.102990988654781</v>
      </c>
      <c r="W69" s="102"/>
      <c r="X69" s="70"/>
      <c r="Y69" s="70"/>
      <c r="Z69" s="70">
        <f>(V69-$V$60)/(D68-$D$59)</f>
        <v>0.22776173229754648</v>
      </c>
      <c r="AA69" s="102"/>
      <c r="AB69" s="103"/>
      <c r="AD69" s="87">
        <f>D92</f>
        <v>285</v>
      </c>
      <c r="AE69" s="70">
        <f>S94</f>
        <v>37.840046445139507</v>
      </c>
      <c r="AF69" s="70">
        <f>U94</f>
        <v>5.1887945289495452</v>
      </c>
      <c r="AG69" s="70">
        <f>W94</f>
        <v>148.28056906176838</v>
      </c>
      <c r="AH69" s="70">
        <f>Y94</f>
        <v>19.366788586368639</v>
      </c>
      <c r="AI69" s="144"/>
      <c r="AJ69" s="141"/>
      <c r="AK69" s="141"/>
    </row>
    <row r="70" spans="2:37" x14ac:dyDescent="0.15">
      <c r="B70" s="216"/>
      <c r="C70" s="199"/>
      <c r="D70" s="219"/>
      <c r="E70" s="151" t="s">
        <v>112</v>
      </c>
      <c r="F70" s="239"/>
      <c r="G70" s="225"/>
      <c r="H70" s="73">
        <f>0.2485-F68</f>
        <v>0.19919999999999999</v>
      </c>
      <c r="I70" s="74">
        <f>0.2766-F68</f>
        <v>0.2273</v>
      </c>
      <c r="J70" s="74">
        <f>0.1709-G68</f>
        <v>0.12379999999999999</v>
      </c>
      <c r="K70" s="74">
        <f>0.1962-G68</f>
        <v>0.14910000000000001</v>
      </c>
      <c r="L70" s="68">
        <f t="shared" si="11"/>
        <v>2.0146029173419771E-2</v>
      </c>
      <c r="M70" s="68">
        <f t="shared" si="12"/>
        <v>2.2219529983792546E-2</v>
      </c>
      <c r="N70" s="74">
        <f t="shared" si="13"/>
        <v>2.1182779578606158E-2</v>
      </c>
      <c r="O70" s="74">
        <f>'Growth curves UTEX #1926'!H36</f>
        <v>0.59</v>
      </c>
      <c r="P70" s="74">
        <f t="shared" si="14"/>
        <v>0.74316400000000005</v>
      </c>
      <c r="Q70" s="75">
        <f>O70*0.5/1000</f>
        <v>2.9499999999999996E-4</v>
      </c>
      <c r="R70" s="76">
        <f t="shared" si="15"/>
        <v>35.903016234925694</v>
      </c>
      <c r="S70" s="77">
        <f>AVERAGE(R68:R70)</f>
        <v>40.618572359868523</v>
      </c>
      <c r="T70" s="78">
        <f>STDEV(R68:R70)</f>
        <v>4.1025908446788657</v>
      </c>
      <c r="U70" s="78">
        <f>T70/SQRT(3)</f>
        <v>2.3686319285502373</v>
      </c>
      <c r="V70" s="78">
        <f t="shared" si="16"/>
        <v>26.68182915721232</v>
      </c>
      <c r="W70" s="77">
        <f t="shared" si="18"/>
        <v>25.819860583468397</v>
      </c>
      <c r="X70" s="78">
        <f t="shared" si="19"/>
        <v>0.79935772710876762</v>
      </c>
      <c r="Y70" s="78">
        <f t="shared" si="20"/>
        <v>0.46150939892505444</v>
      </c>
      <c r="Z70" s="78">
        <f>(V70-$V$61)/(D68-$D$59)</f>
        <v>0.24804870262113679</v>
      </c>
      <c r="AA70" s="77">
        <f t="shared" si="22"/>
        <v>0.24193757849438324</v>
      </c>
      <c r="AB70" s="135">
        <f t="shared" si="23"/>
        <v>7.110323428610078E-3</v>
      </c>
      <c r="AD70" s="87">
        <f>D95</f>
        <v>308</v>
      </c>
      <c r="AE70" s="70">
        <f>S97</f>
        <v>36.588808277150925</v>
      </c>
      <c r="AF70" s="70">
        <f>U97</f>
        <v>3.9479151869465352</v>
      </c>
      <c r="AG70" s="70">
        <f>W97</f>
        <v>144.09346299297678</v>
      </c>
      <c r="AH70" s="70">
        <f>Y97</f>
        <v>13.868696324609147</v>
      </c>
      <c r="AI70" s="144"/>
      <c r="AJ70" s="141"/>
      <c r="AK70" s="141"/>
    </row>
    <row r="71" spans="2:37" x14ac:dyDescent="0.15">
      <c r="B71" s="214" t="s">
        <v>12</v>
      </c>
      <c r="C71" s="197">
        <v>0.45833333333333331</v>
      </c>
      <c r="D71" s="218">
        <f>22+D68</f>
        <v>94.5</v>
      </c>
      <c r="E71" s="120" t="s">
        <v>110</v>
      </c>
      <c r="F71" s="238">
        <v>5.3699999999999998E-2</v>
      </c>
      <c r="G71" s="224">
        <v>5.0900000000000001E-2</v>
      </c>
      <c r="H71" s="69">
        <f>0.2265-F71</f>
        <v>0.17280000000000001</v>
      </c>
      <c r="I71" s="68">
        <f>0.2166-F71</f>
        <v>0.16289999999999999</v>
      </c>
      <c r="J71" s="68">
        <f>0.1532-G71</f>
        <v>0.1023</v>
      </c>
      <c r="K71" s="68">
        <f>0.1415-G71</f>
        <v>9.0599999999999986E-2</v>
      </c>
      <c r="L71" s="68">
        <f t="shared" si="11"/>
        <v>1.7975445705024313E-2</v>
      </c>
      <c r="M71" s="68">
        <f t="shared" si="12"/>
        <v>1.7518152350081039E-2</v>
      </c>
      <c r="N71" s="68">
        <f t="shared" si="13"/>
        <v>1.7746799027552676E-2</v>
      </c>
      <c r="O71" s="68">
        <f>'Growth curves UTEX #1926'!F37</f>
        <v>0.74</v>
      </c>
      <c r="P71" s="68">
        <f t="shared" si="14"/>
        <v>0.93210400000000004</v>
      </c>
      <c r="Q71" s="99">
        <f>O71*0.25/1000</f>
        <v>1.85E-4</v>
      </c>
      <c r="R71" s="100">
        <f t="shared" si="15"/>
        <v>47.964321696088312</v>
      </c>
      <c r="S71" s="101"/>
      <c r="V71" s="70">
        <f t="shared" si="16"/>
        <v>44.707736110210703</v>
      </c>
      <c r="W71" s="102"/>
      <c r="X71" s="70"/>
      <c r="Y71" s="70"/>
      <c r="Z71" s="70">
        <f t="shared" si="21"/>
        <v>0.39320784440842793</v>
      </c>
      <c r="AA71" s="102"/>
      <c r="AB71" s="103"/>
      <c r="AD71" s="87">
        <f>D98</f>
        <v>334.5</v>
      </c>
      <c r="AE71" s="70">
        <f>S100</f>
        <v>36.950275974370122</v>
      </c>
      <c r="AF71" s="70">
        <f>U100</f>
        <v>1.4230182559973492</v>
      </c>
      <c r="AG71" s="70">
        <f>W100</f>
        <v>149.00135062128578</v>
      </c>
      <c r="AH71" s="70">
        <f>Y100</f>
        <v>3.3363741362869317</v>
      </c>
      <c r="AI71" s="144"/>
      <c r="AJ71" s="141"/>
      <c r="AK71" s="141"/>
    </row>
    <row r="72" spans="2:37" ht="15" customHeight="1" x14ac:dyDescent="0.15">
      <c r="B72" s="215"/>
      <c r="C72" s="198"/>
      <c r="D72" s="218"/>
      <c r="E72" s="120" t="s">
        <v>111</v>
      </c>
      <c r="F72" s="238"/>
      <c r="G72" s="224"/>
      <c r="H72" s="69">
        <f>0.2571-F71</f>
        <v>0.2034</v>
      </c>
      <c r="I72" s="68">
        <f>0.2667-F71</f>
        <v>0.21299999999999999</v>
      </c>
      <c r="J72" s="68">
        <f>0.1895-G71</f>
        <v>0.1386</v>
      </c>
      <c r="K72" s="68">
        <f>0.1973-G71</f>
        <v>0.1464</v>
      </c>
      <c r="L72" s="68">
        <f t="shared" si="11"/>
        <v>1.937552674230146E-2</v>
      </c>
      <c r="M72" s="68">
        <f t="shared" si="12"/>
        <v>2.0166612641815233E-2</v>
      </c>
      <c r="N72" s="68">
        <f t="shared" si="13"/>
        <v>1.9771069692058347E-2</v>
      </c>
      <c r="O72" s="58">
        <f>'Growth curves UTEX #1926'!G37</f>
        <v>0.70099999999999996</v>
      </c>
      <c r="P72" s="68">
        <f t="shared" si="14"/>
        <v>0.88297959999999998</v>
      </c>
      <c r="Q72" s="99">
        <f>O72*0.25/1000</f>
        <v>1.7524999999999998E-4</v>
      </c>
      <c r="R72" s="100">
        <f t="shared" si="15"/>
        <v>56.408187423846933</v>
      </c>
      <c r="S72" s="101"/>
      <c r="V72" s="70">
        <f t="shared" si="16"/>
        <v>49.807278768233395</v>
      </c>
      <c r="W72" s="102"/>
      <c r="X72" s="70"/>
      <c r="Y72" s="70"/>
      <c r="Z72" s="70">
        <f>(V72-$V$60)/(D71-$D$59)</f>
        <v>0.4361588716523887</v>
      </c>
      <c r="AA72" s="102"/>
      <c r="AB72" s="103"/>
      <c r="AD72" s="87">
        <f>D101</f>
        <v>359.5</v>
      </c>
      <c r="AE72" s="70">
        <f>S103</f>
        <v>46.632418625731852</v>
      </c>
      <c r="AF72" s="70">
        <f>U103</f>
        <v>6.6886191422381147</v>
      </c>
      <c r="AG72" s="70">
        <f>W103</f>
        <v>186.6679272465334</v>
      </c>
      <c r="AH72" s="70">
        <f>Y103</f>
        <v>24.398624031699025</v>
      </c>
      <c r="AI72" s="143"/>
      <c r="AJ72" s="141"/>
      <c r="AK72" s="141"/>
    </row>
    <row r="73" spans="2:37" ht="15" customHeight="1" x14ac:dyDescent="0.15">
      <c r="B73" s="216"/>
      <c r="C73" s="199"/>
      <c r="D73" s="219"/>
      <c r="E73" s="151" t="s">
        <v>112</v>
      </c>
      <c r="F73" s="239"/>
      <c r="G73" s="225"/>
      <c r="H73" s="73">
        <f>0.252-F71</f>
        <v>0.1983</v>
      </c>
      <c r="I73" s="74">
        <f>0.259-F71</f>
        <v>0.20530000000000001</v>
      </c>
      <c r="J73" s="74">
        <f>0.1752-G71</f>
        <v>0.12429999999999999</v>
      </c>
      <c r="K73" s="74">
        <f>0.1812-G71</f>
        <v>0.1303</v>
      </c>
      <c r="L73" s="68">
        <f t="shared" si="11"/>
        <v>1.9951134521880066E-2</v>
      </c>
      <c r="M73" s="68">
        <f t="shared" si="12"/>
        <v>2.0497325769854136E-2</v>
      </c>
      <c r="N73" s="74">
        <f t="shared" si="13"/>
        <v>2.0224230145867099E-2</v>
      </c>
      <c r="O73" s="71">
        <f>'Growth curves UTEX #1926'!H37</f>
        <v>0.89100000000000001</v>
      </c>
      <c r="P73" s="74">
        <f t="shared" si="14"/>
        <v>1.1223036</v>
      </c>
      <c r="Q73" s="75">
        <f>O73*0.25/1000</f>
        <v>2.2274999999999999E-4</v>
      </c>
      <c r="R73" s="76">
        <f t="shared" si="15"/>
        <v>45.396700664123678</v>
      </c>
      <c r="S73" s="77">
        <f>AVERAGE(R71:R73)</f>
        <v>49.923069928019636</v>
      </c>
      <c r="T73" s="78">
        <f>STDEV(R71:R73)</f>
        <v>5.7611397433112757</v>
      </c>
      <c r="U73" s="78">
        <f>T73/SQRT(3)</f>
        <v>3.3261955816398165</v>
      </c>
      <c r="V73" s="78">
        <f t="shared" si="16"/>
        <v>50.948880583468394</v>
      </c>
      <c r="W73" s="77">
        <f t="shared" si="18"/>
        <v>48.487965153970833</v>
      </c>
      <c r="X73" s="78">
        <f t="shared" si="19"/>
        <v>3.3231630103867413</v>
      </c>
      <c r="Y73" s="78">
        <f t="shared" si="20"/>
        <v>1.9186290586077923</v>
      </c>
      <c r="Z73" s="78">
        <f>(V73-$V$61)/(D71-$D$59)</f>
        <v>0.44709610969617453</v>
      </c>
      <c r="AA73" s="77">
        <f t="shared" si="22"/>
        <v>0.42548760858566376</v>
      </c>
      <c r="AB73" s="135">
        <f t="shared" si="23"/>
        <v>1.6445801647736475E-2</v>
      </c>
      <c r="AD73" s="87">
        <f>D104</f>
        <v>384</v>
      </c>
      <c r="AE73" s="70">
        <f>S106</f>
        <v>49.557097360562345</v>
      </c>
      <c r="AF73" s="70">
        <f>U106</f>
        <v>11.238396666348834</v>
      </c>
      <c r="AG73" s="70">
        <f>W106</f>
        <v>195.74536286691878</v>
      </c>
      <c r="AH73" s="70">
        <f>Y106</f>
        <v>36.894620806989643</v>
      </c>
      <c r="AI73" s="141"/>
      <c r="AJ73" s="141"/>
      <c r="AK73" s="141"/>
    </row>
    <row r="74" spans="2:37" x14ac:dyDescent="0.15">
      <c r="B74" s="214" t="s">
        <v>13</v>
      </c>
      <c r="C74" s="197">
        <v>0.4236111111111111</v>
      </c>
      <c r="D74" s="218">
        <f>23+D71</f>
        <v>117.5</v>
      </c>
      <c r="E74" s="120" t="s">
        <v>110</v>
      </c>
      <c r="F74" s="238">
        <f>(0.0493+0.0476)/2</f>
        <v>4.845E-2</v>
      </c>
      <c r="G74" s="224">
        <f>(0.0481+0.0467)/2</f>
        <v>4.7399999999999998E-2</v>
      </c>
      <c r="H74" s="69">
        <f>0.161-F74</f>
        <v>0.11255000000000001</v>
      </c>
      <c r="I74" s="68">
        <f>0.1378-F74</f>
        <v>8.9350000000000013E-2</v>
      </c>
      <c r="J74" s="68">
        <f>0.1241-G74</f>
        <v>7.6700000000000004E-2</v>
      </c>
      <c r="K74" s="68">
        <f>0.1019-G74</f>
        <v>5.4500000000000007E-2</v>
      </c>
      <c r="L74" s="68">
        <f t="shared" si="11"/>
        <v>1.0720664505672611E-2</v>
      </c>
      <c r="M74" s="68">
        <f t="shared" si="12"/>
        <v>9.1373581847649932E-3</v>
      </c>
      <c r="N74" s="68">
        <f t="shared" si="13"/>
        <v>9.9290113452188029E-3</v>
      </c>
      <c r="O74" s="58">
        <f>'Growth curves UTEX #1926'!F38</f>
        <v>1.0980000000000001</v>
      </c>
      <c r="P74" s="68">
        <f t="shared" si="14"/>
        <v>1.3830408000000001</v>
      </c>
      <c r="Q74" s="99">
        <f t="shared" ref="Q74:Q79" si="24">O74*0.1/1000</f>
        <v>1.0980000000000001E-4</v>
      </c>
      <c r="R74" s="100">
        <f t="shared" si="15"/>
        <v>45.214077164020047</v>
      </c>
      <c r="S74" s="101"/>
      <c r="V74" s="70">
        <f t="shared" si="16"/>
        <v>62.532913452188019</v>
      </c>
      <c r="W74" s="102"/>
      <c r="X74" s="70"/>
      <c r="Y74" s="70"/>
      <c r="Z74" s="70">
        <f t="shared" si="21"/>
        <v>0.46794313734956389</v>
      </c>
      <c r="AA74" s="102"/>
      <c r="AB74" s="103"/>
      <c r="AD74" s="87">
        <f>D107</f>
        <v>406</v>
      </c>
      <c r="AE74" s="70">
        <f>S109</f>
        <v>52.016314031674654</v>
      </c>
      <c r="AF74" s="70">
        <f>U109</f>
        <v>7.8000748138618281</v>
      </c>
      <c r="AG74" s="70">
        <f>W109</f>
        <v>210.84846029173423</v>
      </c>
      <c r="AH74" s="70">
        <f>Y109</f>
        <v>21.968333036856027</v>
      </c>
      <c r="AI74" s="141"/>
      <c r="AJ74" s="141"/>
      <c r="AK74" s="141"/>
    </row>
    <row r="75" spans="2:37" x14ac:dyDescent="0.2">
      <c r="B75" s="215"/>
      <c r="C75" s="198"/>
      <c r="D75" s="218"/>
      <c r="E75" s="120" t="s">
        <v>111</v>
      </c>
      <c r="F75" s="238"/>
      <c r="G75" s="224"/>
      <c r="H75" s="69">
        <f>0.1309-F74</f>
        <v>8.2449999999999996E-2</v>
      </c>
      <c r="I75" s="68">
        <f>0.1434-F74</f>
        <v>9.4950000000000007E-2</v>
      </c>
      <c r="J75" s="68">
        <f>0.0962-G74</f>
        <v>4.8799999999999996E-2</v>
      </c>
      <c r="K75" s="68">
        <f>0.1095-G74</f>
        <v>6.2100000000000002E-2</v>
      </c>
      <c r="L75" s="68">
        <f t="shared" si="11"/>
        <v>8.577957860615883E-3</v>
      </c>
      <c r="M75" s="68">
        <f t="shared" si="12"/>
        <v>9.2997568881685588E-3</v>
      </c>
      <c r="N75" s="68">
        <f t="shared" si="13"/>
        <v>8.9388573743922201E-3</v>
      </c>
      <c r="O75" s="58">
        <f>'Growth curves UTEX #1926'!G38</f>
        <v>0.98799999999999999</v>
      </c>
      <c r="P75" s="68">
        <f t="shared" si="14"/>
        <v>1.2444847999999999</v>
      </c>
      <c r="Q75" s="99">
        <f t="shared" si="24"/>
        <v>9.8800000000000003E-5</v>
      </c>
      <c r="R75" s="100">
        <f t="shared" si="15"/>
        <v>45.237132461499087</v>
      </c>
      <c r="S75" s="101"/>
      <c r="V75" s="70">
        <f t="shared" si="16"/>
        <v>56.2969237439222</v>
      </c>
      <c r="W75" s="102"/>
      <c r="X75" s="70"/>
      <c r="Y75" s="70"/>
      <c r="Z75" s="70">
        <f>(V75-$V$60)/(D74-$D$59)</f>
        <v>0.40601411359012374</v>
      </c>
      <c r="AA75" s="102"/>
      <c r="AB75" s="103"/>
    </row>
    <row r="76" spans="2:37" x14ac:dyDescent="0.2">
      <c r="B76" s="216"/>
      <c r="C76" s="199"/>
      <c r="D76" s="219"/>
      <c r="E76" s="151" t="s">
        <v>112</v>
      </c>
      <c r="F76" s="239"/>
      <c r="G76" s="225"/>
      <c r="H76" s="73">
        <f>0.1858-F74</f>
        <v>0.13735</v>
      </c>
      <c r="I76" s="74">
        <f>0.1917-F74</f>
        <v>0.14325000000000002</v>
      </c>
      <c r="J76" s="74">
        <f>0.135-G74</f>
        <v>8.7600000000000011E-2</v>
      </c>
      <c r="K76" s="74">
        <f>0.1411-G74</f>
        <v>9.3700000000000006E-2</v>
      </c>
      <c r="L76" s="68">
        <f t="shared" si="11"/>
        <v>1.367131280388979E-2</v>
      </c>
      <c r="M76" s="68">
        <f t="shared" si="12"/>
        <v>1.4029416531604541E-2</v>
      </c>
      <c r="N76" s="74">
        <f t="shared" si="13"/>
        <v>1.3850364667747165E-2</v>
      </c>
      <c r="O76" s="71">
        <f>'Growth curves UTEX #1926'!H38</f>
        <v>1.264</v>
      </c>
      <c r="P76" s="74">
        <f t="shared" si="14"/>
        <v>1.5921344000000002</v>
      </c>
      <c r="Q76" s="75">
        <f t="shared" si="24"/>
        <v>1.2640000000000001E-4</v>
      </c>
      <c r="R76" s="76">
        <f t="shared" si="15"/>
        <v>54.787834919885931</v>
      </c>
      <c r="S76" s="77">
        <f>AVERAGE(R74:R76)</f>
        <v>48.413014848468357</v>
      </c>
      <c r="T76" s="78">
        <f>STDEV(R74:R76)</f>
        <v>5.5207681615783102</v>
      </c>
      <c r="U76" s="78">
        <f>T76/SQRT(3)</f>
        <v>3.1874169842207527</v>
      </c>
      <c r="V76" s="78">
        <f t="shared" si="16"/>
        <v>87.229596677471648</v>
      </c>
      <c r="W76" s="77">
        <f t="shared" si="18"/>
        <v>68.686477957860617</v>
      </c>
      <c r="X76" s="78">
        <f t="shared" si="19"/>
        <v>16.358708102952114</v>
      </c>
      <c r="Y76" s="78">
        <f t="shared" si="20"/>
        <v>9.4447045268339167</v>
      </c>
      <c r="Z76" s="78">
        <f>(V76-$V$61)/(D74-$D$59)</f>
        <v>0.668351476257802</v>
      </c>
      <c r="AA76" s="77">
        <f t="shared" si="22"/>
        <v>0.51410290906582989</v>
      </c>
      <c r="AB76" s="135">
        <f t="shared" si="23"/>
        <v>7.9169157202645585E-2</v>
      </c>
      <c r="AD76" s="87"/>
      <c r="AE76" s="70"/>
      <c r="AF76" s="70"/>
      <c r="AG76" s="70"/>
      <c r="AH76" s="70"/>
    </row>
    <row r="77" spans="2:37" x14ac:dyDescent="0.2">
      <c r="B77" s="214" t="s">
        <v>30</v>
      </c>
      <c r="C77" s="197">
        <v>0.43055555555555558</v>
      </c>
      <c r="D77" s="218">
        <f>24+D74</f>
        <v>141.5</v>
      </c>
      <c r="E77" s="120" t="s">
        <v>110</v>
      </c>
      <c r="F77" s="238">
        <v>5.9400000000000001E-2</v>
      </c>
      <c r="G77" s="224">
        <v>5.7799999999999997E-2</v>
      </c>
      <c r="H77" s="69">
        <f>0.2108-F77</f>
        <v>0.15139999999999998</v>
      </c>
      <c r="I77" s="68">
        <f>0.1998-F77</f>
        <v>0.1404</v>
      </c>
      <c r="J77" s="68">
        <f>0.1463-G77</f>
        <v>8.8500000000000023E-2</v>
      </c>
      <c r="K77" s="68">
        <f>0.1355-G77</f>
        <v>7.7700000000000019E-2</v>
      </c>
      <c r="L77" s="68">
        <f t="shared" si="11"/>
        <v>1.5860210696920576E-2</v>
      </c>
      <c r="M77" s="68">
        <f t="shared" si="12"/>
        <v>1.513638573743922E-2</v>
      </c>
      <c r="N77" s="68">
        <f t="shared" si="13"/>
        <v>1.5498298217179898E-2</v>
      </c>
      <c r="O77" s="68">
        <f>'Growth curves UTEX #1926'!F39</f>
        <v>1.4259999999999999</v>
      </c>
      <c r="P77" s="68">
        <f t="shared" si="14"/>
        <v>1.7961895999999999</v>
      </c>
      <c r="Q77" s="99">
        <f t="shared" si="24"/>
        <v>1.426E-4</v>
      </c>
      <c r="R77" s="100">
        <f t="shared" si="15"/>
        <v>54.341859106521383</v>
      </c>
      <c r="S77" s="101"/>
      <c r="V77" s="70">
        <f t="shared" si="16"/>
        <v>97.608282171799004</v>
      </c>
      <c r="W77" s="102"/>
      <c r="X77" s="70"/>
      <c r="Y77" s="70"/>
      <c r="Z77" s="70">
        <f t="shared" si="21"/>
        <v>0.63645715447480378</v>
      </c>
      <c r="AA77" s="102"/>
      <c r="AB77" s="103"/>
      <c r="AE77" s="70"/>
      <c r="AF77" s="70"/>
      <c r="AG77" s="70"/>
      <c r="AH77" s="70"/>
    </row>
    <row r="78" spans="2:37" x14ac:dyDescent="0.2">
      <c r="B78" s="215"/>
      <c r="C78" s="198"/>
      <c r="D78" s="218"/>
      <c r="E78" s="120" t="s">
        <v>111</v>
      </c>
      <c r="F78" s="238"/>
      <c r="G78" s="224"/>
      <c r="H78" s="69">
        <f>0.1965-F77</f>
        <v>0.1371</v>
      </c>
      <c r="I78" s="68">
        <f>0.1973-F77</f>
        <v>0.13789999999999999</v>
      </c>
      <c r="J78" s="68">
        <f>0.1458-G77</f>
        <v>8.8000000000000023E-2</v>
      </c>
      <c r="K78" s="68">
        <f>0.1463-G77</f>
        <v>8.8500000000000023E-2</v>
      </c>
      <c r="L78" s="68">
        <f t="shared" si="11"/>
        <v>1.359157212317666E-2</v>
      </c>
      <c r="M78" s="68">
        <f t="shared" si="12"/>
        <v>1.3672204213938407E-2</v>
      </c>
      <c r="N78" s="68">
        <f t="shared" si="13"/>
        <v>1.3631888168557534E-2</v>
      </c>
      <c r="O78" s="68">
        <f>'Growth curves UTEX #1926'!G39</f>
        <v>1.3280000000000001</v>
      </c>
      <c r="P78" s="68">
        <f t="shared" si="14"/>
        <v>1.6727488000000001</v>
      </c>
      <c r="Q78" s="99">
        <f t="shared" si="24"/>
        <v>1.328E-4</v>
      </c>
      <c r="R78" s="100">
        <f t="shared" si="15"/>
        <v>51.32488015270156</v>
      </c>
      <c r="S78" s="101"/>
      <c r="V78" s="70">
        <f t="shared" si="16"/>
        <v>85.853631685575365</v>
      </c>
      <c r="W78" s="102"/>
      <c r="X78" s="70"/>
      <c r="Y78" s="70"/>
      <c r="Z78" s="70">
        <f>(V78-$V$60)/(D77-$D$59)</f>
        <v>0.54603085716249267</v>
      </c>
      <c r="AA78" s="102"/>
      <c r="AB78" s="103"/>
      <c r="AE78" s="70"/>
      <c r="AF78" s="70"/>
      <c r="AG78" s="70"/>
      <c r="AH78" s="70"/>
    </row>
    <row r="79" spans="2:37" x14ac:dyDescent="0.2">
      <c r="B79" s="216"/>
      <c r="C79" s="199"/>
      <c r="D79" s="219"/>
      <c r="E79" s="151" t="s">
        <v>112</v>
      </c>
      <c r="F79" s="239"/>
      <c r="G79" s="225"/>
      <c r="H79" s="73">
        <f>0.2334-F77</f>
        <v>0.17399999999999999</v>
      </c>
      <c r="I79" s="74">
        <f>0.2497-F77</f>
        <v>0.1903</v>
      </c>
      <c r="J79" s="74">
        <f>0.1574-G77</f>
        <v>9.9600000000000022E-2</v>
      </c>
      <c r="K79" s="74">
        <f>0.173-G77</f>
        <v>0.1152</v>
      </c>
      <c r="L79" s="68">
        <f t="shared" si="11"/>
        <v>1.8434683954619124E-2</v>
      </c>
      <c r="M79" s="68">
        <f t="shared" si="12"/>
        <v>1.9546839546191248E-2</v>
      </c>
      <c r="N79" s="74">
        <f t="shared" si="13"/>
        <v>1.8990761750405184E-2</v>
      </c>
      <c r="O79" s="74">
        <f>'Growth curves UTEX #1926'!H39</f>
        <v>1.8260000000000001</v>
      </c>
      <c r="P79" s="74">
        <f t="shared" si="14"/>
        <v>2.3000296000000002</v>
      </c>
      <c r="Q79" s="75">
        <f t="shared" si="24"/>
        <v>1.8260000000000002E-4</v>
      </c>
      <c r="R79" s="76">
        <f t="shared" si="15"/>
        <v>52.000990554231059</v>
      </c>
      <c r="S79" s="77">
        <f>AVERAGE(R77:R79)</f>
        <v>52.555909937818001</v>
      </c>
      <c r="T79" s="78">
        <f>STDEV(R77:R79)</f>
        <v>1.5831904950631563</v>
      </c>
      <c r="U79" s="78">
        <f>T79/SQRT(3)</f>
        <v>0.91405545850317027</v>
      </c>
      <c r="V79" s="78">
        <f t="shared" si="16"/>
        <v>119.60381750405185</v>
      </c>
      <c r="W79" s="77">
        <f t="shared" si="18"/>
        <v>101.02191045380874</v>
      </c>
      <c r="X79" s="78">
        <f t="shared" si="19"/>
        <v>17.132086978276309</v>
      </c>
      <c r="Y79" s="78">
        <f t="shared" si="20"/>
        <v>9.8912150286879097</v>
      </c>
      <c r="Z79" s="78">
        <f>(V79-$V$61)/(D77-$D$59)</f>
        <v>0.78378458859980171</v>
      </c>
      <c r="AA79" s="77">
        <f t="shared" si="22"/>
        <v>0.65542420007903279</v>
      </c>
      <c r="AB79" s="135">
        <f t="shared" si="23"/>
        <v>6.9285690724000662E-2</v>
      </c>
    </row>
    <row r="80" spans="2:37" x14ac:dyDescent="0.2">
      <c r="B80" s="214" t="s">
        <v>32</v>
      </c>
      <c r="C80" s="197">
        <v>0.52083333333333337</v>
      </c>
      <c r="D80" s="218">
        <f>D77+50</f>
        <v>191.5</v>
      </c>
      <c r="E80" s="120" t="s">
        <v>110</v>
      </c>
      <c r="F80" s="238">
        <v>5.3699999999999998E-2</v>
      </c>
      <c r="G80" s="224">
        <v>5.1299999999999998E-2</v>
      </c>
      <c r="H80" s="69">
        <f>0.3672-F80</f>
        <v>0.3135</v>
      </c>
      <c r="I80" s="68">
        <f>0.3236-F80</f>
        <v>0.26990000000000003</v>
      </c>
      <c r="J80" s="68">
        <f>0.2528-G80</f>
        <v>0.20150000000000001</v>
      </c>
      <c r="K80" s="68">
        <f>0.2114-G80</f>
        <v>0.16010000000000002</v>
      </c>
      <c r="L80" s="68">
        <f t="shared" si="11"/>
        <v>3.1052269043760131E-2</v>
      </c>
      <c r="M80" s="68">
        <f t="shared" si="12"/>
        <v>2.8045299837925447E-2</v>
      </c>
      <c r="N80" s="68">
        <f t="shared" si="13"/>
        <v>2.9548784440842787E-2</v>
      </c>
      <c r="O80" s="58">
        <f>'Growth curves UTEX #1926'!F41</f>
        <v>2.1859999999999999</v>
      </c>
      <c r="P80" s="68">
        <f t="shared" si="14"/>
        <v>2.7534855999999999</v>
      </c>
      <c r="Q80" s="99">
        <f>P80*0.1/1000</f>
        <v>2.7534856000000001E-4</v>
      </c>
      <c r="R80" s="100">
        <f t="shared" si="15"/>
        <v>53.657052793090308</v>
      </c>
      <c r="S80" s="101"/>
      <c r="V80" s="70">
        <f t="shared" si="16"/>
        <v>147.74392220421393</v>
      </c>
      <c r="W80" s="102"/>
      <c r="X80" s="70"/>
      <c r="Y80" s="70"/>
      <c r="Z80" s="70">
        <f t="shared" si="21"/>
        <v>0.73208526052532474</v>
      </c>
      <c r="AA80" s="102"/>
      <c r="AB80" s="103"/>
    </row>
    <row r="81" spans="2:28" x14ac:dyDescent="0.2">
      <c r="B81" s="215"/>
      <c r="C81" s="198"/>
      <c r="D81" s="218"/>
      <c r="E81" s="120" t="s">
        <v>111</v>
      </c>
      <c r="F81" s="238"/>
      <c r="G81" s="224"/>
      <c r="H81" s="69">
        <f>0.2916-F80</f>
        <v>0.23790000000000003</v>
      </c>
      <c r="I81" s="68">
        <f>0.2969-F80</f>
        <v>0.2432</v>
      </c>
      <c r="J81" s="68">
        <f>0.1942-G80</f>
        <v>0.14290000000000003</v>
      </c>
      <c r="K81" s="68">
        <f>0.2002-G80</f>
        <v>0.14889999999999998</v>
      </c>
      <c r="L81" s="68">
        <f t="shared" si="11"/>
        <v>2.4545461912479742E-2</v>
      </c>
      <c r="M81" s="68">
        <f t="shared" si="12"/>
        <v>2.4816126418152354E-2</v>
      </c>
      <c r="N81" s="68">
        <f t="shared" si="13"/>
        <v>2.4680794165316048E-2</v>
      </c>
      <c r="O81" s="68">
        <f>'Growth curves UTEX #1926'!G41</f>
        <v>1.74</v>
      </c>
      <c r="P81" s="68">
        <f t="shared" si="14"/>
        <v>2.1917040000000001</v>
      </c>
      <c r="Q81" s="99">
        <f>P81*0.1/1000</f>
        <v>2.191704E-4</v>
      </c>
      <c r="R81" s="100">
        <f t="shared" si="15"/>
        <v>56.305035181110334</v>
      </c>
      <c r="S81" s="101"/>
      <c r="V81" s="70">
        <f t="shared" si="16"/>
        <v>123.40397082658025</v>
      </c>
      <c r="W81" s="102"/>
      <c r="X81" s="70"/>
      <c r="Y81" s="70"/>
      <c r="Z81" s="70">
        <f>(V81-$V$60)/(D80-$D$59)</f>
        <v>0.59954937561095345</v>
      </c>
      <c r="AA81" s="102"/>
      <c r="AB81" s="103"/>
    </row>
    <row r="82" spans="2:28" x14ac:dyDescent="0.2">
      <c r="B82" s="216"/>
      <c r="C82" s="199"/>
      <c r="D82" s="219"/>
      <c r="E82" s="151" t="s">
        <v>112</v>
      </c>
      <c r="F82" s="239"/>
      <c r="G82" s="225"/>
      <c r="H82" s="73">
        <f>0.3053-F80</f>
        <v>0.25160000000000005</v>
      </c>
      <c r="I82" s="74">
        <f>0.3415-F80</f>
        <v>0.28780000000000006</v>
      </c>
      <c r="J82" s="74">
        <f>0.1945-G80</f>
        <v>0.14319999999999999</v>
      </c>
      <c r="K82" s="74">
        <f>0.2311-G80</f>
        <v>0.17980000000000002</v>
      </c>
      <c r="L82" s="68">
        <f t="shared" si="11"/>
        <v>2.6736466774716378E-2</v>
      </c>
      <c r="M82" s="68">
        <f t="shared" si="12"/>
        <v>2.9014748784440849E-2</v>
      </c>
      <c r="N82" s="74">
        <f t="shared" si="13"/>
        <v>2.7875607779578614E-2</v>
      </c>
      <c r="O82" s="71">
        <f>'Growth curves UTEX #1926'!H41</f>
        <v>2.278</v>
      </c>
      <c r="P82" s="74">
        <f t="shared" si="14"/>
        <v>2.8693688000000002</v>
      </c>
      <c r="Q82" s="75">
        <f>P82*0.1/1000</f>
        <v>2.8693688000000001E-4</v>
      </c>
      <c r="R82" s="76">
        <f t="shared" si="15"/>
        <v>48.574459615610607</v>
      </c>
      <c r="S82" s="77">
        <f>AVERAGE(R80:R82)</f>
        <v>52.845515863270414</v>
      </c>
      <c r="T82" s="78">
        <f>STDEV(R80:R82)</f>
        <v>3.9286631040115259</v>
      </c>
      <c r="U82" s="78">
        <f>T82/SQRT(3)</f>
        <v>2.2682147006564053</v>
      </c>
      <c r="V82" s="78">
        <f t="shared" si="16"/>
        <v>139.37803889789308</v>
      </c>
      <c r="W82" s="77">
        <f t="shared" si="18"/>
        <v>136.84197730956242</v>
      </c>
      <c r="X82" s="78">
        <f t="shared" si="19"/>
        <v>12.366568422616179</v>
      </c>
      <c r="Y82" s="78">
        <f t="shared" si="20"/>
        <v>7.1398416077493776</v>
      </c>
      <c r="Z82" s="78">
        <f>(V82-$V$61)/(D80-$D$59)</f>
        <v>0.68240073462513406</v>
      </c>
      <c r="AA82" s="77">
        <f t="shared" si="22"/>
        <v>0.67134512358713738</v>
      </c>
      <c r="AB82" s="135">
        <f t="shared" si="23"/>
        <v>3.8657082572608747E-2</v>
      </c>
    </row>
    <row r="83" spans="2:28" x14ac:dyDescent="0.2">
      <c r="B83" s="214" t="s">
        <v>33</v>
      </c>
      <c r="C83" s="197">
        <v>0.46527777777777773</v>
      </c>
      <c r="D83" s="217">
        <f>22.5+D80</f>
        <v>214</v>
      </c>
      <c r="E83" s="120" t="s">
        <v>110</v>
      </c>
      <c r="F83" s="238">
        <f>(0.0566+0.0558)/2</f>
        <v>5.62E-2</v>
      </c>
      <c r="G83" s="224">
        <f>(0.055+0.0549)/2</f>
        <v>5.4949999999999999E-2</v>
      </c>
      <c r="H83" s="69">
        <f>0.3835-F83</f>
        <v>0.32730000000000004</v>
      </c>
      <c r="I83" s="68">
        <f>0.4087-F83</f>
        <v>0.35250000000000004</v>
      </c>
      <c r="J83" s="68">
        <f>0.248-G83</f>
        <v>0.19305</v>
      </c>
      <c r="K83" s="68">
        <f>0.2662-G83</f>
        <v>0.21124999999999999</v>
      </c>
      <c r="L83" s="68">
        <f t="shared" si="11"/>
        <v>3.4117463533225291E-2</v>
      </c>
      <c r="M83" s="68">
        <f t="shared" si="12"/>
        <v>3.6417139384116705E-2</v>
      </c>
      <c r="N83" s="68">
        <f t="shared" si="13"/>
        <v>3.5267301458670998E-2</v>
      </c>
      <c r="O83" s="58">
        <f>'Growth curves UTEX #1926'!F42</f>
        <v>2.2839999999999998</v>
      </c>
      <c r="P83" s="68">
        <f t="shared" si="14"/>
        <v>2.8769263999999999</v>
      </c>
      <c r="Q83" s="99">
        <f t="shared" ref="Q83:Q88" si="25">P83*0.1/1000</f>
        <v>2.8769263999999997E-4</v>
      </c>
      <c r="R83" s="100">
        <f t="shared" si="15"/>
        <v>61.293367565244282</v>
      </c>
      <c r="S83" s="101"/>
      <c r="V83" s="70">
        <f t="shared" si="16"/>
        <v>176.336507293355</v>
      </c>
      <c r="W83" s="102"/>
      <c r="X83" s="70"/>
      <c r="Y83" s="70"/>
      <c r="Z83" s="70">
        <f t="shared" si="21"/>
        <v>0.78872389009224653</v>
      </c>
      <c r="AA83" s="102"/>
      <c r="AB83" s="103"/>
    </row>
    <row r="84" spans="2:28" x14ac:dyDescent="0.2">
      <c r="B84" s="215"/>
      <c r="C84" s="198"/>
      <c r="D84" s="218"/>
      <c r="E84" s="120" t="s">
        <v>111</v>
      </c>
      <c r="F84" s="238"/>
      <c r="G84" s="224"/>
      <c r="H84" s="69">
        <f>0.2995-F83</f>
        <v>0.24329999999999999</v>
      </c>
      <c r="I84" s="68">
        <f>0.3053-F83</f>
        <v>0.24910000000000002</v>
      </c>
      <c r="J84" s="68">
        <f>0.1914-G83</f>
        <v>0.13644999999999999</v>
      </c>
      <c r="K84" s="68">
        <f>0.1946-G83</f>
        <v>0.13965</v>
      </c>
      <c r="L84" s="68">
        <f t="shared" si="11"/>
        <v>2.6053119935170177E-2</v>
      </c>
      <c r="M84" s="68">
        <f t="shared" si="12"/>
        <v>2.6679376012965966E-2</v>
      </c>
      <c r="N84" s="68">
        <f t="shared" si="13"/>
        <v>2.6366247974068072E-2</v>
      </c>
      <c r="O84" s="58">
        <f>'Growth curves UTEX #1926'!G42</f>
        <v>2.0960000000000001</v>
      </c>
      <c r="P84" s="68">
        <f t="shared" si="14"/>
        <v>2.6401216000000001</v>
      </c>
      <c r="Q84" s="99">
        <f t="shared" si="25"/>
        <v>2.6401216E-4</v>
      </c>
      <c r="R84" s="100">
        <f t="shared" si="15"/>
        <v>49.933775728489309</v>
      </c>
      <c r="S84" s="101"/>
      <c r="V84" s="70">
        <f t="shared" si="16"/>
        <v>131.83123987034037</v>
      </c>
      <c r="W84" s="102"/>
      <c r="X84" s="70"/>
      <c r="Y84" s="70"/>
      <c r="Z84" s="70">
        <f>(V84-$V$60)/(D83-$D$59)</f>
        <v>0.57589240408064346</v>
      </c>
      <c r="AA84" s="102"/>
      <c r="AB84" s="103"/>
    </row>
    <row r="85" spans="2:28" x14ac:dyDescent="0.2">
      <c r="B85" s="216"/>
      <c r="C85" s="199"/>
      <c r="D85" s="219"/>
      <c r="E85" s="151" t="s">
        <v>112</v>
      </c>
      <c r="F85" s="239"/>
      <c r="G85" s="225"/>
      <c r="H85" s="73">
        <f>0.2655-F83</f>
        <v>0.20930000000000001</v>
      </c>
      <c r="I85" s="74">
        <f>0.2928-F83</f>
        <v>0.2366</v>
      </c>
      <c r="J85" s="74">
        <f>0.195-G83</f>
        <v>0.14005000000000001</v>
      </c>
      <c r="K85" s="74">
        <f>0.2188-G83</f>
        <v>0.16385</v>
      </c>
      <c r="L85" s="68">
        <f t="shared" si="11"/>
        <v>2.0189586709886548E-2</v>
      </c>
      <c r="M85" s="68">
        <f t="shared" si="12"/>
        <v>2.2280510534846035E-2</v>
      </c>
      <c r="N85" s="74">
        <f t="shared" si="13"/>
        <v>2.123504862236629E-2</v>
      </c>
      <c r="O85" s="74">
        <f>'Growth curves UTEX #1926'!H42</f>
        <v>2.74</v>
      </c>
      <c r="P85" s="74">
        <f t="shared" si="14"/>
        <v>3.4513040000000004</v>
      </c>
      <c r="Q85" s="75">
        <f t="shared" si="25"/>
        <v>3.4513040000000005E-4</v>
      </c>
      <c r="R85" s="76">
        <f t="shared" si="15"/>
        <v>30.763804959467908</v>
      </c>
      <c r="S85" s="77">
        <f>AVERAGE(R83:R85)</f>
        <v>47.330316084400501</v>
      </c>
      <c r="T85" s="78">
        <f>STDEV(R83:R85)</f>
        <v>15.430393702488706</v>
      </c>
      <c r="U85" s="78">
        <f>T85/SQRT(3)</f>
        <v>8.9087419578337617</v>
      </c>
      <c r="V85" s="78">
        <f t="shared" si="16"/>
        <v>106.17524311183143</v>
      </c>
      <c r="W85" s="77">
        <f t="shared" si="18"/>
        <v>138.11433009184228</v>
      </c>
      <c r="X85" s="78">
        <f t="shared" si="19"/>
        <v>35.500122041142774</v>
      </c>
      <c r="Y85" s="78">
        <f t="shared" si="20"/>
        <v>20.49600501671835</v>
      </c>
      <c r="Z85" s="78">
        <f>(V85-$V$61)/(D83-$D$59)</f>
        <v>0.45549974249837161</v>
      </c>
      <c r="AA85" s="77">
        <f t="shared" si="22"/>
        <v>0.60670534555708711</v>
      </c>
      <c r="AB85" s="135">
        <f t="shared" si="23"/>
        <v>9.7419472996486331E-2</v>
      </c>
    </row>
    <row r="86" spans="2:28" x14ac:dyDescent="0.2">
      <c r="B86" s="214" t="s">
        <v>34</v>
      </c>
      <c r="C86" s="197">
        <v>0.42152777777777778</v>
      </c>
      <c r="D86" s="217">
        <f>23+D83</f>
        <v>237</v>
      </c>
      <c r="E86" s="120" t="s">
        <v>110</v>
      </c>
      <c r="F86" s="238">
        <f>(0.0488+0.0544)/2</f>
        <v>5.16E-2</v>
      </c>
      <c r="G86" s="224">
        <f>(0.0522+0.0455)/2</f>
        <v>4.8850000000000005E-2</v>
      </c>
      <c r="H86" s="69">
        <f>0.3835-F86</f>
        <v>0.33190000000000003</v>
      </c>
      <c r="I86" s="68">
        <f>0.3871-F86</f>
        <v>0.33550000000000002</v>
      </c>
      <c r="J86" s="68">
        <f>0.2366-G86</f>
        <v>0.18775</v>
      </c>
      <c r="K86" s="68">
        <f>0.2406-G86</f>
        <v>0.19175</v>
      </c>
      <c r="L86" s="68">
        <f t="shared" si="11"/>
        <v>3.5382698541329013E-2</v>
      </c>
      <c r="M86" s="68">
        <f t="shared" si="12"/>
        <v>3.5573946515397088E-2</v>
      </c>
      <c r="N86" s="68">
        <f t="shared" si="13"/>
        <v>3.5478322528363054E-2</v>
      </c>
      <c r="O86" s="58">
        <f>'Growth curves UTEX #1926'!F43</f>
        <v>2.7440000000000002</v>
      </c>
      <c r="P86" s="68">
        <f t="shared" si="14"/>
        <v>3.4563424000000005</v>
      </c>
      <c r="Q86" s="99">
        <f t="shared" si="25"/>
        <v>3.4563424000000012E-4</v>
      </c>
      <c r="R86" s="100">
        <f t="shared" si="15"/>
        <v>51.323506791981956</v>
      </c>
      <c r="S86" s="101"/>
      <c r="V86" s="70">
        <f t="shared" si="16"/>
        <v>177.39161264181524</v>
      </c>
      <c r="W86" s="102"/>
      <c r="X86" s="70"/>
      <c r="Y86" s="70"/>
      <c r="Z86" s="70">
        <f t="shared" si="21"/>
        <v>0.7166329866168818</v>
      </c>
      <c r="AA86" s="102"/>
      <c r="AB86" s="103"/>
    </row>
    <row r="87" spans="2:28" x14ac:dyDescent="0.2">
      <c r="B87" s="215"/>
      <c r="C87" s="198"/>
      <c r="D87" s="218"/>
      <c r="E87" s="120" t="s">
        <v>111</v>
      </c>
      <c r="F87" s="238"/>
      <c r="G87" s="224"/>
      <c r="H87" s="69">
        <f>0.3048-F86</f>
        <v>0.25320000000000004</v>
      </c>
      <c r="I87" s="68">
        <f>0.3261-F86</f>
        <v>0.27450000000000002</v>
      </c>
      <c r="J87" s="68">
        <f>0.1922-G86</f>
        <v>0.14335000000000001</v>
      </c>
      <c r="K87" s="68">
        <f>0.2125-G86</f>
        <v>0.16364999999999999</v>
      </c>
      <c r="L87" s="68">
        <f t="shared" si="11"/>
        <v>2.6981077795786065E-2</v>
      </c>
      <c r="M87" s="68">
        <f t="shared" si="12"/>
        <v>2.8442747163695305E-2</v>
      </c>
      <c r="N87" s="68">
        <f t="shared" si="13"/>
        <v>2.7711912479740683E-2</v>
      </c>
      <c r="O87" s="58">
        <f>'Growth curves UTEX #1926'!G43</f>
        <v>2.3839999999999999</v>
      </c>
      <c r="P87" s="68">
        <f t="shared" si="14"/>
        <v>3.0028864</v>
      </c>
      <c r="Q87" s="99">
        <f t="shared" si="25"/>
        <v>3.0028864E-4</v>
      </c>
      <c r="R87" s="100">
        <f t="shared" si="15"/>
        <v>46.142125922147244</v>
      </c>
      <c r="S87" s="101"/>
      <c r="V87" s="70">
        <f t="shared" si="16"/>
        <v>138.55956239870341</v>
      </c>
      <c r="W87" s="102"/>
      <c r="X87" s="70"/>
      <c r="Y87" s="70"/>
      <c r="Z87" s="70">
        <f>(V87-$V$60)/(D86-$D$59)</f>
        <v>0.54839365823468678</v>
      </c>
      <c r="AA87" s="102"/>
      <c r="AB87" s="103"/>
    </row>
    <row r="88" spans="2:28" x14ac:dyDescent="0.2">
      <c r="B88" s="216"/>
      <c r="C88" s="199"/>
      <c r="D88" s="219"/>
      <c r="E88" s="151" t="s">
        <v>112</v>
      </c>
      <c r="F88" s="239"/>
      <c r="G88" s="225"/>
      <c r="H88" s="73">
        <f>0.3241-F86</f>
        <v>0.27250000000000002</v>
      </c>
      <c r="I88" s="74">
        <f>0.3551-F86</f>
        <v>0.30350000000000005</v>
      </c>
      <c r="J88" s="74">
        <f>0.1979-G86</f>
        <v>0.14904999999999999</v>
      </c>
      <c r="K88" s="74">
        <f>0.225-G86</f>
        <v>0.17615</v>
      </c>
      <c r="L88" s="68">
        <f t="shared" si="11"/>
        <v>2.9550202593192874E-2</v>
      </c>
      <c r="M88" s="68">
        <f t="shared" si="12"/>
        <v>3.1917220421393853E-2</v>
      </c>
      <c r="N88" s="74">
        <f t="shared" si="13"/>
        <v>3.0733711507293364E-2</v>
      </c>
      <c r="O88" s="71">
        <f>'Growth curves UTEX #1926'!H43</f>
        <v>2.8719999999999999</v>
      </c>
      <c r="P88" s="74">
        <f t="shared" si="14"/>
        <v>3.6175712</v>
      </c>
      <c r="Q88" s="75">
        <f t="shared" si="25"/>
        <v>3.6175712000000005E-4</v>
      </c>
      <c r="R88" s="76">
        <f t="shared" si="15"/>
        <v>42.478378182706344</v>
      </c>
      <c r="S88" s="77">
        <f>AVERAGE(R86:R88)</f>
        <v>46.648003632278517</v>
      </c>
      <c r="T88" s="78">
        <f>STDEV(R86:R88)</f>
        <v>4.444210753537936</v>
      </c>
      <c r="U88" s="78">
        <f>T88/SQRT(3)</f>
        <v>2.5658662748905572</v>
      </c>
      <c r="V88" s="78">
        <f t="shared" si="16"/>
        <v>153.66855753646681</v>
      </c>
      <c r="W88" s="77">
        <f t="shared" si="18"/>
        <v>156.53991085899517</v>
      </c>
      <c r="X88" s="78">
        <f t="shared" si="19"/>
        <v>19.574614528720016</v>
      </c>
      <c r="Y88" s="78">
        <f t="shared" si="20"/>
        <v>11.301408967439661</v>
      </c>
      <c r="Z88" s="78">
        <f>(V88-$V$61)/(D86-$D$59)</f>
        <v>0.61168885788728644</v>
      </c>
      <c r="AA88" s="77">
        <f t="shared" si="22"/>
        <v>0.62557183424628493</v>
      </c>
      <c r="AB88" s="135">
        <f t="shared" si="23"/>
        <v>4.9060067529718226E-2</v>
      </c>
    </row>
    <row r="89" spans="2:28" x14ac:dyDescent="0.2">
      <c r="B89" s="214" t="s">
        <v>35</v>
      </c>
      <c r="C89" s="197">
        <v>0.43055555555555558</v>
      </c>
      <c r="D89" s="217">
        <f>24+D86</f>
        <v>261</v>
      </c>
      <c r="E89" s="120" t="s">
        <v>110</v>
      </c>
      <c r="F89" s="238">
        <f>F86</f>
        <v>5.16E-2</v>
      </c>
      <c r="G89" s="224">
        <f>G86</f>
        <v>4.8850000000000005E-2</v>
      </c>
      <c r="H89" s="69">
        <f>0.2989-F89</f>
        <v>0.24729999999999999</v>
      </c>
      <c r="I89" s="68">
        <f>0.2698-F89</f>
        <v>0.21819999999999998</v>
      </c>
      <c r="J89" s="68">
        <f>0.1919-G89</f>
        <v>0.14304999999999998</v>
      </c>
      <c r="K89" s="68">
        <f>0.1665-G89</f>
        <v>0.11765</v>
      </c>
      <c r="L89" s="68">
        <f t="shared" si="11"/>
        <v>2.6054254457050244E-2</v>
      </c>
      <c r="M89" s="68">
        <f t="shared" si="12"/>
        <v>2.3828484602917338E-2</v>
      </c>
      <c r="N89" s="68">
        <f t="shared" si="13"/>
        <v>2.4941369529983791E-2</v>
      </c>
      <c r="O89" s="58">
        <f>'Growth curves UTEX #1926'!F44</f>
        <v>3.2440000000000002</v>
      </c>
      <c r="P89" s="68">
        <f t="shared" si="14"/>
        <v>4.0861424000000008</v>
      </c>
      <c r="Q89" s="99">
        <f t="shared" ref="Q89:Q109" si="26">P89*0.075/1000</f>
        <v>3.0646068000000004E-4</v>
      </c>
      <c r="R89" s="100">
        <f t="shared" si="15"/>
        <v>40.692609456429757</v>
      </c>
      <c r="S89" s="101"/>
      <c r="V89" s="70">
        <f t="shared" si="16"/>
        <v>166.27579686655861</v>
      </c>
      <c r="W89" s="102"/>
      <c r="X89" s="70"/>
      <c r="Y89" s="70"/>
      <c r="Z89" s="70">
        <f t="shared" si="21"/>
        <v>0.60814636801894395</v>
      </c>
      <c r="AA89" s="102"/>
      <c r="AB89" s="103"/>
    </row>
    <row r="90" spans="2:28" x14ac:dyDescent="0.2">
      <c r="B90" s="215"/>
      <c r="C90" s="198"/>
      <c r="D90" s="218"/>
      <c r="E90" s="120" t="s">
        <v>111</v>
      </c>
      <c r="F90" s="238"/>
      <c r="G90" s="224"/>
      <c r="H90" s="69">
        <f>0.2606-F89</f>
        <v>0.20899999999999999</v>
      </c>
      <c r="I90" s="68">
        <f>0.2686-F89</f>
        <v>0.217</v>
      </c>
      <c r="J90" s="68">
        <f>0.1731-G89</f>
        <v>0.12425</v>
      </c>
      <c r="K90" s="68">
        <f>0.1796-G89</f>
        <v>0.13075000000000001</v>
      </c>
      <c r="L90" s="68">
        <f t="shared" si="11"/>
        <v>2.1690235008103728E-2</v>
      </c>
      <c r="M90" s="68">
        <f t="shared" si="12"/>
        <v>2.2349473257698541E-2</v>
      </c>
      <c r="N90" s="68">
        <f t="shared" si="13"/>
        <v>2.2019854132901133E-2</v>
      </c>
      <c r="O90" s="68">
        <f>'Growth curves UTEX #1926'!G44</f>
        <v>2.8</v>
      </c>
      <c r="P90" s="68">
        <f t="shared" si="14"/>
        <v>3.5268799999999998</v>
      </c>
      <c r="Q90" s="99">
        <f t="shared" si="26"/>
        <v>2.6451599999999996E-4</v>
      </c>
      <c r="R90" s="100">
        <f t="shared" si="15"/>
        <v>41.622915311174253</v>
      </c>
      <c r="S90" s="101"/>
      <c r="V90" s="70">
        <f t="shared" si="16"/>
        <v>146.79902755267423</v>
      </c>
      <c r="W90" s="102"/>
      <c r="X90" s="70"/>
      <c r="Y90" s="70"/>
      <c r="Z90" s="70">
        <f>(V90-$V$60)/(D89-$D$59)</f>
        <v>0.52953548718617471</v>
      </c>
      <c r="AA90" s="102"/>
      <c r="AB90" s="103"/>
    </row>
    <row r="91" spans="2:28" x14ac:dyDescent="0.2">
      <c r="B91" s="216"/>
      <c r="C91" s="199"/>
      <c r="D91" s="219"/>
      <c r="E91" s="151" t="s">
        <v>112</v>
      </c>
      <c r="F91" s="239"/>
      <c r="G91" s="225"/>
      <c r="H91" s="73">
        <f>0.2205-F89</f>
        <v>0.16889999999999999</v>
      </c>
      <c r="I91" s="74">
        <f>0.2212-F89</f>
        <v>0.1696</v>
      </c>
      <c r="J91" s="74">
        <f>0.1654-G89</f>
        <v>0.11654999999999999</v>
      </c>
      <c r="K91" s="74">
        <f>0.1665-G89</f>
        <v>0.11765</v>
      </c>
      <c r="L91" s="68">
        <f t="shared" si="11"/>
        <v>1.5946069692058348E-2</v>
      </c>
      <c r="M91" s="68">
        <f t="shared" si="12"/>
        <v>1.5951661264181523E-2</v>
      </c>
      <c r="N91" s="74">
        <f t="shared" si="13"/>
        <v>1.5948865478119936E-2</v>
      </c>
      <c r="O91" s="74">
        <f>'Growth curves UTEX #1926'!H44</f>
        <v>2.9</v>
      </c>
      <c r="P91" s="74">
        <f t="shared" si="14"/>
        <v>3.6528399999999999</v>
      </c>
      <c r="Q91" s="75">
        <f t="shared" si="26"/>
        <v>2.7396299999999995E-4</v>
      </c>
      <c r="R91" s="76">
        <f t="shared" si="15"/>
        <v>29.10769972244416</v>
      </c>
      <c r="S91" s="77">
        <f>AVERAGE(R89:R91)</f>
        <v>37.141074830016059</v>
      </c>
      <c r="T91" s="78">
        <f>STDEV(R89:R91)</f>
        <v>6.9726396694551607</v>
      </c>
      <c r="U91" s="78">
        <f>T91/SQRT(3)</f>
        <v>4.0256553901222007</v>
      </c>
      <c r="V91" s="78">
        <f t="shared" si="16"/>
        <v>106.32576985413291</v>
      </c>
      <c r="W91" s="77">
        <f t="shared" si="18"/>
        <v>139.80019809112193</v>
      </c>
      <c r="X91" s="78">
        <f t="shared" si="19"/>
        <v>30.581679892896044</v>
      </c>
      <c r="Y91" s="78">
        <f t="shared" si="20"/>
        <v>17.656341118434497</v>
      </c>
      <c r="Z91" s="78">
        <f>(V91-$V$61)/(D89-$D$59)</f>
        <v>0.37405161546725291</v>
      </c>
      <c r="AA91" s="77">
        <f t="shared" si="22"/>
        <v>0.50391115689079047</v>
      </c>
      <c r="AB91" s="135">
        <f t="shared" si="23"/>
        <v>6.878115783743538E-2</v>
      </c>
    </row>
    <row r="92" spans="2:28" x14ac:dyDescent="0.2">
      <c r="B92" s="214" t="s">
        <v>36</v>
      </c>
      <c r="C92" s="197">
        <v>0.4236111111111111</v>
      </c>
      <c r="D92" s="217">
        <f>48+D86</f>
        <v>285</v>
      </c>
      <c r="E92" s="120" t="s">
        <v>110</v>
      </c>
      <c r="F92" s="238">
        <f>(0.0585+0.0528+0.0569)/3</f>
        <v>5.6066666666666674E-2</v>
      </c>
      <c r="G92" s="224">
        <f>(0.0574+0.0504+0.055)/3</f>
        <v>5.4266666666666664E-2</v>
      </c>
      <c r="H92" s="69">
        <f>0.3222-F92</f>
        <v>0.26613333333333333</v>
      </c>
      <c r="I92" s="68">
        <f>0.3212-F92</f>
        <v>0.26513333333333333</v>
      </c>
      <c r="J92" s="68">
        <f>0.2279-G92</f>
        <v>0.17363333333333333</v>
      </c>
      <c r="K92" s="68">
        <f>0.2249-G92</f>
        <v>0.17063333333333333</v>
      </c>
      <c r="L92" s="68">
        <f t="shared" si="11"/>
        <v>2.6107806591031874E-2</v>
      </c>
      <c r="M92" s="68">
        <f t="shared" si="12"/>
        <v>2.6239897352782281E-2</v>
      </c>
      <c r="N92" s="68">
        <f t="shared" si="13"/>
        <v>2.6173851971907077E-2</v>
      </c>
      <c r="O92" s="58">
        <f>'Growth curves UTEX #1926'!F45</f>
        <v>3.1840000000000002</v>
      </c>
      <c r="P92" s="68">
        <f t="shared" si="14"/>
        <v>4.0105664000000001</v>
      </c>
      <c r="Q92" s="99">
        <f t="shared" si="26"/>
        <v>3.0079247999999995E-4</v>
      </c>
      <c r="R92" s="100">
        <f t="shared" si="15"/>
        <v>43.508155476338835</v>
      </c>
      <c r="S92" s="101"/>
      <c r="V92" s="70">
        <f t="shared" si="16"/>
        <v>174.49234647938053</v>
      </c>
      <c r="W92" s="102"/>
      <c r="X92" s="70"/>
      <c r="Y92" s="70"/>
      <c r="Z92" s="70">
        <f t="shared" si="21"/>
        <v>0.58576404093251322</v>
      </c>
      <c r="AA92" s="102"/>
      <c r="AB92" s="103"/>
    </row>
    <row r="93" spans="2:28" x14ac:dyDescent="0.2">
      <c r="B93" s="215"/>
      <c r="C93" s="198"/>
      <c r="D93" s="218"/>
      <c r="E93" s="120" t="s">
        <v>111</v>
      </c>
      <c r="F93" s="238"/>
      <c r="G93" s="224"/>
      <c r="H93" s="69">
        <f>0.2683-F92</f>
        <v>0.2122333333333333</v>
      </c>
      <c r="I93" s="68">
        <f>0.317-F92</f>
        <v>0.26093333333333335</v>
      </c>
      <c r="J93" s="68">
        <f>0.1771-G92</f>
        <v>0.12283333333333335</v>
      </c>
      <c r="K93" s="68">
        <f>0.2244-G92</f>
        <v>0.17013333333333333</v>
      </c>
      <c r="L93" s="68">
        <f t="shared" si="11"/>
        <v>2.2353187466234461E-2</v>
      </c>
      <c r="M93" s="68">
        <f t="shared" si="12"/>
        <v>2.5608211777417615E-2</v>
      </c>
      <c r="N93" s="68">
        <f t="shared" si="13"/>
        <v>2.3980699621826036E-2</v>
      </c>
      <c r="O93" s="58">
        <f>'Growth curves UTEX #1926'!G45</f>
        <v>2.984</v>
      </c>
      <c r="P93" s="68">
        <f t="shared" si="14"/>
        <v>3.7586463999999999</v>
      </c>
      <c r="Q93" s="99">
        <f t="shared" si="26"/>
        <v>2.8189848000000002E-4</v>
      </c>
      <c r="R93" s="100">
        <f t="shared" si="15"/>
        <v>42.534283302673423</v>
      </c>
      <c r="S93" s="101"/>
      <c r="V93" s="70">
        <f t="shared" si="16"/>
        <v>159.87133081217357</v>
      </c>
      <c r="W93" s="102"/>
      <c r="X93" s="70"/>
      <c r="Y93" s="70"/>
      <c r="Z93" s="70">
        <f>(V93-$V$60)/(D92-$D$59)</f>
        <v>0.53081075584242432</v>
      </c>
      <c r="AA93" s="102"/>
      <c r="AB93" s="103"/>
    </row>
    <row r="94" spans="2:28" x14ac:dyDescent="0.2">
      <c r="B94" s="216"/>
      <c r="C94" s="199"/>
      <c r="D94" s="219"/>
      <c r="E94" s="151" t="s">
        <v>112</v>
      </c>
      <c r="F94" s="239"/>
      <c r="G94" s="225"/>
      <c r="H94" s="73">
        <f>0.2203-F92</f>
        <v>0.16423333333333331</v>
      </c>
      <c r="I94" s="74">
        <f>0.2357-F92</f>
        <v>0.17963333333333331</v>
      </c>
      <c r="J94" s="74">
        <f>0.1618-G92</f>
        <v>0.10753333333333334</v>
      </c>
      <c r="K94" s="74">
        <f>0.1771-G92</f>
        <v>0.12283333333333335</v>
      </c>
      <c r="L94" s="68">
        <f t="shared" si="11"/>
        <v>1.6073851971907076E-2</v>
      </c>
      <c r="M94" s="68">
        <f t="shared" si="12"/>
        <v>1.7069556996218253E-2</v>
      </c>
      <c r="N94" s="74">
        <f t="shared" si="13"/>
        <v>1.6571704484062665E-2</v>
      </c>
      <c r="O94" s="71">
        <f>'Growth curves UTEX #1926'!H45</f>
        <v>3.1920000000000002</v>
      </c>
      <c r="P94" s="74">
        <f t="shared" si="14"/>
        <v>4.0206432000000003</v>
      </c>
      <c r="Q94" s="75">
        <f t="shared" si="26"/>
        <v>3.0154824000000002E-4</v>
      </c>
      <c r="R94" s="76">
        <f t="shared" si="15"/>
        <v>27.477700556406269</v>
      </c>
      <c r="S94" s="77">
        <f>AVERAGE(R92:R94)</f>
        <v>37.840046445139507</v>
      </c>
      <c r="T94" s="78">
        <f>STDEV(R92:R94)</f>
        <v>8.9872557541760312</v>
      </c>
      <c r="U94" s="78">
        <f>T94/SQRT(3)</f>
        <v>5.1887945289495452</v>
      </c>
      <c r="V94" s="78">
        <f t="shared" si="16"/>
        <v>110.47802989375108</v>
      </c>
      <c r="W94" s="77">
        <f t="shared" si="18"/>
        <v>148.28056906176838</v>
      </c>
      <c r="X94" s="78">
        <f t="shared" si="19"/>
        <v>33.544261811035511</v>
      </c>
      <c r="Y94" s="78">
        <f t="shared" si="20"/>
        <v>19.366788586368639</v>
      </c>
      <c r="Z94" s="78">
        <f>(V94-$V$61)/(D92-$D$59)</f>
        <v>0.35712186553182867</v>
      </c>
      <c r="AA94" s="77">
        <f t="shared" si="22"/>
        <v>0.49123222076892209</v>
      </c>
      <c r="AB94" s="135">
        <f t="shared" si="23"/>
        <v>6.8906111054372957E-2</v>
      </c>
    </row>
    <row r="95" spans="2:28" x14ac:dyDescent="0.2">
      <c r="B95" s="214" t="s">
        <v>37</v>
      </c>
      <c r="C95" s="197">
        <v>0.38541666666666669</v>
      </c>
      <c r="D95" s="217">
        <f>23+D92</f>
        <v>308</v>
      </c>
      <c r="E95" s="120" t="s">
        <v>110</v>
      </c>
      <c r="F95" s="238">
        <f>(0.0297+0.0354+0.0757)/3</f>
        <v>4.6933333333333334E-2</v>
      </c>
      <c r="G95" s="224">
        <f>(0.0296+0.0366+0.0726)/3</f>
        <v>4.6266666666666671E-2</v>
      </c>
      <c r="H95" s="69">
        <f>0.2268-F95</f>
        <v>0.17986666666666667</v>
      </c>
      <c r="I95" s="68">
        <f>0.2076-F95</f>
        <v>0.16066666666666668</v>
      </c>
      <c r="J95" s="68">
        <f>0.1584-G95</f>
        <v>0.11213333333333333</v>
      </c>
      <c r="K95" s="68">
        <f>0.141-G95</f>
        <v>9.4733333333333308E-2</v>
      </c>
      <c r="L95" s="68">
        <f t="shared" si="11"/>
        <v>1.8156564019448949E-2</v>
      </c>
      <c r="M95" s="68">
        <f t="shared" si="12"/>
        <v>1.6750891410048627E-2</v>
      </c>
      <c r="N95" s="68">
        <f t="shared" si="13"/>
        <v>1.745372771474879E-2</v>
      </c>
      <c r="O95" s="68">
        <f>'Growth curves UTEX #1926'!F46</f>
        <v>3.2</v>
      </c>
      <c r="P95" s="68">
        <f t="shared" si="14"/>
        <v>4.0307200000000005</v>
      </c>
      <c r="Q95" s="99">
        <f t="shared" si="26"/>
        <v>3.0230400000000004E-4</v>
      </c>
      <c r="R95" s="100">
        <f t="shared" si="15"/>
        <v>28.867841171054284</v>
      </c>
      <c r="S95" s="101"/>
      <c r="V95" s="70">
        <f t="shared" si="16"/>
        <v>116.35818476499193</v>
      </c>
      <c r="W95" s="102"/>
      <c r="X95" s="70"/>
      <c r="Y95" s="70"/>
      <c r="Z95" s="70">
        <f t="shared" si="21"/>
        <v>0.35327464269927816</v>
      </c>
      <c r="AA95" s="102"/>
      <c r="AB95" s="103"/>
    </row>
    <row r="96" spans="2:28" x14ac:dyDescent="0.2">
      <c r="B96" s="215"/>
      <c r="C96" s="198"/>
      <c r="D96" s="218"/>
      <c r="E96" s="120" t="s">
        <v>111</v>
      </c>
      <c r="F96" s="238"/>
      <c r="G96" s="224"/>
      <c r="H96" s="69">
        <f>0.302-F95</f>
        <v>0.25506666666666666</v>
      </c>
      <c r="I96" s="68">
        <f>0.2782-F95</f>
        <v>0.23126666666666668</v>
      </c>
      <c r="J96" s="68">
        <f>0.2169-G95</f>
        <v>0.17063333333333333</v>
      </c>
      <c r="K96" s="68">
        <f>0.1953-G95</f>
        <v>0.14903333333333332</v>
      </c>
      <c r="L96" s="68">
        <f t="shared" si="11"/>
        <v>2.4608346839546193E-2</v>
      </c>
      <c r="M96" s="68">
        <f t="shared" si="12"/>
        <v>2.2868962722852517E-2</v>
      </c>
      <c r="N96" s="68">
        <f t="shared" si="13"/>
        <v>2.3738654781199353E-2</v>
      </c>
      <c r="O96" s="68">
        <f>'Growth curves UTEX #1926'!G46</f>
        <v>3</v>
      </c>
      <c r="P96" s="68">
        <f t="shared" si="14"/>
        <v>3.7788000000000004</v>
      </c>
      <c r="Q96" s="99">
        <f t="shared" si="26"/>
        <v>2.8341E-4</v>
      </c>
      <c r="R96" s="100">
        <f t="shared" si="15"/>
        <v>41.880411384918233</v>
      </c>
      <c r="S96" s="101"/>
      <c r="V96" s="70">
        <f t="shared" si="16"/>
        <v>158.25769854132903</v>
      </c>
      <c r="W96" s="102"/>
      <c r="X96" s="70"/>
      <c r="Y96" s="70"/>
      <c r="Z96" s="70">
        <f>(V96-$V$60)/(D95-$D$59)</f>
        <v>0.48593322449430648</v>
      </c>
      <c r="AA96" s="102"/>
      <c r="AB96" s="103"/>
    </row>
    <row r="97" spans="2:34" x14ac:dyDescent="0.2">
      <c r="B97" s="216"/>
      <c r="C97" s="199"/>
      <c r="D97" s="219"/>
      <c r="E97" s="151" t="s">
        <v>112</v>
      </c>
      <c r="F97" s="239"/>
      <c r="G97" s="225"/>
      <c r="H97" s="73">
        <f>0.2712-F95</f>
        <v>0.22426666666666667</v>
      </c>
      <c r="I97" s="74">
        <f>0.3004-F95</f>
        <v>0.25346666666666667</v>
      </c>
      <c r="J97" s="74">
        <f>0.1869-G95</f>
        <v>0.14063333333333333</v>
      </c>
      <c r="K97" s="74">
        <f>0.2129-G95</f>
        <v>0.16663333333333333</v>
      </c>
      <c r="L97" s="68">
        <f t="shared" si="11"/>
        <v>2.2558103727714753E-2</v>
      </c>
      <c r="M97" s="68">
        <f t="shared" si="12"/>
        <v>2.474124797406807E-2</v>
      </c>
      <c r="N97" s="74">
        <f t="shared" si="13"/>
        <v>2.3649675850891411E-2</v>
      </c>
      <c r="O97" s="71">
        <f>'Growth curves UTEX #1926'!H46</f>
        <v>3.2080000000000002</v>
      </c>
      <c r="P97" s="74">
        <f t="shared" si="14"/>
        <v>4.0407968000000007</v>
      </c>
      <c r="Q97" s="75">
        <f t="shared" si="26"/>
        <v>3.0305976000000005E-4</v>
      </c>
      <c r="R97" s="76">
        <f t="shared" si="15"/>
        <v>39.018172275480268</v>
      </c>
      <c r="S97" s="77">
        <f>AVERAGE(R95:R97)</f>
        <v>36.588808277150925</v>
      </c>
      <c r="T97" s="78">
        <f>STDEV(R95:R97)</f>
        <v>6.837989687764181</v>
      </c>
      <c r="U97" s="78">
        <f>T97/SQRT(3)</f>
        <v>3.9479151869465352</v>
      </c>
      <c r="V97" s="78">
        <f t="shared" si="16"/>
        <v>157.66450567260941</v>
      </c>
      <c r="W97" s="77">
        <f t="shared" si="18"/>
        <v>144.09346299297678</v>
      </c>
      <c r="X97" s="78">
        <f t="shared" si="19"/>
        <v>24.021286668966791</v>
      </c>
      <c r="Y97" s="78">
        <f t="shared" si="20"/>
        <v>13.868696324609147</v>
      </c>
      <c r="Z97" s="78">
        <f>(V97-$V$61)/(D95-$D$59)</f>
        <v>0.48365651771243345</v>
      </c>
      <c r="AA97" s="77">
        <f t="shared" si="22"/>
        <v>0.44095479496867274</v>
      </c>
      <c r="AB97" s="135">
        <f t="shared" si="23"/>
        <v>4.3845002280498369E-2</v>
      </c>
    </row>
    <row r="98" spans="2:34" x14ac:dyDescent="0.2">
      <c r="B98" s="214" t="s">
        <v>38</v>
      </c>
      <c r="C98" s="197">
        <v>0.4826388888888889</v>
      </c>
      <c r="D98" s="218">
        <f>2.5+24+D95</f>
        <v>334.5</v>
      </c>
      <c r="E98" s="120" t="s">
        <v>110</v>
      </c>
      <c r="F98" s="238">
        <f>(0.0562+0.047+0.0465)/3</f>
        <v>4.99E-2</v>
      </c>
      <c r="G98" s="224">
        <f>(0.0534+0.0448+0.0441)/3</f>
        <v>4.7433333333333334E-2</v>
      </c>
      <c r="H98" s="69">
        <f>0.2605-F98</f>
        <v>0.21060000000000001</v>
      </c>
      <c r="I98" s="68">
        <f>0.2506-F98</f>
        <v>0.20069999999999999</v>
      </c>
      <c r="J98" s="68">
        <f>0.1645-G98</f>
        <v>0.11706666666666668</v>
      </c>
      <c r="K98" s="68">
        <f>0.1567-G98</f>
        <v>0.10926666666666668</v>
      </c>
      <c r="L98" s="68">
        <f t="shared" si="11"/>
        <v>2.2653916801728794E-2</v>
      </c>
      <c r="M98" s="68">
        <f t="shared" si="12"/>
        <v>2.1814208535926527E-2</v>
      </c>
      <c r="N98" s="68">
        <f t="shared" si="13"/>
        <v>2.2234062668827659E-2</v>
      </c>
      <c r="O98" s="68">
        <f>'Growth curves UTEX #1926'!F47</f>
        <v>3.2160000000000002</v>
      </c>
      <c r="P98" s="68">
        <f t="shared" si="14"/>
        <v>4.0508736000000001</v>
      </c>
      <c r="Q98" s="99">
        <f t="shared" si="26"/>
        <v>3.0381552000000001E-4</v>
      </c>
      <c r="R98" s="100">
        <f t="shared" si="15"/>
        <v>36.591387215550505</v>
      </c>
      <c r="S98" s="101"/>
      <c r="V98" s="70">
        <f t="shared" si="16"/>
        <v>148.22708445885104</v>
      </c>
      <c r="W98" s="102"/>
      <c r="X98" s="70"/>
      <c r="Y98" s="70"/>
      <c r="Z98" s="70">
        <f t="shared" si="21"/>
        <v>0.42056050716064808</v>
      </c>
      <c r="AA98" s="102"/>
      <c r="AB98" s="103"/>
    </row>
    <row r="99" spans="2:34" x14ac:dyDescent="0.2">
      <c r="B99" s="215"/>
      <c r="C99" s="198"/>
      <c r="D99" s="218"/>
      <c r="E99" s="120" t="s">
        <v>111</v>
      </c>
      <c r="F99" s="238"/>
      <c r="G99" s="224"/>
      <c r="H99" s="69">
        <f>0.2585-F98</f>
        <v>0.20860000000000001</v>
      </c>
      <c r="I99" s="68">
        <f>0.2661-F98</f>
        <v>0.2162</v>
      </c>
      <c r="J99" s="68">
        <f>0.1583-G98</f>
        <v>0.11086666666666667</v>
      </c>
      <c r="K99" s="68">
        <f>0.1641-G98</f>
        <v>0.11666666666666667</v>
      </c>
      <c r="L99" s="68">
        <f t="shared" si="11"/>
        <v>2.2937709346299295E-2</v>
      </c>
      <c r="M99" s="68">
        <f t="shared" si="12"/>
        <v>2.3600756347920044E-2</v>
      </c>
      <c r="N99" s="68">
        <f t="shared" si="13"/>
        <v>2.3269232847109668E-2</v>
      </c>
      <c r="O99" s="58">
        <f>'Growth curves UTEX #1926'!G47</f>
        <v>3.1120000000000001</v>
      </c>
      <c r="P99" s="68">
        <f t="shared" si="14"/>
        <v>3.9198752000000003</v>
      </c>
      <c r="Q99" s="99">
        <f t="shared" si="26"/>
        <v>2.9399064000000004E-4</v>
      </c>
      <c r="R99" s="100">
        <f t="shared" si="15"/>
        <v>39.574785182122916</v>
      </c>
      <c r="S99" s="101"/>
      <c r="V99" s="70">
        <f t="shared" si="16"/>
        <v>155.12821898073111</v>
      </c>
      <c r="W99" s="102"/>
      <c r="X99" s="70"/>
      <c r="Y99" s="70"/>
      <c r="Z99" s="70">
        <f>(V99-$V$60)/(D98-$D$59)</f>
        <v>0.43808057872540646</v>
      </c>
      <c r="AA99" s="102"/>
      <c r="AB99" s="103"/>
    </row>
    <row r="100" spans="2:34" x14ac:dyDescent="0.2">
      <c r="B100" s="216"/>
      <c r="C100" s="199"/>
      <c r="D100" s="219"/>
      <c r="E100" s="151" t="s">
        <v>112</v>
      </c>
      <c r="F100" s="239"/>
      <c r="G100" s="225"/>
      <c r="H100" s="73">
        <f>0.2483-F98</f>
        <v>0.19839999999999999</v>
      </c>
      <c r="I100" s="74">
        <f>0.2706-F98</f>
        <v>0.22070000000000001</v>
      </c>
      <c r="J100" s="74">
        <f>0.1642-G98</f>
        <v>0.11676666666666669</v>
      </c>
      <c r="K100" s="74">
        <f>0.1839-G98</f>
        <v>0.13646666666666668</v>
      </c>
      <c r="L100" s="68">
        <f t="shared" si="11"/>
        <v>2.0706023770934629E-2</v>
      </c>
      <c r="M100" s="68">
        <f t="shared" si="12"/>
        <v>2.238860075634792E-2</v>
      </c>
      <c r="N100" s="74">
        <f t="shared" si="13"/>
        <v>2.1547312263641274E-2</v>
      </c>
      <c r="O100" s="74">
        <f>'Growth curves UTEX #1926'!H47</f>
        <v>3.2879999999999998</v>
      </c>
      <c r="P100" s="74">
        <f t="shared" si="14"/>
        <v>4.1415648000000003</v>
      </c>
      <c r="Q100" s="75">
        <f t="shared" si="26"/>
        <v>3.1061735999999998E-4</v>
      </c>
      <c r="R100" s="76">
        <f t="shared" si="15"/>
        <v>34.684655525436952</v>
      </c>
      <c r="S100" s="77">
        <f>AVERAGE(R98:R100)</f>
        <v>36.950275974370122</v>
      </c>
      <c r="T100" s="78">
        <f>STDEV(R98:R100)</f>
        <v>2.464739919485464</v>
      </c>
      <c r="U100" s="78">
        <f>T100/SQRT(3)</f>
        <v>1.4230182559973492</v>
      </c>
      <c r="V100" s="78">
        <f t="shared" si="16"/>
        <v>143.6487484242752</v>
      </c>
      <c r="W100" s="77">
        <f t="shared" si="18"/>
        <v>149.00135062128578</v>
      </c>
      <c r="X100" s="78">
        <f t="shared" si="19"/>
        <v>5.7787695171076949</v>
      </c>
      <c r="Y100" s="78">
        <f t="shared" si="20"/>
        <v>3.3363741362869317</v>
      </c>
      <c r="Z100" s="78">
        <f>(V100-$V$61)/(D98-$D$59)</f>
        <v>0.40343931302569591</v>
      </c>
      <c r="AA100" s="77">
        <f t="shared" si="22"/>
        <v>0.4206934663039168</v>
      </c>
      <c r="AB100" s="135">
        <f t="shared" si="23"/>
        <v>1.0000293011037553E-2</v>
      </c>
    </row>
    <row r="101" spans="2:34" x14ac:dyDescent="0.2">
      <c r="B101" s="214" t="s">
        <v>39</v>
      </c>
      <c r="C101" s="197">
        <v>0.52083333333333337</v>
      </c>
      <c r="D101" s="218">
        <f>25+D98</f>
        <v>359.5</v>
      </c>
      <c r="E101" s="120" t="s">
        <v>110</v>
      </c>
      <c r="F101" s="238">
        <f>(0.0558+0.049+0.0546)/3</f>
        <v>5.3133333333333338E-2</v>
      </c>
      <c r="G101" s="224">
        <f>(0.0538+0.0466+0.0518)/3</f>
        <v>5.0733333333333332E-2</v>
      </c>
      <c r="H101" s="68">
        <f>0.2592-F101</f>
        <v>0.20606666666666665</v>
      </c>
      <c r="I101" s="68">
        <f>0.2759-F101</f>
        <v>0.22276666666666664</v>
      </c>
      <c r="J101" s="68">
        <f>0.1653-G101</f>
        <v>0.11456666666666668</v>
      </c>
      <c r="K101" s="68">
        <f>0.1789-G101</f>
        <v>0.12816666666666668</v>
      </c>
      <c r="L101" s="68">
        <f t="shared" si="11"/>
        <v>2.2164316585629385E-2</v>
      </c>
      <c r="M101" s="68">
        <f t="shared" si="12"/>
        <v>2.3537412209616419E-2</v>
      </c>
      <c r="N101" s="68">
        <f t="shared" si="13"/>
        <v>2.2850864397622902E-2</v>
      </c>
      <c r="O101" s="58">
        <f>'Growth curves UTEX #1926'!F48</f>
        <v>3.2639999999999998</v>
      </c>
      <c r="P101" s="68">
        <f t="shared" si="14"/>
        <v>4.1113343999999996</v>
      </c>
      <c r="Q101" s="99">
        <f t="shared" si="26"/>
        <v>3.0835007999999999E-4</v>
      </c>
      <c r="R101" s="100">
        <f t="shared" si="15"/>
        <v>37.053443277236873</v>
      </c>
      <c r="S101" s="101"/>
      <c r="V101" s="70">
        <f t="shared" si="16"/>
        <v>152.33909598415269</v>
      </c>
      <c r="W101" s="102"/>
      <c r="X101" s="70"/>
      <c r="Y101" s="70"/>
      <c r="Z101" s="70">
        <f t="shared" si="21"/>
        <v>0.40275243719204018</v>
      </c>
      <c r="AA101" s="102"/>
      <c r="AB101" s="103"/>
    </row>
    <row r="102" spans="2:34" x14ac:dyDescent="0.2">
      <c r="B102" s="215"/>
      <c r="C102" s="198"/>
      <c r="D102" s="218"/>
      <c r="E102" s="120" t="s">
        <v>111</v>
      </c>
      <c r="F102" s="238"/>
      <c r="G102" s="224"/>
      <c r="H102" s="68">
        <f>0.2922-F101</f>
        <v>0.23906666666666668</v>
      </c>
      <c r="I102" s="68">
        <f>0.3139-F101</f>
        <v>0.2607666666666667</v>
      </c>
      <c r="J102" s="68">
        <f>0.1888-G101</f>
        <v>0.13806666666666667</v>
      </c>
      <c r="K102" s="68">
        <f>0.2071-G101</f>
        <v>0.15636666666666668</v>
      </c>
      <c r="L102" s="68">
        <f t="shared" si="11"/>
        <v>2.5208481901674771E-2</v>
      </c>
      <c r="M102" s="68">
        <f t="shared" si="12"/>
        <v>2.6931091301998927E-2</v>
      </c>
      <c r="N102" s="68">
        <f t="shared" si="13"/>
        <v>2.6069786601836849E-2</v>
      </c>
      <c r="O102" s="58">
        <f>'Growth curves UTEX #1926'!G48</f>
        <v>3.1840000000000002</v>
      </c>
      <c r="P102" s="68">
        <f t="shared" si="14"/>
        <v>4.0105664000000001</v>
      </c>
      <c r="Q102" s="99">
        <f t="shared" si="26"/>
        <v>3.0079247999999995E-4</v>
      </c>
      <c r="R102" s="100">
        <f t="shared" si="15"/>
        <v>43.335170150924071</v>
      </c>
      <c r="S102" s="101"/>
      <c r="V102" s="70">
        <f t="shared" si="16"/>
        <v>173.79857734557902</v>
      </c>
      <c r="W102" s="102"/>
      <c r="X102" s="70"/>
      <c r="Y102" s="70"/>
      <c r="Z102" s="70">
        <f>(V102-$V$60)/(D101-$D$59)</f>
        <v>0.45955024185951704</v>
      </c>
      <c r="AA102" s="102"/>
      <c r="AB102" s="103"/>
    </row>
    <row r="103" spans="2:34" x14ac:dyDescent="0.2">
      <c r="B103" s="216"/>
      <c r="C103" s="199"/>
      <c r="D103" s="219"/>
      <c r="E103" s="151" t="s">
        <v>112</v>
      </c>
      <c r="F103" s="239"/>
      <c r="G103" s="225"/>
      <c r="H103" s="74">
        <f>0.3762-F101</f>
        <v>0.32306666666666661</v>
      </c>
      <c r="I103" s="74">
        <f>0.4034-F101</f>
        <v>0.35026666666666662</v>
      </c>
      <c r="J103" s="74">
        <f>0.2384-G101</f>
        <v>0.18766666666666668</v>
      </c>
      <c r="K103" s="74">
        <f>0.2605-G101</f>
        <v>0.20976666666666668</v>
      </c>
      <c r="L103" s="68">
        <f t="shared" si="11"/>
        <v>3.3959211237169086E-2</v>
      </c>
      <c r="M103" s="68">
        <f t="shared" si="12"/>
        <v>3.6200621285791455E-2</v>
      </c>
      <c r="N103" s="74">
        <f t="shared" si="13"/>
        <v>3.5079916261480271E-2</v>
      </c>
      <c r="O103" s="74">
        <f>'Growth curves UTEX #1926'!H48</f>
        <v>3.12</v>
      </c>
      <c r="P103" s="74">
        <f t="shared" si="14"/>
        <v>3.9299520000000001</v>
      </c>
      <c r="Q103" s="75">
        <f t="shared" si="26"/>
        <v>2.947464E-4</v>
      </c>
      <c r="R103" s="76">
        <f t="shared" si="15"/>
        <v>59.50864244903461</v>
      </c>
      <c r="S103" s="77">
        <f>AVERAGE(R101:R103)</f>
        <v>46.632418625731852</v>
      </c>
      <c r="T103" s="78">
        <f>STDEV(R101:R103)</f>
        <v>11.585028186834178</v>
      </c>
      <c r="U103" s="78">
        <f>T103/SQRT(3)</f>
        <v>6.6886191422381147</v>
      </c>
      <c r="V103" s="78">
        <f t="shared" si="16"/>
        <v>233.86610840986847</v>
      </c>
      <c r="W103" s="77">
        <f t="shared" si="18"/>
        <v>186.6679272465334</v>
      </c>
      <c r="X103" s="78">
        <f t="shared" si="19"/>
        <v>42.259656457673714</v>
      </c>
      <c r="Y103" s="78">
        <f t="shared" si="20"/>
        <v>24.398624031699025</v>
      </c>
      <c r="Z103" s="78">
        <f>(V103-$V$61)/(D101-$D$59)</f>
        <v>0.62633605060553144</v>
      </c>
      <c r="AA103" s="77">
        <f t="shared" si="22"/>
        <v>0.49621290988569622</v>
      </c>
      <c r="AB103" s="135">
        <f t="shared" si="23"/>
        <v>6.7095756117300356E-2</v>
      </c>
    </row>
    <row r="104" spans="2:34" x14ac:dyDescent="0.2">
      <c r="B104" s="214" t="s">
        <v>40</v>
      </c>
      <c r="C104" s="197">
        <v>0.53472222222222221</v>
      </c>
      <c r="D104" s="218">
        <f>24.5+D101</f>
        <v>384</v>
      </c>
      <c r="E104" s="120" t="s">
        <v>110</v>
      </c>
      <c r="F104" s="238">
        <f>(0.057+0.0553+0.0547)/3</f>
        <v>5.566666666666667E-2</v>
      </c>
      <c r="G104" s="224">
        <f>(0.055+0.0533+0.0525)/3</f>
        <v>5.3600000000000002E-2</v>
      </c>
      <c r="H104" s="68">
        <f>0.2937-F104</f>
        <v>0.23803333333333335</v>
      </c>
      <c r="I104" s="68">
        <f>0.2825-F104</f>
        <v>0.2268333333333333</v>
      </c>
      <c r="J104" s="68">
        <f>0.1939-G104</f>
        <v>0.14029999999999998</v>
      </c>
      <c r="K104" s="68">
        <f>0.1796-G104</f>
        <v>0.126</v>
      </c>
      <c r="L104" s="68">
        <f t="shared" si="11"/>
        <v>2.4822015126958408E-2</v>
      </c>
      <c r="M104" s="68">
        <f t="shared" si="12"/>
        <v>2.4408968125337653E-2</v>
      </c>
      <c r="N104" s="68">
        <f t="shared" si="13"/>
        <v>2.4615491626148032E-2</v>
      </c>
      <c r="O104" s="68">
        <f>'Growth curves UTEX #1926'!F49</f>
        <v>3.4119999999999999</v>
      </c>
      <c r="P104" s="68">
        <f t="shared" si="14"/>
        <v>4.2977552000000001</v>
      </c>
      <c r="Q104" s="99">
        <f t="shared" si="26"/>
        <v>3.2233163999999996E-4</v>
      </c>
      <c r="R104" s="100">
        <f t="shared" si="15"/>
        <v>38.183486464667318</v>
      </c>
      <c r="S104" s="101"/>
      <c r="V104" s="70">
        <f t="shared" si="16"/>
        <v>164.10327750765359</v>
      </c>
      <c r="W104" s="102"/>
      <c r="X104" s="70"/>
      <c r="Y104" s="70"/>
      <c r="Z104" s="70">
        <f t="shared" si="21"/>
        <v>0.40769188201572742</v>
      </c>
      <c r="AA104" s="102"/>
      <c r="AB104" s="103"/>
    </row>
    <row r="105" spans="2:34" x14ac:dyDescent="0.2">
      <c r="B105" s="215"/>
      <c r="C105" s="198"/>
      <c r="D105" s="218"/>
      <c r="E105" s="120" t="s">
        <v>111</v>
      </c>
      <c r="F105" s="238"/>
      <c r="G105" s="224"/>
      <c r="H105" s="68">
        <f>0.2913-F104</f>
        <v>0.23563333333333333</v>
      </c>
      <c r="I105" s="68">
        <f>0.276-F104</f>
        <v>0.22033333333333335</v>
      </c>
      <c r="J105" s="68">
        <f>0.2017-G104</f>
        <v>0.14809999999999998</v>
      </c>
      <c r="K105" s="68">
        <f>0.1885-G104</f>
        <v>0.13489999999999999</v>
      </c>
      <c r="L105" s="68">
        <f t="shared" si="11"/>
        <v>2.3668206374932468E-2</v>
      </c>
      <c r="M105" s="68">
        <f t="shared" si="12"/>
        <v>2.2482793084819021E-2</v>
      </c>
      <c r="N105" s="68">
        <f t="shared" si="13"/>
        <v>2.3075499729875742E-2</v>
      </c>
      <c r="O105" s="58">
        <f>'Growth curves UTEX #1926'!G49</f>
        <v>3.1760000000000002</v>
      </c>
      <c r="P105" s="68">
        <f t="shared" si="14"/>
        <v>4.0004896000000008</v>
      </c>
      <c r="Q105" s="99">
        <f t="shared" si="26"/>
        <v>3.0003672000000005E-4</v>
      </c>
      <c r="R105" s="100">
        <f t="shared" si="15"/>
        <v>38.454459390630149</v>
      </c>
      <c r="S105" s="101"/>
      <c r="V105" s="70">
        <f t="shared" si="16"/>
        <v>153.83666486583829</v>
      </c>
      <c r="W105" s="102"/>
      <c r="X105" s="70"/>
      <c r="Y105" s="70"/>
      <c r="Z105" s="70">
        <f>(V105-$V$60)/(D104-$D$59)</f>
        <v>0.37824583194988448</v>
      </c>
      <c r="AA105" s="102"/>
      <c r="AB105" s="103"/>
    </row>
    <row r="106" spans="2:34" x14ac:dyDescent="0.2">
      <c r="B106" s="216"/>
      <c r="C106" s="199"/>
      <c r="D106" s="219"/>
      <c r="E106" s="151" t="s">
        <v>112</v>
      </c>
      <c r="F106" s="239"/>
      <c r="G106" s="225"/>
      <c r="H106" s="74">
        <f>0.4168-F104</f>
        <v>0.36113333333333331</v>
      </c>
      <c r="I106" s="74">
        <f>0.4543-F104</f>
        <v>0.39863333333333328</v>
      </c>
      <c r="J106" s="74">
        <f>0.252-G104</f>
        <v>0.19839999999999999</v>
      </c>
      <c r="K106" s="74">
        <f>0.2871-G104</f>
        <v>0.23350000000000001</v>
      </c>
      <c r="L106" s="68">
        <f t="shared" si="11"/>
        <v>3.9076391139924366E-2</v>
      </c>
      <c r="M106" s="68">
        <f t="shared" si="12"/>
        <v>4.1712452728254988E-2</v>
      </c>
      <c r="N106" s="74">
        <f t="shared" si="13"/>
        <v>4.039442193408968E-2</v>
      </c>
      <c r="O106" s="71">
        <f>'Growth curves UTEX #1926'!H49</f>
        <v>2.968</v>
      </c>
      <c r="P106" s="74">
        <f t="shared" si="14"/>
        <v>3.7384927999999999</v>
      </c>
      <c r="Q106" s="75">
        <f t="shared" si="26"/>
        <v>2.8038695999999994E-4</v>
      </c>
      <c r="R106" s="76">
        <f t="shared" si="15"/>
        <v>72.033346226389568</v>
      </c>
      <c r="S106" s="77">
        <f>AVERAGE(R104:R106)</f>
        <v>49.557097360562345</v>
      </c>
      <c r="T106" s="78">
        <f>STDEV(R104:R106)</f>
        <v>19.465474021728873</v>
      </c>
      <c r="U106" s="78">
        <f>T106/SQRT(3)</f>
        <v>11.238396666348834</v>
      </c>
      <c r="V106" s="78">
        <f t="shared" si="16"/>
        <v>269.29614622726456</v>
      </c>
      <c r="W106" s="77">
        <f t="shared" si="18"/>
        <v>195.74536286691878</v>
      </c>
      <c r="X106" s="78">
        <f t="shared" si="19"/>
        <v>63.903357763693911</v>
      </c>
      <c r="Y106" s="78">
        <f t="shared" si="20"/>
        <v>36.894620806989643</v>
      </c>
      <c r="Z106" s="78">
        <f>(V106-$V$61)/(D104-$D$59)</f>
        <v>0.67864022919292877</v>
      </c>
      <c r="AA106" s="77">
        <f t="shared" si="22"/>
        <v>0.48819264771951354</v>
      </c>
      <c r="AB106" s="135">
        <f t="shared" si="23"/>
        <v>9.5602437962158199E-2</v>
      </c>
    </row>
    <row r="107" spans="2:34" x14ac:dyDescent="0.2">
      <c r="B107" s="214" t="s">
        <v>41</v>
      </c>
      <c r="C107" s="197">
        <v>0.46875</v>
      </c>
      <c r="D107" s="218">
        <f>22+D104</f>
        <v>406</v>
      </c>
      <c r="E107" s="120" t="s">
        <v>110</v>
      </c>
      <c r="F107" s="238">
        <f>(0.0541+0.0513+0.0497)/3</f>
        <v>5.1699999999999996E-2</v>
      </c>
      <c r="G107" s="224">
        <f>(0.0519+0.0481+0.0478)/3</f>
        <v>4.9266666666666674E-2</v>
      </c>
      <c r="H107" s="68">
        <f>0.3392-F107</f>
        <v>0.28749999999999998</v>
      </c>
      <c r="I107" s="68">
        <f>0.3229-F107</f>
        <v>0.2712</v>
      </c>
      <c r="J107" s="68">
        <f>0.2352-G107</f>
        <v>0.18593333333333331</v>
      </c>
      <c r="K107" s="68">
        <f>0.2233-G107</f>
        <v>0.17403333333333332</v>
      </c>
      <c r="L107" s="68">
        <f t="shared" si="11"/>
        <v>2.8364721772015124E-2</v>
      </c>
      <c r="M107" s="68">
        <f t="shared" si="12"/>
        <v>2.6889762290653704E-2</v>
      </c>
      <c r="N107" s="68">
        <f t="shared" si="13"/>
        <v>2.7627242031334414E-2</v>
      </c>
      <c r="O107" s="68">
        <f>'Growth curves UTEX #1926'!F50</f>
        <v>3.5</v>
      </c>
      <c r="P107" s="68">
        <f t="shared" si="14"/>
        <v>4.4085999999999999</v>
      </c>
      <c r="Q107" s="99">
        <f t="shared" si="26"/>
        <v>3.3064499999999996E-4</v>
      </c>
      <c r="R107" s="100">
        <f t="shared" si="15"/>
        <v>41.777801012164737</v>
      </c>
      <c r="S107" s="101"/>
      <c r="V107" s="70">
        <f t="shared" si="16"/>
        <v>184.18161354222946</v>
      </c>
      <c r="W107" s="102"/>
      <c r="X107" s="70"/>
      <c r="Y107" s="70"/>
      <c r="Z107" s="70">
        <f t="shared" si="21"/>
        <v>0.43505423332171234</v>
      </c>
      <c r="AA107" s="102"/>
      <c r="AB107" s="103"/>
    </row>
    <row r="108" spans="2:34" ht="15" customHeight="1" x14ac:dyDescent="0.2">
      <c r="B108" s="215"/>
      <c r="C108" s="198"/>
      <c r="D108" s="218"/>
      <c r="E108" s="120" t="s">
        <v>111</v>
      </c>
      <c r="F108" s="238"/>
      <c r="G108" s="224"/>
      <c r="H108" s="68">
        <f>0.3513-F107</f>
        <v>0.29959999999999998</v>
      </c>
      <c r="I108" s="68">
        <f>0.3282-F107</f>
        <v>0.27649999999999997</v>
      </c>
      <c r="J108" s="68">
        <f>0.2368-G107</f>
        <v>0.18753333333333333</v>
      </c>
      <c r="K108" s="68">
        <f>0.2206-G107</f>
        <v>0.17133333333333331</v>
      </c>
      <c r="L108" s="68">
        <f t="shared" si="11"/>
        <v>3.0168935710426791E-2</v>
      </c>
      <c r="M108" s="68">
        <f t="shared" si="12"/>
        <v>2.8013506212857912E-2</v>
      </c>
      <c r="N108" s="68">
        <f t="shared" si="13"/>
        <v>2.909122096164235E-2</v>
      </c>
      <c r="O108" s="68">
        <f>'Growth curves UTEX #1926'!G50</f>
        <v>3.28</v>
      </c>
      <c r="P108" s="68">
        <f t="shared" si="14"/>
        <v>4.131488</v>
      </c>
      <c r="Q108" s="99">
        <f t="shared" si="26"/>
        <v>3.0986160000000002E-4</v>
      </c>
      <c r="R108" s="100">
        <f t="shared" si="15"/>
        <v>46.94228158900998</v>
      </c>
      <c r="S108" s="101"/>
      <c r="V108" s="70">
        <f t="shared" si="16"/>
        <v>193.94147307761565</v>
      </c>
      <c r="W108" s="102"/>
      <c r="X108" s="70"/>
      <c r="Y108" s="70"/>
      <c r="Z108" s="70">
        <f>(V108-$V$60)/(D107-$D$59)</f>
        <v>0.45653006817865271</v>
      </c>
      <c r="AA108" s="102"/>
      <c r="AB108" s="103"/>
    </row>
    <row r="109" spans="2:34" ht="16" customHeight="1" thickBot="1" x14ac:dyDescent="0.25">
      <c r="B109" s="230"/>
      <c r="C109" s="232"/>
      <c r="D109" s="231"/>
      <c r="E109" s="152" t="s">
        <v>112</v>
      </c>
      <c r="F109" s="240"/>
      <c r="G109" s="233"/>
      <c r="H109" s="68">
        <f>0.3934-F107</f>
        <v>0.3417</v>
      </c>
      <c r="I109" s="68">
        <f>0.4162-F107</f>
        <v>0.36450000000000005</v>
      </c>
      <c r="J109" s="68">
        <f>0.2358-G107</f>
        <v>0.18653333333333333</v>
      </c>
      <c r="K109" s="68">
        <f>0.2516-G107</f>
        <v>0.20233333333333331</v>
      </c>
      <c r="L109" s="68">
        <f>(H109-(0.605*J109))/6.17</f>
        <v>3.7090329551593734E-2</v>
      </c>
      <c r="M109" s="68">
        <f t="shared" si="12"/>
        <v>3.923635872501352E-2</v>
      </c>
      <c r="N109" s="68">
        <f t="shared" si="13"/>
        <v>3.8163344138303627E-2</v>
      </c>
      <c r="O109" s="68">
        <f>'Growth curves UTEX #1926'!H50</f>
        <v>3</v>
      </c>
      <c r="P109" s="68">
        <f t="shared" si="14"/>
        <v>3.7788000000000004</v>
      </c>
      <c r="Q109" s="94">
        <f t="shared" si="26"/>
        <v>2.8341E-4</v>
      </c>
      <c r="R109" s="95">
        <f t="shared" si="15"/>
        <v>67.328859493849237</v>
      </c>
      <c r="S109" s="96">
        <f>AVERAGE(R107:R109)</f>
        <v>52.016314031674654</v>
      </c>
      <c r="T109" s="97">
        <f>STDEV(R107:R109)</f>
        <v>13.510125880447038</v>
      </c>
      <c r="U109" s="97">
        <f>T109/SQRT(3)</f>
        <v>7.8000748138618281</v>
      </c>
      <c r="V109" s="97">
        <f t="shared" si="16"/>
        <v>254.42229425535751</v>
      </c>
      <c r="W109" s="96">
        <f t="shared" si="18"/>
        <v>210.84846029173423</v>
      </c>
      <c r="X109" s="97">
        <f t="shared" si="19"/>
        <v>38.050268977428523</v>
      </c>
      <c r="Y109" s="97">
        <f t="shared" si="20"/>
        <v>21.968333036856027</v>
      </c>
      <c r="Z109" s="70">
        <f>(V109-$V$61)/(D107-$D$59)</f>
        <v>0.60523151733541281</v>
      </c>
      <c r="AA109" s="102">
        <f t="shared" si="22"/>
        <v>0.4989386062785926</v>
      </c>
      <c r="AB109" s="103">
        <f t="shared" si="23"/>
        <v>5.3506822232933925E-2</v>
      </c>
    </row>
    <row r="110" spans="2:34" ht="15" thickBot="1" x14ac:dyDescent="0.25">
      <c r="B110" s="235" t="s">
        <v>63</v>
      </c>
      <c r="C110" s="236"/>
      <c r="D110" s="236"/>
      <c r="E110" s="236"/>
      <c r="F110" s="236"/>
      <c r="G110" s="236"/>
      <c r="H110" s="236"/>
      <c r="I110" s="236"/>
      <c r="J110" s="236"/>
      <c r="K110" s="236"/>
      <c r="L110" s="236"/>
      <c r="M110" s="236"/>
      <c r="N110" s="236"/>
      <c r="O110" s="236"/>
      <c r="P110" s="236"/>
      <c r="Q110" s="236"/>
      <c r="R110" s="236"/>
      <c r="S110" s="236"/>
      <c r="T110" s="236"/>
      <c r="U110" s="236"/>
      <c r="V110" s="236"/>
      <c r="W110" s="236"/>
      <c r="X110" s="236"/>
      <c r="Y110" s="236"/>
      <c r="Z110" s="236"/>
      <c r="AA110" s="236"/>
      <c r="AB110" s="237"/>
      <c r="AD110" s="226" t="s">
        <v>115</v>
      </c>
      <c r="AE110" s="226"/>
      <c r="AF110" s="226"/>
      <c r="AG110" s="226"/>
      <c r="AH110" s="226"/>
    </row>
    <row r="111" spans="2:34" ht="45" customHeight="1" x14ac:dyDescent="0.2">
      <c r="B111" s="105" t="s">
        <v>0</v>
      </c>
      <c r="C111" s="106" t="s">
        <v>1</v>
      </c>
      <c r="D111" s="140" t="s">
        <v>2</v>
      </c>
      <c r="E111" s="149"/>
      <c r="F111" s="148" t="s">
        <v>14</v>
      </c>
      <c r="G111" s="106" t="s">
        <v>15</v>
      </c>
      <c r="H111" s="208" t="s">
        <v>75</v>
      </c>
      <c r="I111" s="209"/>
      <c r="J111" s="210" t="s">
        <v>76</v>
      </c>
      <c r="K111" s="211"/>
      <c r="L111" s="212" t="s">
        <v>77</v>
      </c>
      <c r="M111" s="213"/>
      <c r="N111" s="107" t="s">
        <v>78</v>
      </c>
      <c r="O111" s="108" t="s">
        <v>79</v>
      </c>
      <c r="P111" s="107" t="s">
        <v>16</v>
      </c>
      <c r="Q111" s="107" t="s">
        <v>17</v>
      </c>
      <c r="R111" s="107" t="s">
        <v>80</v>
      </c>
      <c r="S111" s="107" t="s">
        <v>81</v>
      </c>
      <c r="T111" s="107" t="s">
        <v>82</v>
      </c>
      <c r="U111" s="109" t="s">
        <v>56</v>
      </c>
      <c r="V111" s="108" t="s">
        <v>83</v>
      </c>
      <c r="W111" s="107" t="s">
        <v>84</v>
      </c>
      <c r="X111" s="107" t="s">
        <v>82</v>
      </c>
      <c r="Y111" s="59" t="s">
        <v>56</v>
      </c>
      <c r="Z111" s="59" t="s">
        <v>72</v>
      </c>
      <c r="AA111" s="107" t="s">
        <v>73</v>
      </c>
      <c r="AB111" s="110" t="s">
        <v>56</v>
      </c>
      <c r="AD111" s="58" t="s">
        <v>2</v>
      </c>
      <c r="AE111" s="111" t="str">
        <f>S111</f>
        <v>Average specific CPC conc.</v>
      </c>
      <c r="AF111" s="58" t="s">
        <v>18</v>
      </c>
      <c r="AG111" s="111" t="str">
        <f>W111</f>
        <v>Average total CPC</v>
      </c>
      <c r="AH111" s="58" t="s">
        <v>18</v>
      </c>
    </row>
    <row r="112" spans="2:34" ht="31" customHeight="1" x14ac:dyDescent="0.2">
      <c r="B112" s="60"/>
      <c r="C112" s="61"/>
      <c r="D112" s="63"/>
      <c r="E112" s="150"/>
      <c r="F112" s="138" t="s">
        <v>19</v>
      </c>
      <c r="G112" s="61" t="s">
        <v>19</v>
      </c>
      <c r="H112" s="228" t="s">
        <v>19</v>
      </c>
      <c r="I112" s="206"/>
      <c r="J112" s="229" t="s">
        <v>19</v>
      </c>
      <c r="K112" s="207"/>
      <c r="L112" s="206" t="s">
        <v>20</v>
      </c>
      <c r="M112" s="207"/>
      <c r="N112" s="64" t="s">
        <v>20</v>
      </c>
      <c r="O112" s="64" t="s">
        <v>19</v>
      </c>
      <c r="P112" s="64" t="s">
        <v>21</v>
      </c>
      <c r="Q112" s="64" t="s">
        <v>22</v>
      </c>
      <c r="R112" s="65" t="s">
        <v>85</v>
      </c>
      <c r="S112" s="65" t="s">
        <v>85</v>
      </c>
      <c r="T112" s="64"/>
      <c r="U112" s="63"/>
      <c r="V112" s="65" t="s">
        <v>86</v>
      </c>
      <c r="W112" s="65" t="s">
        <v>86</v>
      </c>
      <c r="X112" s="64"/>
      <c r="Y112" s="64"/>
      <c r="Z112" s="65" t="s">
        <v>74</v>
      </c>
      <c r="AA112" s="65" t="s">
        <v>74</v>
      </c>
      <c r="AB112" s="62"/>
      <c r="AD112" s="87">
        <f>D113</f>
        <v>0</v>
      </c>
      <c r="AE112" s="70">
        <f>S115</f>
        <v>57.195000898424041</v>
      </c>
      <c r="AF112" s="70">
        <f>U115</f>
        <v>1.4344930269015188</v>
      </c>
      <c r="AG112" s="70">
        <f>W115</f>
        <v>7.3165451107509467</v>
      </c>
      <c r="AH112" s="70">
        <f>Y115</f>
        <v>0.51190336252260782</v>
      </c>
    </row>
    <row r="113" spans="2:34" x14ac:dyDescent="0.2">
      <c r="B113" s="215" t="s">
        <v>8</v>
      </c>
      <c r="C113" s="198">
        <v>0.5625</v>
      </c>
      <c r="D113" s="226">
        <v>0</v>
      </c>
      <c r="E113" s="120" t="s">
        <v>110</v>
      </c>
      <c r="F113" s="238">
        <v>5.45E-2</v>
      </c>
      <c r="G113" s="224">
        <v>5.1400000000000001E-2</v>
      </c>
      <c r="H113" s="69">
        <f>0.3269-F113</f>
        <v>0.27240000000000003</v>
      </c>
      <c r="I113" s="68">
        <f>0.3358-F113</f>
        <v>0.28129999999999999</v>
      </c>
      <c r="J113" s="68">
        <f>0.2174-G113</f>
        <v>0.16600000000000001</v>
      </c>
      <c r="K113" s="68">
        <f>0.2261-G113</f>
        <v>0.17469999999999999</v>
      </c>
      <c r="L113" s="267">
        <f>(H113-(0.605*J113))/6.17</f>
        <v>2.7871961102106973E-2</v>
      </c>
      <c r="M113" s="267">
        <f>(I113-(0.605*K113))/6.17</f>
        <v>2.8461345218800647E-2</v>
      </c>
      <c r="N113" s="68">
        <f>AVERAGE(L113:M113)</f>
        <v>2.816665316045381E-2</v>
      </c>
      <c r="O113" s="58">
        <f>'Growth curves UTEX #1926'!F55</f>
        <v>9.9000000000000005E-2</v>
      </c>
      <c r="P113" s="68">
        <f>1.2596*O113</f>
        <v>0.12470040000000002</v>
      </c>
      <c r="Q113" s="99">
        <f>P113*2/1000</f>
        <v>2.4940080000000005E-4</v>
      </c>
      <c r="R113" s="100">
        <f>(N113*0.5)/Q113</f>
        <v>56.468650382143529</v>
      </c>
      <c r="S113" s="101"/>
      <c r="V113" s="70">
        <f>R113*P113</f>
        <v>7.0416632901134522</v>
      </c>
      <c r="W113" s="101"/>
      <c r="AA113" s="101"/>
      <c r="AB113" s="67"/>
      <c r="AD113" s="87">
        <f>D116</f>
        <v>21.5</v>
      </c>
      <c r="AE113" s="70">
        <f>S118</f>
        <v>21.103263247450492</v>
      </c>
      <c r="AF113" s="70">
        <f>U118</f>
        <v>1.7822602202942859</v>
      </c>
      <c r="AG113" s="70">
        <f>W118</f>
        <v>5.0306591031874666</v>
      </c>
      <c r="AH113" s="70">
        <f>Y118</f>
        <v>0.14684230654103647</v>
      </c>
    </row>
    <row r="114" spans="2:34" ht="15" customHeight="1" x14ac:dyDescent="0.2">
      <c r="B114" s="215"/>
      <c r="C114" s="198"/>
      <c r="D114" s="226"/>
      <c r="E114" s="120" t="s">
        <v>111</v>
      </c>
      <c r="F114" s="238"/>
      <c r="G114" s="224"/>
      <c r="H114" s="69">
        <f>0.3703-F113</f>
        <v>0.31580000000000003</v>
      </c>
      <c r="I114" s="68">
        <f>0.39-F113</f>
        <v>0.33550000000000002</v>
      </c>
      <c r="J114" s="68">
        <f>0.2428-G113</f>
        <v>0.19139999999999999</v>
      </c>
      <c r="K114" s="68">
        <f>0.2587-G113</f>
        <v>0.20729999999999998</v>
      </c>
      <c r="L114" s="267">
        <f t="shared" ref="L114:L163" si="27">(H114-(0.605*J114))/6.17</f>
        <v>3.2415397082658032E-2</v>
      </c>
      <c r="M114" s="267">
        <f t="shared" ref="M114:M163" si="28">(I114-(0.605*K114))/6.17</f>
        <v>3.4049189627228534E-2</v>
      </c>
      <c r="N114" s="68">
        <f t="shared" ref="N114:N163" si="29">AVERAGE(L114:M114)</f>
        <v>3.3232293354943279E-2</v>
      </c>
      <c r="O114" s="68">
        <f>'Growth curves UTEX #1926'!G55</f>
        <v>0.11</v>
      </c>
      <c r="P114" s="68">
        <f t="shared" ref="P114:P163" si="30">1.2596*O114</f>
        <v>0.13855600000000001</v>
      </c>
      <c r="Q114" s="99">
        <f>P114*2/1000</f>
        <v>2.7711200000000004E-4</v>
      </c>
      <c r="R114" s="100">
        <f t="shared" ref="R114:R163" si="31">(N114*0.5)/Q114</f>
        <v>59.961844588006429</v>
      </c>
      <c r="S114" s="101"/>
      <c r="V114" s="70">
        <f t="shared" ref="V114:V163" si="32">R114*P114</f>
        <v>8.3080733387358201</v>
      </c>
      <c r="W114" s="101"/>
      <c r="AA114" s="101"/>
      <c r="AB114" s="67"/>
      <c r="AD114" s="87">
        <f>D119</f>
        <v>47.5</v>
      </c>
      <c r="AE114" s="70">
        <f>S121</f>
        <v>18.707598449090312</v>
      </c>
      <c r="AF114" s="70">
        <f>U121</f>
        <v>0.9115413986354135</v>
      </c>
      <c r="AG114" s="70">
        <f>W121</f>
        <v>7.9363317125877906</v>
      </c>
      <c r="AH114" s="70">
        <f>Y121</f>
        <v>0.34764574488036015</v>
      </c>
    </row>
    <row r="115" spans="2:34" ht="15" customHeight="1" x14ac:dyDescent="0.2">
      <c r="B115" s="216"/>
      <c r="C115" s="199"/>
      <c r="D115" s="227"/>
      <c r="E115" s="151" t="s">
        <v>112</v>
      </c>
      <c r="F115" s="239"/>
      <c r="G115" s="225"/>
      <c r="H115" s="73">
        <f>0.308-F113</f>
        <v>0.2535</v>
      </c>
      <c r="I115" s="74">
        <f>0.3142-F113</f>
        <v>0.25969999999999999</v>
      </c>
      <c r="J115" s="74">
        <f>0.2033-G113</f>
        <v>0.15190000000000001</v>
      </c>
      <c r="K115" s="74">
        <f>0.2093-G113</f>
        <v>0.15790000000000001</v>
      </c>
      <c r="L115" s="267">
        <f t="shared" si="27"/>
        <v>2.6191329011345219E-2</v>
      </c>
      <c r="M115" s="267">
        <f t="shared" si="28"/>
        <v>2.6607860615883307E-2</v>
      </c>
      <c r="N115" s="74">
        <f t="shared" si="29"/>
        <v>2.6399594813614265E-2</v>
      </c>
      <c r="O115" s="71">
        <f>'Growth curves UTEX #1926'!H55</f>
        <v>9.5000000000000001E-2</v>
      </c>
      <c r="P115" s="74">
        <f t="shared" si="30"/>
        <v>0.119662</v>
      </c>
      <c r="Q115" s="75">
        <f>P115*2/1000</f>
        <v>2.3932400000000001E-4</v>
      </c>
      <c r="R115" s="76">
        <f t="shared" si="31"/>
        <v>55.154507725122144</v>
      </c>
      <c r="S115" s="77">
        <f>AVERAGE(R113:R115)</f>
        <v>57.195000898424041</v>
      </c>
      <c r="T115" s="78">
        <f>STDEV(R113:R115)</f>
        <v>2.4846148056966988</v>
      </c>
      <c r="U115" s="78">
        <f>T115/SQRT(3)</f>
        <v>1.4344930269015188</v>
      </c>
      <c r="V115" s="78">
        <f t="shared" si="32"/>
        <v>6.5998987034035661</v>
      </c>
      <c r="W115" s="77">
        <f>AVERAGE(V113:V115)</f>
        <v>7.3165451107509467</v>
      </c>
      <c r="X115" s="78">
        <f>STDEV(V113:V115)</f>
        <v>0.88664263245450659</v>
      </c>
      <c r="Y115" s="78">
        <f>X115/SQRT(3)</f>
        <v>0.51190336252260782</v>
      </c>
      <c r="Z115" s="71"/>
      <c r="AA115" s="134"/>
      <c r="AB115" s="72"/>
      <c r="AD115" s="87">
        <f>D122</f>
        <v>72</v>
      </c>
      <c r="AE115" s="70">
        <f>S124</f>
        <v>35.27928270858348</v>
      </c>
      <c r="AF115" s="70">
        <f>U124</f>
        <v>7.2499084380161207</v>
      </c>
      <c r="AG115" s="70">
        <f>W124</f>
        <v>24.391123047001628</v>
      </c>
      <c r="AH115" s="70">
        <f>Y124</f>
        <v>7.1628724992678974</v>
      </c>
    </row>
    <row r="116" spans="2:34" x14ac:dyDescent="0.2">
      <c r="B116" s="214" t="s">
        <v>9</v>
      </c>
      <c r="C116" s="197">
        <v>0.45833333333333331</v>
      </c>
      <c r="D116" s="218">
        <f>D113+21.5</f>
        <v>21.5</v>
      </c>
      <c r="E116" s="120" t="s">
        <v>110</v>
      </c>
      <c r="F116" s="238">
        <f>(0.0686+0.0622+0.0602)/3</f>
        <v>6.3666666666666663E-2</v>
      </c>
      <c r="G116" s="224">
        <f>(0.0672+0.0613+0.058)/3</f>
        <v>6.2166666666666669E-2</v>
      </c>
      <c r="H116" s="69">
        <f>0.1585-F116</f>
        <v>9.4833333333333339E-2</v>
      </c>
      <c r="I116" s="68">
        <f>0.1638-F116</f>
        <v>0.10013333333333334</v>
      </c>
      <c r="J116" s="68">
        <f>0.1177-G116</f>
        <v>5.553333333333333E-2</v>
      </c>
      <c r="K116" s="68">
        <f>0.1233-G116</f>
        <v>6.1133333333333338E-2</v>
      </c>
      <c r="L116" s="267">
        <f t="shared" si="27"/>
        <v>9.9247433819557012E-3</v>
      </c>
      <c r="M116" s="267">
        <f t="shared" si="28"/>
        <v>1.0234629929767694E-2</v>
      </c>
      <c r="N116" s="68">
        <f t="shared" si="29"/>
        <v>1.0079686655861697E-2</v>
      </c>
      <c r="O116" s="68">
        <f>'Growth curves UTEX #1926'!F57</f>
        <v>0.17499999999999999</v>
      </c>
      <c r="P116" s="68">
        <f t="shared" si="30"/>
        <v>0.22042999999999999</v>
      </c>
      <c r="Q116" s="99">
        <f t="shared" ref="Q116:Q121" si="33">P116*1/1000</f>
        <v>2.2042999999999997E-4</v>
      </c>
      <c r="R116" s="100">
        <f t="shared" si="31"/>
        <v>22.863690640706118</v>
      </c>
      <c r="S116" s="102"/>
      <c r="T116" s="70"/>
      <c r="U116" s="70"/>
      <c r="V116" s="70">
        <f t="shared" si="32"/>
        <v>5.039843327930849</v>
      </c>
      <c r="W116" s="102"/>
      <c r="X116" s="70"/>
      <c r="Y116" s="70"/>
      <c r="Z116" s="70">
        <f>(V116-$V$113)/(D116-$D$113)</f>
        <v>-9.3107905217795495E-2</v>
      </c>
      <c r="AA116" s="102"/>
      <c r="AB116" s="67"/>
      <c r="AD116" s="87">
        <f>D125</f>
        <v>94</v>
      </c>
      <c r="AE116" s="70">
        <f>S127</f>
        <v>40.690502758163291</v>
      </c>
      <c r="AF116" s="70">
        <f>U127</f>
        <v>5.9540570435485343</v>
      </c>
      <c r="AG116" s="70">
        <f>W127</f>
        <v>39.812376585629394</v>
      </c>
      <c r="AH116" s="70">
        <f>Y127</f>
        <v>9.7074011737840333</v>
      </c>
    </row>
    <row r="117" spans="2:34" x14ac:dyDescent="0.2">
      <c r="B117" s="215"/>
      <c r="C117" s="198"/>
      <c r="D117" s="218"/>
      <c r="E117" s="120" t="s">
        <v>111</v>
      </c>
      <c r="F117" s="238"/>
      <c r="G117" s="224"/>
      <c r="H117" s="69">
        <f>0.1464-F116</f>
        <v>8.2733333333333339E-2</v>
      </c>
      <c r="I117" s="68">
        <f>0.1632-F116</f>
        <v>9.9533333333333349E-2</v>
      </c>
      <c r="J117" s="68">
        <f>0.1066-G116</f>
        <v>4.4433333333333332E-2</v>
      </c>
      <c r="K117" s="68">
        <f>0.1036-G116</f>
        <v>4.1433333333333329E-2</v>
      </c>
      <c r="L117" s="267">
        <f t="shared" si="27"/>
        <v>9.0520529443544051E-3</v>
      </c>
      <c r="M117" s="267">
        <f t="shared" si="28"/>
        <v>1.2069070772555378E-2</v>
      </c>
      <c r="N117" s="68">
        <f t="shared" si="29"/>
        <v>1.0560561858454892E-2</v>
      </c>
      <c r="O117" s="68">
        <f>'Growth curves UTEX #1926'!G57</f>
        <v>0.183</v>
      </c>
      <c r="P117" s="68">
        <f t="shared" si="30"/>
        <v>0.23050680000000001</v>
      </c>
      <c r="Q117" s="99">
        <f t="shared" si="33"/>
        <v>2.3050680000000001E-4</v>
      </c>
      <c r="R117" s="100">
        <f t="shared" si="31"/>
        <v>22.907267504591822</v>
      </c>
      <c r="S117" s="101"/>
      <c r="T117" s="70"/>
      <c r="U117" s="70"/>
      <c r="V117" s="70">
        <f t="shared" si="32"/>
        <v>5.2802809292274464</v>
      </c>
      <c r="W117" s="102"/>
      <c r="X117" s="70"/>
      <c r="Y117" s="70"/>
      <c r="Z117" s="70">
        <f>(V117-$V$114)/(D116-$D$113)</f>
        <v>-0.14082755393062205</v>
      </c>
      <c r="AA117" s="102"/>
      <c r="AB117" s="67"/>
      <c r="AD117" s="87">
        <f>D128</f>
        <v>117</v>
      </c>
      <c r="AE117" s="70">
        <f>S130</f>
        <v>47.560603992486229</v>
      </c>
      <c r="AF117" s="70">
        <f>U130</f>
        <v>7.5474060233145543</v>
      </c>
      <c r="AG117" s="70">
        <f>W130</f>
        <v>64.911760940032437</v>
      </c>
      <c r="AH117" s="70">
        <f>Y130</f>
        <v>4.9110385588336012</v>
      </c>
    </row>
    <row r="118" spans="2:34" x14ac:dyDescent="0.2">
      <c r="B118" s="216"/>
      <c r="C118" s="199"/>
      <c r="D118" s="219"/>
      <c r="E118" s="151" t="s">
        <v>112</v>
      </c>
      <c r="F118" s="239"/>
      <c r="G118" s="225"/>
      <c r="H118" s="73">
        <f>0.1498-F116</f>
        <v>8.6133333333333326E-2</v>
      </c>
      <c r="I118" s="74">
        <f>0.1579-F116</f>
        <v>9.4233333333333349E-2</v>
      </c>
      <c r="J118" s="74">
        <f>0.1102-G116</f>
        <v>4.8033333333333338E-2</v>
      </c>
      <c r="K118" s="74">
        <f>0.1176-G116</f>
        <v>5.5433333333333328E-2</v>
      </c>
      <c r="L118" s="267">
        <f t="shared" si="27"/>
        <v>9.2501080497028633E-3</v>
      </c>
      <c r="M118" s="267">
        <f t="shared" si="28"/>
        <v>9.8373041599135649E-3</v>
      </c>
      <c r="N118" s="74">
        <f t="shared" si="29"/>
        <v>9.5437061048082132E-3</v>
      </c>
      <c r="O118" s="74">
        <f>'Growth curves UTEX #1926'!H57</f>
        <v>0.216</v>
      </c>
      <c r="P118" s="74">
        <f t="shared" si="30"/>
        <v>0.27207360000000003</v>
      </c>
      <c r="Q118" s="75">
        <f t="shared" si="33"/>
        <v>2.7207360000000005E-4</v>
      </c>
      <c r="R118" s="76">
        <f t="shared" si="31"/>
        <v>17.538831597053537</v>
      </c>
      <c r="S118" s="77">
        <f>AVERAGE(R116:R118)</f>
        <v>21.103263247450492</v>
      </c>
      <c r="T118" s="78">
        <f>STDEV(R116:R118)</f>
        <v>3.0869652538586028</v>
      </c>
      <c r="U118" s="78">
        <f>T118/SQRT(3)</f>
        <v>1.7822602202942859</v>
      </c>
      <c r="V118" s="78">
        <f t="shared" si="32"/>
        <v>4.7718530524041061</v>
      </c>
      <c r="W118" s="77">
        <f t="shared" ref="W118:W163" si="34">AVERAGE(V116:V118)</f>
        <v>5.0306591031874666</v>
      </c>
      <c r="X118" s="78">
        <f t="shared" ref="X118:X163" si="35">STDEV(V116:V118)</f>
        <v>0.25433833562967884</v>
      </c>
      <c r="Y118" s="78">
        <f t="shared" ref="Y118:Y163" si="36">X118/SQRT(3)</f>
        <v>0.14684230654103647</v>
      </c>
      <c r="Z118" s="78">
        <f>(V118-$V$115)/(D116-$D$113)</f>
        <v>-8.5025379116253949E-2</v>
      </c>
      <c r="AA118" s="77">
        <f>AVERAGE(Z116:Z118)</f>
        <v>-0.10632027942155715</v>
      </c>
      <c r="AB118" s="135">
        <f>STDEV(Z116:Z118)/SQRT(3)</f>
        <v>1.741068448375397E-2</v>
      </c>
      <c r="AD118" s="87">
        <f>D131</f>
        <v>141</v>
      </c>
      <c r="AE118" s="70">
        <f>S133</f>
        <v>52.413399990966234</v>
      </c>
      <c r="AF118" s="70">
        <f>U133</f>
        <v>4.570095441651727</v>
      </c>
      <c r="AG118" s="70">
        <f>W133</f>
        <v>97.787252890329526</v>
      </c>
      <c r="AH118" s="70">
        <f>Y133</f>
        <v>2.8508202269752214</v>
      </c>
    </row>
    <row r="119" spans="2:34" x14ac:dyDescent="0.2">
      <c r="B119" s="214" t="s">
        <v>10</v>
      </c>
      <c r="C119" s="197">
        <v>0.54513888888888895</v>
      </c>
      <c r="D119" s="218">
        <f>D113+47.5</f>
        <v>47.5</v>
      </c>
      <c r="E119" s="120" t="s">
        <v>110</v>
      </c>
      <c r="F119" s="238">
        <f>(0.0599+0.0418+0.0497)/3</f>
        <v>5.0466666666666667E-2</v>
      </c>
      <c r="G119" s="224">
        <f>(0.0572+0.0398+0.0473)/3</f>
        <v>4.8100000000000004E-2</v>
      </c>
      <c r="H119" s="69">
        <f>0.1933-F119</f>
        <v>0.14283333333333334</v>
      </c>
      <c r="I119" s="68">
        <f>0.1991-F119</f>
        <v>0.14863333333333334</v>
      </c>
      <c r="J119" s="68">
        <f>0.1286-G119</f>
        <v>8.0499999999999988E-2</v>
      </c>
      <c r="K119" s="68">
        <f>0.1335-G119</f>
        <v>8.5400000000000004E-2</v>
      </c>
      <c r="L119" s="267">
        <f t="shared" si="27"/>
        <v>1.5256212857914645E-2</v>
      </c>
      <c r="M119" s="267">
        <f t="shared" si="28"/>
        <v>1.5715775256618048E-2</v>
      </c>
      <c r="N119" s="68">
        <f t="shared" si="29"/>
        <v>1.5485994057266347E-2</v>
      </c>
      <c r="O119" s="68">
        <f>'Growth curves UTEX #1926'!F60</f>
        <v>0.34599999999999997</v>
      </c>
      <c r="P119" s="68">
        <f t="shared" si="30"/>
        <v>0.43582159999999998</v>
      </c>
      <c r="Q119" s="99">
        <f t="shared" si="33"/>
        <v>4.3582159999999996E-4</v>
      </c>
      <c r="R119" s="100">
        <f t="shared" si="31"/>
        <v>17.766437066527164</v>
      </c>
      <c r="S119" s="102"/>
      <c r="T119" s="70"/>
      <c r="U119" s="70"/>
      <c r="V119" s="70">
        <f t="shared" si="32"/>
        <v>7.7429970286331748</v>
      </c>
      <c r="W119" s="102"/>
      <c r="X119" s="70"/>
      <c r="Y119" s="70"/>
      <c r="Z119" s="70">
        <f t="shared" ref="Z119:Z161" si="37">(V119-$V$113)/(D119-$D$113)</f>
        <v>1.476492081094153E-2</v>
      </c>
      <c r="AA119" s="102"/>
      <c r="AB119" s="103"/>
      <c r="AD119" s="87">
        <f>D134</f>
        <v>191</v>
      </c>
      <c r="AE119" s="70">
        <f>S136</f>
        <v>37.769826068776261</v>
      </c>
      <c r="AF119" s="70">
        <f>U136</f>
        <v>2.8157672730131682</v>
      </c>
      <c r="AG119" s="70">
        <f>W136</f>
        <v>100.72649918962723</v>
      </c>
      <c r="AH119" s="70">
        <f>Y136</f>
        <v>10.595905245664524</v>
      </c>
    </row>
    <row r="120" spans="2:34" x14ac:dyDescent="0.2">
      <c r="B120" s="215"/>
      <c r="C120" s="198"/>
      <c r="D120" s="218"/>
      <c r="E120" s="120" t="s">
        <v>111</v>
      </c>
      <c r="F120" s="238"/>
      <c r="G120" s="224"/>
      <c r="H120" s="69">
        <f>0.2119-F119</f>
        <v>0.16143333333333335</v>
      </c>
      <c r="I120" s="68">
        <f>0.2271-F119</f>
        <v>0.17663333333333334</v>
      </c>
      <c r="J120" s="68">
        <f>0.1454-G119</f>
        <v>9.7299999999999998E-2</v>
      </c>
      <c r="K120" s="68">
        <f>0.1583-G119</f>
        <v>0.11019999999999999</v>
      </c>
      <c r="L120" s="267">
        <f t="shared" si="27"/>
        <v>1.6623473797947059E-2</v>
      </c>
      <c r="M120" s="267">
        <f t="shared" si="28"/>
        <v>1.7822096164235551E-2</v>
      </c>
      <c r="N120" s="68">
        <f t="shared" si="29"/>
        <v>1.7222784981091303E-2</v>
      </c>
      <c r="O120" s="68">
        <f>'Growth curves UTEX #1926'!G60</f>
        <v>0.33300000000000002</v>
      </c>
      <c r="P120" s="68">
        <f t="shared" si="30"/>
        <v>0.41944680000000006</v>
      </c>
      <c r="Q120" s="99">
        <f t="shared" si="33"/>
        <v>4.1944680000000008E-4</v>
      </c>
      <c r="R120" s="100">
        <f t="shared" si="31"/>
        <v>20.530356866581531</v>
      </c>
      <c r="S120" s="101"/>
      <c r="T120" s="70"/>
      <c r="U120" s="70"/>
      <c r="V120" s="70">
        <f t="shared" si="32"/>
        <v>8.6113924905456507</v>
      </c>
      <c r="W120" s="102"/>
      <c r="X120" s="70"/>
      <c r="Y120" s="70"/>
      <c r="Z120" s="70">
        <f>(V120-$V$114)/(D119-$D$113)</f>
        <v>6.3856663538911706E-3</v>
      </c>
      <c r="AA120" s="102"/>
      <c r="AB120" s="103"/>
      <c r="AD120" s="87">
        <f>D137</f>
        <v>213.5</v>
      </c>
      <c r="AE120" s="70">
        <f>S139</f>
        <v>35.671904216852091</v>
      </c>
      <c r="AF120" s="70">
        <f>U139</f>
        <v>3.669322660925582</v>
      </c>
      <c r="AG120" s="70">
        <f>W139</f>
        <v>102.49891950297138</v>
      </c>
      <c r="AH120" s="70">
        <f>Y139</f>
        <v>9.1104184457836723</v>
      </c>
    </row>
    <row r="121" spans="2:34" x14ac:dyDescent="0.2">
      <c r="B121" s="216"/>
      <c r="C121" s="199"/>
      <c r="D121" s="219"/>
      <c r="E121" s="151" t="s">
        <v>112</v>
      </c>
      <c r="F121" s="239"/>
      <c r="G121" s="225"/>
      <c r="H121" s="73">
        <f>0.1941-F119</f>
        <v>0.14363333333333334</v>
      </c>
      <c r="I121" s="74">
        <f>0.1933-F119</f>
        <v>0.14283333333333334</v>
      </c>
      <c r="J121" s="74">
        <f>0.1341-G119</f>
        <v>8.5999999999999993E-2</v>
      </c>
      <c r="K121" s="74">
        <f>0.1315-G119</f>
        <v>8.3400000000000002E-2</v>
      </c>
      <c r="L121" s="267">
        <f t="shared" si="27"/>
        <v>1.4846569421934091E-2</v>
      </c>
      <c r="M121" s="267">
        <f t="shared" si="28"/>
        <v>1.4971853052404107E-2</v>
      </c>
      <c r="N121" s="74">
        <f t="shared" si="29"/>
        <v>1.4909211237169099E-2</v>
      </c>
      <c r="O121" s="74">
        <f>'Growth curves UTEX #1926'!H60</f>
        <v>0.33200000000000002</v>
      </c>
      <c r="P121" s="74">
        <f t="shared" si="30"/>
        <v>0.41818720000000004</v>
      </c>
      <c r="Q121" s="75">
        <f t="shared" si="33"/>
        <v>4.1818720000000005E-4</v>
      </c>
      <c r="R121" s="76">
        <f t="shared" si="31"/>
        <v>17.826001414162242</v>
      </c>
      <c r="S121" s="77">
        <f>AVERAGE(R119:R121)</f>
        <v>18.707598449090312</v>
      </c>
      <c r="T121" s="78">
        <f>STDEV(R119:R121)</f>
        <v>1.5788360156389318</v>
      </c>
      <c r="U121" s="78">
        <f>T121/SQRT(3)</f>
        <v>0.9115413986354135</v>
      </c>
      <c r="V121" s="78">
        <f t="shared" si="32"/>
        <v>7.4546056185845488</v>
      </c>
      <c r="W121" s="77">
        <f t="shared" si="34"/>
        <v>7.9363317125877906</v>
      </c>
      <c r="X121" s="78">
        <f t="shared" si="35"/>
        <v>0.60214009316791162</v>
      </c>
      <c r="Y121" s="78">
        <f t="shared" si="36"/>
        <v>0.34764574488036015</v>
      </c>
      <c r="Z121" s="78">
        <f>(V121-$V$115)/(D119-$D$113)</f>
        <v>1.7993829793283848E-2</v>
      </c>
      <c r="AA121" s="77">
        <f t="shared" ref="AA121:AA163" si="38">AVERAGE(Z119:Z121)</f>
        <v>1.3048138986038849E-2</v>
      </c>
      <c r="AB121" s="135">
        <f t="shared" ref="AB121:AB163" si="39">STDEV(Z119:Z121)/SQRT(3)</f>
        <v>3.4591843684434421E-3</v>
      </c>
      <c r="AD121" s="87">
        <f>D140</f>
        <v>236.5</v>
      </c>
      <c r="AE121" s="70">
        <f>S142</f>
        <v>34.365826183889084</v>
      </c>
      <c r="AF121" s="70">
        <f>U142</f>
        <v>2.8498139233473974</v>
      </c>
      <c r="AG121" s="70">
        <f>W142</f>
        <v>106.36365478119933</v>
      </c>
      <c r="AH121" s="70">
        <f>Y142</f>
        <v>5.9886135987596942</v>
      </c>
    </row>
    <row r="122" spans="2:34" x14ac:dyDescent="0.2">
      <c r="B122" s="214" t="s">
        <v>11</v>
      </c>
      <c r="C122" s="197">
        <v>0.55902777777777779</v>
      </c>
      <c r="D122" s="218">
        <f>D119+24.5</f>
        <v>72</v>
      </c>
      <c r="E122" s="120" t="s">
        <v>110</v>
      </c>
      <c r="F122" s="238">
        <v>4.9299999999999997E-2</v>
      </c>
      <c r="G122" s="224">
        <v>4.7100000000000003E-2</v>
      </c>
      <c r="H122" s="69">
        <f>0.2066-F122</f>
        <v>0.1573</v>
      </c>
      <c r="I122" s="68">
        <f>0.2197-F122</f>
        <v>0.1704</v>
      </c>
      <c r="J122" s="68">
        <f>0.1559-G122</f>
        <v>0.10880000000000001</v>
      </c>
      <c r="K122" s="68">
        <f>0.1665-G122</f>
        <v>0.11940000000000001</v>
      </c>
      <c r="L122" s="267">
        <f t="shared" si="27"/>
        <v>1.4825931928687194E-2</v>
      </c>
      <c r="M122" s="267">
        <f t="shared" si="28"/>
        <v>1.59097244732577E-2</v>
      </c>
      <c r="N122" s="68">
        <f t="shared" si="29"/>
        <v>1.5367828200972447E-2</v>
      </c>
      <c r="O122" s="68">
        <f>'Growth curves UTEX #1926'!F61</f>
        <v>0.61799999999999999</v>
      </c>
      <c r="P122" s="68">
        <f t="shared" si="30"/>
        <v>0.77843280000000004</v>
      </c>
      <c r="Q122" s="99">
        <f>O122*0.25/1000</f>
        <v>1.5449999999999999E-4</v>
      </c>
      <c r="R122" s="100">
        <f t="shared" si="31"/>
        <v>49.734071847807279</v>
      </c>
      <c r="S122" s="102"/>
      <c r="T122" s="70"/>
      <c r="U122" s="70"/>
      <c r="V122" s="70">
        <f t="shared" si="32"/>
        <v>38.714632803889799</v>
      </c>
      <c r="W122" s="102"/>
      <c r="X122" s="70"/>
      <c r="Y122" s="70"/>
      <c r="Z122" s="70">
        <f t="shared" si="37"/>
        <v>0.43990235435800484</v>
      </c>
      <c r="AA122" s="102"/>
      <c r="AB122" s="103"/>
      <c r="AD122" s="87">
        <f>D143</f>
        <v>260.5</v>
      </c>
      <c r="AE122" s="70">
        <f>S145</f>
        <v>29.292471745074852</v>
      </c>
      <c r="AF122" s="70">
        <f>U145</f>
        <v>2.6215387371845993</v>
      </c>
      <c r="AG122" s="70">
        <f>W145</f>
        <v>100.17936250675312</v>
      </c>
      <c r="AH122" s="70">
        <f>Y145</f>
        <v>5.3683096588739163</v>
      </c>
    </row>
    <row r="123" spans="2:34" x14ac:dyDescent="0.2">
      <c r="B123" s="215"/>
      <c r="C123" s="198"/>
      <c r="D123" s="218"/>
      <c r="E123" s="120" t="s">
        <v>111</v>
      </c>
      <c r="F123" s="238"/>
      <c r="G123" s="224"/>
      <c r="H123" s="69">
        <f>0.181-F122</f>
        <v>0.13169999999999998</v>
      </c>
      <c r="I123" s="68">
        <f>0.1877-F122</f>
        <v>0.13840000000000002</v>
      </c>
      <c r="J123" s="68">
        <f>0.1301-G122</f>
        <v>8.299999999999999E-2</v>
      </c>
      <c r="K123" s="68">
        <f>0.1351-G122</f>
        <v>8.7999999999999995E-2</v>
      </c>
      <c r="L123" s="267">
        <f t="shared" si="27"/>
        <v>1.3206645056726092E-2</v>
      </c>
      <c r="M123" s="267">
        <f t="shared" si="28"/>
        <v>1.3802269043760135E-2</v>
      </c>
      <c r="N123" s="68">
        <f t="shared" si="29"/>
        <v>1.3504457050243113E-2</v>
      </c>
      <c r="O123" s="68">
        <f>'Growth curves UTEX #1926'!G61</f>
        <v>0.499</v>
      </c>
      <c r="P123" s="68">
        <f t="shared" si="30"/>
        <v>0.6285404</v>
      </c>
      <c r="Q123" s="99">
        <f>O123*0.5/1000</f>
        <v>2.4949999999999999E-4</v>
      </c>
      <c r="R123" s="100">
        <f t="shared" si="31"/>
        <v>27.063040180847921</v>
      </c>
      <c r="S123" s="101"/>
      <c r="T123" s="70"/>
      <c r="U123" s="70"/>
      <c r="V123" s="70">
        <f t="shared" si="32"/>
        <v>17.010214100486223</v>
      </c>
      <c r="W123" s="102"/>
      <c r="X123" s="70"/>
      <c r="Y123" s="70"/>
      <c r="Z123" s="70">
        <f>(V123-$V$114)/(D122-$D$113)</f>
        <v>0.12086306613542226</v>
      </c>
      <c r="AA123" s="102"/>
      <c r="AB123" s="103"/>
      <c r="AD123" s="87">
        <f>D146</f>
        <v>284.5</v>
      </c>
      <c r="AE123" s="70">
        <f>S148</f>
        <v>29.659064316290749</v>
      </c>
      <c r="AF123" s="70">
        <f>U148</f>
        <v>0.50839681501680867</v>
      </c>
      <c r="AG123" s="70">
        <f>W148</f>
        <v>107.1042679632631</v>
      </c>
      <c r="AH123" s="70">
        <f>Y148</f>
        <v>1.4058266757518534</v>
      </c>
    </row>
    <row r="124" spans="2:34" x14ac:dyDescent="0.2">
      <c r="B124" s="216"/>
      <c r="C124" s="199"/>
      <c r="D124" s="219"/>
      <c r="E124" s="151" t="s">
        <v>112</v>
      </c>
      <c r="F124" s="239"/>
      <c r="G124" s="225"/>
      <c r="H124" s="73">
        <f>0.2003-F122</f>
        <v>0.15100000000000002</v>
      </c>
      <c r="I124" s="74">
        <f>0.1952-F122</f>
        <v>0.14590000000000003</v>
      </c>
      <c r="J124" s="74">
        <f>0.1545-G122</f>
        <v>0.1074</v>
      </c>
      <c r="K124" s="74">
        <f>0.1479-G122</f>
        <v>0.1008</v>
      </c>
      <c r="L124" s="267">
        <f t="shared" si="27"/>
        <v>1.3942139384116699E-2</v>
      </c>
      <c r="M124" s="267">
        <f t="shared" si="28"/>
        <v>1.3762722852512161E-2</v>
      </c>
      <c r="N124" s="74">
        <f t="shared" si="29"/>
        <v>1.385243111831443E-2</v>
      </c>
      <c r="O124" s="74">
        <f>'Growth curves UTEX #1926'!H61</f>
        <v>0.47699999999999998</v>
      </c>
      <c r="P124" s="74">
        <f t="shared" si="30"/>
        <v>0.60082919999999995</v>
      </c>
      <c r="Q124" s="75">
        <f>O124*0.5/1000</f>
        <v>2.385E-4</v>
      </c>
      <c r="R124" s="76">
        <f t="shared" si="31"/>
        <v>29.040736097095241</v>
      </c>
      <c r="S124" s="77">
        <f>AVERAGE(R122:R124)</f>
        <v>35.27928270858348</v>
      </c>
      <c r="T124" s="78">
        <f>STDEV(R122:R124)</f>
        <v>12.557209764866238</v>
      </c>
      <c r="U124" s="78">
        <f>T124/SQRT(3)</f>
        <v>7.2499084380161207</v>
      </c>
      <c r="V124" s="78">
        <f t="shared" si="32"/>
        <v>17.448522236628854</v>
      </c>
      <c r="W124" s="77">
        <f t="shared" si="34"/>
        <v>24.391123047001628</v>
      </c>
      <c r="X124" s="78">
        <f t="shared" si="35"/>
        <v>12.406459096869863</v>
      </c>
      <c r="Y124" s="78">
        <f t="shared" si="36"/>
        <v>7.1628724992678974</v>
      </c>
      <c r="Z124" s="78">
        <f>(V124-$V$115)/(D122-$D$113)</f>
        <v>0.15067532685035123</v>
      </c>
      <c r="AA124" s="77">
        <f t="shared" si="38"/>
        <v>0.23714691578125946</v>
      </c>
      <c r="AB124" s="135">
        <f t="shared" si="39"/>
        <v>0.1017423520902513</v>
      </c>
      <c r="AD124" s="87">
        <f>D149</f>
        <v>307.5</v>
      </c>
      <c r="AE124" s="70">
        <f>S151</f>
        <v>30.494788271675617</v>
      </c>
      <c r="AF124" s="70">
        <f>U151</f>
        <v>2.1314796268594773</v>
      </c>
      <c r="AG124" s="70">
        <f>W151</f>
        <v>117.18899693859176</v>
      </c>
      <c r="AH124" s="70">
        <f>Y151</f>
        <v>4.7351375941779672</v>
      </c>
    </row>
    <row r="125" spans="2:34" x14ac:dyDescent="0.2">
      <c r="B125" s="214" t="s">
        <v>12</v>
      </c>
      <c r="C125" s="197">
        <v>0.47222222222222227</v>
      </c>
      <c r="D125" s="218">
        <f>22+D122</f>
        <v>94</v>
      </c>
      <c r="E125" s="120" t="s">
        <v>110</v>
      </c>
      <c r="F125" s="238">
        <v>5.3699999999999998E-2</v>
      </c>
      <c r="G125" s="224">
        <v>5.0900000000000001E-2</v>
      </c>
      <c r="H125" s="69">
        <f>0.1692-F125</f>
        <v>0.11549999999999999</v>
      </c>
      <c r="I125" s="68">
        <f>0.1725-F125</f>
        <v>0.11879999999999999</v>
      </c>
      <c r="J125" s="68">
        <f>0.1246-G125</f>
        <v>7.3700000000000002E-2</v>
      </c>
      <c r="K125" s="68">
        <f>0.1267-G125</f>
        <v>7.5800000000000006E-2</v>
      </c>
      <c r="L125" s="267">
        <f t="shared" si="27"/>
        <v>1.1492949756888167E-2</v>
      </c>
      <c r="M125" s="267">
        <f t="shared" si="28"/>
        <v>1.1821880064829818E-2</v>
      </c>
      <c r="N125" s="68">
        <f t="shared" si="29"/>
        <v>1.1657414910858994E-2</v>
      </c>
      <c r="O125" s="68">
        <f>'Growth curves UTEX #1926'!F62</f>
        <v>0.89</v>
      </c>
      <c r="P125" s="68">
        <f t="shared" si="30"/>
        <v>1.1210440000000002</v>
      </c>
      <c r="Q125" s="99">
        <f>O125*0.125/1000</f>
        <v>1.1125000000000001E-4</v>
      </c>
      <c r="R125" s="100">
        <f t="shared" si="31"/>
        <v>52.392876003860643</v>
      </c>
      <c r="S125" s="101"/>
      <c r="V125" s="70">
        <f t="shared" si="32"/>
        <v>58.734719286871957</v>
      </c>
      <c r="W125" s="102"/>
      <c r="X125" s="70"/>
      <c r="Y125" s="70"/>
      <c r="Z125" s="70">
        <f t="shared" si="37"/>
        <v>0.54992612762509041</v>
      </c>
      <c r="AA125" s="102"/>
      <c r="AB125" s="103"/>
      <c r="AD125" s="87">
        <f>D152</f>
        <v>334</v>
      </c>
      <c r="AE125" s="70">
        <f>S154</f>
        <v>27.773342905705423</v>
      </c>
      <c r="AF125" s="70">
        <f>U154</f>
        <v>1.6565854855588127</v>
      </c>
      <c r="AG125" s="70">
        <f>W154</f>
        <v>108.49126598235189</v>
      </c>
      <c r="AH125" s="70">
        <f>Y154</f>
        <v>3.4165983910115667</v>
      </c>
    </row>
    <row r="126" spans="2:34" ht="15" customHeight="1" x14ac:dyDescent="0.2">
      <c r="B126" s="215"/>
      <c r="C126" s="198"/>
      <c r="D126" s="218"/>
      <c r="E126" s="120" t="s">
        <v>111</v>
      </c>
      <c r="F126" s="238"/>
      <c r="G126" s="224"/>
      <c r="H126" s="69">
        <f>0.1516-F125</f>
        <v>9.7900000000000015E-2</v>
      </c>
      <c r="I126" s="68">
        <f>0.1587-F125</f>
        <v>0.10500000000000001</v>
      </c>
      <c r="J126" s="68">
        <f>0.1082-G125</f>
        <v>5.7300000000000004E-2</v>
      </c>
      <c r="K126" s="68">
        <f>0.1137-G125</f>
        <v>6.2799999999999995E-2</v>
      </c>
      <c r="L126" s="267">
        <f t="shared" si="27"/>
        <v>1.0248541329011348E-2</v>
      </c>
      <c r="M126" s="267">
        <f t="shared" si="28"/>
        <v>1.0859967585089142E-2</v>
      </c>
      <c r="N126" s="68">
        <f t="shared" si="29"/>
        <v>1.0554254457050244E-2</v>
      </c>
      <c r="O126" s="58">
        <f>'Growth curves UTEX #1926'!G62</f>
        <v>0.64100000000000001</v>
      </c>
      <c r="P126" s="68">
        <f t="shared" si="30"/>
        <v>0.8074036</v>
      </c>
      <c r="Q126" s="99">
        <f>O126*0.25/1000</f>
        <v>1.6024999999999999E-4</v>
      </c>
      <c r="R126" s="100">
        <f t="shared" si="31"/>
        <v>32.930591129641947</v>
      </c>
      <c r="S126" s="101"/>
      <c r="V126" s="70">
        <f t="shared" si="32"/>
        <v>26.588277828200976</v>
      </c>
      <c r="W126" s="102"/>
      <c r="X126" s="70"/>
      <c r="Y126" s="70"/>
      <c r="Z126" s="70">
        <f>(V126-$V$114)/(D125-$D$113)</f>
        <v>0.19447026052622507</v>
      </c>
      <c r="AA126" s="102"/>
      <c r="AB126" s="103"/>
      <c r="AD126" s="87">
        <f>D155</f>
        <v>359</v>
      </c>
      <c r="AE126" s="70">
        <f>S157</f>
        <v>33.492206238951461</v>
      </c>
      <c r="AF126" s="70">
        <f>U157</f>
        <v>0.49588899542325821</v>
      </c>
      <c r="AG126" s="70">
        <f>W157</f>
        <v>136.6817035836485</v>
      </c>
      <c r="AH126" s="70">
        <f>Y157</f>
        <v>4.1809033216902529</v>
      </c>
    </row>
    <row r="127" spans="2:34" ht="15" customHeight="1" x14ac:dyDescent="0.2">
      <c r="B127" s="216"/>
      <c r="C127" s="199"/>
      <c r="D127" s="219"/>
      <c r="E127" s="151" t="s">
        <v>112</v>
      </c>
      <c r="F127" s="239"/>
      <c r="G127" s="225"/>
      <c r="H127" s="73">
        <f>0.1968-F125</f>
        <v>0.1431</v>
      </c>
      <c r="I127" s="74">
        <f>0.1837-F125</f>
        <v>0.13</v>
      </c>
      <c r="J127" s="74">
        <f>0.1442-G125</f>
        <v>9.3299999999999994E-2</v>
      </c>
      <c r="K127" s="74">
        <f>0.1328-G125</f>
        <v>8.1900000000000001E-2</v>
      </c>
      <c r="L127" s="267">
        <f t="shared" si="27"/>
        <v>1.4044327390599678E-2</v>
      </c>
      <c r="M127" s="267">
        <f t="shared" si="28"/>
        <v>1.3038978930307943E-2</v>
      </c>
      <c r="N127" s="74">
        <f t="shared" si="29"/>
        <v>1.3541653160453811E-2</v>
      </c>
      <c r="O127" s="71">
        <f>'Growth curves UTEX #1926'!H62</f>
        <v>0.73699999999999999</v>
      </c>
      <c r="P127" s="74">
        <f t="shared" si="30"/>
        <v>0.92832520000000007</v>
      </c>
      <c r="Q127" s="75">
        <f>O127*0.25/1000</f>
        <v>1.8425000000000001E-4</v>
      </c>
      <c r="R127" s="76">
        <f t="shared" si="31"/>
        <v>36.748041140987276</v>
      </c>
      <c r="S127" s="77">
        <f>AVERAGE(R125:R127)</f>
        <v>40.690502758163291</v>
      </c>
      <c r="T127" s="78">
        <f>STDEV(R125:R127)</f>
        <v>10.3127293105894</v>
      </c>
      <c r="U127" s="78">
        <f>T127/SQRT(3)</f>
        <v>5.9540570435485343</v>
      </c>
      <c r="V127" s="78">
        <f t="shared" si="32"/>
        <v>34.114132641815246</v>
      </c>
      <c r="W127" s="77">
        <f t="shared" si="34"/>
        <v>39.812376585629394</v>
      </c>
      <c r="X127" s="78">
        <f t="shared" si="35"/>
        <v>16.813712042447701</v>
      </c>
      <c r="Y127" s="78">
        <f t="shared" si="36"/>
        <v>9.7074011737840333</v>
      </c>
      <c r="Z127" s="78">
        <f>(V127-$V$115)/(D125-$D$113)</f>
        <v>0.29270461636608169</v>
      </c>
      <c r="AA127" s="77">
        <f t="shared" si="38"/>
        <v>0.34570033483913237</v>
      </c>
      <c r="AB127" s="135">
        <f t="shared" si="39"/>
        <v>0.10597740010037943</v>
      </c>
      <c r="AD127" s="87">
        <f>D158</f>
        <v>383</v>
      </c>
      <c r="AE127" s="70">
        <f>S160</f>
        <v>34.238654887069004</v>
      </c>
      <c r="AF127" s="70">
        <f>U160</f>
        <v>1.8633514034269001</v>
      </c>
      <c r="AG127" s="70">
        <f>W160</f>
        <v>140.55096344318389</v>
      </c>
      <c r="AH127" s="70">
        <f>Y160</f>
        <v>9.3180918861228239</v>
      </c>
    </row>
    <row r="128" spans="2:34" x14ac:dyDescent="0.2">
      <c r="B128" s="214" t="s">
        <v>13</v>
      </c>
      <c r="C128" s="197">
        <v>0.4375</v>
      </c>
      <c r="D128" s="218">
        <f>23+D125</f>
        <v>117</v>
      </c>
      <c r="E128" s="120" t="s">
        <v>110</v>
      </c>
      <c r="F128" s="238">
        <f>(0.0493+0.0476)/2</f>
        <v>4.845E-2</v>
      </c>
      <c r="G128" s="224">
        <f>(0.0481+0.0467)/2</f>
        <v>4.7399999999999998E-2</v>
      </c>
      <c r="H128" s="69">
        <f>0.1174-F128</f>
        <v>6.8950000000000011E-2</v>
      </c>
      <c r="I128" s="68">
        <f>0.198-F128</f>
        <v>0.14955000000000002</v>
      </c>
      <c r="J128" s="68">
        <f>0.086-G128</f>
        <v>3.8599999999999995E-2</v>
      </c>
      <c r="K128" s="68">
        <f>0.1672-G128</f>
        <v>0.11979999999999999</v>
      </c>
      <c r="L128" s="267">
        <f t="shared" si="27"/>
        <v>7.3901134521880086E-3</v>
      </c>
      <c r="M128" s="267">
        <f t="shared" si="28"/>
        <v>1.2491247974068077E-2</v>
      </c>
      <c r="N128" s="68">
        <f t="shared" si="29"/>
        <v>9.9406807131280431E-3</v>
      </c>
      <c r="O128" s="58">
        <f>'Growth curves UTEX #1926'!F63</f>
        <v>1.256</v>
      </c>
      <c r="P128" s="68">
        <f t="shared" si="30"/>
        <v>1.5820576000000002</v>
      </c>
      <c r="Q128" s="99">
        <f t="shared" ref="Q128:Q133" si="40">O128*0.1/1000</f>
        <v>1.2560000000000002E-4</v>
      </c>
      <c r="R128" s="100">
        <f t="shared" si="31"/>
        <v>39.572773539522458</v>
      </c>
      <c r="S128" s="101"/>
      <c r="V128" s="70">
        <f t="shared" si="32"/>
        <v>62.606407131280413</v>
      </c>
      <c r="W128" s="102"/>
      <c r="X128" s="70"/>
      <c r="Y128" s="70"/>
      <c r="Z128" s="70">
        <f t="shared" si="37"/>
        <v>0.47491234052279452</v>
      </c>
      <c r="AA128" s="102"/>
      <c r="AB128" s="103"/>
      <c r="AD128" s="87">
        <f>D161</f>
        <v>405.5</v>
      </c>
      <c r="AE128" s="70">
        <f>S163</f>
        <v>34.921307164545276</v>
      </c>
      <c r="AF128" s="70">
        <f>U163</f>
        <v>1.3297510193351705</v>
      </c>
      <c r="AG128" s="70">
        <f>W163</f>
        <v>147.66576625247617</v>
      </c>
      <c r="AH128" s="70">
        <f>Y163</f>
        <v>8.959142029228822</v>
      </c>
    </row>
    <row r="129" spans="2:34" x14ac:dyDescent="0.2">
      <c r="B129" s="215"/>
      <c r="C129" s="198"/>
      <c r="D129" s="218"/>
      <c r="E129" s="120" t="s">
        <v>111</v>
      </c>
      <c r="F129" s="238"/>
      <c r="G129" s="224"/>
      <c r="H129" s="69">
        <f>0.1834-F128</f>
        <v>0.13495000000000001</v>
      </c>
      <c r="I129" s="68">
        <f>0.1917-F128</f>
        <v>0.14325000000000002</v>
      </c>
      <c r="J129" s="68">
        <f>0.1521-G128</f>
        <v>0.10470000000000002</v>
      </c>
      <c r="K129" s="68">
        <f>0.1618-G128</f>
        <v>0.1144</v>
      </c>
      <c r="L129" s="267">
        <f t="shared" si="27"/>
        <v>1.1605591572123177E-2</v>
      </c>
      <c r="M129" s="267">
        <f t="shared" si="28"/>
        <v>1.1999675850891414E-2</v>
      </c>
      <c r="N129" s="68">
        <f t="shared" si="29"/>
        <v>1.1802633711507296E-2</v>
      </c>
      <c r="O129" s="58">
        <f>'Growth curves UTEX #1926'!G63</f>
        <v>0.94199999999999995</v>
      </c>
      <c r="P129" s="68">
        <f t="shared" si="30"/>
        <v>1.1865432</v>
      </c>
      <c r="Q129" s="99">
        <f t="shared" si="40"/>
        <v>9.4199999999999999E-5</v>
      </c>
      <c r="R129" s="100">
        <f t="shared" si="31"/>
        <v>62.646675751100297</v>
      </c>
      <c r="S129" s="101"/>
      <c r="V129" s="70">
        <f t="shared" si="32"/>
        <v>74.332987115072953</v>
      </c>
      <c r="W129" s="102"/>
      <c r="X129" s="70"/>
      <c r="Y129" s="70"/>
      <c r="Z129" s="70">
        <f>(V129-$V$114)/(D128-$D$113)</f>
        <v>0.56431550236185579</v>
      </c>
      <c r="AA129" s="102"/>
      <c r="AB129" s="103"/>
      <c r="AD129" s="87"/>
      <c r="AE129" s="70"/>
      <c r="AF129" s="70"/>
      <c r="AG129" s="70"/>
      <c r="AH129" s="70"/>
    </row>
    <row r="130" spans="2:34" x14ac:dyDescent="0.2">
      <c r="B130" s="216"/>
      <c r="C130" s="199"/>
      <c r="D130" s="219"/>
      <c r="E130" s="151" t="s">
        <v>112</v>
      </c>
      <c r="F130" s="239"/>
      <c r="G130" s="225"/>
      <c r="H130" s="73">
        <f>0.1486-F128</f>
        <v>0.10015000000000002</v>
      </c>
      <c r="I130" s="74">
        <f>0.1411-F128</f>
        <v>9.265000000000001E-2</v>
      </c>
      <c r="J130" s="74">
        <f>0.116-G128</f>
        <v>6.8600000000000008E-2</v>
      </c>
      <c r="K130" s="74">
        <f>0.1103-G128</f>
        <v>6.2899999999999998E-2</v>
      </c>
      <c r="L130" s="267">
        <f t="shared" si="27"/>
        <v>9.5051863857374408E-3</v>
      </c>
      <c r="M130" s="267">
        <f t="shared" si="28"/>
        <v>8.8485413290113474E-3</v>
      </c>
      <c r="N130" s="74">
        <f t="shared" si="29"/>
        <v>9.1768638573743941E-3</v>
      </c>
      <c r="O130" s="71">
        <f>'Growth curves UTEX #1926'!H63</f>
        <v>1.1339999999999999</v>
      </c>
      <c r="P130" s="74">
        <f t="shared" si="30"/>
        <v>1.4283863999999999</v>
      </c>
      <c r="Q130" s="75">
        <f t="shared" si="40"/>
        <v>1.1340000000000001E-4</v>
      </c>
      <c r="R130" s="76">
        <f t="shared" si="31"/>
        <v>40.462362686835952</v>
      </c>
      <c r="S130" s="77">
        <f>AVERAGE(R128:R130)</f>
        <v>47.560603992486229</v>
      </c>
      <c r="T130" s="78">
        <f>STDEV(R128:R130)</f>
        <v>13.072490697732182</v>
      </c>
      <c r="U130" s="78">
        <f>T130/SQRT(3)</f>
        <v>7.5474060233145543</v>
      </c>
      <c r="V130" s="78">
        <f t="shared" si="32"/>
        <v>57.79588857374393</v>
      </c>
      <c r="W130" s="77">
        <f t="shared" si="34"/>
        <v>64.911760940032437</v>
      </c>
      <c r="X130" s="78">
        <f t="shared" si="35"/>
        <v>8.5061683018296339</v>
      </c>
      <c r="Y130" s="78">
        <f t="shared" si="36"/>
        <v>4.9110385588336012</v>
      </c>
      <c r="Z130" s="78">
        <f>(V130-$V$115)/(D128-$D$113)</f>
        <v>0.43757256299436209</v>
      </c>
      <c r="AA130" s="77">
        <f t="shared" si="38"/>
        <v>0.49226680195967082</v>
      </c>
      <c r="AB130" s="135">
        <f t="shared" si="39"/>
        <v>3.7602420882619857E-2</v>
      </c>
    </row>
    <row r="131" spans="2:34" x14ac:dyDescent="0.2">
      <c r="B131" s="214" t="s">
        <v>30</v>
      </c>
      <c r="C131" s="197">
        <v>0.44722222222222219</v>
      </c>
      <c r="D131" s="217">
        <f>24+D128</f>
        <v>141</v>
      </c>
      <c r="E131" s="120" t="s">
        <v>110</v>
      </c>
      <c r="F131" s="238">
        <v>5.9400000000000001E-2</v>
      </c>
      <c r="G131" s="224">
        <v>5.7799999999999997E-2</v>
      </c>
      <c r="H131" s="69">
        <f>0.1845-F131</f>
        <v>0.12509999999999999</v>
      </c>
      <c r="I131" s="68">
        <f>0.2392-F131</f>
        <v>0.17979999999999999</v>
      </c>
      <c r="J131" s="68">
        <f>0.132-G131</f>
        <v>7.4200000000000016E-2</v>
      </c>
      <c r="K131" s="68">
        <f>0.1853-G131</f>
        <v>0.1275</v>
      </c>
      <c r="L131" s="267">
        <f t="shared" si="27"/>
        <v>1.2999837925445701E-2</v>
      </c>
      <c r="M131" s="267">
        <f t="shared" si="28"/>
        <v>1.6638978930307941E-2</v>
      </c>
      <c r="N131" s="68">
        <f t="shared" si="29"/>
        <v>1.481940842787682E-2</v>
      </c>
      <c r="O131" s="68">
        <f>'Growth curves UTEX #1926'!F64</f>
        <v>1.6639999999999999</v>
      </c>
      <c r="P131" s="68">
        <f t="shared" si="30"/>
        <v>2.0959743999999998</v>
      </c>
      <c r="Q131" s="99">
        <f t="shared" si="40"/>
        <v>1.6639999999999998E-4</v>
      </c>
      <c r="R131" s="100">
        <f t="shared" si="31"/>
        <v>44.52947243953372</v>
      </c>
      <c r="S131" s="101"/>
      <c r="V131" s="70">
        <f t="shared" si="32"/>
        <v>93.332634278768211</v>
      </c>
      <c r="W131" s="102"/>
      <c r="X131" s="70"/>
      <c r="Y131" s="70"/>
      <c r="Z131" s="70">
        <f t="shared" si="37"/>
        <v>0.61199270204719691</v>
      </c>
      <c r="AA131" s="102"/>
      <c r="AB131" s="103"/>
      <c r="AE131" s="70"/>
      <c r="AF131" s="70"/>
      <c r="AG131" s="70"/>
      <c r="AH131" s="70"/>
    </row>
    <row r="132" spans="2:34" x14ac:dyDescent="0.2">
      <c r="B132" s="215"/>
      <c r="C132" s="198"/>
      <c r="D132" s="218"/>
      <c r="E132" s="120" t="s">
        <v>111</v>
      </c>
      <c r="F132" s="238"/>
      <c r="G132" s="224"/>
      <c r="H132" s="69">
        <f>0.2196-F131</f>
        <v>0.16019999999999998</v>
      </c>
      <c r="I132" s="68">
        <f>0.2582-F131</f>
        <v>0.19879999999999998</v>
      </c>
      <c r="J132" s="68">
        <f>0.1694-G131</f>
        <v>0.1116</v>
      </c>
      <c r="K132" s="68">
        <f>0.2057-G131</f>
        <v>0.1479</v>
      </c>
      <c r="L132" s="267">
        <f t="shared" si="27"/>
        <v>1.5021393841166936E-2</v>
      </c>
      <c r="M132" s="267">
        <f t="shared" si="28"/>
        <v>1.7718071312803885E-2</v>
      </c>
      <c r="N132" s="68">
        <f t="shared" si="29"/>
        <v>1.6369732576985409E-2</v>
      </c>
      <c r="O132" s="68">
        <f>'Growth curves UTEX #1926'!G64</f>
        <v>1.3560000000000001</v>
      </c>
      <c r="P132" s="68">
        <f t="shared" si="30"/>
        <v>1.7080176000000002</v>
      </c>
      <c r="Q132" s="99">
        <f t="shared" si="40"/>
        <v>1.3560000000000002E-4</v>
      </c>
      <c r="R132" s="100">
        <f t="shared" si="31"/>
        <v>60.360370859090736</v>
      </c>
      <c r="S132" s="101"/>
      <c r="V132" s="70">
        <f t="shared" si="32"/>
        <v>103.09657576985411</v>
      </c>
      <c r="W132" s="102"/>
      <c r="X132" s="70"/>
      <c r="Y132" s="70"/>
      <c r="Z132" s="70">
        <f>(V132-$V$114)/(D131-$D$113)</f>
        <v>0.6722588824902006</v>
      </c>
      <c r="AA132" s="102"/>
      <c r="AB132" s="103"/>
      <c r="AE132" s="70"/>
      <c r="AF132" s="70"/>
      <c r="AG132" s="70"/>
      <c r="AH132" s="70"/>
    </row>
    <row r="133" spans="2:34" x14ac:dyDescent="0.2">
      <c r="B133" s="216"/>
      <c r="C133" s="199"/>
      <c r="D133" s="219"/>
      <c r="E133" s="151" t="s">
        <v>112</v>
      </c>
      <c r="F133" s="239"/>
      <c r="G133" s="225"/>
      <c r="H133" s="73">
        <f>0.189-F131</f>
        <v>0.12959999999999999</v>
      </c>
      <c r="I133" s="74">
        <f>0.2498-F131</f>
        <v>0.19039999999999999</v>
      </c>
      <c r="J133" s="74">
        <f>0.1361-G131</f>
        <v>7.8300000000000008E-2</v>
      </c>
      <c r="K133" s="74">
        <f>0.1945-G131</f>
        <v>0.13670000000000002</v>
      </c>
      <c r="L133" s="267">
        <f t="shared" si="27"/>
        <v>1.3327147487844406E-2</v>
      </c>
      <c r="M133" s="267">
        <f t="shared" si="28"/>
        <v>1.7454862236628847E-2</v>
      </c>
      <c r="N133" s="74">
        <f t="shared" si="29"/>
        <v>1.5391004862236626E-2</v>
      </c>
      <c r="O133" s="74">
        <f>'Growth curves UTEX #1926'!H64</f>
        <v>1.47</v>
      </c>
      <c r="P133" s="74">
        <f t="shared" si="30"/>
        <v>1.851612</v>
      </c>
      <c r="Q133" s="75">
        <f t="shared" si="40"/>
        <v>1.47E-4</v>
      </c>
      <c r="R133" s="76">
        <f t="shared" si="31"/>
        <v>52.350356674274238</v>
      </c>
      <c r="S133" s="77">
        <f>AVERAGE(R131:R133)</f>
        <v>52.413399990966234</v>
      </c>
      <c r="T133" s="78">
        <f>STDEV(R131:R133)</f>
        <v>7.9156375003797184</v>
      </c>
      <c r="U133" s="78">
        <f>T133/SQRT(3)</f>
        <v>4.570095441651727</v>
      </c>
      <c r="V133" s="78">
        <f t="shared" si="32"/>
        <v>96.932548622366269</v>
      </c>
      <c r="W133" s="77">
        <f t="shared" si="34"/>
        <v>97.787252890329526</v>
      </c>
      <c r="X133" s="78">
        <f t="shared" si="35"/>
        <v>4.9377654763661223</v>
      </c>
      <c r="Y133" s="78">
        <f t="shared" si="36"/>
        <v>2.8508202269752214</v>
      </c>
      <c r="Z133" s="78">
        <f>(V133-$V$115)/(D131-$D$113)</f>
        <v>0.64065709162384898</v>
      </c>
      <c r="AA133" s="77">
        <f t="shared" si="38"/>
        <v>0.64163622538708209</v>
      </c>
      <c r="AB133" s="135">
        <f t="shared" si="39"/>
        <v>1.7404234671403947E-2</v>
      </c>
    </row>
    <row r="134" spans="2:34" x14ac:dyDescent="0.2">
      <c r="B134" s="214" t="s">
        <v>32</v>
      </c>
      <c r="C134" s="197">
        <v>0.53472222222222221</v>
      </c>
      <c r="D134" s="217">
        <f>D131+50</f>
        <v>191</v>
      </c>
      <c r="E134" s="120" t="s">
        <v>110</v>
      </c>
      <c r="F134" s="238">
        <v>5.3699999999999998E-2</v>
      </c>
      <c r="G134" s="224">
        <v>5.1299999999999998E-2</v>
      </c>
      <c r="H134" s="69">
        <f>0.2467-F134</f>
        <v>0.193</v>
      </c>
      <c r="I134" s="68">
        <f>0.27-F134</f>
        <v>0.21630000000000002</v>
      </c>
      <c r="J134" s="68">
        <f>0.1608-G134</f>
        <v>0.1095</v>
      </c>
      <c r="K134" s="68">
        <f>0.1816-G134</f>
        <v>0.13030000000000003</v>
      </c>
      <c r="L134" s="267">
        <f t="shared" si="27"/>
        <v>2.0543354943273903E-2</v>
      </c>
      <c r="M134" s="267">
        <f t="shared" si="28"/>
        <v>2.2280145867098866E-2</v>
      </c>
      <c r="N134" s="68">
        <f t="shared" si="29"/>
        <v>2.1411750405186385E-2</v>
      </c>
      <c r="O134" s="58">
        <f>'Growth curves UTEX #1926'!F66</f>
        <v>2.3159999999999998</v>
      </c>
      <c r="P134" s="68">
        <f t="shared" si="30"/>
        <v>2.9172335999999999</v>
      </c>
      <c r="Q134" s="99">
        <f>P134*0.1/1000</f>
        <v>2.9172336E-4</v>
      </c>
      <c r="R134" s="100">
        <f t="shared" si="31"/>
        <v>36.698724444258396</v>
      </c>
      <c r="S134" s="101"/>
      <c r="V134" s="70">
        <f t="shared" si="32"/>
        <v>107.05875202593191</v>
      </c>
      <c r="W134" s="102"/>
      <c r="X134" s="70"/>
      <c r="Y134" s="70"/>
      <c r="Z134" s="70">
        <f t="shared" si="37"/>
        <v>0.52364967924512285</v>
      </c>
      <c r="AA134" s="102"/>
      <c r="AB134" s="103"/>
    </row>
    <row r="135" spans="2:34" x14ac:dyDescent="0.2">
      <c r="B135" s="215"/>
      <c r="C135" s="198"/>
      <c r="D135" s="218"/>
      <c r="E135" s="120" t="s">
        <v>111</v>
      </c>
      <c r="F135" s="238"/>
      <c r="G135" s="224"/>
      <c r="H135" s="69">
        <f>0.2017-F134</f>
        <v>0.14799999999999999</v>
      </c>
      <c r="I135" s="68">
        <f>0.2032-F134</f>
        <v>0.14949999999999999</v>
      </c>
      <c r="J135" s="68">
        <f>0.1336-G134</f>
        <v>8.2299999999999998E-2</v>
      </c>
      <c r="K135" s="68">
        <f>0.1342-G134</f>
        <v>8.2900000000000015E-2</v>
      </c>
      <c r="L135" s="267">
        <f t="shared" si="27"/>
        <v>1.5917098865478121E-2</v>
      </c>
      <c r="M135" s="267">
        <f t="shared" si="28"/>
        <v>1.6101377633711507E-2</v>
      </c>
      <c r="N135" s="68">
        <f t="shared" si="29"/>
        <v>1.6009238249594812E-2</v>
      </c>
      <c r="O135" s="58">
        <f>'Growth curves UTEX #1926'!G66</f>
        <v>1.8959999999999999</v>
      </c>
      <c r="P135" s="68">
        <f t="shared" si="30"/>
        <v>2.3882015999999999</v>
      </c>
      <c r="Q135" s="99">
        <f>P135*0.1/1000</f>
        <v>2.3882016E-4</v>
      </c>
      <c r="R135" s="100">
        <f t="shared" si="31"/>
        <v>33.51735098409366</v>
      </c>
      <c r="S135" s="101"/>
      <c r="V135" s="70">
        <f t="shared" si="32"/>
        <v>80.04619124797405</v>
      </c>
      <c r="W135" s="102"/>
      <c r="X135" s="70"/>
      <c r="Y135" s="70"/>
      <c r="Z135" s="70">
        <f>(V135-$V$114)/(D134-$D$113)</f>
        <v>0.37559224036250383</v>
      </c>
      <c r="AA135" s="102"/>
      <c r="AB135" s="103"/>
    </row>
    <row r="136" spans="2:34" x14ac:dyDescent="0.2">
      <c r="B136" s="216"/>
      <c r="C136" s="199"/>
      <c r="D136" s="219"/>
      <c r="E136" s="151" t="s">
        <v>112</v>
      </c>
      <c r="F136" s="239"/>
      <c r="G136" s="225"/>
      <c r="H136" s="73">
        <f>0.2808-F134</f>
        <v>0.2271</v>
      </c>
      <c r="I136" s="74">
        <f>0.2892-F134</f>
        <v>0.23550000000000001</v>
      </c>
      <c r="J136" s="74">
        <f>0.1939-G134</f>
        <v>0.1426</v>
      </c>
      <c r="K136" s="74">
        <f>0.2039-G134</f>
        <v>0.15260000000000001</v>
      </c>
      <c r="L136" s="267">
        <f t="shared" si="27"/>
        <v>2.2824473257698537E-2</v>
      </c>
      <c r="M136" s="267">
        <f t="shared" si="28"/>
        <v>2.3205348460291736E-2</v>
      </c>
      <c r="N136" s="74">
        <f t="shared" si="29"/>
        <v>2.3014910858995138E-2</v>
      </c>
      <c r="O136" s="74">
        <f>'Growth curves UTEX #1926'!H66</f>
        <v>2.12</v>
      </c>
      <c r="P136" s="74">
        <f t="shared" si="30"/>
        <v>2.6703520000000003</v>
      </c>
      <c r="Q136" s="75">
        <f>P136*0.1/1000</f>
        <v>2.6703520000000001E-4</v>
      </c>
      <c r="R136" s="76">
        <f t="shared" si="31"/>
        <v>43.093402777976721</v>
      </c>
      <c r="S136" s="77">
        <f>AVERAGE(R134:R136)</f>
        <v>37.769826068776261</v>
      </c>
      <c r="T136" s="78">
        <f>STDEV(R134:R136)</f>
        <v>4.8770519791484732</v>
      </c>
      <c r="U136" s="78">
        <f>T136/SQRT(3)</f>
        <v>2.8157672730131682</v>
      </c>
      <c r="V136" s="78">
        <f t="shared" si="32"/>
        <v>115.0745542949757</v>
      </c>
      <c r="W136" s="77">
        <f t="shared" si="34"/>
        <v>100.72649918962723</v>
      </c>
      <c r="X136" s="78">
        <f t="shared" si="35"/>
        <v>18.352646237676542</v>
      </c>
      <c r="Y136" s="78">
        <f t="shared" si="36"/>
        <v>10.595905245664524</v>
      </c>
      <c r="Z136" s="78">
        <f>(V136-$V$115)/(D134-$D$113)</f>
        <v>0.56793013398728864</v>
      </c>
      <c r="AA136" s="77">
        <f t="shared" si="38"/>
        <v>0.48905735119830512</v>
      </c>
      <c r="AB136" s="135">
        <f t="shared" si="39"/>
        <v>5.815478828316361E-2</v>
      </c>
    </row>
    <row r="137" spans="2:34" x14ac:dyDescent="0.2">
      <c r="B137" s="215" t="s">
        <v>33</v>
      </c>
      <c r="C137" s="198">
        <v>0.47916666666666669</v>
      </c>
      <c r="D137" s="218">
        <f>22.5+D134</f>
        <v>213.5</v>
      </c>
      <c r="E137" s="120" t="s">
        <v>110</v>
      </c>
      <c r="F137" s="238">
        <f>(0.0566+0.0558)/2</f>
        <v>5.62E-2</v>
      </c>
      <c r="G137" s="224">
        <f>(0.055+0.0549)/2</f>
        <v>5.4949999999999999E-2</v>
      </c>
      <c r="H137" s="69">
        <f>0.2105-F137</f>
        <v>0.15429999999999999</v>
      </c>
      <c r="I137" s="68">
        <f>0.2331-F137</f>
        <v>0.1769</v>
      </c>
      <c r="J137" s="68">
        <f>0.1456-G137</f>
        <v>9.0650000000000008E-2</v>
      </c>
      <c r="K137" s="68">
        <f>0.1679-G137</f>
        <v>0.11294999999999999</v>
      </c>
      <c r="L137" s="267">
        <f t="shared" si="27"/>
        <v>1.6119408427876819E-2</v>
      </c>
      <c r="M137" s="267">
        <f t="shared" si="28"/>
        <v>1.7595664505672608E-2</v>
      </c>
      <c r="N137" s="68">
        <f t="shared" si="29"/>
        <v>1.6857536466774715E-2</v>
      </c>
      <c r="O137" s="58">
        <f>'Growth curves UTEX #1926'!F67</f>
        <v>2.3580000000000001</v>
      </c>
      <c r="P137" s="68">
        <f t="shared" si="30"/>
        <v>2.9701368000000001</v>
      </c>
      <c r="Q137" s="99">
        <f t="shared" ref="Q137:Q142" si="41">P137*0.1/1000</f>
        <v>2.9701367999999999E-4</v>
      </c>
      <c r="R137" s="100">
        <f t="shared" si="31"/>
        <v>28.378383895944989</v>
      </c>
      <c r="S137" s="101"/>
      <c r="V137" s="70">
        <f t="shared" si="32"/>
        <v>84.28768233387359</v>
      </c>
      <c r="W137" s="102"/>
      <c r="X137" s="70"/>
      <c r="Y137" s="70"/>
      <c r="Z137" s="70">
        <f t="shared" si="37"/>
        <v>0.36180805172721381</v>
      </c>
      <c r="AA137" s="102"/>
      <c r="AB137" s="103"/>
    </row>
    <row r="138" spans="2:34" x14ac:dyDescent="0.2">
      <c r="B138" s="215"/>
      <c r="C138" s="198"/>
      <c r="D138" s="218"/>
      <c r="E138" s="120" t="s">
        <v>111</v>
      </c>
      <c r="F138" s="238"/>
      <c r="G138" s="224"/>
      <c r="H138" s="69">
        <f>0.2623-F137</f>
        <v>0.20609999999999998</v>
      </c>
      <c r="I138" s="68">
        <f>0.2812-F137</f>
        <v>0.22500000000000001</v>
      </c>
      <c r="J138" s="68">
        <f>0.1741-G137</f>
        <v>0.11915000000000001</v>
      </c>
      <c r="K138" s="68">
        <f>0.191-G137</f>
        <v>0.13605</v>
      </c>
      <c r="L138" s="267">
        <f t="shared" si="27"/>
        <v>2.1720299837925443E-2</v>
      </c>
      <c r="M138" s="267">
        <f t="shared" si="28"/>
        <v>2.3126377633711507E-2</v>
      </c>
      <c r="N138" s="68">
        <f t="shared" si="29"/>
        <v>2.2423338735818477E-2</v>
      </c>
      <c r="O138" s="58">
        <f>'Growth curves UTEX #1926'!G67</f>
        <v>2.2240000000000002</v>
      </c>
      <c r="P138" s="68">
        <f t="shared" si="30"/>
        <v>2.8013504000000005</v>
      </c>
      <c r="Q138" s="99">
        <f t="shared" si="41"/>
        <v>2.8013504000000004E-4</v>
      </c>
      <c r="R138" s="100">
        <f t="shared" si="31"/>
        <v>40.022374094683897</v>
      </c>
      <c r="S138" s="101"/>
      <c r="V138" s="70">
        <f t="shared" si="32"/>
        <v>112.11669367909239</v>
      </c>
      <c r="W138" s="102"/>
      <c r="X138" s="70"/>
      <c r="Y138" s="70"/>
      <c r="Z138" s="70">
        <f>(V138-$V$114)/(D137-$D$113)</f>
        <v>0.48622304609066308</v>
      </c>
      <c r="AA138" s="102"/>
      <c r="AB138" s="103"/>
    </row>
    <row r="139" spans="2:34" x14ac:dyDescent="0.2">
      <c r="B139" s="216"/>
      <c r="C139" s="199"/>
      <c r="D139" s="219"/>
      <c r="E139" s="151" t="s">
        <v>112</v>
      </c>
      <c r="F139" s="239"/>
      <c r="G139" s="225"/>
      <c r="H139" s="73">
        <f>0.2758-F137</f>
        <v>0.21959999999999999</v>
      </c>
      <c r="I139" s="74">
        <f>0.2855-F137</f>
        <v>0.22929999999999998</v>
      </c>
      <c r="J139" s="74">
        <f>0.1959-G137</f>
        <v>0.14094999999999999</v>
      </c>
      <c r="K139" s="74">
        <f>0.2028-G137</f>
        <v>0.14785000000000001</v>
      </c>
      <c r="L139" s="267">
        <f t="shared" si="27"/>
        <v>2.1770705024311183E-2</v>
      </c>
      <c r="M139" s="267">
        <f t="shared" si="28"/>
        <v>2.2666247974068066E-2</v>
      </c>
      <c r="N139" s="74">
        <f t="shared" si="29"/>
        <v>2.2218476499189625E-2</v>
      </c>
      <c r="O139" s="71">
        <f>'Growth curves UTEX #1926'!H67</f>
        <v>2.2839999999999998</v>
      </c>
      <c r="P139" s="74">
        <f t="shared" si="30"/>
        <v>2.8769263999999999</v>
      </c>
      <c r="Q139" s="75">
        <f t="shared" si="41"/>
        <v>2.8769263999999997E-4</v>
      </c>
      <c r="R139" s="76">
        <f t="shared" si="31"/>
        <v>38.614954659927392</v>
      </c>
      <c r="S139" s="77">
        <f>AVERAGE(R137:R139)</f>
        <v>35.671904216852091</v>
      </c>
      <c r="T139" s="78">
        <f>STDEV(R137:R139)</f>
        <v>6.3554532780869355</v>
      </c>
      <c r="U139" s="78">
        <f>T139/SQRT(3)</f>
        <v>3.669322660925582</v>
      </c>
      <c r="V139" s="78">
        <f t="shared" si="32"/>
        <v>111.09238249594813</v>
      </c>
      <c r="W139" s="77">
        <f t="shared" si="34"/>
        <v>102.49891950297138</v>
      </c>
      <c r="X139" s="78">
        <f t="shared" si="35"/>
        <v>15.779707626310005</v>
      </c>
      <c r="Y139" s="78">
        <f t="shared" si="36"/>
        <v>9.1104184457836723</v>
      </c>
      <c r="Z139" s="78">
        <f>(V139-$V$115)/(D137-$D$113)</f>
        <v>0.48942615359505648</v>
      </c>
      <c r="AA139" s="77">
        <f t="shared" si="38"/>
        <v>0.44581908380431107</v>
      </c>
      <c r="AB139" s="135">
        <f t="shared" si="39"/>
        <v>4.2015691939304219E-2</v>
      </c>
    </row>
    <row r="140" spans="2:34" x14ac:dyDescent="0.2">
      <c r="B140" s="215" t="s">
        <v>34</v>
      </c>
      <c r="C140" s="198">
        <v>0.4375</v>
      </c>
      <c r="D140" s="218">
        <f>23+D137</f>
        <v>236.5</v>
      </c>
      <c r="E140" s="120" t="s">
        <v>110</v>
      </c>
      <c r="F140" s="238">
        <f>(0.0488+0.0544)/2</f>
        <v>5.16E-2</v>
      </c>
      <c r="G140" s="224">
        <f>(0.0522+0.0455)/2</f>
        <v>4.8850000000000005E-2</v>
      </c>
      <c r="H140" s="69">
        <f>0.2597-F140</f>
        <v>0.20809999999999998</v>
      </c>
      <c r="I140" s="68">
        <f>0.2738-F140</f>
        <v>0.22219999999999998</v>
      </c>
      <c r="J140" s="68">
        <f>0.1659-G140</f>
        <v>0.11704999999999999</v>
      </c>
      <c r="K140" s="68">
        <f>0.1768-G140</f>
        <v>0.12795000000000001</v>
      </c>
      <c r="L140" s="267">
        <f t="shared" si="27"/>
        <v>2.2250364667747161E-2</v>
      </c>
      <c r="M140" s="267">
        <f t="shared" si="28"/>
        <v>2.3466815235008102E-2</v>
      </c>
      <c r="N140" s="68">
        <f t="shared" si="29"/>
        <v>2.2858589951377632E-2</v>
      </c>
      <c r="O140" s="58">
        <f>'Growth curves UTEX #1926'!F68</f>
        <v>2.516</v>
      </c>
      <c r="P140" s="68">
        <f t="shared" si="30"/>
        <v>3.1691536</v>
      </c>
      <c r="Q140" s="99">
        <f t="shared" si="41"/>
        <v>3.1691536000000005E-4</v>
      </c>
      <c r="R140" s="100">
        <f t="shared" si="31"/>
        <v>36.064187534768948</v>
      </c>
      <c r="S140" s="101"/>
      <c r="V140" s="70">
        <f t="shared" si="32"/>
        <v>114.29294975688813</v>
      </c>
      <c r="W140" s="102"/>
      <c r="X140" s="70"/>
      <c r="Y140" s="70"/>
      <c r="Z140" s="70">
        <f t="shared" si="37"/>
        <v>0.4534938116988359</v>
      </c>
      <c r="AA140" s="102"/>
      <c r="AB140" s="103"/>
    </row>
    <row r="141" spans="2:34" x14ac:dyDescent="0.2">
      <c r="B141" s="215"/>
      <c r="C141" s="198"/>
      <c r="D141" s="218"/>
      <c r="E141" s="120" t="s">
        <v>111</v>
      </c>
      <c r="F141" s="238"/>
      <c r="G141" s="224"/>
      <c r="H141" s="69">
        <f>0.2571-F140</f>
        <v>0.20549999999999999</v>
      </c>
      <c r="I141" s="68">
        <f>0.2672-F140</f>
        <v>0.21559999999999999</v>
      </c>
      <c r="J141" s="68">
        <f>0.1687-G140</f>
        <v>0.11984999999999998</v>
      </c>
      <c r="K141" s="68">
        <f>0.1756-G140</f>
        <v>0.12675</v>
      </c>
      <c r="L141" s="267">
        <f t="shared" si="27"/>
        <v>2.1554416531604538E-2</v>
      </c>
      <c r="M141" s="267">
        <f t="shared" si="28"/>
        <v>2.2514789303079416E-2</v>
      </c>
      <c r="N141" s="68">
        <f t="shared" si="29"/>
        <v>2.2034602917341977E-2</v>
      </c>
      <c r="O141" s="58">
        <f>'Growth curves UTEX #1926'!G68</f>
        <v>2.2879999999999998</v>
      </c>
      <c r="P141" s="68">
        <f t="shared" si="30"/>
        <v>2.8819648</v>
      </c>
      <c r="Q141" s="99">
        <f t="shared" si="41"/>
        <v>2.8819648000000004E-4</v>
      </c>
      <c r="R141" s="100">
        <f t="shared" si="31"/>
        <v>38.228438663341713</v>
      </c>
      <c r="S141" s="101"/>
      <c r="V141" s="70">
        <f t="shared" si="32"/>
        <v>110.17301458670987</v>
      </c>
      <c r="W141" s="102"/>
      <c r="X141" s="70"/>
      <c r="Y141" s="70"/>
      <c r="Z141" s="70">
        <f>(V141-$V$114)/(D140-$D$113)</f>
        <v>0.43071856764471056</v>
      </c>
      <c r="AA141" s="102"/>
      <c r="AB141" s="103"/>
    </row>
    <row r="142" spans="2:34" x14ac:dyDescent="0.2">
      <c r="B142" s="216"/>
      <c r="C142" s="199"/>
      <c r="D142" s="219"/>
      <c r="E142" s="151" t="s">
        <v>112</v>
      </c>
      <c r="F142" s="239"/>
      <c r="G142" s="225"/>
      <c r="H142" s="73">
        <f>0.2299-F140</f>
        <v>0.17829999999999999</v>
      </c>
      <c r="I142" s="74">
        <f>0.2406-F140</f>
        <v>0.189</v>
      </c>
      <c r="J142" s="74">
        <f>0.1558-G140</f>
        <v>0.10694999999999999</v>
      </c>
      <c r="K142" s="74">
        <f>0.163-G140</f>
        <v>0.11415</v>
      </c>
      <c r="L142" s="267">
        <f t="shared" si="27"/>
        <v>1.8410899513776335E-2</v>
      </c>
      <c r="M142" s="267">
        <f t="shared" si="28"/>
        <v>1.9439100486223663E-2</v>
      </c>
      <c r="N142" s="74">
        <f t="shared" si="29"/>
        <v>1.8924999999999997E-2</v>
      </c>
      <c r="O142" s="71">
        <f>'Growth curves UTEX #1926'!H68</f>
        <v>2.6080000000000001</v>
      </c>
      <c r="P142" s="74">
        <f t="shared" si="30"/>
        <v>3.2850368000000003</v>
      </c>
      <c r="Q142" s="75">
        <f t="shared" si="41"/>
        <v>3.2850368000000006E-4</v>
      </c>
      <c r="R142" s="76">
        <f t="shared" si="31"/>
        <v>28.80485235355658</v>
      </c>
      <c r="S142" s="77">
        <f>AVERAGE(R140:R142)</f>
        <v>34.365826183889084</v>
      </c>
      <c r="T142" s="78">
        <f>STDEV(R140:R142)</f>
        <v>4.93602250735489</v>
      </c>
      <c r="U142" s="78">
        <f>T142/SQRT(3)</f>
        <v>2.8498139233473974</v>
      </c>
      <c r="V142" s="78">
        <f t="shared" si="32"/>
        <v>94.624999999999986</v>
      </c>
      <c r="W142" s="77">
        <f t="shared" si="34"/>
        <v>106.36365478119933</v>
      </c>
      <c r="X142" s="78">
        <f t="shared" si="35"/>
        <v>10.372583019949689</v>
      </c>
      <c r="Y142" s="78">
        <f t="shared" si="36"/>
        <v>5.9886135987596942</v>
      </c>
      <c r="Z142" s="78">
        <f>(V142-$V$115)/(D140-$D$113)</f>
        <v>0.37219915981647533</v>
      </c>
      <c r="AA142" s="77">
        <f t="shared" si="38"/>
        <v>0.41880384638667395</v>
      </c>
      <c r="AB142" s="135">
        <f t="shared" si="39"/>
        <v>2.4212087498885621E-2</v>
      </c>
    </row>
    <row r="143" spans="2:34" x14ac:dyDescent="0.2">
      <c r="B143" s="215" t="s">
        <v>35</v>
      </c>
      <c r="C143" s="198">
        <v>0.44444444444444442</v>
      </c>
      <c r="D143" s="218">
        <f>24+D140</f>
        <v>260.5</v>
      </c>
      <c r="E143" s="120" t="s">
        <v>110</v>
      </c>
      <c r="F143" s="238">
        <f>F140</f>
        <v>5.16E-2</v>
      </c>
      <c r="G143" s="224">
        <f>G140</f>
        <v>4.8850000000000005E-2</v>
      </c>
      <c r="H143" s="69">
        <f>0.1873-F143</f>
        <v>0.13569999999999999</v>
      </c>
      <c r="I143" s="68">
        <f>0.2048-F143</f>
        <v>0.1532</v>
      </c>
      <c r="J143" s="68">
        <f>0.1394-G143</f>
        <v>9.0549999999999992E-2</v>
      </c>
      <c r="K143" s="68">
        <f>0.155-G143</f>
        <v>0.10614999999999999</v>
      </c>
      <c r="L143" s="267">
        <f t="shared" si="27"/>
        <v>1.3114627228525121E-2</v>
      </c>
      <c r="M143" s="267">
        <f t="shared" si="28"/>
        <v>1.4421272285251217E-2</v>
      </c>
      <c r="N143" s="68">
        <f t="shared" si="29"/>
        <v>1.3767949756888168E-2</v>
      </c>
      <c r="O143" s="58">
        <f>'Growth curves UTEX #1926'!F69</f>
        <v>2.7919999999999998</v>
      </c>
      <c r="P143" s="68">
        <f t="shared" si="30"/>
        <v>3.5168032</v>
      </c>
      <c r="Q143" s="99">
        <f t="shared" ref="Q143:Q163" si="42">P143*0.075/1000</f>
        <v>2.6376024E-4</v>
      </c>
      <c r="R143" s="100">
        <f t="shared" si="31"/>
        <v>26.099365387459777</v>
      </c>
      <c r="S143" s="101"/>
      <c r="V143" s="70">
        <f t="shared" si="32"/>
        <v>91.786331712587781</v>
      </c>
      <c r="W143" s="102"/>
      <c r="X143" s="70"/>
      <c r="Y143" s="70"/>
      <c r="Z143" s="70">
        <f t="shared" si="37"/>
        <v>0.3253154258060435</v>
      </c>
      <c r="AA143" s="102"/>
      <c r="AB143" s="103"/>
    </row>
    <row r="144" spans="2:34" x14ac:dyDescent="0.2">
      <c r="B144" s="215"/>
      <c r="C144" s="198"/>
      <c r="D144" s="218"/>
      <c r="E144" s="120" t="s">
        <v>111</v>
      </c>
      <c r="F144" s="238"/>
      <c r="G144" s="224"/>
      <c r="H144" s="69">
        <f>0.2114-F143</f>
        <v>0.1598</v>
      </c>
      <c r="I144" s="68">
        <f>0.2079-F143</f>
        <v>0.15629999999999999</v>
      </c>
      <c r="J144" s="68">
        <f>0.1416-G143</f>
        <v>9.2749999999999999E-2</v>
      </c>
      <c r="K144" s="68">
        <f>0.1415-G143</f>
        <v>9.2649999999999982E-2</v>
      </c>
      <c r="L144" s="267">
        <f t="shared" si="27"/>
        <v>1.6804902755267425E-2</v>
      </c>
      <c r="M144" s="267">
        <f t="shared" si="28"/>
        <v>1.6247447325769857E-2</v>
      </c>
      <c r="N144" s="68">
        <f t="shared" si="29"/>
        <v>1.6526175040518641E-2</v>
      </c>
      <c r="O144" s="58">
        <f>'Growth curves UTEX #1926'!G69</f>
        <v>2.536</v>
      </c>
      <c r="P144" s="68">
        <f t="shared" si="30"/>
        <v>3.1943456000000001</v>
      </c>
      <c r="Q144" s="99">
        <f t="shared" si="42"/>
        <v>2.3957591999999999E-4</v>
      </c>
      <c r="R144" s="100">
        <f t="shared" si="31"/>
        <v>34.490476005515582</v>
      </c>
      <c r="S144" s="101"/>
      <c r="V144" s="70">
        <f t="shared" si="32"/>
        <v>110.17450027012428</v>
      </c>
      <c r="W144" s="102"/>
      <c r="X144" s="70"/>
      <c r="Y144" s="70"/>
      <c r="Z144" s="70">
        <f>(V144-$V$114)/(D143-$D$113)</f>
        <v>0.39104194599381364</v>
      </c>
      <c r="AA144" s="102"/>
      <c r="AB144" s="103"/>
    </row>
    <row r="145" spans="2:28" x14ac:dyDescent="0.2">
      <c r="B145" s="216"/>
      <c r="C145" s="199"/>
      <c r="D145" s="219"/>
      <c r="E145" s="151" t="s">
        <v>112</v>
      </c>
      <c r="F145" s="239"/>
      <c r="G145" s="225"/>
      <c r="H145" s="73">
        <f>0.2169-F143</f>
        <v>0.1653</v>
      </c>
      <c r="I145" s="74">
        <f>0.2277-F143</f>
        <v>0.17610000000000001</v>
      </c>
      <c r="J145" s="74">
        <f>0.1756-G143</f>
        <v>0.12675</v>
      </c>
      <c r="K145" s="74">
        <f>0.1848-G143</f>
        <v>0.13594999999999999</v>
      </c>
      <c r="L145" s="267">
        <f t="shared" si="27"/>
        <v>1.4362439222042141E-2</v>
      </c>
      <c r="M145" s="267">
        <f t="shared" si="28"/>
        <v>1.5210737439222044E-2</v>
      </c>
      <c r="N145" s="74">
        <f t="shared" si="29"/>
        <v>1.4786588330632093E-2</v>
      </c>
      <c r="O145" s="71">
        <f>'Growth curves UTEX #1926'!H69</f>
        <v>2.8679999999999999</v>
      </c>
      <c r="P145" s="74">
        <f t="shared" si="30"/>
        <v>3.6125327999999999</v>
      </c>
      <c r="Q145" s="75">
        <f t="shared" si="42"/>
        <v>2.7093996E-4</v>
      </c>
      <c r="R145" s="76">
        <f t="shared" si="31"/>
        <v>27.287573842249206</v>
      </c>
      <c r="S145" s="77">
        <f>AVERAGE(R143:R145)</f>
        <v>29.292471745074852</v>
      </c>
      <c r="T145" s="78">
        <f>STDEV(R143:R145)</f>
        <v>4.5406382868136799</v>
      </c>
      <c r="U145" s="78">
        <f>T145/SQRT(3)</f>
        <v>2.6215387371845993</v>
      </c>
      <c r="V145" s="78">
        <f t="shared" si="32"/>
        <v>98.577255537547273</v>
      </c>
      <c r="W145" s="77">
        <f t="shared" si="34"/>
        <v>100.17936250675312</v>
      </c>
      <c r="X145" s="78">
        <f t="shared" si="35"/>
        <v>9.2981850799323702</v>
      </c>
      <c r="Y145" s="78">
        <f t="shared" si="36"/>
        <v>5.3683096588739163</v>
      </c>
      <c r="Z145" s="78">
        <f>(V145-$V$115)/(D143-$D$113)</f>
        <v>0.35308006462243263</v>
      </c>
      <c r="AA145" s="77">
        <f t="shared" si="38"/>
        <v>0.35647914547409659</v>
      </c>
      <c r="AB145" s="135">
        <f t="shared" si="39"/>
        <v>1.9049577221690522E-2</v>
      </c>
    </row>
    <row r="146" spans="2:28" x14ac:dyDescent="0.2">
      <c r="B146" s="215" t="s">
        <v>36</v>
      </c>
      <c r="C146" s="198">
        <v>0.44097222222222227</v>
      </c>
      <c r="D146" s="218">
        <f>48+D140</f>
        <v>284.5</v>
      </c>
      <c r="E146" s="120" t="s">
        <v>110</v>
      </c>
      <c r="F146" s="238">
        <f>(0.0585+0.0528+0.0569)/3</f>
        <v>5.6066666666666674E-2</v>
      </c>
      <c r="G146" s="224">
        <f>(0.0574+0.0504+0.055)/3</f>
        <v>5.4266666666666664E-2</v>
      </c>
      <c r="H146" s="69">
        <f>0.2447-F146</f>
        <v>0.18863333333333332</v>
      </c>
      <c r="I146" s="68">
        <f>0.2291-F146</f>
        <v>0.17303333333333332</v>
      </c>
      <c r="J146" s="68">
        <f>0.1949-G146</f>
        <v>0.14063333333333333</v>
      </c>
      <c r="K146" s="68">
        <f>0.1785-G146</f>
        <v>0.12423333333333333</v>
      </c>
      <c r="L146" s="267">
        <f t="shared" si="27"/>
        <v>1.6782847109670446E-2</v>
      </c>
      <c r="M146" s="267">
        <f t="shared" si="28"/>
        <v>1.5862587790383575E-2</v>
      </c>
      <c r="N146" s="68">
        <f t="shared" si="29"/>
        <v>1.6322717450027009E-2</v>
      </c>
      <c r="O146" s="58">
        <f>'Growth curves UTEX #1926'!F70</f>
        <v>2.956</v>
      </c>
      <c r="P146" s="68">
        <f t="shared" si="30"/>
        <v>3.7233776000000001</v>
      </c>
      <c r="Q146" s="99">
        <f t="shared" si="42"/>
        <v>2.7925331999999995E-4</v>
      </c>
      <c r="R146" s="100">
        <f t="shared" si="31"/>
        <v>29.225646180369516</v>
      </c>
      <c r="S146" s="101"/>
      <c r="V146" s="70">
        <f t="shared" si="32"/>
        <v>108.81811633351342</v>
      </c>
      <c r="W146" s="102"/>
      <c r="X146" s="70"/>
      <c r="Y146" s="70"/>
      <c r="Z146" s="70">
        <f t="shared" si="37"/>
        <v>0.35773797203304031</v>
      </c>
      <c r="AA146" s="102"/>
      <c r="AB146" s="103"/>
    </row>
    <row r="147" spans="2:28" x14ac:dyDescent="0.2">
      <c r="B147" s="215"/>
      <c r="C147" s="198"/>
      <c r="D147" s="218"/>
      <c r="E147" s="120" t="s">
        <v>111</v>
      </c>
      <c r="F147" s="238"/>
      <c r="G147" s="224"/>
      <c r="H147" s="69">
        <f>0.2243-F146</f>
        <v>0.16823333333333332</v>
      </c>
      <c r="I147" s="68">
        <f>0.2151-F146</f>
        <v>0.15903333333333333</v>
      </c>
      <c r="J147" s="68">
        <f>0.1637-G146</f>
        <v>0.10943333333333335</v>
      </c>
      <c r="K147" s="68">
        <f>0.1548-G146</f>
        <v>0.10053333333333334</v>
      </c>
      <c r="L147" s="267">
        <f t="shared" si="27"/>
        <v>1.6535845488924901E-2</v>
      </c>
      <c r="M147" s="267">
        <f t="shared" si="28"/>
        <v>1.5917450027012427E-2</v>
      </c>
      <c r="N147" s="68">
        <f t="shared" si="29"/>
        <v>1.6226647757968664E-2</v>
      </c>
      <c r="O147" s="70">
        <f>'Growth curves UTEX #1926'!G70</f>
        <v>2.8</v>
      </c>
      <c r="P147" s="68">
        <f t="shared" si="30"/>
        <v>3.5268799999999998</v>
      </c>
      <c r="Q147" s="99">
        <f t="shared" si="42"/>
        <v>2.6451599999999996E-4</v>
      </c>
      <c r="R147" s="100">
        <f t="shared" si="31"/>
        <v>30.672336943641721</v>
      </c>
      <c r="S147" s="101"/>
      <c r="V147" s="70">
        <f t="shared" si="32"/>
        <v>108.1776517197911</v>
      </c>
      <c r="W147" s="102"/>
      <c r="X147" s="70"/>
      <c r="Y147" s="70"/>
      <c r="Z147" s="70">
        <f>(V147-$V$114)/(D146-$D$113)</f>
        <v>0.35103542488947376</v>
      </c>
      <c r="AA147" s="102"/>
      <c r="AB147" s="103"/>
    </row>
    <row r="148" spans="2:28" x14ac:dyDescent="0.2">
      <c r="B148" s="216"/>
      <c r="C148" s="199"/>
      <c r="D148" s="219"/>
      <c r="E148" s="151" t="s">
        <v>112</v>
      </c>
      <c r="F148" s="239"/>
      <c r="G148" s="225"/>
      <c r="H148" s="73">
        <f>0.2165-F146</f>
        <v>0.16043333333333332</v>
      </c>
      <c r="I148" s="74">
        <f>0.2068-F146</f>
        <v>0.15073333333333333</v>
      </c>
      <c r="J148" s="74">
        <f>0.1566-G146</f>
        <v>0.10233333333333333</v>
      </c>
      <c r="K148" s="74">
        <f>0.1471-G146</f>
        <v>9.2833333333333351E-2</v>
      </c>
      <c r="L148" s="267">
        <f t="shared" si="27"/>
        <v>1.596785521339816E-2</v>
      </c>
      <c r="M148" s="267">
        <f t="shared" si="28"/>
        <v>1.5327255537547269E-2</v>
      </c>
      <c r="N148" s="74">
        <f t="shared" si="29"/>
        <v>1.5647555375472716E-2</v>
      </c>
      <c r="O148" s="71">
        <f>'Growth curves UTEX #1926'!H70</f>
        <v>2.8479999999999999</v>
      </c>
      <c r="P148" s="74">
        <f t="shared" si="30"/>
        <v>3.5873407999999998</v>
      </c>
      <c r="Q148" s="75">
        <f t="shared" si="42"/>
        <v>2.6905055999999999E-4</v>
      </c>
      <c r="R148" s="76">
        <f t="shared" si="31"/>
        <v>29.079209824861017</v>
      </c>
      <c r="S148" s="77">
        <f>AVERAGE(R146:R148)</f>
        <v>29.659064316290749</v>
      </c>
      <c r="T148" s="78">
        <f>STDEV(R146:R148)</f>
        <v>0.88056911401530846</v>
      </c>
      <c r="U148" s="78">
        <f>T148/SQRT(3)</f>
        <v>0.50839681501680867</v>
      </c>
      <c r="V148" s="78">
        <f t="shared" si="32"/>
        <v>104.31703583648478</v>
      </c>
      <c r="W148" s="77">
        <f t="shared" si="34"/>
        <v>107.1042679632631</v>
      </c>
      <c r="X148" s="78">
        <f t="shared" si="35"/>
        <v>2.4349632290378675</v>
      </c>
      <c r="Y148" s="78">
        <f t="shared" si="36"/>
        <v>1.4058266757518534</v>
      </c>
      <c r="Z148" s="78">
        <f>(V148-$V$115)/(D146-$D$113)</f>
        <v>0.34346972630257017</v>
      </c>
      <c r="AA148" s="77">
        <f t="shared" si="38"/>
        <v>0.35074770774169473</v>
      </c>
      <c r="AB148" s="135">
        <f t="shared" si="39"/>
        <v>4.1213992334365613E-3</v>
      </c>
    </row>
    <row r="149" spans="2:28" x14ac:dyDescent="0.2">
      <c r="B149" s="215" t="s">
        <v>37</v>
      </c>
      <c r="C149" s="198">
        <v>0.40277777777777773</v>
      </c>
      <c r="D149" s="218">
        <f>23+D146</f>
        <v>307.5</v>
      </c>
      <c r="E149" s="120" t="s">
        <v>110</v>
      </c>
      <c r="F149" s="238">
        <f>(0.0297+0.0354+0.0757)/3</f>
        <v>4.6933333333333334E-2</v>
      </c>
      <c r="G149" s="224">
        <f>(0.0296+0.0366+0.0726)/3</f>
        <v>4.6266666666666671E-2</v>
      </c>
      <c r="H149" s="69">
        <f>0.2257-F149</f>
        <v>0.17876666666666668</v>
      </c>
      <c r="I149" s="68">
        <f>0.212-F149</f>
        <v>0.16506666666666667</v>
      </c>
      <c r="J149" s="68">
        <f>0.1701-G149</f>
        <v>0.12383333333333332</v>
      </c>
      <c r="K149" s="68">
        <f>0.1592-G149</f>
        <v>0.11293333333333333</v>
      </c>
      <c r="L149" s="267">
        <f t="shared" si="27"/>
        <v>1.6831037277147493E-2</v>
      </c>
      <c r="M149" s="267">
        <f t="shared" si="28"/>
        <v>1.567941653160454E-2</v>
      </c>
      <c r="N149" s="68">
        <f t="shared" si="29"/>
        <v>1.6255226904376016E-2</v>
      </c>
      <c r="O149" s="68">
        <f>'Growth curves UTEX #1926'!F71</f>
        <v>3.24</v>
      </c>
      <c r="P149" s="68">
        <f t="shared" si="30"/>
        <v>4.0811040000000007</v>
      </c>
      <c r="Q149" s="99">
        <f t="shared" si="42"/>
        <v>3.0608280000000006E-4</v>
      </c>
      <c r="R149" s="100">
        <f t="shared" si="31"/>
        <v>26.553643171677752</v>
      </c>
      <c r="S149" s="101"/>
      <c r="V149" s="70">
        <f t="shared" si="32"/>
        <v>108.36817936250678</v>
      </c>
      <c r="W149" s="102"/>
      <c r="X149" s="70"/>
      <c r="Y149" s="70"/>
      <c r="Z149" s="70">
        <f t="shared" si="37"/>
        <v>0.32951712543867751</v>
      </c>
      <c r="AA149" s="102"/>
      <c r="AB149" s="103"/>
    </row>
    <row r="150" spans="2:28" x14ac:dyDescent="0.2">
      <c r="B150" s="215"/>
      <c r="C150" s="198"/>
      <c r="D150" s="218"/>
      <c r="E150" s="120" t="s">
        <v>111</v>
      </c>
      <c r="F150" s="238"/>
      <c r="G150" s="224"/>
      <c r="H150" s="69">
        <f>0.238-F149</f>
        <v>0.19106666666666666</v>
      </c>
      <c r="I150" s="68">
        <f>0.2181-F149</f>
        <v>0.17116666666666666</v>
      </c>
      <c r="J150" s="68">
        <f>0.1634-G149</f>
        <v>0.11713333333333331</v>
      </c>
      <c r="K150" s="68">
        <f>0.1467-G149</f>
        <v>0.10043333333333332</v>
      </c>
      <c r="L150" s="267">
        <f t="shared" si="27"/>
        <v>1.9481523500810376E-2</v>
      </c>
      <c r="M150" s="267">
        <f t="shared" si="28"/>
        <v>1.7893760129659646E-2</v>
      </c>
      <c r="N150" s="68">
        <f t="shared" si="29"/>
        <v>1.8687641815235009E-2</v>
      </c>
      <c r="O150" s="68">
        <f>'Growth curves UTEX #1926'!G71</f>
        <v>2.92</v>
      </c>
      <c r="P150" s="68">
        <f t="shared" si="30"/>
        <v>3.678032</v>
      </c>
      <c r="Q150" s="99">
        <f t="shared" si="42"/>
        <v>2.7585240000000002E-4</v>
      </c>
      <c r="R150" s="100">
        <f t="shared" si="31"/>
        <v>33.872538022571142</v>
      </c>
      <c r="S150" s="101"/>
      <c r="V150" s="70">
        <f t="shared" si="32"/>
        <v>124.58427876823337</v>
      </c>
      <c r="W150" s="102"/>
      <c r="X150" s="70"/>
      <c r="Y150" s="70"/>
      <c r="Z150" s="70">
        <f>(V150-$V$114)/(D149-$D$113)</f>
        <v>0.37813400139674003</v>
      </c>
      <c r="AA150" s="102"/>
      <c r="AB150" s="103"/>
    </row>
    <row r="151" spans="2:28" x14ac:dyDescent="0.2">
      <c r="B151" s="216"/>
      <c r="C151" s="199"/>
      <c r="D151" s="219"/>
      <c r="E151" s="151" t="s">
        <v>112</v>
      </c>
      <c r="F151" s="239"/>
      <c r="G151" s="225"/>
      <c r="H151" s="73">
        <f>0.2312-F149</f>
        <v>0.18426666666666666</v>
      </c>
      <c r="I151" s="74">
        <f>0.2199-F149</f>
        <v>0.17296666666666669</v>
      </c>
      <c r="J151" s="74">
        <f>0.166-G149</f>
        <v>0.11973333333333333</v>
      </c>
      <c r="K151" s="74">
        <f>0.1541-G149</f>
        <v>0.10783333333333331</v>
      </c>
      <c r="L151" s="267">
        <f t="shared" si="27"/>
        <v>1.8124473257698542E-2</v>
      </c>
      <c r="M151" s="267">
        <f t="shared" si="28"/>
        <v>1.7459886547811998E-2</v>
      </c>
      <c r="N151" s="74">
        <f t="shared" si="29"/>
        <v>1.7792179902755272E-2</v>
      </c>
      <c r="O151" s="71">
        <f>'Growth curves UTEX #1926'!H71</f>
        <v>3.032</v>
      </c>
      <c r="P151" s="74">
        <f t="shared" si="30"/>
        <v>3.8191072000000004</v>
      </c>
      <c r="Q151" s="75">
        <f t="shared" si="42"/>
        <v>2.8643304E-4</v>
      </c>
      <c r="R151" s="76">
        <f t="shared" si="31"/>
        <v>31.05818362077795</v>
      </c>
      <c r="S151" s="77">
        <f>AVERAGE(R149:R151)</f>
        <v>30.494788271675617</v>
      </c>
      <c r="T151" s="78">
        <f>STDEV(R149:R151)</f>
        <v>3.6918310090185669</v>
      </c>
      <c r="U151" s="78">
        <f>T151/SQRT(3)</f>
        <v>2.1314796268594773</v>
      </c>
      <c r="V151" s="78">
        <f t="shared" si="32"/>
        <v>118.61453268503514</v>
      </c>
      <c r="W151" s="77">
        <f t="shared" si="34"/>
        <v>117.18899693859176</v>
      </c>
      <c r="X151" s="78">
        <f t="shared" si="35"/>
        <v>8.2014988939456988</v>
      </c>
      <c r="Y151" s="78">
        <f t="shared" si="36"/>
        <v>4.7351375941779672</v>
      </c>
      <c r="Z151" s="78">
        <f>(V151-$V$115)/(D149-$D$113)</f>
        <v>0.36427523246059051</v>
      </c>
      <c r="AA151" s="77">
        <f t="shared" si="38"/>
        <v>0.35730878643200265</v>
      </c>
      <c r="AB151" s="135">
        <f t="shared" si="39"/>
        <v>1.4460275293395235E-2</v>
      </c>
    </row>
    <row r="152" spans="2:28" x14ac:dyDescent="0.2">
      <c r="B152" s="215" t="s">
        <v>38</v>
      </c>
      <c r="C152" s="198">
        <v>0.5</v>
      </c>
      <c r="D152" s="218">
        <f>2.5+24+D149</f>
        <v>334</v>
      </c>
      <c r="E152" s="120" t="s">
        <v>110</v>
      </c>
      <c r="F152" s="238">
        <f>(0.0562+0.047+0.0465)/3</f>
        <v>4.99E-2</v>
      </c>
      <c r="G152" s="224">
        <f>(0.0534+0.0448+0.0441)/3</f>
        <v>4.7433333333333334E-2</v>
      </c>
      <c r="H152" s="69">
        <f>0.2039-F152</f>
        <v>0.154</v>
      </c>
      <c r="I152" s="68">
        <f>0.2128-F152</f>
        <v>0.16289999999999999</v>
      </c>
      <c r="J152" s="68">
        <f>0.1376-G152</f>
        <v>9.0166666666666673E-2</v>
      </c>
      <c r="K152" s="68">
        <f>0.1473-G152</f>
        <v>9.9866666666666659E-2</v>
      </c>
      <c r="L152" s="267">
        <f t="shared" si="27"/>
        <v>1.6118179362506754E-2</v>
      </c>
      <c r="M152" s="267">
        <f t="shared" si="28"/>
        <v>1.6609508373851972E-2</v>
      </c>
      <c r="N152" s="68">
        <f t="shared" si="29"/>
        <v>1.6363843868179365E-2</v>
      </c>
      <c r="O152" s="68">
        <f>'Growth curves UTEX #1926'!F72</f>
        <v>3.24</v>
      </c>
      <c r="P152" s="68">
        <f t="shared" si="30"/>
        <v>4.0811040000000007</v>
      </c>
      <c r="Q152" s="99">
        <f t="shared" si="42"/>
        <v>3.0608280000000006E-4</v>
      </c>
      <c r="R152" s="100">
        <f t="shared" si="31"/>
        <v>26.731073860045978</v>
      </c>
      <c r="S152" s="101"/>
      <c r="V152" s="70">
        <f t="shared" si="32"/>
        <v>109.0922924545291</v>
      </c>
      <c r="W152" s="102"/>
      <c r="X152" s="70"/>
      <c r="Y152" s="70"/>
      <c r="Z152" s="70">
        <f t="shared" si="37"/>
        <v>0.30554080588148397</v>
      </c>
      <c r="AA152" s="102"/>
      <c r="AB152" s="103"/>
    </row>
    <row r="153" spans="2:28" x14ac:dyDescent="0.2">
      <c r="B153" s="215"/>
      <c r="C153" s="198"/>
      <c r="D153" s="218"/>
      <c r="E153" s="120" t="s">
        <v>111</v>
      </c>
      <c r="F153" s="238"/>
      <c r="G153" s="224"/>
      <c r="H153" s="69">
        <f>0.2064-F152</f>
        <v>0.1565</v>
      </c>
      <c r="I153" s="68">
        <f>0.2144-F152</f>
        <v>0.16450000000000001</v>
      </c>
      <c r="J153" s="68">
        <f>0.1339-G152</f>
        <v>8.6466666666666664E-2</v>
      </c>
      <c r="K153" s="68">
        <f>0.1425-G152</f>
        <v>9.506666666666666E-2</v>
      </c>
      <c r="L153" s="267">
        <f t="shared" si="27"/>
        <v>1.6886169638033497E-2</v>
      </c>
      <c r="M153" s="267">
        <f t="shared" si="28"/>
        <v>1.7339492166396544E-2</v>
      </c>
      <c r="N153" s="68">
        <f t="shared" si="29"/>
        <v>1.711283090221502E-2</v>
      </c>
      <c r="O153" s="68">
        <f>'Growth curves UTEX #1926'!G72</f>
        <v>2.92</v>
      </c>
      <c r="P153" s="68">
        <f t="shared" si="30"/>
        <v>3.678032</v>
      </c>
      <c r="Q153" s="99">
        <f t="shared" si="42"/>
        <v>2.7585240000000002E-4</v>
      </c>
      <c r="R153" s="100">
        <f t="shared" si="31"/>
        <v>31.018093194431188</v>
      </c>
      <c r="S153" s="101"/>
      <c r="V153" s="70">
        <f t="shared" si="32"/>
        <v>114.08553934810013</v>
      </c>
      <c r="W153" s="102"/>
      <c r="X153" s="70"/>
      <c r="Y153" s="70"/>
      <c r="Z153" s="70">
        <f>(V153-$V$114)/(D152-$D$113)</f>
        <v>0.31669900002803686</v>
      </c>
      <c r="AA153" s="102"/>
      <c r="AB153" s="103"/>
    </row>
    <row r="154" spans="2:28" x14ac:dyDescent="0.2">
      <c r="B154" s="216"/>
      <c r="C154" s="199"/>
      <c r="D154" s="219"/>
      <c r="E154" s="151" t="s">
        <v>112</v>
      </c>
      <c r="F154" s="239"/>
      <c r="G154" s="225"/>
      <c r="H154" s="73">
        <f>0.2075-F152</f>
        <v>0.15759999999999999</v>
      </c>
      <c r="I154" s="74">
        <f>0.2184-F152</f>
        <v>0.16850000000000001</v>
      </c>
      <c r="J154" s="74">
        <f>0.155-G152</f>
        <v>0.10756666666666667</v>
      </c>
      <c r="K154" s="74">
        <f>0.1659-G152</f>
        <v>0.11846666666666666</v>
      </c>
      <c r="L154" s="267">
        <f t="shared" si="27"/>
        <v>1.4995488924905456E-2</v>
      </c>
      <c r="M154" s="267">
        <f t="shared" si="28"/>
        <v>1.5693300918422477E-2</v>
      </c>
      <c r="N154" s="74">
        <f t="shared" si="29"/>
        <v>1.5344394921663966E-2</v>
      </c>
      <c r="O154" s="74">
        <f>'Growth curves UTEX #1926'!H72</f>
        <v>3.1760000000000002</v>
      </c>
      <c r="P154" s="74">
        <f t="shared" si="30"/>
        <v>4.0004896000000008</v>
      </c>
      <c r="Q154" s="75">
        <f t="shared" si="42"/>
        <v>3.0003672000000005E-4</v>
      </c>
      <c r="R154" s="76">
        <f t="shared" si="31"/>
        <v>25.5708616626391</v>
      </c>
      <c r="S154" s="77">
        <f>AVERAGE(R152:R154)</f>
        <v>27.773342905705423</v>
      </c>
      <c r="T154" s="78">
        <f>STDEV(R152:R154)</f>
        <v>2.8692902280690222</v>
      </c>
      <c r="U154" s="78">
        <f>T154/SQRT(3)</f>
        <v>1.6565854855588127</v>
      </c>
      <c r="V154" s="78">
        <f t="shared" si="32"/>
        <v>102.29596614442644</v>
      </c>
      <c r="W154" s="77">
        <f t="shared" si="34"/>
        <v>108.49126598235189</v>
      </c>
      <c r="X154" s="78">
        <f t="shared" si="35"/>
        <v>5.9177220022901107</v>
      </c>
      <c r="Y154" s="78">
        <f t="shared" si="36"/>
        <v>3.4165983910115667</v>
      </c>
      <c r="Z154" s="78">
        <f>(V154-$V$115)/(D152-$D$113)</f>
        <v>0.28651517197911042</v>
      </c>
      <c r="AA154" s="77">
        <f t="shared" si="38"/>
        <v>0.3029183259628771</v>
      </c>
      <c r="AB154" s="135">
        <f t="shared" si="39"/>
        <v>8.8114304478976238E-3</v>
      </c>
    </row>
    <row r="155" spans="2:28" x14ac:dyDescent="0.2">
      <c r="B155" s="215" t="s">
        <v>39</v>
      </c>
      <c r="C155" s="198">
        <v>0.53472222222222221</v>
      </c>
      <c r="D155" s="218">
        <f>25+D152</f>
        <v>359</v>
      </c>
      <c r="E155" s="120" t="s">
        <v>110</v>
      </c>
      <c r="F155" s="238">
        <f>(0.0558+0.049+0.0546)/3</f>
        <v>5.3133333333333338E-2</v>
      </c>
      <c r="G155" s="224">
        <f>(0.0538+0.0466+0.0518)/3</f>
        <v>5.0733333333333332E-2</v>
      </c>
      <c r="H155" s="68">
        <f>0.2496-F155</f>
        <v>0.19646666666666665</v>
      </c>
      <c r="I155" s="68">
        <f>0.2654-F155</f>
        <v>0.21226666666666669</v>
      </c>
      <c r="J155" s="68">
        <f>0.1628-G155</f>
        <v>0.11206666666666668</v>
      </c>
      <c r="K155" s="68">
        <f>0.1761-G155</f>
        <v>0.12536666666666668</v>
      </c>
      <c r="L155" s="267">
        <f t="shared" si="27"/>
        <v>2.0853538627768772E-2</v>
      </c>
      <c r="M155" s="267">
        <f t="shared" si="28"/>
        <v>2.2110183684494873E-2</v>
      </c>
      <c r="N155" s="68">
        <f t="shared" si="29"/>
        <v>2.1481861156131821E-2</v>
      </c>
      <c r="O155" s="58">
        <f>'Growth curves UTEX #1926'!F73</f>
        <v>3.496</v>
      </c>
      <c r="P155" s="68">
        <f t="shared" si="30"/>
        <v>4.4035615999999997</v>
      </c>
      <c r="Q155" s="99">
        <f t="shared" si="42"/>
        <v>3.3026711999999998E-4</v>
      </c>
      <c r="R155" s="100">
        <f t="shared" si="31"/>
        <v>32.521949439187019</v>
      </c>
      <c r="S155" s="101"/>
      <c r="V155" s="70">
        <f t="shared" si="32"/>
        <v>143.21240770754548</v>
      </c>
      <c r="W155" s="102"/>
      <c r="X155" s="70"/>
      <c r="Y155" s="70"/>
      <c r="Z155" s="70">
        <f t="shared" si="37"/>
        <v>0.37930569475607806</v>
      </c>
      <c r="AA155" s="102"/>
      <c r="AB155" s="103"/>
    </row>
    <row r="156" spans="2:28" x14ac:dyDescent="0.2">
      <c r="B156" s="215"/>
      <c r="C156" s="198"/>
      <c r="D156" s="218"/>
      <c r="E156" s="120" t="s">
        <v>111</v>
      </c>
      <c r="F156" s="238"/>
      <c r="G156" s="224"/>
      <c r="H156" s="68">
        <f>0.2317-F155</f>
        <v>0.17856666666666665</v>
      </c>
      <c r="I156" s="68">
        <f>0.2427-F155</f>
        <v>0.18956666666666666</v>
      </c>
      <c r="J156" s="68">
        <f>0.152-G155</f>
        <v>0.10126666666666667</v>
      </c>
      <c r="K156" s="68">
        <f>0.1636-G155</f>
        <v>0.11286666666666667</v>
      </c>
      <c r="L156" s="267">
        <f t="shared" si="27"/>
        <v>1.9011399243652076E-2</v>
      </c>
      <c r="M156" s="267">
        <f t="shared" si="28"/>
        <v>1.9656780118854671E-2</v>
      </c>
      <c r="N156" s="68">
        <f t="shared" si="29"/>
        <v>1.9334089681253372E-2</v>
      </c>
      <c r="O156" s="58">
        <f>'Growth curves UTEX #1926'!G73</f>
        <v>2.996</v>
      </c>
      <c r="P156" s="68">
        <f t="shared" si="30"/>
        <v>3.7737616000000003</v>
      </c>
      <c r="Q156" s="99">
        <f t="shared" si="42"/>
        <v>2.8303212000000002E-4</v>
      </c>
      <c r="R156" s="100">
        <f t="shared" si="31"/>
        <v>34.155292482799076</v>
      </c>
      <c r="S156" s="101"/>
      <c r="V156" s="70">
        <f t="shared" si="32"/>
        <v>128.89393120835584</v>
      </c>
      <c r="W156" s="102"/>
      <c r="X156" s="70"/>
      <c r="Y156" s="70"/>
      <c r="Z156" s="70">
        <f>(V156-$V$114)/(D155-$D$113)</f>
        <v>0.33589375451147635</v>
      </c>
      <c r="AA156" s="102"/>
      <c r="AB156" s="103"/>
    </row>
    <row r="157" spans="2:28" x14ac:dyDescent="0.2">
      <c r="B157" s="216"/>
      <c r="C157" s="199"/>
      <c r="D157" s="219"/>
      <c r="E157" s="151" t="s">
        <v>112</v>
      </c>
      <c r="F157" s="239"/>
      <c r="G157" s="225"/>
      <c r="H157" s="74">
        <f>0.2492-F155</f>
        <v>0.19606666666666667</v>
      </c>
      <c r="I157" s="74">
        <f>0.2538-F155</f>
        <v>0.20066666666666669</v>
      </c>
      <c r="J157" s="74">
        <f>0.1659-G155</f>
        <v>0.11516666666666667</v>
      </c>
      <c r="K157" s="74">
        <f>0.1693-G155</f>
        <v>0.11856666666666668</v>
      </c>
      <c r="L157" s="267">
        <f t="shared" si="27"/>
        <v>2.048473797947056E-2</v>
      </c>
      <c r="M157" s="267">
        <f t="shared" si="28"/>
        <v>2.0896893571042685E-2</v>
      </c>
      <c r="N157" s="74">
        <f t="shared" si="29"/>
        <v>2.0690815775256624E-2</v>
      </c>
      <c r="O157" s="74">
        <f>'Growth curves UTEX #1926'!H73</f>
        <v>3.24</v>
      </c>
      <c r="P157" s="74">
        <f t="shared" si="30"/>
        <v>4.0811040000000007</v>
      </c>
      <c r="Q157" s="75">
        <f t="shared" si="42"/>
        <v>3.0608280000000006E-4</v>
      </c>
      <c r="R157" s="76">
        <f t="shared" si="31"/>
        <v>33.799376794868287</v>
      </c>
      <c r="S157" s="77">
        <f>AVERAGE(R155:R157)</f>
        <v>33.492206238951461</v>
      </c>
      <c r="T157" s="78">
        <f>STDEV(R155:R157)</f>
        <v>0.85890493498737364</v>
      </c>
      <c r="U157" s="78">
        <f>T157/SQRT(3)</f>
        <v>0.49588899542325821</v>
      </c>
      <c r="V157" s="78">
        <f t="shared" si="32"/>
        <v>137.93877183504418</v>
      </c>
      <c r="W157" s="77">
        <f t="shared" si="34"/>
        <v>136.6817035836485</v>
      </c>
      <c r="X157" s="78">
        <f t="shared" si="35"/>
        <v>7.2415369747010034</v>
      </c>
      <c r="Y157" s="78">
        <f t="shared" si="36"/>
        <v>4.1809033216902529</v>
      </c>
      <c r="Z157" s="78">
        <f>(V157-$V$115)/(D155-$D$113)</f>
        <v>0.36584644326362287</v>
      </c>
      <c r="AA157" s="77">
        <f t="shared" si="38"/>
        <v>0.36034863084372576</v>
      </c>
      <c r="AB157" s="135">
        <f t="shared" si="39"/>
        <v>1.2829894712525878E-2</v>
      </c>
    </row>
    <row r="158" spans="2:28" x14ac:dyDescent="0.2">
      <c r="B158" s="215" t="s">
        <v>40</v>
      </c>
      <c r="C158" s="198">
        <v>0.53472222222222221</v>
      </c>
      <c r="D158" s="218">
        <f>24+D155</f>
        <v>383</v>
      </c>
      <c r="E158" s="120" t="s">
        <v>110</v>
      </c>
      <c r="F158" s="238">
        <f>(0.057+0.0553+0.0547)/3</f>
        <v>5.566666666666667E-2</v>
      </c>
      <c r="G158" s="224">
        <f>(0.055+0.0533+0.0525)/3</f>
        <v>5.3600000000000002E-2</v>
      </c>
      <c r="H158" s="68">
        <f>0.261-F158</f>
        <v>0.20533333333333334</v>
      </c>
      <c r="I158" s="68">
        <f>0.2512-F158</f>
        <v>0.19553333333333331</v>
      </c>
      <c r="J158" s="68">
        <f>0.1671-G158</f>
        <v>0.11349999999999999</v>
      </c>
      <c r="K158" s="68">
        <f>0.1609-G158</f>
        <v>0.10729999999999998</v>
      </c>
      <c r="L158" s="267">
        <f t="shared" si="27"/>
        <v>2.2150054024851436E-2</v>
      </c>
      <c r="M158" s="267">
        <f t="shared" si="28"/>
        <v>2.1169665045921122E-2</v>
      </c>
      <c r="N158" s="68">
        <f t="shared" si="29"/>
        <v>2.1659859535386281E-2</v>
      </c>
      <c r="O158" s="68">
        <f>'Growth curves UTEX #1926'!F74</f>
        <v>3.6520000000000001</v>
      </c>
      <c r="P158" s="68">
        <f t="shared" si="30"/>
        <v>4.6000592000000005</v>
      </c>
      <c r="Q158" s="99">
        <f t="shared" si="42"/>
        <v>3.4500444000000002E-4</v>
      </c>
      <c r="R158" s="100">
        <f t="shared" si="31"/>
        <v>31.39069679130257</v>
      </c>
      <c r="S158" s="101"/>
      <c r="V158" s="70">
        <f t="shared" si="32"/>
        <v>144.39906356924189</v>
      </c>
      <c r="W158" s="102"/>
      <c r="X158" s="70"/>
      <c r="Y158" s="70"/>
      <c r="Z158" s="70">
        <f t="shared" si="37"/>
        <v>0.35863550986717607</v>
      </c>
      <c r="AA158" s="102"/>
      <c r="AB158" s="103"/>
    </row>
    <row r="159" spans="2:28" x14ac:dyDescent="0.2">
      <c r="B159" s="215"/>
      <c r="C159" s="198"/>
      <c r="D159" s="218"/>
      <c r="E159" s="120" t="s">
        <v>111</v>
      </c>
      <c r="F159" s="238"/>
      <c r="G159" s="224"/>
      <c r="H159" s="68">
        <f>0.2066-F158</f>
        <v>0.15093333333333334</v>
      </c>
      <c r="I159" s="68">
        <f>0.2384-F158</f>
        <v>0.18273333333333333</v>
      </c>
      <c r="J159" s="68">
        <f>0.1325-G158</f>
        <v>7.8899999999999998E-2</v>
      </c>
      <c r="K159" s="68">
        <f>0.1504-G158</f>
        <v>9.6799999999999997E-2</v>
      </c>
      <c r="L159" s="267">
        <f t="shared" si="27"/>
        <v>1.672590491626148E-2</v>
      </c>
      <c r="M159" s="267">
        <f t="shared" si="28"/>
        <v>2.0124689357104267E-2</v>
      </c>
      <c r="N159" s="68">
        <f t="shared" si="29"/>
        <v>1.8425297136682874E-2</v>
      </c>
      <c r="O159" s="58">
        <f>'Growth curves UTEX #1926'!G74</f>
        <v>2.9039999999999999</v>
      </c>
      <c r="P159" s="68">
        <f t="shared" si="30"/>
        <v>3.6578784</v>
      </c>
      <c r="Q159" s="99">
        <f t="shared" si="42"/>
        <v>2.7434087999999999E-4</v>
      </c>
      <c r="R159" s="100">
        <f t="shared" si="31"/>
        <v>33.581027254638236</v>
      </c>
      <c r="S159" s="101"/>
      <c r="V159" s="70">
        <f t="shared" si="32"/>
        <v>122.83531424455251</v>
      </c>
      <c r="W159" s="102"/>
      <c r="X159" s="70"/>
      <c r="Y159" s="70"/>
      <c r="Z159" s="70">
        <f>(V159-$V$114)/(D158-$D$113)</f>
        <v>0.2990267386574848</v>
      </c>
      <c r="AA159" s="102"/>
      <c r="AB159" s="103"/>
    </row>
    <row r="160" spans="2:28" x14ac:dyDescent="0.2">
      <c r="B160" s="216"/>
      <c r="C160" s="199"/>
      <c r="D160" s="219"/>
      <c r="E160" s="151" t="s">
        <v>112</v>
      </c>
      <c r="F160" s="239"/>
      <c r="G160" s="225"/>
      <c r="H160" s="74">
        <f>0.2707-F158</f>
        <v>0.21503333333333333</v>
      </c>
      <c r="I160" s="74">
        <f>0.2811-F158</f>
        <v>0.22543333333333335</v>
      </c>
      <c r="J160" s="74">
        <f>0.1771-G158</f>
        <v>0.1235</v>
      </c>
      <c r="K160" s="74">
        <f>0.1857-G158</f>
        <v>0.1321</v>
      </c>
      <c r="L160" s="267">
        <f t="shared" si="27"/>
        <v>2.2741626148028094E-2</v>
      </c>
      <c r="M160" s="267">
        <f t="shared" si="28"/>
        <v>2.3583927606699088E-2</v>
      </c>
      <c r="N160" s="74">
        <f t="shared" si="29"/>
        <v>2.3162776877363591E-2</v>
      </c>
      <c r="O160" s="71">
        <f>'Growth curves UTEX #1926'!H74</f>
        <v>3.2480000000000002</v>
      </c>
      <c r="P160" s="74">
        <f t="shared" si="30"/>
        <v>4.0911808000000001</v>
      </c>
      <c r="Q160" s="75">
        <f t="shared" si="42"/>
        <v>3.0683855999999996E-4</v>
      </c>
      <c r="R160" s="76">
        <f t="shared" si="31"/>
        <v>37.744240615266207</v>
      </c>
      <c r="S160" s="77">
        <f>AVERAGE(R158:R160)</f>
        <v>34.238654887069004</v>
      </c>
      <c r="T160" s="78">
        <f>STDEV(R158:R160)</f>
        <v>3.227419303090163</v>
      </c>
      <c r="U160" s="78">
        <f>T160/SQRT(3)</f>
        <v>1.8633514034269001</v>
      </c>
      <c r="V160" s="78">
        <f t="shared" si="32"/>
        <v>154.4185125157573</v>
      </c>
      <c r="W160" s="77">
        <f t="shared" si="34"/>
        <v>140.55096344318389</v>
      </c>
      <c r="X160" s="78">
        <f t="shared" si="35"/>
        <v>16.13940857636004</v>
      </c>
      <c r="Y160" s="78">
        <f t="shared" si="36"/>
        <v>9.3180918861228239</v>
      </c>
      <c r="Z160" s="78">
        <f>(V160-$V$115)/(D158-$D$113)</f>
        <v>0.3859493833220724</v>
      </c>
      <c r="AA160" s="77">
        <f t="shared" si="38"/>
        <v>0.34787054394891109</v>
      </c>
      <c r="AB160" s="135">
        <f t="shared" si="39"/>
        <v>2.5663202627417298E-2</v>
      </c>
    </row>
    <row r="161" spans="1:28" x14ac:dyDescent="0.2">
      <c r="B161" s="215" t="s">
        <v>41</v>
      </c>
      <c r="C161" s="198">
        <v>0.4861111111111111</v>
      </c>
      <c r="D161" s="218">
        <f>22.5+D158</f>
        <v>405.5</v>
      </c>
      <c r="E161" s="120" t="s">
        <v>110</v>
      </c>
      <c r="F161" s="238">
        <f>(0.0541+0.0513+0.0497)/3</f>
        <v>5.1699999999999996E-2</v>
      </c>
      <c r="G161" s="224">
        <f>(0.0519+0.0481+0.0478)/3</f>
        <v>4.9266666666666674E-2</v>
      </c>
      <c r="H161" s="68">
        <f>0.2764-F161</f>
        <v>0.22469999999999998</v>
      </c>
      <c r="I161" s="68">
        <f>0.2649-F161</f>
        <v>0.21320000000000003</v>
      </c>
      <c r="J161" s="68">
        <f>0.1809-G161</f>
        <v>0.13163333333333332</v>
      </c>
      <c r="K161" s="68">
        <f>0.1745-G161</f>
        <v>0.12523333333333331</v>
      </c>
      <c r="L161" s="267">
        <f t="shared" si="27"/>
        <v>2.3510831982712047E-2</v>
      </c>
      <c r="M161" s="267">
        <f t="shared" si="28"/>
        <v>2.2274527282549979E-2</v>
      </c>
      <c r="N161" s="68">
        <f t="shared" si="29"/>
        <v>2.2892679632631013E-2</v>
      </c>
      <c r="O161" s="68">
        <f>'Growth curves UTEX #1926'!F75</f>
        <v>3.5760000000000001</v>
      </c>
      <c r="P161" s="68">
        <f t="shared" si="30"/>
        <v>4.5043296000000002</v>
      </c>
      <c r="Q161" s="99">
        <f t="shared" si="42"/>
        <v>3.3782472000000002E-4</v>
      </c>
      <c r="R161" s="100">
        <f t="shared" si="31"/>
        <v>33.882481472390495</v>
      </c>
      <c r="S161" s="101"/>
      <c r="V161" s="70">
        <f t="shared" si="32"/>
        <v>152.6178642175401</v>
      </c>
      <c r="W161" s="102"/>
      <c r="X161" s="70"/>
      <c r="Y161" s="70"/>
      <c r="Z161" s="70">
        <f t="shared" si="37"/>
        <v>0.35900419464223587</v>
      </c>
      <c r="AA161" s="102"/>
      <c r="AB161" s="103"/>
    </row>
    <row r="162" spans="1:28" ht="15" customHeight="1" x14ac:dyDescent="0.2">
      <c r="B162" s="215"/>
      <c r="C162" s="198"/>
      <c r="D162" s="218"/>
      <c r="E162" s="120" t="s">
        <v>111</v>
      </c>
      <c r="F162" s="238"/>
      <c r="G162" s="224"/>
      <c r="H162" s="68">
        <f>0.2413-F161</f>
        <v>0.18959999999999999</v>
      </c>
      <c r="I162" s="68">
        <f>0.2555-F161</f>
        <v>0.20380000000000001</v>
      </c>
      <c r="J162" s="68">
        <f>0.171-G161</f>
        <v>0.12173333333333333</v>
      </c>
      <c r="K162" s="68">
        <f>0.1792-G161</f>
        <v>0.12993333333333332</v>
      </c>
      <c r="L162" s="267">
        <f t="shared" si="27"/>
        <v>1.8792760669908155E-2</v>
      </c>
      <c r="M162" s="267">
        <f t="shared" si="28"/>
        <v>2.0290167477039441E-2</v>
      </c>
      <c r="N162" s="68">
        <f t="shared" si="29"/>
        <v>1.9541464073473798E-2</v>
      </c>
      <c r="O162" s="58">
        <f>'Growth curves UTEX #1926'!G75</f>
        <v>3.1040000000000001</v>
      </c>
      <c r="P162" s="68">
        <f t="shared" si="30"/>
        <v>3.9097984000000001</v>
      </c>
      <c r="Q162" s="99">
        <f t="shared" si="42"/>
        <v>2.9323487999999997E-4</v>
      </c>
      <c r="R162" s="100">
        <f t="shared" si="31"/>
        <v>33.320497332162191</v>
      </c>
      <c r="S162" s="101"/>
      <c r="V162" s="70">
        <f t="shared" si="32"/>
        <v>130.27642715649202</v>
      </c>
      <c r="W162" s="102"/>
      <c r="X162" s="70"/>
      <c r="Y162" s="70"/>
      <c r="Z162" s="70">
        <f>(V162-$V$114)/(D161-$D$113)</f>
        <v>0.30078508956290062</v>
      </c>
      <c r="AA162" s="102"/>
      <c r="AB162" s="103"/>
    </row>
    <row r="163" spans="1:28" ht="16" customHeight="1" thickBot="1" x14ac:dyDescent="0.25">
      <c r="A163" s="123"/>
      <c r="B163" s="230"/>
      <c r="C163" s="232"/>
      <c r="D163" s="231"/>
      <c r="E163" s="152" t="s">
        <v>112</v>
      </c>
      <c r="F163" s="240"/>
      <c r="G163" s="233"/>
      <c r="H163" s="112">
        <f>0.2731-F161</f>
        <v>0.22140000000000001</v>
      </c>
      <c r="I163" s="93">
        <f>0.2996-F161</f>
        <v>0.24789999999999998</v>
      </c>
      <c r="J163" s="93">
        <f>0.183-G161</f>
        <v>0.13373333333333332</v>
      </c>
      <c r="K163" s="93">
        <f>0.2014-G161</f>
        <v>0.15213333333333331</v>
      </c>
      <c r="L163" s="93">
        <f t="shared" si="27"/>
        <v>2.2770070232306865E-2</v>
      </c>
      <c r="M163" s="93">
        <f t="shared" si="28"/>
        <v>2.5260831982712045E-2</v>
      </c>
      <c r="N163" s="93">
        <f t="shared" si="29"/>
        <v>2.4015451107509453E-2</v>
      </c>
      <c r="O163" s="92">
        <f>'Growth curves UTEX #1926'!H75</f>
        <v>3.3839999999999999</v>
      </c>
      <c r="P163" s="93">
        <f t="shared" si="30"/>
        <v>4.2624864000000002</v>
      </c>
      <c r="Q163" s="94">
        <f t="shared" si="42"/>
        <v>3.1968647999999999E-4</v>
      </c>
      <c r="R163" s="95">
        <f t="shared" si="31"/>
        <v>37.560942689083149</v>
      </c>
      <c r="S163" s="96">
        <f>AVERAGE(R161:R163)</f>
        <v>34.921307164545276</v>
      </c>
      <c r="T163" s="97">
        <f>STDEV(R161:R163)</f>
        <v>2.3031963269050197</v>
      </c>
      <c r="U163" s="97">
        <f>T163/SQRT(3)</f>
        <v>1.3297510193351705</v>
      </c>
      <c r="V163" s="97">
        <f t="shared" si="32"/>
        <v>160.10300738339635</v>
      </c>
      <c r="W163" s="96">
        <f t="shared" si="34"/>
        <v>147.66576625247617</v>
      </c>
      <c r="X163" s="97">
        <f t="shared" si="35"/>
        <v>15.517689186850049</v>
      </c>
      <c r="Y163" s="97">
        <f t="shared" si="36"/>
        <v>8.959142029228822</v>
      </c>
      <c r="Z163" s="97">
        <f>(V163-$V$115)/(D161-$D$113)</f>
        <v>0.37855267245374297</v>
      </c>
      <c r="AA163" s="96">
        <f t="shared" si="38"/>
        <v>0.3461139855529598</v>
      </c>
      <c r="AB163" s="104">
        <f t="shared" si="39"/>
        <v>2.3356422064355592E-2</v>
      </c>
    </row>
    <row r="177" s="58" customFormat="1" x14ac:dyDescent="0.2"/>
    <row r="178" s="58" customFormat="1" x14ac:dyDescent="0.2"/>
    <row r="179" s="58" customFormat="1" x14ac:dyDescent="0.2"/>
    <row r="180" s="58" customFormat="1" x14ac:dyDescent="0.2"/>
    <row r="181" s="58" customFormat="1" x14ac:dyDescent="0.2"/>
    <row r="182" s="58" customFormat="1" x14ac:dyDescent="0.2"/>
    <row r="183" s="58" customFormat="1" x14ac:dyDescent="0.2"/>
    <row r="184" s="58" customFormat="1" x14ac:dyDescent="0.2"/>
    <row r="185" s="58" customFormat="1" x14ac:dyDescent="0.2"/>
    <row r="186" s="58" customFormat="1" x14ac:dyDescent="0.2"/>
    <row r="187" s="58" customFormat="1" x14ac:dyDescent="0.2"/>
    <row r="188" s="58" customFormat="1" x14ac:dyDescent="0.2"/>
    <row r="189" s="58" customFormat="1" x14ac:dyDescent="0.2"/>
    <row r="190" s="58" customFormat="1" x14ac:dyDescent="0.2"/>
    <row r="191" s="58" customFormat="1" x14ac:dyDescent="0.2"/>
    <row r="192" s="58" customFormat="1" x14ac:dyDescent="0.2"/>
    <row r="193" s="58" customFormat="1" x14ac:dyDescent="0.2"/>
    <row r="194" s="58" customFormat="1" x14ac:dyDescent="0.2"/>
    <row r="195" s="58" customFormat="1" x14ac:dyDescent="0.2"/>
    <row r="196" s="58" customFormat="1" x14ac:dyDescent="0.2"/>
    <row r="197" s="58" customFormat="1" x14ac:dyDescent="0.2"/>
    <row r="198" s="58" customFormat="1" x14ac:dyDescent="0.2"/>
    <row r="199" s="58" customFormat="1" x14ac:dyDescent="0.2"/>
    <row r="200" s="58" customFormat="1" x14ac:dyDescent="0.2"/>
    <row r="201" s="58" customFormat="1" x14ac:dyDescent="0.2"/>
    <row r="202" s="58" customFormat="1" x14ac:dyDescent="0.2"/>
    <row r="203" s="58" customFormat="1" x14ac:dyDescent="0.2"/>
    <row r="204" s="58" customFormat="1" x14ac:dyDescent="0.2"/>
    <row r="205" s="58" customFormat="1" x14ac:dyDescent="0.2"/>
    <row r="206" s="58" customFormat="1" x14ac:dyDescent="0.2"/>
    <row r="207" s="58" customFormat="1" x14ac:dyDescent="0.2"/>
    <row r="208" s="58" customFormat="1" x14ac:dyDescent="0.2"/>
    <row r="209" s="58" customFormat="1" x14ac:dyDescent="0.2"/>
    <row r="210" s="58" customFormat="1" x14ac:dyDescent="0.2"/>
    <row r="211" s="58" customFormat="1" x14ac:dyDescent="0.2"/>
    <row r="212" s="58" customFormat="1" x14ac:dyDescent="0.2"/>
    <row r="213" s="58" customFormat="1" x14ac:dyDescent="0.2"/>
    <row r="214" s="58" customFormat="1" x14ac:dyDescent="0.2"/>
    <row r="215" s="58" customFormat="1" x14ac:dyDescent="0.2"/>
    <row r="216" s="58" customFormat="1" x14ac:dyDescent="0.2"/>
    <row r="217" s="58" customFormat="1" x14ac:dyDescent="0.2"/>
    <row r="218" s="58" customFormat="1" x14ac:dyDescent="0.2"/>
    <row r="219" s="58" customFormat="1" x14ac:dyDescent="0.2"/>
    <row r="220" s="58" customFormat="1" x14ac:dyDescent="0.2"/>
    <row r="221" s="58" customFormat="1" x14ac:dyDescent="0.2"/>
    <row r="222" s="58" customFormat="1" x14ac:dyDescent="0.2"/>
    <row r="223" s="58" customFormat="1" x14ac:dyDescent="0.2"/>
    <row r="224" s="58" customFormat="1" x14ac:dyDescent="0.2"/>
    <row r="225" s="58" customFormat="1" x14ac:dyDescent="0.2"/>
    <row r="226" s="58" customFormat="1" x14ac:dyDescent="0.2"/>
    <row r="227" s="58" customFormat="1" x14ac:dyDescent="0.2"/>
    <row r="228" s="58" customFormat="1" x14ac:dyDescent="0.2"/>
  </sheetData>
  <mergeCells count="280">
    <mergeCell ref="AD3:AH3"/>
    <mergeCell ref="B161:B163"/>
    <mergeCell ref="C161:C163"/>
    <mergeCell ref="D161:D163"/>
    <mergeCell ref="F161:F163"/>
    <mergeCell ref="G161:G163"/>
    <mergeCell ref="B155:B157"/>
    <mergeCell ref="C155:C157"/>
    <mergeCell ref="D155:D157"/>
    <mergeCell ref="F155:F157"/>
    <mergeCell ref="G155:G157"/>
    <mergeCell ref="B158:B160"/>
    <mergeCell ref="C158:C160"/>
    <mergeCell ref="D158:D160"/>
    <mergeCell ref="F158:F160"/>
    <mergeCell ref="G158:G160"/>
    <mergeCell ref="B149:B151"/>
    <mergeCell ref="C149:C151"/>
    <mergeCell ref="D149:D151"/>
    <mergeCell ref="F149:F151"/>
    <mergeCell ref="G149:G151"/>
    <mergeCell ref="B152:B154"/>
    <mergeCell ref="C152:C154"/>
    <mergeCell ref="D152:D154"/>
    <mergeCell ref="F152:F154"/>
    <mergeCell ref="G152:G154"/>
    <mergeCell ref="B143:B145"/>
    <mergeCell ref="C143:C145"/>
    <mergeCell ref="D143:D145"/>
    <mergeCell ref="F143:F145"/>
    <mergeCell ref="G143:G145"/>
    <mergeCell ref="B146:B148"/>
    <mergeCell ref="C146:C148"/>
    <mergeCell ref="D146:D148"/>
    <mergeCell ref="F146:F148"/>
    <mergeCell ref="G146:G148"/>
    <mergeCell ref="B137:B139"/>
    <mergeCell ref="C137:C139"/>
    <mergeCell ref="D137:D139"/>
    <mergeCell ref="F137:F139"/>
    <mergeCell ref="G137:G139"/>
    <mergeCell ref="B140:B142"/>
    <mergeCell ref="C140:C142"/>
    <mergeCell ref="D140:D142"/>
    <mergeCell ref="F140:F142"/>
    <mergeCell ref="G140:G142"/>
    <mergeCell ref="B131:B133"/>
    <mergeCell ref="C131:C133"/>
    <mergeCell ref="D131:D133"/>
    <mergeCell ref="F131:F133"/>
    <mergeCell ref="G131:G133"/>
    <mergeCell ref="B134:B136"/>
    <mergeCell ref="C134:C136"/>
    <mergeCell ref="D134:D136"/>
    <mergeCell ref="F134:F136"/>
    <mergeCell ref="G134:G136"/>
    <mergeCell ref="B125:B127"/>
    <mergeCell ref="C125:C127"/>
    <mergeCell ref="D125:D127"/>
    <mergeCell ref="F125:F127"/>
    <mergeCell ref="G125:G127"/>
    <mergeCell ref="B128:B130"/>
    <mergeCell ref="C128:C130"/>
    <mergeCell ref="D128:D130"/>
    <mergeCell ref="F128:F130"/>
    <mergeCell ref="G128:G130"/>
    <mergeCell ref="B119:B121"/>
    <mergeCell ref="C119:C121"/>
    <mergeCell ref="D119:D121"/>
    <mergeCell ref="F119:F121"/>
    <mergeCell ref="G119:G121"/>
    <mergeCell ref="B122:B124"/>
    <mergeCell ref="C122:C124"/>
    <mergeCell ref="D122:D124"/>
    <mergeCell ref="F122:F124"/>
    <mergeCell ref="G122:G124"/>
    <mergeCell ref="B113:B115"/>
    <mergeCell ref="C113:C115"/>
    <mergeCell ref="D113:D115"/>
    <mergeCell ref="F113:F115"/>
    <mergeCell ref="G113:G115"/>
    <mergeCell ref="B116:B118"/>
    <mergeCell ref="C116:C118"/>
    <mergeCell ref="D116:D118"/>
    <mergeCell ref="F116:F118"/>
    <mergeCell ref="G116:G118"/>
    <mergeCell ref="H111:I111"/>
    <mergeCell ref="J111:K111"/>
    <mergeCell ref="L111:M111"/>
    <mergeCell ref="H112:I112"/>
    <mergeCell ref="J112:K112"/>
    <mergeCell ref="L112:M112"/>
    <mergeCell ref="B107:B109"/>
    <mergeCell ref="C107:C109"/>
    <mergeCell ref="D107:D109"/>
    <mergeCell ref="F107:F109"/>
    <mergeCell ref="G107:G109"/>
    <mergeCell ref="B110:AB110"/>
    <mergeCell ref="B101:B103"/>
    <mergeCell ref="C101:C103"/>
    <mergeCell ref="D101:D103"/>
    <mergeCell ref="F101:F103"/>
    <mergeCell ref="G101:G103"/>
    <mergeCell ref="B104:B106"/>
    <mergeCell ref="C104:C106"/>
    <mergeCell ref="D104:D106"/>
    <mergeCell ref="F104:F106"/>
    <mergeCell ref="G104:G106"/>
    <mergeCell ref="B95:B97"/>
    <mergeCell ref="C95:C97"/>
    <mergeCell ref="D95:D97"/>
    <mergeCell ref="F95:F97"/>
    <mergeCell ref="G95:G97"/>
    <mergeCell ref="B98:B100"/>
    <mergeCell ref="C98:C100"/>
    <mergeCell ref="D98:D100"/>
    <mergeCell ref="F98:F100"/>
    <mergeCell ref="G98:G100"/>
    <mergeCell ref="B89:B91"/>
    <mergeCell ref="C89:C91"/>
    <mergeCell ref="D89:D91"/>
    <mergeCell ref="F89:F91"/>
    <mergeCell ref="G89:G91"/>
    <mergeCell ref="B92:B94"/>
    <mergeCell ref="C92:C94"/>
    <mergeCell ref="D92:D94"/>
    <mergeCell ref="F92:F94"/>
    <mergeCell ref="G92:G94"/>
    <mergeCell ref="B83:B85"/>
    <mergeCell ref="C83:C85"/>
    <mergeCell ref="D83:D85"/>
    <mergeCell ref="F83:F85"/>
    <mergeCell ref="G83:G85"/>
    <mergeCell ref="B86:B88"/>
    <mergeCell ref="C86:C88"/>
    <mergeCell ref="D86:D88"/>
    <mergeCell ref="F86:F88"/>
    <mergeCell ref="G86:G88"/>
    <mergeCell ref="B77:B79"/>
    <mergeCell ref="C77:C79"/>
    <mergeCell ref="D77:D79"/>
    <mergeCell ref="F77:F79"/>
    <mergeCell ref="G77:G79"/>
    <mergeCell ref="B80:B82"/>
    <mergeCell ref="C80:C82"/>
    <mergeCell ref="D80:D82"/>
    <mergeCell ref="F80:F82"/>
    <mergeCell ref="G80:G82"/>
    <mergeCell ref="B71:B73"/>
    <mergeCell ref="C71:C73"/>
    <mergeCell ref="D71:D73"/>
    <mergeCell ref="F71:F73"/>
    <mergeCell ref="G71:G73"/>
    <mergeCell ref="B74:B76"/>
    <mergeCell ref="C74:C76"/>
    <mergeCell ref="D74:D76"/>
    <mergeCell ref="F74:F76"/>
    <mergeCell ref="G74:G76"/>
    <mergeCell ref="B65:B67"/>
    <mergeCell ref="C65:C67"/>
    <mergeCell ref="D65:D67"/>
    <mergeCell ref="F65:F67"/>
    <mergeCell ref="G65:G67"/>
    <mergeCell ref="B68:B70"/>
    <mergeCell ref="C68:C70"/>
    <mergeCell ref="D68:D70"/>
    <mergeCell ref="F68:F70"/>
    <mergeCell ref="G68:G70"/>
    <mergeCell ref="B59:B61"/>
    <mergeCell ref="C59:C61"/>
    <mergeCell ref="D59:D61"/>
    <mergeCell ref="F59:F61"/>
    <mergeCell ref="G59:G61"/>
    <mergeCell ref="B62:B64"/>
    <mergeCell ref="C62:C64"/>
    <mergeCell ref="D62:D64"/>
    <mergeCell ref="F62:F64"/>
    <mergeCell ref="G62:G64"/>
    <mergeCell ref="B50:B52"/>
    <mergeCell ref="C50:C52"/>
    <mergeCell ref="D50:D52"/>
    <mergeCell ref="F50:F52"/>
    <mergeCell ref="G50:G52"/>
    <mergeCell ref="H57:I57"/>
    <mergeCell ref="J57:K57"/>
    <mergeCell ref="L57:M57"/>
    <mergeCell ref="H58:I58"/>
    <mergeCell ref="J58:K58"/>
    <mergeCell ref="L58:M58"/>
    <mergeCell ref="B53:B55"/>
    <mergeCell ref="C53:C55"/>
    <mergeCell ref="D53:D55"/>
    <mergeCell ref="F53:F55"/>
    <mergeCell ref="G53:G55"/>
    <mergeCell ref="B56:AB56"/>
    <mergeCell ref="B44:B46"/>
    <mergeCell ref="C44:C46"/>
    <mergeCell ref="D44:D46"/>
    <mergeCell ref="F44:F46"/>
    <mergeCell ref="G44:G46"/>
    <mergeCell ref="B47:B49"/>
    <mergeCell ref="C47:C49"/>
    <mergeCell ref="D47:D49"/>
    <mergeCell ref="F47:F49"/>
    <mergeCell ref="G47:G49"/>
    <mergeCell ref="B38:B40"/>
    <mergeCell ref="C38:C40"/>
    <mergeCell ref="D38:D40"/>
    <mergeCell ref="F38:F40"/>
    <mergeCell ref="G38:G40"/>
    <mergeCell ref="B41:B43"/>
    <mergeCell ref="C41:C43"/>
    <mergeCell ref="D41:D43"/>
    <mergeCell ref="F41:F43"/>
    <mergeCell ref="G41:G43"/>
    <mergeCell ref="B32:B34"/>
    <mergeCell ref="C32:C34"/>
    <mergeCell ref="D32:D34"/>
    <mergeCell ref="F32:F34"/>
    <mergeCell ref="G32:G34"/>
    <mergeCell ref="B35:B37"/>
    <mergeCell ref="C35:C37"/>
    <mergeCell ref="D35:D37"/>
    <mergeCell ref="F35:F37"/>
    <mergeCell ref="G35:G37"/>
    <mergeCell ref="B26:B28"/>
    <mergeCell ref="C26:C28"/>
    <mergeCell ref="D26:D28"/>
    <mergeCell ref="F26:F28"/>
    <mergeCell ref="G26:G28"/>
    <mergeCell ref="B29:B31"/>
    <mergeCell ref="C29:C31"/>
    <mergeCell ref="D29:D31"/>
    <mergeCell ref="F29:F31"/>
    <mergeCell ref="G29:G31"/>
    <mergeCell ref="B20:B22"/>
    <mergeCell ref="C20:C22"/>
    <mergeCell ref="D20:D22"/>
    <mergeCell ref="F20:F22"/>
    <mergeCell ref="G20:G22"/>
    <mergeCell ref="B23:B25"/>
    <mergeCell ref="C23:C25"/>
    <mergeCell ref="D23:D25"/>
    <mergeCell ref="F23:F25"/>
    <mergeCell ref="G23:G25"/>
    <mergeCell ref="G11:G13"/>
    <mergeCell ref="B14:B16"/>
    <mergeCell ref="C14:C16"/>
    <mergeCell ref="D14:D16"/>
    <mergeCell ref="F14:F16"/>
    <mergeCell ref="G14:G16"/>
    <mergeCell ref="B17:B19"/>
    <mergeCell ref="C17:C19"/>
    <mergeCell ref="D17:D19"/>
    <mergeCell ref="F17:F19"/>
    <mergeCell ref="G17:G19"/>
    <mergeCell ref="AD110:AH110"/>
    <mergeCell ref="AD56:AH56"/>
    <mergeCell ref="A1:AB1"/>
    <mergeCell ref="B2:AB2"/>
    <mergeCell ref="H3:I3"/>
    <mergeCell ref="J3:K3"/>
    <mergeCell ref="L3:M3"/>
    <mergeCell ref="H4:I4"/>
    <mergeCell ref="J4:K4"/>
    <mergeCell ref="L4:M4"/>
    <mergeCell ref="B5:B7"/>
    <mergeCell ref="C5:C7"/>
    <mergeCell ref="D5:D7"/>
    <mergeCell ref="F5:F7"/>
    <mergeCell ref="G5:G7"/>
    <mergeCell ref="B8:B10"/>
    <mergeCell ref="C8:C10"/>
    <mergeCell ref="D8:D10"/>
    <mergeCell ref="F8:F10"/>
    <mergeCell ref="G8:G10"/>
    <mergeCell ref="B11:B13"/>
    <mergeCell ref="C11:C13"/>
    <mergeCell ref="D11:D13"/>
    <mergeCell ref="F11:F13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84E3B-8D16-435C-9745-C39CCA440E1E}">
  <dimension ref="A1:AC613"/>
  <sheetViews>
    <sheetView zoomScaleNormal="100" workbookViewId="0">
      <selection sqref="A1:U1"/>
    </sheetView>
  </sheetViews>
  <sheetFormatPr baseColWidth="10" defaultColWidth="9.1640625" defaultRowHeight="13" x14ac:dyDescent="0.15"/>
  <cols>
    <col min="1" max="1" width="76.5" style="5" customWidth="1"/>
    <col min="2" max="2" width="10.33203125" style="5" bestFit="1" customWidth="1"/>
    <col min="3" max="10" width="9.1640625" style="5"/>
    <col min="11" max="14" width="9.6640625" style="5" bestFit="1" customWidth="1"/>
    <col min="15" max="15" width="12.1640625" style="5" customWidth="1"/>
    <col min="16" max="16" width="12.5" style="5" bestFit="1" customWidth="1"/>
    <col min="17" max="18" width="13.6640625" style="5" customWidth="1"/>
    <col min="19" max="19" width="14.5" style="5" customWidth="1"/>
    <col min="20" max="21" width="10.5" style="5" bestFit="1" customWidth="1"/>
    <col min="22" max="23" width="9.1640625" style="5"/>
    <col min="24" max="24" width="12.6640625" style="5" customWidth="1"/>
    <col min="25" max="16384" width="9.1640625" style="5"/>
  </cols>
  <sheetData>
    <row r="1" spans="1:29" ht="17" thickBot="1" x14ac:dyDescent="0.2">
      <c r="A1" s="241" t="s">
        <v>91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3"/>
    </row>
    <row r="2" spans="1:29" ht="16" customHeight="1" thickBot="1" x14ac:dyDescent="0.2">
      <c r="A2" s="125"/>
      <c r="B2" s="248" t="s">
        <v>65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50"/>
      <c r="W2" s="244" t="s">
        <v>115</v>
      </c>
      <c r="X2" s="244"/>
      <c r="Y2" s="244"/>
      <c r="Z2" s="244"/>
      <c r="AA2" s="244"/>
    </row>
    <row r="3" spans="1:29" ht="37" customHeight="1" x14ac:dyDescent="0.15">
      <c r="A3" s="41"/>
      <c r="B3" s="126" t="s">
        <v>0</v>
      </c>
      <c r="C3" s="59" t="s">
        <v>1</v>
      </c>
      <c r="D3" s="59" t="s">
        <v>2</v>
      </c>
      <c r="E3" s="129" t="s">
        <v>23</v>
      </c>
      <c r="F3" s="128"/>
      <c r="G3" s="128" t="s">
        <v>24</v>
      </c>
      <c r="H3" s="245" t="s">
        <v>113</v>
      </c>
      <c r="I3" s="246"/>
      <c r="J3" s="246"/>
      <c r="K3" s="247" t="s">
        <v>90</v>
      </c>
      <c r="L3" s="247"/>
      <c r="M3" s="247"/>
      <c r="N3" s="59" t="s">
        <v>26</v>
      </c>
      <c r="O3" s="59" t="s">
        <v>27</v>
      </c>
      <c r="P3" s="59" t="s">
        <v>27</v>
      </c>
      <c r="Q3" s="59" t="s">
        <v>88</v>
      </c>
      <c r="R3" s="129" t="s">
        <v>88</v>
      </c>
      <c r="S3" s="59" t="s">
        <v>89</v>
      </c>
      <c r="T3" s="59" t="s">
        <v>82</v>
      </c>
      <c r="U3" s="127" t="s">
        <v>56</v>
      </c>
      <c r="W3" s="58" t="str">
        <f>D3</f>
        <v>Hours</v>
      </c>
      <c r="X3" s="111" t="str">
        <f>S3</f>
        <v>Average NO3 concentration</v>
      </c>
      <c r="Y3" s="111" t="str">
        <f>U3</f>
        <v>Standard error</v>
      </c>
      <c r="Z3" s="58"/>
      <c r="AA3" s="114"/>
      <c r="AB3" s="114"/>
      <c r="AC3" s="114"/>
    </row>
    <row r="4" spans="1:29" ht="15" customHeight="1" x14ac:dyDescent="0.15">
      <c r="A4" s="41"/>
      <c r="B4" s="130"/>
      <c r="C4" s="131"/>
      <c r="D4" s="132"/>
      <c r="E4" s="132"/>
      <c r="F4" s="133"/>
      <c r="G4" s="133"/>
      <c r="H4" s="145" t="s">
        <v>108</v>
      </c>
      <c r="I4" s="145" t="s">
        <v>107</v>
      </c>
      <c r="J4" s="146" t="s">
        <v>114</v>
      </c>
      <c r="K4" s="229" t="s">
        <v>28</v>
      </c>
      <c r="L4" s="206"/>
      <c r="M4" s="207"/>
      <c r="N4" s="64" t="s">
        <v>28</v>
      </c>
      <c r="O4" s="64" t="s">
        <v>21</v>
      </c>
      <c r="P4" s="64" t="s">
        <v>29</v>
      </c>
      <c r="Q4" s="64" t="s">
        <v>29</v>
      </c>
      <c r="R4" s="63" t="s">
        <v>21</v>
      </c>
      <c r="S4" s="64" t="s">
        <v>21</v>
      </c>
      <c r="T4" s="64"/>
      <c r="U4" s="62"/>
      <c r="W4" s="87">
        <v>0</v>
      </c>
      <c r="X4" s="68">
        <f>S7</f>
        <v>1.5368353849999998</v>
      </c>
      <c r="Y4" s="68">
        <f>U7</f>
        <v>4.9539653988575134E-2</v>
      </c>
      <c r="Z4" s="68"/>
      <c r="AA4" s="114"/>
      <c r="AB4" s="114"/>
      <c r="AC4" s="114"/>
    </row>
    <row r="5" spans="1:29" x14ac:dyDescent="0.15">
      <c r="A5" s="41"/>
      <c r="B5" s="252" t="s">
        <v>8</v>
      </c>
      <c r="C5" s="254">
        <v>0.47916666666666669</v>
      </c>
      <c r="D5" s="218">
        <v>0</v>
      </c>
      <c r="E5" s="226">
        <v>1</v>
      </c>
      <c r="F5" s="120" t="s">
        <v>110</v>
      </c>
      <c r="G5" s="258">
        <f>(0.076+0.073)/2</f>
        <v>7.4499999999999997E-2</v>
      </c>
      <c r="H5" s="136">
        <f>0.805-G5</f>
        <v>0.73050000000000004</v>
      </c>
      <c r="I5" s="137">
        <f>0.809-G5</f>
        <v>0.73450000000000004</v>
      </c>
      <c r="J5" s="137">
        <f>0.804-G5</f>
        <v>0.72950000000000004</v>
      </c>
      <c r="K5" s="68">
        <f t="shared" ref="K5:K10" si="0">5.0379*H5</f>
        <v>3.6801859499999998</v>
      </c>
      <c r="L5" s="68">
        <f t="shared" ref="L5:M10" si="1">5.0379*I5</f>
        <v>3.70033755</v>
      </c>
      <c r="M5" s="68">
        <f t="shared" si="1"/>
        <v>3.6751480499999998</v>
      </c>
      <c r="N5" s="68">
        <f>AVERAGE(K5:M5)</f>
        <v>3.6852238499999999</v>
      </c>
      <c r="O5" s="68">
        <f>N5/10</f>
        <v>0.36852238500000001</v>
      </c>
      <c r="P5" s="68">
        <f>O5/14</f>
        <v>2.6323027500000002E-2</v>
      </c>
      <c r="Q5" s="68">
        <f>P5</f>
        <v>2.6323027500000002E-2</v>
      </c>
      <c r="R5" s="68">
        <f>Q5*62</f>
        <v>1.6320277050000001</v>
      </c>
      <c r="S5" s="122"/>
      <c r="T5" s="58"/>
      <c r="U5" s="67"/>
      <c r="W5" s="87">
        <f>D8</f>
        <v>48.5</v>
      </c>
      <c r="X5" s="68">
        <f>S10</f>
        <v>1.4441220316666665</v>
      </c>
      <c r="Y5" s="68">
        <f>U10</f>
        <v>1.0072661136744335E-2</v>
      </c>
      <c r="Z5" s="68"/>
      <c r="AA5" s="161"/>
      <c r="AB5" s="161"/>
      <c r="AC5" s="161"/>
    </row>
    <row r="6" spans="1:29" x14ac:dyDescent="0.15">
      <c r="A6" s="41"/>
      <c r="B6" s="252"/>
      <c r="C6" s="254"/>
      <c r="D6" s="218"/>
      <c r="E6" s="226"/>
      <c r="F6" s="120" t="s">
        <v>111</v>
      </c>
      <c r="G6" s="255"/>
      <c r="H6" s="68">
        <f>0.706-G5</f>
        <v>0.63149999999999995</v>
      </c>
      <c r="I6" s="68">
        <f>0.771-G5</f>
        <v>0.69650000000000001</v>
      </c>
      <c r="J6" s="68">
        <f>0.781-G5</f>
        <v>0.70650000000000002</v>
      </c>
      <c r="K6" s="68">
        <f t="shared" si="0"/>
        <v>3.1814338499999995</v>
      </c>
      <c r="L6" s="68">
        <f t="shared" si="1"/>
        <v>3.5088973499999998</v>
      </c>
      <c r="M6" s="68">
        <f t="shared" si="1"/>
        <v>3.5592763499999998</v>
      </c>
      <c r="N6" s="68">
        <f>AVERAGE(K6:M6)</f>
        <v>3.4165358499999994</v>
      </c>
      <c r="O6" s="68">
        <f t="shared" ref="O6:O22" si="2">N6/10</f>
        <v>0.34165358499999993</v>
      </c>
      <c r="P6" s="68">
        <f t="shared" ref="P6:P34" si="3">O6/14</f>
        <v>2.4403827499999996E-2</v>
      </c>
      <c r="Q6" s="68">
        <f t="shared" ref="Q6:Q34" si="4">P6</f>
        <v>2.4403827499999996E-2</v>
      </c>
      <c r="R6" s="68">
        <f t="shared" ref="R6:R34" si="5">Q6*62</f>
        <v>1.5130373049999997</v>
      </c>
      <c r="S6" s="122"/>
      <c r="T6" s="58"/>
      <c r="U6" s="67"/>
      <c r="W6" s="87">
        <f>D11</f>
        <v>95</v>
      </c>
      <c r="X6" s="68">
        <f>S13</f>
        <v>1.3501142142857141</v>
      </c>
      <c r="Y6" s="68">
        <f>U13</f>
        <v>7.8554211008903127E-2</v>
      </c>
      <c r="Z6" s="68"/>
      <c r="AA6" s="161"/>
      <c r="AB6" s="161"/>
      <c r="AC6" s="161"/>
    </row>
    <row r="7" spans="1:29" x14ac:dyDescent="0.15">
      <c r="A7" s="41"/>
      <c r="B7" s="252"/>
      <c r="C7" s="254"/>
      <c r="D7" s="218"/>
      <c r="E7" s="227"/>
      <c r="F7" s="151" t="s">
        <v>112</v>
      </c>
      <c r="G7" s="256"/>
      <c r="H7" s="74">
        <f>0.739-G5</f>
        <v>0.66449999999999998</v>
      </c>
      <c r="I7" s="74">
        <f>0.744-G5</f>
        <v>0.66949999999999998</v>
      </c>
      <c r="J7" s="74">
        <f>0.711-G5</f>
        <v>0.63649999999999995</v>
      </c>
      <c r="K7" s="74">
        <f t="shared" si="0"/>
        <v>3.3476845499999994</v>
      </c>
      <c r="L7" s="74">
        <f t="shared" si="1"/>
        <v>3.3728740499999996</v>
      </c>
      <c r="M7" s="74">
        <f t="shared" si="1"/>
        <v>3.2066233499999997</v>
      </c>
      <c r="N7" s="74">
        <f>AVERAGE(K7:M7)</f>
        <v>3.3090606499999993</v>
      </c>
      <c r="O7" s="74">
        <f t="shared" si="2"/>
        <v>0.33090606499999992</v>
      </c>
      <c r="P7" s="74">
        <f t="shared" si="3"/>
        <v>2.3636147499999993E-2</v>
      </c>
      <c r="Q7" s="74">
        <f t="shared" si="4"/>
        <v>2.3636147499999993E-2</v>
      </c>
      <c r="R7" s="74">
        <f t="shared" si="5"/>
        <v>1.4654411449999996</v>
      </c>
      <c r="S7" s="118">
        <f>AVERAGE(R5:R7)</f>
        <v>1.5368353849999998</v>
      </c>
      <c r="T7" s="74">
        <f>STDEV(R5:R7)</f>
        <v>8.5805197697594315E-2</v>
      </c>
      <c r="U7" s="119">
        <f>T7/SQRT(3)</f>
        <v>4.9539653988575134E-2</v>
      </c>
      <c r="W7" s="87">
        <f>D14</f>
        <v>142.5</v>
      </c>
      <c r="X7" s="68">
        <f>S16</f>
        <v>1.208006277777778</v>
      </c>
      <c r="Y7" s="68">
        <f>U16</f>
        <v>6.3035810862258346E-2</v>
      </c>
      <c r="Z7" s="68"/>
      <c r="AA7" s="161"/>
      <c r="AB7" s="161"/>
      <c r="AC7" s="161"/>
    </row>
    <row r="8" spans="1:29" x14ac:dyDescent="0.15">
      <c r="A8" s="41"/>
      <c r="B8" s="252" t="s">
        <v>10</v>
      </c>
      <c r="C8" s="254">
        <v>0.50694444444444442</v>
      </c>
      <c r="D8" s="218">
        <v>48.5</v>
      </c>
      <c r="E8" s="226">
        <v>3</v>
      </c>
      <c r="F8" s="120" t="s">
        <v>110</v>
      </c>
      <c r="G8" s="255">
        <f>(0.076+0.073)/2</f>
        <v>7.4499999999999997E-2</v>
      </c>
      <c r="H8" s="68">
        <f>0.707-G8</f>
        <v>0.63249999999999995</v>
      </c>
      <c r="I8" s="68">
        <f>0.743-G8</f>
        <v>0.66849999999999998</v>
      </c>
      <c r="J8" s="68">
        <f>0.741-G8</f>
        <v>0.66649999999999998</v>
      </c>
      <c r="K8" s="68">
        <f t="shared" si="0"/>
        <v>3.1864717499999995</v>
      </c>
      <c r="L8" s="68">
        <f t="shared" si="1"/>
        <v>3.3678361499999996</v>
      </c>
      <c r="M8" s="68">
        <f t="shared" si="1"/>
        <v>3.3577603499999995</v>
      </c>
      <c r="N8" s="68">
        <f t="shared" ref="N8:N34" si="6">AVERAGE(K8:M8)</f>
        <v>3.3040227499999997</v>
      </c>
      <c r="O8" s="68">
        <f t="shared" si="2"/>
        <v>0.33040227499999997</v>
      </c>
      <c r="P8" s="68">
        <f t="shared" si="3"/>
        <v>2.3600162499999997E-2</v>
      </c>
      <c r="Q8" s="68">
        <f t="shared" si="4"/>
        <v>2.3600162499999997E-2</v>
      </c>
      <c r="R8" s="68">
        <f t="shared" si="5"/>
        <v>1.4632100749999999</v>
      </c>
      <c r="S8" s="147"/>
      <c r="T8" s="68"/>
      <c r="U8" s="91"/>
      <c r="W8" s="87">
        <f>D17</f>
        <v>192.5</v>
      </c>
      <c r="X8" s="68">
        <f>S19</f>
        <v>1.0339305212698413</v>
      </c>
      <c r="Y8" s="68">
        <f>U19</f>
        <v>9.7997688987461848E-2</v>
      </c>
      <c r="Z8" s="68"/>
      <c r="AA8" s="161"/>
      <c r="AB8" s="161"/>
      <c r="AC8" s="161"/>
    </row>
    <row r="9" spans="1:29" x14ac:dyDescent="0.15">
      <c r="A9" s="41"/>
      <c r="B9" s="252"/>
      <c r="C9" s="254"/>
      <c r="D9" s="218"/>
      <c r="E9" s="226"/>
      <c r="F9" s="120" t="s">
        <v>111</v>
      </c>
      <c r="G9" s="255"/>
      <c r="H9" s="68">
        <f>0.727-G8</f>
        <v>0.65249999999999997</v>
      </c>
      <c r="I9" s="68">
        <f>0.701-G8</f>
        <v>0.62649999999999995</v>
      </c>
      <c r="J9" s="68">
        <f>0.717-G8</f>
        <v>0.64249999999999996</v>
      </c>
      <c r="K9" s="68">
        <f t="shared" si="0"/>
        <v>3.2872297499999994</v>
      </c>
      <c r="L9" s="68">
        <f t="shared" si="1"/>
        <v>3.1562443499999997</v>
      </c>
      <c r="M9" s="68">
        <f t="shared" si="1"/>
        <v>3.2368507499999994</v>
      </c>
      <c r="N9" s="68">
        <f t="shared" si="6"/>
        <v>3.2267749499999994</v>
      </c>
      <c r="O9" s="68">
        <f t="shared" si="2"/>
        <v>0.32267749499999993</v>
      </c>
      <c r="P9" s="68">
        <f t="shared" si="3"/>
        <v>2.3048392499999994E-2</v>
      </c>
      <c r="Q9" s="68">
        <f t="shared" si="4"/>
        <v>2.3048392499999994E-2</v>
      </c>
      <c r="R9" s="68">
        <f t="shared" si="5"/>
        <v>1.4290003349999996</v>
      </c>
      <c r="S9" s="147"/>
      <c r="T9" s="68"/>
      <c r="U9" s="91"/>
      <c r="W9" s="87">
        <f>D20</f>
        <v>238.5</v>
      </c>
      <c r="X9" s="68">
        <f>S22</f>
        <v>0.8954672301587302</v>
      </c>
      <c r="Y9" s="68">
        <f>U22</f>
        <v>0.13439074846868185</v>
      </c>
      <c r="Z9" s="68"/>
      <c r="AA9" s="161"/>
      <c r="AB9" s="161"/>
      <c r="AC9" s="161"/>
    </row>
    <row r="10" spans="1:29" x14ac:dyDescent="0.15">
      <c r="A10" s="41"/>
      <c r="B10" s="252"/>
      <c r="C10" s="254"/>
      <c r="D10" s="218"/>
      <c r="E10" s="227"/>
      <c r="F10" s="151" t="s">
        <v>112</v>
      </c>
      <c r="G10" s="256"/>
      <c r="H10" s="74">
        <f>0.711-G8</f>
        <v>0.63649999999999995</v>
      </c>
      <c r="I10" s="74">
        <f>0.701-G8</f>
        <v>0.62649999999999995</v>
      </c>
      <c r="J10" s="74">
        <f>0.748-G8</f>
        <v>0.67349999999999999</v>
      </c>
      <c r="K10" s="74">
        <f t="shared" si="0"/>
        <v>3.2066233499999997</v>
      </c>
      <c r="L10" s="74">
        <f t="shared" si="1"/>
        <v>3.1562443499999997</v>
      </c>
      <c r="M10" s="74">
        <f t="shared" si="1"/>
        <v>3.3930256499999998</v>
      </c>
      <c r="N10" s="74">
        <f t="shared" si="6"/>
        <v>3.2519644499999996</v>
      </c>
      <c r="O10" s="74">
        <f t="shared" si="2"/>
        <v>0.32519644499999995</v>
      </c>
      <c r="P10" s="74">
        <f t="shared" si="3"/>
        <v>2.3228317499999995E-2</v>
      </c>
      <c r="Q10" s="74">
        <f t="shared" si="4"/>
        <v>2.3228317499999995E-2</v>
      </c>
      <c r="R10" s="74">
        <f t="shared" si="5"/>
        <v>1.4401556849999997</v>
      </c>
      <c r="S10" s="118">
        <f>AVERAGE(R8:R10)</f>
        <v>1.4441220316666665</v>
      </c>
      <c r="T10" s="74">
        <f>STDEV(R8:R10)</f>
        <v>1.7446360856265671E-2</v>
      </c>
      <c r="U10" s="119">
        <f>T10/SQRT(3)</f>
        <v>1.0072661136744335E-2</v>
      </c>
      <c r="W10" s="87">
        <f>D23</f>
        <v>286.5</v>
      </c>
      <c r="X10" s="68">
        <f>S25</f>
        <v>0.72057047555555565</v>
      </c>
      <c r="Y10" s="68">
        <f>U25</f>
        <v>0.11046897880397299</v>
      </c>
      <c r="Z10" s="68"/>
      <c r="AA10" s="161"/>
      <c r="AB10" s="161"/>
      <c r="AC10" s="161"/>
    </row>
    <row r="11" spans="1:29" x14ac:dyDescent="0.15">
      <c r="A11" s="41"/>
      <c r="B11" s="215" t="s">
        <v>12</v>
      </c>
      <c r="C11" s="254">
        <v>0.44444444444444442</v>
      </c>
      <c r="D11" s="218">
        <v>95</v>
      </c>
      <c r="E11" s="226">
        <v>5</v>
      </c>
      <c r="F11" s="120" t="s">
        <v>110</v>
      </c>
      <c r="G11" s="255">
        <v>7.8666666666666663E-2</v>
      </c>
      <c r="H11" s="68">
        <f>0.671-G11</f>
        <v>0.59233333333333338</v>
      </c>
      <c r="I11" s="68">
        <f>0.702-G11</f>
        <v>0.62333333333333329</v>
      </c>
      <c r="J11" s="68">
        <f>0.7-G11</f>
        <v>0.62133333333333329</v>
      </c>
      <c r="K11" s="68">
        <f t="shared" ref="K11:K16" si="7">5.415*H11</f>
        <v>3.2074850000000001</v>
      </c>
      <c r="L11" s="68">
        <f t="shared" ref="L11:M16" si="8">5.415*I11</f>
        <v>3.3753499999999996</v>
      </c>
      <c r="M11" s="68">
        <f t="shared" si="8"/>
        <v>3.3645199999999997</v>
      </c>
      <c r="N11" s="68">
        <f t="shared" si="6"/>
        <v>3.3157849999999995</v>
      </c>
      <c r="O11" s="68">
        <f t="shared" si="2"/>
        <v>0.33157849999999994</v>
      </c>
      <c r="P11" s="68">
        <f t="shared" si="3"/>
        <v>2.3684178571428568E-2</v>
      </c>
      <c r="Q11" s="68">
        <f t="shared" si="4"/>
        <v>2.3684178571428568E-2</v>
      </c>
      <c r="R11" s="68">
        <f t="shared" si="5"/>
        <v>1.4684190714285712</v>
      </c>
      <c r="S11" s="147"/>
      <c r="T11" s="68"/>
      <c r="U11" s="91"/>
      <c r="W11" s="87">
        <f>D26</f>
        <v>335.5</v>
      </c>
      <c r="X11" s="68">
        <f>S28</f>
        <v>0.69572321777777768</v>
      </c>
      <c r="Y11" s="68">
        <f>U28</f>
        <v>0.14098118000000001</v>
      </c>
      <c r="Z11" s="68"/>
      <c r="AA11" s="161"/>
      <c r="AB11" s="161"/>
      <c r="AC11" s="161"/>
    </row>
    <row r="12" spans="1:29" ht="15" customHeight="1" x14ac:dyDescent="0.15">
      <c r="A12" s="41"/>
      <c r="B12" s="215"/>
      <c r="C12" s="254"/>
      <c r="D12" s="218"/>
      <c r="E12" s="226"/>
      <c r="F12" s="120" t="s">
        <v>111</v>
      </c>
      <c r="G12" s="255"/>
      <c r="H12" s="68">
        <f>0.605-G11</f>
        <v>0.52633333333333332</v>
      </c>
      <c r="I12" s="68">
        <f>0.526-G11</f>
        <v>0.44733333333333336</v>
      </c>
      <c r="J12" s="68">
        <f>0.608-G11</f>
        <v>0.52933333333333332</v>
      </c>
      <c r="K12" s="68">
        <f t="shared" si="7"/>
        <v>2.850095</v>
      </c>
      <c r="L12" s="68">
        <f t="shared" si="8"/>
        <v>2.42231</v>
      </c>
      <c r="M12" s="68">
        <f t="shared" si="8"/>
        <v>2.8663400000000001</v>
      </c>
      <c r="N12" s="68">
        <f t="shared" si="6"/>
        <v>2.7129150000000002</v>
      </c>
      <c r="O12" s="68">
        <f t="shared" si="2"/>
        <v>0.27129150000000002</v>
      </c>
      <c r="P12" s="68">
        <f t="shared" si="3"/>
        <v>1.9377964285714287E-2</v>
      </c>
      <c r="Q12" s="68">
        <f t="shared" si="4"/>
        <v>1.9377964285714287E-2</v>
      </c>
      <c r="R12" s="68">
        <f t="shared" si="5"/>
        <v>1.2014337857142858</v>
      </c>
      <c r="S12" s="147"/>
      <c r="T12" s="68"/>
      <c r="U12" s="91"/>
      <c r="W12" s="87">
        <f>D29</f>
        <v>385.5</v>
      </c>
      <c r="X12" s="68">
        <f>S31</f>
        <v>0.59120268777777774</v>
      </c>
      <c r="Y12" s="68">
        <f>U31</f>
        <v>1.190416936374061E-2</v>
      </c>
      <c r="Z12" s="68"/>
      <c r="AA12" s="161"/>
      <c r="AB12" s="161"/>
      <c r="AC12" s="161"/>
    </row>
    <row r="13" spans="1:29" ht="15" customHeight="1" x14ac:dyDescent="0.15">
      <c r="A13" s="41"/>
      <c r="B13" s="216"/>
      <c r="C13" s="257"/>
      <c r="D13" s="219"/>
      <c r="E13" s="227"/>
      <c r="F13" s="151" t="s">
        <v>112</v>
      </c>
      <c r="G13" s="256"/>
      <c r="H13" s="74">
        <f>0.582-G11</f>
        <v>0.5033333333333333</v>
      </c>
      <c r="I13" s="74">
        <f>0.609-G11</f>
        <v>0.53033333333333332</v>
      </c>
      <c r="J13" s="74">
        <f>0.772-G11</f>
        <v>0.69333333333333336</v>
      </c>
      <c r="K13" s="74">
        <f t="shared" si="7"/>
        <v>2.7255499999999997</v>
      </c>
      <c r="L13" s="74">
        <f t="shared" si="8"/>
        <v>2.8717549999999998</v>
      </c>
      <c r="M13" s="74">
        <f t="shared" si="8"/>
        <v>3.7544</v>
      </c>
      <c r="N13" s="74">
        <f t="shared" si="6"/>
        <v>3.1172349999999995</v>
      </c>
      <c r="O13" s="74">
        <f t="shared" si="2"/>
        <v>0.31172349999999993</v>
      </c>
      <c r="P13" s="74">
        <f t="shared" si="3"/>
        <v>2.2265964285714281E-2</v>
      </c>
      <c r="Q13" s="74">
        <f t="shared" si="4"/>
        <v>2.2265964285714281E-2</v>
      </c>
      <c r="R13" s="74">
        <f t="shared" si="5"/>
        <v>1.3804897857142855</v>
      </c>
      <c r="S13" s="118">
        <f>AVERAGE(R11:R13)</f>
        <v>1.3501142142857141</v>
      </c>
      <c r="T13" s="74">
        <f>STDEV(R11:R13)</f>
        <v>0.13605988461590665</v>
      </c>
      <c r="U13" s="119">
        <f>T13/SQRT(3)</f>
        <v>7.8554211008903127E-2</v>
      </c>
      <c r="W13" s="87">
        <f>D32</f>
        <v>432</v>
      </c>
      <c r="X13" s="68">
        <f>S34</f>
        <v>0.5208471372222222</v>
      </c>
      <c r="Y13" s="68">
        <f>U34</f>
        <v>1.3538335709679824E-2</v>
      </c>
      <c r="Z13" s="68"/>
      <c r="AA13" s="161"/>
      <c r="AB13" s="161"/>
      <c r="AC13" s="161"/>
    </row>
    <row r="14" spans="1:29" x14ac:dyDescent="0.15">
      <c r="A14" s="41"/>
      <c r="B14" s="251" t="s">
        <v>30</v>
      </c>
      <c r="C14" s="253">
        <v>0.41666666666666669</v>
      </c>
      <c r="D14" s="217">
        <v>142.5</v>
      </c>
      <c r="E14" s="226">
        <v>7</v>
      </c>
      <c r="F14" s="120" t="s">
        <v>110</v>
      </c>
      <c r="G14" s="255">
        <v>7.8666666666666663E-2</v>
      </c>
      <c r="H14" s="68">
        <f>0.617-G14</f>
        <v>0.53833333333333333</v>
      </c>
      <c r="I14" s="68">
        <f>0.65-G14</f>
        <v>0.57133333333333336</v>
      </c>
      <c r="J14" s="68">
        <f>0.634-G14</f>
        <v>0.55533333333333335</v>
      </c>
      <c r="K14" s="68">
        <f t="shared" si="7"/>
        <v>2.9150749999999999</v>
      </c>
      <c r="L14" s="68">
        <f t="shared" si="8"/>
        <v>3.0937700000000001</v>
      </c>
      <c r="M14" s="68">
        <f t="shared" si="8"/>
        <v>3.0071300000000001</v>
      </c>
      <c r="N14" s="68">
        <f t="shared" si="6"/>
        <v>3.0053250000000005</v>
      </c>
      <c r="O14" s="68">
        <f t="shared" si="2"/>
        <v>0.30053250000000004</v>
      </c>
      <c r="P14" s="68">
        <f t="shared" si="3"/>
        <v>2.1466607142857145E-2</v>
      </c>
      <c r="Q14" s="68">
        <f t="shared" si="4"/>
        <v>2.1466607142857145E-2</v>
      </c>
      <c r="R14" s="68">
        <f t="shared" si="5"/>
        <v>1.3309296428571429</v>
      </c>
      <c r="S14" s="122"/>
      <c r="T14" s="58"/>
      <c r="U14" s="67"/>
      <c r="W14" s="58"/>
      <c r="X14" s="68"/>
      <c r="Y14" s="68"/>
      <c r="Z14" s="68"/>
      <c r="AA14" s="68"/>
    </row>
    <row r="15" spans="1:29" x14ac:dyDescent="0.15">
      <c r="B15" s="252"/>
      <c r="C15" s="254"/>
      <c r="D15" s="218"/>
      <c r="E15" s="226"/>
      <c r="F15" s="120" t="s">
        <v>111</v>
      </c>
      <c r="G15" s="255"/>
      <c r="H15" s="68">
        <f>0.542-G14</f>
        <v>0.46333333333333337</v>
      </c>
      <c r="I15" s="68">
        <f>0.549-G14</f>
        <v>0.47033333333333338</v>
      </c>
      <c r="J15" s="68">
        <f>0.549-G14</f>
        <v>0.47033333333333338</v>
      </c>
      <c r="K15" s="68">
        <f t="shared" si="7"/>
        <v>2.5089500000000005</v>
      </c>
      <c r="L15" s="68">
        <f t="shared" si="8"/>
        <v>2.5468550000000003</v>
      </c>
      <c r="M15" s="68">
        <f t="shared" si="8"/>
        <v>2.5468550000000003</v>
      </c>
      <c r="N15" s="68">
        <f t="shared" si="6"/>
        <v>2.5342200000000008</v>
      </c>
      <c r="O15" s="68">
        <f t="shared" si="2"/>
        <v>0.25342200000000009</v>
      </c>
      <c r="P15" s="68">
        <f t="shared" si="3"/>
        <v>1.8101571428571436E-2</v>
      </c>
      <c r="Q15" s="68">
        <f t="shared" si="4"/>
        <v>1.8101571428571436E-2</v>
      </c>
      <c r="R15" s="68">
        <f t="shared" si="5"/>
        <v>1.1222974285714291</v>
      </c>
      <c r="S15" s="122"/>
      <c r="T15" s="58"/>
      <c r="U15" s="67"/>
      <c r="W15" s="58"/>
      <c r="X15" s="68"/>
      <c r="Y15" s="68"/>
      <c r="Z15" s="68"/>
      <c r="AA15" s="68"/>
    </row>
    <row r="16" spans="1:29" x14ac:dyDescent="0.15">
      <c r="B16" s="252"/>
      <c r="C16" s="254"/>
      <c r="D16" s="218"/>
      <c r="E16" s="227"/>
      <c r="F16" s="151" t="s">
        <v>112</v>
      </c>
      <c r="G16" s="256"/>
      <c r="H16" s="74">
        <f>0.534-G14</f>
        <v>0.45533333333333337</v>
      </c>
      <c r="I16" s="74">
        <f>0.538-G14</f>
        <v>0.45933333333333337</v>
      </c>
      <c r="J16" s="74">
        <f>0.55</f>
        <v>0.55000000000000004</v>
      </c>
      <c r="K16" s="74">
        <f t="shared" si="7"/>
        <v>2.46563</v>
      </c>
      <c r="L16" s="74">
        <f t="shared" si="8"/>
        <v>2.4872900000000002</v>
      </c>
      <c r="M16" s="74">
        <f t="shared" si="8"/>
        <v>2.9782500000000001</v>
      </c>
      <c r="N16" s="74">
        <f t="shared" si="6"/>
        <v>2.6437233333333334</v>
      </c>
      <c r="O16" s="74">
        <f t="shared" si="2"/>
        <v>0.26437233333333332</v>
      </c>
      <c r="P16" s="74">
        <f t="shared" si="3"/>
        <v>1.8883738095238096E-2</v>
      </c>
      <c r="Q16" s="74">
        <f t="shared" si="4"/>
        <v>1.8883738095238096E-2</v>
      </c>
      <c r="R16" s="74">
        <f t="shared" si="5"/>
        <v>1.1707917619047619</v>
      </c>
      <c r="S16" s="118">
        <f>AVERAGE(R14:R16)</f>
        <v>1.208006277777778</v>
      </c>
      <c r="T16" s="74">
        <f>STDEV(R14:R16)</f>
        <v>0.10918122710973358</v>
      </c>
      <c r="U16" s="119">
        <f>T16/SQRT(3)</f>
        <v>6.3035810862258346E-2</v>
      </c>
      <c r="W16" s="58"/>
      <c r="X16" s="68"/>
      <c r="Y16" s="68"/>
      <c r="Z16" s="68"/>
      <c r="AA16" s="68"/>
    </row>
    <row r="17" spans="2:27" x14ac:dyDescent="0.15">
      <c r="B17" s="215" t="s">
        <v>32</v>
      </c>
      <c r="C17" s="254">
        <v>0.5</v>
      </c>
      <c r="D17" s="218">
        <v>192.5</v>
      </c>
      <c r="E17" s="226">
        <v>9</v>
      </c>
      <c r="F17" s="120" t="s">
        <v>110</v>
      </c>
      <c r="G17" s="255">
        <v>8.1000000000000003E-2</v>
      </c>
      <c r="H17" s="68">
        <f>0.58-G17</f>
        <v>0.49899999999999994</v>
      </c>
      <c r="I17" s="68">
        <f>0.599-G17</f>
        <v>0.51800000000000002</v>
      </c>
      <c r="J17" s="68">
        <f>0.593-G17</f>
        <v>0.51200000000000001</v>
      </c>
      <c r="K17" s="68">
        <f t="shared" ref="K17:K22" si="9">5.4323*H17</f>
        <v>2.7107176999999996</v>
      </c>
      <c r="L17" s="68">
        <f t="shared" ref="L17:M22" si="10">5.4323*I17</f>
        <v>2.8139314</v>
      </c>
      <c r="M17" s="68">
        <f t="shared" si="10"/>
        <v>2.7813376000000001</v>
      </c>
      <c r="N17" s="68">
        <f t="shared" si="6"/>
        <v>2.7686622333333335</v>
      </c>
      <c r="O17" s="68">
        <f t="shared" si="2"/>
        <v>0.27686622333333333</v>
      </c>
      <c r="P17" s="68">
        <f t="shared" si="3"/>
        <v>1.9776158809523808E-2</v>
      </c>
      <c r="Q17" s="68">
        <f t="shared" si="4"/>
        <v>1.9776158809523808E-2</v>
      </c>
      <c r="R17" s="68">
        <f t="shared" si="5"/>
        <v>1.2261218461904762</v>
      </c>
      <c r="S17" s="122"/>
      <c r="T17" s="58"/>
      <c r="U17" s="67"/>
      <c r="W17" s="58"/>
      <c r="X17" s="68"/>
      <c r="Y17" s="68"/>
      <c r="Z17" s="68"/>
      <c r="AA17" s="68"/>
    </row>
    <row r="18" spans="2:27" x14ac:dyDescent="0.15">
      <c r="B18" s="215"/>
      <c r="C18" s="254"/>
      <c r="D18" s="218"/>
      <c r="E18" s="226"/>
      <c r="F18" s="120" t="s">
        <v>111</v>
      </c>
      <c r="G18" s="255"/>
      <c r="H18" s="68">
        <f>0.476-G17</f>
        <v>0.39499999999999996</v>
      </c>
      <c r="I18" s="68">
        <f>0.482-G17</f>
        <v>0.40099999999999997</v>
      </c>
      <c r="J18" s="68">
        <f>0.496-G17</f>
        <v>0.41499999999999998</v>
      </c>
      <c r="K18" s="68">
        <f t="shared" si="9"/>
        <v>2.1457584999999995</v>
      </c>
      <c r="L18" s="68">
        <f t="shared" si="10"/>
        <v>2.1783522999999998</v>
      </c>
      <c r="M18" s="68">
        <f t="shared" si="10"/>
        <v>2.2544044999999997</v>
      </c>
      <c r="N18" s="68">
        <f t="shared" si="6"/>
        <v>2.1928384333333333</v>
      </c>
      <c r="O18" s="68">
        <f t="shared" si="2"/>
        <v>0.21928384333333334</v>
      </c>
      <c r="P18" s="68">
        <f t="shared" si="3"/>
        <v>1.5663131666666667E-2</v>
      </c>
      <c r="Q18" s="68">
        <f t="shared" si="4"/>
        <v>1.5663131666666667E-2</v>
      </c>
      <c r="R18" s="68">
        <f t="shared" si="5"/>
        <v>0.97111416333333334</v>
      </c>
      <c r="S18" s="122"/>
      <c r="T18" s="58"/>
      <c r="U18" s="67"/>
      <c r="W18" s="58"/>
      <c r="X18" s="68"/>
      <c r="Y18" s="68"/>
      <c r="Z18" s="68"/>
      <c r="AA18" s="68"/>
    </row>
    <row r="19" spans="2:27" x14ac:dyDescent="0.15">
      <c r="B19" s="216"/>
      <c r="C19" s="257"/>
      <c r="D19" s="219"/>
      <c r="E19" s="227"/>
      <c r="F19" s="151" t="s">
        <v>112</v>
      </c>
      <c r="G19" s="256"/>
      <c r="H19" s="74">
        <f>0.449-G17</f>
        <v>0.36799999999999999</v>
      </c>
      <c r="I19" s="74">
        <f>0.458-G17</f>
        <v>0.377</v>
      </c>
      <c r="J19" s="74">
        <f>0.464-G17</f>
        <v>0.38300000000000001</v>
      </c>
      <c r="K19" s="74">
        <f t="shared" si="9"/>
        <v>1.9990863999999999</v>
      </c>
      <c r="L19" s="74">
        <f t="shared" si="10"/>
        <v>2.0479770999999998</v>
      </c>
      <c r="M19" s="74">
        <f t="shared" si="10"/>
        <v>2.0805709000000001</v>
      </c>
      <c r="N19" s="74">
        <f t="shared" si="6"/>
        <v>2.0425447999999999</v>
      </c>
      <c r="O19" s="74">
        <f t="shared" si="2"/>
        <v>0.20425447999999999</v>
      </c>
      <c r="P19" s="74">
        <f t="shared" si="3"/>
        <v>1.4589605714285714E-2</v>
      </c>
      <c r="Q19" s="74">
        <f t="shared" si="4"/>
        <v>1.4589605714285714E-2</v>
      </c>
      <c r="R19" s="74">
        <f t="shared" si="5"/>
        <v>0.90455555428571432</v>
      </c>
      <c r="S19" s="118">
        <f>AVERAGE(R17:R19)</f>
        <v>1.0339305212698413</v>
      </c>
      <c r="T19" s="74">
        <f>STDEV(R17:R19)</f>
        <v>0.16973697635061696</v>
      </c>
      <c r="U19" s="119">
        <f>T19/SQRT(3)</f>
        <v>9.7997688987461848E-2</v>
      </c>
      <c r="W19" s="58"/>
      <c r="X19" s="68"/>
      <c r="Y19" s="68"/>
      <c r="Z19" s="68"/>
      <c r="AA19" s="68"/>
    </row>
    <row r="20" spans="2:27" x14ac:dyDescent="0.15">
      <c r="B20" s="214" t="s">
        <v>34</v>
      </c>
      <c r="C20" s="253">
        <v>0.40625</v>
      </c>
      <c r="D20" s="217">
        <v>238.5</v>
      </c>
      <c r="E20" s="226">
        <v>11</v>
      </c>
      <c r="F20" s="120" t="s">
        <v>110</v>
      </c>
      <c r="G20" s="255">
        <v>8.1000000000000003E-2</v>
      </c>
      <c r="H20" s="68">
        <f>0.509-G20</f>
        <v>0.42799999999999999</v>
      </c>
      <c r="I20" s="68">
        <f>0.525-G20</f>
        <v>0.44400000000000001</v>
      </c>
      <c r="J20" s="68">
        <f>0.509-G20</f>
        <v>0.42799999999999999</v>
      </c>
      <c r="K20" s="68">
        <f t="shared" si="9"/>
        <v>2.3250243999999998</v>
      </c>
      <c r="L20" s="68">
        <f t="shared" si="10"/>
        <v>2.4119411999999998</v>
      </c>
      <c r="M20" s="68">
        <f t="shared" si="10"/>
        <v>2.3250243999999998</v>
      </c>
      <c r="N20" s="68">
        <f t="shared" si="6"/>
        <v>2.3539966666666667</v>
      </c>
      <c r="O20" s="68">
        <f t="shared" si="2"/>
        <v>0.23539966666666667</v>
      </c>
      <c r="P20" s="68">
        <f t="shared" si="3"/>
        <v>1.6814261904761905E-2</v>
      </c>
      <c r="Q20" s="68">
        <f t="shared" si="4"/>
        <v>1.6814261904761905E-2</v>
      </c>
      <c r="R20" s="68">
        <f t="shared" si="5"/>
        <v>1.0424842380952382</v>
      </c>
      <c r="S20" s="147"/>
      <c r="T20" s="68"/>
      <c r="U20" s="91"/>
      <c r="W20" s="58"/>
      <c r="X20" s="68"/>
      <c r="Y20" s="68"/>
      <c r="Z20" s="68"/>
      <c r="AA20" s="68"/>
    </row>
    <row r="21" spans="2:27" x14ac:dyDescent="0.15">
      <c r="B21" s="215"/>
      <c r="C21" s="254"/>
      <c r="D21" s="218"/>
      <c r="E21" s="226"/>
      <c r="F21" s="120" t="s">
        <v>111</v>
      </c>
      <c r="G21" s="255"/>
      <c r="H21" s="68">
        <f>0.503-G20</f>
        <v>0.42199999999999999</v>
      </c>
      <c r="I21" s="68">
        <f>0.492-G20</f>
        <v>0.41099999999999998</v>
      </c>
      <c r="J21" s="68">
        <f>0.516-G20</f>
        <v>0.435</v>
      </c>
      <c r="K21" s="68">
        <f t="shared" si="9"/>
        <v>2.2924305999999999</v>
      </c>
      <c r="L21" s="68">
        <f t="shared" si="10"/>
        <v>2.2326752999999999</v>
      </c>
      <c r="M21" s="68">
        <f t="shared" si="10"/>
        <v>2.3630504999999999</v>
      </c>
      <c r="N21" s="68">
        <f t="shared" si="6"/>
        <v>2.2960521333333332</v>
      </c>
      <c r="O21" s="68">
        <f t="shared" si="2"/>
        <v>0.22960521333333334</v>
      </c>
      <c r="P21" s="68">
        <f t="shared" si="3"/>
        <v>1.6400372380952381E-2</v>
      </c>
      <c r="Q21" s="68">
        <f t="shared" si="4"/>
        <v>1.6400372380952381E-2</v>
      </c>
      <c r="R21" s="68">
        <f t="shared" si="5"/>
        <v>1.0168230876190476</v>
      </c>
      <c r="S21" s="147"/>
      <c r="T21" s="68"/>
      <c r="U21" s="91"/>
      <c r="W21" s="58"/>
      <c r="X21" s="68"/>
      <c r="Y21" s="68"/>
      <c r="Z21" s="68"/>
      <c r="AA21" s="68"/>
    </row>
    <row r="22" spans="2:27" x14ac:dyDescent="0.15">
      <c r="B22" s="215"/>
      <c r="C22" s="254"/>
      <c r="D22" s="218"/>
      <c r="E22" s="227"/>
      <c r="F22" s="151" t="s">
        <v>112</v>
      </c>
      <c r="G22" s="256"/>
      <c r="H22" s="74">
        <f>0.362-G20</f>
        <v>0.28099999999999997</v>
      </c>
      <c r="I22" s="74">
        <f>0.33-G20</f>
        <v>0.249</v>
      </c>
      <c r="J22" s="74">
        <f>0.333-G20</f>
        <v>0.252</v>
      </c>
      <c r="K22" s="74">
        <f t="shared" si="9"/>
        <v>1.5264762999999997</v>
      </c>
      <c r="L22" s="74">
        <f t="shared" si="10"/>
        <v>1.3526426999999999</v>
      </c>
      <c r="M22" s="74">
        <f t="shared" si="10"/>
        <v>1.3689396</v>
      </c>
      <c r="N22" s="74">
        <f t="shared" si="6"/>
        <v>1.4160195333333332</v>
      </c>
      <c r="O22" s="74">
        <f t="shared" si="2"/>
        <v>0.14160195333333331</v>
      </c>
      <c r="P22" s="74">
        <f t="shared" si="3"/>
        <v>1.0114425238095236E-2</v>
      </c>
      <c r="Q22" s="74">
        <f t="shared" si="4"/>
        <v>1.0114425238095236E-2</v>
      </c>
      <c r="R22" s="74">
        <f t="shared" si="5"/>
        <v>0.62709436476190461</v>
      </c>
      <c r="S22" s="118">
        <f>AVERAGE(R20:R22)</f>
        <v>0.8954672301587302</v>
      </c>
      <c r="T22" s="74">
        <f>STDEV(R20:R22)</f>
        <v>0.23277160441496622</v>
      </c>
      <c r="U22" s="119">
        <f>T22/SQRT(3)</f>
        <v>0.13439074846868185</v>
      </c>
      <c r="W22" s="58"/>
      <c r="X22" s="68"/>
      <c r="Y22" s="68"/>
      <c r="Z22" s="68"/>
      <c r="AA22" s="68"/>
    </row>
    <row r="23" spans="2:27" x14ac:dyDescent="0.15">
      <c r="B23" s="215" t="s">
        <v>36</v>
      </c>
      <c r="C23" s="254">
        <v>0.40625</v>
      </c>
      <c r="D23" s="218">
        <v>286.5</v>
      </c>
      <c r="E23" s="226">
        <v>13</v>
      </c>
      <c r="F23" s="120" t="s">
        <v>110</v>
      </c>
      <c r="G23" s="255">
        <v>7.8E-2</v>
      </c>
      <c r="H23" s="68">
        <f>0.611-G23</f>
        <v>0.53300000000000003</v>
      </c>
      <c r="I23" s="68">
        <f>0.664-G23</f>
        <v>0.58600000000000008</v>
      </c>
      <c r="J23" s="68">
        <f>0.629-G23</f>
        <v>0.55100000000000005</v>
      </c>
      <c r="K23" s="68">
        <f t="shared" ref="K23:K31" si="11">5.4887*H23</f>
        <v>2.9254771000000002</v>
      </c>
      <c r="L23" s="68">
        <f t="shared" ref="L23:M31" si="12">5.4887*I23</f>
        <v>3.2163782000000003</v>
      </c>
      <c r="M23" s="68">
        <f t="shared" si="12"/>
        <v>3.0242737000000002</v>
      </c>
      <c r="N23" s="68">
        <f t="shared" si="6"/>
        <v>3.0553763333333337</v>
      </c>
      <c r="O23" s="68">
        <f>N23/15</f>
        <v>0.20369175555555558</v>
      </c>
      <c r="P23" s="68">
        <f t="shared" si="3"/>
        <v>1.4549411111111113E-2</v>
      </c>
      <c r="Q23" s="68">
        <f t="shared" si="4"/>
        <v>1.4549411111111113E-2</v>
      </c>
      <c r="R23" s="68">
        <f t="shared" si="5"/>
        <v>0.90206348888888899</v>
      </c>
      <c r="S23" s="147"/>
      <c r="T23" s="68"/>
      <c r="U23" s="91"/>
      <c r="W23" s="58"/>
      <c r="X23" s="68"/>
      <c r="Y23" s="68"/>
      <c r="Z23" s="68"/>
      <c r="AA23" s="68"/>
    </row>
    <row r="24" spans="2:27" x14ac:dyDescent="0.15">
      <c r="B24" s="215"/>
      <c r="C24" s="254"/>
      <c r="D24" s="218"/>
      <c r="E24" s="226"/>
      <c r="F24" s="120" t="s">
        <v>111</v>
      </c>
      <c r="G24" s="255"/>
      <c r="H24" s="68">
        <f>0.517-G23</f>
        <v>0.439</v>
      </c>
      <c r="I24" s="68">
        <f>0.535-G23</f>
        <v>0.45700000000000002</v>
      </c>
      <c r="J24" s="68">
        <f>0.55-G23</f>
        <v>0.47200000000000003</v>
      </c>
      <c r="K24" s="68">
        <f t="shared" si="11"/>
        <v>2.4095393000000001</v>
      </c>
      <c r="L24" s="68">
        <f t="shared" si="12"/>
        <v>2.5083359000000001</v>
      </c>
      <c r="M24" s="68">
        <f t="shared" si="12"/>
        <v>2.5906663999999999</v>
      </c>
      <c r="N24" s="68">
        <f t="shared" si="6"/>
        <v>2.5028472000000002</v>
      </c>
      <c r="O24" s="68">
        <f>N24/15</f>
        <v>0.16685648</v>
      </c>
      <c r="P24" s="68">
        <f t="shared" si="3"/>
        <v>1.191832E-2</v>
      </c>
      <c r="Q24" s="68">
        <f t="shared" si="4"/>
        <v>1.191832E-2</v>
      </c>
      <c r="R24" s="68">
        <f t="shared" si="5"/>
        <v>0.73893584000000001</v>
      </c>
      <c r="S24" s="147"/>
      <c r="T24" s="68"/>
      <c r="U24" s="91"/>
      <c r="W24" s="58"/>
      <c r="X24" s="68"/>
      <c r="Y24" s="68"/>
      <c r="Z24" s="68"/>
      <c r="AA24" s="68"/>
    </row>
    <row r="25" spans="2:27" x14ac:dyDescent="0.15">
      <c r="B25" s="216"/>
      <c r="C25" s="257"/>
      <c r="D25" s="219"/>
      <c r="E25" s="227"/>
      <c r="F25" s="151" t="s">
        <v>112</v>
      </c>
      <c r="G25" s="256"/>
      <c r="H25" s="74">
        <f>0.383-G23</f>
        <v>0.30499999999999999</v>
      </c>
      <c r="I25" s="74">
        <f>0.394-G23</f>
        <v>0.316</v>
      </c>
      <c r="J25" s="74">
        <f>0.421-G23</f>
        <v>0.34299999999999997</v>
      </c>
      <c r="K25" s="74">
        <f t="shared" si="11"/>
        <v>1.6740534999999999</v>
      </c>
      <c r="L25" s="74">
        <f t="shared" si="12"/>
        <v>1.7344291999999999</v>
      </c>
      <c r="M25" s="74">
        <f t="shared" si="12"/>
        <v>1.8826240999999997</v>
      </c>
      <c r="N25" s="74">
        <f t="shared" si="6"/>
        <v>1.7637022666666666</v>
      </c>
      <c r="O25" s="74">
        <f>N25/15</f>
        <v>0.11758015111111111</v>
      </c>
      <c r="P25" s="74">
        <f t="shared" si="3"/>
        <v>8.3985822222222232E-3</v>
      </c>
      <c r="Q25" s="74">
        <f t="shared" si="4"/>
        <v>8.3985822222222232E-3</v>
      </c>
      <c r="R25" s="74">
        <f t="shared" si="5"/>
        <v>0.52071209777777783</v>
      </c>
      <c r="S25" s="118">
        <f>AVERAGE(R23:R25)</f>
        <v>0.72057047555555565</v>
      </c>
      <c r="T25" s="74">
        <f>STDEV(R23:R25)</f>
        <v>0.19133788394873061</v>
      </c>
      <c r="U25" s="119">
        <f>T25/SQRT(3)</f>
        <v>0.11046897880397299</v>
      </c>
    </row>
    <row r="26" spans="2:27" x14ac:dyDescent="0.15">
      <c r="B26" s="214" t="s">
        <v>38</v>
      </c>
      <c r="C26" s="253">
        <v>0.45833333333333331</v>
      </c>
      <c r="D26" s="217">
        <v>335.5</v>
      </c>
      <c r="E26" s="226">
        <v>15</v>
      </c>
      <c r="F26" s="120" t="s">
        <v>110</v>
      </c>
      <c r="G26" s="255">
        <v>7.8E-2</v>
      </c>
      <c r="H26" s="68">
        <f>0.565-G26</f>
        <v>0.48699999999999993</v>
      </c>
      <c r="I26" s="68">
        <f>0.592-G26</f>
        <v>0.51400000000000001</v>
      </c>
      <c r="J26" s="68">
        <f>0.626-G26</f>
        <v>0.54800000000000004</v>
      </c>
      <c r="K26" s="68">
        <f t="shared" si="11"/>
        <v>2.6729968999999993</v>
      </c>
      <c r="L26" s="68">
        <f t="shared" si="12"/>
        <v>2.8211917999999998</v>
      </c>
      <c r="M26" s="68">
        <f t="shared" si="12"/>
        <v>3.0078076</v>
      </c>
      <c r="N26" s="68">
        <f t="shared" si="6"/>
        <v>2.8339987666666659</v>
      </c>
      <c r="O26" s="68">
        <f>N26/15</f>
        <v>0.18893325111111106</v>
      </c>
      <c r="P26" s="68">
        <f t="shared" si="3"/>
        <v>1.3495232222222219E-2</v>
      </c>
      <c r="Q26" s="68">
        <f t="shared" si="4"/>
        <v>1.3495232222222219E-2</v>
      </c>
      <c r="R26" s="68">
        <f t="shared" si="5"/>
        <v>0.83670439777777761</v>
      </c>
      <c r="S26" s="122"/>
      <c r="T26" s="58"/>
      <c r="U26" s="67"/>
    </row>
    <row r="27" spans="2:27" x14ac:dyDescent="0.15">
      <c r="B27" s="215"/>
      <c r="C27" s="254"/>
      <c r="D27" s="218"/>
      <c r="E27" s="226"/>
      <c r="F27" s="120" t="s">
        <v>111</v>
      </c>
      <c r="G27" s="255"/>
      <c r="H27" s="68">
        <f>0.414-G26</f>
        <v>0.33599999999999997</v>
      </c>
      <c r="I27" s="68">
        <f>0.429-G26</f>
        <v>0.35099999999999998</v>
      </c>
      <c r="J27" s="68">
        <f>0.418-G26</f>
        <v>0.33999999999999997</v>
      </c>
      <c r="K27" s="68">
        <f t="shared" si="11"/>
        <v>1.8442031999999997</v>
      </c>
      <c r="L27" s="68">
        <f t="shared" si="12"/>
        <v>1.9265336999999998</v>
      </c>
      <c r="M27" s="68">
        <f t="shared" si="12"/>
        <v>1.8661579999999998</v>
      </c>
      <c r="N27" s="68">
        <f t="shared" si="6"/>
        <v>1.8789649666666663</v>
      </c>
      <c r="O27" s="68">
        <f t="shared" ref="O27:O28" si="13">N27/15</f>
        <v>0.1252643311111111</v>
      </c>
      <c r="P27" s="68">
        <f t="shared" si="3"/>
        <v>8.9474522222222214E-3</v>
      </c>
      <c r="Q27" s="68">
        <f t="shared" si="4"/>
        <v>8.9474522222222214E-3</v>
      </c>
      <c r="R27" s="68">
        <f t="shared" si="5"/>
        <v>0.55474203777777775</v>
      </c>
      <c r="S27" s="122"/>
      <c r="T27" s="58"/>
      <c r="U27" s="67"/>
    </row>
    <row r="28" spans="2:27" x14ac:dyDescent="0.15">
      <c r="B28" s="215"/>
      <c r="C28" s="254"/>
      <c r="D28" s="218"/>
      <c r="E28" s="227"/>
      <c r="F28" s="151" t="s">
        <v>112</v>
      </c>
      <c r="G28" s="256"/>
      <c r="H28" s="74">
        <f>0.282-G26</f>
        <v>0.20399999999999996</v>
      </c>
      <c r="I28" s="74">
        <f>0.273-G26</f>
        <v>0.19500000000000001</v>
      </c>
      <c r="J28" s="74">
        <f>0.291-G26</f>
        <v>0.21299999999999997</v>
      </c>
      <c r="K28" s="74">
        <f t="shared" si="11"/>
        <v>1.1196947999999998</v>
      </c>
      <c r="L28" s="74">
        <f t="shared" si="12"/>
        <v>1.0702965</v>
      </c>
      <c r="M28" s="74">
        <f t="shared" si="12"/>
        <v>1.1690930999999998</v>
      </c>
      <c r="N28" s="74">
        <f t="shared" si="6"/>
        <v>1.1196947999999998</v>
      </c>
      <c r="O28" s="74">
        <f t="shared" si="13"/>
        <v>7.4646319999999988E-2</v>
      </c>
      <c r="P28" s="74">
        <f t="shared" si="3"/>
        <v>5.3318799999999989E-3</v>
      </c>
      <c r="Q28" s="74">
        <f t="shared" si="4"/>
        <v>5.3318799999999989E-3</v>
      </c>
      <c r="R28" s="74"/>
      <c r="S28" s="118">
        <f>AVERAGE(R26:R28)</f>
        <v>0.69572321777777768</v>
      </c>
      <c r="T28" s="74">
        <f>STDEV(R26:R28)</f>
        <v>0.19937749679536257</v>
      </c>
      <c r="U28" s="119">
        <f>T28/SQRT(2)</f>
        <v>0.14098118000000001</v>
      </c>
    </row>
    <row r="29" spans="2:27" x14ac:dyDescent="0.15">
      <c r="B29" s="252" t="s">
        <v>40</v>
      </c>
      <c r="C29" s="254">
        <v>0.53125</v>
      </c>
      <c r="D29" s="218">
        <v>385.5</v>
      </c>
      <c r="E29" s="226">
        <v>17</v>
      </c>
      <c r="F29" s="120" t="s">
        <v>110</v>
      </c>
      <c r="G29" s="255">
        <v>7.5999999999999998E-2</v>
      </c>
      <c r="H29" s="68">
        <f>0.608-G29</f>
        <v>0.53200000000000003</v>
      </c>
      <c r="I29" s="68">
        <f>0.544-G29</f>
        <v>0.46800000000000003</v>
      </c>
      <c r="J29" s="68">
        <f>0.578-G29</f>
        <v>0.502</v>
      </c>
      <c r="K29" s="68">
        <f t="shared" si="11"/>
        <v>2.9199883999999998</v>
      </c>
      <c r="L29" s="68">
        <f t="shared" si="12"/>
        <v>2.5687115999999999</v>
      </c>
      <c r="M29" s="68">
        <f t="shared" si="12"/>
        <v>2.7553273999999996</v>
      </c>
      <c r="N29" s="68">
        <f t="shared" si="6"/>
        <v>2.7480091333333334</v>
      </c>
      <c r="O29" s="68">
        <f t="shared" ref="O29:O34" si="14">N29/20</f>
        <v>0.13740045666666667</v>
      </c>
      <c r="P29" s="68">
        <f t="shared" si="3"/>
        <v>9.8143183333333339E-3</v>
      </c>
      <c r="Q29" s="68">
        <f t="shared" si="4"/>
        <v>9.8143183333333339E-3</v>
      </c>
      <c r="R29" s="68">
        <f t="shared" si="5"/>
        <v>0.60848773666666667</v>
      </c>
      <c r="S29" s="122"/>
      <c r="T29" s="58"/>
      <c r="U29" s="67"/>
    </row>
    <row r="30" spans="2:27" x14ac:dyDescent="0.15">
      <c r="B30" s="252"/>
      <c r="C30" s="254"/>
      <c r="D30" s="218"/>
      <c r="E30" s="226"/>
      <c r="F30" s="120" t="s">
        <v>111</v>
      </c>
      <c r="G30" s="255"/>
      <c r="H30" s="68">
        <f>0.579-G29</f>
        <v>0.503</v>
      </c>
      <c r="I30" s="68">
        <f>0.525-G29</f>
        <v>0.44900000000000001</v>
      </c>
      <c r="J30" s="68">
        <f>0.527-G29</f>
        <v>0.45100000000000001</v>
      </c>
      <c r="K30" s="68">
        <f t="shared" si="11"/>
        <v>2.7608161</v>
      </c>
      <c r="L30" s="68">
        <f t="shared" si="12"/>
        <v>2.4644263</v>
      </c>
      <c r="M30" s="68">
        <f t="shared" si="12"/>
        <v>2.4754036999999998</v>
      </c>
      <c r="N30" s="68">
        <f t="shared" si="6"/>
        <v>2.5668820333333335</v>
      </c>
      <c r="O30" s="68">
        <f t="shared" si="14"/>
        <v>0.12834410166666668</v>
      </c>
      <c r="P30" s="68">
        <f t="shared" si="3"/>
        <v>9.1674358333333344E-3</v>
      </c>
      <c r="Q30" s="68">
        <f t="shared" si="4"/>
        <v>9.1674358333333344E-3</v>
      </c>
      <c r="R30" s="68">
        <f t="shared" si="5"/>
        <v>0.56838102166666671</v>
      </c>
      <c r="S30" s="122"/>
      <c r="T30" s="58"/>
      <c r="U30" s="67"/>
    </row>
    <row r="31" spans="2:27" x14ac:dyDescent="0.15">
      <c r="B31" s="252"/>
      <c r="C31" s="254"/>
      <c r="D31" s="218"/>
      <c r="E31" s="227"/>
      <c r="F31" s="151" t="s">
        <v>112</v>
      </c>
      <c r="G31" s="256"/>
      <c r="H31" s="74">
        <f>0.528-G29</f>
        <v>0.45200000000000001</v>
      </c>
      <c r="I31" s="74">
        <f>0.531-G29</f>
        <v>0.45500000000000002</v>
      </c>
      <c r="J31" s="74">
        <f>0.642-G29</f>
        <v>0.56600000000000006</v>
      </c>
      <c r="K31" s="74">
        <f t="shared" si="11"/>
        <v>2.4808924000000001</v>
      </c>
      <c r="L31" s="74">
        <f t="shared" si="12"/>
        <v>2.4973584999999998</v>
      </c>
      <c r="M31" s="74">
        <f t="shared" si="12"/>
        <v>3.1066042</v>
      </c>
      <c r="N31" s="74">
        <f t="shared" si="6"/>
        <v>2.6949517000000003</v>
      </c>
      <c r="O31" s="74">
        <f t="shared" si="14"/>
        <v>0.134747585</v>
      </c>
      <c r="P31" s="74">
        <f t="shared" si="3"/>
        <v>9.6248275000000005E-3</v>
      </c>
      <c r="Q31" s="74">
        <f t="shared" si="4"/>
        <v>9.6248275000000005E-3</v>
      </c>
      <c r="R31" s="74">
        <f t="shared" si="5"/>
        <v>0.59673930500000005</v>
      </c>
      <c r="S31" s="118">
        <f>AVERAGE(R29:R31)</f>
        <v>0.59120268777777774</v>
      </c>
      <c r="T31" s="74">
        <f>STDEV(R29:R31)</f>
        <v>2.0618626159903609E-2</v>
      </c>
      <c r="U31" s="119">
        <f>T31/SQRT(3)</f>
        <v>1.190416936374061E-2</v>
      </c>
    </row>
    <row r="32" spans="2:27" x14ac:dyDescent="0.15">
      <c r="B32" s="252" t="s">
        <v>42</v>
      </c>
      <c r="C32" s="254">
        <v>0.47916666666666669</v>
      </c>
      <c r="D32" s="218">
        <v>432</v>
      </c>
      <c r="E32" s="226">
        <v>19</v>
      </c>
      <c r="F32" s="120" t="s">
        <v>110</v>
      </c>
      <c r="G32" s="255">
        <v>7.5999999999999998E-2</v>
      </c>
      <c r="H32" s="68">
        <f>0.529-G32</f>
        <v>0.45300000000000001</v>
      </c>
      <c r="I32" s="68">
        <f>0.517-G32</f>
        <v>0.441</v>
      </c>
      <c r="J32" s="68">
        <f>0.529-G32</f>
        <v>0.45300000000000001</v>
      </c>
      <c r="K32" s="68">
        <f t="shared" ref="K32:K34" si="15">5.4887*H32</f>
        <v>2.4863811</v>
      </c>
      <c r="L32" s="68">
        <f t="shared" ref="L32:L34" si="16">5.4887*I32</f>
        <v>2.4205166999999999</v>
      </c>
      <c r="M32" s="68">
        <f t="shared" ref="M32:M34" si="17">5.4887*J32</f>
        <v>2.4863811</v>
      </c>
      <c r="N32" s="68">
        <f t="shared" si="6"/>
        <v>2.4644263</v>
      </c>
      <c r="O32" s="68">
        <f t="shared" si="14"/>
        <v>0.123221315</v>
      </c>
      <c r="P32" s="68">
        <f t="shared" si="3"/>
        <v>8.8015225000000006E-3</v>
      </c>
      <c r="Q32" s="68">
        <f t="shared" si="4"/>
        <v>8.8015225000000006E-3</v>
      </c>
      <c r="R32" s="68">
        <f t="shared" si="5"/>
        <v>0.54569439500000005</v>
      </c>
      <c r="S32" s="122"/>
      <c r="T32" s="58"/>
      <c r="U32" s="67"/>
    </row>
    <row r="33" spans="2:29" ht="15" customHeight="1" x14ac:dyDescent="0.15">
      <c r="B33" s="252"/>
      <c r="C33" s="254"/>
      <c r="D33" s="218"/>
      <c r="E33" s="226"/>
      <c r="F33" s="120" t="s">
        <v>111</v>
      </c>
      <c r="G33" s="255"/>
      <c r="H33" s="68">
        <f>0.501-G32</f>
        <v>0.42499999999999999</v>
      </c>
      <c r="I33" s="68">
        <f>0.512-G32</f>
        <v>0.436</v>
      </c>
      <c r="J33" s="68">
        <f>0.493-G32</f>
        <v>0.41699999999999998</v>
      </c>
      <c r="K33" s="68">
        <f t="shared" si="15"/>
        <v>2.3326974999999996</v>
      </c>
      <c r="L33" s="68">
        <f t="shared" si="16"/>
        <v>2.3930731999999999</v>
      </c>
      <c r="M33" s="68">
        <f t="shared" si="17"/>
        <v>2.2887879</v>
      </c>
      <c r="N33" s="68">
        <f t="shared" si="6"/>
        <v>2.3381862</v>
      </c>
      <c r="O33" s="68">
        <f t="shared" si="14"/>
        <v>0.11690931</v>
      </c>
      <c r="P33" s="68">
        <f t="shared" si="3"/>
        <v>8.3506650000000002E-3</v>
      </c>
      <c r="Q33" s="68">
        <f t="shared" si="4"/>
        <v>8.3506650000000002E-3</v>
      </c>
      <c r="R33" s="68">
        <f t="shared" si="5"/>
        <v>0.51774123000000005</v>
      </c>
      <c r="S33" s="122"/>
      <c r="T33" s="58"/>
      <c r="U33" s="67"/>
    </row>
    <row r="34" spans="2:29" ht="16" customHeight="1" thickBot="1" x14ac:dyDescent="0.2">
      <c r="B34" s="259"/>
      <c r="C34" s="260"/>
      <c r="D34" s="231"/>
      <c r="E34" s="261"/>
      <c r="F34" s="152" t="s">
        <v>112</v>
      </c>
      <c r="G34" s="262"/>
      <c r="H34" s="93">
        <f>0.482-G32</f>
        <v>0.40599999999999997</v>
      </c>
      <c r="I34" s="93">
        <f>0.479-G32</f>
        <v>0.40299999999999997</v>
      </c>
      <c r="J34" s="93">
        <f>0.499-G32</f>
        <v>0.42299999999999999</v>
      </c>
      <c r="K34" s="68">
        <f t="shared" si="15"/>
        <v>2.2284121999999997</v>
      </c>
      <c r="L34" s="68">
        <f t="shared" si="16"/>
        <v>2.2119460999999996</v>
      </c>
      <c r="M34" s="68">
        <f t="shared" si="17"/>
        <v>2.3217200999999998</v>
      </c>
      <c r="N34" s="93">
        <f t="shared" si="6"/>
        <v>2.2540261333333333</v>
      </c>
      <c r="O34" s="93">
        <f t="shared" si="14"/>
        <v>0.11270130666666667</v>
      </c>
      <c r="P34" s="93">
        <f t="shared" si="3"/>
        <v>8.0500933333333326E-3</v>
      </c>
      <c r="Q34" s="93">
        <f t="shared" si="4"/>
        <v>8.0500933333333326E-3</v>
      </c>
      <c r="R34" s="93">
        <f t="shared" si="5"/>
        <v>0.49910578666666661</v>
      </c>
      <c r="S34" s="124">
        <f>AVERAGE(R32:R34)</f>
        <v>0.5208471372222222</v>
      </c>
      <c r="T34" s="93">
        <f>STDEV(R32:R34)</f>
        <v>2.3449085299089508E-2</v>
      </c>
      <c r="U34" s="113">
        <f>T34/SQRT(3)</f>
        <v>1.3538335709679824E-2</v>
      </c>
    </row>
    <row r="35" spans="2:29" ht="17" thickBot="1" x14ac:dyDescent="0.2">
      <c r="B35" s="248" t="s">
        <v>64</v>
      </c>
      <c r="C35" s="249"/>
      <c r="D35" s="249"/>
      <c r="E35" s="249"/>
      <c r="F35" s="249"/>
      <c r="G35" s="249"/>
      <c r="H35" s="249"/>
      <c r="I35" s="249"/>
      <c r="J35" s="249"/>
      <c r="K35" s="249"/>
      <c r="L35" s="249"/>
      <c r="M35" s="249"/>
      <c r="N35" s="249"/>
      <c r="O35" s="249"/>
      <c r="P35" s="249"/>
      <c r="Q35" s="249"/>
      <c r="R35" s="249"/>
      <c r="S35" s="249"/>
      <c r="T35" s="249"/>
      <c r="U35" s="250"/>
      <c r="W35" s="244" t="s">
        <v>115</v>
      </c>
      <c r="X35" s="244"/>
      <c r="Y35" s="244"/>
    </row>
    <row r="36" spans="2:29" ht="30" x14ac:dyDescent="0.15">
      <c r="B36" s="126" t="s">
        <v>0</v>
      </c>
      <c r="C36" s="59" t="s">
        <v>1</v>
      </c>
      <c r="D36" s="59" t="s">
        <v>2</v>
      </c>
      <c r="E36" s="129" t="s">
        <v>23</v>
      </c>
      <c r="F36" s="128"/>
      <c r="G36" s="128" t="s">
        <v>24</v>
      </c>
      <c r="H36" s="245" t="s">
        <v>25</v>
      </c>
      <c r="I36" s="246"/>
      <c r="J36" s="246"/>
      <c r="K36" s="247" t="s">
        <v>87</v>
      </c>
      <c r="L36" s="247"/>
      <c r="M36" s="247"/>
      <c r="N36" s="59" t="s">
        <v>26</v>
      </c>
      <c r="O36" s="59" t="s">
        <v>27</v>
      </c>
      <c r="P36" s="59" t="s">
        <v>27</v>
      </c>
      <c r="Q36" s="59" t="s">
        <v>88</v>
      </c>
      <c r="R36" s="129" t="s">
        <v>88</v>
      </c>
      <c r="S36" s="59" t="s">
        <v>89</v>
      </c>
      <c r="T36" s="59" t="s">
        <v>82</v>
      </c>
      <c r="U36" s="127" t="s">
        <v>56</v>
      </c>
      <c r="W36" s="58" t="s">
        <v>2</v>
      </c>
      <c r="X36" s="111" t="str">
        <f>S36</f>
        <v>Average NO3 concentration</v>
      </c>
      <c r="Y36" s="111" t="str">
        <f>U36</f>
        <v>Standard error</v>
      </c>
      <c r="Z36" s="58"/>
      <c r="AA36" s="58"/>
    </row>
    <row r="37" spans="2:29" ht="14" x14ac:dyDescent="0.15">
      <c r="B37" s="130"/>
      <c r="C37" s="131"/>
      <c r="D37" s="132"/>
      <c r="E37" s="132"/>
      <c r="F37" s="133"/>
      <c r="G37" s="133"/>
      <c r="H37" s="132"/>
      <c r="I37" s="132"/>
      <c r="J37" s="132"/>
      <c r="K37" s="64"/>
      <c r="L37" s="64"/>
      <c r="M37" s="64"/>
      <c r="N37" s="64" t="s">
        <v>28</v>
      </c>
      <c r="O37" s="64" t="s">
        <v>21</v>
      </c>
      <c r="P37" s="64" t="s">
        <v>29</v>
      </c>
      <c r="Q37" s="64" t="s">
        <v>29</v>
      </c>
      <c r="R37" s="63" t="s">
        <v>21</v>
      </c>
      <c r="S37" s="64" t="s">
        <v>21</v>
      </c>
      <c r="T37" s="64"/>
      <c r="U37" s="62"/>
      <c r="W37" s="87">
        <v>0</v>
      </c>
      <c r="X37" s="68">
        <f>S40</f>
        <v>1.5351001083333333</v>
      </c>
      <c r="Y37" s="68">
        <f>U40</f>
        <v>5.5943967313689918E-2</v>
      </c>
      <c r="Z37" s="68"/>
      <c r="AA37" s="114"/>
      <c r="AB37" s="114"/>
      <c r="AC37" s="114"/>
    </row>
    <row r="38" spans="2:29" x14ac:dyDescent="0.15">
      <c r="B38" s="252" t="s">
        <v>8</v>
      </c>
      <c r="C38" s="254">
        <v>0.52083333333333337</v>
      </c>
      <c r="D38" s="218">
        <v>0</v>
      </c>
      <c r="E38" s="218">
        <v>1</v>
      </c>
      <c r="F38" s="120" t="s">
        <v>110</v>
      </c>
      <c r="G38" s="258">
        <f>(0.076+0.073)/2</f>
        <v>7.4499999999999997E-2</v>
      </c>
      <c r="H38" s="136">
        <f>0.802-G38</f>
        <v>0.72750000000000004</v>
      </c>
      <c r="I38" s="137">
        <f>0.784-G38</f>
        <v>0.70950000000000002</v>
      </c>
      <c r="J38" s="137">
        <f>0.796-G38</f>
        <v>0.72150000000000003</v>
      </c>
      <c r="K38" s="68">
        <f t="shared" ref="K38:M43" si="18">5.0379*H38</f>
        <v>3.6650722499999997</v>
      </c>
      <c r="L38" s="68">
        <f t="shared" si="18"/>
        <v>3.5743900499999999</v>
      </c>
      <c r="M38" s="68">
        <f t="shared" si="18"/>
        <v>3.6348448499999999</v>
      </c>
      <c r="N38" s="68">
        <f>AVERAGE(K38:M38)</f>
        <v>3.6247690499999998</v>
      </c>
      <c r="O38" s="68">
        <f>N38/10</f>
        <v>0.36247690499999996</v>
      </c>
      <c r="P38" s="68">
        <f>O38/14</f>
        <v>2.5891207499999996E-2</v>
      </c>
      <c r="Q38" s="68">
        <f>P38</f>
        <v>2.5891207499999996E-2</v>
      </c>
      <c r="R38" s="68">
        <f>Q38*62</f>
        <v>1.6052548649999998</v>
      </c>
      <c r="S38" s="122"/>
      <c r="T38" s="58"/>
      <c r="U38" s="67"/>
      <c r="W38" s="87">
        <f>D41</f>
        <v>48</v>
      </c>
      <c r="X38" s="68">
        <f>S43</f>
        <v>1.324635838333333</v>
      </c>
      <c r="Y38" s="68">
        <f>U43</f>
        <v>5.9404235015252625E-2</v>
      </c>
      <c r="Z38" s="68"/>
      <c r="AA38" s="161"/>
      <c r="AB38" s="161"/>
      <c r="AC38" s="161"/>
    </row>
    <row r="39" spans="2:29" x14ac:dyDescent="0.15">
      <c r="B39" s="252"/>
      <c r="C39" s="254"/>
      <c r="D39" s="218"/>
      <c r="E39" s="218"/>
      <c r="F39" s="120" t="s">
        <v>111</v>
      </c>
      <c r="G39" s="255"/>
      <c r="H39" s="68">
        <f>0.704-G38</f>
        <v>0.62949999999999995</v>
      </c>
      <c r="I39" s="68">
        <f>0.701-G38</f>
        <v>0.62649999999999995</v>
      </c>
      <c r="J39" s="68">
        <f>0.734-G38</f>
        <v>0.65949999999999998</v>
      </c>
      <c r="K39" s="68">
        <f t="shared" si="18"/>
        <v>3.1713580499999994</v>
      </c>
      <c r="L39" s="68">
        <f t="shared" si="18"/>
        <v>3.1562443499999997</v>
      </c>
      <c r="M39" s="68">
        <f t="shared" si="18"/>
        <v>3.3224950499999997</v>
      </c>
      <c r="N39" s="68">
        <f>AVERAGE(K39:M39)</f>
        <v>3.2166991499999997</v>
      </c>
      <c r="O39" s="68">
        <f t="shared" ref="O39:O55" si="19">N39/10</f>
        <v>0.32166991499999997</v>
      </c>
      <c r="P39" s="68">
        <f t="shared" ref="P39:P67" si="20">O39/14</f>
        <v>2.29764225E-2</v>
      </c>
      <c r="Q39" s="68">
        <f t="shared" ref="Q39:Q67" si="21">P39</f>
        <v>2.29764225E-2</v>
      </c>
      <c r="R39" s="68">
        <f t="shared" ref="R39:R67" si="22">Q39*62</f>
        <v>1.424538195</v>
      </c>
      <c r="S39" s="122"/>
      <c r="T39" s="58"/>
      <c r="U39" s="67"/>
      <c r="W39" s="87">
        <f>D44</f>
        <v>94.5</v>
      </c>
      <c r="X39" s="68">
        <f>S46</f>
        <v>1.1827821190476191</v>
      </c>
      <c r="Y39" s="68">
        <f>U46</f>
        <v>3.3280958360424516E-2</v>
      </c>
      <c r="Z39" s="68"/>
      <c r="AA39" s="161"/>
      <c r="AB39" s="161"/>
      <c r="AC39" s="161"/>
    </row>
    <row r="40" spans="2:29" x14ac:dyDescent="0.15">
      <c r="B40" s="263"/>
      <c r="C40" s="257"/>
      <c r="D40" s="219"/>
      <c r="E40" s="219"/>
      <c r="F40" s="151" t="s">
        <v>112</v>
      </c>
      <c r="G40" s="256"/>
      <c r="H40" s="74">
        <f>0.763-G38</f>
        <v>0.6885</v>
      </c>
      <c r="I40" s="74">
        <f>0.777-G38</f>
        <v>0.70250000000000001</v>
      </c>
      <c r="J40" s="74">
        <f>0.802-G38</f>
        <v>0.72750000000000004</v>
      </c>
      <c r="K40" s="74">
        <f t="shared" si="18"/>
        <v>3.4685941499999999</v>
      </c>
      <c r="L40" s="74">
        <f t="shared" si="18"/>
        <v>3.5391247499999996</v>
      </c>
      <c r="M40" s="74">
        <f t="shared" si="18"/>
        <v>3.6650722499999997</v>
      </c>
      <c r="N40" s="74">
        <f>AVERAGE(K40:M40)</f>
        <v>3.5575970499999996</v>
      </c>
      <c r="O40" s="74">
        <f t="shared" si="19"/>
        <v>0.35575970499999998</v>
      </c>
      <c r="P40" s="74">
        <f t="shared" si="20"/>
        <v>2.54114075E-2</v>
      </c>
      <c r="Q40" s="74">
        <f t="shared" si="21"/>
        <v>2.54114075E-2</v>
      </c>
      <c r="R40" s="74">
        <f t="shared" si="22"/>
        <v>1.5755072649999999</v>
      </c>
      <c r="S40" s="118">
        <f>AVERAGE(R38:R40)</f>
        <v>1.5351001083333333</v>
      </c>
      <c r="T40" s="74">
        <f>STDEV(R38:R40)</f>
        <v>9.6897793764283494E-2</v>
      </c>
      <c r="U40" s="119">
        <f>T40/SQRT(3)</f>
        <v>5.5943967313689918E-2</v>
      </c>
      <c r="W40" s="87">
        <f>D47</f>
        <v>141.5</v>
      </c>
      <c r="X40" s="68">
        <f>S49</f>
        <v>0.98294283333333332</v>
      </c>
      <c r="Y40" s="68">
        <f>U49</f>
        <v>5.5042251858306253E-2</v>
      </c>
      <c r="Z40" s="68"/>
      <c r="AA40" s="161"/>
      <c r="AB40" s="161"/>
      <c r="AC40" s="161"/>
    </row>
    <row r="41" spans="2:29" x14ac:dyDescent="0.15">
      <c r="B41" s="214" t="s">
        <v>10</v>
      </c>
      <c r="C41" s="253">
        <v>0.52083333333333337</v>
      </c>
      <c r="D41" s="217">
        <v>48</v>
      </c>
      <c r="E41" s="218">
        <v>3</v>
      </c>
      <c r="F41" s="120" t="s">
        <v>110</v>
      </c>
      <c r="G41" s="255">
        <f>(0.076+0.073)/2</f>
        <v>7.4499999999999997E-2</v>
      </c>
      <c r="H41" s="68">
        <f>0.707-G41</f>
        <v>0.63249999999999995</v>
      </c>
      <c r="I41" s="68">
        <f>0.711-G41</f>
        <v>0.63649999999999995</v>
      </c>
      <c r="J41" s="68">
        <f>0.708-G41</f>
        <v>0.63349999999999995</v>
      </c>
      <c r="K41" s="68">
        <f t="shared" si="18"/>
        <v>3.1864717499999995</v>
      </c>
      <c r="L41" s="68">
        <f t="shared" si="18"/>
        <v>3.2066233499999997</v>
      </c>
      <c r="M41" s="68">
        <f t="shared" si="18"/>
        <v>3.1915096499999995</v>
      </c>
      <c r="N41" s="68">
        <f t="shared" ref="N41:N67" si="23">AVERAGE(K41:M41)</f>
        <v>3.1948682499999994</v>
      </c>
      <c r="O41" s="68">
        <f t="shared" si="19"/>
        <v>0.31948682499999992</v>
      </c>
      <c r="P41" s="68">
        <f t="shared" si="20"/>
        <v>2.2820487499999993E-2</v>
      </c>
      <c r="Q41" s="68">
        <f t="shared" si="21"/>
        <v>2.2820487499999993E-2</v>
      </c>
      <c r="R41" s="68">
        <f t="shared" si="22"/>
        <v>1.4148702249999996</v>
      </c>
      <c r="S41" s="147"/>
      <c r="T41" s="68"/>
      <c r="U41" s="91"/>
      <c r="W41" s="87">
        <f>D50</f>
        <v>191.5</v>
      </c>
      <c r="X41" s="68">
        <f>S52</f>
        <v>0.85804471904761892</v>
      </c>
      <c r="Y41" s="68">
        <f>U52</f>
        <v>3.9587120188411776E-2</v>
      </c>
      <c r="Z41" s="68"/>
      <c r="AA41" s="161"/>
      <c r="AB41" s="161"/>
      <c r="AC41" s="161"/>
    </row>
    <row r="42" spans="2:29" x14ac:dyDescent="0.15">
      <c r="B42" s="215"/>
      <c r="C42" s="254"/>
      <c r="D42" s="218"/>
      <c r="E42" s="218"/>
      <c r="F42" s="120" t="s">
        <v>111</v>
      </c>
      <c r="G42" s="255"/>
      <c r="H42" s="68">
        <f>0.603-G41</f>
        <v>0.52849999999999997</v>
      </c>
      <c r="I42" s="68">
        <f>0.631-G41</f>
        <v>0.55649999999999999</v>
      </c>
      <c r="J42" s="68">
        <f>0.62-G41</f>
        <v>0.54549999999999998</v>
      </c>
      <c r="K42" s="68">
        <f t="shared" si="18"/>
        <v>2.6625301499999998</v>
      </c>
      <c r="L42" s="68">
        <f t="shared" si="18"/>
        <v>2.8035913499999996</v>
      </c>
      <c r="M42" s="68">
        <f t="shared" si="18"/>
        <v>2.7481744499999996</v>
      </c>
      <c r="N42" s="68">
        <f t="shared" si="23"/>
        <v>2.73809865</v>
      </c>
      <c r="O42" s="68">
        <f t="shared" si="19"/>
        <v>0.27380986499999999</v>
      </c>
      <c r="P42" s="68">
        <f t="shared" si="20"/>
        <v>1.9557847499999999E-2</v>
      </c>
      <c r="Q42" s="68">
        <f t="shared" si="21"/>
        <v>1.9557847499999999E-2</v>
      </c>
      <c r="R42" s="68">
        <f t="shared" si="22"/>
        <v>1.212586545</v>
      </c>
      <c r="S42" s="147"/>
      <c r="T42" s="68"/>
      <c r="U42" s="91"/>
      <c r="W42" s="87">
        <f>D53</f>
        <v>237</v>
      </c>
      <c r="X42" s="68">
        <f>S55</f>
        <v>0.75673663539682545</v>
      </c>
      <c r="Y42" s="68">
        <f>U55</f>
        <v>9.3963221729556304E-2</v>
      </c>
      <c r="Z42" s="68"/>
      <c r="AA42" s="161"/>
      <c r="AB42" s="161"/>
      <c r="AC42" s="161"/>
    </row>
    <row r="43" spans="2:29" x14ac:dyDescent="0.15">
      <c r="B43" s="215"/>
      <c r="C43" s="254"/>
      <c r="D43" s="218"/>
      <c r="E43" s="219"/>
      <c r="F43" s="151" t="s">
        <v>112</v>
      </c>
      <c r="G43" s="256"/>
      <c r="H43" s="74">
        <f>0.679-G41</f>
        <v>0.60450000000000004</v>
      </c>
      <c r="I43" s="74">
        <f>0.701-G41</f>
        <v>0.62649999999999995</v>
      </c>
      <c r="J43" s="74">
        <f>0.654-G41</f>
        <v>0.57950000000000002</v>
      </c>
      <c r="K43" s="74">
        <f t="shared" si="18"/>
        <v>3.0454105500000002</v>
      </c>
      <c r="L43" s="74">
        <f t="shared" si="18"/>
        <v>3.1562443499999997</v>
      </c>
      <c r="M43" s="74">
        <f t="shared" si="18"/>
        <v>2.9194630500000001</v>
      </c>
      <c r="N43" s="74">
        <f t="shared" si="23"/>
        <v>3.0403726499999997</v>
      </c>
      <c r="O43" s="74">
        <f t="shared" si="19"/>
        <v>0.30403726499999995</v>
      </c>
      <c r="P43" s="74">
        <f t="shared" si="20"/>
        <v>2.1716947499999997E-2</v>
      </c>
      <c r="Q43" s="74">
        <f t="shared" si="21"/>
        <v>2.1716947499999997E-2</v>
      </c>
      <c r="R43" s="74">
        <f t="shared" si="22"/>
        <v>1.3464507449999998</v>
      </c>
      <c r="S43" s="118">
        <f>AVERAGE(R41:R43)</f>
        <v>1.324635838333333</v>
      </c>
      <c r="T43" s="74">
        <f>STDEV(R41:R43)</f>
        <v>0.10289115323117969</v>
      </c>
      <c r="U43" s="119">
        <f>T43/SQRT(3)</f>
        <v>5.9404235015252625E-2</v>
      </c>
      <c r="W43" s="87">
        <f>D56</f>
        <v>285</v>
      </c>
      <c r="X43" s="68">
        <f>S58</f>
        <v>0.67285653851851845</v>
      </c>
      <c r="Y43" s="68">
        <f>U58</f>
        <v>1.2358220258753629E-2</v>
      </c>
      <c r="Z43" s="68"/>
      <c r="AA43" s="161"/>
      <c r="AB43" s="161"/>
      <c r="AC43" s="161"/>
    </row>
    <row r="44" spans="2:29" x14ac:dyDescent="0.15">
      <c r="B44" s="215" t="s">
        <v>12</v>
      </c>
      <c r="C44" s="254">
        <v>0.45833333333333331</v>
      </c>
      <c r="D44" s="218">
        <v>94.5</v>
      </c>
      <c r="E44" s="218">
        <v>5</v>
      </c>
      <c r="F44" s="120" t="s">
        <v>110</v>
      </c>
      <c r="G44" s="255">
        <v>7.8666666666666663E-2</v>
      </c>
      <c r="H44" s="68">
        <f>0.57-G44</f>
        <v>0.49133333333333329</v>
      </c>
      <c r="I44" s="68">
        <f>0.639-G44</f>
        <v>0.56033333333333335</v>
      </c>
      <c r="J44" s="68">
        <f>0.581-G44</f>
        <v>0.5023333333333333</v>
      </c>
      <c r="K44" s="68">
        <f t="shared" ref="K44:M49" si="24">5.415*H44</f>
        <v>2.6605699999999999</v>
      </c>
      <c r="L44" s="68">
        <f t="shared" si="24"/>
        <v>3.034205</v>
      </c>
      <c r="M44" s="68">
        <f t="shared" si="24"/>
        <v>2.720135</v>
      </c>
      <c r="N44" s="68">
        <f t="shared" si="23"/>
        <v>2.8049699999999995</v>
      </c>
      <c r="O44" s="68">
        <f t="shared" si="19"/>
        <v>0.28049699999999994</v>
      </c>
      <c r="P44" s="68">
        <f t="shared" si="20"/>
        <v>2.0035499999999994E-2</v>
      </c>
      <c r="Q44" s="68">
        <f t="shared" si="21"/>
        <v>2.0035499999999994E-2</v>
      </c>
      <c r="R44" s="68">
        <f t="shared" si="22"/>
        <v>1.2422009999999997</v>
      </c>
      <c r="S44" s="147"/>
      <c r="T44" s="68"/>
      <c r="U44" s="91"/>
      <c r="W44" s="87">
        <f>D59</f>
        <v>334.5</v>
      </c>
      <c r="X44" s="68">
        <f>S61</f>
        <v>0.58319034740740727</v>
      </c>
      <c r="Y44" s="68">
        <f>U61</f>
        <v>2.8350708680918275E-2</v>
      </c>
      <c r="Z44" s="68"/>
      <c r="AA44" s="161"/>
      <c r="AB44" s="161"/>
      <c r="AC44" s="161"/>
    </row>
    <row r="45" spans="2:29" ht="15" customHeight="1" x14ac:dyDescent="0.15">
      <c r="B45" s="215"/>
      <c r="C45" s="254"/>
      <c r="D45" s="218"/>
      <c r="E45" s="218"/>
      <c r="F45" s="120" t="s">
        <v>111</v>
      </c>
      <c r="G45" s="255"/>
      <c r="H45" s="68">
        <f>0.541-G44</f>
        <v>0.46233333333333337</v>
      </c>
      <c r="I45" s="68">
        <f>0.601-G44</f>
        <v>0.52233333333333332</v>
      </c>
      <c r="J45" s="68">
        <f>0.504-G44</f>
        <v>0.42533333333333334</v>
      </c>
      <c r="K45" s="68">
        <f t="shared" si="24"/>
        <v>2.5035350000000003</v>
      </c>
      <c r="L45" s="68">
        <f t="shared" si="24"/>
        <v>2.8284349999999998</v>
      </c>
      <c r="M45" s="68">
        <f t="shared" si="24"/>
        <v>2.3031800000000002</v>
      </c>
      <c r="N45" s="68">
        <f t="shared" si="23"/>
        <v>2.5450500000000003</v>
      </c>
      <c r="O45" s="68">
        <f t="shared" si="19"/>
        <v>0.25450500000000004</v>
      </c>
      <c r="P45" s="68">
        <f t="shared" si="20"/>
        <v>1.8178928571428575E-2</v>
      </c>
      <c r="Q45" s="68">
        <f t="shared" si="21"/>
        <v>1.8178928571428575E-2</v>
      </c>
      <c r="R45" s="68">
        <f t="shared" si="22"/>
        <v>1.1270935714285717</v>
      </c>
      <c r="S45" s="147"/>
      <c r="T45" s="68"/>
      <c r="U45" s="91"/>
      <c r="W45" s="87">
        <f>D62</f>
        <v>383</v>
      </c>
      <c r="X45" s="68">
        <f>S64</f>
        <v>0.50437232499999995</v>
      </c>
      <c r="Y45" s="68">
        <f>U64</f>
        <v>4.4807870249551863E-3</v>
      </c>
      <c r="Z45" s="68"/>
      <c r="AA45" s="161"/>
      <c r="AB45" s="161"/>
      <c r="AC45" s="161"/>
    </row>
    <row r="46" spans="2:29" ht="15" customHeight="1" x14ac:dyDescent="0.15">
      <c r="B46" s="216"/>
      <c r="C46" s="257"/>
      <c r="D46" s="219"/>
      <c r="E46" s="219"/>
      <c r="F46" s="151" t="s">
        <v>112</v>
      </c>
      <c r="G46" s="256"/>
      <c r="H46" s="74">
        <f>0.561-G44</f>
        <v>0.48233333333333339</v>
      </c>
      <c r="I46" s="74">
        <f>0.606-G44</f>
        <v>0.52733333333333332</v>
      </c>
      <c r="J46" s="74">
        <f>0.544-G44</f>
        <v>0.46533333333333338</v>
      </c>
      <c r="K46" s="74">
        <f t="shared" si="24"/>
        <v>2.6118350000000001</v>
      </c>
      <c r="L46" s="74">
        <f t="shared" si="24"/>
        <v>2.8555099999999998</v>
      </c>
      <c r="M46" s="74">
        <f t="shared" si="24"/>
        <v>2.5197800000000004</v>
      </c>
      <c r="N46" s="74">
        <f t="shared" si="23"/>
        <v>2.6623750000000004</v>
      </c>
      <c r="O46" s="74">
        <f t="shared" si="19"/>
        <v>0.26623750000000002</v>
      </c>
      <c r="P46" s="74">
        <f t="shared" si="20"/>
        <v>1.9016964285714286E-2</v>
      </c>
      <c r="Q46" s="74">
        <f t="shared" si="21"/>
        <v>1.9016964285714286E-2</v>
      </c>
      <c r="R46" s="74">
        <f t="shared" si="22"/>
        <v>1.1790517857142857</v>
      </c>
      <c r="S46" s="118">
        <f>AVERAGE(R44:R46)</f>
        <v>1.1827821190476191</v>
      </c>
      <c r="T46" s="74">
        <f>STDEV(R44:R46)</f>
        <v>5.7644310804839456E-2</v>
      </c>
      <c r="U46" s="119">
        <f>T46/SQRT(3)</f>
        <v>3.3280958360424516E-2</v>
      </c>
      <c r="W46" s="87">
        <f>D65</f>
        <v>430</v>
      </c>
      <c r="X46" s="68">
        <f>S67</f>
        <v>0.47966010666666659</v>
      </c>
      <c r="Y46" s="68">
        <f>U67</f>
        <v>1.6372662516256026E-3</v>
      </c>
      <c r="Z46" s="68"/>
      <c r="AA46" s="161"/>
      <c r="AB46" s="161"/>
      <c r="AC46" s="161"/>
    </row>
    <row r="47" spans="2:29" x14ac:dyDescent="0.15">
      <c r="B47" s="251" t="s">
        <v>30</v>
      </c>
      <c r="C47" s="253">
        <v>0.43055555555555558</v>
      </c>
      <c r="D47" s="217">
        <v>141.5</v>
      </c>
      <c r="E47" s="218">
        <v>7</v>
      </c>
      <c r="F47" s="120" t="s">
        <v>110</v>
      </c>
      <c r="G47" s="255">
        <v>7.8666666666666663E-2</v>
      </c>
      <c r="H47" s="68">
        <f>0.444-G47</f>
        <v>0.36533333333333334</v>
      </c>
      <c r="I47" s="68">
        <f>0.435-G47</f>
        <v>0.35633333333333334</v>
      </c>
      <c r="J47" s="68">
        <f>0.454-G47</f>
        <v>0.37533333333333335</v>
      </c>
      <c r="K47" s="68">
        <f t="shared" si="24"/>
        <v>1.97828</v>
      </c>
      <c r="L47" s="68">
        <f t="shared" si="24"/>
        <v>1.9295450000000001</v>
      </c>
      <c r="M47" s="68">
        <f t="shared" si="24"/>
        <v>2.0324300000000002</v>
      </c>
      <c r="N47" s="68">
        <f t="shared" si="23"/>
        <v>1.9800850000000001</v>
      </c>
      <c r="O47" s="68">
        <f t="shared" si="19"/>
        <v>0.1980085</v>
      </c>
      <c r="P47" s="68">
        <f t="shared" si="20"/>
        <v>1.4143464285714285E-2</v>
      </c>
      <c r="Q47" s="68">
        <f t="shared" si="21"/>
        <v>1.4143464285714285E-2</v>
      </c>
      <c r="R47" s="68">
        <f t="shared" si="22"/>
        <v>0.8768947857142857</v>
      </c>
      <c r="S47" s="122"/>
      <c r="T47" s="58"/>
      <c r="U47" s="67"/>
    </row>
    <row r="48" spans="2:29" x14ac:dyDescent="0.15">
      <c r="B48" s="252"/>
      <c r="C48" s="254"/>
      <c r="D48" s="218"/>
      <c r="E48" s="218"/>
      <c r="F48" s="120" t="s">
        <v>111</v>
      </c>
      <c r="G48" s="255"/>
      <c r="H48" s="68">
        <f>0.501-G47</f>
        <v>0.42233333333333334</v>
      </c>
      <c r="I48" s="68">
        <f>0.495-G47</f>
        <v>0.41633333333333333</v>
      </c>
      <c r="J48" s="68">
        <f>0.504-G47</f>
        <v>0.42533333333333334</v>
      </c>
      <c r="K48" s="68">
        <f t="shared" si="24"/>
        <v>2.2869350000000002</v>
      </c>
      <c r="L48" s="68">
        <f t="shared" si="24"/>
        <v>2.254445</v>
      </c>
      <c r="M48" s="68">
        <f t="shared" si="24"/>
        <v>2.3031800000000002</v>
      </c>
      <c r="N48" s="68">
        <f t="shared" si="23"/>
        <v>2.28152</v>
      </c>
      <c r="O48" s="68">
        <f t="shared" si="19"/>
        <v>0.22815199999999999</v>
      </c>
      <c r="P48" s="68">
        <f t="shared" si="20"/>
        <v>1.6296571428571428E-2</v>
      </c>
      <c r="Q48" s="68">
        <f t="shared" si="21"/>
        <v>1.6296571428571428E-2</v>
      </c>
      <c r="R48" s="68">
        <f t="shared" si="22"/>
        <v>1.0103874285714285</v>
      </c>
      <c r="S48" s="122"/>
      <c r="T48" s="58"/>
      <c r="U48" s="67"/>
    </row>
    <row r="49" spans="2:21" x14ac:dyDescent="0.15">
      <c r="B49" s="252"/>
      <c r="C49" s="254"/>
      <c r="D49" s="218"/>
      <c r="E49" s="219"/>
      <c r="F49" s="151" t="s">
        <v>112</v>
      </c>
      <c r="G49" s="256"/>
      <c r="H49" s="74">
        <f>0.504-G47</f>
        <v>0.42533333333333334</v>
      </c>
      <c r="I49" s="74">
        <f>0.502-G47</f>
        <v>0.42333333333333334</v>
      </c>
      <c r="J49" s="74">
        <f>0.558-G47</f>
        <v>0.47933333333333339</v>
      </c>
      <c r="K49" s="74">
        <f t="shared" si="24"/>
        <v>2.3031800000000002</v>
      </c>
      <c r="L49" s="74">
        <f t="shared" si="24"/>
        <v>2.2923499999999999</v>
      </c>
      <c r="M49" s="74">
        <f t="shared" si="24"/>
        <v>2.5955900000000005</v>
      </c>
      <c r="N49" s="74">
        <f t="shared" si="23"/>
        <v>2.3970400000000001</v>
      </c>
      <c r="O49" s="74">
        <f t="shared" si="19"/>
        <v>0.239704</v>
      </c>
      <c r="P49" s="74">
        <f t="shared" si="20"/>
        <v>1.7121714285714285E-2</v>
      </c>
      <c r="Q49" s="74">
        <f t="shared" si="21"/>
        <v>1.7121714285714285E-2</v>
      </c>
      <c r="R49" s="74">
        <f t="shared" si="22"/>
        <v>1.0615462857142857</v>
      </c>
      <c r="S49" s="118">
        <f>AVERAGE(R47:R49)</f>
        <v>0.98294283333333332</v>
      </c>
      <c r="T49" s="74">
        <f>STDEV(R47:R49)</f>
        <v>9.533597678158888E-2</v>
      </c>
      <c r="U49" s="119">
        <f>T49/SQRT(3)</f>
        <v>5.5042251858306253E-2</v>
      </c>
    </row>
    <row r="50" spans="2:21" x14ac:dyDescent="0.15">
      <c r="B50" s="215" t="s">
        <v>32</v>
      </c>
      <c r="C50" s="254">
        <v>0.52083333333333337</v>
      </c>
      <c r="D50" s="218">
        <v>191.5</v>
      </c>
      <c r="E50" s="218">
        <v>9</v>
      </c>
      <c r="F50" s="120" t="s">
        <v>110</v>
      </c>
      <c r="G50" s="255">
        <v>8.1000000000000003E-2</v>
      </c>
      <c r="H50" s="68">
        <f>0.46-G50</f>
        <v>0.379</v>
      </c>
      <c r="I50" s="68">
        <f>0.474-G50</f>
        <v>0.39299999999999996</v>
      </c>
      <c r="J50" s="68">
        <f>0.464-G50</f>
        <v>0.38300000000000001</v>
      </c>
      <c r="K50" s="68">
        <f t="shared" ref="K50:M55" si="25">5.4323*H50</f>
        <v>2.0588416999999999</v>
      </c>
      <c r="L50" s="68">
        <f t="shared" si="25"/>
        <v>2.1348938999999998</v>
      </c>
      <c r="M50" s="68">
        <f t="shared" si="25"/>
        <v>2.0805709000000001</v>
      </c>
      <c r="N50" s="68">
        <f t="shared" si="23"/>
        <v>2.0914354999999998</v>
      </c>
      <c r="O50" s="68">
        <f t="shared" si="19"/>
        <v>0.20914354999999998</v>
      </c>
      <c r="P50" s="68">
        <f t="shared" si="20"/>
        <v>1.4938824999999999E-2</v>
      </c>
      <c r="Q50" s="68">
        <f t="shared" si="21"/>
        <v>1.4938824999999999E-2</v>
      </c>
      <c r="R50" s="68">
        <f t="shared" si="22"/>
        <v>0.92620714999999998</v>
      </c>
      <c r="S50" s="122"/>
      <c r="T50" s="58"/>
      <c r="U50" s="67"/>
    </row>
    <row r="51" spans="2:21" x14ac:dyDescent="0.15">
      <c r="B51" s="215"/>
      <c r="C51" s="254"/>
      <c r="D51" s="218"/>
      <c r="E51" s="218"/>
      <c r="F51" s="120" t="s">
        <v>111</v>
      </c>
      <c r="G51" s="255"/>
      <c r="H51" s="68">
        <f>0.408-G50</f>
        <v>0.32699999999999996</v>
      </c>
      <c r="I51" s="68">
        <f>0.416-G50</f>
        <v>0.33499999999999996</v>
      </c>
      <c r="J51" s="68">
        <f>0.403-G50</f>
        <v>0.32200000000000001</v>
      </c>
      <c r="K51" s="68">
        <f t="shared" si="25"/>
        <v>1.7763620999999996</v>
      </c>
      <c r="L51" s="68">
        <f t="shared" si="25"/>
        <v>1.8198204999999996</v>
      </c>
      <c r="M51" s="68">
        <f t="shared" si="25"/>
        <v>1.7492006</v>
      </c>
      <c r="N51" s="68">
        <f t="shared" si="23"/>
        <v>1.7817943999999997</v>
      </c>
      <c r="O51" s="68">
        <f t="shared" si="19"/>
        <v>0.17817943999999997</v>
      </c>
      <c r="P51" s="68">
        <f t="shared" si="20"/>
        <v>1.2727102857142856E-2</v>
      </c>
      <c r="Q51" s="68">
        <f t="shared" si="21"/>
        <v>1.2727102857142856E-2</v>
      </c>
      <c r="R51" s="68">
        <f t="shared" si="22"/>
        <v>0.78908037714285706</v>
      </c>
      <c r="S51" s="122"/>
      <c r="T51" s="58"/>
      <c r="U51" s="67"/>
    </row>
    <row r="52" spans="2:21" x14ac:dyDescent="0.15">
      <c r="B52" s="216"/>
      <c r="C52" s="257"/>
      <c r="D52" s="219"/>
      <c r="E52" s="219"/>
      <c r="F52" s="151" t="s">
        <v>112</v>
      </c>
      <c r="G52" s="256"/>
      <c r="H52" s="74">
        <f>0.441-G50</f>
        <v>0.36</v>
      </c>
      <c r="I52" s="74">
        <f>0.446-G50</f>
        <v>0.36499999999999999</v>
      </c>
      <c r="J52" s="74">
        <f>0.427-G50</f>
        <v>0.34599999999999997</v>
      </c>
      <c r="K52" s="74">
        <f t="shared" si="25"/>
        <v>1.9556279999999999</v>
      </c>
      <c r="L52" s="74">
        <f t="shared" si="25"/>
        <v>1.9827894999999998</v>
      </c>
      <c r="M52" s="74">
        <f t="shared" si="25"/>
        <v>1.8795757999999998</v>
      </c>
      <c r="N52" s="74">
        <f t="shared" si="23"/>
        <v>1.9393310999999998</v>
      </c>
      <c r="O52" s="74">
        <f t="shared" si="19"/>
        <v>0.19393310999999996</v>
      </c>
      <c r="P52" s="74">
        <f t="shared" si="20"/>
        <v>1.3852364999999997E-2</v>
      </c>
      <c r="Q52" s="74">
        <f t="shared" si="21"/>
        <v>1.3852364999999997E-2</v>
      </c>
      <c r="R52" s="74">
        <f t="shared" si="22"/>
        <v>0.85884662999999983</v>
      </c>
      <c r="S52" s="118">
        <f>AVERAGE(R50:R52)</f>
        <v>0.85804471904761892</v>
      </c>
      <c r="T52" s="74">
        <f>STDEV(R50:R52)</f>
        <v>6.8566903491664818E-2</v>
      </c>
      <c r="U52" s="119">
        <f>T52/SQRT(3)</f>
        <v>3.9587120188411776E-2</v>
      </c>
    </row>
    <row r="53" spans="2:21" x14ac:dyDescent="0.15">
      <c r="B53" s="214" t="s">
        <v>34</v>
      </c>
      <c r="C53" s="253">
        <v>0.42152777777777778</v>
      </c>
      <c r="D53" s="217">
        <v>237</v>
      </c>
      <c r="E53" s="218">
        <v>11</v>
      </c>
      <c r="F53" s="120" t="s">
        <v>110</v>
      </c>
      <c r="G53" s="255">
        <v>8.1000000000000003E-2</v>
      </c>
      <c r="H53" s="68">
        <f>0.391-G53</f>
        <v>0.31</v>
      </c>
      <c r="I53" s="68">
        <f>0.303-G53</f>
        <v>0.22199999999999998</v>
      </c>
      <c r="J53" s="68">
        <f>0.302-G53</f>
        <v>0.22099999999999997</v>
      </c>
      <c r="K53" s="68">
        <f t="shared" si="25"/>
        <v>1.684013</v>
      </c>
      <c r="L53" s="68">
        <f t="shared" si="25"/>
        <v>1.2059705999999999</v>
      </c>
      <c r="M53" s="68">
        <f t="shared" si="25"/>
        <v>1.2005382999999998</v>
      </c>
      <c r="N53" s="68">
        <f t="shared" si="23"/>
        <v>1.3635073</v>
      </c>
      <c r="O53" s="68">
        <f t="shared" si="19"/>
        <v>0.13635073</v>
      </c>
      <c r="P53" s="68">
        <f t="shared" si="20"/>
        <v>9.7393378571428574E-3</v>
      </c>
      <c r="Q53" s="68">
        <f t="shared" si="21"/>
        <v>9.7393378571428574E-3</v>
      </c>
      <c r="R53" s="68">
        <f t="shared" si="22"/>
        <v>0.60383894714285713</v>
      </c>
      <c r="S53" s="147"/>
      <c r="T53" s="68"/>
      <c r="U53" s="91"/>
    </row>
    <row r="54" spans="2:21" x14ac:dyDescent="0.15">
      <c r="B54" s="215"/>
      <c r="C54" s="254"/>
      <c r="D54" s="218"/>
      <c r="E54" s="218"/>
      <c r="F54" s="120" t="s">
        <v>111</v>
      </c>
      <c r="G54" s="255"/>
      <c r="H54" s="68">
        <f>0.378-G53</f>
        <v>0.29699999999999999</v>
      </c>
      <c r="I54" s="68">
        <f>0.389-G53</f>
        <v>0.308</v>
      </c>
      <c r="J54" s="68">
        <f>0.397-G53</f>
        <v>0.316</v>
      </c>
      <c r="K54" s="68">
        <f t="shared" si="25"/>
        <v>1.6133930999999999</v>
      </c>
      <c r="L54" s="68">
        <f t="shared" si="25"/>
        <v>1.6731483999999999</v>
      </c>
      <c r="M54" s="68">
        <f t="shared" si="25"/>
        <v>1.7166067999999999</v>
      </c>
      <c r="N54" s="68">
        <f t="shared" si="23"/>
        <v>1.6677160999999998</v>
      </c>
      <c r="O54" s="68">
        <f t="shared" si="19"/>
        <v>0.16677160999999999</v>
      </c>
      <c r="P54" s="68">
        <f t="shared" si="20"/>
        <v>1.1912257857142856E-2</v>
      </c>
      <c r="Q54" s="68">
        <f t="shared" si="21"/>
        <v>1.1912257857142856E-2</v>
      </c>
      <c r="R54" s="68">
        <f t="shared" si="22"/>
        <v>0.73855998714285709</v>
      </c>
      <c r="S54" s="147"/>
      <c r="T54" s="68"/>
      <c r="U54" s="91"/>
    </row>
    <row r="55" spans="2:21" x14ac:dyDescent="0.15">
      <c r="B55" s="215"/>
      <c r="C55" s="254"/>
      <c r="D55" s="218"/>
      <c r="E55" s="219"/>
      <c r="F55" s="151" t="s">
        <v>112</v>
      </c>
      <c r="G55" s="256"/>
      <c r="H55" s="74">
        <f>0.466-G53</f>
        <v>0.38500000000000001</v>
      </c>
      <c r="I55" s="74">
        <f>0.468-G53</f>
        <v>0.38700000000000001</v>
      </c>
      <c r="J55" s="74">
        <f>0.466-G53</f>
        <v>0.38500000000000001</v>
      </c>
      <c r="K55" s="74">
        <f t="shared" si="25"/>
        <v>2.0914354999999998</v>
      </c>
      <c r="L55" s="74">
        <f t="shared" si="25"/>
        <v>2.1023000999999999</v>
      </c>
      <c r="M55" s="74">
        <f t="shared" si="25"/>
        <v>2.0914354999999998</v>
      </c>
      <c r="N55" s="74">
        <f t="shared" si="23"/>
        <v>2.0950570333333332</v>
      </c>
      <c r="O55" s="74">
        <f t="shared" si="19"/>
        <v>0.20950570333333332</v>
      </c>
      <c r="P55" s="74">
        <f t="shared" si="20"/>
        <v>1.4964693095238095E-2</v>
      </c>
      <c r="Q55" s="74">
        <f t="shared" si="21"/>
        <v>1.4964693095238095E-2</v>
      </c>
      <c r="R55" s="74">
        <f t="shared" si="22"/>
        <v>0.92781097190476192</v>
      </c>
      <c r="S55" s="118">
        <f>AVERAGE(R53:R55)</f>
        <v>0.75673663539682545</v>
      </c>
      <c r="T55" s="74">
        <f>STDEV(R53:R55)</f>
        <v>0.16274907407845146</v>
      </c>
      <c r="U55" s="119">
        <f>T55/SQRT(3)</f>
        <v>9.3963221729556304E-2</v>
      </c>
    </row>
    <row r="56" spans="2:21" x14ac:dyDescent="0.15">
      <c r="B56" s="215" t="s">
        <v>36</v>
      </c>
      <c r="C56" s="254">
        <v>0.4236111111111111</v>
      </c>
      <c r="D56" s="218">
        <v>285</v>
      </c>
      <c r="E56" s="218">
        <v>13</v>
      </c>
      <c r="F56" s="120" t="s">
        <v>110</v>
      </c>
      <c r="G56" s="255">
        <v>7.8E-2</v>
      </c>
      <c r="H56" s="68">
        <f>0.482-G56</f>
        <v>0.40399999999999997</v>
      </c>
      <c r="I56" s="68">
        <f>0.502-G56</f>
        <v>0.42399999999999999</v>
      </c>
      <c r="J56" s="68">
        <f>0.458-G56</f>
        <v>0.38</v>
      </c>
      <c r="K56" s="68">
        <f t="shared" ref="K56:M67" si="26">5.4887*H56</f>
        <v>2.2174347999999999</v>
      </c>
      <c r="L56" s="68">
        <f t="shared" si="26"/>
        <v>2.3272087999999997</v>
      </c>
      <c r="M56" s="68">
        <f t="shared" si="26"/>
        <v>2.0857060000000001</v>
      </c>
      <c r="N56" s="68">
        <f t="shared" si="23"/>
        <v>2.2101165333333332</v>
      </c>
      <c r="O56" s="68">
        <f>N56/15</f>
        <v>0.14734110222222221</v>
      </c>
      <c r="P56" s="68">
        <f t="shared" si="20"/>
        <v>1.0524364444444444E-2</v>
      </c>
      <c r="Q56" s="68">
        <f t="shared" si="21"/>
        <v>1.0524364444444444E-2</v>
      </c>
      <c r="R56" s="68">
        <f t="shared" si="22"/>
        <v>0.65251059555555557</v>
      </c>
      <c r="S56" s="147"/>
      <c r="T56" s="68"/>
      <c r="U56" s="91"/>
    </row>
    <row r="57" spans="2:21" x14ac:dyDescent="0.15">
      <c r="B57" s="215"/>
      <c r="C57" s="254"/>
      <c r="D57" s="218"/>
      <c r="E57" s="218"/>
      <c r="F57" s="120" t="s">
        <v>111</v>
      </c>
      <c r="G57" s="255"/>
      <c r="H57" s="68">
        <f>0.502-G56</f>
        <v>0.42399999999999999</v>
      </c>
      <c r="I57" s="68">
        <f>0.517-G56</f>
        <v>0.439</v>
      </c>
      <c r="J57" s="68">
        <f>0.502-G56</f>
        <v>0.42399999999999999</v>
      </c>
      <c r="K57" s="68">
        <f t="shared" si="26"/>
        <v>2.3272087999999997</v>
      </c>
      <c r="L57" s="68">
        <f t="shared" si="26"/>
        <v>2.4095393000000001</v>
      </c>
      <c r="M57" s="68">
        <f t="shared" si="26"/>
        <v>2.3272087999999997</v>
      </c>
      <c r="N57" s="68">
        <f t="shared" si="23"/>
        <v>2.3546522999999997</v>
      </c>
      <c r="O57" s="68">
        <f t="shared" ref="O57:O61" si="27">N57/15</f>
        <v>0.15697681999999999</v>
      </c>
      <c r="P57" s="68">
        <f t="shared" si="20"/>
        <v>1.1212629999999999E-2</v>
      </c>
      <c r="Q57" s="68">
        <f t="shared" si="21"/>
        <v>1.1212629999999999E-2</v>
      </c>
      <c r="R57" s="68">
        <f t="shared" si="22"/>
        <v>0.69518305999999996</v>
      </c>
      <c r="S57" s="147"/>
      <c r="T57" s="68"/>
      <c r="U57" s="91"/>
    </row>
    <row r="58" spans="2:21" x14ac:dyDescent="0.15">
      <c r="B58" s="216"/>
      <c r="C58" s="257"/>
      <c r="D58" s="219"/>
      <c r="E58" s="219"/>
      <c r="F58" s="151" t="s">
        <v>112</v>
      </c>
      <c r="G58" s="256"/>
      <c r="H58" s="74">
        <f>0.495-G56</f>
        <v>0.41699999999999998</v>
      </c>
      <c r="I58" s="74">
        <f>0.49-G56</f>
        <v>0.41199999999999998</v>
      </c>
      <c r="J58" s="74">
        <f>0.491-G56</f>
        <v>0.41299999999999998</v>
      </c>
      <c r="K58" s="74">
        <f t="shared" si="26"/>
        <v>2.2887879</v>
      </c>
      <c r="L58" s="74">
        <f t="shared" si="26"/>
        <v>2.2613443999999996</v>
      </c>
      <c r="M58" s="74">
        <f t="shared" si="26"/>
        <v>2.2668330999999999</v>
      </c>
      <c r="N58" s="74">
        <f t="shared" si="23"/>
        <v>2.2723217999999998</v>
      </c>
      <c r="O58" s="74">
        <f t="shared" si="27"/>
        <v>0.15148811999999998</v>
      </c>
      <c r="P58" s="74">
        <f t="shared" si="20"/>
        <v>1.0820579999999998E-2</v>
      </c>
      <c r="Q58" s="74">
        <f t="shared" si="21"/>
        <v>1.0820579999999998E-2</v>
      </c>
      <c r="R58" s="74">
        <f t="shared" si="22"/>
        <v>0.67087595999999983</v>
      </c>
      <c r="S58" s="118">
        <f>AVERAGE(R56:R58)</f>
        <v>0.67285653851851845</v>
      </c>
      <c r="T58" s="74">
        <f>STDEV(R56:R58)</f>
        <v>2.1405065379288282E-2</v>
      </c>
      <c r="U58" s="119">
        <f>T58/SQRT(3)</f>
        <v>1.2358220258753629E-2</v>
      </c>
    </row>
    <row r="59" spans="2:21" x14ac:dyDescent="0.15">
      <c r="B59" s="214" t="s">
        <v>38</v>
      </c>
      <c r="C59" s="253">
        <v>0.48333333333333334</v>
      </c>
      <c r="D59" s="217">
        <v>334.5</v>
      </c>
      <c r="E59" s="218">
        <v>15</v>
      </c>
      <c r="F59" s="120" t="s">
        <v>110</v>
      </c>
      <c r="G59" s="255">
        <v>7.8E-2</v>
      </c>
      <c r="H59" s="68">
        <f>0.408-G59</f>
        <v>0.32999999999999996</v>
      </c>
      <c r="I59" s="68">
        <f>0.417-G59</f>
        <v>0.33899999999999997</v>
      </c>
      <c r="J59" s="68">
        <f>0.421-G59</f>
        <v>0.34299999999999997</v>
      </c>
      <c r="K59" s="68">
        <f t="shared" si="26"/>
        <v>1.8112709999999996</v>
      </c>
      <c r="L59" s="68">
        <f t="shared" si="26"/>
        <v>1.8606692999999996</v>
      </c>
      <c r="M59" s="68">
        <f t="shared" si="26"/>
        <v>1.8826240999999997</v>
      </c>
      <c r="N59" s="68">
        <f t="shared" si="23"/>
        <v>1.8515214666666662</v>
      </c>
      <c r="O59" s="68">
        <f t="shared" si="27"/>
        <v>0.12343476444444441</v>
      </c>
      <c r="P59" s="68">
        <f t="shared" si="20"/>
        <v>8.816768888888887E-3</v>
      </c>
      <c r="Q59" s="68">
        <f t="shared" si="21"/>
        <v>8.816768888888887E-3</v>
      </c>
      <c r="R59" s="68">
        <f t="shared" si="22"/>
        <v>0.546639671111111</v>
      </c>
      <c r="S59" s="122"/>
      <c r="T59" s="58"/>
      <c r="U59" s="67"/>
    </row>
    <row r="60" spans="2:21" x14ac:dyDescent="0.15">
      <c r="B60" s="215"/>
      <c r="C60" s="254"/>
      <c r="D60" s="218"/>
      <c r="E60" s="218"/>
      <c r="F60" s="120" t="s">
        <v>111</v>
      </c>
      <c r="G60" s="255"/>
      <c r="H60" s="68">
        <f>0.465-G59</f>
        <v>0.38700000000000001</v>
      </c>
      <c r="I60" s="68">
        <f>0.409-G59</f>
        <v>0.33099999999999996</v>
      </c>
      <c r="J60" s="68">
        <f>0.404-G59</f>
        <v>0.32600000000000001</v>
      </c>
      <c r="K60" s="68">
        <f t="shared" si="26"/>
        <v>2.1241268999999998</v>
      </c>
      <c r="L60" s="68">
        <f t="shared" si="26"/>
        <v>1.8167596999999998</v>
      </c>
      <c r="M60" s="68">
        <f t="shared" si="26"/>
        <v>1.7893162</v>
      </c>
      <c r="N60" s="68">
        <f t="shared" si="23"/>
        <v>1.9100675999999999</v>
      </c>
      <c r="O60" s="68">
        <f t="shared" si="27"/>
        <v>0.12733783999999998</v>
      </c>
      <c r="P60" s="68">
        <f t="shared" si="20"/>
        <v>9.0955599999999991E-3</v>
      </c>
      <c r="Q60" s="68">
        <f t="shared" si="21"/>
        <v>9.0955599999999991E-3</v>
      </c>
      <c r="R60" s="68">
        <f t="shared" si="22"/>
        <v>0.56392471999999993</v>
      </c>
      <c r="S60" s="122"/>
      <c r="T60" s="58"/>
      <c r="U60" s="67"/>
    </row>
    <row r="61" spans="2:21" x14ac:dyDescent="0.15">
      <c r="B61" s="215"/>
      <c r="C61" s="254"/>
      <c r="D61" s="218"/>
      <c r="E61" s="219"/>
      <c r="F61" s="151" t="s">
        <v>112</v>
      </c>
      <c r="G61" s="256"/>
      <c r="H61" s="74">
        <f>0.421-G59</f>
        <v>0.34299999999999997</v>
      </c>
      <c r="I61" s="74">
        <f>0.499-G59</f>
        <v>0.42099999999999999</v>
      </c>
      <c r="J61" s="74">
        <f>0.497-G59</f>
        <v>0.41899999999999998</v>
      </c>
      <c r="K61" s="74">
        <f t="shared" si="26"/>
        <v>1.8826240999999997</v>
      </c>
      <c r="L61" s="74">
        <f t="shared" ref="L61:L67" si="28">5.4887*I61</f>
        <v>2.3107426999999996</v>
      </c>
      <c r="M61" s="74">
        <f t="shared" ref="M61:M67" si="29">5.4887*J61</f>
        <v>2.2997652999999998</v>
      </c>
      <c r="N61" s="74">
        <f t="shared" si="23"/>
        <v>2.1643773666666664</v>
      </c>
      <c r="O61" s="74">
        <f t="shared" si="27"/>
        <v>0.14429182444444441</v>
      </c>
      <c r="P61" s="74">
        <f t="shared" si="20"/>
        <v>1.0306558888888886E-2</v>
      </c>
      <c r="Q61" s="74">
        <f t="shared" si="21"/>
        <v>1.0306558888888886E-2</v>
      </c>
      <c r="R61" s="74">
        <f t="shared" si="22"/>
        <v>0.63900665111111099</v>
      </c>
      <c r="S61" s="118">
        <f>AVERAGE(R59:R61)</f>
        <v>0.58319034740740727</v>
      </c>
      <c r="T61" s="74">
        <f>STDEV(R59:R61)</f>
        <v>4.9104867865934473E-2</v>
      </c>
      <c r="U61" s="119">
        <f>T61/SQRT(3)</f>
        <v>2.8350708680918275E-2</v>
      </c>
    </row>
    <row r="62" spans="2:21" x14ac:dyDescent="0.15">
      <c r="B62" s="252" t="s">
        <v>40</v>
      </c>
      <c r="C62" s="254">
        <v>0.53472222222222221</v>
      </c>
      <c r="D62" s="218">
        <v>383</v>
      </c>
      <c r="E62" s="218">
        <v>17</v>
      </c>
      <c r="F62" s="120" t="s">
        <v>110</v>
      </c>
      <c r="G62" s="255">
        <v>7.5999999999999998E-2</v>
      </c>
      <c r="H62" s="68">
        <f>0.504-G62</f>
        <v>0.42799999999999999</v>
      </c>
      <c r="I62" s="68">
        <f>0.5-G62</f>
        <v>0.42399999999999999</v>
      </c>
      <c r="J62" s="68">
        <f>0.482-G62</f>
        <v>0.40599999999999997</v>
      </c>
      <c r="K62" s="68">
        <f t="shared" si="26"/>
        <v>2.3491635999999998</v>
      </c>
      <c r="L62" s="68">
        <f t="shared" si="28"/>
        <v>2.3272087999999997</v>
      </c>
      <c r="M62" s="68">
        <f t="shared" si="29"/>
        <v>2.2284121999999997</v>
      </c>
      <c r="N62" s="68">
        <f t="shared" si="23"/>
        <v>2.3015948666666666</v>
      </c>
      <c r="O62" s="68">
        <f t="shared" ref="O62:O67" si="30">N62/20</f>
        <v>0.11507974333333333</v>
      </c>
      <c r="P62" s="68">
        <f t="shared" si="20"/>
        <v>8.2199816666666658E-3</v>
      </c>
      <c r="Q62" s="68">
        <f t="shared" si="21"/>
        <v>8.2199816666666658E-3</v>
      </c>
      <c r="R62" s="68">
        <f t="shared" si="22"/>
        <v>0.5096388633333333</v>
      </c>
      <c r="S62" s="122"/>
      <c r="T62" s="58"/>
      <c r="U62" s="67"/>
    </row>
    <row r="63" spans="2:21" x14ac:dyDescent="0.15">
      <c r="B63" s="252"/>
      <c r="C63" s="254"/>
      <c r="D63" s="218"/>
      <c r="E63" s="218"/>
      <c r="F63" s="120" t="s">
        <v>111</v>
      </c>
      <c r="G63" s="255"/>
      <c r="H63" s="68">
        <f>0.488-G62</f>
        <v>0.41199999999999998</v>
      </c>
      <c r="I63" s="68">
        <f>0.473-G62</f>
        <v>0.39699999999999996</v>
      </c>
      <c r="J63" s="68">
        <f>0.49-G62</f>
        <v>0.41399999999999998</v>
      </c>
      <c r="K63" s="68">
        <f t="shared" si="26"/>
        <v>2.2613443999999996</v>
      </c>
      <c r="L63" s="68">
        <f t="shared" si="28"/>
        <v>2.1790138999999997</v>
      </c>
      <c r="M63" s="68">
        <f t="shared" si="29"/>
        <v>2.2723217999999998</v>
      </c>
      <c r="N63" s="68">
        <f t="shared" si="23"/>
        <v>2.2375600333333332</v>
      </c>
      <c r="O63" s="68">
        <f t="shared" si="30"/>
        <v>0.11187800166666666</v>
      </c>
      <c r="P63" s="68">
        <f t="shared" si="20"/>
        <v>7.9912858333333319E-3</v>
      </c>
      <c r="Q63" s="68">
        <f t="shared" si="21"/>
        <v>7.9912858333333319E-3</v>
      </c>
      <c r="R63" s="68">
        <f t="shared" si="22"/>
        <v>0.49545972166666657</v>
      </c>
      <c r="S63" s="122"/>
      <c r="T63" s="58"/>
      <c r="U63" s="67"/>
    </row>
    <row r="64" spans="2:21" x14ac:dyDescent="0.15">
      <c r="B64" s="252"/>
      <c r="C64" s="254"/>
      <c r="D64" s="218"/>
      <c r="E64" s="219"/>
      <c r="F64" s="151" t="s">
        <v>112</v>
      </c>
      <c r="G64" s="256"/>
      <c r="H64" s="74">
        <f>0.499-G62</f>
        <v>0.42299999999999999</v>
      </c>
      <c r="I64" s="74">
        <f>0.501-G62</f>
        <v>0.42499999999999999</v>
      </c>
      <c r="J64" s="74">
        <f>0.482-G62</f>
        <v>0.40599999999999997</v>
      </c>
      <c r="K64" s="74">
        <f t="shared" si="26"/>
        <v>2.3217200999999998</v>
      </c>
      <c r="L64" s="74">
        <f t="shared" si="28"/>
        <v>2.3326974999999996</v>
      </c>
      <c r="M64" s="74">
        <f t="shared" si="29"/>
        <v>2.2284121999999997</v>
      </c>
      <c r="N64" s="74">
        <f t="shared" si="23"/>
        <v>2.2942765999999999</v>
      </c>
      <c r="O64" s="74">
        <f t="shared" si="30"/>
        <v>0.11471382999999999</v>
      </c>
      <c r="P64" s="74">
        <f t="shared" si="20"/>
        <v>8.1938449999999999E-3</v>
      </c>
      <c r="Q64" s="74">
        <f t="shared" si="21"/>
        <v>8.1938449999999999E-3</v>
      </c>
      <c r="R64" s="74">
        <f t="shared" si="22"/>
        <v>0.50801839000000004</v>
      </c>
      <c r="S64" s="118">
        <f>AVERAGE(R62:R64)</f>
        <v>0.50437232499999995</v>
      </c>
      <c r="T64" s="74">
        <f>STDEV(R62:R64)</f>
        <v>7.7609507851177772E-3</v>
      </c>
      <c r="U64" s="119">
        <f>T64/SQRT(3)</f>
        <v>4.4807870249551863E-3</v>
      </c>
    </row>
    <row r="65" spans="2:29" x14ac:dyDescent="0.15">
      <c r="B65" s="252" t="s">
        <v>42</v>
      </c>
      <c r="C65" s="254">
        <v>0.5</v>
      </c>
      <c r="D65" s="218">
        <v>430</v>
      </c>
      <c r="E65" s="218">
        <v>19</v>
      </c>
      <c r="F65" s="120" t="s">
        <v>110</v>
      </c>
      <c r="G65" s="255">
        <v>7.5999999999999998E-2</v>
      </c>
      <c r="H65" s="68">
        <f>0.462-G65</f>
        <v>0.38600000000000001</v>
      </c>
      <c r="I65" s="68">
        <f>0.478-G65</f>
        <v>0.40199999999999997</v>
      </c>
      <c r="J65" s="68">
        <f>0.467-G65</f>
        <v>0.39100000000000001</v>
      </c>
      <c r="K65" s="68">
        <f t="shared" si="26"/>
        <v>2.1186381999999999</v>
      </c>
      <c r="L65" s="68">
        <f t="shared" si="28"/>
        <v>2.2064573999999997</v>
      </c>
      <c r="M65" s="68">
        <f t="shared" si="29"/>
        <v>2.1460816999999999</v>
      </c>
      <c r="N65" s="68">
        <f t="shared" si="23"/>
        <v>2.1570590999999997</v>
      </c>
      <c r="O65" s="68">
        <f t="shared" si="30"/>
        <v>0.10785295499999999</v>
      </c>
      <c r="P65" s="68">
        <f t="shared" si="20"/>
        <v>7.703782499999999E-3</v>
      </c>
      <c r="Q65" s="68">
        <f t="shared" si="21"/>
        <v>7.703782499999999E-3</v>
      </c>
      <c r="R65" s="68">
        <f t="shared" si="22"/>
        <v>0.47763451499999993</v>
      </c>
      <c r="S65" s="122"/>
      <c r="T65" s="58"/>
      <c r="U65" s="67"/>
    </row>
    <row r="66" spans="2:29" ht="15" customHeight="1" x14ac:dyDescent="0.15">
      <c r="B66" s="252"/>
      <c r="C66" s="254"/>
      <c r="D66" s="218"/>
      <c r="E66" s="218"/>
      <c r="F66" s="120" t="s">
        <v>111</v>
      </c>
      <c r="G66" s="255"/>
      <c r="H66" s="68">
        <f>0.463-G65</f>
        <v>0.38700000000000001</v>
      </c>
      <c r="I66" s="68">
        <f>0.471-G65</f>
        <v>0.39499999999999996</v>
      </c>
      <c r="J66" s="68">
        <f>0.475-G65</f>
        <v>0.39899999999999997</v>
      </c>
      <c r="K66" s="68">
        <f t="shared" si="26"/>
        <v>2.1241268999999998</v>
      </c>
      <c r="L66" s="68">
        <f t="shared" si="28"/>
        <v>2.1680364999999995</v>
      </c>
      <c r="M66" s="68">
        <f t="shared" si="29"/>
        <v>2.1899912999999995</v>
      </c>
      <c r="N66" s="68">
        <f t="shared" si="23"/>
        <v>2.1607182333333328</v>
      </c>
      <c r="O66" s="68">
        <f t="shared" si="30"/>
        <v>0.10803591166666664</v>
      </c>
      <c r="P66" s="68">
        <f t="shared" si="20"/>
        <v>7.7168508333333311E-3</v>
      </c>
      <c r="Q66" s="68">
        <f t="shared" si="21"/>
        <v>7.7168508333333311E-3</v>
      </c>
      <c r="R66" s="68">
        <f t="shared" si="22"/>
        <v>0.4784447516666665</v>
      </c>
      <c r="S66" s="122"/>
      <c r="T66" s="58"/>
      <c r="U66" s="67"/>
    </row>
    <row r="67" spans="2:29" ht="16" customHeight="1" thickBot="1" x14ac:dyDescent="0.2">
      <c r="B67" s="259"/>
      <c r="C67" s="260"/>
      <c r="D67" s="231"/>
      <c r="E67" s="231"/>
      <c r="F67" s="152" t="s">
        <v>112</v>
      </c>
      <c r="G67" s="262"/>
      <c r="H67" s="93">
        <f>0.481-G65</f>
        <v>0.40499999999999997</v>
      </c>
      <c r="I67" s="93">
        <f>0.462-G65</f>
        <v>0.38600000000000001</v>
      </c>
      <c r="J67" s="93">
        <f>0.477-G65</f>
        <v>0.40099999999999997</v>
      </c>
      <c r="K67" s="68">
        <f t="shared" si="26"/>
        <v>2.2229234999999998</v>
      </c>
      <c r="L67" s="68">
        <f t="shared" si="28"/>
        <v>2.1186381999999999</v>
      </c>
      <c r="M67" s="68">
        <f t="shared" si="29"/>
        <v>2.2009686999999998</v>
      </c>
      <c r="N67" s="93">
        <f t="shared" si="23"/>
        <v>2.1808434666666665</v>
      </c>
      <c r="O67" s="93">
        <f t="shared" si="30"/>
        <v>0.10904217333333333</v>
      </c>
      <c r="P67" s="93">
        <f t="shared" si="20"/>
        <v>7.7887266666666665E-3</v>
      </c>
      <c r="Q67" s="93">
        <f t="shared" si="21"/>
        <v>7.7887266666666665E-3</v>
      </c>
      <c r="R67" s="93">
        <f t="shared" si="22"/>
        <v>0.48290105333333333</v>
      </c>
      <c r="S67" s="124">
        <f>AVERAGE(R65:R67)</f>
        <v>0.47966010666666659</v>
      </c>
      <c r="T67" s="93">
        <f>STDEV(R65:R67)</f>
        <v>2.8358283333333933E-3</v>
      </c>
      <c r="U67" s="113">
        <f>T67/SQRT(3)</f>
        <v>1.6372662516256026E-3</v>
      </c>
    </row>
    <row r="68" spans="2:29" ht="17" thickBot="1" x14ac:dyDescent="0.2">
      <c r="B68" s="248" t="s">
        <v>63</v>
      </c>
      <c r="C68" s="249"/>
      <c r="D68" s="249"/>
      <c r="E68" s="249"/>
      <c r="F68" s="249"/>
      <c r="G68" s="249"/>
      <c r="H68" s="249"/>
      <c r="I68" s="249"/>
      <c r="J68" s="249"/>
      <c r="K68" s="249"/>
      <c r="L68" s="249"/>
      <c r="M68" s="249"/>
      <c r="N68" s="249"/>
      <c r="O68" s="249"/>
      <c r="P68" s="249"/>
      <c r="Q68" s="249"/>
      <c r="R68" s="249"/>
      <c r="S68" s="249"/>
      <c r="T68" s="249"/>
      <c r="U68" s="250"/>
      <c r="W68" s="244" t="s">
        <v>115</v>
      </c>
      <c r="X68" s="244"/>
      <c r="Y68" s="244"/>
    </row>
    <row r="69" spans="2:29" ht="30" x14ac:dyDescent="0.15">
      <c r="B69" s="126" t="s">
        <v>0</v>
      </c>
      <c r="C69" s="59" t="s">
        <v>1</v>
      </c>
      <c r="D69" s="59" t="s">
        <v>2</v>
      </c>
      <c r="E69" s="129" t="s">
        <v>23</v>
      </c>
      <c r="F69" s="128"/>
      <c r="G69" s="128" t="s">
        <v>24</v>
      </c>
      <c r="H69" s="245" t="s">
        <v>25</v>
      </c>
      <c r="I69" s="246"/>
      <c r="J69" s="246"/>
      <c r="K69" s="247" t="s">
        <v>87</v>
      </c>
      <c r="L69" s="247"/>
      <c r="M69" s="247"/>
      <c r="N69" s="59" t="s">
        <v>26</v>
      </c>
      <c r="O69" s="59" t="s">
        <v>27</v>
      </c>
      <c r="P69" s="59" t="s">
        <v>27</v>
      </c>
      <c r="Q69" s="59" t="s">
        <v>88</v>
      </c>
      <c r="R69" s="129" t="s">
        <v>88</v>
      </c>
      <c r="S69" s="59" t="s">
        <v>89</v>
      </c>
      <c r="T69" s="59" t="s">
        <v>82</v>
      </c>
      <c r="U69" s="127" t="s">
        <v>56</v>
      </c>
      <c r="W69" s="58" t="s">
        <v>2</v>
      </c>
      <c r="X69" s="111" t="str">
        <f>S69</f>
        <v>Average NO3 concentration</v>
      </c>
      <c r="Y69" s="111" t="str">
        <f>U69</f>
        <v>Standard error</v>
      </c>
      <c r="Z69" s="58"/>
      <c r="AA69" s="114"/>
      <c r="AB69" s="114"/>
      <c r="AC69" s="114"/>
    </row>
    <row r="70" spans="2:29" ht="14" x14ac:dyDescent="0.15">
      <c r="B70" s="130"/>
      <c r="C70" s="131"/>
      <c r="D70" s="132"/>
      <c r="E70" s="132"/>
      <c r="F70" s="133"/>
      <c r="G70" s="133"/>
      <c r="H70" s="132"/>
      <c r="I70" s="132"/>
      <c r="J70" s="132"/>
      <c r="K70" s="64"/>
      <c r="L70" s="64"/>
      <c r="M70" s="64"/>
      <c r="N70" s="64" t="s">
        <v>28</v>
      </c>
      <c r="O70" s="64" t="s">
        <v>21</v>
      </c>
      <c r="P70" s="64" t="s">
        <v>29</v>
      </c>
      <c r="Q70" s="64" t="s">
        <v>29</v>
      </c>
      <c r="R70" s="63" t="s">
        <v>21</v>
      </c>
      <c r="S70" s="64" t="s">
        <v>21</v>
      </c>
      <c r="T70" s="64"/>
      <c r="U70" s="62"/>
      <c r="W70" s="87">
        <v>0</v>
      </c>
      <c r="X70" s="68">
        <f>S73</f>
        <v>1.5368353849999998</v>
      </c>
      <c r="Y70" s="68">
        <f>U73</f>
        <v>4.9539653988575134E-2</v>
      </c>
      <c r="Z70" s="68"/>
      <c r="AA70" s="114"/>
      <c r="AB70" s="114"/>
      <c r="AC70" s="114"/>
    </row>
    <row r="71" spans="2:29" x14ac:dyDescent="0.15">
      <c r="B71" s="264" t="s">
        <v>8</v>
      </c>
      <c r="C71" s="254">
        <v>0.5625</v>
      </c>
      <c r="D71" s="226">
        <v>0</v>
      </c>
      <c r="E71" s="226">
        <v>1</v>
      </c>
      <c r="F71" s="120" t="s">
        <v>110</v>
      </c>
      <c r="G71" s="258">
        <f>(0.076+0.073)/2</f>
        <v>7.4499999999999997E-2</v>
      </c>
      <c r="H71" s="136">
        <f>0.805-G71</f>
        <v>0.73050000000000004</v>
      </c>
      <c r="I71" s="137">
        <f>0.809-G71</f>
        <v>0.73450000000000004</v>
      </c>
      <c r="J71" s="137">
        <f>0.804-G71</f>
        <v>0.72950000000000004</v>
      </c>
      <c r="K71" s="68">
        <f t="shared" ref="K71:M76" si="31">5.0379*H71</f>
        <v>3.6801859499999998</v>
      </c>
      <c r="L71" s="68">
        <f t="shared" si="31"/>
        <v>3.70033755</v>
      </c>
      <c r="M71" s="68">
        <f t="shared" si="31"/>
        <v>3.6751480499999998</v>
      </c>
      <c r="N71" s="68">
        <f>AVERAGE(K71:M71)</f>
        <v>3.6852238499999999</v>
      </c>
      <c r="O71" s="68">
        <f>N71/10</f>
        <v>0.36852238500000001</v>
      </c>
      <c r="P71" s="68">
        <f>O71/14</f>
        <v>2.6323027500000002E-2</v>
      </c>
      <c r="Q71" s="68">
        <f>P71</f>
        <v>2.6323027500000002E-2</v>
      </c>
      <c r="R71" s="68">
        <f>Q71*62</f>
        <v>1.6320277050000001</v>
      </c>
      <c r="S71" s="122"/>
      <c r="T71" s="58"/>
      <c r="U71" s="67"/>
      <c r="W71" s="87">
        <f>D74</f>
        <v>47.5</v>
      </c>
      <c r="X71" s="68">
        <f>S76</f>
        <v>1.3124889016666665</v>
      </c>
      <c r="Y71" s="68">
        <f>U76</f>
        <v>5.2936822606424079E-2</v>
      </c>
      <c r="Z71" s="68"/>
      <c r="AA71" s="161"/>
      <c r="AB71" s="161"/>
      <c r="AC71" s="161"/>
    </row>
    <row r="72" spans="2:29" x14ac:dyDescent="0.15">
      <c r="B72" s="264"/>
      <c r="C72" s="254"/>
      <c r="D72" s="226"/>
      <c r="E72" s="226"/>
      <c r="F72" s="120" t="s">
        <v>111</v>
      </c>
      <c r="G72" s="255"/>
      <c r="H72" s="68">
        <f>0.706-G71</f>
        <v>0.63149999999999995</v>
      </c>
      <c r="I72" s="68">
        <f>0.771-G71</f>
        <v>0.69650000000000001</v>
      </c>
      <c r="J72" s="68">
        <f>0.781-G71</f>
        <v>0.70650000000000002</v>
      </c>
      <c r="K72" s="68">
        <f t="shared" si="31"/>
        <v>3.1814338499999995</v>
      </c>
      <c r="L72" s="68">
        <f t="shared" si="31"/>
        <v>3.5088973499999998</v>
      </c>
      <c r="M72" s="68">
        <f t="shared" si="31"/>
        <v>3.5592763499999998</v>
      </c>
      <c r="N72" s="68">
        <f>AVERAGE(K72:M72)</f>
        <v>3.4165358499999994</v>
      </c>
      <c r="O72" s="68">
        <f t="shared" ref="O72:O88" si="32">N72/10</f>
        <v>0.34165358499999993</v>
      </c>
      <c r="P72" s="68">
        <f t="shared" ref="P72:P100" si="33">O72/14</f>
        <v>2.4403827499999996E-2</v>
      </c>
      <c r="Q72" s="68">
        <f t="shared" ref="Q72:Q100" si="34">P72</f>
        <v>2.4403827499999996E-2</v>
      </c>
      <c r="R72" s="68">
        <f t="shared" ref="R72:R100" si="35">Q72*62</f>
        <v>1.5130373049999997</v>
      </c>
      <c r="S72" s="122"/>
      <c r="T72" s="58"/>
      <c r="U72" s="67"/>
      <c r="W72" s="87">
        <f>D77</f>
        <v>94</v>
      </c>
      <c r="X72" s="68">
        <f>S79</f>
        <v>1.0959186428571428</v>
      </c>
      <c r="Y72" s="68">
        <f>U79</f>
        <v>2.8776857142857125E-2</v>
      </c>
      <c r="Z72" s="68"/>
      <c r="AA72" s="161"/>
      <c r="AB72" s="161"/>
      <c r="AC72" s="161"/>
    </row>
    <row r="73" spans="2:29" x14ac:dyDescent="0.15">
      <c r="B73" s="265"/>
      <c r="C73" s="257"/>
      <c r="D73" s="227"/>
      <c r="E73" s="227"/>
      <c r="F73" s="151" t="s">
        <v>112</v>
      </c>
      <c r="G73" s="256"/>
      <c r="H73" s="74">
        <f>0.739-G71</f>
        <v>0.66449999999999998</v>
      </c>
      <c r="I73" s="74">
        <f>0.744-G71</f>
        <v>0.66949999999999998</v>
      </c>
      <c r="J73" s="74">
        <f>0.711-G71</f>
        <v>0.63649999999999995</v>
      </c>
      <c r="K73" s="74">
        <f t="shared" si="31"/>
        <v>3.3476845499999994</v>
      </c>
      <c r="L73" s="74">
        <f t="shared" si="31"/>
        <v>3.3728740499999996</v>
      </c>
      <c r="M73" s="74">
        <f t="shared" si="31"/>
        <v>3.2066233499999997</v>
      </c>
      <c r="N73" s="74">
        <f>AVERAGE(K73:M73)</f>
        <v>3.3090606499999993</v>
      </c>
      <c r="O73" s="74">
        <f t="shared" si="32"/>
        <v>0.33090606499999992</v>
      </c>
      <c r="P73" s="74">
        <f t="shared" si="33"/>
        <v>2.3636147499999993E-2</v>
      </c>
      <c r="Q73" s="74">
        <f t="shared" si="34"/>
        <v>2.3636147499999993E-2</v>
      </c>
      <c r="R73" s="74">
        <f t="shared" si="35"/>
        <v>1.4654411449999996</v>
      </c>
      <c r="S73" s="118">
        <f>AVERAGE(R71:R73)</f>
        <v>1.5368353849999998</v>
      </c>
      <c r="T73" s="74">
        <f>STDEV(R71:R73)</f>
        <v>8.5805197697594315E-2</v>
      </c>
      <c r="U73" s="119">
        <f>T73/SQRT(3)</f>
        <v>4.9539653988575134E-2</v>
      </c>
      <c r="W73" s="87">
        <f>D80</f>
        <v>141</v>
      </c>
      <c r="X73" s="68">
        <f>S82</f>
        <v>0.95186830047619031</v>
      </c>
      <c r="Y73" s="68">
        <f>U82</f>
        <v>1.9642726524825818E-3</v>
      </c>
      <c r="Z73" s="68"/>
      <c r="AA73" s="161"/>
      <c r="AB73" s="161"/>
      <c r="AC73" s="161"/>
    </row>
    <row r="74" spans="2:29" x14ac:dyDescent="0.15">
      <c r="B74" s="214" t="s">
        <v>10</v>
      </c>
      <c r="C74" s="253">
        <v>0.54513888888888895</v>
      </c>
      <c r="D74" s="217">
        <v>47.5</v>
      </c>
      <c r="E74" s="226">
        <v>3</v>
      </c>
      <c r="F74" s="120" t="s">
        <v>110</v>
      </c>
      <c r="G74" s="255">
        <f>(0.076+0.073)/2</f>
        <v>7.4499999999999997E-2</v>
      </c>
      <c r="H74" s="68">
        <f>0.687-G74</f>
        <v>0.61250000000000004</v>
      </c>
      <c r="I74" s="68">
        <f>0.663-G74</f>
        <v>0.58850000000000002</v>
      </c>
      <c r="J74" s="68">
        <f>0.671-G74</f>
        <v>0.59650000000000003</v>
      </c>
      <c r="K74" s="68">
        <f t="shared" si="31"/>
        <v>3.08571375</v>
      </c>
      <c r="L74" s="68">
        <f t="shared" si="31"/>
        <v>2.96480415</v>
      </c>
      <c r="M74" s="68">
        <f t="shared" si="31"/>
        <v>3.0051073499999998</v>
      </c>
      <c r="N74" s="68">
        <f t="shared" ref="N74:N100" si="36">AVERAGE(K74:M74)</f>
        <v>3.0185417500000002</v>
      </c>
      <c r="O74" s="68">
        <f t="shared" si="32"/>
        <v>0.301854175</v>
      </c>
      <c r="P74" s="68">
        <f t="shared" si="33"/>
        <v>2.1561012500000001E-2</v>
      </c>
      <c r="Q74" s="68">
        <f t="shared" si="34"/>
        <v>2.1561012500000001E-2</v>
      </c>
      <c r="R74" s="68">
        <f t="shared" si="35"/>
        <v>1.3367827750000001</v>
      </c>
      <c r="S74" s="147"/>
      <c r="T74" s="68"/>
      <c r="U74" s="91"/>
      <c r="W74" s="87">
        <f>D83</f>
        <v>191</v>
      </c>
      <c r="X74" s="68">
        <f>S85</f>
        <v>0.81901838603174582</v>
      </c>
      <c r="Y74" s="68">
        <f>U85</f>
        <v>0.12410894401367187</v>
      </c>
      <c r="Z74" s="68"/>
      <c r="AA74" s="161"/>
      <c r="AB74" s="161"/>
      <c r="AC74" s="161"/>
    </row>
    <row r="75" spans="2:29" x14ac:dyDescent="0.15">
      <c r="B75" s="215"/>
      <c r="C75" s="254"/>
      <c r="D75" s="218"/>
      <c r="E75" s="226"/>
      <c r="F75" s="120" t="s">
        <v>111</v>
      </c>
      <c r="G75" s="255"/>
      <c r="H75" s="68">
        <f>0.606-G74</f>
        <v>0.53149999999999997</v>
      </c>
      <c r="I75" s="68">
        <f>0.602-G74</f>
        <v>0.52749999999999997</v>
      </c>
      <c r="J75" s="68">
        <f>0.644-G74</f>
        <v>0.56950000000000001</v>
      </c>
      <c r="K75" s="68">
        <f t="shared" si="31"/>
        <v>2.6776438499999995</v>
      </c>
      <c r="L75" s="68">
        <f t="shared" si="31"/>
        <v>2.6574922499999998</v>
      </c>
      <c r="M75" s="68">
        <f t="shared" si="31"/>
        <v>2.8690840499999997</v>
      </c>
      <c r="N75" s="68">
        <f t="shared" si="36"/>
        <v>2.7347400499999996</v>
      </c>
      <c r="O75" s="68">
        <f t="shared" si="32"/>
        <v>0.27347400499999996</v>
      </c>
      <c r="P75" s="68">
        <f t="shared" si="33"/>
        <v>1.9533857499999998E-2</v>
      </c>
      <c r="Q75" s="68">
        <f t="shared" si="34"/>
        <v>1.9533857499999998E-2</v>
      </c>
      <c r="R75" s="68">
        <f t="shared" si="35"/>
        <v>1.2110991649999998</v>
      </c>
      <c r="S75" s="147"/>
      <c r="T75" s="68"/>
      <c r="U75" s="91"/>
      <c r="W75" s="87">
        <f>D86</f>
        <v>236.5</v>
      </c>
      <c r="X75" s="68">
        <f>S88</f>
        <v>0.72706593015873011</v>
      </c>
      <c r="Y75" s="68">
        <f>U88</f>
        <v>6.1528922608126022E-2</v>
      </c>
      <c r="Z75" s="68"/>
      <c r="AA75" s="161"/>
      <c r="AB75" s="161"/>
      <c r="AC75" s="161"/>
    </row>
    <row r="76" spans="2:29" x14ac:dyDescent="0.15">
      <c r="B76" s="215"/>
      <c r="C76" s="254"/>
      <c r="D76" s="218"/>
      <c r="E76" s="227"/>
      <c r="F76" s="151" t="s">
        <v>112</v>
      </c>
      <c r="G76" s="256"/>
      <c r="H76" s="74">
        <f>0.669-G74</f>
        <v>0.59450000000000003</v>
      </c>
      <c r="I76" s="74">
        <f>0.714-G74</f>
        <v>0.63949999999999996</v>
      </c>
      <c r="J76" s="74">
        <f>0.709-G74</f>
        <v>0.63449999999999995</v>
      </c>
      <c r="K76" s="74">
        <f t="shared" si="31"/>
        <v>2.9950315499999998</v>
      </c>
      <c r="L76" s="74">
        <f t="shared" si="31"/>
        <v>3.2217370499999993</v>
      </c>
      <c r="M76" s="74">
        <f t="shared" si="31"/>
        <v>3.1965475499999996</v>
      </c>
      <c r="N76" s="74">
        <f t="shared" si="36"/>
        <v>3.1377720499999993</v>
      </c>
      <c r="O76" s="74">
        <f t="shared" si="32"/>
        <v>0.31377720499999995</v>
      </c>
      <c r="P76" s="74">
        <f t="shared" si="33"/>
        <v>2.2412657499999995E-2</v>
      </c>
      <c r="Q76" s="74">
        <f t="shared" si="34"/>
        <v>2.2412657499999995E-2</v>
      </c>
      <c r="R76" s="74">
        <f t="shared" si="35"/>
        <v>1.3895847649999997</v>
      </c>
      <c r="S76" s="118">
        <f>AVERAGE(R74:R76)</f>
        <v>1.3124889016666665</v>
      </c>
      <c r="T76" s="74">
        <f>STDEV(R74:R76)</f>
        <v>9.1689266345587217E-2</v>
      </c>
      <c r="U76" s="119">
        <f>T76/SQRT(3)</f>
        <v>5.2936822606424079E-2</v>
      </c>
      <c r="W76" s="87">
        <f>D89</f>
        <v>284.5</v>
      </c>
      <c r="X76" s="68">
        <f>S91</f>
        <v>0.63522554666666664</v>
      </c>
      <c r="Y76" s="68">
        <f>U91</f>
        <v>5.0775788828634753E-2</v>
      </c>
      <c r="Z76" s="68"/>
      <c r="AA76" s="161"/>
      <c r="AB76" s="161"/>
      <c r="AC76" s="161"/>
    </row>
    <row r="77" spans="2:29" x14ac:dyDescent="0.15">
      <c r="B77" s="215" t="s">
        <v>12</v>
      </c>
      <c r="C77" s="254">
        <v>0.47222222222222227</v>
      </c>
      <c r="D77" s="226">
        <v>94</v>
      </c>
      <c r="E77" s="226">
        <v>5</v>
      </c>
      <c r="F77" s="120" t="s">
        <v>110</v>
      </c>
      <c r="G77" s="255">
        <v>7.8666666666666663E-2</v>
      </c>
      <c r="H77" s="68">
        <f>0.567-G77</f>
        <v>0.48833333333333329</v>
      </c>
      <c r="I77" s="68">
        <f>0.573-G77</f>
        <v>0.49433333333333329</v>
      </c>
      <c r="J77" s="68">
        <f>0.539-G77</f>
        <v>0.46033333333333337</v>
      </c>
      <c r="K77" s="68">
        <f t="shared" ref="K77:M79" si="37">5.415*H77</f>
        <v>2.6443249999999998</v>
      </c>
      <c r="L77" s="68">
        <f t="shared" si="37"/>
        <v>2.6768149999999999</v>
      </c>
      <c r="M77" s="68">
        <f t="shared" si="37"/>
        <v>2.4927050000000004</v>
      </c>
      <c r="N77" s="68">
        <f t="shared" si="36"/>
        <v>2.6046150000000003</v>
      </c>
      <c r="O77" s="68">
        <f t="shared" si="32"/>
        <v>0.26046150000000001</v>
      </c>
      <c r="P77" s="68">
        <f t="shared" si="33"/>
        <v>1.8604392857142858E-2</v>
      </c>
      <c r="Q77" s="68">
        <f t="shared" si="34"/>
        <v>1.8604392857142858E-2</v>
      </c>
      <c r="R77" s="68">
        <f t="shared" si="35"/>
        <v>1.1534723571428571</v>
      </c>
      <c r="S77" s="147"/>
      <c r="T77" s="68"/>
      <c r="U77" s="91"/>
      <c r="W77" s="87">
        <f>D92</f>
        <v>334</v>
      </c>
      <c r="X77" s="68">
        <f>S94</f>
        <v>0.5558223533333333</v>
      </c>
      <c r="Y77" s="68">
        <f>U94</f>
        <v>0.10901154817495567</v>
      </c>
      <c r="Z77" s="68"/>
      <c r="AA77" s="161"/>
      <c r="AB77" s="161"/>
      <c r="AC77" s="161"/>
    </row>
    <row r="78" spans="2:29" ht="15" customHeight="1" x14ac:dyDescent="0.15">
      <c r="B78" s="215"/>
      <c r="C78" s="254"/>
      <c r="D78" s="226"/>
      <c r="E78" s="226"/>
      <c r="F78" s="120" t="s">
        <v>111</v>
      </c>
      <c r="G78" s="255"/>
      <c r="H78" s="68">
        <f>0.522-G77</f>
        <v>0.44333333333333336</v>
      </c>
      <c r="I78" s="68">
        <f>0.541-G77</f>
        <v>0.46233333333333337</v>
      </c>
      <c r="J78" s="68">
        <f>0.508-G77</f>
        <v>0.42933333333333334</v>
      </c>
      <c r="K78" s="68">
        <f t="shared" si="37"/>
        <v>2.4006500000000002</v>
      </c>
      <c r="L78" s="68">
        <f t="shared" si="37"/>
        <v>2.5035350000000003</v>
      </c>
      <c r="M78" s="68">
        <f t="shared" si="37"/>
        <v>2.32484</v>
      </c>
      <c r="N78" s="68">
        <f t="shared" si="36"/>
        <v>2.409675</v>
      </c>
      <c r="O78" s="68">
        <f t="shared" si="32"/>
        <v>0.2409675</v>
      </c>
      <c r="P78" s="68">
        <f t="shared" si="33"/>
        <v>1.7211964285714285E-2</v>
      </c>
      <c r="Q78" s="68">
        <f t="shared" si="34"/>
        <v>1.7211964285714285E-2</v>
      </c>
      <c r="R78" s="68">
        <f t="shared" si="35"/>
        <v>1.0671417857142858</v>
      </c>
      <c r="S78" s="147"/>
      <c r="T78" s="68"/>
      <c r="U78" s="91"/>
      <c r="W78" s="87">
        <f>D95</f>
        <v>382.5</v>
      </c>
      <c r="X78" s="68">
        <f>S97</f>
        <v>0.490733341111111</v>
      </c>
      <c r="Y78" s="68">
        <f>U97</f>
        <v>1.2077540179827879E-2</v>
      </c>
      <c r="Z78" s="68"/>
      <c r="AA78" s="161"/>
      <c r="AB78" s="161"/>
      <c r="AC78" s="161"/>
    </row>
    <row r="79" spans="2:29" ht="15" customHeight="1" x14ac:dyDescent="0.15">
      <c r="B79" s="216"/>
      <c r="C79" s="257"/>
      <c r="D79" s="227"/>
      <c r="E79" s="227"/>
      <c r="F79" s="151" t="s">
        <v>112</v>
      </c>
      <c r="G79" s="256"/>
      <c r="H79" s="74">
        <f>0.511-G77</f>
        <v>0.43233333333333335</v>
      </c>
      <c r="I79" s="74">
        <f>0.503-G77</f>
        <v>0.42433333333333334</v>
      </c>
      <c r="J79" s="74">
        <f>0.557-G77</f>
        <v>0.47833333333333339</v>
      </c>
      <c r="K79" s="74">
        <f t="shared" si="37"/>
        <v>2.3410850000000001</v>
      </c>
      <c r="L79" s="74">
        <f t="shared" si="37"/>
        <v>2.2977650000000001</v>
      </c>
      <c r="M79" s="74">
        <f t="shared" si="37"/>
        <v>2.5901750000000003</v>
      </c>
      <c r="N79" s="74">
        <f t="shared" si="36"/>
        <v>2.409675</v>
      </c>
      <c r="O79" s="74">
        <f t="shared" si="32"/>
        <v>0.2409675</v>
      </c>
      <c r="P79" s="74">
        <f t="shared" si="33"/>
        <v>1.7211964285714285E-2</v>
      </c>
      <c r="Q79" s="74">
        <f t="shared" si="34"/>
        <v>1.7211964285714285E-2</v>
      </c>
      <c r="R79" s="74">
        <f t="shared" si="35"/>
        <v>1.0671417857142858</v>
      </c>
      <c r="S79" s="118">
        <f>AVERAGE(R77:R79)</f>
        <v>1.0959186428571428</v>
      </c>
      <c r="T79" s="74">
        <f>STDEV(R77:R79)</f>
        <v>4.9842978653579895E-2</v>
      </c>
      <c r="U79" s="119">
        <f>T79/SQRT(3)</f>
        <v>2.8776857142857125E-2</v>
      </c>
      <c r="W79" s="87">
        <f>D98</f>
        <v>430.5</v>
      </c>
      <c r="X79" s="68">
        <f>S100</f>
        <v>0.44522504833333332</v>
      </c>
      <c r="Y79" s="68">
        <f>U100</f>
        <v>2.6163870580546478E-2</v>
      </c>
      <c r="Z79" s="68"/>
      <c r="AA79" s="161"/>
      <c r="AB79" s="161"/>
      <c r="AC79" s="161"/>
    </row>
    <row r="80" spans="2:29" x14ac:dyDescent="0.15">
      <c r="B80" s="251" t="s">
        <v>30</v>
      </c>
      <c r="C80" s="253">
        <v>0.44722222222222219</v>
      </c>
      <c r="D80" s="217">
        <v>141</v>
      </c>
      <c r="E80" s="226">
        <v>7</v>
      </c>
      <c r="F80" s="120" t="s">
        <v>110</v>
      </c>
      <c r="G80" s="255">
        <v>8.1000000000000003E-2</v>
      </c>
      <c r="H80" s="68">
        <f>0.35-G80</f>
        <v>0.26899999999999996</v>
      </c>
      <c r="I80" s="68">
        <f>0.354-G80</f>
        <v>0.27299999999999996</v>
      </c>
      <c r="J80" s="68">
        <f>0.354-G80</f>
        <v>0.27299999999999996</v>
      </c>
      <c r="K80" s="68">
        <f t="shared" ref="K80:K82" si="38">5.4323*H80</f>
        <v>1.4612886999999997</v>
      </c>
      <c r="L80" s="68">
        <f t="shared" ref="L80:L83" si="39">5.4323*I80</f>
        <v>1.4830178999999997</v>
      </c>
      <c r="M80" s="68">
        <f t="shared" ref="M80:M83" si="40">5.4323*J80</f>
        <v>1.4830178999999997</v>
      </c>
      <c r="N80" s="68">
        <f t="shared" si="36"/>
        <v>1.4757748333333331</v>
      </c>
      <c r="O80" s="68">
        <f t="shared" si="32"/>
        <v>0.14757748333333331</v>
      </c>
      <c r="P80" s="68">
        <f t="shared" si="33"/>
        <v>1.0541248809523809E-2</v>
      </c>
      <c r="Q80" s="68">
        <f t="shared" si="34"/>
        <v>1.0541248809523809E-2</v>
      </c>
      <c r="R80" s="68"/>
      <c r="S80" s="122"/>
      <c r="T80" s="58"/>
      <c r="U80" s="67"/>
      <c r="W80" s="58"/>
      <c r="X80" s="68"/>
      <c r="Y80" s="68"/>
      <c r="Z80" s="68"/>
      <c r="AA80" s="68"/>
    </row>
    <row r="81" spans="2:27" x14ac:dyDescent="0.15">
      <c r="B81" s="252"/>
      <c r="C81" s="254"/>
      <c r="D81" s="218"/>
      <c r="E81" s="226"/>
      <c r="F81" s="120" t="s">
        <v>111</v>
      </c>
      <c r="G81" s="255"/>
      <c r="H81" s="68">
        <f>0.467-G80</f>
        <v>0.38600000000000001</v>
      </c>
      <c r="I81" s="68">
        <f>0.483-G80</f>
        <v>0.40199999999999997</v>
      </c>
      <c r="J81" s="68">
        <f>0.477-G80</f>
        <v>0.39599999999999996</v>
      </c>
      <c r="K81" s="68">
        <f t="shared" si="38"/>
        <v>2.0968678000000001</v>
      </c>
      <c r="L81" s="68">
        <f t="shared" si="39"/>
        <v>2.1837845999999996</v>
      </c>
      <c r="M81" s="68">
        <f t="shared" si="40"/>
        <v>2.1511907999999997</v>
      </c>
      <c r="N81" s="68">
        <f t="shared" si="36"/>
        <v>2.143947733333333</v>
      </c>
      <c r="O81" s="68">
        <f t="shared" si="32"/>
        <v>0.21439477333333329</v>
      </c>
      <c r="P81" s="68">
        <f t="shared" si="33"/>
        <v>1.5313912380952378E-2</v>
      </c>
      <c r="Q81" s="68">
        <f t="shared" si="34"/>
        <v>1.5313912380952378E-2</v>
      </c>
      <c r="R81" s="68">
        <f t="shared" si="35"/>
        <v>0.94946256761904746</v>
      </c>
      <c r="S81" s="122"/>
      <c r="T81" s="58"/>
      <c r="U81" s="67"/>
      <c r="W81" s="58"/>
      <c r="X81" s="68"/>
      <c r="Y81" s="68"/>
      <c r="Z81" s="68"/>
      <c r="AA81" s="68"/>
    </row>
    <row r="82" spans="2:27" x14ac:dyDescent="0.15">
      <c r="B82" s="252"/>
      <c r="C82" s="254"/>
      <c r="D82" s="218"/>
      <c r="E82" s="227"/>
      <c r="F82" s="151" t="s">
        <v>112</v>
      </c>
      <c r="G82" s="256"/>
      <c r="H82" s="74">
        <f>0.476-G80</f>
        <v>0.39499999999999996</v>
      </c>
      <c r="I82" s="74">
        <f>0.476-G80</f>
        <v>0.39499999999999996</v>
      </c>
      <c r="J82" s="74">
        <f>0.481-G80</f>
        <v>0.39999999999999997</v>
      </c>
      <c r="K82" s="74">
        <f t="shared" si="38"/>
        <v>2.1457584999999995</v>
      </c>
      <c r="L82" s="74">
        <f t="shared" si="39"/>
        <v>2.1457584999999995</v>
      </c>
      <c r="M82" s="74">
        <f t="shared" si="40"/>
        <v>2.1729199999999995</v>
      </c>
      <c r="N82" s="74">
        <f t="shared" si="36"/>
        <v>2.1548123333333327</v>
      </c>
      <c r="O82" s="74">
        <f t="shared" si="32"/>
        <v>0.21548123333333327</v>
      </c>
      <c r="P82" s="74">
        <f t="shared" si="33"/>
        <v>1.5391516666666662E-2</v>
      </c>
      <c r="Q82" s="74">
        <f t="shared" si="34"/>
        <v>1.5391516666666662E-2</v>
      </c>
      <c r="R82" s="74">
        <f t="shared" si="35"/>
        <v>0.95427403333333305</v>
      </c>
      <c r="S82" s="118">
        <f>AVERAGE(R80:R82)</f>
        <v>0.95186830047619031</v>
      </c>
      <c r="T82" s="74">
        <f>STDEV(R80:R82)</f>
        <v>3.4022200340179162E-3</v>
      </c>
      <c r="U82" s="119">
        <f>T82/SQRT(3)</f>
        <v>1.9642726524825818E-3</v>
      </c>
      <c r="W82" s="58"/>
      <c r="X82" s="68"/>
      <c r="Y82" s="68"/>
      <c r="Z82" s="68"/>
      <c r="AA82" s="68"/>
    </row>
    <row r="83" spans="2:27" x14ac:dyDescent="0.15">
      <c r="B83" s="215" t="s">
        <v>32</v>
      </c>
      <c r="C83" s="254">
        <v>0.53472222222222221</v>
      </c>
      <c r="D83" s="226">
        <v>191</v>
      </c>
      <c r="E83" s="226">
        <v>9</v>
      </c>
      <c r="F83" s="120" t="s">
        <v>110</v>
      </c>
      <c r="G83" s="255">
        <v>8.1000000000000003E-2</v>
      </c>
      <c r="H83" s="68">
        <f>0.305-G83</f>
        <v>0.22399999999999998</v>
      </c>
      <c r="I83" s="68">
        <f>0.354-G83</f>
        <v>0.27299999999999996</v>
      </c>
      <c r="J83" s="68">
        <f>0.354-G83</f>
        <v>0.27299999999999996</v>
      </c>
      <c r="K83" s="68">
        <f t="shared" ref="K83:M88" si="41">5.4323*H83</f>
        <v>1.2168351999999998</v>
      </c>
      <c r="L83" s="68">
        <f t="shared" si="39"/>
        <v>1.4830178999999997</v>
      </c>
      <c r="M83" s="68">
        <f t="shared" si="40"/>
        <v>1.4830178999999997</v>
      </c>
      <c r="N83" s="68">
        <f t="shared" si="36"/>
        <v>1.394290333333333</v>
      </c>
      <c r="O83" s="68">
        <f t="shared" si="32"/>
        <v>0.13942903333333329</v>
      </c>
      <c r="P83" s="68">
        <f t="shared" si="33"/>
        <v>9.9592166666666627E-3</v>
      </c>
      <c r="Q83" s="68">
        <f t="shared" si="34"/>
        <v>9.9592166666666627E-3</v>
      </c>
      <c r="R83" s="68">
        <f t="shared" si="35"/>
        <v>0.6174714333333331</v>
      </c>
      <c r="S83" s="122"/>
      <c r="T83" s="58"/>
      <c r="U83" s="67"/>
      <c r="W83" s="58"/>
      <c r="X83" s="68"/>
      <c r="Y83" s="68"/>
      <c r="Z83" s="68"/>
      <c r="AA83" s="68"/>
    </row>
    <row r="84" spans="2:27" x14ac:dyDescent="0.15">
      <c r="B84" s="215"/>
      <c r="C84" s="254"/>
      <c r="D84" s="226"/>
      <c r="E84" s="226"/>
      <c r="F84" s="120" t="s">
        <v>111</v>
      </c>
      <c r="G84" s="255"/>
      <c r="H84" s="68">
        <f>0.407-G83</f>
        <v>0.32599999999999996</v>
      </c>
      <c r="I84" s="68">
        <f>0.483-G83</f>
        <v>0.40199999999999997</v>
      </c>
      <c r="J84" s="68">
        <f>0.477-G83</f>
        <v>0.39599999999999996</v>
      </c>
      <c r="K84" s="68">
        <f t="shared" si="41"/>
        <v>1.7709297999999996</v>
      </c>
      <c r="L84" s="68">
        <f t="shared" si="41"/>
        <v>2.1837845999999996</v>
      </c>
      <c r="M84" s="68">
        <f t="shared" si="41"/>
        <v>2.1511907999999997</v>
      </c>
      <c r="N84" s="68">
        <f t="shared" si="36"/>
        <v>2.0353017333333328</v>
      </c>
      <c r="O84" s="68">
        <f t="shared" si="32"/>
        <v>0.20353017333333329</v>
      </c>
      <c r="P84" s="68">
        <f t="shared" si="33"/>
        <v>1.453786952380952E-2</v>
      </c>
      <c r="Q84" s="68">
        <f t="shared" si="34"/>
        <v>1.453786952380952E-2</v>
      </c>
      <c r="R84" s="68">
        <f t="shared" si="35"/>
        <v>0.90134791047619023</v>
      </c>
      <c r="S84" s="122"/>
      <c r="T84" s="58"/>
      <c r="U84" s="67"/>
      <c r="W84" s="58"/>
      <c r="X84" s="68"/>
      <c r="Y84" s="68"/>
      <c r="Z84" s="68"/>
      <c r="AA84" s="68"/>
    </row>
    <row r="85" spans="2:27" x14ac:dyDescent="0.15">
      <c r="B85" s="216"/>
      <c r="C85" s="257"/>
      <c r="D85" s="227"/>
      <c r="E85" s="227"/>
      <c r="F85" s="151" t="s">
        <v>112</v>
      </c>
      <c r="G85" s="256"/>
      <c r="H85" s="74">
        <f>0.456-G83</f>
        <v>0.375</v>
      </c>
      <c r="I85" s="74">
        <f>0.476-G83</f>
        <v>0.39499999999999996</v>
      </c>
      <c r="J85" s="74">
        <f>0.481-G83</f>
        <v>0.39999999999999997</v>
      </c>
      <c r="K85" s="74">
        <f t="shared" si="41"/>
        <v>2.0371125000000001</v>
      </c>
      <c r="L85" s="74">
        <f t="shared" si="41"/>
        <v>2.1457584999999995</v>
      </c>
      <c r="M85" s="74">
        <f t="shared" si="41"/>
        <v>2.1729199999999995</v>
      </c>
      <c r="N85" s="74">
        <f t="shared" si="36"/>
        <v>2.1185969999999998</v>
      </c>
      <c r="O85" s="74">
        <f t="shared" si="32"/>
        <v>0.21185969999999998</v>
      </c>
      <c r="P85" s="74">
        <f t="shared" si="33"/>
        <v>1.5132835714285713E-2</v>
      </c>
      <c r="Q85" s="74">
        <f t="shared" si="34"/>
        <v>1.5132835714285713E-2</v>
      </c>
      <c r="R85" s="74">
        <f t="shared" si="35"/>
        <v>0.93823581428571423</v>
      </c>
      <c r="S85" s="118">
        <f>AVERAGE(R83:R85)</f>
        <v>0.81901838603174582</v>
      </c>
      <c r="T85" s="74">
        <f>STDEV(R83:R85)</f>
        <v>0.17551655183593792</v>
      </c>
      <c r="U85" s="119">
        <f>T85/SQRT(2)</f>
        <v>0.12410894401367187</v>
      </c>
      <c r="W85" s="58"/>
      <c r="X85" s="68"/>
      <c r="Y85" s="68"/>
      <c r="Z85" s="68"/>
      <c r="AA85" s="68"/>
    </row>
    <row r="86" spans="2:27" x14ac:dyDescent="0.15">
      <c r="B86" s="214" t="s">
        <v>34</v>
      </c>
      <c r="C86" s="253">
        <v>0.4375</v>
      </c>
      <c r="D86" s="217">
        <v>236.5</v>
      </c>
      <c r="E86" s="226">
        <v>11</v>
      </c>
      <c r="F86" s="120" t="s">
        <v>110</v>
      </c>
      <c r="G86" s="255">
        <v>8.1000000000000003E-2</v>
      </c>
      <c r="H86" s="68">
        <f>0.347-G86</f>
        <v>0.26599999999999996</v>
      </c>
      <c r="I86" s="68">
        <f>0.365-G86</f>
        <v>0.28399999999999997</v>
      </c>
      <c r="J86" s="68">
        <f>0.33-G86</f>
        <v>0.249</v>
      </c>
      <c r="K86" s="68">
        <f t="shared" si="41"/>
        <v>1.4449917999999997</v>
      </c>
      <c r="L86" s="68">
        <f t="shared" si="41"/>
        <v>1.5427731999999998</v>
      </c>
      <c r="M86" s="68">
        <f t="shared" si="41"/>
        <v>1.3526426999999999</v>
      </c>
      <c r="N86" s="68">
        <f t="shared" si="36"/>
        <v>1.4468025666666664</v>
      </c>
      <c r="O86" s="68">
        <f t="shared" si="32"/>
        <v>0.14468025666666665</v>
      </c>
      <c r="P86" s="68">
        <f t="shared" si="33"/>
        <v>1.0334304047619047E-2</v>
      </c>
      <c r="Q86" s="68">
        <f t="shared" si="34"/>
        <v>1.0334304047619047E-2</v>
      </c>
      <c r="R86" s="68">
        <f t="shared" si="35"/>
        <v>0.64072685095238091</v>
      </c>
      <c r="S86" s="147"/>
      <c r="T86" s="68"/>
      <c r="U86" s="91"/>
      <c r="W86" s="58"/>
      <c r="X86" s="68"/>
      <c r="Y86" s="68"/>
      <c r="Z86" s="68"/>
      <c r="AA86" s="68"/>
    </row>
    <row r="87" spans="2:27" x14ac:dyDescent="0.15">
      <c r="B87" s="215"/>
      <c r="C87" s="254"/>
      <c r="D87" s="218"/>
      <c r="E87" s="226"/>
      <c r="F87" s="120" t="s">
        <v>111</v>
      </c>
      <c r="G87" s="255"/>
      <c r="H87" s="68">
        <f>0.381-G86</f>
        <v>0.3</v>
      </c>
      <c r="I87" s="68">
        <f>0.38-G86</f>
        <v>0.29899999999999999</v>
      </c>
      <c r="J87" s="68">
        <f>0.387-G86</f>
        <v>0.30599999999999999</v>
      </c>
      <c r="K87" s="68">
        <f t="shared" si="41"/>
        <v>1.6296899999999999</v>
      </c>
      <c r="L87" s="68">
        <f t="shared" si="41"/>
        <v>1.6242576999999998</v>
      </c>
      <c r="M87" s="68">
        <f t="shared" si="41"/>
        <v>1.6622838</v>
      </c>
      <c r="N87" s="68">
        <f t="shared" si="36"/>
        <v>1.6387438333333331</v>
      </c>
      <c r="O87" s="68">
        <f t="shared" si="32"/>
        <v>0.16387438333333332</v>
      </c>
      <c r="P87" s="68">
        <f t="shared" si="33"/>
        <v>1.1705313095238094E-2</v>
      </c>
      <c r="Q87" s="68">
        <f t="shared" si="34"/>
        <v>1.1705313095238094E-2</v>
      </c>
      <c r="R87" s="68">
        <f t="shared" si="35"/>
        <v>0.72572941190476181</v>
      </c>
      <c r="S87" s="147"/>
      <c r="T87" s="68"/>
      <c r="U87" s="91"/>
      <c r="W87" s="58"/>
      <c r="X87" s="68"/>
      <c r="Y87" s="68"/>
      <c r="Z87" s="68"/>
      <c r="AA87" s="68"/>
    </row>
    <row r="88" spans="2:27" x14ac:dyDescent="0.15">
      <c r="B88" s="215"/>
      <c r="C88" s="254"/>
      <c r="D88" s="218"/>
      <c r="E88" s="227"/>
      <c r="F88" s="151" t="s">
        <v>112</v>
      </c>
      <c r="G88" s="256"/>
      <c r="H88" s="74">
        <f>0.4-G86</f>
        <v>0.31900000000000001</v>
      </c>
      <c r="I88" s="74">
        <f>0.416-G86</f>
        <v>0.33499999999999996</v>
      </c>
      <c r="J88" s="74">
        <f>0.443-G86</f>
        <v>0.36199999999999999</v>
      </c>
      <c r="K88" s="74">
        <f t="shared" si="41"/>
        <v>1.7329036999999998</v>
      </c>
      <c r="L88" s="74">
        <f t="shared" si="41"/>
        <v>1.8198204999999996</v>
      </c>
      <c r="M88" s="74">
        <f t="shared" si="41"/>
        <v>1.9664925999999998</v>
      </c>
      <c r="N88" s="74">
        <f t="shared" si="36"/>
        <v>1.8397389333333329</v>
      </c>
      <c r="O88" s="74">
        <f t="shared" si="32"/>
        <v>0.1839738933333333</v>
      </c>
      <c r="P88" s="74">
        <f t="shared" si="33"/>
        <v>1.314099238095238E-2</v>
      </c>
      <c r="Q88" s="74">
        <f t="shared" si="34"/>
        <v>1.314099238095238E-2</v>
      </c>
      <c r="R88" s="74">
        <f t="shared" si="35"/>
        <v>0.8147415276190475</v>
      </c>
      <c r="S88" s="118">
        <f>AVERAGE(R86:R88)</f>
        <v>0.72706593015873011</v>
      </c>
      <c r="T88" s="74">
        <f>STDEV(R86:R88)</f>
        <v>8.7015036830616371E-2</v>
      </c>
      <c r="U88" s="119">
        <f>T88/SQRT(2)</f>
        <v>6.1528922608126022E-2</v>
      </c>
      <c r="W88" s="58"/>
      <c r="X88" s="68"/>
      <c r="Y88" s="68"/>
      <c r="Z88" s="68"/>
      <c r="AA88" s="68"/>
    </row>
    <row r="89" spans="2:27" x14ac:dyDescent="0.15">
      <c r="B89" s="215" t="s">
        <v>36</v>
      </c>
      <c r="C89" s="254">
        <v>0.4375</v>
      </c>
      <c r="D89" s="218">
        <v>284.5</v>
      </c>
      <c r="E89" s="226">
        <v>13</v>
      </c>
      <c r="F89" s="120" t="s">
        <v>110</v>
      </c>
      <c r="G89" s="255">
        <v>7.8E-2</v>
      </c>
      <c r="H89" s="68">
        <f>0.506-G89</f>
        <v>0.42799999999999999</v>
      </c>
      <c r="I89" s="68">
        <f>0.515-G89</f>
        <v>0.437</v>
      </c>
      <c r="J89" s="68">
        <f>0.536-G89</f>
        <v>0.45800000000000002</v>
      </c>
      <c r="K89" s="68">
        <f t="shared" ref="K89:M100" si="42">5.4887*H89</f>
        <v>2.3491635999999998</v>
      </c>
      <c r="L89" s="68">
        <f t="shared" si="42"/>
        <v>2.3985618999999998</v>
      </c>
      <c r="M89" s="68">
        <f t="shared" si="42"/>
        <v>2.5138246</v>
      </c>
      <c r="N89" s="68">
        <f t="shared" si="36"/>
        <v>2.4205166999999999</v>
      </c>
      <c r="O89" s="68">
        <f>N89/15</f>
        <v>0.16136777999999999</v>
      </c>
      <c r="P89" s="68">
        <f t="shared" si="33"/>
        <v>1.152627E-2</v>
      </c>
      <c r="Q89" s="68">
        <f t="shared" si="34"/>
        <v>1.152627E-2</v>
      </c>
      <c r="R89" s="68">
        <f t="shared" si="35"/>
        <v>0.71462873999999998</v>
      </c>
      <c r="S89" s="147"/>
      <c r="T89" s="68"/>
      <c r="U89" s="91"/>
      <c r="W89" s="58"/>
      <c r="X89" s="68"/>
      <c r="Y89" s="68"/>
      <c r="Z89" s="68"/>
      <c r="AA89" s="68"/>
    </row>
    <row r="90" spans="2:27" x14ac:dyDescent="0.15">
      <c r="B90" s="215"/>
      <c r="C90" s="254"/>
      <c r="D90" s="218"/>
      <c r="E90" s="226"/>
      <c r="F90" s="120" t="s">
        <v>111</v>
      </c>
      <c r="G90" s="255"/>
      <c r="H90" s="68">
        <f>0.384-G89</f>
        <v>0.30599999999999999</v>
      </c>
      <c r="I90" s="68">
        <f>0.409-G89</f>
        <v>0.33099999999999996</v>
      </c>
      <c r="J90" s="68">
        <f>0.442-G89</f>
        <v>0.36399999999999999</v>
      </c>
      <c r="K90" s="68">
        <f t="shared" si="42"/>
        <v>1.6795421999999998</v>
      </c>
      <c r="L90" s="68">
        <f t="shared" si="42"/>
        <v>1.8167596999999998</v>
      </c>
      <c r="M90" s="68">
        <f t="shared" si="42"/>
        <v>1.9978867999999999</v>
      </c>
      <c r="N90" s="68">
        <f t="shared" si="36"/>
        <v>1.8313962333333331</v>
      </c>
      <c r="O90" s="68">
        <f t="shared" ref="O90:O94" si="43">N90/15</f>
        <v>0.1220930822222222</v>
      </c>
      <c r="P90" s="68">
        <f t="shared" si="33"/>
        <v>8.7209344444444427E-3</v>
      </c>
      <c r="Q90" s="68">
        <f t="shared" si="34"/>
        <v>8.7209344444444427E-3</v>
      </c>
      <c r="R90" s="68">
        <f t="shared" si="35"/>
        <v>0.54069793555555545</v>
      </c>
      <c r="S90" s="147"/>
      <c r="T90" s="68"/>
      <c r="U90" s="91"/>
      <c r="W90" s="58"/>
      <c r="X90" s="68"/>
      <c r="Y90" s="68"/>
      <c r="Z90" s="68"/>
      <c r="AA90" s="68"/>
    </row>
    <row r="91" spans="2:27" x14ac:dyDescent="0.15">
      <c r="B91" s="216"/>
      <c r="C91" s="257"/>
      <c r="D91" s="219"/>
      <c r="E91" s="227"/>
      <c r="F91" s="151" t="s">
        <v>112</v>
      </c>
      <c r="G91" s="256"/>
      <c r="H91" s="74">
        <f>0.454-G89</f>
        <v>0.376</v>
      </c>
      <c r="I91" s="74">
        <f>0.476-G89</f>
        <v>0.39799999999999996</v>
      </c>
      <c r="J91" s="74">
        <f>0.508-G89</f>
        <v>0.43</v>
      </c>
      <c r="K91" s="74">
        <f t="shared" si="42"/>
        <v>2.0637512</v>
      </c>
      <c r="L91" s="74">
        <f t="shared" si="42"/>
        <v>2.1845025999999996</v>
      </c>
      <c r="M91" s="74">
        <f t="shared" si="42"/>
        <v>2.360141</v>
      </c>
      <c r="N91" s="74">
        <f t="shared" si="36"/>
        <v>2.2027982666666666</v>
      </c>
      <c r="O91" s="74">
        <f t="shared" si="43"/>
        <v>0.14685321777777777</v>
      </c>
      <c r="P91" s="74">
        <f t="shared" si="33"/>
        <v>1.0489515555555554E-2</v>
      </c>
      <c r="Q91" s="74">
        <f t="shared" si="34"/>
        <v>1.0489515555555554E-2</v>
      </c>
      <c r="R91" s="74">
        <f t="shared" si="35"/>
        <v>0.65034996444444437</v>
      </c>
      <c r="S91" s="118">
        <f>AVERAGE(R89:R91)</f>
        <v>0.63522554666666664</v>
      </c>
      <c r="T91" s="74">
        <f>STDEV(R89:R91)</f>
        <v>8.7946246045583598E-2</v>
      </c>
      <c r="U91" s="119">
        <f>T91/SQRT(3)</f>
        <v>5.0775788828634753E-2</v>
      </c>
    </row>
    <row r="92" spans="2:27" x14ac:dyDescent="0.15">
      <c r="B92" s="214" t="s">
        <v>38</v>
      </c>
      <c r="C92" s="253">
        <v>0.5</v>
      </c>
      <c r="D92" s="266">
        <v>334</v>
      </c>
      <c r="E92" s="226">
        <v>15</v>
      </c>
      <c r="F92" s="120" t="s">
        <v>110</v>
      </c>
      <c r="G92" s="255">
        <v>7.8E-2</v>
      </c>
      <c r="H92" s="68">
        <f>0.531-G92</f>
        <v>0.45300000000000001</v>
      </c>
      <c r="I92" s="68">
        <f>0.531-G92</f>
        <v>0.45300000000000001</v>
      </c>
      <c r="J92" s="68">
        <f>0.547-G92</f>
        <v>0.46900000000000003</v>
      </c>
      <c r="K92" s="68">
        <f t="shared" si="42"/>
        <v>2.4863811</v>
      </c>
      <c r="L92" s="68">
        <f t="shared" si="42"/>
        <v>2.4863811</v>
      </c>
      <c r="M92" s="68">
        <f t="shared" si="42"/>
        <v>2.5742003000000002</v>
      </c>
      <c r="N92" s="68">
        <f t="shared" si="36"/>
        <v>2.5156541666666667</v>
      </c>
      <c r="O92" s="68">
        <f t="shared" si="43"/>
        <v>0.16771027777777778</v>
      </c>
      <c r="P92" s="68">
        <f t="shared" si="33"/>
        <v>1.1979305555555556E-2</v>
      </c>
      <c r="Q92" s="68">
        <f t="shared" si="34"/>
        <v>1.1979305555555556E-2</v>
      </c>
      <c r="R92" s="68">
        <f t="shared" si="35"/>
        <v>0.74271694444444447</v>
      </c>
      <c r="S92" s="122"/>
      <c r="T92" s="58"/>
      <c r="U92" s="67"/>
    </row>
    <row r="93" spans="2:27" x14ac:dyDescent="0.15">
      <c r="B93" s="215"/>
      <c r="C93" s="254"/>
      <c r="D93" s="226"/>
      <c r="E93" s="226"/>
      <c r="F93" s="120" t="s">
        <v>111</v>
      </c>
      <c r="G93" s="255"/>
      <c r="H93" s="68">
        <f>0.426-G92</f>
        <v>0.34799999999999998</v>
      </c>
      <c r="I93" s="68">
        <f>0.434-G92</f>
        <v>0.35599999999999998</v>
      </c>
      <c r="J93" s="68">
        <f>0.41-G92</f>
        <v>0.33199999999999996</v>
      </c>
      <c r="K93" s="68">
        <f t="shared" si="42"/>
        <v>1.9100675999999999</v>
      </c>
      <c r="L93" s="68">
        <f t="shared" si="42"/>
        <v>1.9539771999999997</v>
      </c>
      <c r="M93" s="68">
        <f t="shared" si="42"/>
        <v>1.8222483999999997</v>
      </c>
      <c r="N93" s="68">
        <f t="shared" si="36"/>
        <v>1.8954310666666663</v>
      </c>
      <c r="O93" s="68">
        <f t="shared" si="43"/>
        <v>0.12636207111111109</v>
      </c>
      <c r="P93" s="68">
        <f t="shared" si="33"/>
        <v>9.0258622222222206E-3</v>
      </c>
      <c r="Q93" s="68">
        <f t="shared" si="34"/>
        <v>9.0258622222222206E-3</v>
      </c>
      <c r="R93" s="68">
        <f t="shared" si="35"/>
        <v>0.55960345777777765</v>
      </c>
      <c r="S93" s="122"/>
      <c r="T93" s="58"/>
      <c r="U93" s="67"/>
    </row>
    <row r="94" spans="2:27" x14ac:dyDescent="0.15">
      <c r="B94" s="215"/>
      <c r="C94" s="254"/>
      <c r="D94" s="226"/>
      <c r="E94" s="227"/>
      <c r="F94" s="151" t="s">
        <v>112</v>
      </c>
      <c r="G94" s="256"/>
      <c r="H94" s="74">
        <f>0.302-G92</f>
        <v>0.22399999999999998</v>
      </c>
      <c r="I94" s="74">
        <f>0.304-G92</f>
        <v>0.22599999999999998</v>
      </c>
      <c r="J94" s="74">
        <f>0.304-G92</f>
        <v>0.22599999999999998</v>
      </c>
      <c r="K94" s="74">
        <f t="shared" si="42"/>
        <v>1.2294687999999998</v>
      </c>
      <c r="L94" s="74">
        <f t="shared" ref="L94:L100" si="44">5.4887*I94</f>
        <v>1.2404461999999998</v>
      </c>
      <c r="M94" s="74">
        <f t="shared" ref="M94:M100" si="45">5.4887*J94</f>
        <v>1.2404461999999998</v>
      </c>
      <c r="N94" s="74">
        <f t="shared" si="36"/>
        <v>1.2367870666666665</v>
      </c>
      <c r="O94" s="74">
        <f t="shared" si="43"/>
        <v>8.2452471111111106E-2</v>
      </c>
      <c r="P94" s="74">
        <f t="shared" si="33"/>
        <v>5.8894622222222222E-3</v>
      </c>
      <c r="Q94" s="74">
        <f t="shared" si="34"/>
        <v>5.8894622222222222E-3</v>
      </c>
      <c r="R94" s="74">
        <f t="shared" si="35"/>
        <v>0.36514665777777777</v>
      </c>
      <c r="S94" s="118">
        <f>AVERAGE(R92:R94)</f>
        <v>0.5558223533333333</v>
      </c>
      <c r="T94" s="74">
        <f>STDEV(R92:R94)</f>
        <v>0.18881354005076553</v>
      </c>
      <c r="U94" s="119">
        <f>T94/SQRT(3)</f>
        <v>0.10901154817495567</v>
      </c>
    </row>
    <row r="95" spans="2:27" x14ac:dyDescent="0.15">
      <c r="B95" s="215" t="s">
        <v>40</v>
      </c>
      <c r="C95" s="254">
        <v>0.53472222222222221</v>
      </c>
      <c r="D95" s="218">
        <v>382.5</v>
      </c>
      <c r="E95" s="226">
        <v>17</v>
      </c>
      <c r="F95" s="120" t="s">
        <v>110</v>
      </c>
      <c r="G95" s="255">
        <v>7.5999999999999998E-2</v>
      </c>
      <c r="H95" s="68">
        <f>(0.523-G95)</f>
        <v>0.44700000000000001</v>
      </c>
      <c r="I95" s="68">
        <f>0.463-G95</f>
        <v>0.38700000000000001</v>
      </c>
      <c r="J95" s="68">
        <f>0.509-G95</f>
        <v>0.433</v>
      </c>
      <c r="K95" s="68">
        <f t="shared" si="42"/>
        <v>2.4534488999999997</v>
      </c>
      <c r="L95" s="68">
        <f t="shared" si="44"/>
        <v>2.1241268999999998</v>
      </c>
      <c r="M95" s="68">
        <f t="shared" si="45"/>
        <v>2.3766070999999998</v>
      </c>
      <c r="N95" s="68">
        <f t="shared" si="36"/>
        <v>2.3180609666666663</v>
      </c>
      <c r="O95" s="68">
        <f t="shared" ref="O95:O100" si="46">N95/20</f>
        <v>0.11590304833333331</v>
      </c>
      <c r="P95" s="68">
        <f t="shared" si="33"/>
        <v>8.2787891666666648E-3</v>
      </c>
      <c r="Q95" s="68">
        <f t="shared" si="34"/>
        <v>8.2787891666666648E-3</v>
      </c>
      <c r="R95" s="68">
        <f t="shared" si="35"/>
        <v>0.51328492833333317</v>
      </c>
      <c r="S95" s="122"/>
      <c r="T95" s="58"/>
      <c r="U95" s="67"/>
    </row>
    <row r="96" spans="2:27" x14ac:dyDescent="0.15">
      <c r="B96" s="215"/>
      <c r="C96" s="254"/>
      <c r="D96" s="218"/>
      <c r="E96" s="226"/>
      <c r="F96" s="120" t="s">
        <v>111</v>
      </c>
      <c r="G96" s="255"/>
      <c r="H96" s="68">
        <f>0.452-G95</f>
        <v>0.376</v>
      </c>
      <c r="I96" s="68">
        <f>0.518-G95</f>
        <v>0.442</v>
      </c>
      <c r="J96" s="68">
        <f>0.46-G95</f>
        <v>0.38400000000000001</v>
      </c>
      <c r="K96" s="68">
        <f t="shared" si="42"/>
        <v>2.0637512</v>
      </c>
      <c r="L96" s="68">
        <f t="shared" si="44"/>
        <v>2.4260053999999998</v>
      </c>
      <c r="M96" s="68">
        <f t="shared" si="45"/>
        <v>2.1076608000000001</v>
      </c>
      <c r="N96" s="68">
        <f t="shared" si="36"/>
        <v>2.199139133333333</v>
      </c>
      <c r="O96" s="68">
        <f t="shared" si="46"/>
        <v>0.10995695666666665</v>
      </c>
      <c r="P96" s="68">
        <f t="shared" si="33"/>
        <v>7.8540683333333319E-3</v>
      </c>
      <c r="Q96" s="68">
        <f t="shared" si="34"/>
        <v>7.8540683333333319E-3</v>
      </c>
      <c r="R96" s="68">
        <f t="shared" si="35"/>
        <v>0.48695223666666659</v>
      </c>
      <c r="S96" s="122"/>
      <c r="T96" s="58"/>
      <c r="U96" s="67"/>
    </row>
    <row r="97" spans="1:21" x14ac:dyDescent="0.15">
      <c r="B97" s="215"/>
      <c r="C97" s="254"/>
      <c r="D97" s="218"/>
      <c r="E97" s="227"/>
      <c r="F97" s="151" t="s">
        <v>112</v>
      </c>
      <c r="G97" s="256"/>
      <c r="H97" s="74">
        <f>0.504-G95</f>
        <v>0.42799999999999999</v>
      </c>
      <c r="I97" s="74">
        <f>0.43-G95</f>
        <v>0.35399999999999998</v>
      </c>
      <c r="J97" s="74">
        <f>0.459-G95</f>
        <v>0.38300000000000001</v>
      </c>
      <c r="K97" s="74">
        <f t="shared" si="42"/>
        <v>2.3491635999999998</v>
      </c>
      <c r="L97" s="74">
        <f t="shared" si="44"/>
        <v>1.9429997999999997</v>
      </c>
      <c r="M97" s="74">
        <f t="shared" si="45"/>
        <v>2.1021720999999998</v>
      </c>
      <c r="N97" s="74">
        <f t="shared" si="36"/>
        <v>2.1314451666666665</v>
      </c>
      <c r="O97" s="74">
        <f t="shared" si="46"/>
        <v>0.10657225833333332</v>
      </c>
      <c r="P97" s="74">
        <f t="shared" si="33"/>
        <v>7.612304166666666E-3</v>
      </c>
      <c r="Q97" s="74">
        <f t="shared" si="34"/>
        <v>7.612304166666666E-3</v>
      </c>
      <c r="R97" s="74">
        <f t="shared" si="35"/>
        <v>0.47196285833333329</v>
      </c>
      <c r="S97" s="118">
        <f>AVERAGE(R95:R97)</f>
        <v>0.490733341111111</v>
      </c>
      <c r="T97" s="74">
        <f>STDEV(R95:R97)</f>
        <v>2.0918913221916441E-2</v>
      </c>
      <c r="U97" s="119">
        <f>T97/SQRT(3)</f>
        <v>1.2077540179827879E-2</v>
      </c>
    </row>
    <row r="98" spans="1:21" x14ac:dyDescent="0.15">
      <c r="B98" s="215" t="s">
        <v>42</v>
      </c>
      <c r="C98" s="254">
        <v>0.52083333333333337</v>
      </c>
      <c r="D98" s="218">
        <v>430.5</v>
      </c>
      <c r="E98" s="226">
        <v>19</v>
      </c>
      <c r="F98" s="120" t="s">
        <v>110</v>
      </c>
      <c r="G98" s="255">
        <v>7.5999999999999998E-2</v>
      </c>
      <c r="H98" s="68">
        <f>0.472-G98</f>
        <v>0.39599999999999996</v>
      </c>
      <c r="I98" s="68">
        <f>0.494-G98</f>
        <v>0.41799999999999998</v>
      </c>
      <c r="J98" s="68">
        <f>0.489-G98</f>
        <v>0.41299999999999998</v>
      </c>
      <c r="K98" s="68">
        <f t="shared" si="42"/>
        <v>2.1735251999999998</v>
      </c>
      <c r="L98" s="68">
        <f t="shared" si="44"/>
        <v>2.2942765999999999</v>
      </c>
      <c r="M98" s="68">
        <f t="shared" si="45"/>
        <v>2.2668330999999999</v>
      </c>
      <c r="N98" s="68">
        <f t="shared" si="36"/>
        <v>2.2448782999999999</v>
      </c>
      <c r="O98" s="68">
        <f t="shared" si="46"/>
        <v>0.112243915</v>
      </c>
      <c r="P98" s="68">
        <f t="shared" si="33"/>
        <v>8.0174224999999995E-3</v>
      </c>
      <c r="Q98" s="68">
        <f t="shared" si="34"/>
        <v>8.0174224999999995E-3</v>
      </c>
      <c r="R98" s="68">
        <f t="shared" si="35"/>
        <v>0.49708019499999995</v>
      </c>
      <c r="S98" s="122"/>
      <c r="T98" s="58"/>
      <c r="U98" s="67"/>
    </row>
    <row r="99" spans="1:21" ht="15" customHeight="1" x14ac:dyDescent="0.15">
      <c r="B99" s="215"/>
      <c r="C99" s="254"/>
      <c r="D99" s="218"/>
      <c r="E99" s="226"/>
      <c r="F99" s="120" t="s">
        <v>111</v>
      </c>
      <c r="G99" s="255"/>
      <c r="H99" s="68">
        <f>0.392-G98</f>
        <v>0.316</v>
      </c>
      <c r="I99" s="68">
        <f>0.486-G98</f>
        <v>0.41</v>
      </c>
      <c r="J99" s="68">
        <f>0.4-G98</f>
        <v>0.32400000000000001</v>
      </c>
      <c r="K99" s="68">
        <f t="shared" si="42"/>
        <v>1.7344291999999999</v>
      </c>
      <c r="L99" s="68">
        <f t="shared" si="44"/>
        <v>2.2503669999999998</v>
      </c>
      <c r="M99" s="68">
        <f t="shared" si="45"/>
        <v>1.7783388</v>
      </c>
      <c r="N99" s="68">
        <f t="shared" si="36"/>
        <v>1.9210450000000001</v>
      </c>
      <c r="O99" s="68">
        <f t="shared" si="46"/>
        <v>9.6052250000000006E-2</v>
      </c>
      <c r="P99" s="68">
        <f t="shared" si="33"/>
        <v>6.8608750000000007E-3</v>
      </c>
      <c r="Q99" s="68">
        <f t="shared" si="34"/>
        <v>6.8608750000000007E-3</v>
      </c>
      <c r="R99" s="68">
        <f t="shared" si="35"/>
        <v>0.42537425000000006</v>
      </c>
      <c r="S99" s="122"/>
      <c r="T99" s="58"/>
      <c r="U99" s="67"/>
    </row>
    <row r="100" spans="1:21" ht="16" customHeight="1" thickBot="1" x14ac:dyDescent="0.2">
      <c r="A100" s="44"/>
      <c r="B100" s="230"/>
      <c r="C100" s="260"/>
      <c r="D100" s="231"/>
      <c r="E100" s="261"/>
      <c r="F100" s="152" t="s">
        <v>112</v>
      </c>
      <c r="G100" s="262"/>
      <c r="H100" s="93">
        <f>0.395-G98</f>
        <v>0.31900000000000001</v>
      </c>
      <c r="I100" s="93">
        <f>0.411-G98</f>
        <v>0.33499999999999996</v>
      </c>
      <c r="J100" s="93">
        <f>0.442-G98</f>
        <v>0.36599999999999999</v>
      </c>
      <c r="K100" s="93">
        <f t="shared" si="42"/>
        <v>1.7508953</v>
      </c>
      <c r="L100" s="93">
        <f t="shared" si="44"/>
        <v>1.8387144999999998</v>
      </c>
      <c r="M100" s="93">
        <f t="shared" si="45"/>
        <v>2.0088641999999997</v>
      </c>
      <c r="N100" s="93">
        <f t="shared" si="36"/>
        <v>1.8661579999999998</v>
      </c>
      <c r="O100" s="93">
        <f t="shared" si="46"/>
        <v>9.3307899999999985E-2</v>
      </c>
      <c r="P100" s="93">
        <f t="shared" si="33"/>
        <v>6.6648499999999991E-3</v>
      </c>
      <c r="Q100" s="93">
        <f t="shared" si="34"/>
        <v>6.6648499999999991E-3</v>
      </c>
      <c r="R100" s="93">
        <f t="shared" si="35"/>
        <v>0.41322069999999994</v>
      </c>
      <c r="S100" s="124">
        <f>AVERAGE(R98:R100)</f>
        <v>0.44522504833333332</v>
      </c>
      <c r="T100" s="93">
        <f>STDEV(R98:R100)</f>
        <v>4.5317153168163114E-2</v>
      </c>
      <c r="U100" s="113">
        <f>T100/SQRT(3)</f>
        <v>2.6163870580546478E-2</v>
      </c>
    </row>
    <row r="101" spans="1:21" x14ac:dyDescent="0.15"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</row>
    <row r="102" spans="1:21" x14ac:dyDescent="0.15"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</row>
    <row r="103" spans="1:21" x14ac:dyDescent="0.15"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</row>
    <row r="104" spans="1:21" x14ac:dyDescent="0.15"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</row>
    <row r="105" spans="1:21" x14ac:dyDescent="0.15"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</row>
    <row r="106" spans="1:21" x14ac:dyDescent="0.15"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</row>
    <row r="107" spans="1:21" x14ac:dyDescent="0.15"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</row>
    <row r="108" spans="1:21" x14ac:dyDescent="0.15"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</row>
    <row r="109" spans="1:21" x14ac:dyDescent="0.15"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</row>
    <row r="110" spans="1:21" x14ac:dyDescent="0.15"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</row>
    <row r="111" spans="1:21" x14ac:dyDescent="0.15"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</row>
    <row r="112" spans="1:21" x14ac:dyDescent="0.15"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</row>
    <row r="113" spans="2:21" x14ac:dyDescent="0.15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</row>
    <row r="114" spans="2:21" x14ac:dyDescent="0.15"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</row>
    <row r="115" spans="2:21" x14ac:dyDescent="0.15"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</row>
    <row r="116" spans="2:21" x14ac:dyDescent="0.15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</row>
    <row r="117" spans="2:21" x14ac:dyDescent="0.15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</row>
    <row r="118" spans="2:21" x14ac:dyDescent="0.15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</row>
    <row r="119" spans="2:21" x14ac:dyDescent="0.15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</row>
    <row r="120" spans="2:21" x14ac:dyDescent="0.15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</row>
    <row r="121" spans="2:21" x14ac:dyDescent="0.15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</row>
    <row r="122" spans="2:21" x14ac:dyDescent="0.15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</row>
    <row r="123" spans="2:21" x14ac:dyDescent="0.15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</row>
    <row r="124" spans="2:21" x14ac:dyDescent="0.15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</row>
    <row r="125" spans="2:21" x14ac:dyDescent="0.15"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</row>
    <row r="126" spans="2:21" x14ac:dyDescent="0.15"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</row>
    <row r="127" spans="2:21" x14ac:dyDescent="0.15"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</row>
    <row r="128" spans="2:21" x14ac:dyDescent="0.15"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</row>
    <row r="129" spans="2:21" x14ac:dyDescent="0.15"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</row>
    <row r="130" spans="2:21" x14ac:dyDescent="0.15">
      <c r="B130" s="58"/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</row>
    <row r="131" spans="2:21" x14ac:dyDescent="0.15"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</row>
    <row r="132" spans="2:21" x14ac:dyDescent="0.15"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</row>
    <row r="133" spans="2:21" x14ac:dyDescent="0.15"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</row>
    <row r="134" spans="2:21" x14ac:dyDescent="0.15"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</row>
    <row r="135" spans="2:21" x14ac:dyDescent="0.15"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</row>
    <row r="136" spans="2:21" x14ac:dyDescent="0.15"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</row>
    <row r="137" spans="2:21" x14ac:dyDescent="0.15"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</row>
    <row r="138" spans="2:21" x14ac:dyDescent="0.15"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</row>
    <row r="139" spans="2:21" x14ac:dyDescent="0.15"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</row>
    <row r="140" spans="2:21" x14ac:dyDescent="0.15"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</row>
    <row r="141" spans="2:21" x14ac:dyDescent="0.15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</row>
    <row r="142" spans="2:21" x14ac:dyDescent="0.15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</row>
    <row r="143" spans="2:21" x14ac:dyDescent="0.15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</row>
    <row r="144" spans="2:21" x14ac:dyDescent="0.15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</row>
    <row r="145" spans="2:21" x14ac:dyDescent="0.15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</row>
    <row r="146" spans="2:21" x14ac:dyDescent="0.15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</row>
    <row r="147" spans="2:21" x14ac:dyDescent="0.15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</row>
    <row r="148" spans="2:21" x14ac:dyDescent="0.15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</row>
    <row r="149" spans="2:21" x14ac:dyDescent="0.15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</row>
    <row r="150" spans="2:21" x14ac:dyDescent="0.15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</row>
    <row r="151" spans="2:21" x14ac:dyDescent="0.15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</row>
    <row r="152" spans="2:21" x14ac:dyDescent="0.15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</row>
    <row r="153" spans="2:21" x14ac:dyDescent="0.15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</row>
    <row r="154" spans="2:21" x14ac:dyDescent="0.15"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</row>
    <row r="155" spans="2:21" x14ac:dyDescent="0.15"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</row>
    <row r="156" spans="2:21" x14ac:dyDescent="0.15"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</row>
    <row r="157" spans="2:21" x14ac:dyDescent="0.15"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</row>
    <row r="158" spans="2:21" x14ac:dyDescent="0.15"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</row>
    <row r="159" spans="2:21" x14ac:dyDescent="0.15"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</row>
    <row r="160" spans="2:21" x14ac:dyDescent="0.15"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</row>
    <row r="161" spans="2:21" x14ac:dyDescent="0.15"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</row>
    <row r="162" spans="2:21" x14ac:dyDescent="0.15"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</row>
    <row r="163" spans="2:21" x14ac:dyDescent="0.15"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</row>
    <row r="164" spans="2:21" x14ac:dyDescent="0.15"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</row>
    <row r="165" spans="2:21" x14ac:dyDescent="0.15"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</row>
    <row r="166" spans="2:21" x14ac:dyDescent="0.15"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</row>
    <row r="167" spans="2:21" x14ac:dyDescent="0.15"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</row>
    <row r="168" spans="2:21" x14ac:dyDescent="0.15"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</row>
    <row r="169" spans="2:21" x14ac:dyDescent="0.15"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</row>
    <row r="170" spans="2:21" x14ac:dyDescent="0.15"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</row>
    <row r="171" spans="2:21" x14ac:dyDescent="0.15"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</row>
    <row r="172" spans="2:21" x14ac:dyDescent="0.15"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</row>
    <row r="173" spans="2:21" x14ac:dyDescent="0.15"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</row>
    <row r="174" spans="2:21" x14ac:dyDescent="0.15"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</row>
    <row r="175" spans="2:21" x14ac:dyDescent="0.15"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</row>
    <row r="176" spans="2:21" x14ac:dyDescent="0.15"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</row>
    <row r="177" spans="2:21" x14ac:dyDescent="0.15"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</row>
    <row r="178" spans="2:21" x14ac:dyDescent="0.15"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</row>
    <row r="179" spans="2:21" x14ac:dyDescent="0.15"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</row>
    <row r="180" spans="2:21" x14ac:dyDescent="0.15"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</row>
    <row r="181" spans="2:21" x14ac:dyDescent="0.15"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</row>
    <row r="182" spans="2:21" x14ac:dyDescent="0.15"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</row>
    <row r="183" spans="2:21" x14ac:dyDescent="0.15"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</row>
    <row r="184" spans="2:21" x14ac:dyDescent="0.15"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</row>
    <row r="185" spans="2:21" x14ac:dyDescent="0.15"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</row>
    <row r="186" spans="2:21" x14ac:dyDescent="0.15"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</row>
    <row r="187" spans="2:21" x14ac:dyDescent="0.15"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</row>
    <row r="188" spans="2:21" x14ac:dyDescent="0.15"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</row>
    <row r="189" spans="2:21" x14ac:dyDescent="0.15"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</row>
    <row r="190" spans="2:21" x14ac:dyDescent="0.15"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</row>
    <row r="191" spans="2:21" x14ac:dyDescent="0.15"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</row>
    <row r="192" spans="2:21" x14ac:dyDescent="0.15"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</row>
    <row r="193" spans="2:21" x14ac:dyDescent="0.15"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</row>
    <row r="194" spans="2:21" x14ac:dyDescent="0.15"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</row>
    <row r="195" spans="2:21" x14ac:dyDescent="0.15"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</row>
    <row r="196" spans="2:21" x14ac:dyDescent="0.15"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</row>
    <row r="197" spans="2:21" x14ac:dyDescent="0.15">
      <c r="B197" s="58"/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</row>
    <row r="198" spans="2:21" x14ac:dyDescent="0.15">
      <c r="B198" s="58"/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</row>
    <row r="199" spans="2:21" x14ac:dyDescent="0.15">
      <c r="B199" s="58"/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</row>
    <row r="200" spans="2:21" x14ac:dyDescent="0.15">
      <c r="B200" s="58"/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</row>
    <row r="201" spans="2:21" x14ac:dyDescent="0.15">
      <c r="B201" s="58"/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</row>
    <row r="202" spans="2:21" x14ac:dyDescent="0.15">
      <c r="B202" s="58"/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</row>
    <row r="203" spans="2:21" x14ac:dyDescent="0.15">
      <c r="B203" s="58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</row>
    <row r="204" spans="2:21" x14ac:dyDescent="0.15"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</row>
    <row r="205" spans="2:21" x14ac:dyDescent="0.15"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</row>
    <row r="206" spans="2:21" x14ac:dyDescent="0.15">
      <c r="B206" s="58"/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</row>
    <row r="207" spans="2:21" x14ac:dyDescent="0.15"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</row>
    <row r="208" spans="2:21" x14ac:dyDescent="0.15">
      <c r="B208" s="58"/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</row>
    <row r="209" spans="2:21" x14ac:dyDescent="0.15"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</row>
    <row r="210" spans="2:21" x14ac:dyDescent="0.15">
      <c r="B210" s="58"/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  <c r="N210" s="58"/>
      <c r="O210" s="58"/>
      <c r="P210" s="58"/>
      <c r="Q210" s="58"/>
      <c r="R210" s="58"/>
      <c r="S210" s="58"/>
      <c r="T210" s="58"/>
      <c r="U210" s="58"/>
    </row>
    <row r="211" spans="2:21" x14ac:dyDescent="0.15">
      <c r="B211" s="58"/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</row>
    <row r="212" spans="2:21" x14ac:dyDescent="0.15"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</row>
    <row r="213" spans="2:21" x14ac:dyDescent="0.15">
      <c r="B213" s="58"/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</row>
    <row r="214" spans="2:21" x14ac:dyDescent="0.15"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</row>
    <row r="215" spans="2:21" x14ac:dyDescent="0.15">
      <c r="B215" s="58"/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</row>
    <row r="216" spans="2:21" x14ac:dyDescent="0.15"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</row>
    <row r="217" spans="2:21" x14ac:dyDescent="0.15">
      <c r="B217" s="58"/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</row>
    <row r="218" spans="2:21" x14ac:dyDescent="0.15">
      <c r="B218" s="58"/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  <c r="N218" s="58"/>
      <c r="O218" s="58"/>
      <c r="P218" s="58"/>
      <c r="Q218" s="58"/>
      <c r="R218" s="58"/>
      <c r="S218" s="58"/>
      <c r="T218" s="58"/>
      <c r="U218" s="58"/>
    </row>
    <row r="219" spans="2:21" x14ac:dyDescent="0.15">
      <c r="B219" s="58"/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</row>
    <row r="220" spans="2:21" x14ac:dyDescent="0.15"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</row>
    <row r="221" spans="2:21" x14ac:dyDescent="0.15">
      <c r="B221" s="58"/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</row>
    <row r="222" spans="2:21" x14ac:dyDescent="0.15">
      <c r="B222" s="58"/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</row>
    <row r="223" spans="2:21" x14ac:dyDescent="0.15">
      <c r="B223" s="58"/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</row>
    <row r="224" spans="2:21" x14ac:dyDescent="0.15">
      <c r="B224" s="58"/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</row>
    <row r="225" spans="2:21" x14ac:dyDescent="0.15">
      <c r="B225" s="58"/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  <c r="N225" s="58"/>
      <c r="O225" s="58"/>
      <c r="P225" s="58"/>
      <c r="Q225" s="58"/>
      <c r="R225" s="58"/>
      <c r="S225" s="58"/>
      <c r="T225" s="58"/>
      <c r="U225" s="58"/>
    </row>
    <row r="226" spans="2:21" x14ac:dyDescent="0.15"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</row>
    <row r="227" spans="2:21" x14ac:dyDescent="0.15">
      <c r="B227" s="58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</row>
    <row r="228" spans="2:21" x14ac:dyDescent="0.15">
      <c r="B228" s="58"/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  <c r="N228" s="58"/>
      <c r="O228" s="58"/>
      <c r="P228" s="58"/>
      <c r="Q228" s="58"/>
      <c r="R228" s="58"/>
      <c r="S228" s="58"/>
      <c r="T228" s="58"/>
      <c r="U228" s="58"/>
    </row>
    <row r="229" spans="2:21" x14ac:dyDescent="0.15">
      <c r="B229" s="58"/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58"/>
    </row>
    <row r="230" spans="2:21" x14ac:dyDescent="0.15">
      <c r="B230" s="58"/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  <c r="N230" s="58"/>
      <c r="O230" s="58"/>
      <c r="P230" s="58"/>
      <c r="Q230" s="58"/>
      <c r="R230" s="58"/>
      <c r="S230" s="58"/>
      <c r="T230" s="58"/>
      <c r="U230" s="58"/>
    </row>
    <row r="231" spans="2:21" x14ac:dyDescent="0.15">
      <c r="B231" s="58"/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  <c r="N231" s="58"/>
      <c r="O231" s="58"/>
      <c r="P231" s="58"/>
      <c r="Q231" s="58"/>
      <c r="R231" s="58"/>
      <c r="S231" s="58"/>
      <c r="T231" s="58"/>
      <c r="U231" s="58"/>
    </row>
    <row r="232" spans="2:21" x14ac:dyDescent="0.15">
      <c r="B232" s="58"/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</row>
    <row r="233" spans="2:21" x14ac:dyDescent="0.15">
      <c r="B233" s="58"/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</row>
    <row r="234" spans="2:21" x14ac:dyDescent="0.15"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</row>
    <row r="235" spans="2:21" x14ac:dyDescent="0.15"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  <c r="O235" s="58"/>
      <c r="P235" s="58"/>
      <c r="Q235" s="58"/>
      <c r="R235" s="58"/>
      <c r="S235" s="58"/>
      <c r="T235" s="58"/>
      <c r="U235" s="58"/>
    </row>
    <row r="236" spans="2:21" x14ac:dyDescent="0.15">
      <c r="B236" s="58"/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  <c r="N236" s="58"/>
      <c r="O236" s="58"/>
      <c r="P236" s="58"/>
      <c r="Q236" s="58"/>
      <c r="R236" s="58"/>
      <c r="S236" s="58"/>
      <c r="T236" s="58"/>
      <c r="U236" s="58"/>
    </row>
    <row r="237" spans="2:21" x14ac:dyDescent="0.15">
      <c r="B237" s="58"/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</row>
    <row r="238" spans="2:21" x14ac:dyDescent="0.15"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  <c r="O238" s="58"/>
      <c r="P238" s="58"/>
      <c r="Q238" s="58"/>
      <c r="R238" s="58"/>
      <c r="S238" s="58"/>
      <c r="T238" s="58"/>
      <c r="U238" s="58"/>
    </row>
    <row r="239" spans="2:21" x14ac:dyDescent="0.15">
      <c r="B239" s="58"/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  <c r="N239" s="58"/>
      <c r="O239" s="58"/>
      <c r="P239" s="58"/>
      <c r="Q239" s="58"/>
      <c r="R239" s="58"/>
      <c r="S239" s="58"/>
      <c r="T239" s="58"/>
      <c r="U239" s="58"/>
    </row>
    <row r="240" spans="2:21" x14ac:dyDescent="0.15">
      <c r="B240" s="58"/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</row>
    <row r="241" spans="2:21" x14ac:dyDescent="0.15">
      <c r="B241" s="58"/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  <c r="N241" s="58"/>
      <c r="O241" s="58"/>
      <c r="P241" s="58"/>
      <c r="Q241" s="58"/>
      <c r="R241" s="58"/>
      <c r="S241" s="58"/>
      <c r="T241" s="58"/>
      <c r="U241" s="58"/>
    </row>
    <row r="242" spans="2:21" x14ac:dyDescent="0.15">
      <c r="B242" s="58"/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  <c r="N242" s="58"/>
      <c r="O242" s="58"/>
      <c r="P242" s="58"/>
      <c r="Q242" s="58"/>
      <c r="R242" s="58"/>
      <c r="S242" s="58"/>
      <c r="T242" s="58"/>
      <c r="U242" s="58"/>
    </row>
    <row r="243" spans="2:21" x14ac:dyDescent="0.15">
      <c r="B243" s="58"/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  <c r="N243" s="58"/>
      <c r="O243" s="58"/>
      <c r="P243" s="58"/>
      <c r="Q243" s="58"/>
      <c r="R243" s="58"/>
      <c r="S243" s="58"/>
      <c r="T243" s="58"/>
      <c r="U243" s="58"/>
    </row>
    <row r="244" spans="2:21" x14ac:dyDescent="0.15">
      <c r="B244" s="58"/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</row>
    <row r="245" spans="2:21" x14ac:dyDescent="0.15">
      <c r="B245" s="58"/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  <c r="N245" s="58"/>
      <c r="O245" s="58"/>
      <c r="P245" s="58"/>
      <c r="Q245" s="58"/>
      <c r="R245" s="58"/>
      <c r="S245" s="58"/>
      <c r="T245" s="58"/>
      <c r="U245" s="58"/>
    </row>
    <row r="246" spans="2:21" x14ac:dyDescent="0.15">
      <c r="B246" s="58"/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  <c r="N246" s="58"/>
      <c r="O246" s="58"/>
      <c r="P246" s="58"/>
      <c r="Q246" s="58"/>
      <c r="R246" s="58"/>
      <c r="S246" s="58"/>
      <c r="T246" s="58"/>
      <c r="U246" s="58"/>
    </row>
    <row r="247" spans="2:21" x14ac:dyDescent="0.15"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  <c r="R247" s="58"/>
      <c r="S247" s="58"/>
      <c r="T247" s="58"/>
      <c r="U247" s="58"/>
    </row>
    <row r="248" spans="2:21" x14ac:dyDescent="0.15">
      <c r="B248" s="58"/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  <c r="N248" s="58"/>
      <c r="O248" s="58"/>
      <c r="P248" s="58"/>
      <c r="Q248" s="58"/>
      <c r="R248" s="58"/>
      <c r="S248" s="58"/>
      <c r="T248" s="58"/>
      <c r="U248" s="58"/>
    </row>
    <row r="249" spans="2:21" x14ac:dyDescent="0.15">
      <c r="B249" s="58"/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  <c r="O249" s="58"/>
      <c r="P249" s="58"/>
      <c r="Q249" s="58"/>
      <c r="R249" s="58"/>
      <c r="S249" s="58"/>
      <c r="T249" s="58"/>
      <c r="U249" s="58"/>
    </row>
    <row r="250" spans="2:21" x14ac:dyDescent="0.15"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58"/>
    </row>
    <row r="251" spans="2:21" x14ac:dyDescent="0.15">
      <c r="B251" s="58"/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/>
      <c r="S251" s="58"/>
      <c r="T251" s="58"/>
      <c r="U251" s="58"/>
    </row>
    <row r="252" spans="2:21" x14ac:dyDescent="0.15">
      <c r="B252" s="58"/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  <c r="N252" s="58"/>
      <c r="O252" s="58"/>
      <c r="P252" s="58"/>
      <c r="Q252" s="58"/>
      <c r="R252" s="58"/>
      <c r="S252" s="58"/>
      <c r="T252" s="58"/>
      <c r="U252" s="58"/>
    </row>
    <row r="253" spans="2:21" x14ac:dyDescent="0.15">
      <c r="B253" s="58"/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</row>
    <row r="254" spans="2:21" x14ac:dyDescent="0.15">
      <c r="B254" s="58"/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/>
      <c r="S254" s="58"/>
      <c r="T254" s="58"/>
      <c r="U254" s="58"/>
    </row>
    <row r="255" spans="2:21" x14ac:dyDescent="0.15">
      <c r="B255" s="58"/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58"/>
      <c r="O255" s="58"/>
      <c r="P255" s="58"/>
      <c r="Q255" s="58"/>
      <c r="R255" s="58"/>
      <c r="S255" s="58"/>
      <c r="T255" s="58"/>
      <c r="U255" s="58"/>
    </row>
    <row r="256" spans="2:21" x14ac:dyDescent="0.15">
      <c r="B256" s="58"/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58"/>
      <c r="O256" s="58"/>
      <c r="P256" s="58"/>
      <c r="Q256" s="58"/>
      <c r="R256" s="58"/>
      <c r="S256" s="58"/>
      <c r="T256" s="58"/>
      <c r="U256" s="58"/>
    </row>
    <row r="257" spans="2:21" x14ac:dyDescent="0.15">
      <c r="B257" s="58"/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  <c r="N257" s="58"/>
      <c r="O257" s="58"/>
      <c r="P257" s="58"/>
      <c r="Q257" s="58"/>
      <c r="R257" s="58"/>
      <c r="S257" s="58"/>
      <c r="T257" s="58"/>
      <c r="U257" s="58"/>
    </row>
    <row r="258" spans="2:21" x14ac:dyDescent="0.15">
      <c r="B258" s="58"/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58"/>
      <c r="O258" s="58"/>
      <c r="P258" s="58"/>
      <c r="Q258" s="58"/>
      <c r="R258" s="58"/>
      <c r="S258" s="58"/>
      <c r="T258" s="58"/>
      <c r="U258" s="58"/>
    </row>
    <row r="259" spans="2:21" x14ac:dyDescent="0.15">
      <c r="B259" s="58"/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58"/>
      <c r="O259" s="58"/>
      <c r="P259" s="58"/>
      <c r="Q259" s="58"/>
      <c r="R259" s="58"/>
      <c r="S259" s="58"/>
      <c r="T259" s="58"/>
      <c r="U259" s="58"/>
    </row>
    <row r="260" spans="2:21" x14ac:dyDescent="0.15">
      <c r="B260" s="58"/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58"/>
      <c r="O260" s="58"/>
      <c r="P260" s="58"/>
      <c r="Q260" s="58"/>
      <c r="R260" s="58"/>
      <c r="S260" s="58"/>
      <c r="T260" s="58"/>
      <c r="U260" s="58"/>
    </row>
    <row r="261" spans="2:21" x14ac:dyDescent="0.15">
      <c r="B261" s="58"/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8"/>
    </row>
    <row r="262" spans="2:21" x14ac:dyDescent="0.15">
      <c r="B262" s="58"/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58"/>
      <c r="O262" s="58"/>
      <c r="P262" s="58"/>
      <c r="Q262" s="58"/>
      <c r="R262" s="58"/>
      <c r="S262" s="58"/>
      <c r="T262" s="58"/>
      <c r="U262" s="58"/>
    </row>
    <row r="263" spans="2:21" x14ac:dyDescent="0.15">
      <c r="B263" s="58"/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  <c r="N263" s="58"/>
      <c r="O263" s="58"/>
      <c r="P263" s="58"/>
      <c r="Q263" s="58"/>
      <c r="R263" s="58"/>
      <c r="S263" s="58"/>
      <c r="T263" s="58"/>
      <c r="U263" s="58"/>
    </row>
    <row r="264" spans="2:21" x14ac:dyDescent="0.15"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</row>
    <row r="265" spans="2:21" x14ac:dyDescent="0.15">
      <c r="B265" s="58"/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58"/>
    </row>
    <row r="266" spans="2:21" x14ac:dyDescent="0.15">
      <c r="B266" s="58"/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58"/>
      <c r="O266" s="58"/>
      <c r="P266" s="58"/>
      <c r="Q266" s="58"/>
      <c r="R266" s="58"/>
      <c r="S266" s="58"/>
      <c r="T266" s="58"/>
      <c r="U266" s="58"/>
    </row>
    <row r="267" spans="2:21" x14ac:dyDescent="0.15">
      <c r="B267" s="58"/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</row>
    <row r="268" spans="2:21" x14ac:dyDescent="0.15">
      <c r="B268" s="58"/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58"/>
      <c r="O268" s="58"/>
      <c r="P268" s="58"/>
      <c r="Q268" s="58"/>
      <c r="R268" s="58"/>
      <c r="S268" s="58"/>
      <c r="T268" s="58"/>
      <c r="U268" s="58"/>
    </row>
    <row r="269" spans="2:21" x14ac:dyDescent="0.15">
      <c r="B269" s="58"/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58"/>
      <c r="O269" s="58"/>
      <c r="P269" s="58"/>
      <c r="Q269" s="58"/>
      <c r="R269" s="58"/>
      <c r="S269" s="58"/>
      <c r="T269" s="58"/>
      <c r="U269" s="58"/>
    </row>
    <row r="270" spans="2:21" x14ac:dyDescent="0.15">
      <c r="B270" s="58"/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58"/>
      <c r="Q270" s="58"/>
      <c r="R270" s="58"/>
      <c r="S270" s="58"/>
      <c r="T270" s="58"/>
      <c r="U270" s="58"/>
    </row>
    <row r="271" spans="2:21" x14ac:dyDescent="0.15">
      <c r="B271" s="58"/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58"/>
      <c r="Q271" s="58"/>
      <c r="R271" s="58"/>
      <c r="S271" s="58"/>
      <c r="T271" s="58"/>
      <c r="U271" s="58"/>
    </row>
    <row r="272" spans="2:21" x14ac:dyDescent="0.15">
      <c r="B272" s="58"/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</row>
    <row r="273" spans="2:21" x14ac:dyDescent="0.15">
      <c r="B273" s="58"/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58"/>
      <c r="O273" s="58"/>
      <c r="P273" s="58"/>
      <c r="Q273" s="58"/>
      <c r="R273" s="58"/>
      <c r="S273" s="58"/>
      <c r="T273" s="58"/>
      <c r="U273" s="58"/>
    </row>
    <row r="274" spans="2:21" x14ac:dyDescent="0.15">
      <c r="B274" s="58"/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8"/>
      <c r="R274" s="58"/>
      <c r="S274" s="58"/>
      <c r="T274" s="58"/>
      <c r="U274" s="58"/>
    </row>
    <row r="275" spans="2:21" x14ac:dyDescent="0.15">
      <c r="B275" s="58"/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</row>
    <row r="276" spans="2:21" x14ac:dyDescent="0.15">
      <c r="B276" s="58"/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</row>
    <row r="277" spans="2:21" x14ac:dyDescent="0.15">
      <c r="B277" s="58"/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</row>
    <row r="278" spans="2:21" x14ac:dyDescent="0.15">
      <c r="B278" s="58"/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</row>
    <row r="279" spans="2:21" x14ac:dyDescent="0.15">
      <c r="B279" s="58"/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</row>
    <row r="280" spans="2:21" x14ac:dyDescent="0.15">
      <c r="B280" s="58"/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</row>
    <row r="281" spans="2:21" x14ac:dyDescent="0.15">
      <c r="B281" s="58"/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</row>
    <row r="282" spans="2:21" x14ac:dyDescent="0.15">
      <c r="B282" s="58"/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58"/>
      <c r="O282" s="58"/>
      <c r="P282" s="58"/>
      <c r="Q282" s="58"/>
      <c r="R282" s="58"/>
      <c r="S282" s="58"/>
      <c r="T282" s="58"/>
      <c r="U282" s="58"/>
    </row>
    <row r="283" spans="2:21" x14ac:dyDescent="0.15">
      <c r="B283" s="58"/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  <c r="N283" s="58"/>
      <c r="O283" s="58"/>
      <c r="P283" s="58"/>
      <c r="Q283" s="58"/>
      <c r="R283" s="58"/>
      <c r="S283" s="58"/>
      <c r="T283" s="58"/>
      <c r="U283" s="58"/>
    </row>
    <row r="284" spans="2:21" x14ac:dyDescent="0.15">
      <c r="B284" s="58"/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  <c r="N284" s="58"/>
      <c r="O284" s="58"/>
      <c r="P284" s="58"/>
      <c r="Q284" s="58"/>
      <c r="R284" s="58"/>
      <c r="S284" s="58"/>
      <c r="T284" s="58"/>
      <c r="U284" s="58"/>
    </row>
    <row r="285" spans="2:21" x14ac:dyDescent="0.15">
      <c r="B285" s="58"/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8"/>
      <c r="O285" s="58"/>
      <c r="P285" s="58"/>
      <c r="Q285" s="58"/>
      <c r="R285" s="58"/>
      <c r="S285" s="58"/>
      <c r="T285" s="58"/>
      <c r="U285" s="58"/>
    </row>
    <row r="286" spans="2:21" x14ac:dyDescent="0.15">
      <c r="B286" s="58"/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58"/>
      <c r="S286" s="58"/>
      <c r="T286" s="58"/>
      <c r="U286" s="58"/>
    </row>
    <row r="287" spans="2:21" x14ac:dyDescent="0.15">
      <c r="B287" s="58"/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</row>
    <row r="288" spans="2:21" x14ac:dyDescent="0.15">
      <c r="B288" s="58"/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58"/>
      <c r="O288" s="58"/>
      <c r="P288" s="58"/>
      <c r="Q288" s="58"/>
      <c r="R288" s="58"/>
      <c r="S288" s="58"/>
      <c r="T288" s="58"/>
      <c r="U288" s="58"/>
    </row>
    <row r="289" spans="2:21" x14ac:dyDescent="0.15">
      <c r="B289" s="58"/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58"/>
      <c r="O289" s="58"/>
      <c r="P289" s="58"/>
      <c r="Q289" s="58"/>
      <c r="R289" s="58"/>
      <c r="S289" s="58"/>
      <c r="T289" s="58"/>
      <c r="U289" s="58"/>
    </row>
    <row r="290" spans="2:21" x14ac:dyDescent="0.15"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  <c r="O290" s="58"/>
      <c r="P290" s="58"/>
      <c r="Q290" s="58"/>
      <c r="R290" s="58"/>
      <c r="S290" s="58"/>
      <c r="T290" s="58"/>
      <c r="U290" s="58"/>
    </row>
    <row r="291" spans="2:21" x14ac:dyDescent="0.15">
      <c r="B291" s="58"/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  <c r="N291" s="58"/>
      <c r="O291" s="58"/>
      <c r="P291" s="58"/>
      <c r="Q291" s="58"/>
      <c r="R291" s="58"/>
      <c r="S291" s="58"/>
      <c r="T291" s="58"/>
      <c r="U291" s="58"/>
    </row>
    <row r="292" spans="2:21" x14ac:dyDescent="0.15">
      <c r="B292" s="58"/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  <c r="N292" s="58"/>
      <c r="O292" s="58"/>
      <c r="P292" s="58"/>
      <c r="Q292" s="58"/>
      <c r="R292" s="58"/>
      <c r="S292" s="58"/>
      <c r="T292" s="58"/>
      <c r="U292" s="58"/>
    </row>
    <row r="293" spans="2:21" x14ac:dyDescent="0.15">
      <c r="B293" s="58"/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  <c r="N293" s="58"/>
      <c r="O293" s="58"/>
      <c r="P293" s="58"/>
      <c r="Q293" s="58"/>
      <c r="R293" s="58"/>
      <c r="S293" s="58"/>
      <c r="T293" s="58"/>
      <c r="U293" s="58"/>
    </row>
    <row r="294" spans="2:21" x14ac:dyDescent="0.15">
      <c r="B294" s="58"/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  <c r="N294" s="58"/>
      <c r="O294" s="58"/>
      <c r="P294" s="58"/>
      <c r="Q294" s="58"/>
      <c r="R294" s="58"/>
      <c r="S294" s="58"/>
      <c r="T294" s="58"/>
      <c r="U294" s="58"/>
    </row>
    <row r="295" spans="2:21" x14ac:dyDescent="0.15">
      <c r="B295" s="58"/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58"/>
      <c r="S295" s="58"/>
      <c r="T295" s="58"/>
      <c r="U295" s="58"/>
    </row>
    <row r="296" spans="2:21" x14ac:dyDescent="0.15">
      <c r="B296" s="58"/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58"/>
      <c r="S296" s="58"/>
      <c r="T296" s="58"/>
      <c r="U296" s="58"/>
    </row>
    <row r="297" spans="2:21" x14ac:dyDescent="0.15">
      <c r="B297" s="58"/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58"/>
      <c r="O297" s="58"/>
      <c r="P297" s="58"/>
      <c r="Q297" s="58"/>
      <c r="R297" s="58"/>
      <c r="S297" s="58"/>
      <c r="T297" s="58"/>
      <c r="U297" s="58"/>
    </row>
    <row r="298" spans="2:21" x14ac:dyDescent="0.15">
      <c r="B298" s="58"/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  <c r="N298" s="58"/>
      <c r="O298" s="58"/>
      <c r="P298" s="58"/>
      <c r="Q298" s="58"/>
      <c r="R298" s="58"/>
      <c r="S298" s="58"/>
      <c r="T298" s="58"/>
      <c r="U298" s="58"/>
    </row>
    <row r="299" spans="2:21" x14ac:dyDescent="0.15">
      <c r="B299" s="58"/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  <c r="N299" s="58"/>
      <c r="O299" s="58"/>
      <c r="P299" s="58"/>
      <c r="Q299" s="58"/>
      <c r="R299" s="58"/>
      <c r="S299" s="58"/>
      <c r="T299" s="58"/>
      <c r="U299" s="58"/>
    </row>
    <row r="300" spans="2:21" x14ac:dyDescent="0.15">
      <c r="B300" s="58"/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  <c r="N300" s="58"/>
      <c r="O300" s="58"/>
      <c r="P300" s="58"/>
      <c r="Q300" s="58"/>
      <c r="R300" s="58"/>
      <c r="S300" s="58"/>
      <c r="T300" s="58"/>
      <c r="U300" s="58"/>
    </row>
    <row r="301" spans="2:21" x14ac:dyDescent="0.15">
      <c r="B301" s="58"/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58"/>
      <c r="O301" s="58"/>
      <c r="P301" s="58"/>
      <c r="Q301" s="58"/>
      <c r="R301" s="58"/>
      <c r="S301" s="58"/>
      <c r="T301" s="58"/>
      <c r="U301" s="58"/>
    </row>
    <row r="302" spans="2:21" x14ac:dyDescent="0.15">
      <c r="B302" s="58"/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8"/>
      <c r="R302" s="58"/>
      <c r="S302" s="58"/>
      <c r="T302" s="58"/>
      <c r="U302" s="58"/>
    </row>
    <row r="303" spans="2:21" x14ac:dyDescent="0.15">
      <c r="B303" s="58"/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58"/>
      <c r="O303" s="58"/>
      <c r="P303" s="58"/>
      <c r="Q303" s="58"/>
      <c r="R303" s="58"/>
      <c r="S303" s="58"/>
      <c r="T303" s="58"/>
      <c r="U303" s="58"/>
    </row>
    <row r="304" spans="2:21" x14ac:dyDescent="0.15">
      <c r="B304" s="58"/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  <c r="N304" s="58"/>
      <c r="O304" s="58"/>
      <c r="P304" s="58"/>
      <c r="Q304" s="58"/>
      <c r="R304" s="58"/>
      <c r="S304" s="58"/>
      <c r="T304" s="58"/>
      <c r="U304" s="58"/>
    </row>
    <row r="305" spans="2:21" x14ac:dyDescent="0.15">
      <c r="B305" s="58"/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</row>
    <row r="306" spans="2:21" x14ac:dyDescent="0.15">
      <c r="B306" s="58"/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8"/>
      <c r="R306" s="58"/>
      <c r="S306" s="58"/>
      <c r="T306" s="58"/>
      <c r="U306" s="58"/>
    </row>
    <row r="307" spans="2:21" x14ac:dyDescent="0.15">
      <c r="B307" s="58"/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58"/>
      <c r="O307" s="58"/>
      <c r="P307" s="58"/>
      <c r="Q307" s="58"/>
      <c r="R307" s="58"/>
      <c r="S307" s="58"/>
      <c r="T307" s="58"/>
      <c r="U307" s="58"/>
    </row>
    <row r="308" spans="2:21" x14ac:dyDescent="0.15">
      <c r="B308" s="58"/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58"/>
      <c r="O308" s="58"/>
      <c r="P308" s="58"/>
      <c r="Q308" s="58"/>
      <c r="R308" s="58"/>
      <c r="S308" s="58"/>
      <c r="T308" s="58"/>
      <c r="U308" s="58"/>
    </row>
    <row r="309" spans="2:21" x14ac:dyDescent="0.15">
      <c r="B309" s="58"/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  <c r="N309" s="58"/>
      <c r="O309" s="58"/>
      <c r="P309" s="58"/>
      <c r="Q309" s="58"/>
      <c r="R309" s="58"/>
      <c r="S309" s="58"/>
      <c r="T309" s="58"/>
      <c r="U309" s="58"/>
    </row>
    <row r="310" spans="2:21" x14ac:dyDescent="0.15">
      <c r="B310" s="58"/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  <c r="N310" s="58"/>
      <c r="O310" s="58"/>
      <c r="P310" s="58"/>
      <c r="Q310" s="58"/>
      <c r="R310" s="58"/>
      <c r="S310" s="58"/>
      <c r="T310" s="58"/>
      <c r="U310" s="58"/>
    </row>
    <row r="311" spans="2:21" x14ac:dyDescent="0.15">
      <c r="B311" s="58"/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  <c r="N311" s="58"/>
      <c r="O311" s="58"/>
      <c r="P311" s="58"/>
      <c r="Q311" s="58"/>
      <c r="R311" s="58"/>
      <c r="S311" s="58"/>
      <c r="T311" s="58"/>
      <c r="U311" s="58"/>
    </row>
    <row r="312" spans="2:21" x14ac:dyDescent="0.15">
      <c r="B312" s="58"/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  <c r="N312" s="58"/>
      <c r="O312" s="58"/>
      <c r="P312" s="58"/>
      <c r="Q312" s="58"/>
      <c r="R312" s="58"/>
      <c r="S312" s="58"/>
      <c r="T312" s="58"/>
      <c r="U312" s="58"/>
    </row>
    <row r="313" spans="2:21" x14ac:dyDescent="0.15">
      <c r="B313" s="58"/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58"/>
      <c r="O313" s="58"/>
      <c r="P313" s="58"/>
      <c r="Q313" s="58"/>
      <c r="R313" s="58"/>
      <c r="S313" s="58"/>
      <c r="T313" s="58"/>
      <c r="U313" s="58"/>
    </row>
    <row r="314" spans="2:21" x14ac:dyDescent="0.15">
      <c r="B314" s="58"/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  <c r="N314" s="58"/>
      <c r="O314" s="58"/>
      <c r="P314" s="58"/>
      <c r="Q314" s="58"/>
      <c r="R314" s="58"/>
      <c r="S314" s="58"/>
      <c r="T314" s="58"/>
      <c r="U314" s="58"/>
    </row>
    <row r="315" spans="2:21" x14ac:dyDescent="0.15">
      <c r="B315" s="58"/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58"/>
    </row>
    <row r="316" spans="2:21" x14ac:dyDescent="0.15">
      <c r="B316" s="58"/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  <c r="N316" s="58"/>
      <c r="O316" s="58"/>
      <c r="P316" s="58"/>
      <c r="Q316" s="58"/>
      <c r="R316" s="58"/>
      <c r="S316" s="58"/>
      <c r="T316" s="58"/>
      <c r="U316" s="58"/>
    </row>
    <row r="317" spans="2:21" x14ac:dyDescent="0.15">
      <c r="B317" s="58"/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  <c r="N317" s="58"/>
      <c r="O317" s="58"/>
      <c r="P317" s="58"/>
      <c r="Q317" s="58"/>
      <c r="R317" s="58"/>
      <c r="S317" s="58"/>
      <c r="T317" s="58"/>
      <c r="U317" s="58"/>
    </row>
    <row r="318" spans="2:21" x14ac:dyDescent="0.15">
      <c r="B318" s="58"/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  <c r="N318" s="58"/>
      <c r="O318" s="58"/>
      <c r="P318" s="58"/>
      <c r="Q318" s="58"/>
      <c r="R318" s="58"/>
      <c r="S318" s="58"/>
      <c r="T318" s="58"/>
      <c r="U318" s="58"/>
    </row>
    <row r="319" spans="2:21" x14ac:dyDescent="0.15">
      <c r="B319" s="58"/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8"/>
      <c r="R319" s="58"/>
      <c r="S319" s="58"/>
      <c r="T319" s="58"/>
      <c r="U319" s="58"/>
    </row>
    <row r="320" spans="2:21" x14ac:dyDescent="0.15">
      <c r="B320" s="58"/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8"/>
      <c r="R320" s="58"/>
      <c r="S320" s="58"/>
      <c r="T320" s="58"/>
      <c r="U320" s="58"/>
    </row>
    <row r="321" spans="2:21" x14ac:dyDescent="0.15">
      <c r="B321" s="58"/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58"/>
      <c r="O321" s="58"/>
      <c r="P321" s="58"/>
      <c r="Q321" s="58"/>
      <c r="R321" s="58"/>
      <c r="S321" s="58"/>
      <c r="T321" s="58"/>
      <c r="U321" s="58"/>
    </row>
    <row r="322" spans="2:21" x14ac:dyDescent="0.15">
      <c r="B322" s="58"/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  <c r="N322" s="58"/>
      <c r="O322" s="58"/>
      <c r="P322" s="58"/>
      <c r="Q322" s="58"/>
      <c r="R322" s="58"/>
      <c r="S322" s="58"/>
      <c r="T322" s="58"/>
      <c r="U322" s="58"/>
    </row>
    <row r="323" spans="2:21" x14ac:dyDescent="0.15">
      <c r="B323" s="58"/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  <c r="N323" s="58"/>
      <c r="O323" s="58"/>
      <c r="P323" s="58"/>
      <c r="Q323" s="58"/>
      <c r="R323" s="58"/>
      <c r="S323" s="58"/>
      <c r="T323" s="58"/>
      <c r="U323" s="58"/>
    </row>
    <row r="324" spans="2:21" x14ac:dyDescent="0.15">
      <c r="B324" s="58"/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  <c r="N324" s="58"/>
      <c r="O324" s="58"/>
      <c r="P324" s="58"/>
      <c r="Q324" s="58"/>
      <c r="R324" s="58"/>
      <c r="S324" s="58"/>
      <c r="T324" s="58"/>
      <c r="U324" s="58"/>
    </row>
    <row r="325" spans="2:21" x14ac:dyDescent="0.15">
      <c r="B325" s="58"/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8"/>
      <c r="Q325" s="58"/>
      <c r="R325" s="58"/>
      <c r="S325" s="58"/>
      <c r="T325" s="58"/>
      <c r="U325" s="58"/>
    </row>
    <row r="326" spans="2:21" x14ac:dyDescent="0.15">
      <c r="B326" s="58"/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8"/>
      <c r="Q326" s="58"/>
      <c r="R326" s="58"/>
      <c r="S326" s="58"/>
      <c r="T326" s="58"/>
      <c r="U326" s="58"/>
    </row>
    <row r="327" spans="2:21" x14ac:dyDescent="0.15">
      <c r="B327" s="58"/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  <c r="N327" s="58"/>
      <c r="O327" s="58"/>
      <c r="P327" s="58"/>
      <c r="Q327" s="58"/>
      <c r="R327" s="58"/>
      <c r="S327" s="58"/>
      <c r="T327" s="58"/>
      <c r="U327" s="58"/>
    </row>
    <row r="328" spans="2:21" x14ac:dyDescent="0.15">
      <c r="B328" s="58"/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  <c r="N328" s="58"/>
      <c r="O328" s="58"/>
      <c r="P328" s="58"/>
      <c r="Q328" s="58"/>
      <c r="R328" s="58"/>
      <c r="S328" s="58"/>
      <c r="T328" s="58"/>
      <c r="U328" s="58"/>
    </row>
    <row r="329" spans="2:21" x14ac:dyDescent="0.15">
      <c r="B329" s="58"/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  <c r="N329" s="58"/>
      <c r="O329" s="58"/>
      <c r="P329" s="58"/>
      <c r="Q329" s="58"/>
      <c r="R329" s="58"/>
      <c r="S329" s="58"/>
      <c r="T329" s="58"/>
      <c r="U329" s="58"/>
    </row>
    <row r="330" spans="2:21" x14ac:dyDescent="0.15">
      <c r="B330" s="58"/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  <c r="N330" s="58"/>
      <c r="O330" s="58"/>
      <c r="P330" s="58"/>
      <c r="Q330" s="58"/>
      <c r="R330" s="58"/>
      <c r="S330" s="58"/>
      <c r="T330" s="58"/>
      <c r="U330" s="58"/>
    </row>
    <row r="331" spans="2:21" x14ac:dyDescent="0.15">
      <c r="B331" s="58"/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  <c r="N331" s="58"/>
      <c r="O331" s="58"/>
      <c r="P331" s="58"/>
      <c r="Q331" s="58"/>
      <c r="R331" s="58"/>
      <c r="S331" s="58"/>
      <c r="T331" s="58"/>
      <c r="U331" s="58"/>
    </row>
    <row r="332" spans="2:21" x14ac:dyDescent="0.15">
      <c r="B332" s="58"/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8"/>
      <c r="R332" s="58"/>
      <c r="S332" s="58"/>
      <c r="T332" s="58"/>
      <c r="U332" s="58"/>
    </row>
    <row r="333" spans="2:21" x14ac:dyDescent="0.15">
      <c r="B333" s="58"/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  <c r="N333" s="58"/>
      <c r="O333" s="58"/>
      <c r="P333" s="58"/>
      <c r="Q333" s="58"/>
      <c r="R333" s="58"/>
      <c r="S333" s="58"/>
      <c r="T333" s="58"/>
      <c r="U333" s="58"/>
    </row>
    <row r="334" spans="2:21" x14ac:dyDescent="0.15">
      <c r="B334" s="58"/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  <c r="N334" s="58"/>
      <c r="O334" s="58"/>
      <c r="P334" s="58"/>
      <c r="Q334" s="58"/>
      <c r="R334" s="58"/>
      <c r="S334" s="58"/>
      <c r="T334" s="58"/>
      <c r="U334" s="58"/>
    </row>
    <row r="335" spans="2:21" x14ac:dyDescent="0.15">
      <c r="B335" s="58"/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58"/>
      <c r="O335" s="58"/>
      <c r="P335" s="58"/>
      <c r="Q335" s="58"/>
      <c r="R335" s="58"/>
      <c r="S335" s="58"/>
      <c r="T335" s="58"/>
      <c r="U335" s="58"/>
    </row>
    <row r="336" spans="2:21" x14ac:dyDescent="0.15">
      <c r="B336" s="58"/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  <c r="N336" s="58"/>
      <c r="O336" s="58"/>
      <c r="P336" s="58"/>
      <c r="Q336" s="58"/>
      <c r="R336" s="58"/>
      <c r="S336" s="58"/>
      <c r="T336" s="58"/>
      <c r="U336" s="58"/>
    </row>
    <row r="337" spans="2:21" x14ac:dyDescent="0.15">
      <c r="B337" s="58"/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  <c r="N337" s="58"/>
      <c r="O337" s="58"/>
      <c r="P337" s="58"/>
      <c r="Q337" s="58"/>
      <c r="R337" s="58"/>
      <c r="S337" s="58"/>
      <c r="T337" s="58"/>
      <c r="U337" s="58"/>
    </row>
    <row r="338" spans="2:21" x14ac:dyDescent="0.15">
      <c r="B338" s="58"/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58"/>
      <c r="O338" s="58"/>
      <c r="P338" s="58"/>
      <c r="Q338" s="58"/>
      <c r="R338" s="58"/>
      <c r="S338" s="58"/>
      <c r="T338" s="58"/>
      <c r="U338" s="58"/>
    </row>
    <row r="339" spans="2:21" x14ac:dyDescent="0.15">
      <c r="B339" s="58"/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  <c r="N339" s="58"/>
      <c r="O339" s="58"/>
      <c r="P339" s="58"/>
      <c r="Q339" s="58"/>
      <c r="R339" s="58"/>
      <c r="S339" s="58"/>
      <c r="T339" s="58"/>
      <c r="U339" s="58"/>
    </row>
    <row r="340" spans="2:21" x14ac:dyDescent="0.15">
      <c r="B340" s="58"/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  <c r="N340" s="58"/>
      <c r="O340" s="58"/>
      <c r="P340" s="58"/>
      <c r="Q340" s="58"/>
      <c r="R340" s="58"/>
      <c r="S340" s="58"/>
      <c r="T340" s="58"/>
      <c r="U340" s="58"/>
    </row>
    <row r="341" spans="2:21" x14ac:dyDescent="0.15">
      <c r="B341" s="58"/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58"/>
      <c r="O341" s="58"/>
      <c r="P341" s="58"/>
      <c r="Q341" s="58"/>
      <c r="R341" s="58"/>
      <c r="S341" s="58"/>
      <c r="T341" s="58"/>
      <c r="U341" s="58"/>
    </row>
    <row r="342" spans="2:21" x14ac:dyDescent="0.15">
      <c r="B342" s="58"/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  <c r="N342" s="58"/>
      <c r="O342" s="58"/>
      <c r="P342" s="58"/>
      <c r="Q342" s="58"/>
      <c r="R342" s="58"/>
      <c r="S342" s="58"/>
      <c r="T342" s="58"/>
      <c r="U342" s="58"/>
    </row>
    <row r="343" spans="2:21" x14ac:dyDescent="0.15">
      <c r="B343" s="58"/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58"/>
      <c r="O343" s="58"/>
      <c r="P343" s="58"/>
      <c r="Q343" s="58"/>
      <c r="R343" s="58"/>
      <c r="S343" s="58"/>
      <c r="T343" s="58"/>
      <c r="U343" s="58"/>
    </row>
    <row r="344" spans="2:21" x14ac:dyDescent="0.15">
      <c r="B344" s="58"/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8"/>
      <c r="R344" s="58"/>
      <c r="S344" s="58"/>
      <c r="T344" s="58"/>
      <c r="U344" s="58"/>
    </row>
    <row r="345" spans="2:21" x14ac:dyDescent="0.15">
      <c r="B345" s="58"/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  <c r="N345" s="58"/>
      <c r="O345" s="58"/>
      <c r="P345" s="58"/>
      <c r="Q345" s="58"/>
      <c r="R345" s="58"/>
      <c r="S345" s="58"/>
      <c r="T345" s="58"/>
      <c r="U345" s="58"/>
    </row>
    <row r="346" spans="2:21" x14ac:dyDescent="0.15">
      <c r="B346" s="58"/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  <c r="N346" s="58"/>
      <c r="O346" s="58"/>
      <c r="P346" s="58"/>
      <c r="Q346" s="58"/>
      <c r="R346" s="58"/>
      <c r="S346" s="58"/>
      <c r="T346" s="58"/>
      <c r="U346" s="58"/>
    </row>
    <row r="347" spans="2:21" x14ac:dyDescent="0.15">
      <c r="B347" s="58"/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58"/>
      <c r="O347" s="58"/>
      <c r="P347" s="58"/>
      <c r="Q347" s="58"/>
      <c r="R347" s="58"/>
      <c r="S347" s="58"/>
      <c r="T347" s="58"/>
      <c r="U347" s="58"/>
    </row>
    <row r="348" spans="2:21" x14ac:dyDescent="0.15">
      <c r="B348" s="58"/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  <c r="N348" s="58"/>
      <c r="O348" s="58"/>
      <c r="P348" s="58"/>
      <c r="Q348" s="58"/>
      <c r="R348" s="58"/>
      <c r="S348" s="58"/>
      <c r="T348" s="58"/>
      <c r="U348" s="58"/>
    </row>
    <row r="349" spans="2:21" x14ac:dyDescent="0.15">
      <c r="B349" s="58"/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  <c r="N349" s="58"/>
      <c r="O349" s="58"/>
      <c r="P349" s="58"/>
      <c r="Q349" s="58"/>
      <c r="R349" s="58"/>
      <c r="S349" s="58"/>
      <c r="T349" s="58"/>
      <c r="U349" s="58"/>
    </row>
    <row r="350" spans="2:21" x14ac:dyDescent="0.15">
      <c r="B350" s="58"/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8"/>
      <c r="Q350" s="58"/>
      <c r="R350" s="58"/>
      <c r="S350" s="58"/>
      <c r="T350" s="58"/>
      <c r="U350" s="58"/>
    </row>
    <row r="351" spans="2:21" x14ac:dyDescent="0.15">
      <c r="B351" s="58"/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8"/>
      <c r="Q351" s="58"/>
      <c r="R351" s="58"/>
      <c r="S351" s="58"/>
      <c r="T351" s="58"/>
      <c r="U351" s="58"/>
    </row>
    <row r="352" spans="2:21" x14ac:dyDescent="0.15">
      <c r="B352" s="58"/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Q352" s="58"/>
      <c r="R352" s="58"/>
      <c r="S352" s="58"/>
      <c r="T352" s="58"/>
      <c r="U352" s="58"/>
    </row>
    <row r="353" spans="2:21" x14ac:dyDescent="0.15">
      <c r="B353" s="58"/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  <c r="N353" s="58"/>
      <c r="O353" s="58"/>
      <c r="P353" s="58"/>
      <c r="Q353" s="58"/>
      <c r="R353" s="58"/>
      <c r="S353" s="58"/>
      <c r="T353" s="58"/>
      <c r="U353" s="58"/>
    </row>
    <row r="354" spans="2:21" x14ac:dyDescent="0.15">
      <c r="B354" s="58"/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58"/>
      <c r="O354" s="58"/>
      <c r="P354" s="58"/>
      <c r="Q354" s="58"/>
      <c r="R354" s="58"/>
      <c r="S354" s="58"/>
      <c r="T354" s="58"/>
      <c r="U354" s="58"/>
    </row>
    <row r="355" spans="2:21" x14ac:dyDescent="0.15">
      <c r="B355" s="58"/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Q355" s="58"/>
      <c r="R355" s="58"/>
      <c r="S355" s="58"/>
      <c r="T355" s="58"/>
      <c r="U355" s="58"/>
    </row>
    <row r="356" spans="2:21" x14ac:dyDescent="0.15">
      <c r="B356" s="58"/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8"/>
      <c r="S356" s="58"/>
      <c r="T356" s="58"/>
      <c r="U356" s="58"/>
    </row>
    <row r="357" spans="2:21" x14ac:dyDescent="0.15">
      <c r="B357" s="58"/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8"/>
      <c r="Q357" s="58"/>
      <c r="R357" s="58"/>
      <c r="S357" s="58"/>
      <c r="T357" s="58"/>
      <c r="U357" s="58"/>
    </row>
    <row r="358" spans="2:21" x14ac:dyDescent="0.15">
      <c r="B358" s="58"/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8"/>
      <c r="Q358" s="58"/>
      <c r="R358" s="58"/>
      <c r="S358" s="58"/>
      <c r="T358" s="58"/>
      <c r="U358" s="58"/>
    </row>
    <row r="359" spans="2:21" x14ac:dyDescent="0.15">
      <c r="B359" s="58"/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  <c r="N359" s="58"/>
      <c r="O359" s="58"/>
      <c r="P359" s="58"/>
      <c r="Q359" s="58"/>
      <c r="R359" s="58"/>
      <c r="S359" s="58"/>
      <c r="T359" s="58"/>
      <c r="U359" s="58"/>
    </row>
    <row r="360" spans="2:21" x14ac:dyDescent="0.15">
      <c r="B360" s="58"/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8"/>
      <c r="R360" s="58"/>
      <c r="S360" s="58"/>
      <c r="T360" s="58"/>
      <c r="U360" s="58"/>
    </row>
    <row r="361" spans="2:21" x14ac:dyDescent="0.15">
      <c r="B361" s="58"/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Q361" s="58"/>
      <c r="R361" s="58"/>
      <c r="S361" s="58"/>
      <c r="T361" s="58"/>
      <c r="U361" s="58"/>
    </row>
    <row r="362" spans="2:21" x14ac:dyDescent="0.15">
      <c r="B362" s="58"/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/>
      <c r="S362" s="58"/>
      <c r="T362" s="58"/>
      <c r="U362" s="58"/>
    </row>
    <row r="363" spans="2:21" x14ac:dyDescent="0.15">
      <c r="B363" s="58"/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Q363" s="58"/>
      <c r="R363" s="58"/>
      <c r="S363" s="58"/>
      <c r="T363" s="58"/>
      <c r="U363" s="58"/>
    </row>
    <row r="364" spans="2:21" x14ac:dyDescent="0.15">
      <c r="B364" s="58"/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</row>
    <row r="365" spans="2:21" x14ac:dyDescent="0.15">
      <c r="B365" s="58"/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  <c r="N365" s="58"/>
      <c r="O365" s="58"/>
      <c r="P365" s="58"/>
      <c r="Q365" s="58"/>
      <c r="R365" s="58"/>
      <c r="S365" s="58"/>
      <c r="T365" s="58"/>
      <c r="U365" s="58"/>
    </row>
    <row r="366" spans="2:21" x14ac:dyDescent="0.15">
      <c r="B366" s="58"/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58"/>
      <c r="O366" s="58"/>
      <c r="P366" s="58"/>
      <c r="Q366" s="58"/>
      <c r="R366" s="58"/>
      <c r="S366" s="58"/>
      <c r="T366" s="58"/>
      <c r="U366" s="58"/>
    </row>
    <row r="367" spans="2:21" x14ac:dyDescent="0.15">
      <c r="B367" s="58"/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58"/>
      <c r="O367" s="58"/>
      <c r="P367" s="58"/>
      <c r="Q367" s="58"/>
      <c r="R367" s="58"/>
      <c r="S367" s="58"/>
      <c r="T367" s="58"/>
      <c r="U367" s="58"/>
    </row>
    <row r="368" spans="2:21" x14ac:dyDescent="0.15">
      <c r="B368" s="58"/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58"/>
      <c r="O368" s="58"/>
      <c r="P368" s="58"/>
      <c r="Q368" s="58"/>
      <c r="R368" s="58"/>
      <c r="S368" s="58"/>
      <c r="T368" s="58"/>
      <c r="U368" s="58"/>
    </row>
    <row r="369" spans="2:21" x14ac:dyDescent="0.15">
      <c r="B369" s="58"/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58"/>
      <c r="O369" s="58"/>
      <c r="P369" s="58"/>
      <c r="Q369" s="58"/>
      <c r="R369" s="58"/>
      <c r="S369" s="58"/>
      <c r="T369" s="58"/>
      <c r="U369" s="58"/>
    </row>
    <row r="370" spans="2:21" x14ac:dyDescent="0.15">
      <c r="B370" s="58"/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</row>
    <row r="371" spans="2:21" x14ac:dyDescent="0.15">
      <c r="B371" s="58"/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</row>
    <row r="372" spans="2:21" x14ac:dyDescent="0.15">
      <c r="B372" s="58"/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</row>
    <row r="373" spans="2:21" x14ac:dyDescent="0.15">
      <c r="B373" s="58"/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</row>
    <row r="374" spans="2:21" x14ac:dyDescent="0.15">
      <c r="B374" s="58"/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</row>
    <row r="375" spans="2:21" x14ac:dyDescent="0.15">
      <c r="B375" s="58"/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</row>
    <row r="376" spans="2:21" x14ac:dyDescent="0.15">
      <c r="B376" s="58"/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</row>
    <row r="377" spans="2:21" x14ac:dyDescent="0.15">
      <c r="B377" s="58"/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</row>
    <row r="378" spans="2:21" x14ac:dyDescent="0.15">
      <c r="B378" s="58"/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</row>
    <row r="379" spans="2:21" x14ac:dyDescent="0.15">
      <c r="B379" s="58"/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</row>
    <row r="380" spans="2:21" x14ac:dyDescent="0.15">
      <c r="B380" s="58"/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</row>
    <row r="381" spans="2:21" x14ac:dyDescent="0.15">
      <c r="B381" s="58"/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</row>
    <row r="382" spans="2:21" x14ac:dyDescent="0.15">
      <c r="B382" s="58"/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</row>
    <row r="383" spans="2:21" x14ac:dyDescent="0.15">
      <c r="B383" s="58"/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</row>
    <row r="384" spans="2:21" x14ac:dyDescent="0.15">
      <c r="B384" s="58"/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</row>
    <row r="385" spans="2:21" x14ac:dyDescent="0.15">
      <c r="B385" s="58"/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</row>
    <row r="386" spans="2:21" x14ac:dyDescent="0.15">
      <c r="B386" s="58"/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Q386" s="58"/>
      <c r="R386" s="58"/>
      <c r="S386" s="58"/>
      <c r="T386" s="58"/>
      <c r="U386" s="58"/>
    </row>
    <row r="387" spans="2:21" x14ac:dyDescent="0.15">
      <c r="B387" s="58"/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</row>
    <row r="388" spans="2:21" x14ac:dyDescent="0.15">
      <c r="B388" s="58"/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</row>
    <row r="389" spans="2:21" x14ac:dyDescent="0.15">
      <c r="B389" s="58"/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</row>
    <row r="390" spans="2:21" x14ac:dyDescent="0.15">
      <c r="B390" s="58"/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</row>
    <row r="391" spans="2:21" x14ac:dyDescent="0.15">
      <c r="B391" s="58"/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</row>
    <row r="392" spans="2:21" x14ac:dyDescent="0.15">
      <c r="B392" s="58"/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</row>
    <row r="393" spans="2:21" x14ac:dyDescent="0.15">
      <c r="B393" s="58"/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  <c r="N393" s="58"/>
      <c r="O393" s="58"/>
      <c r="P393" s="58"/>
      <c r="Q393" s="58"/>
      <c r="R393" s="58"/>
      <c r="S393" s="58"/>
      <c r="T393" s="58"/>
      <c r="U393" s="58"/>
    </row>
    <row r="394" spans="2:21" x14ac:dyDescent="0.15">
      <c r="B394" s="58"/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</row>
    <row r="395" spans="2:21" x14ac:dyDescent="0.15">
      <c r="B395" s="58"/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</row>
    <row r="396" spans="2:21" x14ac:dyDescent="0.15">
      <c r="B396" s="58"/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  <c r="N396" s="58"/>
      <c r="O396" s="58"/>
      <c r="P396" s="58"/>
      <c r="Q396" s="58"/>
      <c r="R396" s="58"/>
      <c r="S396" s="58"/>
      <c r="T396" s="58"/>
      <c r="U396" s="58"/>
    </row>
    <row r="397" spans="2:21" x14ac:dyDescent="0.15">
      <c r="B397" s="58"/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</row>
    <row r="398" spans="2:21" x14ac:dyDescent="0.15">
      <c r="B398" s="58"/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</row>
    <row r="399" spans="2:21" x14ac:dyDescent="0.15">
      <c r="B399" s="58"/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</row>
    <row r="400" spans="2:21" x14ac:dyDescent="0.15">
      <c r="B400" s="58"/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</row>
    <row r="401" spans="2:21" x14ac:dyDescent="0.15">
      <c r="B401" s="58"/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</row>
    <row r="402" spans="2:21" x14ac:dyDescent="0.15">
      <c r="B402" s="58"/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</row>
    <row r="403" spans="2:21" x14ac:dyDescent="0.15">
      <c r="B403" s="58"/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</row>
    <row r="404" spans="2:21" x14ac:dyDescent="0.15">
      <c r="B404" s="58"/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</row>
    <row r="405" spans="2:21" x14ac:dyDescent="0.15">
      <c r="B405" s="58"/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  <c r="N405" s="58"/>
      <c r="O405" s="58"/>
      <c r="P405" s="58"/>
      <c r="Q405" s="58"/>
      <c r="R405" s="58"/>
      <c r="S405" s="58"/>
      <c r="T405" s="58"/>
      <c r="U405" s="58"/>
    </row>
    <row r="406" spans="2:21" x14ac:dyDescent="0.15">
      <c r="B406" s="58"/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  <c r="N406" s="58"/>
      <c r="O406" s="58"/>
      <c r="P406" s="58"/>
      <c r="Q406" s="58"/>
      <c r="R406" s="58"/>
      <c r="S406" s="58"/>
      <c r="T406" s="58"/>
      <c r="U406" s="58"/>
    </row>
    <row r="407" spans="2:21" x14ac:dyDescent="0.15">
      <c r="B407" s="58"/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  <c r="N407" s="58"/>
      <c r="O407" s="58"/>
      <c r="P407" s="58"/>
      <c r="Q407" s="58"/>
      <c r="R407" s="58"/>
      <c r="S407" s="58"/>
      <c r="T407" s="58"/>
      <c r="U407" s="58"/>
    </row>
    <row r="408" spans="2:21" x14ac:dyDescent="0.15">
      <c r="B408" s="58"/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  <c r="N408" s="58"/>
      <c r="O408" s="58"/>
      <c r="P408" s="58"/>
      <c r="Q408" s="58"/>
      <c r="R408" s="58"/>
      <c r="S408" s="58"/>
      <c r="T408" s="58"/>
      <c r="U408" s="58"/>
    </row>
    <row r="409" spans="2:21" x14ac:dyDescent="0.15">
      <c r="B409" s="58"/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  <c r="N409" s="58"/>
      <c r="O409" s="58"/>
      <c r="P409" s="58"/>
      <c r="Q409" s="58"/>
      <c r="R409" s="58"/>
      <c r="S409" s="58"/>
      <c r="T409" s="58"/>
      <c r="U409" s="58"/>
    </row>
    <row r="410" spans="2:21" x14ac:dyDescent="0.15">
      <c r="B410" s="58"/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  <c r="N410" s="58"/>
      <c r="O410" s="58"/>
      <c r="P410" s="58"/>
      <c r="Q410" s="58"/>
      <c r="R410" s="58"/>
      <c r="S410" s="58"/>
      <c r="T410" s="58"/>
      <c r="U410" s="58"/>
    </row>
    <row r="411" spans="2:21" x14ac:dyDescent="0.15">
      <c r="B411" s="58"/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  <c r="N411" s="58"/>
      <c r="O411" s="58"/>
      <c r="P411" s="58"/>
      <c r="Q411" s="58"/>
      <c r="R411" s="58"/>
      <c r="S411" s="58"/>
      <c r="T411" s="58"/>
      <c r="U411" s="58"/>
    </row>
    <row r="412" spans="2:21" x14ac:dyDescent="0.15">
      <c r="B412" s="58"/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  <c r="N412" s="58"/>
      <c r="O412" s="58"/>
      <c r="P412" s="58"/>
      <c r="Q412" s="58"/>
      <c r="R412" s="58"/>
      <c r="S412" s="58"/>
      <c r="T412" s="58"/>
      <c r="U412" s="58"/>
    </row>
    <row r="413" spans="2:21" x14ac:dyDescent="0.15">
      <c r="B413" s="58"/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  <c r="N413" s="58"/>
      <c r="O413" s="58"/>
      <c r="P413" s="58"/>
      <c r="Q413" s="58"/>
      <c r="R413" s="58"/>
      <c r="S413" s="58"/>
      <c r="T413" s="58"/>
      <c r="U413" s="58"/>
    </row>
    <row r="414" spans="2:21" x14ac:dyDescent="0.15">
      <c r="B414" s="58"/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  <c r="N414" s="58"/>
      <c r="O414" s="58"/>
      <c r="P414" s="58"/>
      <c r="Q414" s="58"/>
      <c r="R414" s="58"/>
      <c r="S414" s="58"/>
      <c r="T414" s="58"/>
      <c r="U414" s="58"/>
    </row>
    <row r="415" spans="2:21" x14ac:dyDescent="0.15">
      <c r="B415" s="58"/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  <c r="N415" s="58"/>
      <c r="O415" s="58"/>
      <c r="P415" s="58"/>
      <c r="Q415" s="58"/>
      <c r="R415" s="58"/>
      <c r="S415" s="58"/>
      <c r="T415" s="58"/>
      <c r="U415" s="58"/>
    </row>
    <row r="416" spans="2:21" x14ac:dyDescent="0.15">
      <c r="B416" s="58"/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  <c r="N416" s="58"/>
      <c r="O416" s="58"/>
      <c r="P416" s="58"/>
      <c r="Q416" s="58"/>
      <c r="R416" s="58"/>
      <c r="S416" s="58"/>
      <c r="T416" s="58"/>
      <c r="U416" s="58"/>
    </row>
    <row r="417" spans="2:21" x14ac:dyDescent="0.15">
      <c r="B417" s="58"/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  <c r="N417" s="58"/>
      <c r="O417" s="58"/>
      <c r="P417" s="58"/>
      <c r="Q417" s="58"/>
      <c r="R417" s="58"/>
      <c r="S417" s="58"/>
      <c r="T417" s="58"/>
      <c r="U417" s="58"/>
    </row>
    <row r="418" spans="2:21" x14ac:dyDescent="0.15">
      <c r="B418" s="58"/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  <c r="N418" s="58"/>
      <c r="O418" s="58"/>
      <c r="P418" s="58"/>
      <c r="Q418" s="58"/>
      <c r="R418" s="58"/>
      <c r="S418" s="58"/>
      <c r="T418" s="58"/>
      <c r="U418" s="58"/>
    </row>
    <row r="419" spans="2:21" x14ac:dyDescent="0.15">
      <c r="B419" s="58"/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  <c r="S419" s="58"/>
      <c r="T419" s="58"/>
      <c r="U419" s="58"/>
    </row>
    <row r="420" spans="2:21" x14ac:dyDescent="0.15">
      <c r="B420" s="58"/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58"/>
      <c r="O420" s="58"/>
      <c r="P420" s="58"/>
      <c r="Q420" s="58"/>
      <c r="R420" s="58"/>
      <c r="S420" s="58"/>
      <c r="T420" s="58"/>
      <c r="U420" s="58"/>
    </row>
    <row r="421" spans="2:21" x14ac:dyDescent="0.15">
      <c r="B421" s="58"/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  <c r="N421" s="58"/>
      <c r="O421" s="58"/>
      <c r="P421" s="58"/>
      <c r="Q421" s="58"/>
      <c r="R421" s="58"/>
      <c r="S421" s="58"/>
      <c r="T421" s="58"/>
      <c r="U421" s="58"/>
    </row>
    <row r="422" spans="2:21" x14ac:dyDescent="0.15">
      <c r="B422" s="58"/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  <c r="N422" s="58"/>
      <c r="O422" s="58"/>
      <c r="P422" s="58"/>
      <c r="Q422" s="58"/>
      <c r="R422" s="58"/>
      <c r="S422" s="58"/>
      <c r="T422" s="58"/>
      <c r="U422" s="58"/>
    </row>
    <row r="423" spans="2:21" x14ac:dyDescent="0.15">
      <c r="B423" s="58"/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  <c r="N423" s="58"/>
      <c r="O423" s="58"/>
      <c r="P423" s="58"/>
      <c r="Q423" s="58"/>
      <c r="R423" s="58"/>
      <c r="S423" s="58"/>
      <c r="T423" s="58"/>
      <c r="U423" s="58"/>
    </row>
    <row r="424" spans="2:21" x14ac:dyDescent="0.15">
      <c r="B424" s="58"/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  <c r="N424" s="58"/>
      <c r="O424" s="58"/>
      <c r="P424" s="58"/>
      <c r="Q424" s="58"/>
      <c r="R424" s="58"/>
      <c r="S424" s="58"/>
      <c r="T424" s="58"/>
      <c r="U424" s="58"/>
    </row>
    <row r="425" spans="2:21" x14ac:dyDescent="0.15">
      <c r="B425" s="58"/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  <c r="N425" s="58"/>
      <c r="O425" s="58"/>
      <c r="P425" s="58"/>
      <c r="Q425" s="58"/>
      <c r="R425" s="58"/>
      <c r="S425" s="58"/>
      <c r="T425" s="58"/>
      <c r="U425" s="58"/>
    </row>
    <row r="426" spans="2:21" x14ac:dyDescent="0.15">
      <c r="B426" s="58"/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  <c r="N426" s="58"/>
      <c r="O426" s="58"/>
      <c r="P426" s="58"/>
      <c r="Q426" s="58"/>
      <c r="R426" s="58"/>
      <c r="S426" s="58"/>
      <c r="T426" s="58"/>
      <c r="U426" s="58"/>
    </row>
    <row r="427" spans="2:21" x14ac:dyDescent="0.15">
      <c r="B427" s="58"/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  <c r="N427" s="58"/>
      <c r="O427" s="58"/>
      <c r="P427" s="58"/>
      <c r="Q427" s="58"/>
      <c r="R427" s="58"/>
      <c r="S427" s="58"/>
      <c r="T427" s="58"/>
      <c r="U427" s="58"/>
    </row>
    <row r="428" spans="2:21" x14ac:dyDescent="0.15">
      <c r="B428" s="58"/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  <c r="N428" s="58"/>
      <c r="O428" s="58"/>
      <c r="P428" s="58"/>
      <c r="Q428" s="58"/>
      <c r="R428" s="58"/>
      <c r="S428" s="58"/>
      <c r="T428" s="58"/>
      <c r="U428" s="58"/>
    </row>
    <row r="429" spans="2:21" x14ac:dyDescent="0.15">
      <c r="B429" s="58"/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  <c r="N429" s="58"/>
      <c r="O429" s="58"/>
      <c r="P429" s="58"/>
      <c r="Q429" s="58"/>
      <c r="R429" s="58"/>
      <c r="S429" s="58"/>
      <c r="T429" s="58"/>
      <c r="U429" s="58"/>
    </row>
    <row r="430" spans="2:21" x14ac:dyDescent="0.15">
      <c r="B430" s="58"/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  <c r="N430" s="58"/>
      <c r="O430" s="58"/>
      <c r="P430" s="58"/>
      <c r="Q430" s="58"/>
      <c r="R430" s="58"/>
      <c r="S430" s="58"/>
      <c r="T430" s="58"/>
      <c r="U430" s="58"/>
    </row>
    <row r="431" spans="2:21" x14ac:dyDescent="0.15">
      <c r="B431" s="58"/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</row>
    <row r="432" spans="2:21" x14ac:dyDescent="0.15">
      <c r="B432" s="58"/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  <c r="N432" s="58"/>
      <c r="O432" s="58"/>
      <c r="P432" s="58"/>
      <c r="Q432" s="58"/>
      <c r="R432" s="58"/>
      <c r="S432" s="58"/>
      <c r="T432" s="58"/>
      <c r="U432" s="58"/>
    </row>
    <row r="433" spans="2:21" x14ac:dyDescent="0.15">
      <c r="B433" s="58"/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  <c r="N433" s="58"/>
      <c r="O433" s="58"/>
      <c r="P433" s="58"/>
      <c r="Q433" s="58"/>
      <c r="R433" s="58"/>
      <c r="S433" s="58"/>
      <c r="T433" s="58"/>
      <c r="U433" s="58"/>
    </row>
    <row r="434" spans="2:21" x14ac:dyDescent="0.15">
      <c r="B434" s="58"/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  <c r="N434" s="58"/>
      <c r="O434" s="58"/>
      <c r="P434" s="58"/>
      <c r="Q434" s="58"/>
      <c r="R434" s="58"/>
      <c r="S434" s="58"/>
      <c r="T434" s="58"/>
      <c r="U434" s="58"/>
    </row>
    <row r="435" spans="2:21" x14ac:dyDescent="0.15">
      <c r="B435" s="58"/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58"/>
    </row>
    <row r="436" spans="2:21" x14ac:dyDescent="0.15">
      <c r="B436" s="58"/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</row>
    <row r="437" spans="2:21" x14ac:dyDescent="0.15">
      <c r="B437" s="58"/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  <c r="N437" s="58"/>
      <c r="O437" s="58"/>
      <c r="P437" s="58"/>
      <c r="Q437" s="58"/>
      <c r="R437" s="58"/>
      <c r="S437" s="58"/>
      <c r="T437" s="58"/>
      <c r="U437" s="58"/>
    </row>
    <row r="438" spans="2:21" x14ac:dyDescent="0.15">
      <c r="B438" s="58"/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  <c r="N438" s="58"/>
      <c r="O438" s="58"/>
      <c r="P438" s="58"/>
      <c r="Q438" s="58"/>
      <c r="R438" s="58"/>
      <c r="S438" s="58"/>
      <c r="T438" s="58"/>
      <c r="U438" s="58"/>
    </row>
    <row r="439" spans="2:21" x14ac:dyDescent="0.15">
      <c r="B439" s="58"/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  <c r="N439" s="58"/>
      <c r="O439" s="58"/>
      <c r="P439" s="58"/>
      <c r="Q439" s="58"/>
      <c r="R439" s="58"/>
      <c r="S439" s="58"/>
      <c r="T439" s="58"/>
      <c r="U439" s="58"/>
    </row>
    <row r="440" spans="2:21" x14ac:dyDescent="0.15">
      <c r="B440" s="58"/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</row>
    <row r="441" spans="2:21" x14ac:dyDescent="0.15">
      <c r="B441" s="58"/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</row>
    <row r="442" spans="2:21" x14ac:dyDescent="0.15">
      <c r="B442" s="58"/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  <c r="N442" s="58"/>
      <c r="O442" s="58"/>
      <c r="P442" s="58"/>
      <c r="Q442" s="58"/>
      <c r="R442" s="58"/>
      <c r="S442" s="58"/>
      <c r="T442" s="58"/>
      <c r="U442" s="58"/>
    </row>
    <row r="443" spans="2:21" x14ac:dyDescent="0.15">
      <c r="B443" s="58"/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  <c r="N443" s="58"/>
      <c r="O443" s="58"/>
      <c r="P443" s="58"/>
      <c r="Q443" s="58"/>
      <c r="R443" s="58"/>
      <c r="S443" s="58"/>
      <c r="T443" s="58"/>
      <c r="U443" s="58"/>
    </row>
    <row r="444" spans="2:21" x14ac:dyDescent="0.15">
      <c r="B444" s="58"/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</row>
    <row r="445" spans="2:21" x14ac:dyDescent="0.15">
      <c r="B445" s="58"/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  <c r="N445" s="58"/>
      <c r="O445" s="58"/>
      <c r="P445" s="58"/>
      <c r="Q445" s="58"/>
      <c r="R445" s="58"/>
      <c r="S445" s="58"/>
      <c r="T445" s="58"/>
      <c r="U445" s="58"/>
    </row>
    <row r="446" spans="2:21" x14ac:dyDescent="0.15">
      <c r="B446" s="58"/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</row>
    <row r="447" spans="2:21" x14ac:dyDescent="0.15">
      <c r="B447" s="58"/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  <c r="N447" s="58"/>
      <c r="O447" s="58"/>
      <c r="P447" s="58"/>
      <c r="Q447" s="58"/>
      <c r="R447" s="58"/>
      <c r="S447" s="58"/>
      <c r="T447" s="58"/>
      <c r="U447" s="58"/>
    </row>
    <row r="448" spans="2:21" x14ac:dyDescent="0.15">
      <c r="B448" s="58"/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</row>
    <row r="449" spans="2:21" x14ac:dyDescent="0.15">
      <c r="B449" s="58"/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</row>
    <row r="450" spans="2:21" x14ac:dyDescent="0.15">
      <c r="B450" s="58"/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  <c r="N450" s="58"/>
      <c r="O450" s="58"/>
      <c r="P450" s="58"/>
      <c r="Q450" s="58"/>
      <c r="R450" s="58"/>
      <c r="S450" s="58"/>
      <c r="T450" s="58"/>
      <c r="U450" s="58"/>
    </row>
    <row r="451" spans="2:21" x14ac:dyDescent="0.15">
      <c r="B451" s="58"/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  <c r="N451" s="58"/>
      <c r="O451" s="58"/>
      <c r="P451" s="58"/>
      <c r="Q451" s="58"/>
      <c r="R451" s="58"/>
      <c r="S451" s="58"/>
      <c r="T451" s="58"/>
      <c r="U451" s="58"/>
    </row>
    <row r="452" spans="2:21" x14ac:dyDescent="0.15">
      <c r="B452" s="58"/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  <c r="N452" s="58"/>
      <c r="O452" s="58"/>
      <c r="P452" s="58"/>
      <c r="Q452" s="58"/>
      <c r="R452" s="58"/>
      <c r="S452" s="58"/>
      <c r="T452" s="58"/>
      <c r="U452" s="58"/>
    </row>
    <row r="453" spans="2:21" x14ac:dyDescent="0.15">
      <c r="B453" s="58"/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</row>
    <row r="454" spans="2:21" x14ac:dyDescent="0.15">
      <c r="B454" s="58"/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  <c r="N454" s="58"/>
      <c r="O454" s="58"/>
      <c r="P454" s="58"/>
      <c r="Q454" s="58"/>
      <c r="R454" s="58"/>
      <c r="S454" s="58"/>
      <c r="T454" s="58"/>
      <c r="U454" s="58"/>
    </row>
    <row r="455" spans="2:21" x14ac:dyDescent="0.15">
      <c r="B455" s="58"/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  <c r="N455" s="58"/>
      <c r="O455" s="58"/>
      <c r="P455" s="58"/>
      <c r="Q455" s="58"/>
      <c r="R455" s="58"/>
      <c r="S455" s="58"/>
      <c r="T455" s="58"/>
      <c r="U455" s="58"/>
    </row>
    <row r="456" spans="2:21" x14ac:dyDescent="0.15">
      <c r="B456" s="58"/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  <c r="N456" s="58"/>
      <c r="O456" s="58"/>
      <c r="P456" s="58"/>
      <c r="Q456" s="58"/>
      <c r="R456" s="58"/>
      <c r="S456" s="58"/>
      <c r="T456" s="58"/>
      <c r="U456" s="58"/>
    </row>
    <row r="457" spans="2:21" x14ac:dyDescent="0.15">
      <c r="B457" s="58"/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  <c r="N457" s="58"/>
      <c r="O457" s="58"/>
      <c r="P457" s="58"/>
      <c r="Q457" s="58"/>
      <c r="R457" s="58"/>
      <c r="S457" s="58"/>
      <c r="T457" s="58"/>
      <c r="U457" s="58"/>
    </row>
    <row r="458" spans="2:21" x14ac:dyDescent="0.15">
      <c r="B458" s="58"/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</row>
    <row r="459" spans="2:21" x14ac:dyDescent="0.15">
      <c r="B459" s="58"/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  <c r="N459" s="58"/>
      <c r="O459" s="58"/>
      <c r="P459" s="58"/>
      <c r="Q459" s="58"/>
      <c r="R459" s="58"/>
      <c r="S459" s="58"/>
      <c r="T459" s="58"/>
      <c r="U459" s="58"/>
    </row>
    <row r="460" spans="2:21" x14ac:dyDescent="0.15">
      <c r="B460" s="58"/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  <c r="N460" s="58"/>
      <c r="O460" s="58"/>
      <c r="P460" s="58"/>
      <c r="Q460" s="58"/>
      <c r="R460" s="58"/>
      <c r="S460" s="58"/>
      <c r="T460" s="58"/>
      <c r="U460" s="58"/>
    </row>
    <row r="461" spans="2:21" x14ac:dyDescent="0.15">
      <c r="B461" s="58"/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  <c r="N461" s="58"/>
      <c r="O461" s="58"/>
      <c r="P461" s="58"/>
      <c r="Q461" s="58"/>
      <c r="R461" s="58"/>
      <c r="S461" s="58"/>
      <c r="T461" s="58"/>
      <c r="U461" s="58"/>
    </row>
    <row r="462" spans="2:21" x14ac:dyDescent="0.15">
      <c r="B462" s="58"/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</row>
    <row r="463" spans="2:21" x14ac:dyDescent="0.15">
      <c r="B463" s="58"/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  <c r="N463" s="58"/>
      <c r="O463" s="58"/>
      <c r="P463" s="58"/>
      <c r="Q463" s="58"/>
      <c r="R463" s="58"/>
      <c r="S463" s="58"/>
      <c r="T463" s="58"/>
      <c r="U463" s="58"/>
    </row>
    <row r="464" spans="2:21" x14ac:dyDescent="0.15">
      <c r="B464" s="58"/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  <c r="N464" s="58"/>
      <c r="O464" s="58"/>
      <c r="P464" s="58"/>
      <c r="Q464" s="58"/>
      <c r="R464" s="58"/>
      <c r="S464" s="58"/>
      <c r="T464" s="58"/>
      <c r="U464" s="58"/>
    </row>
    <row r="465" spans="2:21" x14ac:dyDescent="0.15">
      <c r="B465" s="58"/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</row>
    <row r="466" spans="2:21" x14ac:dyDescent="0.15">
      <c r="B466" s="58"/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  <c r="N466" s="58"/>
      <c r="O466" s="58"/>
      <c r="P466" s="58"/>
      <c r="Q466" s="58"/>
      <c r="R466" s="58"/>
      <c r="S466" s="58"/>
      <c r="T466" s="58"/>
      <c r="U466" s="58"/>
    </row>
    <row r="467" spans="2:21" x14ac:dyDescent="0.15">
      <c r="B467" s="58"/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  <c r="N467" s="58"/>
      <c r="O467" s="58"/>
      <c r="P467" s="58"/>
      <c r="Q467" s="58"/>
      <c r="R467" s="58"/>
      <c r="S467" s="58"/>
      <c r="T467" s="58"/>
      <c r="U467" s="58"/>
    </row>
    <row r="468" spans="2:21" x14ac:dyDescent="0.15">
      <c r="B468" s="58"/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</row>
    <row r="469" spans="2:21" x14ac:dyDescent="0.15">
      <c r="B469" s="58"/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58"/>
    </row>
    <row r="470" spans="2:21" x14ac:dyDescent="0.15">
      <c r="B470" s="58"/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58"/>
    </row>
    <row r="471" spans="2:21" x14ac:dyDescent="0.15">
      <c r="B471" s="58"/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  <c r="N471" s="58"/>
      <c r="O471" s="58"/>
      <c r="P471" s="58"/>
      <c r="Q471" s="58"/>
      <c r="R471" s="58"/>
      <c r="S471" s="58"/>
      <c r="T471" s="58"/>
      <c r="U471" s="58"/>
    </row>
    <row r="472" spans="2:21" x14ac:dyDescent="0.15">
      <c r="B472" s="58"/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</row>
    <row r="473" spans="2:21" x14ac:dyDescent="0.15">
      <c r="B473" s="58"/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  <c r="N473" s="58"/>
      <c r="O473" s="58"/>
      <c r="P473" s="58"/>
      <c r="Q473" s="58"/>
      <c r="R473" s="58"/>
      <c r="S473" s="58"/>
      <c r="T473" s="58"/>
      <c r="U473" s="58"/>
    </row>
    <row r="474" spans="2:21" x14ac:dyDescent="0.15">
      <c r="B474" s="58"/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  <c r="N474" s="58"/>
      <c r="O474" s="58"/>
      <c r="P474" s="58"/>
      <c r="Q474" s="58"/>
      <c r="R474" s="58"/>
      <c r="S474" s="58"/>
      <c r="T474" s="58"/>
      <c r="U474" s="58"/>
    </row>
    <row r="475" spans="2:21" x14ac:dyDescent="0.15">
      <c r="B475" s="58"/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  <c r="N475" s="58"/>
      <c r="O475" s="58"/>
      <c r="P475" s="58"/>
      <c r="Q475" s="58"/>
      <c r="R475" s="58"/>
      <c r="S475" s="58"/>
      <c r="T475" s="58"/>
      <c r="U475" s="58"/>
    </row>
    <row r="476" spans="2:21" x14ac:dyDescent="0.15">
      <c r="B476" s="58"/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  <c r="N476" s="58"/>
      <c r="O476" s="58"/>
      <c r="P476" s="58"/>
      <c r="Q476" s="58"/>
      <c r="R476" s="58"/>
      <c r="S476" s="58"/>
      <c r="T476" s="58"/>
      <c r="U476" s="58"/>
    </row>
    <row r="477" spans="2:21" x14ac:dyDescent="0.15">
      <c r="B477" s="58"/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</row>
    <row r="478" spans="2:21" x14ac:dyDescent="0.15">
      <c r="B478" s="58"/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</row>
    <row r="479" spans="2:21" x14ac:dyDescent="0.15">
      <c r="B479" s="58"/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</row>
    <row r="480" spans="2:21" x14ac:dyDescent="0.15">
      <c r="B480" s="58"/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</row>
    <row r="481" spans="2:21" x14ac:dyDescent="0.15">
      <c r="B481" s="58"/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</row>
    <row r="482" spans="2:21" x14ac:dyDescent="0.15">
      <c r="B482" s="58"/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</row>
    <row r="483" spans="2:21" x14ac:dyDescent="0.15">
      <c r="B483" s="58"/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</row>
    <row r="484" spans="2:21" x14ac:dyDescent="0.15">
      <c r="B484" s="58"/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</row>
    <row r="485" spans="2:21" x14ac:dyDescent="0.15">
      <c r="B485" s="58"/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  <c r="N485" s="58"/>
      <c r="O485" s="58"/>
      <c r="P485" s="58"/>
      <c r="Q485" s="58"/>
      <c r="R485" s="58"/>
      <c r="S485" s="58"/>
      <c r="T485" s="58"/>
      <c r="U485" s="58"/>
    </row>
    <row r="486" spans="2:21" x14ac:dyDescent="0.15">
      <c r="B486" s="58"/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  <c r="N486" s="58"/>
      <c r="O486" s="58"/>
      <c r="P486" s="58"/>
      <c r="Q486" s="58"/>
      <c r="R486" s="58"/>
      <c r="S486" s="58"/>
      <c r="T486" s="58"/>
      <c r="U486" s="58"/>
    </row>
    <row r="487" spans="2:21" x14ac:dyDescent="0.15">
      <c r="B487" s="58"/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58"/>
    </row>
    <row r="488" spans="2:21" x14ac:dyDescent="0.15">
      <c r="B488" s="58"/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  <c r="N488" s="58"/>
      <c r="O488" s="58"/>
      <c r="P488" s="58"/>
      <c r="Q488" s="58"/>
      <c r="R488" s="58"/>
      <c r="S488" s="58"/>
      <c r="T488" s="58"/>
      <c r="U488" s="58"/>
    </row>
    <row r="489" spans="2:21" x14ac:dyDescent="0.15">
      <c r="B489" s="58"/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  <c r="N489" s="58"/>
      <c r="O489" s="58"/>
      <c r="P489" s="58"/>
      <c r="Q489" s="58"/>
      <c r="R489" s="58"/>
      <c r="S489" s="58"/>
      <c r="T489" s="58"/>
      <c r="U489" s="58"/>
    </row>
    <row r="490" spans="2:21" x14ac:dyDescent="0.15">
      <c r="B490" s="58"/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  <c r="N490" s="58"/>
      <c r="O490" s="58"/>
      <c r="P490" s="58"/>
      <c r="Q490" s="58"/>
      <c r="R490" s="58"/>
      <c r="S490" s="58"/>
      <c r="T490" s="58"/>
      <c r="U490" s="58"/>
    </row>
    <row r="491" spans="2:21" x14ac:dyDescent="0.15">
      <c r="B491" s="58"/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  <c r="N491" s="58"/>
      <c r="O491" s="58"/>
      <c r="P491" s="58"/>
      <c r="Q491" s="58"/>
      <c r="R491" s="58"/>
      <c r="S491" s="58"/>
      <c r="T491" s="58"/>
      <c r="U491" s="58"/>
    </row>
    <row r="492" spans="2:21" x14ac:dyDescent="0.15">
      <c r="B492" s="58"/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</row>
    <row r="493" spans="2:21" x14ac:dyDescent="0.15">
      <c r="B493" s="58"/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58"/>
      <c r="O493" s="58"/>
      <c r="P493" s="58"/>
      <c r="Q493" s="58"/>
      <c r="R493" s="58"/>
      <c r="S493" s="58"/>
      <c r="T493" s="58"/>
      <c r="U493" s="58"/>
    </row>
    <row r="494" spans="2:21" x14ac:dyDescent="0.15">
      <c r="B494" s="58"/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58"/>
      <c r="O494" s="58"/>
      <c r="P494" s="58"/>
      <c r="Q494" s="58"/>
      <c r="R494" s="58"/>
      <c r="S494" s="58"/>
      <c r="T494" s="58"/>
      <c r="U494" s="58"/>
    </row>
    <row r="495" spans="2:21" x14ac:dyDescent="0.15">
      <c r="B495" s="58"/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  <c r="N495" s="58"/>
      <c r="O495" s="58"/>
      <c r="P495" s="58"/>
      <c r="Q495" s="58"/>
      <c r="R495" s="58"/>
      <c r="S495" s="58"/>
      <c r="T495" s="58"/>
      <c r="U495" s="58"/>
    </row>
    <row r="496" spans="2:21" x14ac:dyDescent="0.15">
      <c r="B496" s="58"/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  <c r="N496" s="58"/>
      <c r="O496" s="58"/>
      <c r="P496" s="58"/>
      <c r="Q496" s="58"/>
      <c r="R496" s="58"/>
      <c r="S496" s="58"/>
      <c r="T496" s="58"/>
      <c r="U496" s="58"/>
    </row>
    <row r="497" spans="2:21" x14ac:dyDescent="0.15">
      <c r="B497" s="58"/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</row>
    <row r="498" spans="2:21" x14ac:dyDescent="0.15">
      <c r="B498" s="58"/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  <c r="N498" s="58"/>
      <c r="O498" s="58"/>
      <c r="P498" s="58"/>
      <c r="Q498" s="58"/>
      <c r="R498" s="58"/>
      <c r="S498" s="58"/>
      <c r="T498" s="58"/>
      <c r="U498" s="58"/>
    </row>
    <row r="499" spans="2:21" x14ac:dyDescent="0.15">
      <c r="B499" s="58"/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  <c r="N499" s="58"/>
      <c r="O499" s="58"/>
      <c r="P499" s="58"/>
      <c r="Q499" s="58"/>
      <c r="R499" s="58"/>
      <c r="S499" s="58"/>
      <c r="T499" s="58"/>
      <c r="U499" s="58"/>
    </row>
    <row r="500" spans="2:21" x14ac:dyDescent="0.15">
      <c r="B500" s="58"/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  <c r="N500" s="58"/>
      <c r="O500" s="58"/>
      <c r="P500" s="58"/>
      <c r="Q500" s="58"/>
      <c r="R500" s="58"/>
      <c r="S500" s="58"/>
      <c r="T500" s="58"/>
      <c r="U500" s="58"/>
    </row>
    <row r="501" spans="2:21" x14ac:dyDescent="0.15">
      <c r="B501" s="58"/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  <c r="N501" s="58"/>
      <c r="O501" s="58"/>
      <c r="P501" s="58"/>
      <c r="Q501" s="58"/>
      <c r="R501" s="58"/>
      <c r="S501" s="58"/>
      <c r="T501" s="58"/>
      <c r="U501" s="58"/>
    </row>
    <row r="502" spans="2:21" x14ac:dyDescent="0.15">
      <c r="B502" s="58"/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  <c r="N502" s="58"/>
      <c r="O502" s="58"/>
      <c r="P502" s="58"/>
      <c r="Q502" s="58"/>
      <c r="R502" s="58"/>
      <c r="S502" s="58"/>
      <c r="T502" s="58"/>
      <c r="U502" s="58"/>
    </row>
    <row r="503" spans="2:21" x14ac:dyDescent="0.15">
      <c r="B503" s="58"/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  <c r="N503" s="58"/>
      <c r="O503" s="58"/>
      <c r="P503" s="58"/>
      <c r="Q503" s="58"/>
      <c r="R503" s="58"/>
      <c r="S503" s="58"/>
      <c r="T503" s="58"/>
      <c r="U503" s="58"/>
    </row>
    <row r="504" spans="2:21" x14ac:dyDescent="0.15">
      <c r="B504" s="58"/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  <c r="N504" s="58"/>
      <c r="O504" s="58"/>
      <c r="P504" s="58"/>
      <c r="Q504" s="58"/>
      <c r="R504" s="58"/>
      <c r="S504" s="58"/>
      <c r="T504" s="58"/>
      <c r="U504" s="58"/>
    </row>
    <row r="505" spans="2:21" x14ac:dyDescent="0.15">
      <c r="B505" s="58"/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  <c r="N505" s="58"/>
      <c r="O505" s="58"/>
      <c r="P505" s="58"/>
      <c r="Q505" s="58"/>
      <c r="R505" s="58"/>
      <c r="S505" s="58"/>
      <c r="T505" s="58"/>
      <c r="U505" s="58"/>
    </row>
    <row r="506" spans="2:21" x14ac:dyDescent="0.15">
      <c r="B506" s="58"/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  <c r="N506" s="58"/>
      <c r="O506" s="58"/>
      <c r="P506" s="58"/>
      <c r="Q506" s="58"/>
      <c r="R506" s="58"/>
      <c r="S506" s="58"/>
      <c r="T506" s="58"/>
      <c r="U506" s="58"/>
    </row>
    <row r="507" spans="2:21" x14ac:dyDescent="0.15">
      <c r="B507" s="58"/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  <c r="N507" s="58"/>
      <c r="O507" s="58"/>
      <c r="P507" s="58"/>
      <c r="Q507" s="58"/>
      <c r="R507" s="58"/>
      <c r="S507" s="58"/>
      <c r="T507" s="58"/>
      <c r="U507" s="58"/>
    </row>
    <row r="508" spans="2:21" x14ac:dyDescent="0.15">
      <c r="B508" s="58"/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  <c r="N508" s="58"/>
      <c r="O508" s="58"/>
      <c r="P508" s="58"/>
      <c r="Q508" s="58"/>
      <c r="R508" s="58"/>
      <c r="S508" s="58"/>
      <c r="T508" s="58"/>
      <c r="U508" s="58"/>
    </row>
    <row r="509" spans="2:21" x14ac:dyDescent="0.15">
      <c r="B509" s="58"/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  <c r="N509" s="58"/>
      <c r="O509" s="58"/>
      <c r="P509" s="58"/>
      <c r="Q509" s="58"/>
      <c r="R509" s="58"/>
      <c r="S509" s="58"/>
      <c r="T509" s="58"/>
      <c r="U509" s="58"/>
    </row>
    <row r="510" spans="2:21" x14ac:dyDescent="0.15">
      <c r="B510" s="58"/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</row>
    <row r="511" spans="2:21" x14ac:dyDescent="0.15">
      <c r="B511" s="58"/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  <c r="N511" s="58"/>
      <c r="O511" s="58"/>
      <c r="P511" s="58"/>
      <c r="Q511" s="58"/>
      <c r="R511" s="58"/>
      <c r="S511" s="58"/>
      <c r="T511" s="58"/>
      <c r="U511" s="58"/>
    </row>
    <row r="512" spans="2:21" x14ac:dyDescent="0.15">
      <c r="B512" s="58"/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  <c r="N512" s="58"/>
      <c r="O512" s="58"/>
      <c r="P512" s="58"/>
      <c r="Q512" s="58"/>
      <c r="R512" s="58"/>
      <c r="S512" s="58"/>
      <c r="T512" s="58"/>
      <c r="U512" s="58"/>
    </row>
    <row r="513" spans="2:21" x14ac:dyDescent="0.15">
      <c r="B513" s="58"/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</row>
    <row r="514" spans="2:21" x14ac:dyDescent="0.15">
      <c r="B514" s="58"/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  <c r="N514" s="58"/>
      <c r="O514" s="58"/>
      <c r="P514" s="58"/>
      <c r="Q514" s="58"/>
      <c r="R514" s="58"/>
      <c r="S514" s="58"/>
      <c r="T514" s="58"/>
      <c r="U514" s="58"/>
    </row>
    <row r="515" spans="2:21" x14ac:dyDescent="0.15">
      <c r="B515" s="58"/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  <c r="N515" s="58"/>
      <c r="O515" s="58"/>
      <c r="P515" s="58"/>
      <c r="Q515" s="58"/>
      <c r="R515" s="58"/>
      <c r="S515" s="58"/>
      <c r="T515" s="58"/>
      <c r="U515" s="58"/>
    </row>
    <row r="516" spans="2:21" x14ac:dyDescent="0.15">
      <c r="B516" s="58"/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</row>
    <row r="517" spans="2:21" x14ac:dyDescent="0.15">
      <c r="B517" s="58"/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</row>
    <row r="518" spans="2:21" x14ac:dyDescent="0.15">
      <c r="B518" s="58"/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</row>
    <row r="519" spans="2:21" x14ac:dyDescent="0.15">
      <c r="B519" s="58"/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  <c r="N519" s="58"/>
      <c r="O519" s="58"/>
      <c r="P519" s="58"/>
      <c r="Q519" s="58"/>
      <c r="R519" s="58"/>
      <c r="S519" s="58"/>
      <c r="T519" s="58"/>
      <c r="U519" s="58"/>
    </row>
    <row r="520" spans="2:21" x14ac:dyDescent="0.15">
      <c r="B520" s="58"/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  <c r="N520" s="58"/>
      <c r="O520" s="58"/>
      <c r="P520" s="58"/>
      <c r="Q520" s="58"/>
      <c r="R520" s="58"/>
      <c r="S520" s="58"/>
      <c r="T520" s="58"/>
      <c r="U520" s="58"/>
    </row>
    <row r="521" spans="2:21" x14ac:dyDescent="0.15">
      <c r="B521" s="58"/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  <c r="N521" s="58"/>
      <c r="O521" s="58"/>
      <c r="P521" s="58"/>
      <c r="Q521" s="58"/>
      <c r="R521" s="58"/>
      <c r="S521" s="58"/>
      <c r="T521" s="58"/>
      <c r="U521" s="58"/>
    </row>
    <row r="522" spans="2:21" x14ac:dyDescent="0.15">
      <c r="B522" s="58"/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  <c r="N522" s="58"/>
      <c r="O522" s="58"/>
      <c r="P522" s="58"/>
      <c r="Q522" s="58"/>
      <c r="R522" s="58"/>
      <c r="S522" s="58"/>
      <c r="T522" s="58"/>
      <c r="U522" s="58"/>
    </row>
    <row r="523" spans="2:21" x14ac:dyDescent="0.15">
      <c r="B523" s="58"/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  <c r="N523" s="58"/>
      <c r="O523" s="58"/>
      <c r="P523" s="58"/>
      <c r="Q523" s="58"/>
      <c r="R523" s="58"/>
      <c r="S523" s="58"/>
      <c r="T523" s="58"/>
      <c r="U523" s="58"/>
    </row>
    <row r="524" spans="2:21" x14ac:dyDescent="0.15">
      <c r="B524" s="58"/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</row>
    <row r="525" spans="2:21" x14ac:dyDescent="0.15">
      <c r="B525" s="58"/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  <c r="N525" s="58"/>
      <c r="O525" s="58"/>
      <c r="P525" s="58"/>
      <c r="Q525" s="58"/>
      <c r="R525" s="58"/>
      <c r="S525" s="58"/>
      <c r="T525" s="58"/>
      <c r="U525" s="58"/>
    </row>
    <row r="526" spans="2:21" x14ac:dyDescent="0.15">
      <c r="B526" s="58"/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  <c r="N526" s="58"/>
      <c r="O526" s="58"/>
      <c r="P526" s="58"/>
      <c r="Q526" s="58"/>
      <c r="R526" s="58"/>
      <c r="S526" s="58"/>
      <c r="T526" s="58"/>
      <c r="U526" s="58"/>
    </row>
    <row r="527" spans="2:21" x14ac:dyDescent="0.15">
      <c r="B527" s="58"/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  <c r="N527" s="58"/>
      <c r="O527" s="58"/>
      <c r="P527" s="58"/>
      <c r="Q527" s="58"/>
      <c r="R527" s="58"/>
      <c r="S527" s="58"/>
      <c r="T527" s="58"/>
      <c r="U527" s="58"/>
    </row>
    <row r="528" spans="2:21" x14ac:dyDescent="0.15">
      <c r="B528" s="58"/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  <c r="N528" s="58"/>
      <c r="O528" s="58"/>
      <c r="P528" s="58"/>
      <c r="Q528" s="58"/>
      <c r="R528" s="58"/>
      <c r="S528" s="58"/>
      <c r="T528" s="58"/>
      <c r="U528" s="58"/>
    </row>
    <row r="529" spans="2:21" x14ac:dyDescent="0.15">
      <c r="B529" s="58"/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  <c r="N529" s="58"/>
      <c r="O529" s="58"/>
      <c r="P529" s="58"/>
      <c r="Q529" s="58"/>
      <c r="R529" s="58"/>
      <c r="S529" s="58"/>
      <c r="T529" s="58"/>
      <c r="U529" s="58"/>
    </row>
    <row r="530" spans="2:21" x14ac:dyDescent="0.15">
      <c r="B530" s="58"/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</row>
    <row r="531" spans="2:21" x14ac:dyDescent="0.15">
      <c r="B531" s="58"/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</row>
    <row r="532" spans="2:21" x14ac:dyDescent="0.15">
      <c r="B532" s="58"/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</row>
    <row r="533" spans="2:21" x14ac:dyDescent="0.15">
      <c r="B533" s="58"/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58"/>
      <c r="O533" s="58"/>
      <c r="P533" s="58"/>
      <c r="Q533" s="58"/>
      <c r="R533" s="58"/>
      <c r="S533" s="58"/>
      <c r="T533" s="58"/>
      <c r="U533" s="58"/>
    </row>
    <row r="534" spans="2:21" x14ac:dyDescent="0.15">
      <c r="B534" s="58"/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58"/>
      <c r="O534" s="58"/>
      <c r="P534" s="58"/>
      <c r="Q534" s="58"/>
      <c r="R534" s="58"/>
      <c r="S534" s="58"/>
      <c r="T534" s="58"/>
      <c r="U534" s="58"/>
    </row>
    <row r="535" spans="2:21" x14ac:dyDescent="0.15">
      <c r="B535" s="58"/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  <c r="N535" s="58"/>
      <c r="O535" s="58"/>
      <c r="P535" s="58"/>
      <c r="Q535" s="58"/>
      <c r="R535" s="58"/>
      <c r="S535" s="58"/>
      <c r="T535" s="58"/>
      <c r="U535" s="58"/>
    </row>
    <row r="536" spans="2:21" x14ac:dyDescent="0.15">
      <c r="B536" s="58"/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  <c r="N536" s="58"/>
      <c r="O536" s="58"/>
      <c r="P536" s="58"/>
      <c r="Q536" s="58"/>
      <c r="R536" s="58"/>
      <c r="S536" s="58"/>
      <c r="T536" s="58"/>
      <c r="U536" s="58"/>
    </row>
    <row r="537" spans="2:21" x14ac:dyDescent="0.15">
      <c r="B537" s="58"/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  <c r="N537" s="58"/>
      <c r="O537" s="58"/>
      <c r="P537" s="58"/>
      <c r="Q537" s="58"/>
      <c r="R537" s="58"/>
      <c r="S537" s="58"/>
      <c r="T537" s="58"/>
      <c r="U537" s="58"/>
    </row>
    <row r="538" spans="2:21" x14ac:dyDescent="0.15">
      <c r="B538" s="58"/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  <c r="N538" s="58"/>
      <c r="O538" s="58"/>
      <c r="P538" s="58"/>
      <c r="Q538" s="58"/>
      <c r="R538" s="58"/>
      <c r="S538" s="58"/>
      <c r="T538" s="58"/>
      <c r="U538" s="58"/>
    </row>
    <row r="539" spans="2:21" x14ac:dyDescent="0.15">
      <c r="B539" s="58"/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  <c r="N539" s="58"/>
      <c r="O539" s="58"/>
      <c r="P539" s="58"/>
      <c r="Q539" s="58"/>
      <c r="R539" s="58"/>
      <c r="S539" s="58"/>
      <c r="T539" s="58"/>
      <c r="U539" s="58"/>
    </row>
    <row r="540" spans="2:21" x14ac:dyDescent="0.15">
      <c r="B540" s="58"/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  <c r="N540" s="58"/>
      <c r="O540" s="58"/>
      <c r="P540" s="58"/>
      <c r="Q540" s="58"/>
      <c r="R540" s="58"/>
      <c r="S540" s="58"/>
      <c r="T540" s="58"/>
      <c r="U540" s="58"/>
    </row>
    <row r="541" spans="2:21" x14ac:dyDescent="0.15">
      <c r="B541" s="58"/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  <c r="N541" s="58"/>
      <c r="O541" s="58"/>
      <c r="P541" s="58"/>
      <c r="Q541" s="58"/>
      <c r="R541" s="58"/>
      <c r="S541" s="58"/>
      <c r="T541" s="58"/>
      <c r="U541" s="58"/>
    </row>
    <row r="542" spans="2:21" x14ac:dyDescent="0.15">
      <c r="B542" s="58"/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58"/>
      <c r="O542" s="58"/>
      <c r="P542" s="58"/>
      <c r="Q542" s="58"/>
      <c r="R542" s="58"/>
      <c r="S542" s="58"/>
      <c r="T542" s="58"/>
      <c r="U542" s="58"/>
    </row>
    <row r="543" spans="2:21" x14ac:dyDescent="0.15">
      <c r="B543" s="58"/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  <c r="N543" s="58"/>
      <c r="O543" s="58"/>
      <c r="P543" s="58"/>
      <c r="Q543" s="58"/>
      <c r="R543" s="58"/>
      <c r="S543" s="58"/>
      <c r="T543" s="58"/>
      <c r="U543" s="58"/>
    </row>
    <row r="544" spans="2:21" x14ac:dyDescent="0.15">
      <c r="B544" s="58"/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</row>
    <row r="545" spans="2:21" x14ac:dyDescent="0.15">
      <c r="B545" s="58"/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</row>
    <row r="546" spans="2:21" x14ac:dyDescent="0.15">
      <c r="B546" s="58"/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</row>
    <row r="547" spans="2:21" x14ac:dyDescent="0.15">
      <c r="B547" s="58"/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  <c r="N547" s="58"/>
      <c r="O547" s="58"/>
      <c r="P547" s="58"/>
      <c r="Q547" s="58"/>
      <c r="R547" s="58"/>
      <c r="S547" s="58"/>
      <c r="T547" s="58"/>
      <c r="U547" s="58"/>
    </row>
    <row r="548" spans="2:21" x14ac:dyDescent="0.15">
      <c r="B548" s="58"/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  <c r="N548" s="58"/>
      <c r="O548" s="58"/>
      <c r="P548" s="58"/>
      <c r="Q548" s="58"/>
      <c r="R548" s="58"/>
      <c r="S548" s="58"/>
      <c r="T548" s="58"/>
      <c r="U548" s="58"/>
    </row>
    <row r="549" spans="2:21" x14ac:dyDescent="0.15">
      <c r="B549" s="58"/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  <c r="N549" s="58"/>
      <c r="O549" s="58"/>
      <c r="P549" s="58"/>
      <c r="Q549" s="58"/>
      <c r="R549" s="58"/>
      <c r="S549" s="58"/>
      <c r="T549" s="58"/>
      <c r="U549" s="58"/>
    </row>
    <row r="550" spans="2:21" x14ac:dyDescent="0.15">
      <c r="B550" s="58"/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  <c r="N550" s="58"/>
      <c r="O550" s="58"/>
      <c r="P550" s="58"/>
      <c r="Q550" s="58"/>
      <c r="R550" s="58"/>
      <c r="S550" s="58"/>
      <c r="T550" s="58"/>
      <c r="U550" s="58"/>
    </row>
    <row r="551" spans="2:21" x14ac:dyDescent="0.15">
      <c r="B551" s="58"/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  <c r="N551" s="58"/>
      <c r="O551" s="58"/>
      <c r="P551" s="58"/>
      <c r="Q551" s="58"/>
      <c r="R551" s="58"/>
      <c r="S551" s="58"/>
      <c r="T551" s="58"/>
      <c r="U551" s="58"/>
    </row>
    <row r="552" spans="2:21" x14ac:dyDescent="0.15">
      <c r="B552" s="58"/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  <c r="N552" s="58"/>
      <c r="O552" s="58"/>
      <c r="P552" s="58"/>
      <c r="Q552" s="58"/>
      <c r="R552" s="58"/>
      <c r="S552" s="58"/>
      <c r="T552" s="58"/>
      <c r="U552" s="58"/>
    </row>
    <row r="553" spans="2:21" x14ac:dyDescent="0.15">
      <c r="B553" s="58"/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  <c r="N553" s="58"/>
      <c r="O553" s="58"/>
      <c r="P553" s="58"/>
      <c r="Q553" s="58"/>
      <c r="R553" s="58"/>
      <c r="S553" s="58"/>
      <c r="T553" s="58"/>
      <c r="U553" s="58"/>
    </row>
    <row r="554" spans="2:21" x14ac:dyDescent="0.15">
      <c r="B554" s="58"/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  <c r="N554" s="58"/>
      <c r="O554" s="58"/>
      <c r="P554" s="58"/>
      <c r="Q554" s="58"/>
      <c r="R554" s="58"/>
      <c r="S554" s="58"/>
      <c r="T554" s="58"/>
      <c r="U554" s="58"/>
    </row>
    <row r="555" spans="2:21" x14ac:dyDescent="0.15">
      <c r="B555" s="58"/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  <c r="N555" s="58"/>
      <c r="O555" s="58"/>
      <c r="P555" s="58"/>
      <c r="Q555" s="58"/>
      <c r="R555" s="58"/>
      <c r="S555" s="58"/>
      <c r="T555" s="58"/>
      <c r="U555" s="58"/>
    </row>
    <row r="556" spans="2:21" x14ac:dyDescent="0.15">
      <c r="B556" s="58"/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  <c r="N556" s="58"/>
      <c r="O556" s="58"/>
      <c r="P556" s="58"/>
      <c r="Q556" s="58"/>
      <c r="R556" s="58"/>
      <c r="S556" s="58"/>
      <c r="T556" s="58"/>
      <c r="U556" s="58"/>
    </row>
    <row r="557" spans="2:21" x14ac:dyDescent="0.15">
      <c r="B557" s="58"/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  <c r="N557" s="58"/>
      <c r="O557" s="58"/>
      <c r="P557" s="58"/>
      <c r="Q557" s="58"/>
      <c r="R557" s="58"/>
      <c r="S557" s="58"/>
      <c r="T557" s="58"/>
      <c r="U557" s="58"/>
    </row>
    <row r="558" spans="2:21" x14ac:dyDescent="0.15">
      <c r="B558" s="58"/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</row>
    <row r="559" spans="2:21" x14ac:dyDescent="0.15">
      <c r="B559" s="58"/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</row>
    <row r="560" spans="2:21" x14ac:dyDescent="0.15">
      <c r="B560" s="58"/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</row>
    <row r="561" spans="2:21" x14ac:dyDescent="0.15">
      <c r="B561" s="58"/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  <c r="N561" s="58"/>
      <c r="O561" s="58"/>
      <c r="P561" s="58"/>
      <c r="Q561" s="58"/>
      <c r="R561" s="58"/>
      <c r="S561" s="58"/>
      <c r="T561" s="58"/>
      <c r="U561" s="58"/>
    </row>
    <row r="562" spans="2:21" x14ac:dyDescent="0.15">
      <c r="B562" s="58"/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  <c r="N562" s="58"/>
      <c r="O562" s="58"/>
      <c r="P562" s="58"/>
      <c r="Q562" s="58"/>
      <c r="R562" s="58"/>
      <c r="S562" s="58"/>
      <c r="T562" s="58"/>
      <c r="U562" s="58"/>
    </row>
    <row r="563" spans="2:21" x14ac:dyDescent="0.15">
      <c r="B563" s="58"/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  <c r="N563" s="58"/>
      <c r="O563" s="58"/>
      <c r="P563" s="58"/>
      <c r="Q563" s="58"/>
      <c r="R563" s="58"/>
      <c r="S563" s="58"/>
      <c r="T563" s="58"/>
      <c r="U563" s="58"/>
    </row>
    <row r="564" spans="2:21" x14ac:dyDescent="0.15">
      <c r="B564" s="58"/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  <c r="N564" s="58"/>
      <c r="O564" s="58"/>
      <c r="P564" s="58"/>
      <c r="Q564" s="58"/>
      <c r="R564" s="58"/>
      <c r="S564" s="58"/>
      <c r="T564" s="58"/>
      <c r="U564" s="58"/>
    </row>
    <row r="565" spans="2:21" x14ac:dyDescent="0.15">
      <c r="B565" s="58"/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  <c r="N565" s="58"/>
      <c r="O565" s="58"/>
      <c r="P565" s="58"/>
      <c r="Q565" s="58"/>
      <c r="R565" s="58"/>
      <c r="S565" s="58"/>
      <c r="T565" s="58"/>
      <c r="U565" s="58"/>
    </row>
    <row r="566" spans="2:21" x14ac:dyDescent="0.15">
      <c r="B566" s="58"/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  <c r="N566" s="58"/>
      <c r="O566" s="58"/>
      <c r="P566" s="58"/>
      <c r="Q566" s="58"/>
      <c r="R566" s="58"/>
      <c r="S566" s="58"/>
      <c r="T566" s="58"/>
      <c r="U566" s="58"/>
    </row>
    <row r="567" spans="2:21" x14ac:dyDescent="0.15">
      <c r="B567" s="58"/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  <c r="N567" s="58"/>
      <c r="O567" s="58"/>
      <c r="P567" s="58"/>
      <c r="Q567" s="58"/>
      <c r="R567" s="58"/>
      <c r="S567" s="58"/>
      <c r="T567" s="58"/>
      <c r="U567" s="58"/>
    </row>
    <row r="568" spans="2:21" x14ac:dyDescent="0.15">
      <c r="B568" s="58"/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  <c r="N568" s="58"/>
      <c r="O568" s="58"/>
      <c r="P568" s="58"/>
      <c r="Q568" s="58"/>
      <c r="R568" s="58"/>
      <c r="S568" s="58"/>
      <c r="T568" s="58"/>
      <c r="U568" s="58"/>
    </row>
    <row r="569" spans="2:21" x14ac:dyDescent="0.15">
      <c r="B569" s="58"/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  <c r="N569" s="58"/>
      <c r="O569" s="58"/>
      <c r="P569" s="58"/>
      <c r="Q569" s="58"/>
      <c r="R569" s="58"/>
      <c r="S569" s="58"/>
      <c r="T569" s="58"/>
      <c r="U569" s="58"/>
    </row>
    <row r="570" spans="2:21" x14ac:dyDescent="0.15">
      <c r="B570" s="58"/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  <c r="N570" s="58"/>
      <c r="O570" s="58"/>
      <c r="P570" s="58"/>
      <c r="Q570" s="58"/>
      <c r="R570" s="58"/>
      <c r="S570" s="58"/>
      <c r="T570" s="58"/>
      <c r="U570" s="58"/>
    </row>
    <row r="571" spans="2:21" x14ac:dyDescent="0.15">
      <c r="B571" s="58"/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  <c r="N571" s="58"/>
      <c r="O571" s="58"/>
      <c r="P571" s="58"/>
      <c r="Q571" s="58"/>
      <c r="R571" s="58"/>
      <c r="S571" s="58"/>
      <c r="T571" s="58"/>
      <c r="U571" s="58"/>
    </row>
    <row r="572" spans="2:21" x14ac:dyDescent="0.15">
      <c r="B572" s="58"/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</row>
    <row r="573" spans="2:21" x14ac:dyDescent="0.15">
      <c r="B573" s="58"/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</row>
    <row r="574" spans="2:21" x14ac:dyDescent="0.15">
      <c r="B574" s="58"/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</row>
    <row r="575" spans="2:21" x14ac:dyDescent="0.15">
      <c r="B575" s="58"/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58"/>
    </row>
    <row r="576" spans="2:21" x14ac:dyDescent="0.15">
      <c r="B576" s="58"/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  <c r="N576" s="58"/>
      <c r="O576" s="58"/>
      <c r="P576" s="58"/>
      <c r="Q576" s="58"/>
      <c r="R576" s="58"/>
      <c r="S576" s="58"/>
      <c r="T576" s="58"/>
      <c r="U576" s="58"/>
    </row>
    <row r="577" spans="2:21" x14ac:dyDescent="0.15">
      <c r="B577" s="58"/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  <c r="N577" s="58"/>
      <c r="O577" s="58"/>
      <c r="P577" s="58"/>
      <c r="Q577" s="58"/>
      <c r="R577" s="58"/>
      <c r="S577" s="58"/>
      <c r="T577" s="58"/>
      <c r="U577" s="58"/>
    </row>
    <row r="578" spans="2:21" x14ac:dyDescent="0.15">
      <c r="B578" s="58"/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  <c r="N578" s="58"/>
      <c r="O578" s="58"/>
      <c r="P578" s="58"/>
      <c r="Q578" s="58"/>
      <c r="R578" s="58"/>
      <c r="S578" s="58"/>
      <c r="T578" s="58"/>
      <c r="U578" s="58"/>
    </row>
    <row r="579" spans="2:21" x14ac:dyDescent="0.15">
      <c r="B579" s="58"/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  <c r="N579" s="58"/>
      <c r="O579" s="58"/>
      <c r="P579" s="58"/>
      <c r="Q579" s="58"/>
      <c r="R579" s="58"/>
      <c r="S579" s="58"/>
      <c r="T579" s="58"/>
      <c r="U579" s="58"/>
    </row>
    <row r="580" spans="2:21" x14ac:dyDescent="0.15">
      <c r="B580" s="58"/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  <c r="N580" s="58"/>
      <c r="O580" s="58"/>
      <c r="P580" s="58"/>
      <c r="Q580" s="58"/>
      <c r="R580" s="58"/>
      <c r="S580" s="58"/>
      <c r="T580" s="58"/>
      <c r="U580" s="58"/>
    </row>
    <row r="581" spans="2:21" x14ac:dyDescent="0.15">
      <c r="B581" s="58"/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  <c r="N581" s="58"/>
      <c r="O581" s="58"/>
      <c r="P581" s="58"/>
      <c r="Q581" s="58"/>
      <c r="R581" s="58"/>
      <c r="S581" s="58"/>
      <c r="T581" s="58"/>
      <c r="U581" s="58"/>
    </row>
    <row r="582" spans="2:21" x14ac:dyDescent="0.15">
      <c r="B582" s="58"/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  <c r="N582" s="58"/>
      <c r="O582" s="58"/>
      <c r="P582" s="58"/>
      <c r="Q582" s="58"/>
      <c r="R582" s="58"/>
      <c r="S582" s="58"/>
      <c r="T582" s="58"/>
      <c r="U582" s="58"/>
    </row>
    <row r="583" spans="2:21" x14ac:dyDescent="0.15">
      <c r="B583" s="58"/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  <c r="N583" s="58"/>
      <c r="O583" s="58"/>
      <c r="P583" s="58"/>
      <c r="Q583" s="58"/>
      <c r="R583" s="58"/>
      <c r="S583" s="58"/>
      <c r="T583" s="58"/>
      <c r="U583" s="58"/>
    </row>
    <row r="584" spans="2:21" x14ac:dyDescent="0.15">
      <c r="B584" s="58"/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58"/>
    </row>
    <row r="585" spans="2:21" x14ac:dyDescent="0.15">
      <c r="B585" s="58"/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  <c r="N585" s="58"/>
      <c r="O585" s="58"/>
      <c r="P585" s="58"/>
      <c r="Q585" s="58"/>
      <c r="R585" s="58"/>
      <c r="S585" s="58"/>
      <c r="T585" s="58"/>
      <c r="U585" s="58"/>
    </row>
    <row r="586" spans="2:21" x14ac:dyDescent="0.15">
      <c r="B586" s="58"/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</row>
    <row r="587" spans="2:21" x14ac:dyDescent="0.15">
      <c r="B587" s="58"/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</row>
    <row r="588" spans="2:21" x14ac:dyDescent="0.15">
      <c r="B588" s="58"/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</row>
    <row r="589" spans="2:21" x14ac:dyDescent="0.15">
      <c r="B589" s="58"/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</row>
    <row r="590" spans="2:21" x14ac:dyDescent="0.15">
      <c r="B590" s="58"/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  <c r="N590" s="58"/>
      <c r="O590" s="58"/>
      <c r="P590" s="58"/>
      <c r="Q590" s="58"/>
      <c r="R590" s="58"/>
      <c r="S590" s="58"/>
      <c r="T590" s="58"/>
      <c r="U590" s="58"/>
    </row>
    <row r="591" spans="2:21" x14ac:dyDescent="0.15">
      <c r="B591" s="58"/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  <c r="N591" s="58"/>
      <c r="O591" s="58"/>
      <c r="P591" s="58"/>
      <c r="Q591" s="58"/>
      <c r="R591" s="58"/>
      <c r="S591" s="58"/>
      <c r="T591" s="58"/>
      <c r="U591" s="58"/>
    </row>
    <row r="592" spans="2:21" x14ac:dyDescent="0.15">
      <c r="B592" s="58"/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  <c r="N592" s="58"/>
      <c r="O592" s="58"/>
      <c r="P592" s="58"/>
      <c r="Q592" s="58"/>
      <c r="R592" s="58"/>
      <c r="S592" s="58"/>
      <c r="T592" s="58"/>
      <c r="U592" s="58"/>
    </row>
    <row r="593" spans="2:21" x14ac:dyDescent="0.15">
      <c r="B593" s="58"/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  <c r="N593" s="58"/>
      <c r="O593" s="58"/>
      <c r="P593" s="58"/>
      <c r="Q593" s="58"/>
      <c r="R593" s="58"/>
      <c r="S593" s="58"/>
      <c r="T593" s="58"/>
      <c r="U593" s="58"/>
    </row>
    <row r="594" spans="2:21" x14ac:dyDescent="0.15">
      <c r="B594" s="58"/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  <c r="N594" s="58"/>
      <c r="O594" s="58"/>
      <c r="P594" s="58"/>
      <c r="Q594" s="58"/>
      <c r="R594" s="58"/>
      <c r="S594" s="58"/>
      <c r="T594" s="58"/>
      <c r="U594" s="58"/>
    </row>
    <row r="595" spans="2:21" x14ac:dyDescent="0.15">
      <c r="B595" s="58"/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  <c r="N595" s="58"/>
      <c r="O595" s="58"/>
      <c r="P595" s="58"/>
      <c r="Q595" s="58"/>
      <c r="R595" s="58"/>
      <c r="S595" s="58"/>
      <c r="T595" s="58"/>
      <c r="U595" s="58"/>
    </row>
    <row r="596" spans="2:21" x14ac:dyDescent="0.15">
      <c r="B596" s="58"/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  <c r="N596" s="58"/>
      <c r="O596" s="58"/>
      <c r="P596" s="58"/>
      <c r="Q596" s="58"/>
      <c r="R596" s="58"/>
      <c r="S596" s="58"/>
      <c r="T596" s="58"/>
      <c r="U596" s="58"/>
    </row>
    <row r="597" spans="2:21" x14ac:dyDescent="0.15">
      <c r="B597" s="58"/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  <c r="N597" s="58"/>
      <c r="O597" s="58"/>
      <c r="P597" s="58"/>
      <c r="Q597" s="58"/>
      <c r="R597" s="58"/>
      <c r="S597" s="58"/>
      <c r="T597" s="58"/>
      <c r="U597" s="58"/>
    </row>
    <row r="598" spans="2:21" x14ac:dyDescent="0.15">
      <c r="B598" s="58"/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  <c r="N598" s="58"/>
      <c r="O598" s="58"/>
      <c r="P598" s="58"/>
      <c r="Q598" s="58"/>
      <c r="R598" s="58"/>
      <c r="S598" s="58"/>
      <c r="T598" s="58"/>
      <c r="U598" s="58"/>
    </row>
    <row r="599" spans="2:21" x14ac:dyDescent="0.15">
      <c r="B599" s="58"/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  <c r="N599" s="58"/>
      <c r="O599" s="58"/>
      <c r="P599" s="58"/>
      <c r="Q599" s="58"/>
      <c r="R599" s="58"/>
      <c r="S599" s="58"/>
      <c r="T599" s="58"/>
      <c r="U599" s="58"/>
    </row>
    <row r="600" spans="2:21" x14ac:dyDescent="0.15">
      <c r="B600" s="58"/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</row>
    <row r="601" spans="2:21" x14ac:dyDescent="0.15">
      <c r="B601" s="58"/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</row>
    <row r="602" spans="2:21" x14ac:dyDescent="0.15">
      <c r="B602" s="58"/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</row>
    <row r="603" spans="2:21" x14ac:dyDescent="0.15">
      <c r="B603" s="58"/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  <c r="N603" s="58"/>
      <c r="O603" s="58"/>
      <c r="P603" s="58"/>
      <c r="Q603" s="58"/>
      <c r="R603" s="58"/>
      <c r="S603" s="58"/>
      <c r="T603" s="58"/>
      <c r="U603" s="58"/>
    </row>
    <row r="604" spans="2:21" x14ac:dyDescent="0.15">
      <c r="B604" s="58"/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  <c r="Q604" s="58"/>
      <c r="R604" s="58"/>
      <c r="S604" s="58"/>
      <c r="T604" s="58"/>
      <c r="U604" s="58"/>
    </row>
    <row r="605" spans="2:21" x14ac:dyDescent="0.15">
      <c r="B605" s="58"/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  <c r="N605" s="58"/>
      <c r="O605" s="58"/>
      <c r="P605" s="58"/>
      <c r="Q605" s="58"/>
      <c r="R605" s="58"/>
      <c r="S605" s="58"/>
      <c r="T605" s="58"/>
      <c r="U605" s="58"/>
    </row>
    <row r="606" spans="2:21" x14ac:dyDescent="0.15">
      <c r="B606" s="58"/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</row>
    <row r="607" spans="2:21" x14ac:dyDescent="0.15">
      <c r="B607" s="58"/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</row>
    <row r="608" spans="2:21" x14ac:dyDescent="0.15">
      <c r="B608" s="58"/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  <c r="N608" s="58"/>
      <c r="O608" s="58"/>
      <c r="P608" s="58"/>
      <c r="Q608" s="58"/>
      <c r="R608" s="58"/>
      <c r="S608" s="58"/>
      <c r="T608" s="58"/>
      <c r="U608" s="58"/>
    </row>
    <row r="609" spans="2:21" x14ac:dyDescent="0.15">
      <c r="B609" s="58"/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  <c r="N609" s="58"/>
      <c r="O609" s="58"/>
      <c r="P609" s="58"/>
      <c r="Q609" s="58"/>
      <c r="R609" s="58"/>
      <c r="S609" s="58"/>
      <c r="T609" s="58"/>
      <c r="U609" s="58"/>
    </row>
    <row r="610" spans="2:21" x14ac:dyDescent="0.15">
      <c r="B610" s="58"/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  <c r="N610" s="58"/>
      <c r="O610" s="58"/>
      <c r="P610" s="58"/>
      <c r="Q610" s="58"/>
      <c r="R610" s="58"/>
      <c r="S610" s="58"/>
      <c r="T610" s="58"/>
      <c r="U610" s="58"/>
    </row>
    <row r="611" spans="2:21" x14ac:dyDescent="0.15">
      <c r="B611" s="58"/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  <c r="N611" s="58"/>
      <c r="O611" s="58"/>
      <c r="P611" s="58"/>
      <c r="Q611" s="58"/>
      <c r="R611" s="58"/>
      <c r="S611" s="58"/>
      <c r="T611" s="58"/>
      <c r="U611" s="58"/>
    </row>
    <row r="612" spans="2:21" x14ac:dyDescent="0.15">
      <c r="B612" s="58"/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  <c r="N612" s="58"/>
      <c r="O612" s="58"/>
      <c r="P612" s="58"/>
      <c r="Q612" s="58"/>
      <c r="R612" s="58"/>
      <c r="S612" s="58"/>
      <c r="T612" s="58"/>
      <c r="U612" s="58"/>
    </row>
    <row r="613" spans="2:21" x14ac:dyDescent="0.15">
      <c r="B613" s="58"/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  <c r="N613" s="58"/>
      <c r="O613" s="58"/>
      <c r="P613" s="58"/>
      <c r="Q613" s="58"/>
      <c r="R613" s="58"/>
      <c r="S613" s="58"/>
      <c r="T613" s="58"/>
      <c r="U613" s="58"/>
    </row>
  </sheetData>
  <mergeCells count="165">
    <mergeCell ref="W2:Y2"/>
    <mergeCell ref="W68:Y68"/>
    <mergeCell ref="W35:Y35"/>
    <mergeCell ref="G95:G97"/>
    <mergeCell ref="G98:G100"/>
    <mergeCell ref="D98:D100"/>
    <mergeCell ref="C98:C100"/>
    <mergeCell ref="B98:B100"/>
    <mergeCell ref="B95:B97"/>
    <mergeCell ref="C95:C97"/>
    <mergeCell ref="D95:D97"/>
    <mergeCell ref="E95:E97"/>
    <mergeCell ref="E98:E100"/>
    <mergeCell ref="G92:G94"/>
    <mergeCell ref="E92:E94"/>
    <mergeCell ref="D92:D94"/>
    <mergeCell ref="C92:C94"/>
    <mergeCell ref="B92:B94"/>
    <mergeCell ref="B89:B91"/>
    <mergeCell ref="C89:C91"/>
    <mergeCell ref="D89:D91"/>
    <mergeCell ref="E89:E91"/>
    <mergeCell ref="G89:G91"/>
    <mergeCell ref="G86:G88"/>
    <mergeCell ref="E86:E88"/>
    <mergeCell ref="D86:D88"/>
    <mergeCell ref="C86:C88"/>
    <mergeCell ref="B86:B88"/>
    <mergeCell ref="B83:B85"/>
    <mergeCell ref="C83:C85"/>
    <mergeCell ref="D83:D85"/>
    <mergeCell ref="E83:E85"/>
    <mergeCell ref="G83:G85"/>
    <mergeCell ref="G80:G82"/>
    <mergeCell ref="E80:E82"/>
    <mergeCell ref="D80:D82"/>
    <mergeCell ref="C80:C82"/>
    <mergeCell ref="B80:B82"/>
    <mergeCell ref="B77:B79"/>
    <mergeCell ref="C77:C79"/>
    <mergeCell ref="D77:D79"/>
    <mergeCell ref="E77:E79"/>
    <mergeCell ref="G77:G79"/>
    <mergeCell ref="G74:G76"/>
    <mergeCell ref="E74:E76"/>
    <mergeCell ref="D74:D76"/>
    <mergeCell ref="C74:C76"/>
    <mergeCell ref="B74:B76"/>
    <mergeCell ref="B71:B73"/>
    <mergeCell ref="C71:C73"/>
    <mergeCell ref="D71:D73"/>
    <mergeCell ref="E71:E73"/>
    <mergeCell ref="G71:G73"/>
    <mergeCell ref="G65:G67"/>
    <mergeCell ref="E65:E67"/>
    <mergeCell ref="D65:D67"/>
    <mergeCell ref="C65:C67"/>
    <mergeCell ref="B65:B67"/>
    <mergeCell ref="B62:B64"/>
    <mergeCell ref="C62:C64"/>
    <mergeCell ref="D62:D64"/>
    <mergeCell ref="E62:E64"/>
    <mergeCell ref="G62:G64"/>
    <mergeCell ref="G59:G61"/>
    <mergeCell ref="E59:E61"/>
    <mergeCell ref="D59:D61"/>
    <mergeCell ref="C59:C61"/>
    <mergeCell ref="B59:B61"/>
    <mergeCell ref="B56:B58"/>
    <mergeCell ref="C56:C58"/>
    <mergeCell ref="D56:D58"/>
    <mergeCell ref="E56:E58"/>
    <mergeCell ref="G56:G58"/>
    <mergeCell ref="G53:G55"/>
    <mergeCell ref="E53:E55"/>
    <mergeCell ref="D53:D55"/>
    <mergeCell ref="C53:C55"/>
    <mergeCell ref="B53:B55"/>
    <mergeCell ref="B50:B52"/>
    <mergeCell ref="C50:C52"/>
    <mergeCell ref="D50:D52"/>
    <mergeCell ref="E50:E52"/>
    <mergeCell ref="G50:G52"/>
    <mergeCell ref="G47:G49"/>
    <mergeCell ref="E47:E49"/>
    <mergeCell ref="D47:D49"/>
    <mergeCell ref="C47:C49"/>
    <mergeCell ref="B47:B49"/>
    <mergeCell ref="B44:B46"/>
    <mergeCell ref="C44:C46"/>
    <mergeCell ref="D44:D46"/>
    <mergeCell ref="E44:E46"/>
    <mergeCell ref="G44:G46"/>
    <mergeCell ref="G41:G43"/>
    <mergeCell ref="E41:E43"/>
    <mergeCell ref="D41:D43"/>
    <mergeCell ref="C41:C43"/>
    <mergeCell ref="B41:B43"/>
    <mergeCell ref="G32:G34"/>
    <mergeCell ref="B38:B40"/>
    <mergeCell ref="C38:C40"/>
    <mergeCell ref="D38:D40"/>
    <mergeCell ref="E38:E40"/>
    <mergeCell ref="G38:G40"/>
    <mergeCell ref="E23:E25"/>
    <mergeCell ref="D23:D25"/>
    <mergeCell ref="C23:C25"/>
    <mergeCell ref="B29:B31"/>
    <mergeCell ref="B32:B34"/>
    <mergeCell ref="C32:C34"/>
    <mergeCell ref="D32:D34"/>
    <mergeCell ref="E32:E34"/>
    <mergeCell ref="G26:G28"/>
    <mergeCell ref="G29:G31"/>
    <mergeCell ref="E29:E31"/>
    <mergeCell ref="D29:D31"/>
    <mergeCell ref="C29:C31"/>
    <mergeCell ref="E20:E22"/>
    <mergeCell ref="B68:U68"/>
    <mergeCell ref="H69:J69"/>
    <mergeCell ref="K69:M69"/>
    <mergeCell ref="B5:B7"/>
    <mergeCell ref="C5:C7"/>
    <mergeCell ref="D5:D7"/>
    <mergeCell ref="E5:E7"/>
    <mergeCell ref="G5:G7"/>
    <mergeCell ref="B8:B10"/>
    <mergeCell ref="C8:C10"/>
    <mergeCell ref="D8:D10"/>
    <mergeCell ref="E8:E10"/>
    <mergeCell ref="B11:B13"/>
    <mergeCell ref="C11:C13"/>
    <mergeCell ref="D11:D13"/>
    <mergeCell ref="E11:E13"/>
    <mergeCell ref="B23:B25"/>
    <mergeCell ref="B26:B28"/>
    <mergeCell ref="C26:C28"/>
    <mergeCell ref="D26:D28"/>
    <mergeCell ref="E26:E28"/>
    <mergeCell ref="G20:G22"/>
    <mergeCell ref="G23:G25"/>
    <mergeCell ref="A1:U1"/>
    <mergeCell ref="Z2:AA2"/>
    <mergeCell ref="H3:J3"/>
    <mergeCell ref="K3:M3"/>
    <mergeCell ref="B2:U2"/>
    <mergeCell ref="K4:M4"/>
    <mergeCell ref="B35:U35"/>
    <mergeCell ref="H36:J36"/>
    <mergeCell ref="K36:M36"/>
    <mergeCell ref="B14:B16"/>
    <mergeCell ref="C14:C16"/>
    <mergeCell ref="D14:D16"/>
    <mergeCell ref="E14:E16"/>
    <mergeCell ref="B17:B19"/>
    <mergeCell ref="G8:G10"/>
    <mergeCell ref="G11:G13"/>
    <mergeCell ref="G14:G16"/>
    <mergeCell ref="G17:G19"/>
    <mergeCell ref="E17:E19"/>
    <mergeCell ref="D17:D19"/>
    <mergeCell ref="C17:C19"/>
    <mergeCell ref="B20:B22"/>
    <mergeCell ref="C20:C22"/>
    <mergeCell ref="D20:D22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4EBDB-590D-904F-ACC1-4F662DDDB819}">
  <dimension ref="A1:AC613"/>
  <sheetViews>
    <sheetView zoomScaleNormal="100" workbookViewId="0">
      <selection sqref="A1:U1"/>
    </sheetView>
  </sheetViews>
  <sheetFormatPr baseColWidth="10" defaultColWidth="9.1640625" defaultRowHeight="13" x14ac:dyDescent="0.15"/>
  <cols>
    <col min="1" max="1" width="76.5" style="5" customWidth="1"/>
    <col min="2" max="2" width="10.33203125" style="5" bestFit="1" customWidth="1"/>
    <col min="3" max="10" width="9.1640625" style="5"/>
    <col min="11" max="14" width="9.6640625" style="5" bestFit="1" customWidth="1"/>
    <col min="15" max="15" width="12.1640625" style="5" customWidth="1"/>
    <col min="16" max="16" width="12.5" style="5" bestFit="1" customWidth="1"/>
    <col min="17" max="18" width="13.6640625" style="5" customWidth="1"/>
    <col min="19" max="19" width="14.5" style="5" customWidth="1"/>
    <col min="20" max="21" width="10.5" style="5" bestFit="1" customWidth="1"/>
    <col min="22" max="23" width="9.1640625" style="5"/>
    <col min="24" max="24" width="12.33203125" style="5" customWidth="1"/>
    <col min="25" max="16384" width="9.1640625" style="5"/>
  </cols>
  <sheetData>
    <row r="1" spans="1:29" ht="17" thickBot="1" x14ac:dyDescent="0.2">
      <c r="A1" s="241" t="s">
        <v>104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3"/>
    </row>
    <row r="2" spans="1:29" ht="16" customHeight="1" thickBot="1" x14ac:dyDescent="0.2">
      <c r="A2" s="125"/>
      <c r="B2" s="248" t="s">
        <v>65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50"/>
      <c r="W2" s="244" t="s">
        <v>105</v>
      </c>
      <c r="X2" s="244"/>
      <c r="Y2" s="244"/>
      <c r="Z2" s="244"/>
      <c r="AA2" s="244"/>
    </row>
    <row r="3" spans="1:29" ht="33.75" customHeight="1" x14ac:dyDescent="0.15">
      <c r="A3" s="41"/>
      <c r="B3" s="126" t="s">
        <v>0</v>
      </c>
      <c r="C3" s="59" t="s">
        <v>1</v>
      </c>
      <c r="D3" s="59" t="s">
        <v>2</v>
      </c>
      <c r="E3" s="129" t="s">
        <v>23</v>
      </c>
      <c r="F3" s="128"/>
      <c r="G3" s="128" t="s">
        <v>24</v>
      </c>
      <c r="H3" s="245" t="s">
        <v>113</v>
      </c>
      <c r="I3" s="246"/>
      <c r="J3" s="246"/>
      <c r="K3" s="247" t="s">
        <v>90</v>
      </c>
      <c r="L3" s="247"/>
      <c r="M3" s="247"/>
      <c r="N3" s="59" t="s">
        <v>26</v>
      </c>
      <c r="O3" s="59" t="s">
        <v>27</v>
      </c>
      <c r="P3" s="59" t="s">
        <v>27</v>
      </c>
      <c r="Q3" s="59" t="s">
        <v>88</v>
      </c>
      <c r="R3" s="129" t="s">
        <v>88</v>
      </c>
      <c r="S3" s="59" t="s">
        <v>89</v>
      </c>
      <c r="T3" s="59" t="s">
        <v>82</v>
      </c>
      <c r="U3" s="127" t="s">
        <v>56</v>
      </c>
      <c r="W3" s="58" t="s">
        <v>2</v>
      </c>
      <c r="X3" s="111" t="str">
        <f>S3</f>
        <v>Average NO3 concentration</v>
      </c>
      <c r="Y3" s="111" t="str">
        <f>U3</f>
        <v>Standard error</v>
      </c>
      <c r="Z3" s="58"/>
      <c r="AA3" s="114"/>
      <c r="AB3" s="114"/>
      <c r="AC3" s="114"/>
    </row>
    <row r="4" spans="1:29" ht="15" customHeight="1" x14ac:dyDescent="0.15">
      <c r="A4" s="41"/>
      <c r="B4" s="130"/>
      <c r="C4" s="131"/>
      <c r="D4" s="132"/>
      <c r="E4" s="132"/>
      <c r="F4" s="133"/>
      <c r="G4" s="133"/>
      <c r="H4" s="145" t="s">
        <v>116</v>
      </c>
      <c r="I4" s="145" t="s">
        <v>107</v>
      </c>
      <c r="J4" s="146" t="s">
        <v>114</v>
      </c>
      <c r="K4" s="229" t="s">
        <v>28</v>
      </c>
      <c r="L4" s="206"/>
      <c r="M4" s="207"/>
      <c r="N4" s="64" t="s">
        <v>28</v>
      </c>
      <c r="O4" s="64" t="s">
        <v>21</v>
      </c>
      <c r="P4" s="64" t="s">
        <v>29</v>
      </c>
      <c r="Q4" s="64" t="s">
        <v>29</v>
      </c>
      <c r="R4" s="63" t="s">
        <v>21</v>
      </c>
      <c r="S4" s="64" t="s">
        <v>21</v>
      </c>
      <c r="T4" s="64"/>
      <c r="U4" s="62"/>
      <c r="W4" s="87">
        <v>0</v>
      </c>
      <c r="X4" s="68">
        <f>S7</f>
        <v>1.6149228349999998</v>
      </c>
      <c r="Y4" s="68">
        <f>U7</f>
        <v>3.310047145727834E-2</v>
      </c>
      <c r="Z4" s="68"/>
      <c r="AA4" s="114"/>
      <c r="AB4" s="114"/>
      <c r="AC4" s="114"/>
    </row>
    <row r="5" spans="1:29" x14ac:dyDescent="0.15">
      <c r="A5" s="41"/>
      <c r="B5" s="252" t="s">
        <v>8</v>
      </c>
      <c r="C5" s="254">
        <v>0.47916666666666669</v>
      </c>
      <c r="D5" s="218">
        <v>0</v>
      </c>
      <c r="E5" s="226">
        <v>1</v>
      </c>
      <c r="F5" s="120" t="s">
        <v>110</v>
      </c>
      <c r="G5" s="258">
        <f>(0.076+0.073)/2</f>
        <v>7.4499999999999997E-2</v>
      </c>
      <c r="H5" s="116">
        <f>0.817-G5</f>
        <v>0.74249999999999994</v>
      </c>
      <c r="I5" s="115">
        <f>0.83-G5</f>
        <v>0.75549999999999995</v>
      </c>
      <c r="J5" s="115">
        <f>0.837-G5</f>
        <v>0.76249999999999996</v>
      </c>
      <c r="K5" s="68">
        <f t="shared" ref="K5:M10" si="0">5.0379*H5</f>
        <v>3.7406407499999994</v>
      </c>
      <c r="L5" s="68">
        <f t="shared" si="0"/>
        <v>3.8061334499999995</v>
      </c>
      <c r="M5" s="68">
        <f t="shared" si="0"/>
        <v>3.8413987499999993</v>
      </c>
      <c r="N5" s="68">
        <f>AVERAGE(K5:M5)</f>
        <v>3.7960576499999994</v>
      </c>
      <c r="O5" s="68">
        <f>N5/10</f>
        <v>0.37960576499999993</v>
      </c>
      <c r="P5" s="68">
        <f>O5/14</f>
        <v>2.7114697499999996E-2</v>
      </c>
      <c r="Q5" s="68">
        <f>P5</f>
        <v>2.7114697499999996E-2</v>
      </c>
      <c r="R5" s="68">
        <f>Q5*62</f>
        <v>1.6811112449999999</v>
      </c>
      <c r="S5" s="122"/>
      <c r="T5" s="58"/>
      <c r="U5" s="67"/>
      <c r="W5" s="87">
        <f>D8</f>
        <v>48.5</v>
      </c>
      <c r="X5" s="68">
        <f>S10</f>
        <v>1.5179952383333333</v>
      </c>
      <c r="Y5" s="68">
        <f>U10</f>
        <v>2.698660088430941E-2</v>
      </c>
      <c r="Z5" s="68"/>
      <c r="AA5" s="161"/>
      <c r="AB5" s="161"/>
      <c r="AC5" s="161"/>
    </row>
    <row r="6" spans="1:29" x14ac:dyDescent="0.15">
      <c r="A6" s="41"/>
      <c r="B6" s="252"/>
      <c r="C6" s="254"/>
      <c r="D6" s="218"/>
      <c r="E6" s="226"/>
      <c r="F6" s="120" t="s">
        <v>111</v>
      </c>
      <c r="G6" s="255"/>
      <c r="H6" s="69">
        <f>0.768-G5</f>
        <v>0.69350000000000001</v>
      </c>
      <c r="I6" s="68">
        <f>0.786-G5</f>
        <v>0.71150000000000002</v>
      </c>
      <c r="J6" s="68">
        <f>0.795-G5</f>
        <v>0.72050000000000003</v>
      </c>
      <c r="K6" s="68">
        <f t="shared" si="0"/>
        <v>3.4937836499999997</v>
      </c>
      <c r="L6" s="68">
        <f t="shared" si="0"/>
        <v>3.58446585</v>
      </c>
      <c r="M6" s="68">
        <f t="shared" si="0"/>
        <v>3.6298069499999999</v>
      </c>
      <c r="N6" s="68">
        <f>AVERAGE(K6:M6)</f>
        <v>3.5693521500000003</v>
      </c>
      <c r="O6" s="68">
        <f t="shared" ref="O6:O22" si="1">N6/10</f>
        <v>0.35693521500000003</v>
      </c>
      <c r="P6" s="68">
        <f t="shared" ref="P6:P34" si="2">O6/14</f>
        <v>2.5495372500000002E-2</v>
      </c>
      <c r="Q6" s="68">
        <f t="shared" ref="Q6:Q34" si="3">P6</f>
        <v>2.5495372500000002E-2</v>
      </c>
      <c r="R6" s="68">
        <f t="shared" ref="R6:R34" si="4">Q6*62</f>
        <v>1.5807130950000001</v>
      </c>
      <c r="S6" s="122"/>
      <c r="T6" s="58"/>
      <c r="U6" s="67"/>
      <c r="W6" s="87">
        <f>D11</f>
        <v>95</v>
      </c>
      <c r="X6" s="68">
        <f>S13</f>
        <v>1.4074014761904763</v>
      </c>
      <c r="Y6" s="68">
        <f>U13</f>
        <v>2.5572488765942238E-2</v>
      </c>
      <c r="Z6" s="68"/>
      <c r="AA6" s="161"/>
      <c r="AB6" s="161"/>
      <c r="AC6" s="161"/>
    </row>
    <row r="7" spans="1:29" x14ac:dyDescent="0.15">
      <c r="A7" s="41"/>
      <c r="B7" s="252"/>
      <c r="C7" s="254"/>
      <c r="D7" s="218"/>
      <c r="E7" s="227"/>
      <c r="F7" s="151" t="s">
        <v>112</v>
      </c>
      <c r="G7" s="256"/>
      <c r="H7" s="73">
        <f>0.77-G5</f>
        <v>0.69550000000000001</v>
      </c>
      <c r="I7" s="74">
        <f>0.776-G5</f>
        <v>0.70150000000000001</v>
      </c>
      <c r="J7" s="74">
        <f>0.806-G5</f>
        <v>0.73150000000000004</v>
      </c>
      <c r="K7" s="74">
        <f t="shared" si="0"/>
        <v>3.5038594499999998</v>
      </c>
      <c r="L7" s="74">
        <f t="shared" si="0"/>
        <v>3.53408685</v>
      </c>
      <c r="M7" s="74">
        <f t="shared" si="0"/>
        <v>3.6852238499999999</v>
      </c>
      <c r="N7" s="74">
        <f>AVERAGE(K7:M7)</f>
        <v>3.5743900499999999</v>
      </c>
      <c r="O7" s="74">
        <f t="shared" si="1"/>
        <v>0.35743900499999998</v>
      </c>
      <c r="P7" s="74">
        <f t="shared" si="2"/>
        <v>2.5531357499999997E-2</v>
      </c>
      <c r="Q7" s="74">
        <f t="shared" si="3"/>
        <v>2.5531357499999997E-2</v>
      </c>
      <c r="R7" s="74">
        <f t="shared" si="4"/>
        <v>1.5829441649999998</v>
      </c>
      <c r="S7" s="118">
        <f>AVERAGE(R5:R7)</f>
        <v>1.6149228349999998</v>
      </c>
      <c r="T7" s="74">
        <f>STDEV(R5:R7)</f>
        <v>5.7331698318489513E-2</v>
      </c>
      <c r="U7" s="119">
        <f>T7/SQRT(3)</f>
        <v>3.310047145727834E-2</v>
      </c>
      <c r="W7" s="87">
        <f>D14</f>
        <v>142.5</v>
      </c>
      <c r="X7" s="68">
        <f>S16</f>
        <v>1.2330083928571427</v>
      </c>
      <c r="Y7" s="68">
        <f>U16</f>
        <v>0.11389132927748628</v>
      </c>
      <c r="Z7" s="68"/>
      <c r="AA7" s="161"/>
      <c r="AB7" s="161"/>
      <c r="AC7" s="161"/>
    </row>
    <row r="8" spans="1:29" x14ac:dyDescent="0.15">
      <c r="A8" s="41"/>
      <c r="B8" s="252" t="s">
        <v>10</v>
      </c>
      <c r="C8" s="254">
        <v>0.50694444444444442</v>
      </c>
      <c r="D8" s="218">
        <v>48.5</v>
      </c>
      <c r="E8" s="226">
        <v>3</v>
      </c>
      <c r="F8" s="120" t="s">
        <v>110</v>
      </c>
      <c r="G8" s="255">
        <f>(0.076+0.073)/2</f>
        <v>7.4499999999999997E-2</v>
      </c>
      <c r="H8" s="69">
        <f>0.788-G8</f>
        <v>0.71350000000000002</v>
      </c>
      <c r="I8" s="68">
        <f>0.777-G8</f>
        <v>0.70250000000000001</v>
      </c>
      <c r="J8" s="68">
        <f>0.766-G8</f>
        <v>0.6915</v>
      </c>
      <c r="K8" s="68">
        <f t="shared" si="0"/>
        <v>3.59454165</v>
      </c>
      <c r="L8" s="68">
        <f t="shared" si="0"/>
        <v>3.5391247499999996</v>
      </c>
      <c r="M8" s="68">
        <f t="shared" si="0"/>
        <v>3.4837078499999996</v>
      </c>
      <c r="N8" s="68">
        <f t="shared" ref="N8:N34" si="5">AVERAGE(K8:M8)</f>
        <v>3.5391247499999996</v>
      </c>
      <c r="O8" s="68">
        <f t="shared" si="1"/>
        <v>0.35391247499999995</v>
      </c>
      <c r="P8" s="68">
        <f t="shared" si="2"/>
        <v>2.5279462499999995E-2</v>
      </c>
      <c r="Q8" s="68">
        <f t="shared" si="3"/>
        <v>2.5279462499999995E-2</v>
      </c>
      <c r="R8" s="68">
        <f t="shared" si="4"/>
        <v>1.5673266749999997</v>
      </c>
      <c r="S8" s="147"/>
      <c r="T8" s="68"/>
      <c r="U8" s="91"/>
      <c r="W8" s="87">
        <f>D17</f>
        <v>192.5</v>
      </c>
      <c r="X8" s="68">
        <f>S19</f>
        <v>1.1659785247619048</v>
      </c>
      <c r="Y8" s="68">
        <f>U19</f>
        <v>1.3394553668489179E-2</v>
      </c>
      <c r="Z8" s="68"/>
      <c r="AA8" s="161"/>
      <c r="AB8" s="161"/>
      <c r="AC8" s="161"/>
    </row>
    <row r="9" spans="1:29" x14ac:dyDescent="0.15">
      <c r="A9" s="41"/>
      <c r="B9" s="252"/>
      <c r="C9" s="254"/>
      <c r="D9" s="218"/>
      <c r="E9" s="226"/>
      <c r="F9" s="120" t="s">
        <v>111</v>
      </c>
      <c r="G9" s="255"/>
      <c r="H9" s="69">
        <f>0.756-G8</f>
        <v>0.68149999999999999</v>
      </c>
      <c r="I9" s="68">
        <f>0.738-G8</f>
        <v>0.66349999999999998</v>
      </c>
      <c r="J9" s="68">
        <f>0.712-G8</f>
        <v>0.63749999999999996</v>
      </c>
      <c r="K9" s="68">
        <f t="shared" si="0"/>
        <v>3.4333288499999997</v>
      </c>
      <c r="L9" s="68">
        <f t="shared" si="0"/>
        <v>3.3426466499999998</v>
      </c>
      <c r="M9" s="68">
        <f t="shared" si="0"/>
        <v>3.2116612499999997</v>
      </c>
      <c r="N9" s="68">
        <f t="shared" si="5"/>
        <v>3.3292122499999999</v>
      </c>
      <c r="O9" s="68">
        <f t="shared" si="1"/>
        <v>0.33292122499999999</v>
      </c>
      <c r="P9" s="68">
        <f t="shared" si="2"/>
        <v>2.3780087499999998E-2</v>
      </c>
      <c r="Q9" s="68">
        <f t="shared" si="3"/>
        <v>2.3780087499999998E-2</v>
      </c>
      <c r="R9" s="68">
        <f t="shared" si="4"/>
        <v>1.4743654249999998</v>
      </c>
      <c r="S9" s="147"/>
      <c r="T9" s="68"/>
      <c r="U9" s="91"/>
      <c r="W9" s="87">
        <f>D20</f>
        <v>238.5</v>
      </c>
      <c r="X9" s="68">
        <f>S22</f>
        <v>1.0558494206349207</v>
      </c>
      <c r="Y9" s="68">
        <f>U22</f>
        <v>5.6554782155843399E-2</v>
      </c>
      <c r="Z9" s="68"/>
      <c r="AA9" s="161"/>
      <c r="AB9" s="161"/>
      <c r="AC9" s="161"/>
    </row>
    <row r="10" spans="1:29" x14ac:dyDescent="0.15">
      <c r="A10" s="41"/>
      <c r="B10" s="252"/>
      <c r="C10" s="254"/>
      <c r="D10" s="218"/>
      <c r="E10" s="227"/>
      <c r="F10" s="151" t="s">
        <v>112</v>
      </c>
      <c r="G10" s="256"/>
      <c r="H10" s="73">
        <f>0.705-G8</f>
        <v>0.63049999999999995</v>
      </c>
      <c r="I10" s="74">
        <f>0.747-G8</f>
        <v>0.67249999999999999</v>
      </c>
      <c r="J10" s="74">
        <f>0.805-G8</f>
        <v>0.73050000000000004</v>
      </c>
      <c r="K10" s="74">
        <f t="shared" si="0"/>
        <v>3.1763959499999994</v>
      </c>
      <c r="L10" s="74">
        <f t="shared" si="0"/>
        <v>3.3879877499999997</v>
      </c>
      <c r="M10" s="74">
        <f t="shared" si="0"/>
        <v>3.6801859499999998</v>
      </c>
      <c r="N10" s="74">
        <f t="shared" si="5"/>
        <v>3.4148565499999997</v>
      </c>
      <c r="O10" s="74">
        <f t="shared" si="1"/>
        <v>0.34148565499999994</v>
      </c>
      <c r="P10" s="74">
        <f t="shared" si="2"/>
        <v>2.4391832499999995E-2</v>
      </c>
      <c r="Q10" s="74">
        <f t="shared" si="3"/>
        <v>2.4391832499999995E-2</v>
      </c>
      <c r="R10" s="74">
        <f t="shared" si="4"/>
        <v>1.5122936149999997</v>
      </c>
      <c r="S10" s="118">
        <f>AVERAGE(R8:R10)</f>
        <v>1.5179952383333333</v>
      </c>
      <c r="T10" s="74">
        <f>STDEV(R8:R10)</f>
        <v>4.6742163855207089E-2</v>
      </c>
      <c r="U10" s="119">
        <f>T10/SQRT(3)</f>
        <v>2.698660088430941E-2</v>
      </c>
      <c r="W10" s="87">
        <f>D23</f>
        <v>286.5</v>
      </c>
      <c r="X10" s="68">
        <f>S25</f>
        <v>0.94113490148148138</v>
      </c>
      <c r="Y10" s="68">
        <f>U25</f>
        <v>4.0671565183399344E-2</v>
      </c>
      <c r="Z10" s="68"/>
      <c r="AA10" s="161"/>
      <c r="AB10" s="161"/>
      <c r="AC10" s="161"/>
    </row>
    <row r="11" spans="1:29" x14ac:dyDescent="0.15">
      <c r="A11" s="41"/>
      <c r="B11" s="215" t="s">
        <v>12</v>
      </c>
      <c r="C11" s="254">
        <v>0.44444444444444442</v>
      </c>
      <c r="D11" s="218">
        <v>95</v>
      </c>
      <c r="E11" s="226">
        <v>5</v>
      </c>
      <c r="F11" s="120" t="s">
        <v>110</v>
      </c>
      <c r="G11" s="255">
        <v>7.8666666666666663E-2</v>
      </c>
      <c r="H11" s="69">
        <f>0.68-G11</f>
        <v>0.60133333333333339</v>
      </c>
      <c r="I11" s="68">
        <f>0.674-G11</f>
        <v>0.59533333333333338</v>
      </c>
      <c r="J11" s="68">
        <f>0.669-G11</f>
        <v>0.59033333333333338</v>
      </c>
      <c r="K11" s="68">
        <f t="shared" ref="K11:M16" si="6">5.415*H11</f>
        <v>3.2562200000000003</v>
      </c>
      <c r="L11" s="68">
        <f t="shared" si="6"/>
        <v>3.2237300000000002</v>
      </c>
      <c r="M11" s="68">
        <f t="shared" si="6"/>
        <v>3.1966550000000002</v>
      </c>
      <c r="N11" s="68">
        <f t="shared" si="5"/>
        <v>3.2255350000000003</v>
      </c>
      <c r="O11" s="68">
        <f t="shared" si="1"/>
        <v>0.32255350000000005</v>
      </c>
      <c r="P11" s="68">
        <f t="shared" si="2"/>
        <v>2.3039535714285717E-2</v>
      </c>
      <c r="Q11" s="68">
        <f t="shared" si="3"/>
        <v>2.3039535714285717E-2</v>
      </c>
      <c r="R11" s="68">
        <f t="shared" si="4"/>
        <v>1.4284512142857144</v>
      </c>
      <c r="S11" s="147"/>
      <c r="T11" s="68"/>
      <c r="U11" s="91"/>
      <c r="W11" s="87">
        <f>D26</f>
        <v>335.5</v>
      </c>
      <c r="X11" s="68">
        <f>S28</f>
        <v>0.78863035555555561</v>
      </c>
      <c r="Y11" s="68">
        <f>U28</f>
        <v>6.6596583786277558E-2</v>
      </c>
      <c r="Z11" s="68"/>
      <c r="AA11" s="161"/>
      <c r="AB11" s="161"/>
      <c r="AC11" s="161"/>
    </row>
    <row r="12" spans="1:29" ht="15" customHeight="1" x14ac:dyDescent="0.15">
      <c r="A12" s="41"/>
      <c r="B12" s="215"/>
      <c r="C12" s="254"/>
      <c r="D12" s="218"/>
      <c r="E12" s="226"/>
      <c r="F12" s="120" t="s">
        <v>111</v>
      </c>
      <c r="G12" s="255"/>
      <c r="H12" s="69">
        <f>0.678-G11</f>
        <v>0.59933333333333338</v>
      </c>
      <c r="I12" s="68">
        <f>0.686-G11</f>
        <v>0.60733333333333339</v>
      </c>
      <c r="J12" s="68">
        <f>0.67-G11</f>
        <v>0.59133333333333338</v>
      </c>
      <c r="K12" s="68">
        <f t="shared" si="6"/>
        <v>3.2453900000000004</v>
      </c>
      <c r="L12" s="68">
        <f t="shared" si="6"/>
        <v>3.2887100000000005</v>
      </c>
      <c r="M12" s="68">
        <f t="shared" si="6"/>
        <v>3.2020700000000004</v>
      </c>
      <c r="N12" s="68">
        <f t="shared" si="5"/>
        <v>3.2453900000000004</v>
      </c>
      <c r="O12" s="68">
        <f t="shared" si="1"/>
        <v>0.32453900000000002</v>
      </c>
      <c r="P12" s="68">
        <f t="shared" si="2"/>
        <v>2.3181357142857146E-2</v>
      </c>
      <c r="Q12" s="68">
        <f t="shared" si="3"/>
        <v>2.3181357142857146E-2</v>
      </c>
      <c r="R12" s="68">
        <f t="shared" si="4"/>
        <v>1.437244142857143</v>
      </c>
      <c r="S12" s="147"/>
      <c r="T12" s="68"/>
      <c r="U12" s="91"/>
      <c r="W12" s="87">
        <f>D29</f>
        <v>385.5</v>
      </c>
      <c r="X12" s="68">
        <f>S31</f>
        <v>0.60308615888888895</v>
      </c>
      <c r="Y12" s="68">
        <f>U31</f>
        <v>2.9244692817159738E-3</v>
      </c>
      <c r="Z12" s="68"/>
      <c r="AA12" s="161"/>
      <c r="AB12" s="161"/>
      <c r="AC12" s="161"/>
    </row>
    <row r="13" spans="1:29" ht="15" customHeight="1" x14ac:dyDescent="0.15">
      <c r="A13" s="41"/>
      <c r="B13" s="216"/>
      <c r="C13" s="257"/>
      <c r="D13" s="219"/>
      <c r="E13" s="227"/>
      <c r="F13" s="151" t="s">
        <v>112</v>
      </c>
      <c r="G13" s="256"/>
      <c r="H13" s="73">
        <f>0.64-G11</f>
        <v>0.56133333333333335</v>
      </c>
      <c r="I13" s="74">
        <f>0.646-G11</f>
        <v>0.56733333333333336</v>
      </c>
      <c r="J13" s="74">
        <f>0.647-G11</f>
        <v>0.56833333333333336</v>
      </c>
      <c r="K13" s="74">
        <f t="shared" si="6"/>
        <v>3.0396200000000002</v>
      </c>
      <c r="L13" s="74">
        <f t="shared" si="6"/>
        <v>3.0721100000000003</v>
      </c>
      <c r="M13" s="74">
        <f t="shared" si="6"/>
        <v>3.0775250000000001</v>
      </c>
      <c r="N13" s="74">
        <f t="shared" si="5"/>
        <v>3.0630850000000005</v>
      </c>
      <c r="O13" s="74">
        <f t="shared" si="1"/>
        <v>0.30630850000000004</v>
      </c>
      <c r="P13" s="74">
        <f t="shared" si="2"/>
        <v>2.1879178571428574E-2</v>
      </c>
      <c r="Q13" s="74">
        <f t="shared" si="3"/>
        <v>2.1879178571428574E-2</v>
      </c>
      <c r="R13" s="74">
        <f t="shared" si="4"/>
        <v>1.3565090714285715</v>
      </c>
      <c r="S13" s="118">
        <f>AVERAGE(R11:R13)</f>
        <v>1.4074014761904763</v>
      </c>
      <c r="T13" s="74">
        <f>STDEV(R11:R13)</f>
        <v>4.429284981859629E-2</v>
      </c>
      <c r="U13" s="119">
        <f>T13/SQRT(3)</f>
        <v>2.5572488765942238E-2</v>
      </c>
      <c r="W13" s="87">
        <f>D32</f>
        <v>432</v>
      </c>
      <c r="X13" s="68">
        <f>S34</f>
        <v>0.50491248277777767</v>
      </c>
      <c r="Y13" s="68">
        <f>U34</f>
        <v>1.8905522222221933E-3</v>
      </c>
      <c r="Z13" s="68"/>
      <c r="AA13" s="161"/>
      <c r="AB13" s="161"/>
      <c r="AC13" s="161"/>
    </row>
    <row r="14" spans="1:29" x14ac:dyDescent="0.15">
      <c r="A14" s="41"/>
      <c r="B14" s="251" t="s">
        <v>30</v>
      </c>
      <c r="C14" s="253">
        <v>0.41666666666666669</v>
      </c>
      <c r="D14" s="217">
        <v>142.5</v>
      </c>
      <c r="E14" s="266">
        <v>7</v>
      </c>
      <c r="F14" s="120" t="s">
        <v>110</v>
      </c>
      <c r="G14" s="258">
        <v>7.8666666666666663E-2</v>
      </c>
      <c r="H14" s="69">
        <f>0.641-G14</f>
        <v>0.56233333333333335</v>
      </c>
      <c r="I14" s="68">
        <f>0.652-G14</f>
        <v>0.57333333333333336</v>
      </c>
      <c r="J14" s="68">
        <f>0.66-G14</f>
        <v>0.58133333333333337</v>
      </c>
      <c r="K14" s="68">
        <f t="shared" si="6"/>
        <v>3.0450349999999999</v>
      </c>
      <c r="L14" s="68">
        <f t="shared" si="6"/>
        <v>3.1046</v>
      </c>
      <c r="M14" s="68">
        <f t="shared" si="6"/>
        <v>3.1479200000000001</v>
      </c>
      <c r="N14" s="68">
        <f t="shared" si="5"/>
        <v>3.0991849999999999</v>
      </c>
      <c r="O14" s="68">
        <f t="shared" si="1"/>
        <v>0.30991849999999999</v>
      </c>
      <c r="P14" s="68">
        <f t="shared" si="2"/>
        <v>2.2137035714285713E-2</v>
      </c>
      <c r="Q14" s="68">
        <f t="shared" si="3"/>
        <v>2.2137035714285713E-2</v>
      </c>
      <c r="R14" s="68">
        <f t="shared" si="4"/>
        <v>1.3724962142857142</v>
      </c>
      <c r="S14" s="122"/>
      <c r="T14" s="58"/>
      <c r="U14" s="67"/>
      <c r="W14" s="58"/>
      <c r="X14" s="68"/>
      <c r="Y14" s="68"/>
      <c r="Z14" s="68"/>
      <c r="AA14" s="68"/>
    </row>
    <row r="15" spans="1:29" x14ac:dyDescent="0.15">
      <c r="B15" s="252"/>
      <c r="C15" s="254"/>
      <c r="D15" s="218"/>
      <c r="E15" s="226"/>
      <c r="F15" s="120" t="s">
        <v>111</v>
      </c>
      <c r="G15" s="255"/>
      <c r="H15" s="69">
        <f>0.11-G14</f>
        <v>3.1333333333333338E-2</v>
      </c>
      <c r="I15" s="68">
        <f>0.097-G14</f>
        <v>1.833333333333334E-2</v>
      </c>
      <c r="J15" s="68">
        <f>0.092-G14</f>
        <v>1.3333333333333336E-2</v>
      </c>
      <c r="K15" s="68">
        <f t="shared" si="6"/>
        <v>0.16967000000000002</v>
      </c>
      <c r="L15" s="68">
        <f t="shared" si="6"/>
        <v>9.9275000000000044E-2</v>
      </c>
      <c r="M15" s="68">
        <f t="shared" si="6"/>
        <v>7.2200000000000014E-2</v>
      </c>
      <c r="N15" s="68">
        <f t="shared" si="5"/>
        <v>0.11371500000000001</v>
      </c>
      <c r="O15" s="68">
        <f t="shared" si="1"/>
        <v>1.1371500000000001E-2</v>
      </c>
      <c r="P15" s="68">
        <f t="shared" si="2"/>
        <v>8.1225000000000015E-4</v>
      </c>
      <c r="Q15" s="68">
        <f t="shared" si="3"/>
        <v>8.1225000000000015E-4</v>
      </c>
      <c r="R15" s="68">
        <f t="shared" si="4"/>
        <v>5.0359500000000008E-2</v>
      </c>
      <c r="S15" s="122"/>
      <c r="T15" s="58"/>
      <c r="U15" s="67"/>
      <c r="W15" s="58"/>
      <c r="X15" s="68"/>
      <c r="Y15" s="68"/>
      <c r="Z15" s="68"/>
      <c r="AA15" s="68"/>
    </row>
    <row r="16" spans="1:29" x14ac:dyDescent="0.15">
      <c r="B16" s="252"/>
      <c r="C16" s="254"/>
      <c r="D16" s="218"/>
      <c r="E16" s="227"/>
      <c r="F16" s="151" t="s">
        <v>112</v>
      </c>
      <c r="G16" s="256"/>
      <c r="H16" s="73">
        <f>0.519-G14</f>
        <v>0.44033333333333335</v>
      </c>
      <c r="I16" s="74">
        <f>0.537-G14</f>
        <v>0.45833333333333337</v>
      </c>
      <c r="J16" s="74">
        <f>0.548-G14</f>
        <v>0.46933333333333338</v>
      </c>
      <c r="K16" s="74">
        <f t="shared" si="6"/>
        <v>2.3844050000000001</v>
      </c>
      <c r="L16" s="74">
        <f t="shared" si="6"/>
        <v>2.4818750000000001</v>
      </c>
      <c r="M16" s="74">
        <f t="shared" si="6"/>
        <v>2.5414400000000001</v>
      </c>
      <c r="N16" s="74">
        <f t="shared" si="5"/>
        <v>2.4692399999999997</v>
      </c>
      <c r="O16" s="74">
        <f t="shared" si="1"/>
        <v>0.24692399999999998</v>
      </c>
      <c r="P16" s="74">
        <f t="shared" si="2"/>
        <v>1.7637428571428571E-2</v>
      </c>
      <c r="Q16" s="74">
        <f t="shared" si="3"/>
        <v>1.7637428571428571E-2</v>
      </c>
      <c r="R16" s="74">
        <f t="shared" si="4"/>
        <v>1.0935205714285714</v>
      </c>
      <c r="S16" s="118">
        <f>AVERAGE(R14,R16)</f>
        <v>1.2330083928571427</v>
      </c>
      <c r="T16" s="74">
        <f>STDEV(R14,R16)</f>
        <v>0.19726556885016303</v>
      </c>
      <c r="U16" s="119">
        <f>T16/SQRT(3)</f>
        <v>0.11389132927748628</v>
      </c>
      <c r="W16" s="58"/>
      <c r="X16" s="68"/>
      <c r="Y16" s="68"/>
      <c r="Z16" s="68"/>
      <c r="AA16" s="68"/>
    </row>
    <row r="17" spans="2:27" x14ac:dyDescent="0.15">
      <c r="B17" s="215" t="s">
        <v>32</v>
      </c>
      <c r="C17" s="254">
        <v>0.5</v>
      </c>
      <c r="D17" s="218">
        <v>192.5</v>
      </c>
      <c r="E17" s="226">
        <v>9</v>
      </c>
      <c r="F17" s="120" t="s">
        <v>110</v>
      </c>
      <c r="G17" s="255">
        <v>8.1000000000000003E-2</v>
      </c>
      <c r="H17" s="69">
        <f>0.547-G17</f>
        <v>0.46600000000000003</v>
      </c>
      <c r="I17" s="68">
        <f>0.55-G17</f>
        <v>0.46900000000000003</v>
      </c>
      <c r="J17" s="68">
        <f>0.567-G17</f>
        <v>0.48599999999999993</v>
      </c>
      <c r="K17" s="68">
        <f t="shared" ref="K17:M22" si="7">5.4323*H17</f>
        <v>2.5314518000000001</v>
      </c>
      <c r="L17" s="68">
        <f t="shared" si="7"/>
        <v>2.5477487000000001</v>
      </c>
      <c r="M17" s="68">
        <f t="shared" si="7"/>
        <v>2.6400977999999995</v>
      </c>
      <c r="N17" s="68">
        <f t="shared" si="5"/>
        <v>2.5730994333333332</v>
      </c>
      <c r="O17" s="68">
        <f t="shared" si="1"/>
        <v>0.25730994333333335</v>
      </c>
      <c r="P17" s="68">
        <f t="shared" si="2"/>
        <v>1.8379281666666667E-2</v>
      </c>
      <c r="Q17" s="68">
        <f t="shared" si="3"/>
        <v>1.8379281666666667E-2</v>
      </c>
      <c r="R17" s="68">
        <f t="shared" si="4"/>
        <v>1.1395154633333333</v>
      </c>
      <c r="S17" s="122"/>
      <c r="T17" s="58"/>
      <c r="U17" s="67"/>
      <c r="W17" s="58"/>
      <c r="X17" s="68"/>
      <c r="Y17" s="68"/>
      <c r="Z17" s="68"/>
      <c r="AA17" s="68"/>
    </row>
    <row r="18" spans="2:27" x14ac:dyDescent="0.15">
      <c r="B18" s="215"/>
      <c r="C18" s="254"/>
      <c r="D18" s="218"/>
      <c r="E18" s="226"/>
      <c r="F18" s="120" t="s">
        <v>111</v>
      </c>
      <c r="G18" s="255"/>
      <c r="H18" s="69">
        <f>0.575-G17</f>
        <v>0.49399999999999994</v>
      </c>
      <c r="I18" s="68">
        <f>0.564-G17</f>
        <v>0.48299999999999993</v>
      </c>
      <c r="J18" s="68">
        <f>0.579-G17</f>
        <v>0.49799999999999994</v>
      </c>
      <c r="K18" s="68">
        <f t="shared" si="7"/>
        <v>2.6835561999999995</v>
      </c>
      <c r="L18" s="68">
        <f t="shared" si="7"/>
        <v>2.6238008999999995</v>
      </c>
      <c r="M18" s="68">
        <f t="shared" si="7"/>
        <v>2.7052853999999997</v>
      </c>
      <c r="N18" s="68">
        <f t="shared" si="5"/>
        <v>2.6708808333333329</v>
      </c>
      <c r="O18" s="68">
        <f t="shared" si="1"/>
        <v>0.26708808333333328</v>
      </c>
      <c r="P18" s="68">
        <f t="shared" si="2"/>
        <v>1.9077720238095234E-2</v>
      </c>
      <c r="Q18" s="68">
        <f t="shared" si="3"/>
        <v>1.9077720238095234E-2</v>
      </c>
      <c r="R18" s="68">
        <f t="shared" si="4"/>
        <v>1.1828186547619044</v>
      </c>
      <c r="S18" s="122"/>
      <c r="T18" s="58"/>
      <c r="U18" s="67"/>
      <c r="W18" s="58"/>
      <c r="X18" s="68"/>
      <c r="Y18" s="68"/>
      <c r="Z18" s="68"/>
      <c r="AA18" s="68"/>
    </row>
    <row r="19" spans="2:27" x14ac:dyDescent="0.15">
      <c r="B19" s="216"/>
      <c r="C19" s="257"/>
      <c r="D19" s="219"/>
      <c r="E19" s="227"/>
      <c r="F19" s="151" t="s">
        <v>112</v>
      </c>
      <c r="G19" s="256"/>
      <c r="H19" s="73">
        <f>0.599-G17</f>
        <v>0.51800000000000002</v>
      </c>
      <c r="I19" s="74">
        <f>0.544-G17</f>
        <v>0.46300000000000002</v>
      </c>
      <c r="J19" s="74">
        <f>0.566-G17</f>
        <v>0.48499999999999993</v>
      </c>
      <c r="K19" s="74">
        <f t="shared" si="7"/>
        <v>2.8139314</v>
      </c>
      <c r="L19" s="74">
        <f t="shared" si="7"/>
        <v>2.5151549000000002</v>
      </c>
      <c r="M19" s="74">
        <f t="shared" si="7"/>
        <v>2.6346654999999997</v>
      </c>
      <c r="N19" s="74">
        <f t="shared" si="5"/>
        <v>2.6545839333333334</v>
      </c>
      <c r="O19" s="74">
        <f t="shared" si="1"/>
        <v>0.26545839333333332</v>
      </c>
      <c r="P19" s="74">
        <f t="shared" si="2"/>
        <v>1.896131380952381E-2</v>
      </c>
      <c r="Q19" s="74">
        <f t="shared" si="3"/>
        <v>1.896131380952381E-2</v>
      </c>
      <c r="R19" s="74">
        <f t="shared" si="4"/>
        <v>1.1756014561904762</v>
      </c>
      <c r="S19" s="118">
        <f>AVERAGE(R17:R19)</f>
        <v>1.1659785247619048</v>
      </c>
      <c r="T19" s="74">
        <f>STDEV(R17:R19)</f>
        <v>2.320004749853135E-2</v>
      </c>
      <c r="U19" s="119">
        <f>T19/SQRT(3)</f>
        <v>1.3394553668489179E-2</v>
      </c>
      <c r="W19" s="58"/>
      <c r="X19" s="68"/>
      <c r="Y19" s="68"/>
      <c r="Z19" s="68"/>
      <c r="AA19" s="68"/>
    </row>
    <row r="20" spans="2:27" x14ac:dyDescent="0.15">
      <c r="B20" s="214" t="s">
        <v>34</v>
      </c>
      <c r="C20" s="253">
        <v>0.40625</v>
      </c>
      <c r="D20" s="217">
        <v>238.5</v>
      </c>
      <c r="E20" s="266">
        <v>11</v>
      </c>
      <c r="F20" s="120" t="s">
        <v>110</v>
      </c>
      <c r="G20" s="255">
        <v>8.1000000000000003E-2</v>
      </c>
      <c r="H20" s="81">
        <f>0.509-G20</f>
        <v>0.42799999999999999</v>
      </c>
      <c r="I20" s="82">
        <f>0.566-G20</f>
        <v>0.48499999999999993</v>
      </c>
      <c r="J20" s="82">
        <f>0.546-G20</f>
        <v>0.46500000000000002</v>
      </c>
      <c r="K20" s="68">
        <f t="shared" si="7"/>
        <v>2.3250243999999998</v>
      </c>
      <c r="L20" s="68">
        <f t="shared" si="7"/>
        <v>2.6346654999999997</v>
      </c>
      <c r="M20" s="68">
        <f t="shared" si="7"/>
        <v>2.5260194999999999</v>
      </c>
      <c r="N20" s="68">
        <f t="shared" si="5"/>
        <v>2.4952364666666664</v>
      </c>
      <c r="O20" s="68">
        <f t="shared" si="1"/>
        <v>0.24952364666666665</v>
      </c>
      <c r="P20" s="68">
        <f t="shared" si="2"/>
        <v>1.7823117619047618E-2</v>
      </c>
      <c r="Q20" s="68">
        <f t="shared" si="3"/>
        <v>1.7823117619047618E-2</v>
      </c>
      <c r="R20" s="68">
        <f t="shared" si="4"/>
        <v>1.1050332923809523</v>
      </c>
      <c r="S20" s="117"/>
      <c r="T20" s="82"/>
      <c r="U20" s="88"/>
      <c r="W20" s="58"/>
      <c r="X20" s="68"/>
      <c r="Y20" s="68"/>
      <c r="Z20" s="68"/>
      <c r="AA20" s="68"/>
    </row>
    <row r="21" spans="2:27" x14ac:dyDescent="0.15">
      <c r="B21" s="215"/>
      <c r="C21" s="254"/>
      <c r="D21" s="218"/>
      <c r="E21" s="226"/>
      <c r="F21" s="120" t="s">
        <v>111</v>
      </c>
      <c r="G21" s="255"/>
      <c r="H21" s="69">
        <f>0.538-G20</f>
        <v>0.45700000000000002</v>
      </c>
      <c r="I21" s="68">
        <f>0.558-G20</f>
        <v>0.47700000000000004</v>
      </c>
      <c r="J21" s="68">
        <f>0.543-G20</f>
        <v>0.46200000000000002</v>
      </c>
      <c r="K21" s="68">
        <f t="shared" si="7"/>
        <v>2.4825610999999999</v>
      </c>
      <c r="L21" s="68">
        <f t="shared" si="7"/>
        <v>2.5912071000000001</v>
      </c>
      <c r="M21" s="68">
        <f t="shared" si="7"/>
        <v>2.5097225999999999</v>
      </c>
      <c r="N21" s="68">
        <f t="shared" si="5"/>
        <v>2.5278302666666668</v>
      </c>
      <c r="O21" s="68">
        <f t="shared" si="1"/>
        <v>0.25278302666666669</v>
      </c>
      <c r="P21" s="68">
        <f t="shared" si="2"/>
        <v>1.8055930476190477E-2</v>
      </c>
      <c r="Q21" s="68">
        <f t="shared" si="3"/>
        <v>1.8055930476190477E-2</v>
      </c>
      <c r="R21" s="68">
        <f t="shared" si="4"/>
        <v>1.1194676895238096</v>
      </c>
      <c r="S21" s="147"/>
      <c r="T21" s="68"/>
      <c r="U21" s="91"/>
      <c r="W21" s="58"/>
      <c r="X21" s="68"/>
      <c r="Y21" s="68"/>
      <c r="Z21" s="68"/>
      <c r="AA21" s="68"/>
    </row>
    <row r="22" spans="2:27" x14ac:dyDescent="0.15">
      <c r="B22" s="215"/>
      <c r="C22" s="254"/>
      <c r="D22" s="218"/>
      <c r="E22" s="227"/>
      <c r="F22" s="151" t="s">
        <v>112</v>
      </c>
      <c r="G22" s="256"/>
      <c r="H22" s="73">
        <f>0.456-G20</f>
        <v>0.375</v>
      </c>
      <c r="I22" s="74">
        <f>0.459-G20</f>
        <v>0.378</v>
      </c>
      <c r="J22" s="74">
        <f>0.504-G20</f>
        <v>0.42299999999999999</v>
      </c>
      <c r="K22" s="74">
        <f t="shared" si="7"/>
        <v>2.0371125000000001</v>
      </c>
      <c r="L22" s="74">
        <f t="shared" si="7"/>
        <v>2.0534094000000001</v>
      </c>
      <c r="M22" s="74">
        <f t="shared" si="7"/>
        <v>2.2978628999999997</v>
      </c>
      <c r="N22" s="74">
        <f t="shared" si="5"/>
        <v>2.1294616000000004</v>
      </c>
      <c r="O22" s="74">
        <f t="shared" si="1"/>
        <v>0.21294616000000005</v>
      </c>
      <c r="P22" s="74">
        <f t="shared" si="2"/>
        <v>1.5210440000000004E-2</v>
      </c>
      <c r="Q22" s="74">
        <f t="shared" si="3"/>
        <v>1.5210440000000004E-2</v>
      </c>
      <c r="R22" s="74">
        <f t="shared" si="4"/>
        <v>0.94304728000000027</v>
      </c>
      <c r="S22" s="118">
        <f>AVERAGE(R20:R22)</f>
        <v>1.0558494206349207</v>
      </c>
      <c r="T22" s="74">
        <f>STDEV(R20:R22)</f>
        <v>9.7955756104910488E-2</v>
      </c>
      <c r="U22" s="119">
        <f>T22/SQRT(3)</f>
        <v>5.6554782155843399E-2</v>
      </c>
      <c r="W22" s="58"/>
      <c r="X22" s="68"/>
      <c r="Y22" s="68"/>
      <c r="Z22" s="68"/>
      <c r="AA22" s="68"/>
    </row>
    <row r="23" spans="2:27" x14ac:dyDescent="0.15">
      <c r="B23" s="215" t="s">
        <v>36</v>
      </c>
      <c r="C23" s="254">
        <v>0.40625</v>
      </c>
      <c r="D23" s="218">
        <v>286.5</v>
      </c>
      <c r="E23" s="226">
        <v>13</v>
      </c>
      <c r="F23" s="120" t="s">
        <v>110</v>
      </c>
      <c r="G23" s="255">
        <v>7.8E-2</v>
      </c>
      <c r="H23" s="69">
        <f>0.667-G23</f>
        <v>0.58900000000000008</v>
      </c>
      <c r="I23" s="68">
        <f>0.687-G23</f>
        <v>0.6090000000000001</v>
      </c>
      <c r="J23" s="68">
        <f>0.674-G23</f>
        <v>0.59600000000000009</v>
      </c>
      <c r="K23" s="68">
        <f t="shared" ref="K23:M34" si="8">5.4887*H23</f>
        <v>3.2328443000000004</v>
      </c>
      <c r="L23" s="68">
        <f t="shared" si="8"/>
        <v>3.3426183000000003</v>
      </c>
      <c r="M23" s="68">
        <f t="shared" si="8"/>
        <v>3.2712652000000002</v>
      </c>
      <c r="N23" s="68">
        <f t="shared" si="5"/>
        <v>3.2822426</v>
      </c>
      <c r="O23" s="68">
        <f>N23/15</f>
        <v>0.21881617333333334</v>
      </c>
      <c r="P23" s="68">
        <f t="shared" si="2"/>
        <v>1.5629726666666666E-2</v>
      </c>
      <c r="Q23" s="68">
        <f t="shared" si="3"/>
        <v>1.5629726666666666E-2</v>
      </c>
      <c r="R23" s="68">
        <f t="shared" si="4"/>
        <v>0.96904305333333329</v>
      </c>
      <c r="S23" s="147"/>
      <c r="T23" s="68"/>
      <c r="U23" s="91"/>
      <c r="W23" s="58"/>
      <c r="X23" s="68"/>
      <c r="Y23" s="68"/>
      <c r="Z23" s="68"/>
      <c r="AA23" s="68"/>
    </row>
    <row r="24" spans="2:27" x14ac:dyDescent="0.15">
      <c r="B24" s="215"/>
      <c r="C24" s="254"/>
      <c r="D24" s="218"/>
      <c r="E24" s="226"/>
      <c r="F24" s="120" t="s">
        <v>111</v>
      </c>
      <c r="G24" s="255"/>
      <c r="H24" s="69">
        <f>0.693-G23</f>
        <v>0.61499999999999999</v>
      </c>
      <c r="I24" s="68">
        <f>0.693-G23</f>
        <v>0.61499999999999999</v>
      </c>
      <c r="J24" s="68">
        <f>0.687-G23</f>
        <v>0.6090000000000001</v>
      </c>
      <c r="K24" s="68">
        <f t="shared" si="8"/>
        <v>3.3755504999999997</v>
      </c>
      <c r="L24" s="68">
        <f t="shared" si="8"/>
        <v>3.3755504999999997</v>
      </c>
      <c r="M24" s="68">
        <f t="shared" si="8"/>
        <v>3.3426183000000003</v>
      </c>
      <c r="N24" s="68">
        <f t="shared" si="5"/>
        <v>3.3645730999999999</v>
      </c>
      <c r="O24" s="68">
        <f>N24/15</f>
        <v>0.22430487333333332</v>
      </c>
      <c r="P24" s="68">
        <f t="shared" si="2"/>
        <v>1.6021776666666664E-2</v>
      </c>
      <c r="Q24" s="68">
        <f t="shared" si="3"/>
        <v>1.6021776666666664E-2</v>
      </c>
      <c r="R24" s="68">
        <f t="shared" si="4"/>
        <v>0.99335015333333321</v>
      </c>
      <c r="S24" s="147"/>
      <c r="T24" s="68"/>
      <c r="U24" s="91"/>
      <c r="W24" s="58"/>
      <c r="X24" s="68"/>
      <c r="Y24" s="68"/>
      <c r="Z24" s="68"/>
      <c r="AA24" s="68"/>
    </row>
    <row r="25" spans="2:27" x14ac:dyDescent="0.15">
      <c r="B25" s="216"/>
      <c r="C25" s="257"/>
      <c r="D25" s="219"/>
      <c r="E25" s="227"/>
      <c r="F25" s="151" t="s">
        <v>112</v>
      </c>
      <c r="G25" s="256"/>
      <c r="H25" s="73">
        <f>0.597-G23</f>
        <v>0.51900000000000002</v>
      </c>
      <c r="I25" s="74">
        <f>0.633-G23</f>
        <v>0.55500000000000005</v>
      </c>
      <c r="J25" s="74">
        <f>0.598-G23</f>
        <v>0.52</v>
      </c>
      <c r="K25" s="74">
        <f t="shared" si="8"/>
        <v>2.8486352999999998</v>
      </c>
      <c r="L25" s="74">
        <f t="shared" si="8"/>
        <v>3.0462285000000002</v>
      </c>
      <c r="M25" s="74">
        <f t="shared" si="8"/>
        <v>2.8541240000000001</v>
      </c>
      <c r="N25" s="74">
        <f t="shared" si="5"/>
        <v>2.9163292666666667</v>
      </c>
      <c r="O25" s="74">
        <f>N25/15</f>
        <v>0.1944219511111111</v>
      </c>
      <c r="P25" s="74">
        <f t="shared" si="2"/>
        <v>1.3887282222222222E-2</v>
      </c>
      <c r="Q25" s="74">
        <f t="shared" si="3"/>
        <v>1.3887282222222222E-2</v>
      </c>
      <c r="R25" s="74">
        <f t="shared" si="4"/>
        <v>0.86101149777777775</v>
      </c>
      <c r="S25" s="118">
        <f>AVERAGE(R23:R25)</f>
        <v>0.94113490148148138</v>
      </c>
      <c r="T25" s="74">
        <f>STDEV(R23:R25)</f>
        <v>7.0445217320997067E-2</v>
      </c>
      <c r="U25" s="119">
        <f>T25/SQRT(3)</f>
        <v>4.0671565183399344E-2</v>
      </c>
    </row>
    <row r="26" spans="2:27" x14ac:dyDescent="0.15">
      <c r="B26" s="214" t="s">
        <v>38</v>
      </c>
      <c r="C26" s="253">
        <v>0.45833333333333331</v>
      </c>
      <c r="D26" s="217">
        <v>335.5</v>
      </c>
      <c r="E26" s="266">
        <v>15</v>
      </c>
      <c r="F26" s="120" t="s">
        <v>110</v>
      </c>
      <c r="G26" s="255">
        <v>7.8E-2</v>
      </c>
      <c r="H26" s="81">
        <f>0.497-G26</f>
        <v>0.41899999999999998</v>
      </c>
      <c r="I26" s="82">
        <f>0.498-G26</f>
        <v>0.42</v>
      </c>
      <c r="J26" s="82">
        <f>0.548-G26</f>
        <v>0.47000000000000003</v>
      </c>
      <c r="K26" s="68">
        <f t="shared" si="8"/>
        <v>2.2997652999999998</v>
      </c>
      <c r="L26" s="68">
        <f t="shared" si="8"/>
        <v>2.3052539999999997</v>
      </c>
      <c r="M26" s="68">
        <f t="shared" si="8"/>
        <v>2.5796890000000001</v>
      </c>
      <c r="N26" s="68">
        <f t="shared" si="5"/>
        <v>2.3949027666666667</v>
      </c>
      <c r="O26" s="68">
        <f>N26/15</f>
        <v>0.15966018444444444</v>
      </c>
      <c r="P26" s="68">
        <f t="shared" si="2"/>
        <v>1.1404298888888888E-2</v>
      </c>
      <c r="Q26" s="68">
        <f t="shared" si="3"/>
        <v>1.1404298888888888E-2</v>
      </c>
      <c r="R26" s="68">
        <f t="shared" si="4"/>
        <v>0.70706653111111106</v>
      </c>
      <c r="S26" s="121"/>
      <c r="T26" s="89"/>
      <c r="U26" s="80"/>
    </row>
    <row r="27" spans="2:27" x14ac:dyDescent="0.15">
      <c r="B27" s="215"/>
      <c r="C27" s="254"/>
      <c r="D27" s="218"/>
      <c r="E27" s="226"/>
      <c r="F27" s="120" t="s">
        <v>111</v>
      </c>
      <c r="G27" s="255"/>
      <c r="H27" s="69">
        <f>0.605-G26</f>
        <v>0.52700000000000002</v>
      </c>
      <c r="I27" s="68">
        <f>0.633-G26</f>
        <v>0.55500000000000005</v>
      </c>
      <c r="J27" s="68">
        <f>0.607-G26</f>
        <v>0.52900000000000003</v>
      </c>
      <c r="K27" s="68">
        <f t="shared" si="8"/>
        <v>2.8925448999999999</v>
      </c>
      <c r="L27" s="68">
        <f t="shared" si="8"/>
        <v>3.0462285000000002</v>
      </c>
      <c r="M27" s="68">
        <f t="shared" si="8"/>
        <v>2.9035223000000001</v>
      </c>
      <c r="N27" s="68">
        <f t="shared" si="5"/>
        <v>2.9474319000000002</v>
      </c>
      <c r="O27" s="68">
        <f t="shared" ref="O27:O28" si="9">N27/15</f>
        <v>0.19649546000000001</v>
      </c>
      <c r="P27" s="68">
        <f t="shared" si="2"/>
        <v>1.403539E-2</v>
      </c>
      <c r="Q27" s="68">
        <f t="shared" si="3"/>
        <v>1.403539E-2</v>
      </c>
      <c r="R27" s="68">
        <f t="shared" si="4"/>
        <v>0.87019418000000004</v>
      </c>
      <c r="S27" s="122"/>
      <c r="T27" s="58"/>
      <c r="U27" s="67"/>
    </row>
    <row r="28" spans="2:27" x14ac:dyDescent="0.15">
      <c r="B28" s="215"/>
      <c r="C28" s="254"/>
      <c r="D28" s="218"/>
      <c r="E28" s="227"/>
      <c r="F28" s="151" t="s">
        <v>112</v>
      </c>
      <c r="G28" s="256"/>
      <c r="H28" s="73">
        <f>0.405-G26</f>
        <v>0.32700000000000001</v>
      </c>
      <c r="I28" s="74">
        <f>0.412-G26</f>
        <v>0.33399999999999996</v>
      </c>
      <c r="J28" s="74">
        <f>0.408-G26</f>
        <v>0.32999999999999996</v>
      </c>
      <c r="K28" s="74">
        <f t="shared" si="8"/>
        <v>1.7948048999999999</v>
      </c>
      <c r="L28" s="74">
        <f t="shared" si="8"/>
        <v>1.8332257999999997</v>
      </c>
      <c r="M28" s="74">
        <f t="shared" si="8"/>
        <v>1.8112709999999996</v>
      </c>
      <c r="N28" s="74">
        <f t="shared" si="5"/>
        <v>1.8131005666666666</v>
      </c>
      <c r="O28" s="74">
        <f t="shared" si="9"/>
        <v>0.12087337111111111</v>
      </c>
      <c r="P28" s="74">
        <f t="shared" si="2"/>
        <v>8.6338122222222227E-3</v>
      </c>
      <c r="Q28" s="74">
        <f t="shared" si="3"/>
        <v>8.6338122222222227E-3</v>
      </c>
      <c r="R28" s="74">
        <f t="shared" si="4"/>
        <v>0.53529635777777784</v>
      </c>
      <c r="S28" s="118">
        <f>AVERAGE(R26:R27)</f>
        <v>0.78863035555555561</v>
      </c>
      <c r="T28" s="74">
        <f>STDEV(R26:R27)</f>
        <v>0.11534866672835044</v>
      </c>
      <c r="U28" s="119">
        <f>T28/SQRT(3)</f>
        <v>6.6596583786277558E-2</v>
      </c>
    </row>
    <row r="29" spans="2:27" x14ac:dyDescent="0.15">
      <c r="B29" s="252" t="s">
        <v>40</v>
      </c>
      <c r="C29" s="254">
        <v>0.53125</v>
      </c>
      <c r="D29" s="218">
        <v>385.5</v>
      </c>
      <c r="E29" s="226">
        <v>17</v>
      </c>
      <c r="F29" s="120" t="s">
        <v>110</v>
      </c>
      <c r="G29" s="255">
        <v>7.5999999999999998E-2</v>
      </c>
      <c r="H29" s="68">
        <f>0.589-G29</f>
        <v>0.51300000000000001</v>
      </c>
      <c r="I29" s="68">
        <f>0.549-G29</f>
        <v>0.47300000000000003</v>
      </c>
      <c r="J29" s="68">
        <f>0.579-G29</f>
        <v>0.503</v>
      </c>
      <c r="K29" s="68">
        <f t="shared" si="8"/>
        <v>2.8157030999999999</v>
      </c>
      <c r="L29" s="68">
        <f t="shared" si="8"/>
        <v>2.5961550999999998</v>
      </c>
      <c r="M29" s="68">
        <f t="shared" si="8"/>
        <v>2.7608161</v>
      </c>
      <c r="N29" s="68">
        <f t="shared" si="5"/>
        <v>2.7242247666666661</v>
      </c>
      <c r="O29" s="68">
        <f t="shared" ref="O29:O34" si="10">N29/20</f>
        <v>0.13621123833333332</v>
      </c>
      <c r="P29" s="68">
        <f t="shared" si="2"/>
        <v>9.7293741666666655E-3</v>
      </c>
      <c r="Q29" s="68">
        <f t="shared" si="3"/>
        <v>9.7293741666666655E-3</v>
      </c>
      <c r="R29" s="68">
        <f t="shared" si="4"/>
        <v>0.60322119833333332</v>
      </c>
      <c r="S29" s="122"/>
      <c r="T29" s="58"/>
      <c r="U29" s="67"/>
    </row>
    <row r="30" spans="2:27" x14ac:dyDescent="0.15">
      <c r="B30" s="252"/>
      <c r="C30" s="254"/>
      <c r="D30" s="218"/>
      <c r="E30" s="226"/>
      <c r="F30" s="120" t="s">
        <v>111</v>
      </c>
      <c r="G30" s="255"/>
      <c r="H30" s="68">
        <f>0.579-G29</f>
        <v>0.503</v>
      </c>
      <c r="I30" s="68">
        <f>0.558-G29</f>
        <v>0.48200000000000004</v>
      </c>
      <c r="J30" s="68">
        <f>0.567-G29</f>
        <v>0.49099999999999994</v>
      </c>
      <c r="K30" s="68">
        <f t="shared" si="8"/>
        <v>2.7608161</v>
      </c>
      <c r="L30" s="68">
        <f t="shared" si="8"/>
        <v>2.6455534000000003</v>
      </c>
      <c r="M30" s="68">
        <f t="shared" si="8"/>
        <v>2.6949516999999994</v>
      </c>
      <c r="N30" s="68">
        <f t="shared" si="5"/>
        <v>2.7004403999999997</v>
      </c>
      <c r="O30" s="68">
        <f t="shared" si="10"/>
        <v>0.13502201999999999</v>
      </c>
      <c r="P30" s="68">
        <f t="shared" si="2"/>
        <v>9.644429999999999E-3</v>
      </c>
      <c r="Q30" s="68">
        <f t="shared" si="3"/>
        <v>9.644429999999999E-3</v>
      </c>
      <c r="R30" s="68">
        <f t="shared" si="4"/>
        <v>0.59795465999999997</v>
      </c>
      <c r="S30" s="122"/>
      <c r="T30" s="58"/>
      <c r="U30" s="67"/>
    </row>
    <row r="31" spans="2:27" x14ac:dyDescent="0.15">
      <c r="B31" s="252"/>
      <c r="C31" s="254"/>
      <c r="D31" s="218"/>
      <c r="E31" s="227"/>
      <c r="F31" s="151" t="s">
        <v>112</v>
      </c>
      <c r="G31" s="256"/>
      <c r="H31" s="74">
        <f>0.588-G29</f>
        <v>0.51200000000000001</v>
      </c>
      <c r="I31" s="74">
        <f>0.564-G29</f>
        <v>0.48799999999999993</v>
      </c>
      <c r="J31" s="74">
        <f>0.577-G29</f>
        <v>0.501</v>
      </c>
      <c r="K31" s="74">
        <f t="shared" si="8"/>
        <v>2.8102144</v>
      </c>
      <c r="L31" s="74">
        <f t="shared" si="8"/>
        <v>2.6784855999999997</v>
      </c>
      <c r="M31" s="74">
        <f t="shared" si="8"/>
        <v>2.7498386999999997</v>
      </c>
      <c r="N31" s="74">
        <f t="shared" si="5"/>
        <v>2.7461795666666666</v>
      </c>
      <c r="O31" s="74">
        <f t="shared" si="10"/>
        <v>0.13730897833333333</v>
      </c>
      <c r="P31" s="74">
        <f t="shared" si="2"/>
        <v>9.8077841666666665E-3</v>
      </c>
      <c r="Q31" s="74">
        <f t="shared" si="3"/>
        <v>9.8077841666666665E-3</v>
      </c>
      <c r="R31" s="74">
        <f t="shared" si="4"/>
        <v>0.60808261833333332</v>
      </c>
      <c r="S31" s="118">
        <f>AVERAGE(R29:R31)</f>
        <v>0.60308615888888895</v>
      </c>
      <c r="T31" s="74">
        <f>STDEV(R29:R31)</f>
        <v>5.0653293811065269E-3</v>
      </c>
      <c r="U31" s="119">
        <f>T31/SQRT(3)</f>
        <v>2.9244692817159738E-3</v>
      </c>
    </row>
    <row r="32" spans="2:27" x14ac:dyDescent="0.15">
      <c r="B32" s="252" t="s">
        <v>42</v>
      </c>
      <c r="C32" s="254">
        <v>0.47916666666666669</v>
      </c>
      <c r="D32" s="218">
        <v>432</v>
      </c>
      <c r="E32" s="226">
        <v>19</v>
      </c>
      <c r="F32" s="120" t="s">
        <v>110</v>
      </c>
      <c r="G32" s="258">
        <v>7.5999999999999998E-2</v>
      </c>
      <c r="H32" s="82">
        <f>0.487-G32</f>
        <v>0.41099999999999998</v>
      </c>
      <c r="I32" s="82">
        <f>0.493-G32</f>
        <v>0.41699999999999998</v>
      </c>
      <c r="J32" s="82">
        <f>0.499-G32</f>
        <v>0.42299999999999999</v>
      </c>
      <c r="K32" s="68">
        <f t="shared" si="8"/>
        <v>2.2558556999999997</v>
      </c>
      <c r="L32" s="68">
        <f t="shared" si="8"/>
        <v>2.2887879</v>
      </c>
      <c r="M32" s="68">
        <f t="shared" si="8"/>
        <v>2.3217200999999998</v>
      </c>
      <c r="N32" s="68">
        <f t="shared" si="5"/>
        <v>2.2887878999999995</v>
      </c>
      <c r="O32" s="68">
        <f t="shared" si="10"/>
        <v>0.11443939499999997</v>
      </c>
      <c r="P32" s="68">
        <f t="shared" si="2"/>
        <v>8.174242499999998E-3</v>
      </c>
      <c r="Q32" s="68">
        <f t="shared" si="3"/>
        <v>8.174242499999998E-3</v>
      </c>
      <c r="R32" s="68">
        <f t="shared" si="4"/>
        <v>0.5068030349999999</v>
      </c>
      <c r="S32" s="121"/>
      <c r="T32" s="89"/>
      <c r="U32" s="80"/>
    </row>
    <row r="33" spans="2:29" ht="15" customHeight="1" x14ac:dyDescent="0.15">
      <c r="B33" s="252"/>
      <c r="C33" s="254"/>
      <c r="D33" s="218"/>
      <c r="E33" s="226"/>
      <c r="F33" s="120" t="s">
        <v>111</v>
      </c>
      <c r="G33" s="255"/>
      <c r="H33" s="68">
        <f>0.477-G32</f>
        <v>0.40099999999999997</v>
      </c>
      <c r="I33" s="68">
        <f>0.492-G32</f>
        <v>0.41599999999999998</v>
      </c>
      <c r="J33" s="68">
        <f>0.496-G32</f>
        <v>0.42</v>
      </c>
      <c r="K33" s="68">
        <f t="shared" si="8"/>
        <v>2.2009686999999998</v>
      </c>
      <c r="L33" s="68">
        <f t="shared" si="8"/>
        <v>2.2832991999999996</v>
      </c>
      <c r="M33" s="68">
        <f t="shared" si="8"/>
        <v>2.3052539999999997</v>
      </c>
      <c r="N33" s="68">
        <f t="shared" si="5"/>
        <v>2.2631739666666664</v>
      </c>
      <c r="O33" s="68">
        <f t="shared" si="10"/>
        <v>0.11315869833333332</v>
      </c>
      <c r="P33" s="68">
        <f t="shared" si="2"/>
        <v>8.0827641666666658E-3</v>
      </c>
      <c r="Q33" s="68">
        <f t="shared" si="3"/>
        <v>8.0827641666666658E-3</v>
      </c>
      <c r="R33" s="68">
        <f t="shared" si="4"/>
        <v>0.50113137833333332</v>
      </c>
      <c r="S33" s="122"/>
      <c r="T33" s="58"/>
      <c r="U33" s="67"/>
    </row>
    <row r="34" spans="2:29" ht="16" customHeight="1" thickBot="1" x14ac:dyDescent="0.2">
      <c r="B34" s="259"/>
      <c r="C34" s="260"/>
      <c r="D34" s="231"/>
      <c r="E34" s="261"/>
      <c r="F34" s="152" t="s">
        <v>112</v>
      </c>
      <c r="G34" s="262"/>
      <c r="H34" s="93">
        <f>0.492-G32</f>
        <v>0.41599999999999998</v>
      </c>
      <c r="I34" s="93">
        <f>0.488-G32</f>
        <v>0.41199999999999998</v>
      </c>
      <c r="J34" s="93">
        <f>0.499-G32</f>
        <v>0.42299999999999999</v>
      </c>
      <c r="K34" s="68">
        <f t="shared" si="8"/>
        <v>2.2832991999999996</v>
      </c>
      <c r="L34" s="68">
        <f t="shared" si="8"/>
        <v>2.2613443999999996</v>
      </c>
      <c r="M34" s="68">
        <f t="shared" si="8"/>
        <v>2.3217200999999998</v>
      </c>
      <c r="N34" s="93">
        <f t="shared" si="5"/>
        <v>2.2887878999999995</v>
      </c>
      <c r="O34" s="93">
        <f t="shared" si="10"/>
        <v>0.11443939499999997</v>
      </c>
      <c r="P34" s="93">
        <f t="shared" si="2"/>
        <v>8.174242499999998E-3</v>
      </c>
      <c r="Q34" s="93">
        <f t="shared" si="3"/>
        <v>8.174242499999998E-3</v>
      </c>
      <c r="R34" s="93">
        <f t="shared" si="4"/>
        <v>0.5068030349999999</v>
      </c>
      <c r="S34" s="124">
        <f>AVERAGE(R32:R34)</f>
        <v>0.50491248277777767</v>
      </c>
      <c r="T34" s="93">
        <f>STDEV(R32:R34)</f>
        <v>3.2745325032510855E-3</v>
      </c>
      <c r="U34" s="113">
        <f>T34/SQRT(3)</f>
        <v>1.8905522222221933E-3</v>
      </c>
    </row>
    <row r="35" spans="2:29" ht="17" thickBot="1" x14ac:dyDescent="0.2">
      <c r="B35" s="248" t="s">
        <v>64</v>
      </c>
      <c r="C35" s="249"/>
      <c r="D35" s="249"/>
      <c r="E35" s="249"/>
      <c r="F35" s="249"/>
      <c r="G35" s="249"/>
      <c r="H35" s="249"/>
      <c r="I35" s="249"/>
      <c r="J35" s="249"/>
      <c r="K35" s="249"/>
      <c r="L35" s="249"/>
      <c r="M35" s="249"/>
      <c r="N35" s="249"/>
      <c r="O35" s="249"/>
      <c r="P35" s="249"/>
      <c r="Q35" s="249"/>
      <c r="R35" s="249"/>
      <c r="S35" s="249"/>
      <c r="T35" s="249"/>
      <c r="U35" s="250"/>
    </row>
    <row r="36" spans="2:29" ht="30" x14ac:dyDescent="0.15">
      <c r="B36" s="126" t="s">
        <v>0</v>
      </c>
      <c r="C36" s="59" t="s">
        <v>1</v>
      </c>
      <c r="D36" s="59" t="s">
        <v>2</v>
      </c>
      <c r="E36" s="129" t="s">
        <v>23</v>
      </c>
      <c r="F36" s="128"/>
      <c r="G36" s="128" t="s">
        <v>24</v>
      </c>
      <c r="H36" s="245" t="s">
        <v>25</v>
      </c>
      <c r="I36" s="246"/>
      <c r="J36" s="246"/>
      <c r="K36" s="247" t="s">
        <v>87</v>
      </c>
      <c r="L36" s="247"/>
      <c r="M36" s="247"/>
      <c r="N36" s="59" t="s">
        <v>26</v>
      </c>
      <c r="O36" s="59" t="s">
        <v>27</v>
      </c>
      <c r="P36" s="59" t="s">
        <v>27</v>
      </c>
      <c r="Q36" s="59" t="s">
        <v>88</v>
      </c>
      <c r="R36" s="129" t="s">
        <v>88</v>
      </c>
      <c r="S36" s="59" t="s">
        <v>89</v>
      </c>
      <c r="T36" s="59" t="s">
        <v>82</v>
      </c>
      <c r="U36" s="127" t="s">
        <v>56</v>
      </c>
      <c r="W36" s="58" t="s">
        <v>2</v>
      </c>
      <c r="X36" s="111" t="str">
        <f>S36</f>
        <v>Average NO3 concentration</v>
      </c>
      <c r="Y36" s="111" t="str">
        <f>U36</f>
        <v>Standard error</v>
      </c>
      <c r="Z36" s="58"/>
      <c r="AA36" s="114"/>
      <c r="AB36" s="114"/>
      <c r="AC36" s="114"/>
    </row>
    <row r="37" spans="2:29" ht="14" x14ac:dyDescent="0.15">
      <c r="B37" s="130"/>
      <c r="C37" s="131"/>
      <c r="D37" s="132"/>
      <c r="E37" s="132"/>
      <c r="F37" s="133"/>
      <c r="G37" s="133"/>
      <c r="H37" s="132"/>
      <c r="I37" s="132"/>
      <c r="J37" s="132"/>
      <c r="K37" s="64"/>
      <c r="L37" s="64"/>
      <c r="M37" s="64"/>
      <c r="N37" s="64" t="s">
        <v>28</v>
      </c>
      <c r="O37" s="64" t="s">
        <v>21</v>
      </c>
      <c r="P37" s="64" t="s">
        <v>29</v>
      </c>
      <c r="Q37" s="64" t="s">
        <v>29</v>
      </c>
      <c r="R37" s="63" t="s">
        <v>21</v>
      </c>
      <c r="S37" s="64" t="s">
        <v>21</v>
      </c>
      <c r="T37" s="64"/>
      <c r="U37" s="62"/>
      <c r="W37" s="58">
        <v>0</v>
      </c>
      <c r="X37" s="68">
        <f>S40</f>
        <v>1.6040153816666665</v>
      </c>
      <c r="Y37" s="68">
        <f>U40</f>
        <v>1.6164687569779342E-2</v>
      </c>
      <c r="Z37" s="68"/>
      <c r="AA37" s="114"/>
      <c r="AB37" s="114"/>
      <c r="AC37" s="114"/>
    </row>
    <row r="38" spans="2:29" x14ac:dyDescent="0.15">
      <c r="B38" s="252" t="s">
        <v>8</v>
      </c>
      <c r="C38" s="254">
        <v>0.52083333333333337</v>
      </c>
      <c r="D38" s="218">
        <v>0</v>
      </c>
      <c r="E38" s="218">
        <v>1</v>
      </c>
      <c r="F38" s="120" t="s">
        <v>110</v>
      </c>
      <c r="G38" s="258">
        <f>(0.076+0.073)/2</f>
        <v>7.4499999999999997E-2</v>
      </c>
      <c r="H38" s="116">
        <f>0.803-G38</f>
        <v>0.72850000000000004</v>
      </c>
      <c r="I38" s="115">
        <f>0.792-G38</f>
        <v>0.71750000000000003</v>
      </c>
      <c r="J38" s="115">
        <f>0.804-G38</f>
        <v>0.72950000000000004</v>
      </c>
      <c r="K38" s="68">
        <f t="shared" ref="K38:M43" si="11">5.0379*H38</f>
        <v>3.6701101499999997</v>
      </c>
      <c r="L38" s="68">
        <f t="shared" si="11"/>
        <v>3.6146932499999997</v>
      </c>
      <c r="M38" s="68">
        <f t="shared" si="11"/>
        <v>3.6751480499999998</v>
      </c>
      <c r="N38" s="68">
        <f>AVERAGE(K38:M38)</f>
        <v>3.6533171499999995</v>
      </c>
      <c r="O38" s="68">
        <f>N38/10</f>
        <v>0.36533171499999995</v>
      </c>
      <c r="P38" s="68">
        <f>O38/14</f>
        <v>2.6095122499999995E-2</v>
      </c>
      <c r="Q38" s="68">
        <f>P38</f>
        <v>2.6095122499999995E-2</v>
      </c>
      <c r="R38" s="68">
        <f>Q38*62</f>
        <v>1.6178975949999996</v>
      </c>
      <c r="S38" s="122"/>
      <c r="T38" s="58"/>
      <c r="U38" s="67"/>
      <c r="W38" s="58">
        <f>D41</f>
        <v>48</v>
      </c>
      <c r="X38" s="68">
        <f>S43</f>
        <v>1.5038651283333333</v>
      </c>
      <c r="Y38" s="68">
        <f>U43</f>
        <v>4.9592346200618607E-2</v>
      </c>
      <c r="Z38" s="68"/>
      <c r="AA38" s="161"/>
      <c r="AB38" s="161"/>
      <c r="AC38" s="161"/>
    </row>
    <row r="39" spans="2:29" x14ac:dyDescent="0.15">
      <c r="B39" s="252"/>
      <c r="C39" s="254"/>
      <c r="D39" s="218"/>
      <c r="E39" s="218"/>
      <c r="F39" s="120" t="s">
        <v>111</v>
      </c>
      <c r="G39" s="255"/>
      <c r="H39" s="69">
        <f>0.809-G38</f>
        <v>0.73450000000000004</v>
      </c>
      <c r="I39" s="68">
        <f>0.73-G38</f>
        <v>0.65549999999999997</v>
      </c>
      <c r="J39" s="68">
        <f>0.798-G38</f>
        <v>0.72350000000000003</v>
      </c>
      <c r="K39" s="68">
        <f t="shared" si="11"/>
        <v>3.70033755</v>
      </c>
      <c r="L39" s="68">
        <f t="shared" si="11"/>
        <v>3.3023434499999995</v>
      </c>
      <c r="M39" s="68">
        <f t="shared" si="11"/>
        <v>3.64492065</v>
      </c>
      <c r="N39" s="68">
        <f>AVERAGE(K39:M39)</f>
        <v>3.5492005499999997</v>
      </c>
      <c r="O39" s="68">
        <f t="shared" ref="O39:O55" si="12">N39/10</f>
        <v>0.35492005499999996</v>
      </c>
      <c r="P39" s="68">
        <f t="shared" ref="P39:P67" si="13">O39/14</f>
        <v>2.5351432499999996E-2</v>
      </c>
      <c r="Q39" s="68">
        <f t="shared" ref="Q39:Q67" si="14">P39</f>
        <v>2.5351432499999996E-2</v>
      </c>
      <c r="R39" s="68">
        <f t="shared" ref="R39:R67" si="15">Q39*62</f>
        <v>1.5717888149999997</v>
      </c>
      <c r="S39" s="122"/>
      <c r="T39" s="58"/>
      <c r="U39" s="67"/>
      <c r="W39" s="58">
        <f>D44</f>
        <v>94.5</v>
      </c>
      <c r="X39" s="68">
        <f>S46</f>
        <v>1.3876839999999999</v>
      </c>
      <c r="Y39" s="68">
        <f>U46</f>
        <v>6.0044084823209727E-2</v>
      </c>
      <c r="Z39" s="68"/>
      <c r="AA39" s="161"/>
      <c r="AB39" s="161"/>
      <c r="AC39" s="161"/>
    </row>
    <row r="40" spans="2:29" x14ac:dyDescent="0.15">
      <c r="B40" s="263"/>
      <c r="C40" s="257"/>
      <c r="D40" s="219"/>
      <c r="E40" s="219"/>
      <c r="F40" s="120" t="s">
        <v>112</v>
      </c>
      <c r="G40" s="256"/>
      <c r="H40" s="73">
        <f>0.805-G38</f>
        <v>0.73050000000000004</v>
      </c>
      <c r="I40" s="74">
        <f>0.795-G38</f>
        <v>0.72050000000000003</v>
      </c>
      <c r="J40" s="74">
        <f>0.805-G38</f>
        <v>0.73050000000000004</v>
      </c>
      <c r="K40" s="74">
        <f t="shared" si="11"/>
        <v>3.6801859499999998</v>
      </c>
      <c r="L40" s="74">
        <f t="shared" si="11"/>
        <v>3.6298069499999999</v>
      </c>
      <c r="M40" s="74">
        <f t="shared" si="11"/>
        <v>3.6801859499999998</v>
      </c>
      <c r="N40" s="74">
        <f>AVERAGE(K40:M40)</f>
        <v>3.66339295</v>
      </c>
      <c r="O40" s="74">
        <f t="shared" si="12"/>
        <v>0.36633929500000001</v>
      </c>
      <c r="P40" s="74">
        <f t="shared" si="13"/>
        <v>2.6167092499999999E-2</v>
      </c>
      <c r="Q40" s="74">
        <f t="shared" si="14"/>
        <v>2.6167092499999999E-2</v>
      </c>
      <c r="R40" s="74">
        <f t="shared" si="15"/>
        <v>1.6223597349999999</v>
      </c>
      <c r="S40" s="118">
        <f>AVERAGE(R38:R40)</f>
        <v>1.6040153816666665</v>
      </c>
      <c r="T40" s="74">
        <f>STDEV(R38:R40)</f>
        <v>2.7998060159334901E-2</v>
      </c>
      <c r="U40" s="119">
        <f>T40/SQRT(3)</f>
        <v>1.6164687569779342E-2</v>
      </c>
      <c r="W40" s="58">
        <f>D47</f>
        <v>141.5</v>
      </c>
      <c r="X40" s="68">
        <f>S49</f>
        <v>1.1627981904761906</v>
      </c>
      <c r="Y40" s="68">
        <f>U49</f>
        <v>3.2081796138251843E-2</v>
      </c>
      <c r="Z40" s="68"/>
      <c r="AA40" s="161"/>
      <c r="AB40" s="161"/>
      <c r="AC40" s="161"/>
    </row>
    <row r="41" spans="2:29" x14ac:dyDescent="0.15">
      <c r="B41" s="214" t="s">
        <v>10</v>
      </c>
      <c r="C41" s="253">
        <v>0.52083333333333337</v>
      </c>
      <c r="D41" s="217">
        <v>48</v>
      </c>
      <c r="E41" s="217">
        <v>3</v>
      </c>
      <c r="F41" s="120" t="s">
        <v>110</v>
      </c>
      <c r="G41" s="255">
        <f>(0.076+0.073)/2</f>
        <v>7.4499999999999997E-2</v>
      </c>
      <c r="H41" s="69">
        <f>0.749-G41</f>
        <v>0.67449999999999999</v>
      </c>
      <c r="I41" s="68">
        <f>0.84-G41</f>
        <v>0.76549999999999996</v>
      </c>
      <c r="J41" s="68">
        <f>0.787-G41</f>
        <v>0.71250000000000002</v>
      </c>
      <c r="K41" s="68">
        <f t="shared" si="11"/>
        <v>3.3980635499999998</v>
      </c>
      <c r="L41" s="68">
        <f t="shared" si="11"/>
        <v>3.8565124499999994</v>
      </c>
      <c r="M41" s="68">
        <f t="shared" si="11"/>
        <v>3.58950375</v>
      </c>
      <c r="N41" s="68">
        <f t="shared" ref="N41:N67" si="16">AVERAGE(K41:M41)</f>
        <v>3.6146932499999997</v>
      </c>
      <c r="O41" s="68">
        <f t="shared" si="12"/>
        <v>0.36146932499999995</v>
      </c>
      <c r="P41" s="68">
        <f t="shared" si="13"/>
        <v>2.5819237499999998E-2</v>
      </c>
      <c r="Q41" s="68">
        <f t="shared" si="14"/>
        <v>2.5819237499999998E-2</v>
      </c>
      <c r="R41" s="68">
        <f t="shared" si="15"/>
        <v>1.6007927249999998</v>
      </c>
      <c r="S41" s="147"/>
      <c r="T41" s="68"/>
      <c r="U41" s="91"/>
      <c r="W41" s="58">
        <f>D50</f>
        <v>191.5</v>
      </c>
      <c r="X41" s="68">
        <f>S52</f>
        <v>0.98982541888888875</v>
      </c>
      <c r="Y41" s="68">
        <f>U52</f>
        <v>6.7730757591213511E-2</v>
      </c>
      <c r="Z41" s="68"/>
      <c r="AA41" s="161"/>
      <c r="AB41" s="161"/>
      <c r="AC41" s="161"/>
    </row>
    <row r="42" spans="2:29" x14ac:dyDescent="0.15">
      <c r="B42" s="215"/>
      <c r="C42" s="254"/>
      <c r="D42" s="218"/>
      <c r="E42" s="218"/>
      <c r="F42" s="120" t="s">
        <v>111</v>
      </c>
      <c r="G42" s="255"/>
      <c r="H42" s="69">
        <f>0.729-G41</f>
        <v>0.65449999999999997</v>
      </c>
      <c r="I42" s="68">
        <f>0.727-G41</f>
        <v>0.65249999999999997</v>
      </c>
      <c r="J42" s="68">
        <f>0.749-G41</f>
        <v>0.67449999999999999</v>
      </c>
      <c r="K42" s="68">
        <f t="shared" si="11"/>
        <v>3.2973055499999995</v>
      </c>
      <c r="L42" s="68">
        <f t="shared" si="11"/>
        <v>3.2872297499999994</v>
      </c>
      <c r="M42" s="68">
        <f t="shared" si="11"/>
        <v>3.3980635499999998</v>
      </c>
      <c r="N42" s="68">
        <f t="shared" si="16"/>
        <v>3.3275329499999997</v>
      </c>
      <c r="O42" s="68">
        <f t="shared" si="12"/>
        <v>0.33275329499999995</v>
      </c>
      <c r="P42" s="68">
        <f t="shared" si="13"/>
        <v>2.3768092499999997E-2</v>
      </c>
      <c r="Q42" s="68">
        <f t="shared" si="14"/>
        <v>2.3768092499999997E-2</v>
      </c>
      <c r="R42" s="68">
        <f t="shared" si="15"/>
        <v>1.4736217349999998</v>
      </c>
      <c r="S42" s="147"/>
      <c r="T42" s="68"/>
      <c r="U42" s="91"/>
      <c r="W42" s="58">
        <f>D53</f>
        <v>237</v>
      </c>
      <c r="X42" s="68">
        <f>S55</f>
        <v>0.81340500936507931</v>
      </c>
      <c r="Y42" s="68">
        <f>U55</f>
        <v>5.4044937881203375E-2</v>
      </c>
      <c r="Z42" s="68"/>
      <c r="AA42" s="161"/>
      <c r="AB42" s="161"/>
      <c r="AC42" s="161"/>
    </row>
    <row r="43" spans="2:29" x14ac:dyDescent="0.15">
      <c r="B43" s="215"/>
      <c r="C43" s="254"/>
      <c r="D43" s="218"/>
      <c r="E43" s="218"/>
      <c r="F43" s="120" t="s">
        <v>112</v>
      </c>
      <c r="G43" s="256"/>
      <c r="H43" s="73">
        <f>0.718-G41</f>
        <v>0.64349999999999996</v>
      </c>
      <c r="I43" s="74">
        <f>0.709-G41</f>
        <v>0.63449999999999995</v>
      </c>
      <c r="J43" s="74">
        <f>0.729-G41</f>
        <v>0.65449999999999997</v>
      </c>
      <c r="K43" s="74">
        <f t="shared" si="11"/>
        <v>3.2418886499999995</v>
      </c>
      <c r="L43" s="74">
        <f t="shared" si="11"/>
        <v>3.1965475499999996</v>
      </c>
      <c r="M43" s="74">
        <f t="shared" si="11"/>
        <v>3.2973055499999995</v>
      </c>
      <c r="N43" s="74">
        <f t="shared" si="16"/>
        <v>3.2452472499999998</v>
      </c>
      <c r="O43" s="74">
        <f t="shared" si="12"/>
        <v>0.32452472499999996</v>
      </c>
      <c r="P43" s="74">
        <f t="shared" si="13"/>
        <v>2.3180337499999999E-2</v>
      </c>
      <c r="Q43" s="74">
        <f t="shared" si="14"/>
        <v>2.3180337499999999E-2</v>
      </c>
      <c r="R43" s="74">
        <f t="shared" si="15"/>
        <v>1.4371809249999998</v>
      </c>
      <c r="S43" s="118">
        <f>AVERAGE(R41:R43)</f>
        <v>1.5038651283333333</v>
      </c>
      <c r="T43" s="74">
        <f>STDEV(R41:R43)</f>
        <v>8.58964632860168E-2</v>
      </c>
      <c r="U43" s="119">
        <f>T43/SQRT(3)</f>
        <v>4.9592346200618607E-2</v>
      </c>
      <c r="W43" s="58">
        <f>D56</f>
        <v>285</v>
      </c>
      <c r="X43" s="68">
        <f>S58</f>
        <v>0.72525184296296274</v>
      </c>
      <c r="Y43" s="68">
        <f>U58</f>
        <v>2.6064750620276907E-2</v>
      </c>
      <c r="Z43" s="68"/>
      <c r="AA43" s="161"/>
      <c r="AB43" s="161"/>
      <c r="AC43" s="161"/>
    </row>
    <row r="44" spans="2:29" x14ac:dyDescent="0.15">
      <c r="B44" s="215" t="s">
        <v>12</v>
      </c>
      <c r="C44" s="254">
        <v>0.45833333333333331</v>
      </c>
      <c r="D44" s="218">
        <v>94.5</v>
      </c>
      <c r="E44" s="218">
        <v>5</v>
      </c>
      <c r="F44" s="120" t="s">
        <v>110</v>
      </c>
      <c r="G44" s="255">
        <v>7.8666666666666663E-2</v>
      </c>
      <c r="H44" s="69">
        <f>0.556-G44</f>
        <v>0.47733333333333339</v>
      </c>
      <c r="I44" s="68">
        <f>0.577-G44</f>
        <v>0.49833333333333329</v>
      </c>
      <c r="J44" s="68">
        <f>0.706-G44</f>
        <v>0.6273333333333333</v>
      </c>
      <c r="K44" s="68">
        <f t="shared" ref="K44:M49" si="17">5.415*H44</f>
        <v>2.5847600000000002</v>
      </c>
      <c r="L44" s="68">
        <f t="shared" si="17"/>
        <v>2.6984749999999997</v>
      </c>
      <c r="M44" s="68">
        <f t="shared" si="17"/>
        <v>3.3970099999999999</v>
      </c>
      <c r="N44" s="68">
        <f t="shared" si="16"/>
        <v>2.8934149999999996</v>
      </c>
      <c r="O44" s="68">
        <f t="shared" si="12"/>
        <v>0.28934149999999997</v>
      </c>
      <c r="P44" s="68">
        <f t="shared" si="13"/>
        <v>2.0667249999999998E-2</v>
      </c>
      <c r="Q44" s="68">
        <f t="shared" si="14"/>
        <v>2.0667249999999998E-2</v>
      </c>
      <c r="R44" s="68">
        <f t="shared" si="15"/>
        <v>1.2813694999999998</v>
      </c>
      <c r="S44" s="147"/>
      <c r="T44" s="68"/>
      <c r="U44" s="91"/>
      <c r="W44" s="58">
        <f>D59</f>
        <v>334.5</v>
      </c>
      <c r="X44" s="68">
        <f>S61</f>
        <v>0.68672058814814818</v>
      </c>
      <c r="Y44" s="68">
        <f>U61</f>
        <v>2.5967554194913007E-3</v>
      </c>
      <c r="Z44" s="68"/>
      <c r="AA44" s="161"/>
      <c r="AB44" s="161"/>
      <c r="AC44" s="161"/>
    </row>
    <row r="45" spans="2:29" ht="15" customHeight="1" x14ac:dyDescent="0.15">
      <c r="B45" s="215"/>
      <c r="C45" s="254"/>
      <c r="D45" s="218"/>
      <c r="E45" s="218"/>
      <c r="F45" s="120" t="s">
        <v>111</v>
      </c>
      <c r="G45" s="255"/>
      <c r="H45" s="69">
        <f>0.664-G44</f>
        <v>0.58533333333333337</v>
      </c>
      <c r="I45" s="68">
        <f>0.653-G44</f>
        <v>0.57433333333333336</v>
      </c>
      <c r="J45" s="68">
        <f>0.661-G44</f>
        <v>0.58233333333333337</v>
      </c>
      <c r="K45" s="68">
        <f t="shared" si="17"/>
        <v>3.1695800000000003</v>
      </c>
      <c r="L45" s="68">
        <f t="shared" si="17"/>
        <v>3.1100150000000002</v>
      </c>
      <c r="M45" s="68">
        <f t="shared" si="17"/>
        <v>3.1533350000000002</v>
      </c>
      <c r="N45" s="68">
        <f t="shared" si="16"/>
        <v>3.1443100000000004</v>
      </c>
      <c r="O45" s="68">
        <f t="shared" si="12"/>
        <v>0.31443100000000002</v>
      </c>
      <c r="P45" s="68">
        <f t="shared" si="13"/>
        <v>2.2459357142857145E-2</v>
      </c>
      <c r="Q45" s="68">
        <f t="shared" si="14"/>
        <v>2.2459357142857145E-2</v>
      </c>
      <c r="R45" s="68">
        <f t="shared" si="15"/>
        <v>1.3924801428571429</v>
      </c>
      <c r="S45" s="147"/>
      <c r="T45" s="68"/>
      <c r="U45" s="91"/>
      <c r="W45" s="87">
        <f>D62</f>
        <v>383</v>
      </c>
      <c r="X45" s="68">
        <f>S64</f>
        <v>0.50666799555555553</v>
      </c>
      <c r="Y45" s="68">
        <f>U64</f>
        <v>2.3055389981561501E-2</v>
      </c>
      <c r="Z45" s="68"/>
      <c r="AA45" s="161"/>
      <c r="AB45" s="161"/>
      <c r="AC45" s="161"/>
    </row>
    <row r="46" spans="2:29" ht="15" customHeight="1" x14ac:dyDescent="0.15">
      <c r="B46" s="216"/>
      <c r="C46" s="257"/>
      <c r="D46" s="219"/>
      <c r="E46" s="219"/>
      <c r="F46" s="120" t="s">
        <v>112</v>
      </c>
      <c r="G46" s="256"/>
      <c r="H46" s="73">
        <f>0.696-G44</f>
        <v>0.61733333333333329</v>
      </c>
      <c r="I46" s="74">
        <f>0.697-G44</f>
        <v>0.61833333333333329</v>
      </c>
      <c r="J46" s="74">
        <f>0.706-G44</f>
        <v>0.6273333333333333</v>
      </c>
      <c r="K46" s="74">
        <f t="shared" si="17"/>
        <v>3.3428599999999999</v>
      </c>
      <c r="L46" s="74">
        <f t="shared" si="17"/>
        <v>3.3482749999999997</v>
      </c>
      <c r="M46" s="74">
        <f t="shared" si="17"/>
        <v>3.3970099999999999</v>
      </c>
      <c r="N46" s="74">
        <f t="shared" si="16"/>
        <v>3.3627149999999997</v>
      </c>
      <c r="O46" s="74">
        <f t="shared" si="12"/>
        <v>0.33627149999999995</v>
      </c>
      <c r="P46" s="74">
        <f t="shared" si="13"/>
        <v>2.4019392857142854E-2</v>
      </c>
      <c r="Q46" s="74">
        <f t="shared" si="14"/>
        <v>2.4019392857142854E-2</v>
      </c>
      <c r="R46" s="74">
        <f t="shared" si="15"/>
        <v>1.489202357142857</v>
      </c>
      <c r="S46" s="118">
        <f>AVERAGE(R44:R46)</f>
        <v>1.3876839999999999</v>
      </c>
      <c r="T46" s="74">
        <f>STDEV(R44:R46)</f>
        <v>0.10399940560777457</v>
      </c>
      <c r="U46" s="119">
        <f>T46/SQRT(3)</f>
        <v>6.0044084823209727E-2</v>
      </c>
      <c r="W46" s="87">
        <f>D65</f>
        <v>430</v>
      </c>
      <c r="X46" s="68">
        <f>S67</f>
        <v>0.47655419944444444</v>
      </c>
      <c r="Y46" s="68">
        <f>U67</f>
        <v>7.8706104169416948E-3</v>
      </c>
      <c r="Z46" s="68"/>
      <c r="AA46" s="161"/>
      <c r="AB46" s="161"/>
      <c r="AC46" s="161"/>
    </row>
    <row r="47" spans="2:29" x14ac:dyDescent="0.15">
      <c r="B47" s="251" t="s">
        <v>30</v>
      </c>
      <c r="C47" s="253">
        <v>0.43055555555555558</v>
      </c>
      <c r="D47" s="217">
        <v>141.5</v>
      </c>
      <c r="E47" s="217">
        <v>7</v>
      </c>
      <c r="F47" s="120" t="s">
        <v>110</v>
      </c>
      <c r="G47" s="255">
        <v>7.8666666666666663E-2</v>
      </c>
      <c r="H47" s="69">
        <f>0.584-G47</f>
        <v>0.5053333333333333</v>
      </c>
      <c r="I47" s="68">
        <f>0.586-G47</f>
        <v>0.5073333333333333</v>
      </c>
      <c r="J47" s="68">
        <f>0.597-G47</f>
        <v>0.51833333333333331</v>
      </c>
      <c r="K47" s="68">
        <f t="shared" si="17"/>
        <v>2.73638</v>
      </c>
      <c r="L47" s="68">
        <f t="shared" si="17"/>
        <v>2.7472099999999999</v>
      </c>
      <c r="M47" s="68">
        <f t="shared" si="17"/>
        <v>2.806775</v>
      </c>
      <c r="N47" s="68">
        <f t="shared" si="16"/>
        <v>2.763455</v>
      </c>
      <c r="O47" s="68">
        <f t="shared" si="12"/>
        <v>0.27634550000000002</v>
      </c>
      <c r="P47" s="68">
        <f t="shared" si="13"/>
        <v>1.9738964285714287E-2</v>
      </c>
      <c r="Q47" s="68">
        <f t="shared" si="14"/>
        <v>1.9738964285714287E-2</v>
      </c>
      <c r="R47" s="68">
        <f t="shared" si="15"/>
        <v>1.2238157857142857</v>
      </c>
      <c r="S47" s="122"/>
      <c r="T47" s="58"/>
      <c r="U47" s="67"/>
    </row>
    <row r="48" spans="2:29" x14ac:dyDescent="0.15">
      <c r="B48" s="252"/>
      <c r="C48" s="254"/>
      <c r="D48" s="218"/>
      <c r="E48" s="218"/>
      <c r="F48" s="120" t="s">
        <v>111</v>
      </c>
      <c r="G48" s="255"/>
      <c r="H48" s="69">
        <f>0.579-G47</f>
        <v>0.5003333333333333</v>
      </c>
      <c r="I48" s="68">
        <f>0.527-G47</f>
        <v>0.44833333333333336</v>
      </c>
      <c r="J48" s="68">
        <f>0.568-G47</f>
        <v>0.48933333333333329</v>
      </c>
      <c r="K48" s="68">
        <f t="shared" si="17"/>
        <v>2.7093049999999996</v>
      </c>
      <c r="L48" s="68">
        <f t="shared" si="17"/>
        <v>2.4277250000000001</v>
      </c>
      <c r="M48" s="68">
        <f t="shared" si="17"/>
        <v>2.64974</v>
      </c>
      <c r="N48" s="68">
        <f t="shared" si="16"/>
        <v>2.5955899999999996</v>
      </c>
      <c r="O48" s="68">
        <f t="shared" si="12"/>
        <v>0.25955899999999998</v>
      </c>
      <c r="P48" s="68">
        <f t="shared" si="13"/>
        <v>1.8539928571428572E-2</v>
      </c>
      <c r="Q48" s="68">
        <f t="shared" si="14"/>
        <v>1.8539928571428572E-2</v>
      </c>
      <c r="R48" s="68">
        <f t="shared" si="15"/>
        <v>1.1494755714285714</v>
      </c>
      <c r="S48" s="122"/>
      <c r="T48" s="58"/>
      <c r="U48" s="67"/>
    </row>
    <row r="49" spans="2:21" x14ac:dyDescent="0.15">
      <c r="B49" s="252"/>
      <c r="C49" s="254"/>
      <c r="D49" s="218"/>
      <c r="E49" s="218"/>
      <c r="F49" s="120" t="s">
        <v>112</v>
      </c>
      <c r="G49" s="256"/>
      <c r="H49" s="73">
        <f>0.567-G47</f>
        <v>0.48833333333333329</v>
      </c>
      <c r="I49" s="74">
        <f>0.54-G47</f>
        <v>0.46133333333333337</v>
      </c>
      <c r="J49" s="74">
        <f>0.524-G47</f>
        <v>0.44533333333333336</v>
      </c>
      <c r="K49" s="74">
        <f t="shared" si="17"/>
        <v>2.6443249999999998</v>
      </c>
      <c r="L49" s="74">
        <f t="shared" si="17"/>
        <v>2.4981200000000001</v>
      </c>
      <c r="M49" s="74">
        <f t="shared" si="17"/>
        <v>2.4114800000000001</v>
      </c>
      <c r="N49" s="74">
        <f t="shared" si="16"/>
        <v>2.5179750000000003</v>
      </c>
      <c r="O49" s="74">
        <f t="shared" si="12"/>
        <v>0.25179750000000001</v>
      </c>
      <c r="P49" s="74">
        <f t="shared" si="13"/>
        <v>1.7985535714285714E-2</v>
      </c>
      <c r="Q49" s="74">
        <f t="shared" si="14"/>
        <v>1.7985535714285714E-2</v>
      </c>
      <c r="R49" s="74">
        <f t="shared" si="15"/>
        <v>1.1151032142857142</v>
      </c>
      <c r="S49" s="118">
        <f>AVERAGE(R47:R49)</f>
        <v>1.1627981904761906</v>
      </c>
      <c r="T49" s="74">
        <f>STDEV(R47:R49)</f>
        <v>5.5567300909519189E-2</v>
      </c>
      <c r="U49" s="119">
        <f>T49/SQRT(3)</f>
        <v>3.2081796138251843E-2</v>
      </c>
    </row>
    <row r="50" spans="2:21" x14ac:dyDescent="0.15">
      <c r="B50" s="215" t="s">
        <v>32</v>
      </c>
      <c r="C50" s="254">
        <v>0.52083333333333337</v>
      </c>
      <c r="D50" s="218">
        <v>191.5</v>
      </c>
      <c r="E50" s="218">
        <v>9</v>
      </c>
      <c r="F50" s="120" t="s">
        <v>110</v>
      </c>
      <c r="G50" s="255">
        <v>8.1000000000000003E-2</v>
      </c>
      <c r="H50" s="69">
        <f>0.522-G50</f>
        <v>0.441</v>
      </c>
      <c r="I50" s="68">
        <f>0.537-G50</f>
        <v>0.45600000000000002</v>
      </c>
      <c r="J50" s="68">
        <f>0.531-G50</f>
        <v>0.45</v>
      </c>
      <c r="K50" s="68">
        <f t="shared" ref="K50:M55" si="18">5.4323*H50</f>
        <v>2.3956442999999998</v>
      </c>
      <c r="L50" s="68">
        <f t="shared" si="18"/>
        <v>2.4771288</v>
      </c>
      <c r="M50" s="68">
        <f t="shared" si="18"/>
        <v>2.4445350000000001</v>
      </c>
      <c r="N50" s="68">
        <f t="shared" si="16"/>
        <v>2.4391026999999998</v>
      </c>
      <c r="O50" s="68">
        <f t="shared" si="12"/>
        <v>0.24391026999999998</v>
      </c>
      <c r="P50" s="68">
        <f t="shared" si="13"/>
        <v>1.7422162142857141E-2</v>
      </c>
      <c r="Q50" s="68">
        <f t="shared" si="14"/>
        <v>1.7422162142857141E-2</v>
      </c>
      <c r="R50" s="68">
        <f t="shared" si="15"/>
        <v>1.0801740528571426</v>
      </c>
      <c r="S50" s="122"/>
      <c r="T50" s="58"/>
      <c r="U50" s="67"/>
    </row>
    <row r="51" spans="2:21" x14ac:dyDescent="0.15">
      <c r="B51" s="215"/>
      <c r="C51" s="254"/>
      <c r="D51" s="218"/>
      <c r="E51" s="218"/>
      <c r="F51" s="120" t="s">
        <v>111</v>
      </c>
      <c r="G51" s="255"/>
      <c r="H51" s="69">
        <f>0.434-G50</f>
        <v>0.35299999999999998</v>
      </c>
      <c r="I51" s="68">
        <f>0.424-G50</f>
        <v>0.34299999999999997</v>
      </c>
      <c r="J51" s="68">
        <f>0.454-G50</f>
        <v>0.373</v>
      </c>
      <c r="K51" s="68">
        <f t="shared" si="18"/>
        <v>1.9176018999999997</v>
      </c>
      <c r="L51" s="68">
        <f t="shared" si="18"/>
        <v>1.8632788999999996</v>
      </c>
      <c r="M51" s="68">
        <f t="shared" si="18"/>
        <v>2.0262479</v>
      </c>
      <c r="N51" s="68">
        <f t="shared" si="16"/>
        <v>1.9357095666666666</v>
      </c>
      <c r="O51" s="68">
        <f t="shared" si="12"/>
        <v>0.19357095666666665</v>
      </c>
      <c r="P51" s="68">
        <f t="shared" si="13"/>
        <v>1.3826496904761903E-2</v>
      </c>
      <c r="Q51" s="68">
        <f t="shared" si="14"/>
        <v>1.3826496904761903E-2</v>
      </c>
      <c r="R51" s="68">
        <f t="shared" si="15"/>
        <v>0.85724280809523801</v>
      </c>
      <c r="S51" s="122"/>
      <c r="T51" s="58"/>
      <c r="U51" s="67"/>
    </row>
    <row r="52" spans="2:21" x14ac:dyDescent="0.15">
      <c r="B52" s="216"/>
      <c r="C52" s="257"/>
      <c r="D52" s="219"/>
      <c r="E52" s="219"/>
      <c r="F52" s="120" t="s">
        <v>112</v>
      </c>
      <c r="G52" s="256"/>
      <c r="H52" s="73">
        <f>0.506-G50</f>
        <v>0.42499999999999999</v>
      </c>
      <c r="I52" s="74">
        <f>0.495-G50</f>
        <v>0.41399999999999998</v>
      </c>
      <c r="J52" s="74">
        <f>0.529-G50</f>
        <v>0.44800000000000001</v>
      </c>
      <c r="K52" s="74">
        <f t="shared" si="18"/>
        <v>2.3087274999999998</v>
      </c>
      <c r="L52" s="74">
        <f t="shared" si="18"/>
        <v>2.2489721999999999</v>
      </c>
      <c r="M52" s="74">
        <f t="shared" si="18"/>
        <v>2.4336704</v>
      </c>
      <c r="N52" s="74">
        <f t="shared" si="16"/>
        <v>2.3304566999999996</v>
      </c>
      <c r="O52" s="74">
        <f t="shared" si="12"/>
        <v>0.23304566999999995</v>
      </c>
      <c r="P52" s="74">
        <f t="shared" si="13"/>
        <v>1.6646119285714283E-2</v>
      </c>
      <c r="Q52" s="74">
        <f t="shared" si="14"/>
        <v>1.6646119285714283E-2</v>
      </c>
      <c r="R52" s="74">
        <f t="shared" si="15"/>
        <v>1.0320593957142856</v>
      </c>
      <c r="S52" s="118">
        <f>AVERAGE(R50:R52)</f>
        <v>0.98982541888888875</v>
      </c>
      <c r="T52" s="74">
        <f>STDEV(R50:R52)</f>
        <v>0.11731311338311322</v>
      </c>
      <c r="U52" s="119">
        <f>T52/SQRT(3)</f>
        <v>6.7730757591213511E-2</v>
      </c>
    </row>
    <row r="53" spans="2:21" x14ac:dyDescent="0.15">
      <c r="B53" s="214" t="s">
        <v>34</v>
      </c>
      <c r="C53" s="253">
        <v>0.42152777777777778</v>
      </c>
      <c r="D53" s="217">
        <v>237</v>
      </c>
      <c r="E53" s="217">
        <v>11</v>
      </c>
      <c r="F53" s="120" t="s">
        <v>110</v>
      </c>
      <c r="G53" s="255">
        <v>8.1000000000000003E-2</v>
      </c>
      <c r="H53" s="69">
        <f>0.446-G53</f>
        <v>0.36499999999999999</v>
      </c>
      <c r="I53" s="68">
        <f>0.502-G53</f>
        <v>0.42099999999999999</v>
      </c>
      <c r="J53" s="68">
        <f>0.444-G53</f>
        <v>0.36299999999999999</v>
      </c>
      <c r="K53" s="68">
        <f t="shared" si="18"/>
        <v>1.9827894999999998</v>
      </c>
      <c r="L53" s="68">
        <f t="shared" si="18"/>
        <v>2.2869982999999996</v>
      </c>
      <c r="M53" s="68">
        <f t="shared" si="18"/>
        <v>1.9719248999999999</v>
      </c>
      <c r="N53" s="68">
        <f t="shared" si="16"/>
        <v>2.0805708999999997</v>
      </c>
      <c r="O53" s="68">
        <f t="shared" si="12"/>
        <v>0.20805708999999997</v>
      </c>
      <c r="P53" s="68">
        <f t="shared" si="13"/>
        <v>1.4861220714285712E-2</v>
      </c>
      <c r="Q53" s="68">
        <f t="shared" si="14"/>
        <v>1.4861220714285712E-2</v>
      </c>
      <c r="R53" s="68">
        <f t="shared" si="15"/>
        <v>0.92139568428571417</v>
      </c>
      <c r="S53" s="147"/>
      <c r="T53" s="68"/>
      <c r="U53" s="91"/>
    </row>
    <row r="54" spans="2:21" x14ac:dyDescent="0.15">
      <c r="B54" s="215"/>
      <c r="C54" s="254"/>
      <c r="D54" s="218"/>
      <c r="E54" s="218"/>
      <c r="F54" s="120" t="s">
        <v>111</v>
      </c>
      <c r="G54" s="255"/>
      <c r="H54" s="69">
        <f>0.4-G53</f>
        <v>0.31900000000000001</v>
      </c>
      <c r="I54" s="68">
        <f>0.375-G53</f>
        <v>0.29399999999999998</v>
      </c>
      <c r="J54" s="68">
        <f>0.42-G53</f>
        <v>0.33899999999999997</v>
      </c>
      <c r="K54" s="68">
        <f t="shared" si="18"/>
        <v>1.7329036999999998</v>
      </c>
      <c r="L54" s="68">
        <f t="shared" si="18"/>
        <v>1.5970961999999997</v>
      </c>
      <c r="M54" s="68">
        <f t="shared" si="18"/>
        <v>1.8415496999999996</v>
      </c>
      <c r="N54" s="68">
        <f t="shared" si="16"/>
        <v>1.7238498666666666</v>
      </c>
      <c r="O54" s="68">
        <f t="shared" si="12"/>
        <v>0.17238498666666666</v>
      </c>
      <c r="P54" s="68">
        <f t="shared" si="13"/>
        <v>1.2313213333333333E-2</v>
      </c>
      <c r="Q54" s="68">
        <f t="shared" si="14"/>
        <v>1.2313213333333333E-2</v>
      </c>
      <c r="R54" s="68">
        <f t="shared" si="15"/>
        <v>0.76341922666666662</v>
      </c>
      <c r="S54" s="147"/>
      <c r="T54" s="68"/>
      <c r="U54" s="91"/>
    </row>
    <row r="55" spans="2:21" x14ac:dyDescent="0.15">
      <c r="B55" s="215"/>
      <c r="C55" s="254"/>
      <c r="D55" s="218"/>
      <c r="E55" s="218"/>
      <c r="F55" s="120" t="s">
        <v>112</v>
      </c>
      <c r="G55" s="256"/>
      <c r="H55" s="73">
        <f>0.408-G53</f>
        <v>0.32699999999999996</v>
      </c>
      <c r="I55" s="74">
        <f>0.375-G53</f>
        <v>0.29399999999999998</v>
      </c>
      <c r="J55" s="74">
        <f>0.402-G53</f>
        <v>0.32100000000000001</v>
      </c>
      <c r="K55" s="74">
        <f t="shared" si="18"/>
        <v>1.7763620999999996</v>
      </c>
      <c r="L55" s="74">
        <f t="shared" si="18"/>
        <v>1.5970961999999997</v>
      </c>
      <c r="M55" s="74">
        <f t="shared" si="18"/>
        <v>1.7437682999999999</v>
      </c>
      <c r="N55" s="74">
        <f t="shared" si="16"/>
        <v>1.7057421999999998</v>
      </c>
      <c r="O55" s="74">
        <f t="shared" si="12"/>
        <v>0.17057421999999997</v>
      </c>
      <c r="P55" s="74">
        <f t="shared" si="13"/>
        <v>1.2183872857142855E-2</v>
      </c>
      <c r="Q55" s="74">
        <f t="shared" si="14"/>
        <v>1.2183872857142855E-2</v>
      </c>
      <c r="R55" s="74">
        <f t="shared" si="15"/>
        <v>0.75540011714285704</v>
      </c>
      <c r="S55" s="118">
        <f>AVERAGE(R53:R55)</f>
        <v>0.81340500936507931</v>
      </c>
      <c r="T55" s="74">
        <f>STDEV(R53:R55)</f>
        <v>9.360857830214811E-2</v>
      </c>
      <c r="U55" s="119">
        <f>T55/SQRT(3)</f>
        <v>5.4044937881203375E-2</v>
      </c>
    </row>
    <row r="56" spans="2:21" x14ac:dyDescent="0.15">
      <c r="B56" s="215" t="s">
        <v>36</v>
      </c>
      <c r="C56" s="254">
        <v>0.4236111111111111</v>
      </c>
      <c r="D56" s="218">
        <v>285</v>
      </c>
      <c r="E56" s="218">
        <v>13</v>
      </c>
      <c r="F56" s="120" t="s">
        <v>110</v>
      </c>
      <c r="G56" s="255">
        <v>7.8E-2</v>
      </c>
      <c r="H56" s="69">
        <f>0.563-G56</f>
        <v>0.48499999999999993</v>
      </c>
      <c r="I56" s="68">
        <f>0.583-G56</f>
        <v>0.505</v>
      </c>
      <c r="J56" s="68">
        <f>0.526-G56</f>
        <v>0.44800000000000001</v>
      </c>
      <c r="K56" s="68">
        <f t="shared" ref="K56:M67" si="19">5.4887*H56</f>
        <v>2.6620194999999995</v>
      </c>
      <c r="L56" s="68">
        <f t="shared" si="19"/>
        <v>2.7717934999999998</v>
      </c>
      <c r="M56" s="68">
        <f t="shared" si="19"/>
        <v>2.4589376000000001</v>
      </c>
      <c r="N56" s="68">
        <f t="shared" si="16"/>
        <v>2.6309168666666665</v>
      </c>
      <c r="O56" s="68">
        <f>N56/15</f>
        <v>0.17539445777777776</v>
      </c>
      <c r="P56" s="68">
        <f t="shared" si="13"/>
        <v>1.2528175555555554E-2</v>
      </c>
      <c r="Q56" s="68">
        <f t="shared" si="14"/>
        <v>1.2528175555555554E-2</v>
      </c>
      <c r="R56" s="68">
        <f t="shared" si="15"/>
        <v>0.77674688444444429</v>
      </c>
      <c r="S56" s="147"/>
      <c r="T56" s="68"/>
      <c r="U56" s="91"/>
    </row>
    <row r="57" spans="2:21" x14ac:dyDescent="0.15">
      <c r="B57" s="215"/>
      <c r="C57" s="254"/>
      <c r="D57" s="218"/>
      <c r="E57" s="218"/>
      <c r="F57" s="120" t="s">
        <v>111</v>
      </c>
      <c r="G57" s="255"/>
      <c r="H57" s="69">
        <f>0.506-G56</f>
        <v>0.42799999999999999</v>
      </c>
      <c r="I57" s="68">
        <f>0.509-G56</f>
        <v>0.43099999999999999</v>
      </c>
      <c r="J57" s="68">
        <f>0.527-G56</f>
        <v>0.44900000000000001</v>
      </c>
      <c r="K57" s="68">
        <f t="shared" si="19"/>
        <v>2.3491635999999998</v>
      </c>
      <c r="L57" s="68">
        <f t="shared" si="19"/>
        <v>2.3656296999999999</v>
      </c>
      <c r="M57" s="68">
        <f t="shared" si="19"/>
        <v>2.4644263</v>
      </c>
      <c r="N57" s="68">
        <f t="shared" si="16"/>
        <v>2.3930731999999999</v>
      </c>
      <c r="O57" s="68">
        <f t="shared" ref="O57:O61" si="20">N57/15</f>
        <v>0.15953821333333332</v>
      </c>
      <c r="P57" s="68">
        <f t="shared" si="13"/>
        <v>1.1395586666666666E-2</v>
      </c>
      <c r="Q57" s="68">
        <f t="shared" si="14"/>
        <v>1.1395586666666666E-2</v>
      </c>
      <c r="R57" s="68">
        <f t="shared" si="15"/>
        <v>0.70652637333333324</v>
      </c>
      <c r="S57" s="147"/>
      <c r="T57" s="68"/>
      <c r="U57" s="91"/>
    </row>
    <row r="58" spans="2:21" x14ac:dyDescent="0.15">
      <c r="B58" s="216"/>
      <c r="C58" s="257"/>
      <c r="D58" s="219"/>
      <c r="E58" s="219"/>
      <c r="F58" s="120" t="s">
        <v>112</v>
      </c>
      <c r="G58" s="256"/>
      <c r="H58" s="73">
        <f>0.506-G56</f>
        <v>0.42799999999999999</v>
      </c>
      <c r="I58" s="74">
        <f>0.505-G56</f>
        <v>0.42699999999999999</v>
      </c>
      <c r="J58" s="74">
        <f>0.505-G56</f>
        <v>0.42699999999999999</v>
      </c>
      <c r="K58" s="74">
        <f t="shared" si="19"/>
        <v>2.3491635999999998</v>
      </c>
      <c r="L58" s="74">
        <f t="shared" si="19"/>
        <v>2.3436748999999999</v>
      </c>
      <c r="M58" s="74">
        <f t="shared" si="19"/>
        <v>2.3436748999999999</v>
      </c>
      <c r="N58" s="74">
        <f t="shared" si="16"/>
        <v>2.3455044666666667</v>
      </c>
      <c r="O58" s="74">
        <f t="shared" si="20"/>
        <v>0.15636696444444445</v>
      </c>
      <c r="P58" s="74">
        <f t="shared" si="13"/>
        <v>1.1169068888888889E-2</v>
      </c>
      <c r="Q58" s="74">
        <f t="shared" si="14"/>
        <v>1.1169068888888889E-2</v>
      </c>
      <c r="R58" s="74">
        <f t="shared" si="15"/>
        <v>0.69248227111111105</v>
      </c>
      <c r="S58" s="118">
        <f>AVERAGE(R56:R58)</f>
        <v>0.72525184296296274</v>
      </c>
      <c r="T58" s="74">
        <f>STDEV(R56:R58)</f>
        <v>4.5145472360932012E-2</v>
      </c>
      <c r="U58" s="119">
        <f>T58/SQRT(3)</f>
        <v>2.6064750620276907E-2</v>
      </c>
    </row>
    <row r="59" spans="2:21" x14ac:dyDescent="0.15">
      <c r="B59" s="214" t="s">
        <v>38</v>
      </c>
      <c r="C59" s="253">
        <v>0.48333333333333334</v>
      </c>
      <c r="D59" s="217">
        <v>334.5</v>
      </c>
      <c r="E59" s="217">
        <v>15</v>
      </c>
      <c r="F59" s="120" t="s">
        <v>110</v>
      </c>
      <c r="G59" s="255">
        <v>7.8E-2</v>
      </c>
      <c r="H59" s="69">
        <f>0.497-G59</f>
        <v>0.41899999999999998</v>
      </c>
      <c r="I59" s="68">
        <f>0.49-G59</f>
        <v>0.41199999999999998</v>
      </c>
      <c r="J59" s="68">
        <f>0.525-G59</f>
        <v>0.44700000000000001</v>
      </c>
      <c r="K59" s="68">
        <f t="shared" si="19"/>
        <v>2.2997652999999998</v>
      </c>
      <c r="L59" s="68">
        <f t="shared" si="19"/>
        <v>2.2613443999999996</v>
      </c>
      <c r="M59" s="68">
        <f t="shared" si="19"/>
        <v>2.4534488999999997</v>
      </c>
      <c r="N59" s="68">
        <f t="shared" si="16"/>
        <v>2.3381861999999995</v>
      </c>
      <c r="O59" s="68">
        <f t="shared" si="20"/>
        <v>0.15587907999999998</v>
      </c>
      <c r="P59" s="68">
        <f t="shared" si="13"/>
        <v>1.1134219999999998E-2</v>
      </c>
      <c r="Q59" s="68">
        <f t="shared" si="14"/>
        <v>1.1134219999999998E-2</v>
      </c>
      <c r="R59" s="68">
        <f t="shared" si="15"/>
        <v>0.69032163999999996</v>
      </c>
      <c r="S59" s="122"/>
      <c r="T59" s="58"/>
      <c r="U59" s="67"/>
    </row>
    <row r="60" spans="2:21" x14ac:dyDescent="0.15">
      <c r="B60" s="215"/>
      <c r="C60" s="254"/>
      <c r="D60" s="218"/>
      <c r="E60" s="218"/>
      <c r="F60" s="120" t="s">
        <v>111</v>
      </c>
      <c r="G60" s="255"/>
      <c r="H60" s="69">
        <f>0.466-G59</f>
        <v>0.38800000000000001</v>
      </c>
      <c r="I60" s="68">
        <f>0.49-G59</f>
        <v>0.41199999999999998</v>
      </c>
      <c r="J60" s="68">
        <f>0.552-G59</f>
        <v>0.47400000000000003</v>
      </c>
      <c r="K60" s="68">
        <f t="shared" si="19"/>
        <v>2.1296156000000002</v>
      </c>
      <c r="L60" s="68">
        <f t="shared" si="19"/>
        <v>2.2613443999999996</v>
      </c>
      <c r="M60" s="68">
        <f t="shared" si="19"/>
        <v>2.6016438000000002</v>
      </c>
      <c r="N60" s="68">
        <f t="shared" si="16"/>
        <v>2.3308679333333333</v>
      </c>
      <c r="O60" s="68">
        <f t="shared" si="20"/>
        <v>0.15539119555555556</v>
      </c>
      <c r="P60" s="68">
        <f t="shared" si="13"/>
        <v>1.1099371111111112E-2</v>
      </c>
      <c r="Q60" s="68">
        <f t="shared" si="14"/>
        <v>1.1099371111111112E-2</v>
      </c>
      <c r="R60" s="68">
        <f t="shared" si="15"/>
        <v>0.68816100888888898</v>
      </c>
      <c r="S60" s="122"/>
      <c r="T60" s="58"/>
      <c r="U60" s="67"/>
    </row>
    <row r="61" spans="2:21" x14ac:dyDescent="0.15">
      <c r="B61" s="215"/>
      <c r="C61" s="254"/>
      <c r="D61" s="218"/>
      <c r="E61" s="218"/>
      <c r="F61" s="120" t="s">
        <v>112</v>
      </c>
      <c r="G61" s="256"/>
      <c r="H61" s="73">
        <f>0.47-G59</f>
        <v>0.39199999999999996</v>
      </c>
      <c r="I61" s="74">
        <f>0.495-G59</f>
        <v>0.41699999999999998</v>
      </c>
      <c r="J61" s="74">
        <f>0.531-G59</f>
        <v>0.45300000000000001</v>
      </c>
      <c r="K61" s="74">
        <f t="shared" si="19"/>
        <v>2.1515703999999998</v>
      </c>
      <c r="L61" s="74">
        <f t="shared" si="19"/>
        <v>2.2887879</v>
      </c>
      <c r="M61" s="74">
        <f t="shared" si="19"/>
        <v>2.4863811</v>
      </c>
      <c r="N61" s="74">
        <f t="shared" si="16"/>
        <v>2.3089131333333333</v>
      </c>
      <c r="O61" s="74">
        <f t="shared" si="20"/>
        <v>0.15392754222222221</v>
      </c>
      <c r="P61" s="74">
        <f t="shared" si="13"/>
        <v>1.0994824444444443E-2</v>
      </c>
      <c r="Q61" s="74">
        <f t="shared" si="14"/>
        <v>1.0994824444444443E-2</v>
      </c>
      <c r="R61" s="74">
        <f t="shared" si="15"/>
        <v>0.68167911555555549</v>
      </c>
      <c r="S61" s="118">
        <f>AVERAGE(R59:R61)</f>
        <v>0.68672058814814818</v>
      </c>
      <c r="T61" s="74">
        <f>STDEV(R59:R61)</f>
        <v>4.4977123213887655E-3</v>
      </c>
      <c r="U61" s="119">
        <f>T61/SQRT(3)</f>
        <v>2.5967554194913007E-3</v>
      </c>
    </row>
    <row r="62" spans="2:21" x14ac:dyDescent="0.15">
      <c r="B62" s="252" t="s">
        <v>40</v>
      </c>
      <c r="C62" s="254">
        <v>0.53472222222222221</v>
      </c>
      <c r="D62" s="218">
        <v>383</v>
      </c>
      <c r="E62" s="218">
        <v>17</v>
      </c>
      <c r="F62" s="120" t="s">
        <v>110</v>
      </c>
      <c r="G62" s="255">
        <v>7.5999999999999998E-2</v>
      </c>
      <c r="H62" s="68">
        <f>0.527-G62</f>
        <v>0.45100000000000001</v>
      </c>
      <c r="I62" s="68">
        <f>0.5-G62</f>
        <v>0.42399999999999999</v>
      </c>
      <c r="J62" s="68">
        <f>0.548-G62</f>
        <v>0.47200000000000003</v>
      </c>
      <c r="K62" s="68">
        <f t="shared" si="19"/>
        <v>2.4754036999999998</v>
      </c>
      <c r="L62" s="68">
        <f t="shared" si="19"/>
        <v>2.3272087999999997</v>
      </c>
      <c r="M62" s="68">
        <f t="shared" si="19"/>
        <v>2.5906663999999999</v>
      </c>
      <c r="N62" s="68">
        <f t="shared" si="16"/>
        <v>2.4644263</v>
      </c>
      <c r="O62" s="68">
        <f t="shared" ref="O62:O67" si="21">N62/20</f>
        <v>0.123221315</v>
      </c>
      <c r="P62" s="68">
        <f t="shared" si="13"/>
        <v>8.8015225000000006E-3</v>
      </c>
      <c r="Q62" s="68">
        <f t="shared" si="14"/>
        <v>8.8015225000000006E-3</v>
      </c>
      <c r="R62" s="68">
        <f t="shared" si="15"/>
        <v>0.54569439500000005</v>
      </c>
      <c r="S62" s="122"/>
      <c r="T62" s="58"/>
      <c r="U62" s="67"/>
    </row>
    <row r="63" spans="2:21" x14ac:dyDescent="0.15">
      <c r="B63" s="252"/>
      <c r="C63" s="254"/>
      <c r="D63" s="218"/>
      <c r="E63" s="218"/>
      <c r="F63" s="120" t="s">
        <v>111</v>
      </c>
      <c r="G63" s="255"/>
      <c r="H63" s="68">
        <f>0.416-G62</f>
        <v>0.33999999999999997</v>
      </c>
      <c r="I63" s="68">
        <f>0.473-G62</f>
        <v>0.39699999999999996</v>
      </c>
      <c r="J63" s="68">
        <f>0.489-G62</f>
        <v>0.41299999999999998</v>
      </c>
      <c r="K63" s="68">
        <f t="shared" si="19"/>
        <v>1.8661579999999998</v>
      </c>
      <c r="L63" s="68">
        <f t="shared" si="19"/>
        <v>2.1790138999999997</v>
      </c>
      <c r="M63" s="68">
        <f t="shared" si="19"/>
        <v>2.2668330999999999</v>
      </c>
      <c r="N63" s="68">
        <f t="shared" si="16"/>
        <v>2.1040016666666665</v>
      </c>
      <c r="O63" s="68">
        <f t="shared" si="21"/>
        <v>0.10520008333333333</v>
      </c>
      <c r="P63" s="68">
        <f t="shared" si="13"/>
        <v>7.5142916666666665E-3</v>
      </c>
      <c r="Q63" s="68">
        <f t="shared" si="14"/>
        <v>7.5142916666666665E-3</v>
      </c>
      <c r="R63" s="68">
        <f t="shared" si="15"/>
        <v>0.46588608333333331</v>
      </c>
      <c r="S63" s="122"/>
      <c r="T63" s="58"/>
      <c r="U63" s="67"/>
    </row>
    <row r="64" spans="2:21" x14ac:dyDescent="0.15">
      <c r="B64" s="252"/>
      <c r="C64" s="254"/>
      <c r="D64" s="218"/>
      <c r="E64" s="218"/>
      <c r="F64" s="120" t="s">
        <v>112</v>
      </c>
      <c r="G64" s="256"/>
      <c r="H64" s="74">
        <f>0.473-G62</f>
        <v>0.39699999999999996</v>
      </c>
      <c r="I64" s="74">
        <f>0.437-G62</f>
        <v>0.36099999999999999</v>
      </c>
      <c r="J64" s="74">
        <f>0.573-G62</f>
        <v>0.49699999999999994</v>
      </c>
      <c r="K64" s="74">
        <f t="shared" si="19"/>
        <v>2.1790138999999997</v>
      </c>
      <c r="L64" s="74">
        <f t="shared" si="19"/>
        <v>1.9814206999999999</v>
      </c>
      <c r="M64" s="74">
        <f t="shared" si="19"/>
        <v>2.7278838999999997</v>
      </c>
      <c r="N64" s="74">
        <f t="shared" si="16"/>
        <v>2.2961061666666662</v>
      </c>
      <c r="O64" s="74">
        <f t="shared" si="21"/>
        <v>0.11480530833333331</v>
      </c>
      <c r="P64" s="74">
        <f t="shared" si="13"/>
        <v>8.2003791666666655E-3</v>
      </c>
      <c r="Q64" s="74">
        <f t="shared" si="14"/>
        <v>8.2003791666666655E-3</v>
      </c>
      <c r="R64" s="74">
        <f t="shared" si="15"/>
        <v>0.50842350833333327</v>
      </c>
      <c r="S64" s="118">
        <f>AVERAGE(R62:R64)</f>
        <v>0.50666799555555553</v>
      </c>
      <c r="T64" s="74">
        <f>STDEV(R62:R64)</f>
        <v>3.9933106836378997E-2</v>
      </c>
      <c r="U64" s="119">
        <f>T64/SQRT(3)</f>
        <v>2.3055389981561501E-2</v>
      </c>
    </row>
    <row r="65" spans="2:29" x14ac:dyDescent="0.15">
      <c r="B65" s="252" t="s">
        <v>42</v>
      </c>
      <c r="C65" s="254">
        <v>0.5</v>
      </c>
      <c r="D65" s="218">
        <v>430</v>
      </c>
      <c r="E65" s="218">
        <v>19</v>
      </c>
      <c r="F65" s="120" t="s">
        <v>110</v>
      </c>
      <c r="G65" s="255">
        <v>7.5999999999999998E-2</v>
      </c>
      <c r="H65" s="68">
        <f>0.499-G65</f>
        <v>0.42299999999999999</v>
      </c>
      <c r="I65" s="68">
        <f>0.519-G65</f>
        <v>0.443</v>
      </c>
      <c r="J65" s="68">
        <f>0.418-G65</f>
        <v>0.34199999999999997</v>
      </c>
      <c r="K65" s="68">
        <f t="shared" si="19"/>
        <v>2.3217200999999998</v>
      </c>
      <c r="L65" s="68">
        <f t="shared" si="19"/>
        <v>2.4314941000000001</v>
      </c>
      <c r="M65" s="68">
        <f t="shared" si="19"/>
        <v>1.8771353999999998</v>
      </c>
      <c r="N65" s="68">
        <f t="shared" si="16"/>
        <v>2.2101165333333337</v>
      </c>
      <c r="O65" s="68">
        <f t="shared" si="21"/>
        <v>0.11050582666666668</v>
      </c>
      <c r="P65" s="68">
        <f t="shared" si="13"/>
        <v>7.8932733333333342E-3</v>
      </c>
      <c r="Q65" s="68">
        <f t="shared" si="14"/>
        <v>7.8932733333333342E-3</v>
      </c>
      <c r="R65" s="68">
        <f t="shared" si="15"/>
        <v>0.48938294666666671</v>
      </c>
      <c r="S65" s="122"/>
      <c r="T65" s="58"/>
      <c r="U65" s="67"/>
    </row>
    <row r="66" spans="2:29" ht="15" customHeight="1" x14ac:dyDescent="0.15">
      <c r="B66" s="252"/>
      <c r="C66" s="254"/>
      <c r="D66" s="218"/>
      <c r="E66" s="218"/>
      <c r="F66" s="120" t="s">
        <v>111</v>
      </c>
      <c r="G66" s="255"/>
      <c r="H66" s="68">
        <f>0.489-G65</f>
        <v>0.41299999999999998</v>
      </c>
      <c r="I66" s="68">
        <f>0.447-G65</f>
        <v>0.371</v>
      </c>
      <c r="J66" s="68">
        <f>0.433-G65</f>
        <v>0.35699999999999998</v>
      </c>
      <c r="K66" s="68">
        <f t="shared" si="19"/>
        <v>2.2668330999999999</v>
      </c>
      <c r="L66" s="68">
        <f t="shared" si="19"/>
        <v>2.0363077000000001</v>
      </c>
      <c r="M66" s="68">
        <f t="shared" si="19"/>
        <v>1.9594658999999999</v>
      </c>
      <c r="N66" s="68">
        <f t="shared" si="16"/>
        <v>2.0875355666666664</v>
      </c>
      <c r="O66" s="68">
        <f t="shared" si="21"/>
        <v>0.10437677833333332</v>
      </c>
      <c r="P66" s="68">
        <f t="shared" si="13"/>
        <v>7.4554841666666658E-3</v>
      </c>
      <c r="Q66" s="68">
        <f t="shared" si="14"/>
        <v>7.4554841666666658E-3</v>
      </c>
      <c r="R66" s="68">
        <f t="shared" si="15"/>
        <v>0.46224001833333328</v>
      </c>
      <c r="S66" s="122"/>
      <c r="T66" s="58"/>
      <c r="U66" s="67"/>
    </row>
    <row r="67" spans="2:29" ht="16" customHeight="1" thickBot="1" x14ac:dyDescent="0.2">
      <c r="B67" s="259"/>
      <c r="C67" s="260"/>
      <c r="D67" s="231"/>
      <c r="E67" s="231"/>
      <c r="F67" s="152" t="s">
        <v>112</v>
      </c>
      <c r="G67" s="262"/>
      <c r="H67" s="93">
        <f>0.408-G65</f>
        <v>0.33199999999999996</v>
      </c>
      <c r="I67" s="93">
        <f>0.411-G65</f>
        <v>0.33499999999999996</v>
      </c>
      <c r="J67" s="93">
        <f>0.589-G65</f>
        <v>0.51300000000000001</v>
      </c>
      <c r="K67" s="68">
        <f t="shared" si="19"/>
        <v>1.8222483999999997</v>
      </c>
      <c r="L67" s="68">
        <f t="shared" si="19"/>
        <v>1.8387144999999998</v>
      </c>
      <c r="M67" s="68">
        <f t="shared" si="19"/>
        <v>2.8157030999999999</v>
      </c>
      <c r="N67" s="93">
        <f t="shared" si="16"/>
        <v>2.1588886666666665</v>
      </c>
      <c r="O67" s="93">
        <f t="shared" si="21"/>
        <v>0.10794443333333333</v>
      </c>
      <c r="P67" s="93">
        <f t="shared" si="13"/>
        <v>7.7103166666666664E-3</v>
      </c>
      <c r="Q67" s="93">
        <f t="shared" si="14"/>
        <v>7.7103166666666664E-3</v>
      </c>
      <c r="R67" s="93">
        <f t="shared" si="15"/>
        <v>0.47803963333333332</v>
      </c>
      <c r="S67" s="124">
        <f>AVERAGE(R65:R67)</f>
        <v>0.47655419944444444</v>
      </c>
      <c r="T67" s="93">
        <f>STDEV(R65:R67)</f>
        <v>1.3632297128723879E-2</v>
      </c>
      <c r="U67" s="113">
        <f>T67/SQRT(3)</f>
        <v>7.8706104169416948E-3</v>
      </c>
    </row>
    <row r="68" spans="2:29" ht="17" thickBot="1" x14ac:dyDescent="0.2">
      <c r="B68" s="248" t="s">
        <v>63</v>
      </c>
      <c r="C68" s="249"/>
      <c r="D68" s="249"/>
      <c r="E68" s="249"/>
      <c r="F68" s="249"/>
      <c r="G68" s="249"/>
      <c r="H68" s="249"/>
      <c r="I68" s="249"/>
      <c r="J68" s="249"/>
      <c r="K68" s="249"/>
      <c r="L68" s="249"/>
      <c r="M68" s="249"/>
      <c r="N68" s="249"/>
      <c r="O68" s="249"/>
      <c r="P68" s="249"/>
      <c r="Q68" s="249"/>
      <c r="R68" s="249"/>
      <c r="S68" s="249"/>
      <c r="T68" s="249"/>
      <c r="U68" s="250"/>
    </row>
    <row r="69" spans="2:29" ht="30" x14ac:dyDescent="0.15">
      <c r="B69" s="126" t="s">
        <v>0</v>
      </c>
      <c r="C69" s="59" t="s">
        <v>1</v>
      </c>
      <c r="D69" s="59" t="s">
        <v>2</v>
      </c>
      <c r="E69" s="129" t="s">
        <v>23</v>
      </c>
      <c r="F69" s="128"/>
      <c r="G69" s="128" t="s">
        <v>24</v>
      </c>
      <c r="H69" s="245" t="s">
        <v>25</v>
      </c>
      <c r="I69" s="246"/>
      <c r="J69" s="246"/>
      <c r="K69" s="247" t="s">
        <v>87</v>
      </c>
      <c r="L69" s="247"/>
      <c r="M69" s="247"/>
      <c r="N69" s="59" t="s">
        <v>26</v>
      </c>
      <c r="O69" s="59" t="s">
        <v>27</v>
      </c>
      <c r="P69" s="59" t="s">
        <v>27</v>
      </c>
      <c r="Q69" s="59" t="s">
        <v>88</v>
      </c>
      <c r="R69" s="129" t="s">
        <v>88</v>
      </c>
      <c r="S69" s="59" t="s">
        <v>89</v>
      </c>
      <c r="T69" s="59" t="s">
        <v>82</v>
      </c>
      <c r="U69" s="127" t="s">
        <v>56</v>
      </c>
      <c r="W69" s="58" t="s">
        <v>2</v>
      </c>
      <c r="X69" s="111" t="str">
        <f>S69</f>
        <v>Average NO3 concentration</v>
      </c>
      <c r="Y69" s="111" t="str">
        <f>U69</f>
        <v>Standard error</v>
      </c>
      <c r="Z69" s="58"/>
      <c r="AA69" s="114"/>
      <c r="AB69" s="114"/>
      <c r="AC69" s="114"/>
    </row>
    <row r="70" spans="2:29" ht="14" x14ac:dyDescent="0.15">
      <c r="B70" s="130"/>
      <c r="C70" s="131"/>
      <c r="D70" s="132"/>
      <c r="E70" s="132"/>
      <c r="F70" s="133"/>
      <c r="G70" s="133"/>
      <c r="H70" s="132"/>
      <c r="I70" s="132"/>
      <c r="J70" s="132"/>
      <c r="K70" s="64"/>
      <c r="L70" s="64"/>
      <c r="M70" s="64"/>
      <c r="N70" s="64" t="s">
        <v>28</v>
      </c>
      <c r="O70" s="64" t="s">
        <v>21</v>
      </c>
      <c r="P70" s="64" t="s">
        <v>29</v>
      </c>
      <c r="Q70" s="64" t="s">
        <v>29</v>
      </c>
      <c r="R70" s="63" t="s">
        <v>21</v>
      </c>
      <c r="S70" s="64" t="s">
        <v>21</v>
      </c>
      <c r="T70" s="64"/>
      <c r="U70" s="62"/>
      <c r="W70" s="58">
        <v>0</v>
      </c>
      <c r="X70" s="68">
        <f>S73</f>
        <v>1.6069901416666665</v>
      </c>
      <c r="Y70" s="68">
        <f>U73</f>
        <v>2.3636137946338599E-2</v>
      </c>
      <c r="Z70" s="68"/>
      <c r="AA70" s="114"/>
      <c r="AB70" s="114"/>
      <c r="AC70" s="114"/>
    </row>
    <row r="71" spans="2:29" x14ac:dyDescent="0.15">
      <c r="B71" s="264" t="s">
        <v>8</v>
      </c>
      <c r="C71" s="254">
        <v>0.5625</v>
      </c>
      <c r="D71" s="226">
        <v>0</v>
      </c>
      <c r="E71" s="226">
        <v>1</v>
      </c>
      <c r="F71" s="120" t="s">
        <v>110</v>
      </c>
      <c r="G71" s="258">
        <f>(0.076+0.073)/2</f>
        <v>7.4499999999999997E-2</v>
      </c>
      <c r="H71" s="116">
        <f>0.765-G71</f>
        <v>0.6905</v>
      </c>
      <c r="I71" s="115">
        <f>0.787-G71</f>
        <v>0.71250000000000002</v>
      </c>
      <c r="J71" s="115">
        <f>0.776-G71</f>
        <v>0.70150000000000001</v>
      </c>
      <c r="K71" s="68">
        <f t="shared" ref="K71:M76" si="22">5.0379*H71</f>
        <v>3.4786699499999996</v>
      </c>
      <c r="L71" s="68">
        <f t="shared" si="22"/>
        <v>3.58950375</v>
      </c>
      <c r="M71" s="68">
        <f t="shared" si="22"/>
        <v>3.53408685</v>
      </c>
      <c r="N71" s="68">
        <f>AVERAGE(K71:M71)</f>
        <v>3.5340868499999996</v>
      </c>
      <c r="O71" s="68">
        <f>N71/10</f>
        <v>0.35340868499999994</v>
      </c>
      <c r="P71" s="68">
        <f>O71/14</f>
        <v>2.5243477499999997E-2</v>
      </c>
      <c r="Q71" s="68">
        <f>P71</f>
        <v>2.5243477499999997E-2</v>
      </c>
      <c r="R71" s="68">
        <f>Q71*62</f>
        <v>1.5650956049999998</v>
      </c>
      <c r="S71" s="122"/>
      <c r="T71" s="58"/>
      <c r="U71" s="67"/>
      <c r="W71" s="58">
        <f>D74</f>
        <v>47.5</v>
      </c>
      <c r="X71" s="68">
        <f>S76</f>
        <v>1.4679201116666665</v>
      </c>
      <c r="Y71" s="68">
        <f>U76</f>
        <v>3.2987027363769426E-2</v>
      </c>
      <c r="Z71" s="68"/>
      <c r="AA71" s="161"/>
      <c r="AB71" s="161"/>
      <c r="AC71" s="161"/>
    </row>
    <row r="72" spans="2:29" x14ac:dyDescent="0.15">
      <c r="B72" s="264"/>
      <c r="C72" s="254"/>
      <c r="D72" s="226"/>
      <c r="E72" s="226"/>
      <c r="F72" s="120" t="s">
        <v>111</v>
      </c>
      <c r="G72" s="255"/>
      <c r="H72" s="69">
        <f>0.796-G71</f>
        <v>0.72150000000000003</v>
      </c>
      <c r="I72" s="68">
        <f>0.833-G71</f>
        <v>0.75849999999999995</v>
      </c>
      <c r="J72" s="68">
        <f>0.809-G71</f>
        <v>0.73450000000000004</v>
      </c>
      <c r="K72" s="68">
        <f t="shared" si="22"/>
        <v>3.6348448499999999</v>
      </c>
      <c r="L72" s="68">
        <f t="shared" si="22"/>
        <v>3.8212471499999996</v>
      </c>
      <c r="M72" s="68">
        <f t="shared" si="22"/>
        <v>3.70033755</v>
      </c>
      <c r="N72" s="68">
        <f>AVERAGE(K72:M72)</f>
        <v>3.71880985</v>
      </c>
      <c r="O72" s="68">
        <f t="shared" ref="O72:O88" si="23">N72/10</f>
        <v>0.371880985</v>
      </c>
      <c r="P72" s="68">
        <f t="shared" ref="P72:P100" si="24">O72/14</f>
        <v>2.65629275E-2</v>
      </c>
      <c r="Q72" s="68">
        <f t="shared" ref="Q72:Q100" si="25">P72</f>
        <v>2.65629275E-2</v>
      </c>
      <c r="R72" s="68">
        <f t="shared" ref="R72:R100" si="26">Q72*62</f>
        <v>1.646901505</v>
      </c>
      <c r="S72" s="122"/>
      <c r="T72" s="58"/>
      <c r="U72" s="67"/>
      <c r="W72" s="58">
        <f>D77</f>
        <v>94</v>
      </c>
      <c r="X72" s="68">
        <f>S79</f>
        <v>1.3895491666666666</v>
      </c>
      <c r="Y72" s="68">
        <f>U79</f>
        <v>7.0591779979981117E-2</v>
      </c>
      <c r="Z72" s="68"/>
      <c r="AA72" s="161"/>
      <c r="AB72" s="161"/>
      <c r="AC72" s="161"/>
    </row>
    <row r="73" spans="2:29" x14ac:dyDescent="0.15">
      <c r="B73" s="265"/>
      <c r="C73" s="257"/>
      <c r="D73" s="227"/>
      <c r="E73" s="227"/>
      <c r="F73" s="120" t="s">
        <v>112</v>
      </c>
      <c r="G73" s="256"/>
      <c r="H73" s="73">
        <f>0.773-G71</f>
        <v>0.69850000000000001</v>
      </c>
      <c r="I73" s="74">
        <f>0.785-G71</f>
        <v>0.71050000000000002</v>
      </c>
      <c r="J73" s="74">
        <f>0.829-G71</f>
        <v>0.75449999999999995</v>
      </c>
      <c r="K73" s="74">
        <f t="shared" si="22"/>
        <v>3.5189731499999999</v>
      </c>
      <c r="L73" s="74">
        <f t="shared" si="22"/>
        <v>3.5794279499999999</v>
      </c>
      <c r="M73" s="74">
        <f t="shared" si="22"/>
        <v>3.8010955499999994</v>
      </c>
      <c r="N73" s="74">
        <f>AVERAGE(K73:M73)</f>
        <v>3.6331655499999997</v>
      </c>
      <c r="O73" s="74">
        <f t="shared" si="23"/>
        <v>0.36331655499999999</v>
      </c>
      <c r="P73" s="74">
        <f t="shared" si="24"/>
        <v>2.5951182499999999E-2</v>
      </c>
      <c r="Q73" s="74">
        <f t="shared" si="25"/>
        <v>2.5951182499999999E-2</v>
      </c>
      <c r="R73" s="74">
        <f t="shared" si="26"/>
        <v>1.6089733150000001</v>
      </c>
      <c r="S73" s="118">
        <f>AVERAGE(R71:R73)</f>
        <v>1.6069901416666665</v>
      </c>
      <c r="T73" s="74">
        <f>STDEV(R71:R73)</f>
        <v>4.0938991817765155E-2</v>
      </c>
      <c r="U73" s="119">
        <f>T73/SQRT(3)</f>
        <v>2.3636137946338599E-2</v>
      </c>
      <c r="W73" s="79">
        <f>D80</f>
        <v>141</v>
      </c>
      <c r="X73" s="68">
        <f>S82</f>
        <v>1.1036457619047619</v>
      </c>
      <c r="Y73" s="68">
        <f>U82</f>
        <v>5.6535017022538117E-2</v>
      </c>
      <c r="Z73" s="68"/>
      <c r="AA73" s="161"/>
      <c r="AB73" s="161"/>
      <c r="AC73" s="161"/>
    </row>
    <row r="74" spans="2:29" x14ac:dyDescent="0.15">
      <c r="B74" s="214" t="s">
        <v>10</v>
      </c>
      <c r="C74" s="253">
        <v>0.54513888888888895</v>
      </c>
      <c r="D74" s="217">
        <v>47.5</v>
      </c>
      <c r="E74" s="266">
        <v>3</v>
      </c>
      <c r="F74" s="120" t="s">
        <v>110</v>
      </c>
      <c r="G74" s="255">
        <f>(0.076+0.073)/2</f>
        <v>7.4499999999999997E-2</v>
      </c>
      <c r="H74" s="69">
        <f>0.729-G74</f>
        <v>0.65449999999999997</v>
      </c>
      <c r="I74" s="68">
        <f>0.752-G74</f>
        <v>0.67749999999999999</v>
      </c>
      <c r="J74" s="68">
        <f>0.738-G74</f>
        <v>0.66349999999999998</v>
      </c>
      <c r="K74" s="68">
        <f t="shared" si="22"/>
        <v>3.2973055499999995</v>
      </c>
      <c r="L74" s="68">
        <f t="shared" si="22"/>
        <v>3.4131772499999995</v>
      </c>
      <c r="M74" s="68">
        <f t="shared" si="22"/>
        <v>3.3426466499999998</v>
      </c>
      <c r="N74" s="68">
        <f t="shared" ref="N74:N100" si="27">AVERAGE(K74:M74)</f>
        <v>3.3510431500000002</v>
      </c>
      <c r="O74" s="68">
        <f t="shared" si="23"/>
        <v>0.33510431500000004</v>
      </c>
      <c r="P74" s="68">
        <f t="shared" si="24"/>
        <v>2.3936022500000004E-2</v>
      </c>
      <c r="Q74" s="68">
        <f t="shared" si="25"/>
        <v>2.3936022500000004E-2</v>
      </c>
      <c r="R74" s="68">
        <f t="shared" si="26"/>
        <v>1.4840333950000002</v>
      </c>
      <c r="S74" s="147"/>
      <c r="T74" s="68"/>
      <c r="U74" s="91"/>
      <c r="W74" s="58">
        <f>D83</f>
        <v>191</v>
      </c>
      <c r="X74" s="68">
        <f>S85</f>
        <v>0.89413071190476179</v>
      </c>
      <c r="Y74" s="68">
        <f>U85</f>
        <v>1.7732933058104923E-2</v>
      </c>
      <c r="Z74" s="68"/>
      <c r="AA74" s="161"/>
      <c r="AB74" s="161"/>
      <c r="AC74" s="161"/>
    </row>
    <row r="75" spans="2:29" x14ac:dyDescent="0.15">
      <c r="B75" s="215"/>
      <c r="C75" s="254"/>
      <c r="D75" s="218"/>
      <c r="E75" s="226"/>
      <c r="F75" s="120" t="s">
        <v>111</v>
      </c>
      <c r="G75" s="255"/>
      <c r="H75" s="69">
        <f>0.761-G74</f>
        <v>0.6865</v>
      </c>
      <c r="I75" s="68">
        <f>0.751-G74</f>
        <v>0.67649999999999999</v>
      </c>
      <c r="J75" s="68">
        <f>0.749-G74</f>
        <v>0.67449999999999999</v>
      </c>
      <c r="K75" s="68">
        <f t="shared" si="22"/>
        <v>3.4585183499999999</v>
      </c>
      <c r="L75" s="68">
        <f t="shared" si="22"/>
        <v>3.4081393499999999</v>
      </c>
      <c r="M75" s="68">
        <f t="shared" si="22"/>
        <v>3.3980635499999998</v>
      </c>
      <c r="N75" s="68">
        <f t="shared" si="27"/>
        <v>3.4215737499999999</v>
      </c>
      <c r="O75" s="68">
        <f t="shared" si="23"/>
        <v>0.34215737499999999</v>
      </c>
      <c r="P75" s="68">
        <f t="shared" si="24"/>
        <v>2.4439812499999998E-2</v>
      </c>
      <c r="Q75" s="68">
        <f t="shared" si="25"/>
        <v>2.4439812499999998E-2</v>
      </c>
      <c r="R75" s="68">
        <f t="shared" si="26"/>
        <v>1.5152683749999998</v>
      </c>
      <c r="S75" s="147"/>
      <c r="T75" s="68"/>
      <c r="U75" s="91"/>
      <c r="W75" s="58">
        <f>D86</f>
        <v>236.5</v>
      </c>
      <c r="X75" s="68">
        <f>S88</f>
        <v>0.7345504323809523</v>
      </c>
      <c r="Y75" s="68">
        <f>U88</f>
        <v>1.0047915433617004E-2</v>
      </c>
      <c r="Z75" s="68"/>
      <c r="AA75" s="161"/>
      <c r="AB75" s="161"/>
      <c r="AC75" s="161"/>
    </row>
    <row r="76" spans="2:29" x14ac:dyDescent="0.15">
      <c r="B76" s="215"/>
      <c r="C76" s="254"/>
      <c r="D76" s="218"/>
      <c r="E76" s="226"/>
      <c r="F76" s="120" t="s">
        <v>112</v>
      </c>
      <c r="G76" s="256"/>
      <c r="H76" s="73">
        <f>0.705-G74</f>
        <v>0.63049999999999995</v>
      </c>
      <c r="I76" s="74">
        <f>0.7-G74</f>
        <v>0.62549999999999994</v>
      </c>
      <c r="J76" s="74">
        <f>0.707-G74</f>
        <v>0.63249999999999995</v>
      </c>
      <c r="K76" s="74">
        <f t="shared" si="22"/>
        <v>3.1763959499999994</v>
      </c>
      <c r="L76" s="74">
        <f t="shared" si="22"/>
        <v>3.1512064499999997</v>
      </c>
      <c r="M76" s="74">
        <f t="shared" si="22"/>
        <v>3.1864717499999995</v>
      </c>
      <c r="N76" s="74">
        <f t="shared" si="27"/>
        <v>3.1713580499999998</v>
      </c>
      <c r="O76" s="74">
        <f t="shared" si="23"/>
        <v>0.31713580499999999</v>
      </c>
      <c r="P76" s="74">
        <f t="shared" si="24"/>
        <v>2.26525575E-2</v>
      </c>
      <c r="Q76" s="74">
        <f t="shared" si="25"/>
        <v>2.26525575E-2</v>
      </c>
      <c r="R76" s="74">
        <f t="shared" si="26"/>
        <v>1.4044585650000001</v>
      </c>
      <c r="S76" s="118">
        <f>AVERAGE(R74:R76)</f>
        <v>1.4679201116666665</v>
      </c>
      <c r="T76" s="74">
        <f>STDEV(R74:R76)</f>
        <v>5.7135207384713491E-2</v>
      </c>
      <c r="U76" s="119">
        <f>T76/SQRT(3)</f>
        <v>3.2987027363769426E-2</v>
      </c>
      <c r="W76" s="58">
        <f>D89</f>
        <v>284.5</v>
      </c>
      <c r="X76" s="68">
        <f>S91</f>
        <v>0.69374263925925927</v>
      </c>
      <c r="Y76" s="68">
        <f>U91</f>
        <v>6.2517153783559515E-2</v>
      </c>
      <c r="Z76" s="68"/>
      <c r="AA76" s="161"/>
      <c r="AB76" s="161"/>
      <c r="AC76" s="161"/>
    </row>
    <row r="77" spans="2:29" x14ac:dyDescent="0.15">
      <c r="B77" s="215" t="s">
        <v>12</v>
      </c>
      <c r="C77" s="254">
        <v>0.47222222222222227</v>
      </c>
      <c r="D77" s="226">
        <v>94</v>
      </c>
      <c r="E77" s="226">
        <v>5</v>
      </c>
      <c r="F77" s="120" t="s">
        <v>110</v>
      </c>
      <c r="G77" s="255">
        <v>7.8666666666666663E-2</v>
      </c>
      <c r="H77" s="69">
        <f>0.699-G77</f>
        <v>0.62033333333333329</v>
      </c>
      <c r="I77" s="68">
        <f>0.711-G77</f>
        <v>0.6323333333333333</v>
      </c>
      <c r="J77" s="68">
        <f>0.734-G77</f>
        <v>0.65533333333333332</v>
      </c>
      <c r="K77" s="68">
        <f t="shared" ref="K77:M82" si="28">5.415*H77</f>
        <v>3.359105</v>
      </c>
      <c r="L77" s="68">
        <f t="shared" si="28"/>
        <v>3.4240849999999998</v>
      </c>
      <c r="M77" s="68">
        <f t="shared" si="28"/>
        <v>3.5486300000000002</v>
      </c>
      <c r="N77" s="68">
        <f t="shared" si="27"/>
        <v>3.44394</v>
      </c>
      <c r="O77" s="68">
        <f t="shared" si="23"/>
        <v>0.34439399999999998</v>
      </c>
      <c r="P77" s="68">
        <f t="shared" si="24"/>
        <v>2.4599571428571426E-2</v>
      </c>
      <c r="Q77" s="68">
        <f t="shared" si="25"/>
        <v>2.4599571428571426E-2</v>
      </c>
      <c r="R77" s="68">
        <f t="shared" si="26"/>
        <v>1.5251734285714285</v>
      </c>
      <c r="S77" s="147"/>
      <c r="T77" s="68"/>
      <c r="U77" s="91"/>
      <c r="W77" s="58">
        <f>D92</f>
        <v>334</v>
      </c>
      <c r="X77" s="68">
        <f>S94</f>
        <v>0.63666596740740733</v>
      </c>
      <c r="Y77" s="68">
        <f>U94</f>
        <v>9.613206719615755E-2</v>
      </c>
      <c r="Z77" s="68"/>
      <c r="AA77" s="161"/>
      <c r="AB77" s="161"/>
      <c r="AC77" s="161"/>
    </row>
    <row r="78" spans="2:29" ht="15" customHeight="1" x14ac:dyDescent="0.15">
      <c r="B78" s="215"/>
      <c r="C78" s="254"/>
      <c r="D78" s="226"/>
      <c r="E78" s="226"/>
      <c r="F78" s="120" t="s">
        <v>111</v>
      </c>
      <c r="G78" s="255"/>
      <c r="H78" s="69">
        <f>0.636-G77</f>
        <v>0.55733333333333335</v>
      </c>
      <c r="I78" s="68">
        <f>0.644-G77</f>
        <v>0.56533333333333335</v>
      </c>
      <c r="J78" s="68">
        <f>0.652-G77</f>
        <v>0.57333333333333336</v>
      </c>
      <c r="K78" s="68">
        <f t="shared" si="28"/>
        <v>3.01796</v>
      </c>
      <c r="L78" s="68">
        <f t="shared" si="28"/>
        <v>3.06128</v>
      </c>
      <c r="M78" s="68">
        <f t="shared" si="28"/>
        <v>3.1046</v>
      </c>
      <c r="N78" s="68">
        <f t="shared" si="27"/>
        <v>3.06128</v>
      </c>
      <c r="O78" s="68">
        <f t="shared" si="23"/>
        <v>0.30612800000000001</v>
      </c>
      <c r="P78" s="68">
        <f t="shared" si="24"/>
        <v>2.1866285714285717E-2</v>
      </c>
      <c r="Q78" s="68">
        <f t="shared" si="25"/>
        <v>2.1866285714285717E-2</v>
      </c>
      <c r="R78" s="68">
        <f t="shared" si="26"/>
        <v>1.3557097142857144</v>
      </c>
      <c r="S78" s="147"/>
      <c r="T78" s="68"/>
      <c r="U78" s="91"/>
      <c r="W78" s="79">
        <f>D95</f>
        <v>382.5</v>
      </c>
      <c r="X78" s="68">
        <f>S97</f>
        <v>0.49964594444444438</v>
      </c>
      <c r="Y78" s="68">
        <f>U97</f>
        <v>3.633539834162485E-3</v>
      </c>
      <c r="Z78" s="68"/>
      <c r="AA78" s="161"/>
      <c r="AB78" s="161"/>
      <c r="AC78" s="161"/>
    </row>
    <row r="79" spans="2:29" ht="15" customHeight="1" x14ac:dyDescent="0.15">
      <c r="B79" s="216"/>
      <c r="C79" s="257"/>
      <c r="D79" s="227"/>
      <c r="E79" s="227"/>
      <c r="F79" s="120" t="s">
        <v>112</v>
      </c>
      <c r="G79" s="256"/>
      <c r="H79" s="73">
        <f>0.607-G77</f>
        <v>0.52833333333333332</v>
      </c>
      <c r="I79" s="74">
        <f>0.615-G77</f>
        <v>0.53633333333333333</v>
      </c>
      <c r="J79" s="74">
        <f>0.625-G77</f>
        <v>0.54633333333333334</v>
      </c>
      <c r="K79" s="74">
        <f t="shared" si="28"/>
        <v>2.8609249999999999</v>
      </c>
      <c r="L79" s="74">
        <f t="shared" si="28"/>
        <v>2.904245</v>
      </c>
      <c r="M79" s="74">
        <f t="shared" si="28"/>
        <v>2.9583949999999999</v>
      </c>
      <c r="N79" s="74">
        <f t="shared" si="27"/>
        <v>2.9078549999999996</v>
      </c>
      <c r="O79" s="74">
        <f t="shared" si="23"/>
        <v>0.29078549999999997</v>
      </c>
      <c r="P79" s="74">
        <f t="shared" si="24"/>
        <v>2.0770392857142855E-2</v>
      </c>
      <c r="Q79" s="74">
        <f t="shared" si="25"/>
        <v>2.0770392857142855E-2</v>
      </c>
      <c r="R79" s="74">
        <f t="shared" si="26"/>
        <v>1.287764357142857</v>
      </c>
      <c r="S79" s="118">
        <f>AVERAGE(R77:R79)</f>
        <v>1.3895491666666666</v>
      </c>
      <c r="T79" s="74">
        <f>STDEV(R77:R79)</f>
        <v>0.1222685495220508</v>
      </c>
      <c r="U79" s="119">
        <f>T79/SQRT(3)</f>
        <v>7.0591779979981117E-2</v>
      </c>
      <c r="W79" s="87">
        <f>D98</f>
        <v>430.5</v>
      </c>
      <c r="X79" s="68">
        <f>S100</f>
        <v>0.45805379555555553</v>
      </c>
      <c r="Y79" s="68">
        <f>U100</f>
        <v>2.6662340568717021E-2</v>
      </c>
      <c r="Z79" s="68"/>
      <c r="AA79" s="161"/>
      <c r="AB79" s="161"/>
      <c r="AC79" s="161"/>
    </row>
    <row r="80" spans="2:29" x14ac:dyDescent="0.15">
      <c r="B80" s="251" t="s">
        <v>30</v>
      </c>
      <c r="C80" s="253">
        <v>0.44722222222222219</v>
      </c>
      <c r="D80" s="217">
        <v>141</v>
      </c>
      <c r="E80" s="266">
        <v>7</v>
      </c>
      <c r="F80" s="120" t="s">
        <v>110</v>
      </c>
      <c r="G80" s="255">
        <v>7.8666666666666663E-2</v>
      </c>
      <c r="H80" s="69">
        <f>0.617-G80</f>
        <v>0.53833333333333333</v>
      </c>
      <c r="I80" s="68">
        <f>0.557-G80</f>
        <v>0.47833333333333339</v>
      </c>
      <c r="J80" s="68">
        <f>0.584-G80</f>
        <v>0.5053333333333333</v>
      </c>
      <c r="K80" s="68">
        <f t="shared" si="28"/>
        <v>2.9150749999999999</v>
      </c>
      <c r="L80" s="68">
        <f t="shared" si="28"/>
        <v>2.5901750000000003</v>
      </c>
      <c r="M80" s="68">
        <f t="shared" si="28"/>
        <v>2.73638</v>
      </c>
      <c r="N80" s="68">
        <f t="shared" si="27"/>
        <v>2.7472100000000004</v>
      </c>
      <c r="O80" s="68">
        <f t="shared" si="23"/>
        <v>0.27472100000000005</v>
      </c>
      <c r="P80" s="68">
        <f t="shared" si="24"/>
        <v>1.9622928571428576E-2</v>
      </c>
      <c r="Q80" s="68">
        <f t="shared" si="25"/>
        <v>1.9622928571428576E-2</v>
      </c>
      <c r="R80" s="68">
        <f t="shared" si="26"/>
        <v>1.2166215714285717</v>
      </c>
      <c r="S80" s="122"/>
      <c r="T80" s="58"/>
      <c r="U80" s="67"/>
      <c r="W80" s="58"/>
      <c r="X80" s="68"/>
      <c r="Y80" s="68"/>
      <c r="Z80" s="68"/>
      <c r="AA80" s="68"/>
    </row>
    <row r="81" spans="2:27" x14ac:dyDescent="0.15">
      <c r="B81" s="252"/>
      <c r="C81" s="254"/>
      <c r="D81" s="218"/>
      <c r="E81" s="226"/>
      <c r="F81" s="120" t="s">
        <v>111</v>
      </c>
      <c r="G81" s="255"/>
      <c r="H81" s="69">
        <f>0.513-G80</f>
        <v>0.43433333333333335</v>
      </c>
      <c r="I81" s="68">
        <f>0.513-G80</f>
        <v>0.43433333333333335</v>
      </c>
      <c r="J81" s="68">
        <f>0.525-G80</f>
        <v>0.44633333333333336</v>
      </c>
      <c r="K81" s="68">
        <f t="shared" si="28"/>
        <v>2.351915</v>
      </c>
      <c r="L81" s="68">
        <f t="shared" si="28"/>
        <v>2.351915</v>
      </c>
      <c r="M81" s="68">
        <f t="shared" si="28"/>
        <v>2.4168950000000002</v>
      </c>
      <c r="N81" s="68">
        <f t="shared" si="27"/>
        <v>2.3735750000000002</v>
      </c>
      <c r="O81" s="68">
        <f t="shared" si="23"/>
        <v>0.23735750000000003</v>
      </c>
      <c r="P81" s="68">
        <f t="shared" si="24"/>
        <v>1.6954107142857146E-2</v>
      </c>
      <c r="Q81" s="68">
        <f t="shared" si="25"/>
        <v>1.6954107142857146E-2</v>
      </c>
      <c r="R81" s="68">
        <f t="shared" si="26"/>
        <v>1.051154642857143</v>
      </c>
      <c r="S81" s="122"/>
      <c r="T81" s="58"/>
      <c r="U81" s="67"/>
      <c r="W81" s="58"/>
      <c r="X81" s="68"/>
      <c r="Y81" s="68"/>
      <c r="Z81" s="68"/>
      <c r="AA81" s="68"/>
    </row>
    <row r="82" spans="2:27" x14ac:dyDescent="0.15">
      <c r="B82" s="252"/>
      <c r="C82" s="254"/>
      <c r="D82" s="218"/>
      <c r="E82" s="226"/>
      <c r="F82" s="120" t="s">
        <v>112</v>
      </c>
      <c r="G82" s="256"/>
      <c r="H82" s="73">
        <f>0.515-G80</f>
        <v>0.43633333333333335</v>
      </c>
      <c r="I82" s="74">
        <f>0.526-G80</f>
        <v>0.44733333333333336</v>
      </c>
      <c r="J82" s="74">
        <f>0.5-G80</f>
        <v>0.42133333333333334</v>
      </c>
      <c r="K82" s="74">
        <f t="shared" si="28"/>
        <v>2.3627450000000003</v>
      </c>
      <c r="L82" s="74">
        <f t="shared" si="28"/>
        <v>2.42231</v>
      </c>
      <c r="M82" s="74">
        <f t="shared" si="28"/>
        <v>2.28152</v>
      </c>
      <c r="N82" s="74">
        <f t="shared" si="27"/>
        <v>2.3555250000000001</v>
      </c>
      <c r="O82" s="74">
        <f t="shared" si="23"/>
        <v>0.2355525</v>
      </c>
      <c r="P82" s="74">
        <f t="shared" si="24"/>
        <v>1.6825178571428571E-2</v>
      </c>
      <c r="Q82" s="74">
        <f t="shared" si="25"/>
        <v>1.6825178571428571E-2</v>
      </c>
      <c r="R82" s="74">
        <f t="shared" si="26"/>
        <v>1.0431610714285713</v>
      </c>
      <c r="S82" s="118">
        <f>AVERAGE(R80:R82)</f>
        <v>1.1036457619047619</v>
      </c>
      <c r="T82" s="74">
        <f>STDEV(R80:R82)</f>
        <v>9.7921521889807364E-2</v>
      </c>
      <c r="U82" s="119">
        <f>T82/SQRT(3)</f>
        <v>5.6535017022538117E-2</v>
      </c>
      <c r="W82" s="58"/>
      <c r="X82" s="68"/>
      <c r="Y82" s="68"/>
      <c r="Z82" s="68"/>
      <c r="AA82" s="68"/>
    </row>
    <row r="83" spans="2:27" x14ac:dyDescent="0.15">
      <c r="B83" s="215" t="s">
        <v>32</v>
      </c>
      <c r="C83" s="254">
        <v>0.53472222222222221</v>
      </c>
      <c r="D83" s="226">
        <v>191</v>
      </c>
      <c r="E83" s="226">
        <v>9</v>
      </c>
      <c r="F83" s="120" t="s">
        <v>110</v>
      </c>
      <c r="G83" s="255">
        <v>8.1000000000000003E-2</v>
      </c>
      <c r="H83" s="69">
        <f>0.447-G83</f>
        <v>0.36599999999999999</v>
      </c>
      <c r="I83" s="68">
        <f>0.47-G83</f>
        <v>0.38899999999999996</v>
      </c>
      <c r="J83" s="68">
        <f>0.399-G83</f>
        <v>0.318</v>
      </c>
      <c r="K83" s="68">
        <f t="shared" ref="K83:M88" si="29">5.4323*H83</f>
        <v>1.9882217999999998</v>
      </c>
      <c r="L83" s="68">
        <f t="shared" si="29"/>
        <v>2.1131646999999996</v>
      </c>
      <c r="M83" s="68">
        <f t="shared" si="29"/>
        <v>1.7274714</v>
      </c>
      <c r="N83" s="68">
        <f t="shared" si="27"/>
        <v>1.9429526333333331</v>
      </c>
      <c r="O83" s="68">
        <f t="shared" si="23"/>
        <v>0.1942952633333333</v>
      </c>
      <c r="P83" s="68">
        <f t="shared" si="24"/>
        <v>1.3878233095238094E-2</v>
      </c>
      <c r="Q83" s="68">
        <f t="shared" si="25"/>
        <v>1.3878233095238094E-2</v>
      </c>
      <c r="R83" s="68">
        <f t="shared" si="26"/>
        <v>0.86045045190476177</v>
      </c>
      <c r="S83" s="122"/>
      <c r="T83" s="58"/>
      <c r="U83" s="67"/>
      <c r="W83" s="58"/>
      <c r="X83" s="68"/>
      <c r="Y83" s="68"/>
      <c r="Z83" s="68"/>
      <c r="AA83" s="68"/>
    </row>
    <row r="84" spans="2:27" x14ac:dyDescent="0.15">
      <c r="B84" s="215"/>
      <c r="C84" s="254"/>
      <c r="D84" s="226"/>
      <c r="E84" s="226"/>
      <c r="F84" s="120" t="s">
        <v>111</v>
      </c>
      <c r="G84" s="255"/>
      <c r="H84" s="69">
        <f>0.476-G83</f>
        <v>0.39499999999999996</v>
      </c>
      <c r="I84" s="68">
        <f>0.471-G83</f>
        <v>0.38999999999999996</v>
      </c>
      <c r="J84" s="68">
        <f>0.42-G83</f>
        <v>0.33899999999999997</v>
      </c>
      <c r="K84" s="68">
        <f t="shared" si="29"/>
        <v>2.1457584999999995</v>
      </c>
      <c r="L84" s="68">
        <f t="shared" si="29"/>
        <v>2.1185969999999998</v>
      </c>
      <c r="M84" s="68">
        <f t="shared" si="29"/>
        <v>1.8415496999999996</v>
      </c>
      <c r="N84" s="68">
        <f t="shared" si="27"/>
        <v>2.0353017333333328</v>
      </c>
      <c r="O84" s="68">
        <f t="shared" si="23"/>
        <v>0.20353017333333329</v>
      </c>
      <c r="P84" s="68">
        <f t="shared" si="24"/>
        <v>1.453786952380952E-2</v>
      </c>
      <c r="Q84" s="68">
        <f t="shared" si="25"/>
        <v>1.453786952380952E-2</v>
      </c>
      <c r="R84" s="68">
        <f t="shared" si="26"/>
        <v>0.90134791047619023</v>
      </c>
      <c r="S84" s="122"/>
      <c r="T84" s="58"/>
      <c r="U84" s="67"/>
      <c r="W84" s="58"/>
      <c r="X84" s="68"/>
      <c r="Y84" s="68"/>
      <c r="Z84" s="68"/>
      <c r="AA84" s="68"/>
    </row>
    <row r="85" spans="2:27" x14ac:dyDescent="0.15">
      <c r="B85" s="216"/>
      <c r="C85" s="257"/>
      <c r="D85" s="227"/>
      <c r="E85" s="227"/>
      <c r="F85" s="120" t="s">
        <v>112</v>
      </c>
      <c r="G85" s="256"/>
      <c r="H85" s="73">
        <f>0.432-G83</f>
        <v>0.35099999999999998</v>
      </c>
      <c r="I85" s="74">
        <f>0.641-G83</f>
        <v>0.56000000000000005</v>
      </c>
      <c r="J85" s="74">
        <f>0.318-G83</f>
        <v>0.23699999999999999</v>
      </c>
      <c r="K85" s="74">
        <f t="shared" si="29"/>
        <v>1.9067372999999999</v>
      </c>
      <c r="L85" s="74">
        <f t="shared" si="29"/>
        <v>3.0420880000000001</v>
      </c>
      <c r="M85" s="74">
        <f t="shared" si="29"/>
        <v>1.2874550999999999</v>
      </c>
      <c r="N85" s="74">
        <f t="shared" si="27"/>
        <v>2.0787601333333332</v>
      </c>
      <c r="O85" s="74">
        <f t="shared" si="23"/>
        <v>0.20787601333333333</v>
      </c>
      <c r="P85" s="74">
        <f t="shared" si="24"/>
        <v>1.4848286666666667E-2</v>
      </c>
      <c r="Q85" s="74">
        <f t="shared" si="25"/>
        <v>1.4848286666666667E-2</v>
      </c>
      <c r="R85" s="74">
        <f t="shared" si="26"/>
        <v>0.92059377333333337</v>
      </c>
      <c r="S85" s="118">
        <f>AVERAGE(R83:R85)</f>
        <v>0.89413071190476179</v>
      </c>
      <c r="T85" s="74">
        <f>STDEV(R83:R85)</f>
        <v>3.0714341023855472E-2</v>
      </c>
      <c r="U85" s="119">
        <f>T85/SQRT(3)</f>
        <v>1.7732933058104923E-2</v>
      </c>
      <c r="W85" s="58"/>
      <c r="X85" s="68"/>
      <c r="Y85" s="68"/>
      <c r="Z85" s="68"/>
      <c r="AA85" s="68"/>
    </row>
    <row r="86" spans="2:27" x14ac:dyDescent="0.15">
      <c r="B86" s="214" t="s">
        <v>34</v>
      </c>
      <c r="C86" s="253">
        <v>0.4375</v>
      </c>
      <c r="D86" s="217">
        <v>236.5</v>
      </c>
      <c r="E86" s="266">
        <v>11</v>
      </c>
      <c r="F86" s="120" t="s">
        <v>110</v>
      </c>
      <c r="G86" s="255">
        <v>8.1000000000000003E-2</v>
      </c>
      <c r="H86" s="69">
        <f>0.415-G86</f>
        <v>0.33399999999999996</v>
      </c>
      <c r="I86" s="68">
        <f>0.373-G86</f>
        <v>0.29199999999999998</v>
      </c>
      <c r="J86" s="68">
        <f>0.382-G86</f>
        <v>0.30099999999999999</v>
      </c>
      <c r="K86" s="68">
        <f t="shared" si="29"/>
        <v>1.8143881999999998</v>
      </c>
      <c r="L86" s="68">
        <f t="shared" si="29"/>
        <v>1.5862315999999999</v>
      </c>
      <c r="M86" s="68">
        <f t="shared" si="29"/>
        <v>1.6351222999999999</v>
      </c>
      <c r="N86" s="68">
        <f t="shared" si="27"/>
        <v>1.6785806999999997</v>
      </c>
      <c r="O86" s="68">
        <f t="shared" si="23"/>
        <v>0.16785806999999997</v>
      </c>
      <c r="P86" s="68">
        <f t="shared" si="24"/>
        <v>1.1989862142857141E-2</v>
      </c>
      <c r="Q86" s="68">
        <f t="shared" si="25"/>
        <v>1.1989862142857141E-2</v>
      </c>
      <c r="R86" s="68">
        <f t="shared" si="26"/>
        <v>0.74337145285714279</v>
      </c>
      <c r="S86" s="147"/>
      <c r="T86" s="68"/>
      <c r="U86" s="91"/>
      <c r="W86" s="58"/>
      <c r="X86" s="68"/>
      <c r="Y86" s="68"/>
      <c r="Z86" s="68"/>
      <c r="AA86" s="68"/>
    </row>
    <row r="87" spans="2:27" x14ac:dyDescent="0.15">
      <c r="B87" s="215"/>
      <c r="C87" s="254"/>
      <c r="D87" s="218"/>
      <c r="E87" s="226"/>
      <c r="F87" s="120" t="s">
        <v>111</v>
      </c>
      <c r="G87" s="255"/>
      <c r="H87" s="69">
        <f>0.366-G86</f>
        <v>0.28499999999999998</v>
      </c>
      <c r="I87" s="68">
        <f>0.377-G86</f>
        <v>0.29599999999999999</v>
      </c>
      <c r="J87" s="68">
        <f>0.391-G86</f>
        <v>0.31</v>
      </c>
      <c r="K87" s="68">
        <f t="shared" si="29"/>
        <v>1.5482054999999997</v>
      </c>
      <c r="L87" s="68">
        <f t="shared" si="29"/>
        <v>1.6079607999999999</v>
      </c>
      <c r="M87" s="68">
        <f t="shared" si="29"/>
        <v>1.684013</v>
      </c>
      <c r="N87" s="68">
        <f t="shared" si="27"/>
        <v>1.6133930999999999</v>
      </c>
      <c r="O87" s="68">
        <f t="shared" si="23"/>
        <v>0.16133930999999999</v>
      </c>
      <c r="P87" s="68">
        <f t="shared" si="24"/>
        <v>1.1524236428571427E-2</v>
      </c>
      <c r="Q87" s="68">
        <f t="shared" si="25"/>
        <v>1.1524236428571427E-2</v>
      </c>
      <c r="R87" s="68">
        <f t="shared" si="26"/>
        <v>0.71450265857142847</v>
      </c>
      <c r="S87" s="147"/>
      <c r="T87" s="68"/>
      <c r="U87" s="91"/>
      <c r="W87" s="58"/>
      <c r="X87" s="68"/>
      <c r="Y87" s="68"/>
      <c r="Z87" s="68"/>
      <c r="AA87" s="68"/>
    </row>
    <row r="88" spans="2:27" x14ac:dyDescent="0.15">
      <c r="B88" s="215"/>
      <c r="C88" s="254"/>
      <c r="D88" s="218"/>
      <c r="E88" s="226"/>
      <c r="F88" s="120" t="s">
        <v>112</v>
      </c>
      <c r="G88" s="256"/>
      <c r="H88" s="73">
        <f>0.387-G86</f>
        <v>0.30599999999999999</v>
      </c>
      <c r="I88" s="74">
        <f>0.399-G86</f>
        <v>0.318</v>
      </c>
      <c r="J88" s="74">
        <f>0.387-G86</f>
        <v>0.30599999999999999</v>
      </c>
      <c r="K88" s="74">
        <f t="shared" si="29"/>
        <v>1.6622838</v>
      </c>
      <c r="L88" s="74">
        <f t="shared" si="29"/>
        <v>1.7274714</v>
      </c>
      <c r="M88" s="74">
        <f t="shared" si="29"/>
        <v>1.6622838</v>
      </c>
      <c r="N88" s="74">
        <f t="shared" si="27"/>
        <v>1.684013</v>
      </c>
      <c r="O88" s="74">
        <f t="shared" si="23"/>
        <v>0.1684013</v>
      </c>
      <c r="P88" s="74">
        <f t="shared" si="24"/>
        <v>1.2028664285714285E-2</v>
      </c>
      <c r="Q88" s="74">
        <f t="shared" si="25"/>
        <v>1.2028664285714285E-2</v>
      </c>
      <c r="R88" s="74">
        <f t="shared" si="26"/>
        <v>0.74577718571428564</v>
      </c>
      <c r="S88" s="118">
        <f>AVERAGE(R86:R88)</f>
        <v>0.7345504323809523</v>
      </c>
      <c r="T88" s="74">
        <f>STDEV(R86:R88)</f>
        <v>1.7403500041180117E-2</v>
      </c>
      <c r="U88" s="119">
        <f>T88/SQRT(3)</f>
        <v>1.0047915433617004E-2</v>
      </c>
      <c r="W88" s="58"/>
      <c r="X88" s="68"/>
      <c r="Y88" s="68"/>
      <c r="Z88" s="68"/>
      <c r="AA88" s="68"/>
    </row>
    <row r="89" spans="2:27" x14ac:dyDescent="0.15">
      <c r="B89" s="215" t="s">
        <v>36</v>
      </c>
      <c r="C89" s="254">
        <v>0.4375</v>
      </c>
      <c r="D89" s="218">
        <v>284.5</v>
      </c>
      <c r="E89" s="226">
        <v>13</v>
      </c>
      <c r="F89" s="120" t="s">
        <v>110</v>
      </c>
      <c r="G89" s="255">
        <v>7.8E-2</v>
      </c>
      <c r="H89" s="69">
        <f>0.535-G89</f>
        <v>0.45700000000000002</v>
      </c>
      <c r="I89" s="68">
        <f>0.56-G89</f>
        <v>0.48200000000000004</v>
      </c>
      <c r="J89" s="68">
        <f>0.601-G89</f>
        <v>0.52300000000000002</v>
      </c>
      <c r="K89" s="68">
        <f t="shared" ref="K89:M100" si="30">5.4887*H89</f>
        <v>2.5083359000000001</v>
      </c>
      <c r="L89" s="68">
        <f t="shared" si="30"/>
        <v>2.6455534000000003</v>
      </c>
      <c r="M89" s="68">
        <f t="shared" si="30"/>
        <v>2.8705900999999998</v>
      </c>
      <c r="N89" s="68">
        <f t="shared" si="27"/>
        <v>2.674826466666667</v>
      </c>
      <c r="O89" s="68">
        <f>N89/15</f>
        <v>0.17832176444444447</v>
      </c>
      <c r="P89" s="68">
        <f t="shared" si="24"/>
        <v>1.2737268888888891E-2</v>
      </c>
      <c r="Q89" s="68">
        <f t="shared" si="25"/>
        <v>1.2737268888888891E-2</v>
      </c>
      <c r="R89" s="68">
        <f t="shared" si="26"/>
        <v>0.78971067111111126</v>
      </c>
      <c r="S89" s="147"/>
      <c r="T89" s="68"/>
      <c r="U89" s="91"/>
      <c r="W89" s="58"/>
      <c r="X89" s="68"/>
      <c r="Y89" s="68"/>
      <c r="Z89" s="68"/>
      <c r="AA89" s="68"/>
    </row>
    <row r="90" spans="2:27" x14ac:dyDescent="0.15">
      <c r="B90" s="215"/>
      <c r="C90" s="254"/>
      <c r="D90" s="218"/>
      <c r="E90" s="226"/>
      <c r="F90" s="120" t="s">
        <v>111</v>
      </c>
      <c r="G90" s="255"/>
      <c r="H90" s="69">
        <f>0.408-G89</f>
        <v>0.32999999999999996</v>
      </c>
      <c r="I90" s="68">
        <f>0.418-G89</f>
        <v>0.33999999999999997</v>
      </c>
      <c r="J90" s="68">
        <f>0.475-G89</f>
        <v>0.39699999999999996</v>
      </c>
      <c r="K90" s="68">
        <f t="shared" si="30"/>
        <v>1.8112709999999996</v>
      </c>
      <c r="L90" s="68">
        <f t="shared" si="30"/>
        <v>1.8661579999999998</v>
      </c>
      <c r="M90" s="68">
        <f t="shared" si="30"/>
        <v>2.1790138999999997</v>
      </c>
      <c r="N90" s="68">
        <f t="shared" si="27"/>
        <v>1.9521476333333332</v>
      </c>
      <c r="O90" s="68">
        <f t="shared" ref="O90:O94" si="31">N90/15</f>
        <v>0.13014317555555555</v>
      </c>
      <c r="P90" s="68">
        <f t="shared" si="24"/>
        <v>9.2959411111111102E-3</v>
      </c>
      <c r="Q90" s="68">
        <f t="shared" si="25"/>
        <v>9.2959411111111102E-3</v>
      </c>
      <c r="R90" s="68">
        <f t="shared" si="26"/>
        <v>0.57634834888888886</v>
      </c>
      <c r="S90" s="147"/>
      <c r="T90" s="68"/>
      <c r="U90" s="91"/>
      <c r="W90" s="58"/>
      <c r="X90" s="68"/>
      <c r="Y90" s="68"/>
      <c r="Z90" s="68"/>
      <c r="AA90" s="68"/>
    </row>
    <row r="91" spans="2:27" x14ac:dyDescent="0.15">
      <c r="B91" s="216"/>
      <c r="C91" s="257"/>
      <c r="D91" s="219"/>
      <c r="E91" s="227"/>
      <c r="F91" s="120" t="s">
        <v>112</v>
      </c>
      <c r="G91" s="256"/>
      <c r="H91" s="73">
        <f>0.49-G89</f>
        <v>0.41199999999999998</v>
      </c>
      <c r="I91" s="74">
        <f>0.505-G89</f>
        <v>0.42699999999999999</v>
      </c>
      <c r="J91" s="74">
        <f>0.563-G89</f>
        <v>0.48499999999999993</v>
      </c>
      <c r="K91" s="74">
        <f t="shared" si="30"/>
        <v>2.2613443999999996</v>
      </c>
      <c r="L91" s="74">
        <f t="shared" si="30"/>
        <v>2.3436748999999999</v>
      </c>
      <c r="M91" s="74">
        <f t="shared" si="30"/>
        <v>2.6620194999999995</v>
      </c>
      <c r="N91" s="74">
        <f t="shared" si="27"/>
        <v>2.4223462666666662</v>
      </c>
      <c r="O91" s="74">
        <f t="shared" si="31"/>
        <v>0.16148975111111108</v>
      </c>
      <c r="P91" s="74">
        <f t="shared" si="24"/>
        <v>1.1534982222222221E-2</v>
      </c>
      <c r="Q91" s="74">
        <f t="shared" si="25"/>
        <v>1.1534982222222221E-2</v>
      </c>
      <c r="R91" s="74">
        <f t="shared" si="26"/>
        <v>0.7151688977777777</v>
      </c>
      <c r="S91" s="118">
        <f>AVERAGE(R89:R91)</f>
        <v>0.69374263925925927</v>
      </c>
      <c r="T91" s="74">
        <f>STDEV(R89:R91)</f>
        <v>0.10828288669772194</v>
      </c>
      <c r="U91" s="119">
        <f>T91/SQRT(3)</f>
        <v>6.2517153783559515E-2</v>
      </c>
    </row>
    <row r="92" spans="2:27" x14ac:dyDescent="0.15">
      <c r="B92" s="214" t="s">
        <v>38</v>
      </c>
      <c r="C92" s="253">
        <v>0.5</v>
      </c>
      <c r="D92" s="266">
        <v>334</v>
      </c>
      <c r="E92" s="266">
        <v>15</v>
      </c>
      <c r="F92" s="120" t="s">
        <v>110</v>
      </c>
      <c r="G92" s="255">
        <v>7.8E-2</v>
      </c>
      <c r="H92" s="69">
        <f>0.558-G92</f>
        <v>0.48000000000000004</v>
      </c>
      <c r="I92" s="68">
        <f>0.558-G92</f>
        <v>0.48000000000000004</v>
      </c>
      <c r="J92" s="68">
        <f>0.563-G92</f>
        <v>0.48499999999999993</v>
      </c>
      <c r="K92" s="68">
        <f t="shared" si="30"/>
        <v>2.634576</v>
      </c>
      <c r="L92" s="68">
        <f t="shared" si="30"/>
        <v>2.634576</v>
      </c>
      <c r="M92" s="68">
        <f t="shared" si="30"/>
        <v>2.6620194999999995</v>
      </c>
      <c r="N92" s="68">
        <f t="shared" si="27"/>
        <v>2.6437238333333331</v>
      </c>
      <c r="O92" s="68">
        <f t="shared" si="31"/>
        <v>0.17624825555555554</v>
      </c>
      <c r="P92" s="68">
        <f t="shared" si="24"/>
        <v>1.258916111111111E-2</v>
      </c>
      <c r="Q92" s="68">
        <f t="shared" si="25"/>
        <v>1.258916111111111E-2</v>
      </c>
      <c r="R92" s="68">
        <f t="shared" si="26"/>
        <v>0.78052798888888875</v>
      </c>
      <c r="S92" s="122"/>
      <c r="T92" s="58"/>
      <c r="U92" s="67"/>
    </row>
    <row r="93" spans="2:27" x14ac:dyDescent="0.15">
      <c r="B93" s="215"/>
      <c r="C93" s="254"/>
      <c r="D93" s="226"/>
      <c r="E93" s="226"/>
      <c r="F93" s="120" t="s">
        <v>111</v>
      </c>
      <c r="G93" s="255"/>
      <c r="H93" s="69">
        <f>0.353-G92</f>
        <v>0.27499999999999997</v>
      </c>
      <c r="I93" s="68">
        <f>0.36-G92</f>
        <v>0.28199999999999997</v>
      </c>
      <c r="J93" s="68">
        <f>0.362-G92</f>
        <v>0.28399999999999997</v>
      </c>
      <c r="K93" s="68">
        <f t="shared" si="30"/>
        <v>1.5093924999999997</v>
      </c>
      <c r="L93" s="68">
        <f t="shared" si="30"/>
        <v>1.5478133999999997</v>
      </c>
      <c r="M93" s="68">
        <f t="shared" si="30"/>
        <v>1.5587907999999997</v>
      </c>
      <c r="N93" s="68">
        <f t="shared" si="27"/>
        <v>1.5386655666666664</v>
      </c>
      <c r="O93" s="68">
        <f t="shared" si="31"/>
        <v>0.10257770444444443</v>
      </c>
      <c r="P93" s="68">
        <f t="shared" si="24"/>
        <v>7.3269788888888883E-3</v>
      </c>
      <c r="Q93" s="68">
        <f t="shared" si="25"/>
        <v>7.3269788888888883E-3</v>
      </c>
      <c r="R93" s="68">
        <f t="shared" si="26"/>
        <v>0.45427269111111107</v>
      </c>
      <c r="S93" s="122"/>
      <c r="T93" s="58"/>
      <c r="U93" s="67"/>
    </row>
    <row r="94" spans="2:27" x14ac:dyDescent="0.15">
      <c r="B94" s="215"/>
      <c r="C94" s="254"/>
      <c r="D94" s="226"/>
      <c r="E94" s="226"/>
      <c r="F94" s="120" t="s">
        <v>112</v>
      </c>
      <c r="G94" s="256"/>
      <c r="H94" s="73">
        <f>0.501-G92</f>
        <v>0.42299999999999999</v>
      </c>
      <c r="I94" s="74">
        <f>0.493-G92</f>
        <v>0.41499999999999998</v>
      </c>
      <c r="J94" s="74">
        <f>0.49-G92</f>
        <v>0.41199999999999998</v>
      </c>
      <c r="K94" s="74">
        <f t="shared" si="30"/>
        <v>2.3217200999999998</v>
      </c>
      <c r="L94" s="74">
        <f t="shared" si="30"/>
        <v>2.2778104999999997</v>
      </c>
      <c r="M94" s="74">
        <f t="shared" si="30"/>
        <v>2.2613443999999996</v>
      </c>
      <c r="N94" s="74">
        <f t="shared" si="27"/>
        <v>2.2869583333333332</v>
      </c>
      <c r="O94" s="74">
        <f t="shared" si="31"/>
        <v>0.15246388888888887</v>
      </c>
      <c r="P94" s="74">
        <f t="shared" si="24"/>
        <v>1.0890277777777777E-2</v>
      </c>
      <c r="Q94" s="74">
        <f t="shared" si="25"/>
        <v>1.0890277777777777E-2</v>
      </c>
      <c r="R94" s="74">
        <f t="shared" si="26"/>
        <v>0.67519722222222212</v>
      </c>
      <c r="S94" s="118">
        <f>AVERAGE(R92:R94)</f>
        <v>0.63666596740740733</v>
      </c>
      <c r="T94" s="74">
        <f>STDEV(R92:R94)</f>
        <v>0.16650562462037025</v>
      </c>
      <c r="U94" s="119">
        <f>T94/SQRT(3)</f>
        <v>9.613206719615755E-2</v>
      </c>
    </row>
    <row r="95" spans="2:27" x14ac:dyDescent="0.15">
      <c r="B95" s="215" t="s">
        <v>40</v>
      </c>
      <c r="C95" s="254">
        <v>0.53472222222222221</v>
      </c>
      <c r="D95" s="218">
        <v>382.5</v>
      </c>
      <c r="E95" s="226">
        <v>17</v>
      </c>
      <c r="F95" s="120" t="s">
        <v>110</v>
      </c>
      <c r="G95" s="255">
        <v>7.5999999999999998E-2</v>
      </c>
      <c r="H95" s="68">
        <f>0.483-G95</f>
        <v>0.40699999999999997</v>
      </c>
      <c r="I95" s="68">
        <f>0.492-G95</f>
        <v>0.41599999999999998</v>
      </c>
      <c r="J95" s="68">
        <f>0.499-G95</f>
        <v>0.42299999999999999</v>
      </c>
      <c r="K95" s="68">
        <f t="shared" si="30"/>
        <v>2.2339008999999996</v>
      </c>
      <c r="L95" s="68">
        <f t="shared" si="30"/>
        <v>2.2832991999999996</v>
      </c>
      <c r="M95" s="68">
        <f t="shared" si="30"/>
        <v>2.3217200999999998</v>
      </c>
      <c r="N95" s="68">
        <f t="shared" si="27"/>
        <v>2.2796400666666661</v>
      </c>
      <c r="O95" s="68">
        <f>N95/20</f>
        <v>0.1139820033333333</v>
      </c>
      <c r="P95" s="68">
        <f t="shared" si="24"/>
        <v>8.1415716666666648E-3</v>
      </c>
      <c r="Q95" s="68">
        <f t="shared" si="25"/>
        <v>8.1415716666666648E-3</v>
      </c>
      <c r="R95" s="68">
        <f t="shared" si="26"/>
        <v>0.50477744333333319</v>
      </c>
      <c r="S95" s="122"/>
      <c r="T95" s="58"/>
      <c r="U95" s="67"/>
    </row>
    <row r="96" spans="2:27" x14ac:dyDescent="0.15">
      <c r="B96" s="215"/>
      <c r="C96" s="254"/>
      <c r="D96" s="218"/>
      <c r="E96" s="226"/>
      <c r="F96" s="120" t="s">
        <v>111</v>
      </c>
      <c r="G96" s="255"/>
      <c r="H96" s="68">
        <f>0.5-G95</f>
        <v>0.42399999999999999</v>
      </c>
      <c r="I96" s="68">
        <f>0.467-G95</f>
        <v>0.39100000000000001</v>
      </c>
      <c r="J96" s="68">
        <f>0.477-G95</f>
        <v>0.40099999999999997</v>
      </c>
      <c r="K96" s="68">
        <f t="shared" si="30"/>
        <v>2.3272087999999997</v>
      </c>
      <c r="L96" s="68">
        <f t="shared" si="30"/>
        <v>2.1460816999999999</v>
      </c>
      <c r="M96" s="68">
        <f t="shared" si="30"/>
        <v>2.2009686999999998</v>
      </c>
      <c r="N96" s="68">
        <f t="shared" si="27"/>
        <v>2.2247530666666662</v>
      </c>
      <c r="O96" s="68">
        <f t="shared" ref="O96:O100" si="32">N96/20</f>
        <v>0.11123765333333331</v>
      </c>
      <c r="P96" s="68">
        <f t="shared" si="24"/>
        <v>7.9455466666666658E-3</v>
      </c>
      <c r="Q96" s="68">
        <f t="shared" si="25"/>
        <v>7.9455466666666658E-3</v>
      </c>
      <c r="R96" s="68">
        <f t="shared" si="26"/>
        <v>0.49262389333333328</v>
      </c>
      <c r="S96" s="122"/>
      <c r="T96" s="58"/>
      <c r="U96" s="67"/>
    </row>
    <row r="97" spans="1:21" x14ac:dyDescent="0.15">
      <c r="B97" s="215"/>
      <c r="C97" s="254"/>
      <c r="D97" s="218"/>
      <c r="E97" s="226"/>
      <c r="F97" s="120" t="s">
        <v>112</v>
      </c>
      <c r="G97" s="256"/>
      <c r="H97" s="74">
        <f>0.489-G95</f>
        <v>0.41299999999999998</v>
      </c>
      <c r="I97" s="74">
        <f>0.499-G95</f>
        <v>0.42299999999999999</v>
      </c>
      <c r="J97" s="74">
        <f>0.478-G95</f>
        <v>0.40199999999999997</v>
      </c>
      <c r="K97" s="74">
        <f t="shared" si="30"/>
        <v>2.2668330999999999</v>
      </c>
      <c r="L97" s="74">
        <f t="shared" si="30"/>
        <v>2.3217200999999998</v>
      </c>
      <c r="M97" s="74">
        <f t="shared" si="30"/>
        <v>2.2064573999999997</v>
      </c>
      <c r="N97" s="74">
        <f t="shared" si="27"/>
        <v>2.2650035333333332</v>
      </c>
      <c r="O97" s="74">
        <f t="shared" si="32"/>
        <v>0.11325017666666666</v>
      </c>
      <c r="P97" s="74">
        <f t="shared" si="24"/>
        <v>8.0892983333333331E-3</v>
      </c>
      <c r="Q97" s="74">
        <f t="shared" si="25"/>
        <v>8.0892983333333331E-3</v>
      </c>
      <c r="R97" s="74">
        <f t="shared" si="26"/>
        <v>0.50153649666666666</v>
      </c>
      <c r="S97" s="118">
        <f>AVERAGE(R95:R97)</f>
        <v>0.49964594444444438</v>
      </c>
      <c r="T97" s="74">
        <f>STDEV(R95:R97)</f>
        <v>6.2934756040948165E-3</v>
      </c>
      <c r="U97" s="119">
        <f>T97/SQRT(3)</f>
        <v>3.633539834162485E-3</v>
      </c>
    </row>
    <row r="98" spans="1:21" x14ac:dyDescent="0.15">
      <c r="B98" s="215" t="s">
        <v>42</v>
      </c>
      <c r="C98" s="254">
        <v>0.52083333333333337</v>
      </c>
      <c r="D98" s="218">
        <v>430.5</v>
      </c>
      <c r="E98" s="226">
        <v>19</v>
      </c>
      <c r="F98" s="120" t="s">
        <v>110</v>
      </c>
      <c r="G98" s="255">
        <v>7.5999999999999998E-2</v>
      </c>
      <c r="H98" s="68">
        <f>0.475-G98</f>
        <v>0.39899999999999997</v>
      </c>
      <c r="I98" s="68">
        <f>0.462-G98</f>
        <v>0.38600000000000001</v>
      </c>
      <c r="J98" s="68">
        <f>0.439-G98</f>
        <v>0.36299999999999999</v>
      </c>
      <c r="K98" s="68">
        <f t="shared" si="30"/>
        <v>2.1899912999999995</v>
      </c>
      <c r="L98" s="68">
        <f t="shared" si="30"/>
        <v>2.1186381999999999</v>
      </c>
      <c r="M98" s="68">
        <f t="shared" si="30"/>
        <v>1.9923980999999997</v>
      </c>
      <c r="N98" s="68">
        <f t="shared" si="27"/>
        <v>2.100342533333333</v>
      </c>
      <c r="O98" s="68">
        <f t="shared" si="32"/>
        <v>0.10501712666666665</v>
      </c>
      <c r="P98" s="68">
        <f t="shared" si="24"/>
        <v>7.5012233333333327E-3</v>
      </c>
      <c r="Q98" s="68">
        <f t="shared" si="25"/>
        <v>7.5012233333333327E-3</v>
      </c>
      <c r="R98" s="68">
        <f t="shared" si="26"/>
        <v>0.46507584666666663</v>
      </c>
      <c r="S98" s="122"/>
      <c r="T98" s="58"/>
      <c r="U98" s="67"/>
    </row>
    <row r="99" spans="1:21" ht="15" customHeight="1" x14ac:dyDescent="0.15">
      <c r="B99" s="215"/>
      <c r="C99" s="254"/>
      <c r="D99" s="218"/>
      <c r="E99" s="226"/>
      <c r="F99" s="120" t="s">
        <v>111</v>
      </c>
      <c r="G99" s="255"/>
      <c r="H99" s="68">
        <f>0.482-G98</f>
        <v>0.40599999999999997</v>
      </c>
      <c r="I99" s="68">
        <f>0.488-G98</f>
        <v>0.41199999999999998</v>
      </c>
      <c r="J99" s="68">
        <f>0.493-G98</f>
        <v>0.41699999999999998</v>
      </c>
      <c r="K99" s="68">
        <f t="shared" si="30"/>
        <v>2.2284121999999997</v>
      </c>
      <c r="L99" s="68">
        <f t="shared" si="30"/>
        <v>2.2613443999999996</v>
      </c>
      <c r="M99" s="68">
        <f t="shared" si="30"/>
        <v>2.2887879</v>
      </c>
      <c r="N99" s="68">
        <f t="shared" si="27"/>
        <v>2.2595148333333333</v>
      </c>
      <c r="O99" s="68">
        <f t="shared" si="32"/>
        <v>0.11297574166666666</v>
      </c>
      <c r="P99" s="68">
        <f t="shared" si="24"/>
        <v>8.0696958333333329E-3</v>
      </c>
      <c r="Q99" s="68">
        <f t="shared" si="25"/>
        <v>8.0696958333333329E-3</v>
      </c>
      <c r="R99" s="68">
        <f t="shared" si="26"/>
        <v>0.50032114166666664</v>
      </c>
      <c r="S99" s="122"/>
      <c r="T99" s="58"/>
      <c r="U99" s="67"/>
    </row>
    <row r="100" spans="1:21" ht="16" customHeight="1" thickBot="1" x14ac:dyDescent="0.2">
      <c r="A100" s="44"/>
      <c r="B100" s="230"/>
      <c r="C100" s="260"/>
      <c r="D100" s="231"/>
      <c r="E100" s="261"/>
      <c r="F100" s="152" t="s">
        <v>112</v>
      </c>
      <c r="G100" s="262"/>
      <c r="H100" s="93">
        <f>0.389-G98</f>
        <v>0.313</v>
      </c>
      <c r="I100" s="93">
        <f>0.45-G98</f>
        <v>0.374</v>
      </c>
      <c r="J100" s="93">
        <f>0.398-G98</f>
        <v>0.32200000000000001</v>
      </c>
      <c r="K100" s="93">
        <f t="shared" si="30"/>
        <v>1.7179631</v>
      </c>
      <c r="L100" s="93">
        <f t="shared" si="30"/>
        <v>2.0527737999999998</v>
      </c>
      <c r="M100" s="93">
        <f t="shared" si="30"/>
        <v>1.7673614</v>
      </c>
      <c r="N100" s="93">
        <f t="shared" si="27"/>
        <v>1.8460327666666665</v>
      </c>
      <c r="O100" s="93">
        <f t="shared" si="32"/>
        <v>9.2301638333333325E-2</v>
      </c>
      <c r="P100" s="93">
        <f t="shared" si="24"/>
        <v>6.5929741666666663E-3</v>
      </c>
      <c r="Q100" s="93">
        <f t="shared" si="25"/>
        <v>6.5929741666666663E-3</v>
      </c>
      <c r="R100" s="93">
        <f t="shared" si="26"/>
        <v>0.40876439833333333</v>
      </c>
      <c r="S100" s="124">
        <f>AVERAGE(R98:R100)</f>
        <v>0.45805379555555553</v>
      </c>
      <c r="T100" s="93">
        <f>STDEV(R98:R100)</f>
        <v>4.618052851372275E-2</v>
      </c>
      <c r="U100" s="113">
        <f>T100/SQRT(3)</f>
        <v>2.6662340568717021E-2</v>
      </c>
    </row>
    <row r="101" spans="1:21" x14ac:dyDescent="0.15">
      <c r="B101" s="58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</row>
    <row r="102" spans="1:21" x14ac:dyDescent="0.15">
      <c r="B102" s="58"/>
      <c r="C102" s="58"/>
      <c r="D102" s="58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</row>
    <row r="103" spans="1:21" x14ac:dyDescent="0.15">
      <c r="B103" s="58"/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</row>
    <row r="104" spans="1:21" x14ac:dyDescent="0.15"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</row>
    <row r="105" spans="1:21" x14ac:dyDescent="0.15"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</row>
    <row r="106" spans="1:21" x14ac:dyDescent="0.15">
      <c r="B106" s="58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</row>
    <row r="107" spans="1:21" x14ac:dyDescent="0.15">
      <c r="B107" s="58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</row>
    <row r="108" spans="1:21" x14ac:dyDescent="0.15"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</row>
    <row r="109" spans="1:21" x14ac:dyDescent="0.15">
      <c r="B109" s="58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</row>
    <row r="110" spans="1:21" x14ac:dyDescent="0.15"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</row>
    <row r="111" spans="1:21" x14ac:dyDescent="0.15"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</row>
    <row r="112" spans="1:21" x14ac:dyDescent="0.15"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</row>
    <row r="113" spans="2:21" x14ac:dyDescent="0.15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</row>
    <row r="114" spans="2:21" x14ac:dyDescent="0.15">
      <c r="B114" s="58"/>
      <c r="C114" s="58"/>
      <c r="D114" s="58"/>
      <c r="E114" s="58"/>
      <c r="F114" s="58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</row>
    <row r="115" spans="2:21" x14ac:dyDescent="0.15"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</row>
    <row r="116" spans="2:21" x14ac:dyDescent="0.15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</row>
    <row r="117" spans="2:21" x14ac:dyDescent="0.15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</row>
    <row r="118" spans="2:21" x14ac:dyDescent="0.15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</row>
    <row r="119" spans="2:21" x14ac:dyDescent="0.15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</row>
    <row r="120" spans="2:21" x14ac:dyDescent="0.15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</row>
    <row r="121" spans="2:21" x14ac:dyDescent="0.15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</row>
    <row r="122" spans="2:21" x14ac:dyDescent="0.15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</row>
    <row r="123" spans="2:21" x14ac:dyDescent="0.15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</row>
    <row r="124" spans="2:21" x14ac:dyDescent="0.15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</row>
    <row r="125" spans="2:21" x14ac:dyDescent="0.15">
      <c r="B125" s="58"/>
      <c r="C125" s="58"/>
      <c r="D125" s="58"/>
      <c r="E125" s="58"/>
      <c r="F125" s="58"/>
      <c r="G125" s="58"/>
      <c r="H125" s="58"/>
      <c r="I125" s="58"/>
      <c r="J125" s="58"/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</row>
    <row r="126" spans="2:21" x14ac:dyDescent="0.15"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</row>
    <row r="127" spans="2:21" x14ac:dyDescent="0.15"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</row>
    <row r="128" spans="2:21" x14ac:dyDescent="0.15"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</row>
    <row r="129" spans="2:21" x14ac:dyDescent="0.15"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</row>
    <row r="130" spans="2:21" x14ac:dyDescent="0.15">
      <c r="B130" s="58"/>
      <c r="C130" s="58"/>
      <c r="D130" s="58"/>
      <c r="E130" s="58"/>
      <c r="F130" s="58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</row>
    <row r="131" spans="2:21" x14ac:dyDescent="0.15"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</row>
    <row r="132" spans="2:21" x14ac:dyDescent="0.15"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</row>
    <row r="133" spans="2:21" x14ac:dyDescent="0.15">
      <c r="B133" s="58"/>
      <c r="C133" s="58"/>
      <c r="D133" s="58"/>
      <c r="E133" s="58"/>
      <c r="F133" s="58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</row>
    <row r="134" spans="2:21" x14ac:dyDescent="0.15"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</row>
    <row r="135" spans="2:21" x14ac:dyDescent="0.15">
      <c r="B135" s="58"/>
      <c r="C135" s="58"/>
      <c r="D135" s="58"/>
      <c r="E135" s="58"/>
      <c r="F135" s="58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</row>
    <row r="136" spans="2:21" x14ac:dyDescent="0.15">
      <c r="B136" s="58"/>
      <c r="C136" s="58"/>
      <c r="D136" s="58"/>
      <c r="E136" s="58"/>
      <c r="F136" s="58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</row>
    <row r="137" spans="2:21" x14ac:dyDescent="0.15"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</row>
    <row r="138" spans="2:21" x14ac:dyDescent="0.15">
      <c r="B138" s="58"/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</row>
    <row r="139" spans="2:21" x14ac:dyDescent="0.15"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</row>
    <row r="140" spans="2:21" x14ac:dyDescent="0.15"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</row>
    <row r="141" spans="2:21" x14ac:dyDescent="0.15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</row>
    <row r="142" spans="2:21" x14ac:dyDescent="0.15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</row>
    <row r="143" spans="2:21" x14ac:dyDescent="0.15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</row>
    <row r="144" spans="2:21" x14ac:dyDescent="0.15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</row>
    <row r="145" spans="2:21" x14ac:dyDescent="0.15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</row>
    <row r="146" spans="2:21" x14ac:dyDescent="0.15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</row>
    <row r="147" spans="2:21" x14ac:dyDescent="0.15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</row>
    <row r="148" spans="2:21" x14ac:dyDescent="0.15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</row>
    <row r="149" spans="2:21" x14ac:dyDescent="0.15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</row>
    <row r="150" spans="2:21" x14ac:dyDescent="0.15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</row>
    <row r="151" spans="2:21" x14ac:dyDescent="0.15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</row>
    <row r="152" spans="2:21" x14ac:dyDescent="0.15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</row>
    <row r="153" spans="2:21" x14ac:dyDescent="0.15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</row>
    <row r="154" spans="2:21" x14ac:dyDescent="0.15">
      <c r="B154" s="58"/>
      <c r="C154" s="58"/>
      <c r="D154" s="58"/>
      <c r="E154" s="58"/>
      <c r="F154" s="58"/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</row>
    <row r="155" spans="2:21" x14ac:dyDescent="0.15">
      <c r="B155" s="58"/>
      <c r="C155" s="58"/>
      <c r="D155" s="58"/>
      <c r="E155" s="58"/>
      <c r="F155" s="58"/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</row>
    <row r="156" spans="2:21" x14ac:dyDescent="0.15">
      <c r="B156" s="58"/>
      <c r="C156" s="58"/>
      <c r="D156" s="58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</row>
    <row r="157" spans="2:21" x14ac:dyDescent="0.15">
      <c r="B157" s="58"/>
      <c r="C157" s="58"/>
      <c r="D157" s="58"/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</row>
    <row r="158" spans="2:21" x14ac:dyDescent="0.15"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</row>
    <row r="159" spans="2:21" x14ac:dyDescent="0.15">
      <c r="B159" s="58"/>
      <c r="C159" s="58"/>
      <c r="D159" s="58"/>
      <c r="E159" s="58"/>
      <c r="F159" s="58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</row>
    <row r="160" spans="2:21" x14ac:dyDescent="0.15"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</row>
    <row r="161" spans="2:21" x14ac:dyDescent="0.15">
      <c r="B161" s="58"/>
      <c r="C161" s="58"/>
      <c r="D161" s="58"/>
      <c r="E161" s="58"/>
      <c r="F161" s="58"/>
      <c r="G161" s="58"/>
      <c r="H161" s="58"/>
      <c r="I161" s="58"/>
      <c r="J161" s="58"/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</row>
    <row r="162" spans="2:21" x14ac:dyDescent="0.15">
      <c r="B162" s="58"/>
      <c r="C162" s="58"/>
      <c r="D162" s="58"/>
      <c r="E162" s="58"/>
      <c r="F162" s="58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</row>
    <row r="163" spans="2:21" x14ac:dyDescent="0.15">
      <c r="B163" s="58"/>
      <c r="C163" s="5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</row>
    <row r="164" spans="2:21" x14ac:dyDescent="0.15">
      <c r="B164" s="58"/>
      <c r="C164" s="58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</row>
    <row r="165" spans="2:21" x14ac:dyDescent="0.15">
      <c r="B165" s="58"/>
      <c r="C165" s="58"/>
      <c r="D165" s="58"/>
      <c r="E165" s="58"/>
      <c r="F165" s="58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</row>
    <row r="166" spans="2:21" x14ac:dyDescent="0.15"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</row>
    <row r="167" spans="2:21" x14ac:dyDescent="0.15">
      <c r="B167" s="58"/>
      <c r="C167" s="58"/>
      <c r="D167" s="58"/>
      <c r="E167" s="58"/>
      <c r="F167" s="58"/>
      <c r="G167" s="58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</row>
    <row r="168" spans="2:21" x14ac:dyDescent="0.15"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</row>
    <row r="169" spans="2:21" x14ac:dyDescent="0.15">
      <c r="B169" s="58"/>
      <c r="C169" s="58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</row>
    <row r="170" spans="2:21" x14ac:dyDescent="0.15"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</row>
    <row r="171" spans="2:21" x14ac:dyDescent="0.15">
      <c r="B171" s="58"/>
      <c r="C171" s="58"/>
      <c r="D171" s="58"/>
      <c r="E171" s="58"/>
      <c r="F171" s="58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</row>
    <row r="172" spans="2:21" x14ac:dyDescent="0.15">
      <c r="B172" s="58"/>
      <c r="C172" s="58"/>
      <c r="D172" s="58"/>
      <c r="E172" s="58"/>
      <c r="F172" s="58"/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</row>
    <row r="173" spans="2:21" x14ac:dyDescent="0.15">
      <c r="B173" s="58"/>
      <c r="C173" s="58"/>
      <c r="D173" s="58"/>
      <c r="E173" s="58"/>
      <c r="F173" s="58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</row>
    <row r="174" spans="2:21" x14ac:dyDescent="0.15"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</row>
    <row r="175" spans="2:21" x14ac:dyDescent="0.15">
      <c r="B175" s="58"/>
      <c r="C175" s="58"/>
      <c r="D175" s="58"/>
      <c r="E175" s="58"/>
      <c r="F175" s="58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</row>
    <row r="176" spans="2:21" x14ac:dyDescent="0.15">
      <c r="B176" s="58"/>
      <c r="C176" s="58"/>
      <c r="D176" s="58"/>
      <c r="E176" s="58"/>
      <c r="F176" s="58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</row>
    <row r="177" spans="2:21" x14ac:dyDescent="0.15">
      <c r="B177" s="58"/>
      <c r="C177" s="58"/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</row>
    <row r="178" spans="2:21" x14ac:dyDescent="0.15">
      <c r="B178" s="58"/>
      <c r="C178" s="58"/>
      <c r="D178" s="58"/>
      <c r="E178" s="58"/>
      <c r="F178" s="58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</row>
    <row r="179" spans="2:21" x14ac:dyDescent="0.15">
      <c r="B179" s="58"/>
      <c r="C179" s="58"/>
      <c r="D179" s="58"/>
      <c r="E179" s="58"/>
      <c r="F179" s="58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</row>
    <row r="180" spans="2:21" x14ac:dyDescent="0.15">
      <c r="B180" s="58"/>
      <c r="C180" s="58"/>
      <c r="D180" s="58"/>
      <c r="E180" s="58"/>
      <c r="F180" s="58"/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</row>
    <row r="181" spans="2:21" x14ac:dyDescent="0.15">
      <c r="B181" s="58"/>
      <c r="C181" s="58"/>
      <c r="D181" s="58"/>
      <c r="E181" s="58"/>
      <c r="F181" s="58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</row>
    <row r="182" spans="2:21" x14ac:dyDescent="0.15">
      <c r="B182" s="58"/>
      <c r="C182" s="58"/>
      <c r="D182" s="58"/>
      <c r="E182" s="58"/>
      <c r="F182" s="58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</row>
    <row r="183" spans="2:21" x14ac:dyDescent="0.15">
      <c r="B183" s="58"/>
      <c r="C183" s="58"/>
      <c r="D183" s="58"/>
      <c r="E183" s="58"/>
      <c r="F183" s="58"/>
      <c r="G183" s="58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</row>
    <row r="184" spans="2:21" x14ac:dyDescent="0.15"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</row>
    <row r="185" spans="2:21" x14ac:dyDescent="0.15">
      <c r="B185" s="58"/>
      <c r="C185" s="58"/>
      <c r="D185" s="58"/>
      <c r="E185" s="58"/>
      <c r="F185" s="58"/>
      <c r="G185" s="58"/>
      <c r="H185" s="58"/>
      <c r="I185" s="58"/>
      <c r="J185" s="58"/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</row>
    <row r="186" spans="2:21" x14ac:dyDescent="0.15"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</row>
    <row r="187" spans="2:21" x14ac:dyDescent="0.15"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</row>
    <row r="188" spans="2:21" x14ac:dyDescent="0.15">
      <c r="B188" s="58"/>
      <c r="C188" s="5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</row>
    <row r="189" spans="2:21" x14ac:dyDescent="0.15">
      <c r="B189" s="58"/>
      <c r="C189" s="58"/>
      <c r="D189" s="58"/>
      <c r="E189" s="58"/>
      <c r="F189" s="58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</row>
    <row r="190" spans="2:21" x14ac:dyDescent="0.15">
      <c r="B190" s="58"/>
      <c r="C190" s="58"/>
      <c r="D190" s="58"/>
      <c r="E190" s="58"/>
      <c r="F190" s="58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</row>
    <row r="191" spans="2:21" x14ac:dyDescent="0.15">
      <c r="B191" s="58"/>
      <c r="C191" s="58"/>
      <c r="D191" s="58"/>
      <c r="E191" s="58"/>
      <c r="F191" s="58"/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</row>
    <row r="192" spans="2:21" x14ac:dyDescent="0.15">
      <c r="B192" s="58"/>
      <c r="C192" s="58"/>
      <c r="D192" s="58"/>
      <c r="E192" s="58"/>
      <c r="F192" s="58"/>
      <c r="G192" s="58"/>
      <c r="H192" s="58"/>
      <c r="I192" s="58"/>
      <c r="J192" s="58"/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</row>
    <row r="193" spans="2:21" x14ac:dyDescent="0.15"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  <c r="R193" s="58"/>
      <c r="S193" s="58"/>
      <c r="T193" s="58"/>
      <c r="U193" s="58"/>
    </row>
    <row r="194" spans="2:21" x14ac:dyDescent="0.15">
      <c r="B194" s="58"/>
      <c r="C194" s="58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</row>
    <row r="195" spans="2:21" x14ac:dyDescent="0.15">
      <c r="B195" s="58"/>
      <c r="C195" s="58"/>
      <c r="D195" s="58"/>
      <c r="E195" s="58"/>
      <c r="F195" s="58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</row>
    <row r="196" spans="2:21" x14ac:dyDescent="0.15">
      <c r="B196" s="58"/>
      <c r="C196" s="58"/>
      <c r="D196" s="58"/>
      <c r="E196" s="58"/>
      <c r="F196" s="58"/>
      <c r="G196" s="58"/>
      <c r="H196" s="58"/>
      <c r="I196" s="58"/>
      <c r="J196" s="58"/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</row>
    <row r="197" spans="2:21" x14ac:dyDescent="0.15">
      <c r="B197" s="58"/>
      <c r="C197" s="58"/>
      <c r="D197" s="58"/>
      <c r="E197" s="58"/>
      <c r="F197" s="58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</row>
    <row r="198" spans="2:21" x14ac:dyDescent="0.15">
      <c r="B198" s="58"/>
      <c r="C198" s="58"/>
      <c r="D198" s="58"/>
      <c r="E198" s="58"/>
      <c r="F198" s="58"/>
      <c r="G198" s="58"/>
      <c r="H198" s="58"/>
      <c r="I198" s="58"/>
      <c r="J198" s="58"/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</row>
    <row r="199" spans="2:21" x14ac:dyDescent="0.15">
      <c r="B199" s="58"/>
      <c r="C199" s="58"/>
      <c r="D199" s="58"/>
      <c r="E199" s="58"/>
      <c r="F199" s="58"/>
      <c r="G199" s="58"/>
      <c r="H199" s="58"/>
      <c r="I199" s="58"/>
      <c r="J199" s="58"/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</row>
    <row r="200" spans="2:21" x14ac:dyDescent="0.15">
      <c r="B200" s="58"/>
      <c r="C200" s="58"/>
      <c r="D200" s="58"/>
      <c r="E200" s="58"/>
      <c r="F200" s="58"/>
      <c r="G200" s="58"/>
      <c r="H200" s="58"/>
      <c r="I200" s="58"/>
      <c r="J200" s="58"/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</row>
    <row r="201" spans="2:21" x14ac:dyDescent="0.15">
      <c r="B201" s="58"/>
      <c r="C201" s="58"/>
      <c r="D201" s="58"/>
      <c r="E201" s="58"/>
      <c r="F201" s="58"/>
      <c r="G201" s="58"/>
      <c r="H201" s="58"/>
      <c r="I201" s="58"/>
      <c r="J201" s="58"/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</row>
    <row r="202" spans="2:21" x14ac:dyDescent="0.15">
      <c r="B202" s="58"/>
      <c r="C202" s="58"/>
      <c r="D202" s="58"/>
      <c r="E202" s="58"/>
      <c r="F202" s="58"/>
      <c r="G202" s="58"/>
      <c r="H202" s="58"/>
      <c r="I202" s="58"/>
      <c r="J202" s="58"/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</row>
    <row r="203" spans="2:21" x14ac:dyDescent="0.15">
      <c r="B203" s="58"/>
      <c r="C203" s="58"/>
      <c r="D203" s="58"/>
      <c r="E203" s="58"/>
      <c r="F203" s="58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</row>
    <row r="204" spans="2:21" x14ac:dyDescent="0.15">
      <c r="B204" s="58"/>
      <c r="C204" s="58"/>
      <c r="D204" s="58"/>
      <c r="E204" s="58"/>
      <c r="F204" s="58"/>
      <c r="G204" s="58"/>
      <c r="H204" s="58"/>
      <c r="I204" s="58"/>
      <c r="J204" s="58"/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</row>
    <row r="205" spans="2:21" x14ac:dyDescent="0.15">
      <c r="B205" s="58"/>
      <c r="C205" s="58"/>
      <c r="D205" s="58"/>
      <c r="E205" s="58"/>
      <c r="F205" s="58"/>
      <c r="G205" s="58"/>
      <c r="H205" s="58"/>
      <c r="I205" s="58"/>
      <c r="J205" s="58"/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</row>
    <row r="206" spans="2:21" x14ac:dyDescent="0.15">
      <c r="B206" s="58"/>
      <c r="C206" s="58"/>
      <c r="D206" s="58"/>
      <c r="E206" s="58"/>
      <c r="F206" s="58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</row>
    <row r="207" spans="2:21" x14ac:dyDescent="0.15">
      <c r="B207" s="58"/>
      <c r="C207" s="58"/>
      <c r="D207" s="58"/>
      <c r="E207" s="58"/>
      <c r="F207" s="58"/>
      <c r="G207" s="58"/>
      <c r="H207" s="58"/>
      <c r="I207" s="58"/>
      <c r="J207" s="58"/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</row>
    <row r="208" spans="2:21" x14ac:dyDescent="0.15">
      <c r="B208" s="58"/>
      <c r="C208" s="58"/>
      <c r="D208" s="58"/>
      <c r="E208" s="58"/>
      <c r="F208" s="58"/>
      <c r="G208" s="58"/>
      <c r="H208" s="58"/>
      <c r="I208" s="58"/>
      <c r="J208" s="58"/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</row>
    <row r="209" spans="2:21" x14ac:dyDescent="0.15"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</row>
    <row r="210" spans="2:21" x14ac:dyDescent="0.15">
      <c r="B210" s="58"/>
      <c r="C210" s="58"/>
      <c r="D210" s="58"/>
      <c r="E210" s="58"/>
      <c r="F210" s="58"/>
      <c r="G210" s="58"/>
      <c r="H210" s="58"/>
      <c r="I210" s="58"/>
      <c r="J210" s="58"/>
      <c r="K210" s="58"/>
      <c r="L210" s="58"/>
      <c r="M210" s="58"/>
      <c r="N210" s="58"/>
      <c r="O210" s="58"/>
      <c r="P210" s="58"/>
      <c r="Q210" s="58"/>
      <c r="R210" s="58"/>
      <c r="S210" s="58"/>
      <c r="T210" s="58"/>
      <c r="U210" s="58"/>
    </row>
    <row r="211" spans="2:21" x14ac:dyDescent="0.15">
      <c r="B211" s="58"/>
      <c r="C211" s="58"/>
      <c r="D211" s="58"/>
      <c r="E211" s="58"/>
      <c r="F211" s="58"/>
      <c r="G211" s="58"/>
      <c r="H211" s="58"/>
      <c r="I211" s="58"/>
      <c r="J211" s="58"/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</row>
    <row r="212" spans="2:21" x14ac:dyDescent="0.15"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</row>
    <row r="213" spans="2:21" x14ac:dyDescent="0.15">
      <c r="B213" s="58"/>
      <c r="C213" s="58"/>
      <c r="D213" s="58"/>
      <c r="E213" s="58"/>
      <c r="F213" s="58"/>
      <c r="G213" s="58"/>
      <c r="H213" s="58"/>
      <c r="I213" s="58"/>
      <c r="J213" s="58"/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</row>
    <row r="214" spans="2:21" x14ac:dyDescent="0.15">
      <c r="B214" s="58"/>
      <c r="C214" s="58"/>
      <c r="D214" s="58"/>
      <c r="E214" s="58"/>
      <c r="F214" s="58"/>
      <c r="G214" s="58"/>
      <c r="H214" s="58"/>
      <c r="I214" s="58"/>
      <c r="J214" s="58"/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</row>
    <row r="215" spans="2:21" x14ac:dyDescent="0.15">
      <c r="B215" s="58"/>
      <c r="C215" s="58"/>
      <c r="D215" s="58"/>
      <c r="E215" s="58"/>
      <c r="F215" s="58"/>
      <c r="G215" s="58"/>
      <c r="H215" s="58"/>
      <c r="I215" s="58"/>
      <c r="J215" s="58"/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</row>
    <row r="216" spans="2:21" x14ac:dyDescent="0.15">
      <c r="B216" s="58"/>
      <c r="C216" s="58"/>
      <c r="D216" s="58"/>
      <c r="E216" s="58"/>
      <c r="F216" s="58"/>
      <c r="G216" s="58"/>
      <c r="H216" s="58"/>
      <c r="I216" s="58"/>
      <c r="J216" s="58"/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</row>
    <row r="217" spans="2:21" x14ac:dyDescent="0.15">
      <c r="B217" s="58"/>
      <c r="C217" s="58"/>
      <c r="D217" s="58"/>
      <c r="E217" s="58"/>
      <c r="F217" s="58"/>
      <c r="G217" s="58"/>
      <c r="H217" s="58"/>
      <c r="I217" s="58"/>
      <c r="J217" s="58"/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</row>
    <row r="218" spans="2:21" x14ac:dyDescent="0.15">
      <c r="B218" s="58"/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  <c r="N218" s="58"/>
      <c r="O218" s="58"/>
      <c r="P218" s="58"/>
      <c r="Q218" s="58"/>
      <c r="R218" s="58"/>
      <c r="S218" s="58"/>
      <c r="T218" s="58"/>
      <c r="U218" s="58"/>
    </row>
    <row r="219" spans="2:21" x14ac:dyDescent="0.15">
      <c r="B219" s="58"/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</row>
    <row r="220" spans="2:21" x14ac:dyDescent="0.15"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</row>
    <row r="221" spans="2:21" x14ac:dyDescent="0.15">
      <c r="B221" s="58"/>
      <c r="C221" s="58"/>
      <c r="D221" s="58"/>
      <c r="E221" s="58"/>
      <c r="F221" s="58"/>
      <c r="G221" s="58"/>
      <c r="H221" s="58"/>
      <c r="I221" s="58"/>
      <c r="J221" s="58"/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</row>
    <row r="222" spans="2:21" x14ac:dyDescent="0.15">
      <c r="B222" s="58"/>
      <c r="C222" s="58"/>
      <c r="D222" s="58"/>
      <c r="E222" s="58"/>
      <c r="F222" s="58"/>
      <c r="G222" s="58"/>
      <c r="H222" s="58"/>
      <c r="I222" s="58"/>
      <c r="J222" s="58"/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</row>
    <row r="223" spans="2:21" x14ac:dyDescent="0.15">
      <c r="B223" s="58"/>
      <c r="C223" s="58"/>
      <c r="D223" s="58"/>
      <c r="E223" s="58"/>
      <c r="F223" s="58"/>
      <c r="G223" s="58"/>
      <c r="H223" s="58"/>
      <c r="I223" s="58"/>
      <c r="J223" s="58"/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</row>
    <row r="224" spans="2:21" x14ac:dyDescent="0.15">
      <c r="B224" s="58"/>
      <c r="C224" s="58"/>
      <c r="D224" s="58"/>
      <c r="E224" s="58"/>
      <c r="F224" s="58"/>
      <c r="G224" s="58"/>
      <c r="H224" s="58"/>
      <c r="I224" s="58"/>
      <c r="J224" s="58"/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</row>
    <row r="225" spans="2:21" x14ac:dyDescent="0.15">
      <c r="B225" s="58"/>
      <c r="C225" s="58"/>
      <c r="D225" s="58"/>
      <c r="E225" s="58"/>
      <c r="F225" s="58"/>
      <c r="G225" s="58"/>
      <c r="H225" s="58"/>
      <c r="I225" s="58"/>
      <c r="J225" s="58"/>
      <c r="K225" s="58"/>
      <c r="L225" s="58"/>
      <c r="M225" s="58"/>
      <c r="N225" s="58"/>
      <c r="O225" s="58"/>
      <c r="P225" s="58"/>
      <c r="Q225" s="58"/>
      <c r="R225" s="58"/>
      <c r="S225" s="58"/>
      <c r="T225" s="58"/>
      <c r="U225" s="58"/>
    </row>
    <row r="226" spans="2:21" x14ac:dyDescent="0.15"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</row>
    <row r="227" spans="2:21" x14ac:dyDescent="0.15">
      <c r="B227" s="58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</row>
    <row r="228" spans="2:21" x14ac:dyDescent="0.15">
      <c r="B228" s="58"/>
      <c r="C228" s="58"/>
      <c r="D228" s="58"/>
      <c r="E228" s="58"/>
      <c r="F228" s="58"/>
      <c r="G228" s="58"/>
      <c r="H228" s="58"/>
      <c r="I228" s="58"/>
      <c r="J228" s="58"/>
      <c r="K228" s="58"/>
      <c r="L228" s="58"/>
      <c r="M228" s="58"/>
      <c r="N228" s="58"/>
      <c r="O228" s="58"/>
      <c r="P228" s="58"/>
      <c r="Q228" s="58"/>
      <c r="R228" s="58"/>
      <c r="S228" s="58"/>
      <c r="T228" s="58"/>
      <c r="U228" s="58"/>
    </row>
    <row r="229" spans="2:21" x14ac:dyDescent="0.15">
      <c r="B229" s="58"/>
      <c r="C229" s="58"/>
      <c r="D229" s="58"/>
      <c r="E229" s="58"/>
      <c r="F229" s="58"/>
      <c r="G229" s="58"/>
      <c r="H229" s="58"/>
      <c r="I229" s="58"/>
      <c r="J229" s="58"/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58"/>
    </row>
    <row r="230" spans="2:21" x14ac:dyDescent="0.15">
      <c r="B230" s="58"/>
      <c r="C230" s="58"/>
      <c r="D230" s="58"/>
      <c r="E230" s="58"/>
      <c r="F230" s="58"/>
      <c r="G230" s="58"/>
      <c r="H230" s="58"/>
      <c r="I230" s="58"/>
      <c r="J230" s="58"/>
      <c r="K230" s="58"/>
      <c r="L230" s="58"/>
      <c r="M230" s="58"/>
      <c r="N230" s="58"/>
      <c r="O230" s="58"/>
      <c r="P230" s="58"/>
      <c r="Q230" s="58"/>
      <c r="R230" s="58"/>
      <c r="S230" s="58"/>
      <c r="T230" s="58"/>
      <c r="U230" s="58"/>
    </row>
    <row r="231" spans="2:21" x14ac:dyDescent="0.15">
      <c r="B231" s="58"/>
      <c r="C231" s="58"/>
      <c r="D231" s="58"/>
      <c r="E231" s="58"/>
      <c r="F231" s="58"/>
      <c r="G231" s="58"/>
      <c r="H231" s="58"/>
      <c r="I231" s="58"/>
      <c r="J231" s="58"/>
      <c r="K231" s="58"/>
      <c r="L231" s="58"/>
      <c r="M231" s="58"/>
      <c r="N231" s="58"/>
      <c r="O231" s="58"/>
      <c r="P231" s="58"/>
      <c r="Q231" s="58"/>
      <c r="R231" s="58"/>
      <c r="S231" s="58"/>
      <c r="T231" s="58"/>
      <c r="U231" s="58"/>
    </row>
    <row r="232" spans="2:21" x14ac:dyDescent="0.15">
      <c r="B232" s="58"/>
      <c r="C232" s="58"/>
      <c r="D232" s="58"/>
      <c r="E232" s="58"/>
      <c r="F232" s="58"/>
      <c r="G232" s="58"/>
      <c r="H232" s="58"/>
      <c r="I232" s="58"/>
      <c r="J232" s="58"/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</row>
    <row r="233" spans="2:21" x14ac:dyDescent="0.15">
      <c r="B233" s="58"/>
      <c r="C233" s="58"/>
      <c r="D233" s="58"/>
      <c r="E233" s="58"/>
      <c r="F233" s="58"/>
      <c r="G233" s="58"/>
      <c r="H233" s="58"/>
      <c r="I233" s="58"/>
      <c r="J233" s="58"/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</row>
    <row r="234" spans="2:21" x14ac:dyDescent="0.15">
      <c r="B234" s="58"/>
      <c r="C234" s="58"/>
      <c r="D234" s="58"/>
      <c r="E234" s="58"/>
      <c r="F234" s="58"/>
      <c r="G234" s="58"/>
      <c r="H234" s="58"/>
      <c r="I234" s="58"/>
      <c r="J234" s="58"/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</row>
    <row r="235" spans="2:21" x14ac:dyDescent="0.15"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  <c r="O235" s="58"/>
      <c r="P235" s="58"/>
      <c r="Q235" s="58"/>
      <c r="R235" s="58"/>
      <c r="S235" s="58"/>
      <c r="T235" s="58"/>
      <c r="U235" s="58"/>
    </row>
    <row r="236" spans="2:21" x14ac:dyDescent="0.15">
      <c r="B236" s="58"/>
      <c r="C236" s="58"/>
      <c r="D236" s="58"/>
      <c r="E236" s="58"/>
      <c r="F236" s="58"/>
      <c r="G236" s="58"/>
      <c r="H236" s="58"/>
      <c r="I236" s="58"/>
      <c r="J236" s="58"/>
      <c r="K236" s="58"/>
      <c r="L236" s="58"/>
      <c r="M236" s="58"/>
      <c r="N236" s="58"/>
      <c r="O236" s="58"/>
      <c r="P236" s="58"/>
      <c r="Q236" s="58"/>
      <c r="R236" s="58"/>
      <c r="S236" s="58"/>
      <c r="T236" s="58"/>
      <c r="U236" s="58"/>
    </row>
    <row r="237" spans="2:21" x14ac:dyDescent="0.15">
      <c r="B237" s="58"/>
      <c r="C237" s="58"/>
      <c r="D237" s="58"/>
      <c r="E237" s="58"/>
      <c r="F237" s="58"/>
      <c r="G237" s="58"/>
      <c r="H237" s="58"/>
      <c r="I237" s="58"/>
      <c r="J237" s="58"/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</row>
    <row r="238" spans="2:21" x14ac:dyDescent="0.15"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  <c r="O238" s="58"/>
      <c r="P238" s="58"/>
      <c r="Q238" s="58"/>
      <c r="R238" s="58"/>
      <c r="S238" s="58"/>
      <c r="T238" s="58"/>
      <c r="U238" s="58"/>
    </row>
    <row r="239" spans="2:21" x14ac:dyDescent="0.15">
      <c r="B239" s="58"/>
      <c r="C239" s="58"/>
      <c r="D239" s="58"/>
      <c r="E239" s="58"/>
      <c r="F239" s="58"/>
      <c r="G239" s="58"/>
      <c r="H239" s="58"/>
      <c r="I239" s="58"/>
      <c r="J239" s="58"/>
      <c r="K239" s="58"/>
      <c r="L239" s="58"/>
      <c r="M239" s="58"/>
      <c r="N239" s="58"/>
      <c r="O239" s="58"/>
      <c r="P239" s="58"/>
      <c r="Q239" s="58"/>
      <c r="R239" s="58"/>
      <c r="S239" s="58"/>
      <c r="T239" s="58"/>
      <c r="U239" s="58"/>
    </row>
    <row r="240" spans="2:21" x14ac:dyDescent="0.15">
      <c r="B240" s="58"/>
      <c r="C240" s="58"/>
      <c r="D240" s="58"/>
      <c r="E240" s="58"/>
      <c r="F240" s="58"/>
      <c r="G240" s="58"/>
      <c r="H240" s="58"/>
      <c r="I240" s="58"/>
      <c r="J240" s="58"/>
      <c r="K240" s="58"/>
      <c r="L240" s="58"/>
      <c r="M240" s="58"/>
      <c r="N240" s="58"/>
      <c r="O240" s="58"/>
      <c r="P240" s="58"/>
      <c r="Q240" s="58"/>
      <c r="R240" s="58"/>
      <c r="S240" s="58"/>
      <c r="T240" s="58"/>
      <c r="U240" s="58"/>
    </row>
    <row r="241" spans="2:21" x14ac:dyDescent="0.15">
      <c r="B241" s="58"/>
      <c r="C241" s="58"/>
      <c r="D241" s="58"/>
      <c r="E241" s="58"/>
      <c r="F241" s="58"/>
      <c r="G241" s="58"/>
      <c r="H241" s="58"/>
      <c r="I241" s="58"/>
      <c r="J241" s="58"/>
      <c r="K241" s="58"/>
      <c r="L241" s="58"/>
      <c r="M241" s="58"/>
      <c r="N241" s="58"/>
      <c r="O241" s="58"/>
      <c r="P241" s="58"/>
      <c r="Q241" s="58"/>
      <c r="R241" s="58"/>
      <c r="S241" s="58"/>
      <c r="T241" s="58"/>
      <c r="U241" s="58"/>
    </row>
    <row r="242" spans="2:21" x14ac:dyDescent="0.15">
      <c r="B242" s="58"/>
      <c r="C242" s="58"/>
      <c r="D242" s="58"/>
      <c r="E242" s="58"/>
      <c r="F242" s="58"/>
      <c r="G242" s="58"/>
      <c r="H242" s="58"/>
      <c r="I242" s="58"/>
      <c r="J242" s="58"/>
      <c r="K242" s="58"/>
      <c r="L242" s="58"/>
      <c r="M242" s="58"/>
      <c r="N242" s="58"/>
      <c r="O242" s="58"/>
      <c r="P242" s="58"/>
      <c r="Q242" s="58"/>
      <c r="R242" s="58"/>
      <c r="S242" s="58"/>
      <c r="T242" s="58"/>
      <c r="U242" s="58"/>
    </row>
    <row r="243" spans="2:21" x14ac:dyDescent="0.15">
      <c r="B243" s="58"/>
      <c r="C243" s="58"/>
      <c r="D243" s="58"/>
      <c r="E243" s="58"/>
      <c r="F243" s="58"/>
      <c r="G243" s="58"/>
      <c r="H243" s="58"/>
      <c r="I243" s="58"/>
      <c r="J243" s="58"/>
      <c r="K243" s="58"/>
      <c r="L243" s="58"/>
      <c r="M243" s="58"/>
      <c r="N243" s="58"/>
      <c r="O243" s="58"/>
      <c r="P243" s="58"/>
      <c r="Q243" s="58"/>
      <c r="R243" s="58"/>
      <c r="S243" s="58"/>
      <c r="T243" s="58"/>
      <c r="U243" s="58"/>
    </row>
    <row r="244" spans="2:21" x14ac:dyDescent="0.15">
      <c r="B244" s="58"/>
      <c r="C244" s="58"/>
      <c r="D244" s="58"/>
      <c r="E244" s="58"/>
      <c r="F244" s="58"/>
      <c r="G244" s="58"/>
      <c r="H244" s="58"/>
      <c r="I244" s="58"/>
      <c r="J244" s="58"/>
      <c r="K244" s="58"/>
      <c r="L244" s="58"/>
      <c r="M244" s="58"/>
      <c r="N244" s="58"/>
      <c r="O244" s="58"/>
      <c r="P244" s="58"/>
      <c r="Q244" s="58"/>
      <c r="R244" s="58"/>
      <c r="S244" s="58"/>
      <c r="T244" s="58"/>
      <c r="U244" s="58"/>
    </row>
    <row r="245" spans="2:21" x14ac:dyDescent="0.15">
      <c r="B245" s="58"/>
      <c r="C245" s="58"/>
      <c r="D245" s="58"/>
      <c r="E245" s="58"/>
      <c r="F245" s="58"/>
      <c r="G245" s="58"/>
      <c r="H245" s="58"/>
      <c r="I245" s="58"/>
      <c r="J245" s="58"/>
      <c r="K245" s="58"/>
      <c r="L245" s="58"/>
      <c r="M245" s="58"/>
      <c r="N245" s="58"/>
      <c r="O245" s="58"/>
      <c r="P245" s="58"/>
      <c r="Q245" s="58"/>
      <c r="R245" s="58"/>
      <c r="S245" s="58"/>
      <c r="T245" s="58"/>
      <c r="U245" s="58"/>
    </row>
    <row r="246" spans="2:21" x14ac:dyDescent="0.15">
      <c r="B246" s="58"/>
      <c r="C246" s="58"/>
      <c r="D246" s="58"/>
      <c r="E246" s="58"/>
      <c r="F246" s="58"/>
      <c r="G246" s="58"/>
      <c r="H246" s="58"/>
      <c r="I246" s="58"/>
      <c r="J246" s="58"/>
      <c r="K246" s="58"/>
      <c r="L246" s="58"/>
      <c r="M246" s="58"/>
      <c r="N246" s="58"/>
      <c r="O246" s="58"/>
      <c r="P246" s="58"/>
      <c r="Q246" s="58"/>
      <c r="R246" s="58"/>
      <c r="S246" s="58"/>
      <c r="T246" s="58"/>
      <c r="U246" s="58"/>
    </row>
    <row r="247" spans="2:21" x14ac:dyDescent="0.15"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  <c r="R247" s="58"/>
      <c r="S247" s="58"/>
      <c r="T247" s="58"/>
      <c r="U247" s="58"/>
    </row>
    <row r="248" spans="2:21" x14ac:dyDescent="0.15">
      <c r="B248" s="58"/>
      <c r="C248" s="58"/>
      <c r="D248" s="58"/>
      <c r="E248" s="58"/>
      <c r="F248" s="58"/>
      <c r="G248" s="58"/>
      <c r="H248" s="58"/>
      <c r="I248" s="58"/>
      <c r="J248" s="58"/>
      <c r="K248" s="58"/>
      <c r="L248" s="58"/>
      <c r="M248" s="58"/>
      <c r="N248" s="58"/>
      <c r="O248" s="58"/>
      <c r="P248" s="58"/>
      <c r="Q248" s="58"/>
      <c r="R248" s="58"/>
      <c r="S248" s="58"/>
      <c r="T248" s="58"/>
      <c r="U248" s="58"/>
    </row>
    <row r="249" spans="2:21" x14ac:dyDescent="0.15">
      <c r="B249" s="58"/>
      <c r="C249" s="58"/>
      <c r="D249" s="58"/>
      <c r="E249" s="58"/>
      <c r="F249" s="58"/>
      <c r="G249" s="58"/>
      <c r="H249" s="58"/>
      <c r="I249" s="58"/>
      <c r="J249" s="58"/>
      <c r="K249" s="58"/>
      <c r="L249" s="58"/>
      <c r="M249" s="58"/>
      <c r="N249" s="58"/>
      <c r="O249" s="58"/>
      <c r="P249" s="58"/>
      <c r="Q249" s="58"/>
      <c r="R249" s="58"/>
      <c r="S249" s="58"/>
      <c r="T249" s="58"/>
      <c r="U249" s="58"/>
    </row>
    <row r="250" spans="2:21" x14ac:dyDescent="0.15"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  <c r="N250" s="58"/>
      <c r="O250" s="58"/>
      <c r="P250" s="58"/>
      <c r="Q250" s="58"/>
      <c r="R250" s="58"/>
      <c r="S250" s="58"/>
      <c r="T250" s="58"/>
      <c r="U250" s="58"/>
    </row>
    <row r="251" spans="2:21" x14ac:dyDescent="0.15">
      <c r="B251" s="58"/>
      <c r="C251" s="58"/>
      <c r="D251" s="58"/>
      <c r="E251" s="58"/>
      <c r="F251" s="58"/>
      <c r="G251" s="58"/>
      <c r="H251" s="58"/>
      <c r="I251" s="58"/>
      <c r="J251" s="58"/>
      <c r="K251" s="58"/>
      <c r="L251" s="58"/>
      <c r="M251" s="58"/>
      <c r="N251" s="58"/>
      <c r="O251" s="58"/>
      <c r="P251" s="58"/>
      <c r="Q251" s="58"/>
      <c r="R251" s="58"/>
      <c r="S251" s="58"/>
      <c r="T251" s="58"/>
      <c r="U251" s="58"/>
    </row>
    <row r="252" spans="2:21" x14ac:dyDescent="0.15">
      <c r="B252" s="58"/>
      <c r="C252" s="58"/>
      <c r="D252" s="58"/>
      <c r="E252" s="58"/>
      <c r="F252" s="58"/>
      <c r="G252" s="58"/>
      <c r="H252" s="58"/>
      <c r="I252" s="58"/>
      <c r="J252" s="58"/>
      <c r="K252" s="58"/>
      <c r="L252" s="58"/>
      <c r="M252" s="58"/>
      <c r="N252" s="58"/>
      <c r="O252" s="58"/>
      <c r="P252" s="58"/>
      <c r="Q252" s="58"/>
      <c r="R252" s="58"/>
      <c r="S252" s="58"/>
      <c r="T252" s="58"/>
      <c r="U252" s="58"/>
    </row>
    <row r="253" spans="2:21" x14ac:dyDescent="0.15">
      <c r="B253" s="58"/>
      <c r="C253" s="58"/>
      <c r="D253" s="58"/>
      <c r="E253" s="58"/>
      <c r="F253" s="58"/>
      <c r="G253" s="58"/>
      <c r="H253" s="58"/>
      <c r="I253" s="58"/>
      <c r="J253" s="58"/>
      <c r="K253" s="58"/>
      <c r="L253" s="58"/>
      <c r="M253" s="58"/>
      <c r="N253" s="58"/>
      <c r="O253" s="58"/>
      <c r="P253" s="58"/>
      <c r="Q253" s="58"/>
      <c r="R253" s="58"/>
      <c r="S253" s="58"/>
      <c r="T253" s="58"/>
      <c r="U253" s="58"/>
    </row>
    <row r="254" spans="2:21" x14ac:dyDescent="0.15">
      <c r="B254" s="58"/>
      <c r="C254" s="58"/>
      <c r="D254" s="58"/>
      <c r="E254" s="58"/>
      <c r="F254" s="58"/>
      <c r="G254" s="58"/>
      <c r="H254" s="58"/>
      <c r="I254" s="58"/>
      <c r="J254" s="58"/>
      <c r="K254" s="58"/>
      <c r="L254" s="58"/>
      <c r="M254" s="58"/>
      <c r="N254" s="58"/>
      <c r="O254" s="58"/>
      <c r="P254" s="58"/>
      <c r="Q254" s="58"/>
      <c r="R254" s="58"/>
      <c r="S254" s="58"/>
      <c r="T254" s="58"/>
      <c r="U254" s="58"/>
    </row>
    <row r="255" spans="2:21" x14ac:dyDescent="0.15">
      <c r="B255" s="58"/>
      <c r="C255" s="58"/>
      <c r="D255" s="58"/>
      <c r="E255" s="58"/>
      <c r="F255" s="58"/>
      <c r="G255" s="58"/>
      <c r="H255" s="58"/>
      <c r="I255" s="58"/>
      <c r="J255" s="58"/>
      <c r="K255" s="58"/>
      <c r="L255" s="58"/>
      <c r="M255" s="58"/>
      <c r="N255" s="58"/>
      <c r="O255" s="58"/>
      <c r="P255" s="58"/>
      <c r="Q255" s="58"/>
      <c r="R255" s="58"/>
      <c r="S255" s="58"/>
      <c r="T255" s="58"/>
      <c r="U255" s="58"/>
    </row>
    <row r="256" spans="2:21" x14ac:dyDescent="0.15">
      <c r="B256" s="58"/>
      <c r="C256" s="58"/>
      <c r="D256" s="58"/>
      <c r="E256" s="58"/>
      <c r="F256" s="58"/>
      <c r="G256" s="58"/>
      <c r="H256" s="58"/>
      <c r="I256" s="58"/>
      <c r="J256" s="58"/>
      <c r="K256" s="58"/>
      <c r="L256" s="58"/>
      <c r="M256" s="58"/>
      <c r="N256" s="58"/>
      <c r="O256" s="58"/>
      <c r="P256" s="58"/>
      <c r="Q256" s="58"/>
      <c r="R256" s="58"/>
      <c r="S256" s="58"/>
      <c r="T256" s="58"/>
      <c r="U256" s="58"/>
    </row>
    <row r="257" spans="2:21" x14ac:dyDescent="0.15">
      <c r="B257" s="58"/>
      <c r="C257" s="58"/>
      <c r="D257" s="58"/>
      <c r="E257" s="58"/>
      <c r="F257" s="58"/>
      <c r="G257" s="58"/>
      <c r="H257" s="58"/>
      <c r="I257" s="58"/>
      <c r="J257" s="58"/>
      <c r="K257" s="58"/>
      <c r="L257" s="58"/>
      <c r="M257" s="58"/>
      <c r="N257" s="58"/>
      <c r="O257" s="58"/>
      <c r="P257" s="58"/>
      <c r="Q257" s="58"/>
      <c r="R257" s="58"/>
      <c r="S257" s="58"/>
      <c r="T257" s="58"/>
      <c r="U257" s="58"/>
    </row>
    <row r="258" spans="2:21" x14ac:dyDescent="0.15">
      <c r="B258" s="58"/>
      <c r="C258" s="58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58"/>
      <c r="O258" s="58"/>
      <c r="P258" s="58"/>
      <c r="Q258" s="58"/>
      <c r="R258" s="58"/>
      <c r="S258" s="58"/>
      <c r="T258" s="58"/>
      <c r="U258" s="58"/>
    </row>
    <row r="259" spans="2:21" x14ac:dyDescent="0.15">
      <c r="B259" s="58"/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58"/>
      <c r="O259" s="58"/>
      <c r="P259" s="58"/>
      <c r="Q259" s="58"/>
      <c r="R259" s="58"/>
      <c r="S259" s="58"/>
      <c r="T259" s="58"/>
      <c r="U259" s="58"/>
    </row>
    <row r="260" spans="2:21" x14ac:dyDescent="0.15">
      <c r="B260" s="58"/>
      <c r="C260" s="58"/>
      <c r="D260" s="58"/>
      <c r="E260" s="58"/>
      <c r="F260" s="58"/>
      <c r="G260" s="58"/>
      <c r="H260" s="58"/>
      <c r="I260" s="58"/>
      <c r="J260" s="58"/>
      <c r="K260" s="58"/>
      <c r="L260" s="58"/>
      <c r="M260" s="58"/>
      <c r="N260" s="58"/>
      <c r="O260" s="58"/>
      <c r="P260" s="58"/>
      <c r="Q260" s="58"/>
      <c r="R260" s="58"/>
      <c r="S260" s="58"/>
      <c r="T260" s="58"/>
      <c r="U260" s="58"/>
    </row>
    <row r="261" spans="2:21" x14ac:dyDescent="0.15">
      <c r="B261" s="58"/>
      <c r="C261" s="58"/>
      <c r="D261" s="58"/>
      <c r="E261" s="58"/>
      <c r="F261" s="58"/>
      <c r="G261" s="58"/>
      <c r="H261" s="58"/>
      <c r="I261" s="58"/>
      <c r="J261" s="58"/>
      <c r="K261" s="58"/>
      <c r="L261" s="58"/>
      <c r="M261" s="58"/>
      <c r="N261" s="58"/>
      <c r="O261" s="58"/>
      <c r="P261" s="58"/>
      <c r="Q261" s="58"/>
      <c r="R261" s="58"/>
      <c r="S261" s="58"/>
      <c r="T261" s="58"/>
      <c r="U261" s="58"/>
    </row>
    <row r="262" spans="2:21" x14ac:dyDescent="0.15">
      <c r="B262" s="58"/>
      <c r="C262" s="58"/>
      <c r="D262" s="58"/>
      <c r="E262" s="58"/>
      <c r="F262" s="58"/>
      <c r="G262" s="58"/>
      <c r="H262" s="58"/>
      <c r="I262" s="58"/>
      <c r="J262" s="58"/>
      <c r="K262" s="58"/>
      <c r="L262" s="58"/>
      <c r="M262" s="58"/>
      <c r="N262" s="58"/>
      <c r="O262" s="58"/>
      <c r="P262" s="58"/>
      <c r="Q262" s="58"/>
      <c r="R262" s="58"/>
      <c r="S262" s="58"/>
      <c r="T262" s="58"/>
      <c r="U262" s="58"/>
    </row>
    <row r="263" spans="2:21" x14ac:dyDescent="0.15">
      <c r="B263" s="58"/>
      <c r="C263" s="58"/>
      <c r="D263" s="58"/>
      <c r="E263" s="58"/>
      <c r="F263" s="58"/>
      <c r="G263" s="58"/>
      <c r="H263" s="58"/>
      <c r="I263" s="58"/>
      <c r="J263" s="58"/>
      <c r="K263" s="58"/>
      <c r="L263" s="58"/>
      <c r="M263" s="58"/>
      <c r="N263" s="58"/>
      <c r="O263" s="58"/>
      <c r="P263" s="58"/>
      <c r="Q263" s="58"/>
      <c r="R263" s="58"/>
      <c r="S263" s="58"/>
      <c r="T263" s="58"/>
      <c r="U263" s="58"/>
    </row>
    <row r="264" spans="2:21" x14ac:dyDescent="0.15"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  <c r="O264" s="58"/>
      <c r="P264" s="58"/>
      <c r="Q264" s="58"/>
      <c r="R264" s="58"/>
      <c r="S264" s="58"/>
      <c r="T264" s="58"/>
      <c r="U264" s="58"/>
    </row>
    <row r="265" spans="2:21" x14ac:dyDescent="0.15">
      <c r="B265" s="58"/>
      <c r="C265" s="58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58"/>
      <c r="O265" s="58"/>
      <c r="P265" s="58"/>
      <c r="Q265" s="58"/>
      <c r="R265" s="58"/>
      <c r="S265" s="58"/>
      <c r="T265" s="58"/>
      <c r="U265" s="58"/>
    </row>
    <row r="266" spans="2:21" x14ac:dyDescent="0.15">
      <c r="B266" s="58"/>
      <c r="C266" s="58"/>
      <c r="D266" s="58"/>
      <c r="E266" s="58"/>
      <c r="F266" s="58"/>
      <c r="G266" s="58"/>
      <c r="H266" s="58"/>
      <c r="I266" s="58"/>
      <c r="J266" s="58"/>
      <c r="K266" s="58"/>
      <c r="L266" s="58"/>
      <c r="M266" s="58"/>
      <c r="N266" s="58"/>
      <c r="O266" s="58"/>
      <c r="P266" s="58"/>
      <c r="Q266" s="58"/>
      <c r="R266" s="58"/>
      <c r="S266" s="58"/>
      <c r="T266" s="58"/>
      <c r="U266" s="58"/>
    </row>
    <row r="267" spans="2:21" x14ac:dyDescent="0.15">
      <c r="B267" s="58"/>
      <c r="C267" s="58"/>
      <c r="D267" s="58"/>
      <c r="E267" s="58"/>
      <c r="F267" s="58"/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</row>
    <row r="268" spans="2:21" x14ac:dyDescent="0.15">
      <c r="B268" s="58"/>
      <c r="C268" s="58"/>
      <c r="D268" s="58"/>
      <c r="E268" s="58"/>
      <c r="F268" s="58"/>
      <c r="G268" s="58"/>
      <c r="H268" s="58"/>
      <c r="I268" s="58"/>
      <c r="J268" s="58"/>
      <c r="K268" s="58"/>
      <c r="L268" s="58"/>
      <c r="M268" s="58"/>
      <c r="N268" s="58"/>
      <c r="O268" s="58"/>
      <c r="P268" s="58"/>
      <c r="Q268" s="58"/>
      <c r="R268" s="58"/>
      <c r="S268" s="58"/>
      <c r="T268" s="58"/>
      <c r="U268" s="58"/>
    </row>
    <row r="269" spans="2:21" x14ac:dyDescent="0.15">
      <c r="B269" s="58"/>
      <c r="C269" s="58"/>
      <c r="D269" s="58"/>
      <c r="E269" s="58"/>
      <c r="F269" s="58"/>
      <c r="G269" s="58"/>
      <c r="H269" s="58"/>
      <c r="I269" s="58"/>
      <c r="J269" s="58"/>
      <c r="K269" s="58"/>
      <c r="L269" s="58"/>
      <c r="M269" s="58"/>
      <c r="N269" s="58"/>
      <c r="O269" s="58"/>
      <c r="P269" s="58"/>
      <c r="Q269" s="58"/>
      <c r="R269" s="58"/>
      <c r="S269" s="58"/>
      <c r="T269" s="58"/>
      <c r="U269" s="58"/>
    </row>
    <row r="270" spans="2:21" x14ac:dyDescent="0.15">
      <c r="B270" s="58"/>
      <c r="C270" s="58"/>
      <c r="D270" s="58"/>
      <c r="E270" s="58"/>
      <c r="F270" s="58"/>
      <c r="G270" s="58"/>
      <c r="H270" s="58"/>
      <c r="I270" s="58"/>
      <c r="J270" s="58"/>
      <c r="K270" s="58"/>
      <c r="L270" s="58"/>
      <c r="M270" s="58"/>
      <c r="N270" s="58"/>
      <c r="O270" s="58"/>
      <c r="P270" s="58"/>
      <c r="Q270" s="58"/>
      <c r="R270" s="58"/>
      <c r="S270" s="58"/>
      <c r="T270" s="58"/>
      <c r="U270" s="58"/>
    </row>
    <row r="271" spans="2:21" x14ac:dyDescent="0.15">
      <c r="B271" s="58"/>
      <c r="C271" s="58"/>
      <c r="D271" s="58"/>
      <c r="E271" s="58"/>
      <c r="F271" s="58"/>
      <c r="G271" s="58"/>
      <c r="H271" s="58"/>
      <c r="I271" s="58"/>
      <c r="J271" s="58"/>
      <c r="K271" s="58"/>
      <c r="L271" s="58"/>
      <c r="M271" s="58"/>
      <c r="N271" s="58"/>
      <c r="O271" s="58"/>
      <c r="P271" s="58"/>
      <c r="Q271" s="58"/>
      <c r="R271" s="58"/>
      <c r="S271" s="58"/>
      <c r="T271" s="58"/>
      <c r="U271" s="58"/>
    </row>
    <row r="272" spans="2:21" x14ac:dyDescent="0.15">
      <c r="B272" s="58"/>
      <c r="C272" s="58"/>
      <c r="D272" s="58"/>
      <c r="E272" s="58"/>
      <c r="F272" s="58"/>
      <c r="G272" s="58"/>
      <c r="H272" s="58"/>
      <c r="I272" s="58"/>
      <c r="J272" s="58"/>
      <c r="K272" s="58"/>
      <c r="L272" s="58"/>
      <c r="M272" s="58"/>
      <c r="N272" s="58"/>
      <c r="O272" s="58"/>
      <c r="P272" s="58"/>
      <c r="Q272" s="58"/>
      <c r="R272" s="58"/>
      <c r="S272" s="58"/>
      <c r="T272" s="58"/>
      <c r="U272" s="58"/>
    </row>
    <row r="273" spans="2:21" x14ac:dyDescent="0.15">
      <c r="B273" s="58"/>
      <c r="C273" s="58"/>
      <c r="D273" s="58"/>
      <c r="E273" s="58"/>
      <c r="F273" s="58"/>
      <c r="G273" s="58"/>
      <c r="H273" s="58"/>
      <c r="I273" s="58"/>
      <c r="J273" s="58"/>
      <c r="K273" s="58"/>
      <c r="L273" s="58"/>
      <c r="M273" s="58"/>
      <c r="N273" s="58"/>
      <c r="O273" s="58"/>
      <c r="P273" s="58"/>
      <c r="Q273" s="58"/>
      <c r="R273" s="58"/>
      <c r="S273" s="58"/>
      <c r="T273" s="58"/>
      <c r="U273" s="58"/>
    </row>
    <row r="274" spans="2:21" x14ac:dyDescent="0.15">
      <c r="B274" s="58"/>
      <c r="C274" s="58"/>
      <c r="D274" s="58"/>
      <c r="E274" s="58"/>
      <c r="F274" s="58"/>
      <c r="G274" s="58"/>
      <c r="H274" s="58"/>
      <c r="I274" s="58"/>
      <c r="J274" s="58"/>
      <c r="K274" s="58"/>
      <c r="L274" s="58"/>
      <c r="M274" s="58"/>
      <c r="N274" s="58"/>
      <c r="O274" s="58"/>
      <c r="P274" s="58"/>
      <c r="Q274" s="58"/>
      <c r="R274" s="58"/>
      <c r="S274" s="58"/>
      <c r="T274" s="58"/>
      <c r="U274" s="58"/>
    </row>
    <row r="275" spans="2:21" x14ac:dyDescent="0.15">
      <c r="B275" s="58"/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</row>
    <row r="276" spans="2:21" x14ac:dyDescent="0.15">
      <c r="B276" s="58"/>
      <c r="C276" s="58"/>
      <c r="D276" s="58"/>
      <c r="E276" s="58"/>
      <c r="F276" s="58"/>
      <c r="G276" s="58"/>
      <c r="H276" s="58"/>
      <c r="I276" s="58"/>
      <c r="J276" s="58"/>
      <c r="K276" s="58"/>
      <c r="L276" s="58"/>
      <c r="M276" s="58"/>
      <c r="N276" s="58"/>
      <c r="O276" s="58"/>
      <c r="P276" s="58"/>
      <c r="Q276" s="58"/>
      <c r="R276" s="58"/>
      <c r="S276" s="58"/>
      <c r="T276" s="58"/>
      <c r="U276" s="58"/>
    </row>
    <row r="277" spans="2:21" x14ac:dyDescent="0.15">
      <c r="B277" s="58"/>
      <c r="C277" s="58"/>
      <c r="D277" s="58"/>
      <c r="E277" s="58"/>
      <c r="F277" s="58"/>
      <c r="G277" s="58"/>
      <c r="H277" s="58"/>
      <c r="I277" s="58"/>
      <c r="J277" s="58"/>
      <c r="K277" s="58"/>
      <c r="L277" s="58"/>
      <c r="M277" s="58"/>
      <c r="N277" s="58"/>
      <c r="O277" s="58"/>
      <c r="P277" s="58"/>
      <c r="Q277" s="58"/>
      <c r="R277" s="58"/>
      <c r="S277" s="58"/>
      <c r="T277" s="58"/>
      <c r="U277" s="58"/>
    </row>
    <row r="278" spans="2:21" x14ac:dyDescent="0.15">
      <c r="B278" s="58"/>
      <c r="C278" s="58"/>
      <c r="D278" s="58"/>
      <c r="E278" s="58"/>
      <c r="F278" s="58"/>
      <c r="G278" s="58"/>
      <c r="H278" s="58"/>
      <c r="I278" s="58"/>
      <c r="J278" s="58"/>
      <c r="K278" s="58"/>
      <c r="L278" s="58"/>
      <c r="M278" s="58"/>
      <c r="N278" s="58"/>
      <c r="O278" s="58"/>
      <c r="P278" s="58"/>
      <c r="Q278" s="58"/>
      <c r="R278" s="58"/>
      <c r="S278" s="58"/>
      <c r="T278" s="58"/>
      <c r="U278" s="58"/>
    </row>
    <row r="279" spans="2:21" x14ac:dyDescent="0.15">
      <c r="B279" s="58"/>
      <c r="C279" s="58"/>
      <c r="D279" s="58"/>
      <c r="E279" s="58"/>
      <c r="F279" s="58"/>
      <c r="G279" s="58"/>
      <c r="H279" s="58"/>
      <c r="I279" s="58"/>
      <c r="J279" s="58"/>
      <c r="K279" s="58"/>
      <c r="L279" s="58"/>
      <c r="M279" s="58"/>
      <c r="N279" s="58"/>
      <c r="O279" s="58"/>
      <c r="P279" s="58"/>
      <c r="Q279" s="58"/>
      <c r="R279" s="58"/>
      <c r="S279" s="58"/>
      <c r="T279" s="58"/>
      <c r="U279" s="58"/>
    </row>
    <row r="280" spans="2:21" x14ac:dyDescent="0.15">
      <c r="B280" s="58"/>
      <c r="C280" s="58"/>
      <c r="D280" s="58"/>
      <c r="E280" s="58"/>
      <c r="F280" s="58"/>
      <c r="G280" s="58"/>
      <c r="H280" s="58"/>
      <c r="I280" s="58"/>
      <c r="J280" s="58"/>
      <c r="K280" s="58"/>
      <c r="L280" s="58"/>
      <c r="M280" s="58"/>
      <c r="N280" s="58"/>
      <c r="O280" s="58"/>
      <c r="P280" s="58"/>
      <c r="Q280" s="58"/>
      <c r="R280" s="58"/>
      <c r="S280" s="58"/>
      <c r="T280" s="58"/>
      <c r="U280" s="58"/>
    </row>
    <row r="281" spans="2:21" x14ac:dyDescent="0.15">
      <c r="B281" s="58"/>
      <c r="C281" s="58"/>
      <c r="D281" s="58"/>
      <c r="E281" s="58"/>
      <c r="F281" s="58"/>
      <c r="G281" s="58"/>
      <c r="H281" s="58"/>
      <c r="I281" s="58"/>
      <c r="J281" s="58"/>
      <c r="K281" s="58"/>
      <c r="L281" s="58"/>
      <c r="M281" s="58"/>
      <c r="N281" s="58"/>
      <c r="O281" s="58"/>
      <c r="P281" s="58"/>
      <c r="Q281" s="58"/>
      <c r="R281" s="58"/>
      <c r="S281" s="58"/>
      <c r="T281" s="58"/>
      <c r="U281" s="58"/>
    </row>
    <row r="282" spans="2:21" x14ac:dyDescent="0.15">
      <c r="B282" s="58"/>
      <c r="C282" s="58"/>
      <c r="D282" s="58"/>
      <c r="E282" s="58"/>
      <c r="F282" s="58"/>
      <c r="G282" s="58"/>
      <c r="H282" s="58"/>
      <c r="I282" s="58"/>
      <c r="J282" s="58"/>
      <c r="K282" s="58"/>
      <c r="L282" s="58"/>
      <c r="M282" s="58"/>
      <c r="N282" s="58"/>
      <c r="O282" s="58"/>
      <c r="P282" s="58"/>
      <c r="Q282" s="58"/>
      <c r="R282" s="58"/>
      <c r="S282" s="58"/>
      <c r="T282" s="58"/>
      <c r="U282" s="58"/>
    </row>
    <row r="283" spans="2:21" x14ac:dyDescent="0.15">
      <c r="B283" s="58"/>
      <c r="C283" s="58"/>
      <c r="D283" s="58"/>
      <c r="E283" s="58"/>
      <c r="F283" s="58"/>
      <c r="G283" s="58"/>
      <c r="H283" s="58"/>
      <c r="I283" s="58"/>
      <c r="J283" s="58"/>
      <c r="K283" s="58"/>
      <c r="L283" s="58"/>
      <c r="M283" s="58"/>
      <c r="N283" s="58"/>
      <c r="O283" s="58"/>
      <c r="P283" s="58"/>
      <c r="Q283" s="58"/>
      <c r="R283" s="58"/>
      <c r="S283" s="58"/>
      <c r="T283" s="58"/>
      <c r="U283" s="58"/>
    </row>
    <row r="284" spans="2:21" x14ac:dyDescent="0.15">
      <c r="B284" s="58"/>
      <c r="C284" s="58"/>
      <c r="D284" s="58"/>
      <c r="E284" s="58"/>
      <c r="F284" s="58"/>
      <c r="G284" s="58"/>
      <c r="H284" s="58"/>
      <c r="I284" s="58"/>
      <c r="J284" s="58"/>
      <c r="K284" s="58"/>
      <c r="L284" s="58"/>
      <c r="M284" s="58"/>
      <c r="N284" s="58"/>
      <c r="O284" s="58"/>
      <c r="P284" s="58"/>
      <c r="Q284" s="58"/>
      <c r="R284" s="58"/>
      <c r="S284" s="58"/>
      <c r="T284" s="58"/>
      <c r="U284" s="58"/>
    </row>
    <row r="285" spans="2:21" x14ac:dyDescent="0.15">
      <c r="B285" s="58"/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58"/>
      <c r="O285" s="58"/>
      <c r="P285" s="58"/>
      <c r="Q285" s="58"/>
      <c r="R285" s="58"/>
      <c r="S285" s="58"/>
      <c r="T285" s="58"/>
      <c r="U285" s="58"/>
    </row>
    <row r="286" spans="2:21" x14ac:dyDescent="0.15">
      <c r="B286" s="58"/>
      <c r="C286" s="58"/>
      <c r="D286" s="58"/>
      <c r="E286" s="58"/>
      <c r="F286" s="58"/>
      <c r="G286" s="58"/>
      <c r="H286" s="58"/>
      <c r="I286" s="58"/>
      <c r="J286" s="58"/>
      <c r="K286" s="58"/>
      <c r="L286" s="58"/>
      <c r="M286" s="58"/>
      <c r="N286" s="58"/>
      <c r="O286" s="58"/>
      <c r="P286" s="58"/>
      <c r="Q286" s="58"/>
      <c r="R286" s="58"/>
      <c r="S286" s="58"/>
      <c r="T286" s="58"/>
      <c r="U286" s="58"/>
    </row>
    <row r="287" spans="2:21" x14ac:dyDescent="0.15">
      <c r="B287" s="58"/>
      <c r="C287" s="58"/>
      <c r="D287" s="58"/>
      <c r="E287" s="58"/>
      <c r="F287" s="58"/>
      <c r="G287" s="58"/>
      <c r="H287" s="58"/>
      <c r="I287" s="58"/>
      <c r="J287" s="58"/>
      <c r="K287" s="58"/>
      <c r="L287" s="58"/>
      <c r="M287" s="58"/>
      <c r="N287" s="58"/>
      <c r="O287" s="58"/>
      <c r="P287" s="58"/>
      <c r="Q287" s="58"/>
      <c r="R287" s="58"/>
      <c r="S287" s="58"/>
      <c r="T287" s="58"/>
      <c r="U287" s="58"/>
    </row>
    <row r="288" spans="2:21" x14ac:dyDescent="0.15">
      <c r="B288" s="58"/>
      <c r="C288" s="58"/>
      <c r="D288" s="58"/>
      <c r="E288" s="58"/>
      <c r="F288" s="58"/>
      <c r="G288" s="58"/>
      <c r="H288" s="58"/>
      <c r="I288" s="58"/>
      <c r="J288" s="58"/>
      <c r="K288" s="58"/>
      <c r="L288" s="58"/>
      <c r="M288" s="58"/>
      <c r="N288" s="58"/>
      <c r="O288" s="58"/>
      <c r="P288" s="58"/>
      <c r="Q288" s="58"/>
      <c r="R288" s="58"/>
      <c r="S288" s="58"/>
      <c r="T288" s="58"/>
      <c r="U288" s="58"/>
    </row>
    <row r="289" spans="2:21" x14ac:dyDescent="0.15">
      <c r="B289" s="58"/>
      <c r="C289" s="58"/>
      <c r="D289" s="58"/>
      <c r="E289" s="58"/>
      <c r="F289" s="58"/>
      <c r="G289" s="58"/>
      <c r="H289" s="58"/>
      <c r="I289" s="58"/>
      <c r="J289" s="58"/>
      <c r="K289" s="58"/>
      <c r="L289" s="58"/>
      <c r="M289" s="58"/>
      <c r="N289" s="58"/>
      <c r="O289" s="58"/>
      <c r="P289" s="58"/>
      <c r="Q289" s="58"/>
      <c r="R289" s="58"/>
      <c r="S289" s="58"/>
      <c r="T289" s="58"/>
      <c r="U289" s="58"/>
    </row>
    <row r="290" spans="2:21" x14ac:dyDescent="0.15"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  <c r="O290" s="58"/>
      <c r="P290" s="58"/>
      <c r="Q290" s="58"/>
      <c r="R290" s="58"/>
      <c r="S290" s="58"/>
      <c r="T290" s="58"/>
      <c r="U290" s="58"/>
    </row>
    <row r="291" spans="2:21" x14ac:dyDescent="0.15">
      <c r="B291" s="58"/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  <c r="N291" s="58"/>
      <c r="O291" s="58"/>
      <c r="P291" s="58"/>
      <c r="Q291" s="58"/>
      <c r="R291" s="58"/>
      <c r="S291" s="58"/>
      <c r="T291" s="58"/>
      <c r="U291" s="58"/>
    </row>
    <row r="292" spans="2:21" x14ac:dyDescent="0.15">
      <c r="B292" s="58"/>
      <c r="C292" s="58"/>
      <c r="D292" s="58"/>
      <c r="E292" s="58"/>
      <c r="F292" s="58"/>
      <c r="G292" s="58"/>
      <c r="H292" s="58"/>
      <c r="I292" s="58"/>
      <c r="J292" s="58"/>
      <c r="K292" s="58"/>
      <c r="L292" s="58"/>
      <c r="M292" s="58"/>
      <c r="N292" s="58"/>
      <c r="O292" s="58"/>
      <c r="P292" s="58"/>
      <c r="Q292" s="58"/>
      <c r="R292" s="58"/>
      <c r="S292" s="58"/>
      <c r="T292" s="58"/>
      <c r="U292" s="58"/>
    </row>
    <row r="293" spans="2:21" x14ac:dyDescent="0.15">
      <c r="B293" s="58"/>
      <c r="C293" s="58"/>
      <c r="D293" s="58"/>
      <c r="E293" s="58"/>
      <c r="F293" s="58"/>
      <c r="G293" s="58"/>
      <c r="H293" s="58"/>
      <c r="I293" s="58"/>
      <c r="J293" s="58"/>
      <c r="K293" s="58"/>
      <c r="L293" s="58"/>
      <c r="M293" s="58"/>
      <c r="N293" s="58"/>
      <c r="O293" s="58"/>
      <c r="P293" s="58"/>
      <c r="Q293" s="58"/>
      <c r="R293" s="58"/>
      <c r="S293" s="58"/>
      <c r="T293" s="58"/>
      <c r="U293" s="58"/>
    </row>
    <row r="294" spans="2:21" x14ac:dyDescent="0.15">
      <c r="B294" s="58"/>
      <c r="C294" s="58"/>
      <c r="D294" s="58"/>
      <c r="E294" s="58"/>
      <c r="F294" s="58"/>
      <c r="G294" s="58"/>
      <c r="H294" s="58"/>
      <c r="I294" s="58"/>
      <c r="J294" s="58"/>
      <c r="K294" s="58"/>
      <c r="L294" s="58"/>
      <c r="M294" s="58"/>
      <c r="N294" s="58"/>
      <c r="O294" s="58"/>
      <c r="P294" s="58"/>
      <c r="Q294" s="58"/>
      <c r="R294" s="58"/>
      <c r="S294" s="58"/>
      <c r="T294" s="58"/>
      <c r="U294" s="58"/>
    </row>
    <row r="295" spans="2:21" x14ac:dyDescent="0.15">
      <c r="B295" s="58"/>
      <c r="C295" s="58"/>
      <c r="D295" s="58"/>
      <c r="E295" s="58"/>
      <c r="F295" s="58"/>
      <c r="G295" s="58"/>
      <c r="H295" s="58"/>
      <c r="I295" s="58"/>
      <c r="J295" s="58"/>
      <c r="K295" s="58"/>
      <c r="L295" s="58"/>
      <c r="M295" s="58"/>
      <c r="N295" s="58"/>
      <c r="O295" s="58"/>
      <c r="P295" s="58"/>
      <c r="Q295" s="58"/>
      <c r="R295" s="58"/>
      <c r="S295" s="58"/>
      <c r="T295" s="58"/>
      <c r="U295" s="58"/>
    </row>
    <row r="296" spans="2:21" x14ac:dyDescent="0.15">
      <c r="B296" s="58"/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58"/>
      <c r="S296" s="58"/>
      <c r="T296" s="58"/>
      <c r="U296" s="58"/>
    </row>
    <row r="297" spans="2:21" x14ac:dyDescent="0.15">
      <c r="B297" s="58"/>
      <c r="C297" s="58"/>
      <c r="D297" s="58"/>
      <c r="E297" s="58"/>
      <c r="F297" s="58"/>
      <c r="G297" s="58"/>
      <c r="H297" s="58"/>
      <c r="I297" s="58"/>
      <c r="J297" s="58"/>
      <c r="K297" s="58"/>
      <c r="L297" s="58"/>
      <c r="M297" s="58"/>
      <c r="N297" s="58"/>
      <c r="O297" s="58"/>
      <c r="P297" s="58"/>
      <c r="Q297" s="58"/>
      <c r="R297" s="58"/>
      <c r="S297" s="58"/>
      <c r="T297" s="58"/>
      <c r="U297" s="58"/>
    </row>
    <row r="298" spans="2:21" x14ac:dyDescent="0.15">
      <c r="B298" s="58"/>
      <c r="C298" s="58"/>
      <c r="D298" s="58"/>
      <c r="E298" s="58"/>
      <c r="F298" s="58"/>
      <c r="G298" s="58"/>
      <c r="H298" s="58"/>
      <c r="I298" s="58"/>
      <c r="J298" s="58"/>
      <c r="K298" s="58"/>
      <c r="L298" s="58"/>
      <c r="M298" s="58"/>
      <c r="N298" s="58"/>
      <c r="O298" s="58"/>
      <c r="P298" s="58"/>
      <c r="Q298" s="58"/>
      <c r="R298" s="58"/>
      <c r="S298" s="58"/>
      <c r="T298" s="58"/>
      <c r="U298" s="58"/>
    </row>
    <row r="299" spans="2:21" x14ac:dyDescent="0.15">
      <c r="B299" s="58"/>
      <c r="C299" s="58"/>
      <c r="D299" s="58"/>
      <c r="E299" s="58"/>
      <c r="F299" s="58"/>
      <c r="G299" s="58"/>
      <c r="H299" s="58"/>
      <c r="I299" s="58"/>
      <c r="J299" s="58"/>
      <c r="K299" s="58"/>
      <c r="L299" s="58"/>
      <c r="M299" s="58"/>
      <c r="N299" s="58"/>
      <c r="O299" s="58"/>
      <c r="P299" s="58"/>
      <c r="Q299" s="58"/>
      <c r="R299" s="58"/>
      <c r="S299" s="58"/>
      <c r="T299" s="58"/>
      <c r="U299" s="58"/>
    </row>
    <row r="300" spans="2:21" x14ac:dyDescent="0.15">
      <c r="B300" s="58"/>
      <c r="C300" s="58"/>
      <c r="D300" s="58"/>
      <c r="E300" s="58"/>
      <c r="F300" s="58"/>
      <c r="G300" s="58"/>
      <c r="H300" s="58"/>
      <c r="I300" s="58"/>
      <c r="J300" s="58"/>
      <c r="K300" s="58"/>
      <c r="L300" s="58"/>
      <c r="M300" s="58"/>
      <c r="N300" s="58"/>
      <c r="O300" s="58"/>
      <c r="P300" s="58"/>
      <c r="Q300" s="58"/>
      <c r="R300" s="58"/>
      <c r="S300" s="58"/>
      <c r="T300" s="58"/>
      <c r="U300" s="58"/>
    </row>
    <row r="301" spans="2:21" x14ac:dyDescent="0.15">
      <c r="B301" s="58"/>
      <c r="C301" s="58"/>
      <c r="D301" s="58"/>
      <c r="E301" s="58"/>
      <c r="F301" s="58"/>
      <c r="G301" s="58"/>
      <c r="H301" s="58"/>
      <c r="I301" s="58"/>
      <c r="J301" s="58"/>
      <c r="K301" s="58"/>
      <c r="L301" s="58"/>
      <c r="M301" s="58"/>
      <c r="N301" s="58"/>
      <c r="O301" s="58"/>
      <c r="P301" s="58"/>
      <c r="Q301" s="58"/>
      <c r="R301" s="58"/>
      <c r="S301" s="58"/>
      <c r="T301" s="58"/>
      <c r="U301" s="58"/>
    </row>
    <row r="302" spans="2:21" x14ac:dyDescent="0.15">
      <c r="B302" s="58"/>
      <c r="C302" s="58"/>
      <c r="D302" s="58"/>
      <c r="E302" s="58"/>
      <c r="F302" s="58"/>
      <c r="G302" s="58"/>
      <c r="H302" s="58"/>
      <c r="I302" s="58"/>
      <c r="J302" s="58"/>
      <c r="K302" s="58"/>
      <c r="L302" s="58"/>
      <c r="M302" s="58"/>
      <c r="N302" s="58"/>
      <c r="O302" s="58"/>
      <c r="P302" s="58"/>
      <c r="Q302" s="58"/>
      <c r="R302" s="58"/>
      <c r="S302" s="58"/>
      <c r="T302" s="58"/>
      <c r="U302" s="58"/>
    </row>
    <row r="303" spans="2:21" x14ac:dyDescent="0.15">
      <c r="B303" s="58"/>
      <c r="C303" s="58"/>
      <c r="D303" s="58"/>
      <c r="E303" s="58"/>
      <c r="F303" s="58"/>
      <c r="G303" s="58"/>
      <c r="H303" s="58"/>
      <c r="I303" s="58"/>
      <c r="J303" s="58"/>
      <c r="K303" s="58"/>
      <c r="L303" s="58"/>
      <c r="M303" s="58"/>
      <c r="N303" s="58"/>
      <c r="O303" s="58"/>
      <c r="P303" s="58"/>
      <c r="Q303" s="58"/>
      <c r="R303" s="58"/>
      <c r="S303" s="58"/>
      <c r="T303" s="58"/>
      <c r="U303" s="58"/>
    </row>
    <row r="304" spans="2:21" x14ac:dyDescent="0.15">
      <c r="B304" s="58"/>
      <c r="C304" s="58"/>
      <c r="D304" s="58"/>
      <c r="E304" s="58"/>
      <c r="F304" s="58"/>
      <c r="G304" s="58"/>
      <c r="H304" s="58"/>
      <c r="I304" s="58"/>
      <c r="J304" s="58"/>
      <c r="K304" s="58"/>
      <c r="L304" s="58"/>
      <c r="M304" s="58"/>
      <c r="N304" s="58"/>
      <c r="O304" s="58"/>
      <c r="P304" s="58"/>
      <c r="Q304" s="58"/>
      <c r="R304" s="58"/>
      <c r="S304" s="58"/>
      <c r="T304" s="58"/>
      <c r="U304" s="58"/>
    </row>
    <row r="305" spans="2:21" x14ac:dyDescent="0.15">
      <c r="B305" s="58"/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</row>
    <row r="306" spans="2:21" x14ac:dyDescent="0.15">
      <c r="B306" s="58"/>
      <c r="C306" s="58"/>
      <c r="D306" s="58"/>
      <c r="E306" s="58"/>
      <c r="F306" s="58"/>
      <c r="G306" s="58"/>
      <c r="H306" s="58"/>
      <c r="I306" s="58"/>
      <c r="J306" s="58"/>
      <c r="K306" s="58"/>
      <c r="L306" s="58"/>
      <c r="M306" s="58"/>
      <c r="N306" s="58"/>
      <c r="O306" s="58"/>
      <c r="P306" s="58"/>
      <c r="Q306" s="58"/>
      <c r="R306" s="58"/>
      <c r="S306" s="58"/>
      <c r="T306" s="58"/>
      <c r="U306" s="58"/>
    </row>
    <row r="307" spans="2:21" x14ac:dyDescent="0.15">
      <c r="B307" s="58"/>
      <c r="C307" s="58"/>
      <c r="D307" s="58"/>
      <c r="E307" s="58"/>
      <c r="F307" s="58"/>
      <c r="G307" s="58"/>
      <c r="H307" s="58"/>
      <c r="I307" s="58"/>
      <c r="J307" s="58"/>
      <c r="K307" s="58"/>
      <c r="L307" s="58"/>
      <c r="M307" s="58"/>
      <c r="N307" s="58"/>
      <c r="O307" s="58"/>
      <c r="P307" s="58"/>
      <c r="Q307" s="58"/>
      <c r="R307" s="58"/>
      <c r="S307" s="58"/>
      <c r="T307" s="58"/>
      <c r="U307" s="58"/>
    </row>
    <row r="308" spans="2:21" x14ac:dyDescent="0.15">
      <c r="B308" s="58"/>
      <c r="C308" s="58"/>
      <c r="D308" s="58"/>
      <c r="E308" s="58"/>
      <c r="F308" s="58"/>
      <c r="G308" s="58"/>
      <c r="H308" s="58"/>
      <c r="I308" s="58"/>
      <c r="J308" s="58"/>
      <c r="K308" s="58"/>
      <c r="L308" s="58"/>
      <c r="M308" s="58"/>
      <c r="N308" s="58"/>
      <c r="O308" s="58"/>
      <c r="P308" s="58"/>
      <c r="Q308" s="58"/>
      <c r="R308" s="58"/>
      <c r="S308" s="58"/>
      <c r="T308" s="58"/>
      <c r="U308" s="58"/>
    </row>
    <row r="309" spans="2:21" x14ac:dyDescent="0.15">
      <c r="B309" s="58"/>
      <c r="C309" s="58"/>
      <c r="D309" s="58"/>
      <c r="E309" s="58"/>
      <c r="F309" s="58"/>
      <c r="G309" s="58"/>
      <c r="H309" s="58"/>
      <c r="I309" s="58"/>
      <c r="J309" s="58"/>
      <c r="K309" s="58"/>
      <c r="L309" s="58"/>
      <c r="M309" s="58"/>
      <c r="N309" s="58"/>
      <c r="O309" s="58"/>
      <c r="P309" s="58"/>
      <c r="Q309" s="58"/>
      <c r="R309" s="58"/>
      <c r="S309" s="58"/>
      <c r="T309" s="58"/>
      <c r="U309" s="58"/>
    </row>
    <row r="310" spans="2:21" x14ac:dyDescent="0.15">
      <c r="B310" s="58"/>
      <c r="C310" s="58"/>
      <c r="D310" s="58"/>
      <c r="E310" s="58"/>
      <c r="F310" s="58"/>
      <c r="G310" s="58"/>
      <c r="H310" s="58"/>
      <c r="I310" s="58"/>
      <c r="J310" s="58"/>
      <c r="K310" s="58"/>
      <c r="L310" s="58"/>
      <c r="M310" s="58"/>
      <c r="N310" s="58"/>
      <c r="O310" s="58"/>
      <c r="P310" s="58"/>
      <c r="Q310" s="58"/>
      <c r="R310" s="58"/>
      <c r="S310" s="58"/>
      <c r="T310" s="58"/>
      <c r="U310" s="58"/>
    </row>
    <row r="311" spans="2:21" x14ac:dyDescent="0.15">
      <c r="B311" s="58"/>
      <c r="C311" s="58"/>
      <c r="D311" s="58"/>
      <c r="E311" s="58"/>
      <c r="F311" s="58"/>
      <c r="G311" s="58"/>
      <c r="H311" s="58"/>
      <c r="I311" s="58"/>
      <c r="J311" s="58"/>
      <c r="K311" s="58"/>
      <c r="L311" s="58"/>
      <c r="M311" s="58"/>
      <c r="N311" s="58"/>
      <c r="O311" s="58"/>
      <c r="P311" s="58"/>
      <c r="Q311" s="58"/>
      <c r="R311" s="58"/>
      <c r="S311" s="58"/>
      <c r="T311" s="58"/>
      <c r="U311" s="58"/>
    </row>
    <row r="312" spans="2:21" x14ac:dyDescent="0.15">
      <c r="B312" s="58"/>
      <c r="C312" s="58"/>
      <c r="D312" s="58"/>
      <c r="E312" s="58"/>
      <c r="F312" s="58"/>
      <c r="G312" s="58"/>
      <c r="H312" s="58"/>
      <c r="I312" s="58"/>
      <c r="J312" s="58"/>
      <c r="K312" s="58"/>
      <c r="L312" s="58"/>
      <c r="M312" s="58"/>
      <c r="N312" s="58"/>
      <c r="O312" s="58"/>
      <c r="P312" s="58"/>
      <c r="Q312" s="58"/>
      <c r="R312" s="58"/>
      <c r="S312" s="58"/>
      <c r="T312" s="58"/>
      <c r="U312" s="58"/>
    </row>
    <row r="313" spans="2:21" x14ac:dyDescent="0.15">
      <c r="B313" s="58"/>
      <c r="C313" s="58"/>
      <c r="D313" s="58"/>
      <c r="E313" s="58"/>
      <c r="F313" s="58"/>
      <c r="G313" s="58"/>
      <c r="H313" s="58"/>
      <c r="I313" s="58"/>
      <c r="J313" s="58"/>
      <c r="K313" s="58"/>
      <c r="L313" s="58"/>
      <c r="M313" s="58"/>
      <c r="N313" s="58"/>
      <c r="O313" s="58"/>
      <c r="P313" s="58"/>
      <c r="Q313" s="58"/>
      <c r="R313" s="58"/>
      <c r="S313" s="58"/>
      <c r="T313" s="58"/>
      <c r="U313" s="58"/>
    </row>
    <row r="314" spans="2:21" x14ac:dyDescent="0.15">
      <c r="B314" s="58"/>
      <c r="C314" s="58"/>
      <c r="D314" s="58"/>
      <c r="E314" s="58"/>
      <c r="F314" s="58"/>
      <c r="G314" s="58"/>
      <c r="H314" s="58"/>
      <c r="I314" s="58"/>
      <c r="J314" s="58"/>
      <c r="K314" s="58"/>
      <c r="L314" s="58"/>
      <c r="M314" s="58"/>
      <c r="N314" s="58"/>
      <c r="O314" s="58"/>
      <c r="P314" s="58"/>
      <c r="Q314" s="58"/>
      <c r="R314" s="58"/>
      <c r="S314" s="58"/>
      <c r="T314" s="58"/>
      <c r="U314" s="58"/>
    </row>
    <row r="315" spans="2:21" x14ac:dyDescent="0.15">
      <c r="B315" s="58"/>
      <c r="C315" s="58"/>
      <c r="D315" s="58"/>
      <c r="E315" s="58"/>
      <c r="F315" s="58"/>
      <c r="G315" s="58"/>
      <c r="H315" s="58"/>
      <c r="I315" s="58"/>
      <c r="J315" s="58"/>
      <c r="K315" s="58"/>
      <c r="L315" s="58"/>
      <c r="M315" s="58"/>
      <c r="N315" s="58"/>
      <c r="O315" s="58"/>
      <c r="P315" s="58"/>
      <c r="Q315" s="58"/>
      <c r="R315" s="58"/>
      <c r="S315" s="58"/>
      <c r="T315" s="58"/>
      <c r="U315" s="58"/>
    </row>
    <row r="316" spans="2:21" x14ac:dyDescent="0.15">
      <c r="B316" s="58"/>
      <c r="C316" s="58"/>
      <c r="D316" s="58"/>
      <c r="E316" s="58"/>
      <c r="F316" s="58"/>
      <c r="G316" s="58"/>
      <c r="H316" s="58"/>
      <c r="I316" s="58"/>
      <c r="J316" s="58"/>
      <c r="K316" s="58"/>
      <c r="L316" s="58"/>
      <c r="M316" s="58"/>
      <c r="N316" s="58"/>
      <c r="O316" s="58"/>
      <c r="P316" s="58"/>
      <c r="Q316" s="58"/>
      <c r="R316" s="58"/>
      <c r="S316" s="58"/>
      <c r="T316" s="58"/>
      <c r="U316" s="58"/>
    </row>
    <row r="317" spans="2:21" x14ac:dyDescent="0.15">
      <c r="B317" s="58"/>
      <c r="C317" s="58"/>
      <c r="D317" s="58"/>
      <c r="E317" s="58"/>
      <c r="F317" s="58"/>
      <c r="G317" s="58"/>
      <c r="H317" s="58"/>
      <c r="I317" s="58"/>
      <c r="J317" s="58"/>
      <c r="K317" s="58"/>
      <c r="L317" s="58"/>
      <c r="M317" s="58"/>
      <c r="N317" s="58"/>
      <c r="O317" s="58"/>
      <c r="P317" s="58"/>
      <c r="Q317" s="58"/>
      <c r="R317" s="58"/>
      <c r="S317" s="58"/>
      <c r="T317" s="58"/>
      <c r="U317" s="58"/>
    </row>
    <row r="318" spans="2:21" x14ac:dyDescent="0.15">
      <c r="B318" s="58"/>
      <c r="C318" s="58"/>
      <c r="D318" s="58"/>
      <c r="E318" s="58"/>
      <c r="F318" s="58"/>
      <c r="G318" s="58"/>
      <c r="H318" s="58"/>
      <c r="I318" s="58"/>
      <c r="J318" s="58"/>
      <c r="K318" s="58"/>
      <c r="L318" s="58"/>
      <c r="M318" s="58"/>
      <c r="N318" s="58"/>
      <c r="O318" s="58"/>
      <c r="P318" s="58"/>
      <c r="Q318" s="58"/>
      <c r="R318" s="58"/>
      <c r="S318" s="58"/>
      <c r="T318" s="58"/>
      <c r="U318" s="58"/>
    </row>
    <row r="319" spans="2:21" x14ac:dyDescent="0.15">
      <c r="B319" s="58"/>
      <c r="C319" s="58"/>
      <c r="D319" s="58"/>
      <c r="E319" s="58"/>
      <c r="F319" s="58"/>
      <c r="G319" s="58"/>
      <c r="H319" s="58"/>
      <c r="I319" s="58"/>
      <c r="J319" s="58"/>
      <c r="K319" s="58"/>
      <c r="L319" s="58"/>
      <c r="M319" s="58"/>
      <c r="N319" s="58"/>
      <c r="O319" s="58"/>
      <c r="P319" s="58"/>
      <c r="Q319" s="58"/>
      <c r="R319" s="58"/>
      <c r="S319" s="58"/>
      <c r="T319" s="58"/>
      <c r="U319" s="58"/>
    </row>
    <row r="320" spans="2:21" x14ac:dyDescent="0.15">
      <c r="B320" s="58"/>
      <c r="C320" s="58"/>
      <c r="D320" s="58"/>
      <c r="E320" s="58"/>
      <c r="F320" s="58"/>
      <c r="G320" s="58"/>
      <c r="H320" s="58"/>
      <c r="I320" s="58"/>
      <c r="J320" s="58"/>
      <c r="K320" s="58"/>
      <c r="L320" s="58"/>
      <c r="M320" s="58"/>
      <c r="N320" s="58"/>
      <c r="O320" s="58"/>
      <c r="P320" s="58"/>
      <c r="Q320" s="58"/>
      <c r="R320" s="58"/>
      <c r="S320" s="58"/>
      <c r="T320" s="58"/>
      <c r="U320" s="58"/>
    </row>
    <row r="321" spans="2:21" x14ac:dyDescent="0.15">
      <c r="B321" s="58"/>
      <c r="C321" s="58"/>
      <c r="D321" s="58"/>
      <c r="E321" s="58"/>
      <c r="F321" s="58"/>
      <c r="G321" s="58"/>
      <c r="H321" s="58"/>
      <c r="I321" s="58"/>
      <c r="J321" s="58"/>
      <c r="K321" s="58"/>
      <c r="L321" s="58"/>
      <c r="M321" s="58"/>
      <c r="N321" s="58"/>
      <c r="O321" s="58"/>
      <c r="P321" s="58"/>
      <c r="Q321" s="58"/>
      <c r="R321" s="58"/>
      <c r="S321" s="58"/>
      <c r="T321" s="58"/>
      <c r="U321" s="58"/>
    </row>
    <row r="322" spans="2:21" x14ac:dyDescent="0.15">
      <c r="B322" s="58"/>
      <c r="C322" s="58"/>
      <c r="D322" s="58"/>
      <c r="E322" s="58"/>
      <c r="F322" s="58"/>
      <c r="G322" s="58"/>
      <c r="H322" s="58"/>
      <c r="I322" s="58"/>
      <c r="J322" s="58"/>
      <c r="K322" s="58"/>
      <c r="L322" s="58"/>
      <c r="M322" s="58"/>
      <c r="N322" s="58"/>
      <c r="O322" s="58"/>
      <c r="P322" s="58"/>
      <c r="Q322" s="58"/>
      <c r="R322" s="58"/>
      <c r="S322" s="58"/>
      <c r="T322" s="58"/>
      <c r="U322" s="58"/>
    </row>
    <row r="323" spans="2:21" x14ac:dyDescent="0.15">
      <c r="B323" s="58"/>
      <c r="C323" s="58"/>
      <c r="D323" s="58"/>
      <c r="E323" s="58"/>
      <c r="F323" s="58"/>
      <c r="G323" s="58"/>
      <c r="H323" s="58"/>
      <c r="I323" s="58"/>
      <c r="J323" s="58"/>
      <c r="K323" s="58"/>
      <c r="L323" s="58"/>
      <c r="M323" s="58"/>
      <c r="N323" s="58"/>
      <c r="O323" s="58"/>
      <c r="P323" s="58"/>
      <c r="Q323" s="58"/>
      <c r="R323" s="58"/>
      <c r="S323" s="58"/>
      <c r="T323" s="58"/>
      <c r="U323" s="58"/>
    </row>
    <row r="324" spans="2:21" x14ac:dyDescent="0.15">
      <c r="B324" s="58"/>
      <c r="C324" s="58"/>
      <c r="D324" s="58"/>
      <c r="E324" s="58"/>
      <c r="F324" s="58"/>
      <c r="G324" s="58"/>
      <c r="H324" s="58"/>
      <c r="I324" s="58"/>
      <c r="J324" s="58"/>
      <c r="K324" s="58"/>
      <c r="L324" s="58"/>
      <c r="M324" s="58"/>
      <c r="N324" s="58"/>
      <c r="O324" s="58"/>
      <c r="P324" s="58"/>
      <c r="Q324" s="58"/>
      <c r="R324" s="58"/>
      <c r="S324" s="58"/>
      <c r="T324" s="58"/>
      <c r="U324" s="58"/>
    </row>
    <row r="325" spans="2:21" x14ac:dyDescent="0.15">
      <c r="B325" s="58"/>
      <c r="C325" s="58"/>
      <c r="D325" s="58"/>
      <c r="E325" s="58"/>
      <c r="F325" s="58"/>
      <c r="G325" s="58"/>
      <c r="H325" s="58"/>
      <c r="I325" s="58"/>
      <c r="J325" s="58"/>
      <c r="K325" s="58"/>
      <c r="L325" s="58"/>
      <c r="M325" s="58"/>
      <c r="N325" s="58"/>
      <c r="O325" s="58"/>
      <c r="P325" s="58"/>
      <c r="Q325" s="58"/>
      <c r="R325" s="58"/>
      <c r="S325" s="58"/>
      <c r="T325" s="58"/>
      <c r="U325" s="58"/>
    </row>
    <row r="326" spans="2:21" x14ac:dyDescent="0.15">
      <c r="B326" s="58"/>
      <c r="C326" s="58"/>
      <c r="D326" s="58"/>
      <c r="E326" s="58"/>
      <c r="F326" s="58"/>
      <c r="G326" s="58"/>
      <c r="H326" s="58"/>
      <c r="I326" s="58"/>
      <c r="J326" s="58"/>
      <c r="K326" s="58"/>
      <c r="L326" s="58"/>
      <c r="M326" s="58"/>
      <c r="N326" s="58"/>
      <c r="O326" s="58"/>
      <c r="P326" s="58"/>
      <c r="Q326" s="58"/>
      <c r="R326" s="58"/>
      <c r="S326" s="58"/>
      <c r="T326" s="58"/>
      <c r="U326" s="58"/>
    </row>
    <row r="327" spans="2:21" x14ac:dyDescent="0.15">
      <c r="B327" s="58"/>
      <c r="C327" s="58"/>
      <c r="D327" s="58"/>
      <c r="E327" s="58"/>
      <c r="F327" s="58"/>
      <c r="G327" s="58"/>
      <c r="H327" s="58"/>
      <c r="I327" s="58"/>
      <c r="J327" s="58"/>
      <c r="K327" s="58"/>
      <c r="L327" s="58"/>
      <c r="M327" s="58"/>
      <c r="N327" s="58"/>
      <c r="O327" s="58"/>
      <c r="P327" s="58"/>
      <c r="Q327" s="58"/>
      <c r="R327" s="58"/>
      <c r="S327" s="58"/>
      <c r="T327" s="58"/>
      <c r="U327" s="58"/>
    </row>
    <row r="328" spans="2:21" x14ac:dyDescent="0.15">
      <c r="B328" s="58"/>
      <c r="C328" s="58"/>
      <c r="D328" s="58"/>
      <c r="E328" s="58"/>
      <c r="F328" s="58"/>
      <c r="G328" s="58"/>
      <c r="H328" s="58"/>
      <c r="I328" s="58"/>
      <c r="J328" s="58"/>
      <c r="K328" s="58"/>
      <c r="L328" s="58"/>
      <c r="M328" s="58"/>
      <c r="N328" s="58"/>
      <c r="O328" s="58"/>
      <c r="P328" s="58"/>
      <c r="Q328" s="58"/>
      <c r="R328" s="58"/>
      <c r="S328" s="58"/>
      <c r="T328" s="58"/>
      <c r="U328" s="58"/>
    </row>
    <row r="329" spans="2:21" x14ac:dyDescent="0.15">
      <c r="B329" s="58"/>
      <c r="C329" s="58"/>
      <c r="D329" s="58"/>
      <c r="E329" s="58"/>
      <c r="F329" s="58"/>
      <c r="G329" s="58"/>
      <c r="H329" s="58"/>
      <c r="I329" s="58"/>
      <c r="J329" s="58"/>
      <c r="K329" s="58"/>
      <c r="L329" s="58"/>
      <c r="M329" s="58"/>
      <c r="N329" s="58"/>
      <c r="O329" s="58"/>
      <c r="P329" s="58"/>
      <c r="Q329" s="58"/>
      <c r="R329" s="58"/>
      <c r="S329" s="58"/>
      <c r="T329" s="58"/>
      <c r="U329" s="58"/>
    </row>
    <row r="330" spans="2:21" x14ac:dyDescent="0.15">
      <c r="B330" s="58"/>
      <c r="C330" s="58"/>
      <c r="D330" s="58"/>
      <c r="E330" s="58"/>
      <c r="F330" s="58"/>
      <c r="G330" s="58"/>
      <c r="H330" s="58"/>
      <c r="I330" s="58"/>
      <c r="J330" s="58"/>
      <c r="K330" s="58"/>
      <c r="L330" s="58"/>
      <c r="M330" s="58"/>
      <c r="N330" s="58"/>
      <c r="O330" s="58"/>
      <c r="P330" s="58"/>
      <c r="Q330" s="58"/>
      <c r="R330" s="58"/>
      <c r="S330" s="58"/>
      <c r="T330" s="58"/>
      <c r="U330" s="58"/>
    </row>
    <row r="331" spans="2:21" x14ac:dyDescent="0.15">
      <c r="B331" s="58"/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  <c r="N331" s="58"/>
      <c r="O331" s="58"/>
      <c r="P331" s="58"/>
      <c r="Q331" s="58"/>
      <c r="R331" s="58"/>
      <c r="S331" s="58"/>
      <c r="T331" s="58"/>
      <c r="U331" s="58"/>
    </row>
    <row r="332" spans="2:21" x14ac:dyDescent="0.15">
      <c r="B332" s="58"/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  <c r="N332" s="58"/>
      <c r="O332" s="58"/>
      <c r="P332" s="58"/>
      <c r="Q332" s="58"/>
      <c r="R332" s="58"/>
      <c r="S332" s="58"/>
      <c r="T332" s="58"/>
      <c r="U332" s="58"/>
    </row>
    <row r="333" spans="2:21" x14ac:dyDescent="0.15">
      <c r="B333" s="58"/>
      <c r="C333" s="58"/>
      <c r="D333" s="58"/>
      <c r="E333" s="58"/>
      <c r="F333" s="58"/>
      <c r="G333" s="58"/>
      <c r="H333" s="58"/>
      <c r="I333" s="58"/>
      <c r="J333" s="58"/>
      <c r="K333" s="58"/>
      <c r="L333" s="58"/>
      <c r="M333" s="58"/>
      <c r="N333" s="58"/>
      <c r="O333" s="58"/>
      <c r="P333" s="58"/>
      <c r="Q333" s="58"/>
      <c r="R333" s="58"/>
      <c r="S333" s="58"/>
      <c r="T333" s="58"/>
      <c r="U333" s="58"/>
    </row>
    <row r="334" spans="2:21" x14ac:dyDescent="0.15">
      <c r="B334" s="58"/>
      <c r="C334" s="58"/>
      <c r="D334" s="58"/>
      <c r="E334" s="58"/>
      <c r="F334" s="58"/>
      <c r="G334" s="58"/>
      <c r="H334" s="58"/>
      <c r="I334" s="58"/>
      <c r="J334" s="58"/>
      <c r="K334" s="58"/>
      <c r="L334" s="58"/>
      <c r="M334" s="58"/>
      <c r="N334" s="58"/>
      <c r="O334" s="58"/>
      <c r="P334" s="58"/>
      <c r="Q334" s="58"/>
      <c r="R334" s="58"/>
      <c r="S334" s="58"/>
      <c r="T334" s="58"/>
      <c r="U334" s="58"/>
    </row>
    <row r="335" spans="2:21" x14ac:dyDescent="0.15">
      <c r="B335" s="58"/>
      <c r="C335" s="58"/>
      <c r="D335" s="58"/>
      <c r="E335" s="58"/>
      <c r="F335" s="58"/>
      <c r="G335" s="58"/>
      <c r="H335" s="58"/>
      <c r="I335" s="58"/>
      <c r="J335" s="58"/>
      <c r="K335" s="58"/>
      <c r="L335" s="58"/>
      <c r="M335" s="58"/>
      <c r="N335" s="58"/>
      <c r="O335" s="58"/>
      <c r="P335" s="58"/>
      <c r="Q335" s="58"/>
      <c r="R335" s="58"/>
      <c r="S335" s="58"/>
      <c r="T335" s="58"/>
      <c r="U335" s="58"/>
    </row>
    <row r="336" spans="2:21" x14ac:dyDescent="0.15">
      <c r="B336" s="58"/>
      <c r="C336" s="58"/>
      <c r="D336" s="58"/>
      <c r="E336" s="58"/>
      <c r="F336" s="58"/>
      <c r="G336" s="58"/>
      <c r="H336" s="58"/>
      <c r="I336" s="58"/>
      <c r="J336" s="58"/>
      <c r="K336" s="58"/>
      <c r="L336" s="58"/>
      <c r="M336" s="58"/>
      <c r="N336" s="58"/>
      <c r="O336" s="58"/>
      <c r="P336" s="58"/>
      <c r="Q336" s="58"/>
      <c r="R336" s="58"/>
      <c r="S336" s="58"/>
      <c r="T336" s="58"/>
      <c r="U336" s="58"/>
    </row>
    <row r="337" spans="2:21" x14ac:dyDescent="0.15">
      <c r="B337" s="58"/>
      <c r="C337" s="58"/>
      <c r="D337" s="58"/>
      <c r="E337" s="58"/>
      <c r="F337" s="58"/>
      <c r="G337" s="58"/>
      <c r="H337" s="58"/>
      <c r="I337" s="58"/>
      <c r="J337" s="58"/>
      <c r="K337" s="58"/>
      <c r="L337" s="58"/>
      <c r="M337" s="58"/>
      <c r="N337" s="58"/>
      <c r="O337" s="58"/>
      <c r="P337" s="58"/>
      <c r="Q337" s="58"/>
      <c r="R337" s="58"/>
      <c r="S337" s="58"/>
      <c r="T337" s="58"/>
      <c r="U337" s="58"/>
    </row>
    <row r="338" spans="2:21" x14ac:dyDescent="0.15">
      <c r="B338" s="58"/>
      <c r="C338" s="58"/>
      <c r="D338" s="58"/>
      <c r="E338" s="58"/>
      <c r="F338" s="58"/>
      <c r="G338" s="58"/>
      <c r="H338" s="58"/>
      <c r="I338" s="58"/>
      <c r="J338" s="58"/>
      <c r="K338" s="58"/>
      <c r="L338" s="58"/>
      <c r="M338" s="58"/>
      <c r="N338" s="58"/>
      <c r="O338" s="58"/>
      <c r="P338" s="58"/>
      <c r="Q338" s="58"/>
      <c r="R338" s="58"/>
      <c r="S338" s="58"/>
      <c r="T338" s="58"/>
      <c r="U338" s="58"/>
    </row>
    <row r="339" spans="2:21" x14ac:dyDescent="0.15">
      <c r="B339" s="58"/>
      <c r="C339" s="58"/>
      <c r="D339" s="58"/>
      <c r="E339" s="58"/>
      <c r="F339" s="58"/>
      <c r="G339" s="58"/>
      <c r="H339" s="58"/>
      <c r="I339" s="58"/>
      <c r="J339" s="58"/>
      <c r="K339" s="58"/>
      <c r="L339" s="58"/>
      <c r="M339" s="58"/>
      <c r="N339" s="58"/>
      <c r="O339" s="58"/>
      <c r="P339" s="58"/>
      <c r="Q339" s="58"/>
      <c r="R339" s="58"/>
      <c r="S339" s="58"/>
      <c r="T339" s="58"/>
      <c r="U339" s="58"/>
    </row>
    <row r="340" spans="2:21" x14ac:dyDescent="0.15">
      <c r="B340" s="58"/>
      <c r="C340" s="58"/>
      <c r="D340" s="58"/>
      <c r="E340" s="58"/>
      <c r="F340" s="58"/>
      <c r="G340" s="58"/>
      <c r="H340" s="58"/>
      <c r="I340" s="58"/>
      <c r="J340" s="58"/>
      <c r="K340" s="58"/>
      <c r="L340" s="58"/>
      <c r="M340" s="58"/>
      <c r="N340" s="58"/>
      <c r="O340" s="58"/>
      <c r="P340" s="58"/>
      <c r="Q340" s="58"/>
      <c r="R340" s="58"/>
      <c r="S340" s="58"/>
      <c r="T340" s="58"/>
      <c r="U340" s="58"/>
    </row>
    <row r="341" spans="2:21" x14ac:dyDescent="0.15">
      <c r="B341" s="58"/>
      <c r="C341" s="58"/>
      <c r="D341" s="58"/>
      <c r="E341" s="58"/>
      <c r="F341" s="58"/>
      <c r="G341" s="58"/>
      <c r="H341" s="58"/>
      <c r="I341" s="58"/>
      <c r="J341" s="58"/>
      <c r="K341" s="58"/>
      <c r="L341" s="58"/>
      <c r="M341" s="58"/>
      <c r="N341" s="58"/>
      <c r="O341" s="58"/>
      <c r="P341" s="58"/>
      <c r="Q341" s="58"/>
      <c r="R341" s="58"/>
      <c r="S341" s="58"/>
      <c r="T341" s="58"/>
      <c r="U341" s="58"/>
    </row>
    <row r="342" spans="2:21" x14ac:dyDescent="0.15">
      <c r="B342" s="58"/>
      <c r="C342" s="58"/>
      <c r="D342" s="58"/>
      <c r="E342" s="58"/>
      <c r="F342" s="58"/>
      <c r="G342" s="58"/>
      <c r="H342" s="58"/>
      <c r="I342" s="58"/>
      <c r="J342" s="58"/>
      <c r="K342" s="58"/>
      <c r="L342" s="58"/>
      <c r="M342" s="58"/>
      <c r="N342" s="58"/>
      <c r="O342" s="58"/>
      <c r="P342" s="58"/>
      <c r="Q342" s="58"/>
      <c r="R342" s="58"/>
      <c r="S342" s="58"/>
      <c r="T342" s="58"/>
      <c r="U342" s="58"/>
    </row>
    <row r="343" spans="2:21" x14ac:dyDescent="0.15">
      <c r="B343" s="58"/>
      <c r="C343" s="58"/>
      <c r="D343" s="58"/>
      <c r="E343" s="58"/>
      <c r="F343" s="58"/>
      <c r="G343" s="58"/>
      <c r="H343" s="58"/>
      <c r="I343" s="58"/>
      <c r="J343" s="58"/>
      <c r="K343" s="58"/>
      <c r="L343" s="58"/>
      <c r="M343" s="58"/>
      <c r="N343" s="58"/>
      <c r="O343" s="58"/>
      <c r="P343" s="58"/>
      <c r="Q343" s="58"/>
      <c r="R343" s="58"/>
      <c r="S343" s="58"/>
      <c r="T343" s="58"/>
      <c r="U343" s="58"/>
    </row>
    <row r="344" spans="2:21" x14ac:dyDescent="0.15">
      <c r="B344" s="58"/>
      <c r="C344" s="58"/>
      <c r="D344" s="58"/>
      <c r="E344" s="58"/>
      <c r="F344" s="58"/>
      <c r="G344" s="58"/>
      <c r="H344" s="58"/>
      <c r="I344" s="58"/>
      <c r="J344" s="58"/>
      <c r="K344" s="58"/>
      <c r="L344" s="58"/>
      <c r="M344" s="58"/>
      <c r="N344" s="58"/>
      <c r="O344" s="58"/>
      <c r="P344" s="58"/>
      <c r="Q344" s="58"/>
      <c r="R344" s="58"/>
      <c r="S344" s="58"/>
      <c r="T344" s="58"/>
      <c r="U344" s="58"/>
    </row>
    <row r="345" spans="2:21" x14ac:dyDescent="0.15">
      <c r="B345" s="58"/>
      <c r="C345" s="58"/>
      <c r="D345" s="58"/>
      <c r="E345" s="58"/>
      <c r="F345" s="58"/>
      <c r="G345" s="58"/>
      <c r="H345" s="58"/>
      <c r="I345" s="58"/>
      <c r="J345" s="58"/>
      <c r="K345" s="58"/>
      <c r="L345" s="58"/>
      <c r="M345" s="58"/>
      <c r="N345" s="58"/>
      <c r="O345" s="58"/>
      <c r="P345" s="58"/>
      <c r="Q345" s="58"/>
      <c r="R345" s="58"/>
      <c r="S345" s="58"/>
      <c r="T345" s="58"/>
      <c r="U345" s="58"/>
    </row>
    <row r="346" spans="2:21" x14ac:dyDescent="0.15">
      <c r="B346" s="58"/>
      <c r="C346" s="58"/>
      <c r="D346" s="58"/>
      <c r="E346" s="58"/>
      <c r="F346" s="58"/>
      <c r="G346" s="58"/>
      <c r="H346" s="58"/>
      <c r="I346" s="58"/>
      <c r="J346" s="58"/>
      <c r="K346" s="58"/>
      <c r="L346" s="58"/>
      <c r="M346" s="58"/>
      <c r="N346" s="58"/>
      <c r="O346" s="58"/>
      <c r="P346" s="58"/>
      <c r="Q346" s="58"/>
      <c r="R346" s="58"/>
      <c r="S346" s="58"/>
      <c r="T346" s="58"/>
      <c r="U346" s="58"/>
    </row>
    <row r="347" spans="2:21" x14ac:dyDescent="0.15">
      <c r="B347" s="58"/>
      <c r="C347" s="58"/>
      <c r="D347" s="58"/>
      <c r="E347" s="58"/>
      <c r="F347" s="58"/>
      <c r="G347" s="58"/>
      <c r="H347" s="58"/>
      <c r="I347" s="58"/>
      <c r="J347" s="58"/>
      <c r="K347" s="58"/>
      <c r="L347" s="58"/>
      <c r="M347" s="58"/>
      <c r="N347" s="58"/>
      <c r="O347" s="58"/>
      <c r="P347" s="58"/>
      <c r="Q347" s="58"/>
      <c r="R347" s="58"/>
      <c r="S347" s="58"/>
      <c r="T347" s="58"/>
      <c r="U347" s="58"/>
    </row>
    <row r="348" spans="2:21" x14ac:dyDescent="0.15">
      <c r="B348" s="58"/>
      <c r="C348" s="58"/>
      <c r="D348" s="58"/>
      <c r="E348" s="58"/>
      <c r="F348" s="58"/>
      <c r="G348" s="58"/>
      <c r="H348" s="58"/>
      <c r="I348" s="58"/>
      <c r="J348" s="58"/>
      <c r="K348" s="58"/>
      <c r="L348" s="58"/>
      <c r="M348" s="58"/>
      <c r="N348" s="58"/>
      <c r="O348" s="58"/>
      <c r="P348" s="58"/>
      <c r="Q348" s="58"/>
      <c r="R348" s="58"/>
      <c r="S348" s="58"/>
      <c r="T348" s="58"/>
      <c r="U348" s="58"/>
    </row>
    <row r="349" spans="2:21" x14ac:dyDescent="0.15">
      <c r="B349" s="58"/>
      <c r="C349" s="58"/>
      <c r="D349" s="58"/>
      <c r="E349" s="58"/>
      <c r="F349" s="58"/>
      <c r="G349" s="58"/>
      <c r="H349" s="58"/>
      <c r="I349" s="58"/>
      <c r="J349" s="58"/>
      <c r="K349" s="58"/>
      <c r="L349" s="58"/>
      <c r="M349" s="58"/>
      <c r="N349" s="58"/>
      <c r="O349" s="58"/>
      <c r="P349" s="58"/>
      <c r="Q349" s="58"/>
      <c r="R349" s="58"/>
      <c r="S349" s="58"/>
      <c r="T349" s="58"/>
      <c r="U349" s="58"/>
    </row>
    <row r="350" spans="2:21" x14ac:dyDescent="0.15">
      <c r="B350" s="58"/>
      <c r="C350" s="58"/>
      <c r="D350" s="58"/>
      <c r="E350" s="58"/>
      <c r="F350" s="58"/>
      <c r="G350" s="58"/>
      <c r="H350" s="58"/>
      <c r="I350" s="58"/>
      <c r="J350" s="58"/>
      <c r="K350" s="58"/>
      <c r="L350" s="58"/>
      <c r="M350" s="58"/>
      <c r="N350" s="58"/>
      <c r="O350" s="58"/>
      <c r="P350" s="58"/>
      <c r="Q350" s="58"/>
      <c r="R350" s="58"/>
      <c r="S350" s="58"/>
      <c r="T350" s="58"/>
      <c r="U350" s="58"/>
    </row>
    <row r="351" spans="2:21" x14ac:dyDescent="0.15">
      <c r="B351" s="58"/>
      <c r="C351" s="58"/>
      <c r="D351" s="58"/>
      <c r="E351" s="58"/>
      <c r="F351" s="58"/>
      <c r="G351" s="58"/>
      <c r="H351" s="58"/>
      <c r="I351" s="58"/>
      <c r="J351" s="58"/>
      <c r="K351" s="58"/>
      <c r="L351" s="58"/>
      <c r="M351" s="58"/>
      <c r="N351" s="58"/>
      <c r="O351" s="58"/>
      <c r="P351" s="58"/>
      <c r="Q351" s="58"/>
      <c r="R351" s="58"/>
      <c r="S351" s="58"/>
      <c r="T351" s="58"/>
      <c r="U351" s="58"/>
    </row>
    <row r="352" spans="2:21" x14ac:dyDescent="0.15">
      <c r="B352" s="58"/>
      <c r="C352" s="58"/>
      <c r="D352" s="58"/>
      <c r="E352" s="58"/>
      <c r="F352" s="58"/>
      <c r="G352" s="58"/>
      <c r="H352" s="58"/>
      <c r="I352" s="58"/>
      <c r="J352" s="58"/>
      <c r="K352" s="58"/>
      <c r="L352" s="58"/>
      <c r="M352" s="58"/>
      <c r="N352" s="58"/>
      <c r="O352" s="58"/>
      <c r="P352" s="58"/>
      <c r="Q352" s="58"/>
      <c r="R352" s="58"/>
      <c r="S352" s="58"/>
      <c r="T352" s="58"/>
      <c r="U352" s="58"/>
    </row>
    <row r="353" spans="2:21" x14ac:dyDescent="0.15">
      <c r="B353" s="58"/>
      <c r="C353" s="58"/>
      <c r="D353" s="58"/>
      <c r="E353" s="58"/>
      <c r="F353" s="58"/>
      <c r="G353" s="58"/>
      <c r="H353" s="58"/>
      <c r="I353" s="58"/>
      <c r="J353" s="58"/>
      <c r="K353" s="58"/>
      <c r="L353" s="58"/>
      <c r="M353" s="58"/>
      <c r="N353" s="58"/>
      <c r="O353" s="58"/>
      <c r="P353" s="58"/>
      <c r="Q353" s="58"/>
      <c r="R353" s="58"/>
      <c r="S353" s="58"/>
      <c r="T353" s="58"/>
      <c r="U353" s="58"/>
    </row>
    <row r="354" spans="2:21" x14ac:dyDescent="0.15">
      <c r="B354" s="58"/>
      <c r="C354" s="58"/>
      <c r="D354" s="58"/>
      <c r="E354" s="58"/>
      <c r="F354" s="58"/>
      <c r="G354" s="58"/>
      <c r="H354" s="58"/>
      <c r="I354" s="58"/>
      <c r="J354" s="58"/>
      <c r="K354" s="58"/>
      <c r="L354" s="58"/>
      <c r="M354" s="58"/>
      <c r="N354" s="58"/>
      <c r="O354" s="58"/>
      <c r="P354" s="58"/>
      <c r="Q354" s="58"/>
      <c r="R354" s="58"/>
      <c r="S354" s="58"/>
      <c r="T354" s="58"/>
      <c r="U354" s="58"/>
    </row>
    <row r="355" spans="2:21" x14ac:dyDescent="0.15">
      <c r="B355" s="58"/>
      <c r="C355" s="58"/>
      <c r="D355" s="58"/>
      <c r="E355" s="58"/>
      <c r="F355" s="58"/>
      <c r="G355" s="58"/>
      <c r="H355" s="58"/>
      <c r="I355" s="58"/>
      <c r="J355" s="58"/>
      <c r="K355" s="58"/>
      <c r="L355" s="58"/>
      <c r="M355" s="58"/>
      <c r="N355" s="58"/>
      <c r="O355" s="58"/>
      <c r="P355" s="58"/>
      <c r="Q355" s="58"/>
      <c r="R355" s="58"/>
      <c r="S355" s="58"/>
      <c r="T355" s="58"/>
      <c r="U355" s="58"/>
    </row>
    <row r="356" spans="2:21" x14ac:dyDescent="0.15">
      <c r="B356" s="58"/>
      <c r="C356" s="58"/>
      <c r="D356" s="58"/>
      <c r="E356" s="58"/>
      <c r="F356" s="58"/>
      <c r="G356" s="58"/>
      <c r="H356" s="58"/>
      <c r="I356" s="58"/>
      <c r="J356" s="58"/>
      <c r="K356" s="58"/>
      <c r="L356" s="58"/>
      <c r="M356" s="58"/>
      <c r="N356" s="58"/>
      <c r="O356" s="58"/>
      <c r="P356" s="58"/>
      <c r="Q356" s="58"/>
      <c r="R356" s="58"/>
      <c r="S356" s="58"/>
      <c r="T356" s="58"/>
      <c r="U356" s="58"/>
    </row>
    <row r="357" spans="2:21" x14ac:dyDescent="0.15">
      <c r="B357" s="58"/>
      <c r="C357" s="58"/>
      <c r="D357" s="58"/>
      <c r="E357" s="58"/>
      <c r="F357" s="58"/>
      <c r="G357" s="58"/>
      <c r="H357" s="58"/>
      <c r="I357" s="58"/>
      <c r="J357" s="58"/>
      <c r="K357" s="58"/>
      <c r="L357" s="58"/>
      <c r="M357" s="58"/>
      <c r="N357" s="58"/>
      <c r="O357" s="58"/>
      <c r="P357" s="58"/>
      <c r="Q357" s="58"/>
      <c r="R357" s="58"/>
      <c r="S357" s="58"/>
      <c r="T357" s="58"/>
      <c r="U357" s="58"/>
    </row>
    <row r="358" spans="2:21" x14ac:dyDescent="0.15">
      <c r="B358" s="58"/>
      <c r="C358" s="58"/>
      <c r="D358" s="58"/>
      <c r="E358" s="58"/>
      <c r="F358" s="58"/>
      <c r="G358" s="58"/>
      <c r="H358" s="58"/>
      <c r="I358" s="58"/>
      <c r="J358" s="58"/>
      <c r="K358" s="58"/>
      <c r="L358" s="58"/>
      <c r="M358" s="58"/>
      <c r="N358" s="58"/>
      <c r="O358" s="58"/>
      <c r="P358" s="58"/>
      <c r="Q358" s="58"/>
      <c r="R358" s="58"/>
      <c r="S358" s="58"/>
      <c r="T358" s="58"/>
      <c r="U358" s="58"/>
    </row>
    <row r="359" spans="2:21" x14ac:dyDescent="0.15">
      <c r="B359" s="58"/>
      <c r="C359" s="58"/>
      <c r="D359" s="58"/>
      <c r="E359" s="58"/>
      <c r="F359" s="58"/>
      <c r="G359" s="58"/>
      <c r="H359" s="58"/>
      <c r="I359" s="58"/>
      <c r="J359" s="58"/>
      <c r="K359" s="58"/>
      <c r="L359" s="58"/>
      <c r="M359" s="58"/>
      <c r="N359" s="58"/>
      <c r="O359" s="58"/>
      <c r="P359" s="58"/>
      <c r="Q359" s="58"/>
      <c r="R359" s="58"/>
      <c r="S359" s="58"/>
      <c r="T359" s="58"/>
      <c r="U359" s="58"/>
    </row>
    <row r="360" spans="2:21" x14ac:dyDescent="0.15">
      <c r="B360" s="58"/>
      <c r="C360" s="58"/>
      <c r="D360" s="58"/>
      <c r="E360" s="58"/>
      <c r="F360" s="58"/>
      <c r="G360" s="58"/>
      <c r="H360" s="58"/>
      <c r="I360" s="58"/>
      <c r="J360" s="58"/>
      <c r="K360" s="58"/>
      <c r="L360" s="58"/>
      <c r="M360" s="58"/>
      <c r="N360" s="58"/>
      <c r="O360" s="58"/>
      <c r="P360" s="58"/>
      <c r="Q360" s="58"/>
      <c r="R360" s="58"/>
      <c r="S360" s="58"/>
      <c r="T360" s="58"/>
      <c r="U360" s="58"/>
    </row>
    <row r="361" spans="2:21" x14ac:dyDescent="0.15">
      <c r="B361" s="58"/>
      <c r="C361" s="58"/>
      <c r="D361" s="58"/>
      <c r="E361" s="58"/>
      <c r="F361" s="58"/>
      <c r="G361" s="58"/>
      <c r="H361" s="58"/>
      <c r="I361" s="58"/>
      <c r="J361" s="58"/>
      <c r="K361" s="58"/>
      <c r="L361" s="58"/>
      <c r="M361" s="58"/>
      <c r="N361" s="58"/>
      <c r="O361" s="58"/>
      <c r="P361" s="58"/>
      <c r="Q361" s="58"/>
      <c r="R361" s="58"/>
      <c r="S361" s="58"/>
      <c r="T361" s="58"/>
      <c r="U361" s="58"/>
    </row>
    <row r="362" spans="2:21" x14ac:dyDescent="0.15">
      <c r="B362" s="58"/>
      <c r="C362" s="58"/>
      <c r="D362" s="58"/>
      <c r="E362" s="58"/>
      <c r="F362" s="58"/>
      <c r="G362" s="58"/>
      <c r="H362" s="58"/>
      <c r="I362" s="58"/>
      <c r="J362" s="58"/>
      <c r="K362" s="58"/>
      <c r="L362" s="58"/>
      <c r="M362" s="58"/>
      <c r="N362" s="58"/>
      <c r="O362" s="58"/>
      <c r="P362" s="58"/>
      <c r="Q362" s="58"/>
      <c r="R362" s="58"/>
      <c r="S362" s="58"/>
      <c r="T362" s="58"/>
      <c r="U362" s="58"/>
    </row>
    <row r="363" spans="2:21" x14ac:dyDescent="0.15">
      <c r="B363" s="58"/>
      <c r="C363" s="58"/>
      <c r="D363" s="58"/>
      <c r="E363" s="58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Q363" s="58"/>
      <c r="R363" s="58"/>
      <c r="S363" s="58"/>
      <c r="T363" s="58"/>
      <c r="U363" s="58"/>
    </row>
    <row r="364" spans="2:21" x14ac:dyDescent="0.15">
      <c r="B364" s="58"/>
      <c r="C364" s="58"/>
      <c r="D364" s="58"/>
      <c r="E364" s="58"/>
      <c r="F364" s="58"/>
      <c r="G364" s="58"/>
      <c r="H364" s="58"/>
      <c r="I364" s="58"/>
      <c r="J364" s="58"/>
      <c r="K364" s="58"/>
      <c r="L364" s="58"/>
      <c r="M364" s="58"/>
      <c r="N364" s="58"/>
      <c r="O364" s="58"/>
      <c r="P364" s="58"/>
      <c r="Q364" s="58"/>
      <c r="R364" s="58"/>
      <c r="S364" s="58"/>
      <c r="T364" s="58"/>
      <c r="U364" s="58"/>
    </row>
    <row r="365" spans="2:21" x14ac:dyDescent="0.15">
      <c r="B365" s="58"/>
      <c r="C365" s="58"/>
      <c r="D365" s="58"/>
      <c r="E365" s="58"/>
      <c r="F365" s="58"/>
      <c r="G365" s="58"/>
      <c r="H365" s="58"/>
      <c r="I365" s="58"/>
      <c r="J365" s="58"/>
      <c r="K365" s="58"/>
      <c r="L365" s="58"/>
      <c r="M365" s="58"/>
      <c r="N365" s="58"/>
      <c r="O365" s="58"/>
      <c r="P365" s="58"/>
      <c r="Q365" s="58"/>
      <c r="R365" s="58"/>
      <c r="S365" s="58"/>
      <c r="T365" s="58"/>
      <c r="U365" s="58"/>
    </row>
    <row r="366" spans="2:21" x14ac:dyDescent="0.15">
      <c r="B366" s="58"/>
      <c r="C366" s="58"/>
      <c r="D366" s="58"/>
      <c r="E366" s="58"/>
      <c r="F366" s="58"/>
      <c r="G366" s="58"/>
      <c r="H366" s="58"/>
      <c r="I366" s="58"/>
      <c r="J366" s="58"/>
      <c r="K366" s="58"/>
      <c r="L366" s="58"/>
      <c r="M366" s="58"/>
      <c r="N366" s="58"/>
      <c r="O366" s="58"/>
      <c r="P366" s="58"/>
      <c r="Q366" s="58"/>
      <c r="R366" s="58"/>
      <c r="S366" s="58"/>
      <c r="T366" s="58"/>
      <c r="U366" s="58"/>
    </row>
    <row r="367" spans="2:21" x14ac:dyDescent="0.15">
      <c r="B367" s="58"/>
      <c r="C367" s="58"/>
      <c r="D367" s="58"/>
      <c r="E367" s="58"/>
      <c r="F367" s="58"/>
      <c r="G367" s="58"/>
      <c r="H367" s="58"/>
      <c r="I367" s="58"/>
      <c r="J367" s="58"/>
      <c r="K367" s="58"/>
      <c r="L367" s="58"/>
      <c r="M367" s="58"/>
      <c r="N367" s="58"/>
      <c r="O367" s="58"/>
      <c r="P367" s="58"/>
      <c r="Q367" s="58"/>
      <c r="R367" s="58"/>
      <c r="S367" s="58"/>
      <c r="T367" s="58"/>
      <c r="U367" s="58"/>
    </row>
    <row r="368" spans="2:21" x14ac:dyDescent="0.15">
      <c r="B368" s="58"/>
      <c r="C368" s="58"/>
      <c r="D368" s="58"/>
      <c r="E368" s="58"/>
      <c r="F368" s="58"/>
      <c r="G368" s="58"/>
      <c r="H368" s="58"/>
      <c r="I368" s="58"/>
      <c r="J368" s="58"/>
      <c r="K368" s="58"/>
      <c r="L368" s="58"/>
      <c r="M368" s="58"/>
      <c r="N368" s="58"/>
      <c r="O368" s="58"/>
      <c r="P368" s="58"/>
      <c r="Q368" s="58"/>
      <c r="R368" s="58"/>
      <c r="S368" s="58"/>
      <c r="T368" s="58"/>
      <c r="U368" s="58"/>
    </row>
    <row r="369" spans="2:21" x14ac:dyDescent="0.15">
      <c r="B369" s="58"/>
      <c r="C369" s="58"/>
      <c r="D369" s="58"/>
      <c r="E369" s="58"/>
      <c r="F369" s="58"/>
      <c r="G369" s="58"/>
      <c r="H369" s="58"/>
      <c r="I369" s="58"/>
      <c r="J369" s="58"/>
      <c r="K369" s="58"/>
      <c r="L369" s="58"/>
      <c r="M369" s="58"/>
      <c r="N369" s="58"/>
      <c r="O369" s="58"/>
      <c r="P369" s="58"/>
      <c r="Q369" s="58"/>
      <c r="R369" s="58"/>
      <c r="S369" s="58"/>
      <c r="T369" s="58"/>
      <c r="U369" s="58"/>
    </row>
    <row r="370" spans="2:21" x14ac:dyDescent="0.15">
      <c r="B370" s="58"/>
      <c r="C370" s="58"/>
      <c r="D370" s="58"/>
      <c r="E370" s="58"/>
      <c r="F370" s="58"/>
      <c r="G370" s="58"/>
      <c r="H370" s="58"/>
      <c r="I370" s="58"/>
      <c r="J370" s="58"/>
      <c r="K370" s="58"/>
      <c r="L370" s="58"/>
      <c r="M370" s="58"/>
      <c r="N370" s="58"/>
      <c r="O370" s="58"/>
      <c r="P370" s="58"/>
      <c r="Q370" s="58"/>
      <c r="R370" s="58"/>
      <c r="S370" s="58"/>
      <c r="T370" s="58"/>
      <c r="U370" s="58"/>
    </row>
    <row r="371" spans="2:21" x14ac:dyDescent="0.15">
      <c r="B371" s="58"/>
      <c r="C371" s="58"/>
      <c r="D371" s="58"/>
      <c r="E371" s="58"/>
      <c r="F371" s="58"/>
      <c r="G371" s="58"/>
      <c r="H371" s="58"/>
      <c r="I371" s="58"/>
      <c r="J371" s="58"/>
      <c r="K371" s="58"/>
      <c r="L371" s="58"/>
      <c r="M371" s="58"/>
      <c r="N371" s="58"/>
      <c r="O371" s="58"/>
      <c r="P371" s="58"/>
      <c r="Q371" s="58"/>
      <c r="R371" s="58"/>
      <c r="S371" s="58"/>
      <c r="T371" s="58"/>
      <c r="U371" s="58"/>
    </row>
    <row r="372" spans="2:21" x14ac:dyDescent="0.15">
      <c r="B372" s="58"/>
      <c r="C372" s="58"/>
      <c r="D372" s="58"/>
      <c r="E372" s="58"/>
      <c r="F372" s="58"/>
      <c r="G372" s="58"/>
      <c r="H372" s="58"/>
      <c r="I372" s="58"/>
      <c r="J372" s="58"/>
      <c r="K372" s="58"/>
      <c r="L372" s="58"/>
      <c r="M372" s="58"/>
      <c r="N372" s="58"/>
      <c r="O372" s="58"/>
      <c r="P372" s="58"/>
      <c r="Q372" s="58"/>
      <c r="R372" s="58"/>
      <c r="S372" s="58"/>
      <c r="T372" s="58"/>
      <c r="U372" s="58"/>
    </row>
    <row r="373" spans="2:21" x14ac:dyDescent="0.15">
      <c r="B373" s="58"/>
      <c r="C373" s="58"/>
      <c r="D373" s="58"/>
      <c r="E373" s="58"/>
      <c r="F373" s="58"/>
      <c r="G373" s="58"/>
      <c r="H373" s="58"/>
      <c r="I373" s="58"/>
      <c r="J373" s="58"/>
      <c r="K373" s="58"/>
      <c r="L373" s="58"/>
      <c r="M373" s="58"/>
      <c r="N373" s="58"/>
      <c r="O373" s="58"/>
      <c r="P373" s="58"/>
      <c r="Q373" s="58"/>
      <c r="R373" s="58"/>
      <c r="S373" s="58"/>
      <c r="T373" s="58"/>
      <c r="U373" s="58"/>
    </row>
    <row r="374" spans="2:21" x14ac:dyDescent="0.15">
      <c r="B374" s="58"/>
      <c r="C374" s="58"/>
      <c r="D374" s="58"/>
      <c r="E374" s="58"/>
      <c r="F374" s="58"/>
      <c r="G374" s="58"/>
      <c r="H374" s="58"/>
      <c r="I374" s="58"/>
      <c r="J374" s="58"/>
      <c r="K374" s="58"/>
      <c r="L374" s="58"/>
      <c r="M374" s="58"/>
      <c r="N374" s="58"/>
      <c r="O374" s="58"/>
      <c r="P374" s="58"/>
      <c r="Q374" s="58"/>
      <c r="R374" s="58"/>
      <c r="S374" s="58"/>
      <c r="T374" s="58"/>
      <c r="U374" s="58"/>
    </row>
    <row r="375" spans="2:21" x14ac:dyDescent="0.15">
      <c r="B375" s="58"/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</row>
    <row r="376" spans="2:21" x14ac:dyDescent="0.15">
      <c r="B376" s="58"/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</row>
    <row r="377" spans="2:21" x14ac:dyDescent="0.15">
      <c r="B377" s="58"/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</row>
    <row r="378" spans="2:21" x14ac:dyDescent="0.15">
      <c r="B378" s="58"/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</row>
    <row r="379" spans="2:21" x14ac:dyDescent="0.15">
      <c r="B379" s="58"/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</row>
    <row r="380" spans="2:21" x14ac:dyDescent="0.15">
      <c r="B380" s="58"/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</row>
    <row r="381" spans="2:21" x14ac:dyDescent="0.15">
      <c r="B381" s="58"/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</row>
    <row r="382" spans="2:21" x14ac:dyDescent="0.15">
      <c r="B382" s="58"/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</row>
    <row r="383" spans="2:21" x14ac:dyDescent="0.15">
      <c r="B383" s="58"/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</row>
    <row r="384" spans="2:21" x14ac:dyDescent="0.15">
      <c r="B384" s="58"/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</row>
    <row r="385" spans="2:21" x14ac:dyDescent="0.15">
      <c r="B385" s="58"/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</row>
    <row r="386" spans="2:21" x14ac:dyDescent="0.15">
      <c r="B386" s="58"/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Q386" s="58"/>
      <c r="R386" s="58"/>
      <c r="S386" s="58"/>
      <c r="T386" s="58"/>
      <c r="U386" s="58"/>
    </row>
    <row r="387" spans="2:21" x14ac:dyDescent="0.15">
      <c r="B387" s="58"/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</row>
    <row r="388" spans="2:21" x14ac:dyDescent="0.15">
      <c r="B388" s="58"/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</row>
    <row r="389" spans="2:21" x14ac:dyDescent="0.15">
      <c r="B389" s="58"/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</row>
    <row r="390" spans="2:21" x14ac:dyDescent="0.15">
      <c r="B390" s="58"/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</row>
    <row r="391" spans="2:21" x14ac:dyDescent="0.15">
      <c r="B391" s="58"/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</row>
    <row r="392" spans="2:21" x14ac:dyDescent="0.15">
      <c r="B392" s="58"/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</row>
    <row r="393" spans="2:21" x14ac:dyDescent="0.15">
      <c r="B393" s="58"/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  <c r="N393" s="58"/>
      <c r="O393" s="58"/>
      <c r="P393" s="58"/>
      <c r="Q393" s="58"/>
      <c r="R393" s="58"/>
      <c r="S393" s="58"/>
      <c r="T393" s="58"/>
      <c r="U393" s="58"/>
    </row>
    <row r="394" spans="2:21" x14ac:dyDescent="0.15">
      <c r="B394" s="58"/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</row>
    <row r="395" spans="2:21" x14ac:dyDescent="0.15">
      <c r="B395" s="58"/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</row>
    <row r="396" spans="2:21" x14ac:dyDescent="0.15">
      <c r="B396" s="58"/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  <c r="N396" s="58"/>
      <c r="O396" s="58"/>
      <c r="P396" s="58"/>
      <c r="Q396" s="58"/>
      <c r="R396" s="58"/>
      <c r="S396" s="58"/>
      <c r="T396" s="58"/>
      <c r="U396" s="58"/>
    </row>
    <row r="397" spans="2:21" x14ac:dyDescent="0.15">
      <c r="B397" s="58"/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</row>
    <row r="398" spans="2:21" x14ac:dyDescent="0.15">
      <c r="B398" s="58"/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</row>
    <row r="399" spans="2:21" x14ac:dyDescent="0.15">
      <c r="B399" s="58"/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</row>
    <row r="400" spans="2:21" x14ac:dyDescent="0.15">
      <c r="B400" s="58"/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</row>
    <row r="401" spans="2:21" x14ac:dyDescent="0.15">
      <c r="B401" s="58"/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</row>
    <row r="402" spans="2:21" x14ac:dyDescent="0.15">
      <c r="B402" s="58"/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</row>
    <row r="403" spans="2:21" x14ac:dyDescent="0.15">
      <c r="B403" s="58"/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</row>
    <row r="404" spans="2:21" x14ac:dyDescent="0.15">
      <c r="B404" s="58"/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</row>
    <row r="405" spans="2:21" x14ac:dyDescent="0.15">
      <c r="B405" s="58"/>
      <c r="C405" s="58"/>
      <c r="D405" s="58"/>
      <c r="E405" s="58"/>
      <c r="F405" s="58"/>
      <c r="G405" s="58"/>
      <c r="H405" s="58"/>
      <c r="I405" s="58"/>
      <c r="J405" s="58"/>
      <c r="K405" s="58"/>
      <c r="L405" s="58"/>
      <c r="M405" s="58"/>
      <c r="N405" s="58"/>
      <c r="O405" s="58"/>
      <c r="P405" s="58"/>
      <c r="Q405" s="58"/>
      <c r="R405" s="58"/>
      <c r="S405" s="58"/>
      <c r="T405" s="58"/>
      <c r="U405" s="58"/>
    </row>
    <row r="406" spans="2:21" x14ac:dyDescent="0.15">
      <c r="B406" s="58"/>
      <c r="C406" s="58"/>
      <c r="D406" s="58"/>
      <c r="E406" s="58"/>
      <c r="F406" s="58"/>
      <c r="G406" s="58"/>
      <c r="H406" s="58"/>
      <c r="I406" s="58"/>
      <c r="J406" s="58"/>
      <c r="K406" s="58"/>
      <c r="L406" s="58"/>
      <c r="M406" s="58"/>
      <c r="N406" s="58"/>
      <c r="O406" s="58"/>
      <c r="P406" s="58"/>
      <c r="Q406" s="58"/>
      <c r="R406" s="58"/>
      <c r="S406" s="58"/>
      <c r="T406" s="58"/>
      <c r="U406" s="58"/>
    </row>
    <row r="407" spans="2:21" x14ac:dyDescent="0.15">
      <c r="B407" s="58"/>
      <c r="C407" s="58"/>
      <c r="D407" s="58"/>
      <c r="E407" s="58"/>
      <c r="F407" s="58"/>
      <c r="G407" s="58"/>
      <c r="H407" s="58"/>
      <c r="I407" s="58"/>
      <c r="J407" s="58"/>
      <c r="K407" s="58"/>
      <c r="L407" s="58"/>
      <c r="M407" s="58"/>
      <c r="N407" s="58"/>
      <c r="O407" s="58"/>
      <c r="P407" s="58"/>
      <c r="Q407" s="58"/>
      <c r="R407" s="58"/>
      <c r="S407" s="58"/>
      <c r="T407" s="58"/>
      <c r="U407" s="58"/>
    </row>
    <row r="408" spans="2:21" x14ac:dyDescent="0.15">
      <c r="B408" s="58"/>
      <c r="C408" s="58"/>
      <c r="D408" s="58"/>
      <c r="E408" s="58"/>
      <c r="F408" s="58"/>
      <c r="G408" s="58"/>
      <c r="H408" s="58"/>
      <c r="I408" s="58"/>
      <c r="J408" s="58"/>
      <c r="K408" s="58"/>
      <c r="L408" s="58"/>
      <c r="M408" s="58"/>
      <c r="N408" s="58"/>
      <c r="O408" s="58"/>
      <c r="P408" s="58"/>
      <c r="Q408" s="58"/>
      <c r="R408" s="58"/>
      <c r="S408" s="58"/>
      <c r="T408" s="58"/>
      <c r="U408" s="58"/>
    </row>
    <row r="409" spans="2:21" x14ac:dyDescent="0.15">
      <c r="B409" s="58"/>
      <c r="C409" s="58"/>
      <c r="D409" s="58"/>
      <c r="E409" s="58"/>
      <c r="F409" s="58"/>
      <c r="G409" s="58"/>
      <c r="H409" s="58"/>
      <c r="I409" s="58"/>
      <c r="J409" s="58"/>
      <c r="K409" s="58"/>
      <c r="L409" s="58"/>
      <c r="M409" s="58"/>
      <c r="N409" s="58"/>
      <c r="O409" s="58"/>
      <c r="P409" s="58"/>
      <c r="Q409" s="58"/>
      <c r="R409" s="58"/>
      <c r="S409" s="58"/>
      <c r="T409" s="58"/>
      <c r="U409" s="58"/>
    </row>
    <row r="410" spans="2:21" x14ac:dyDescent="0.15">
      <c r="B410" s="58"/>
      <c r="C410" s="58"/>
      <c r="D410" s="58"/>
      <c r="E410" s="58"/>
      <c r="F410" s="58"/>
      <c r="G410" s="58"/>
      <c r="H410" s="58"/>
      <c r="I410" s="58"/>
      <c r="J410" s="58"/>
      <c r="K410" s="58"/>
      <c r="L410" s="58"/>
      <c r="M410" s="58"/>
      <c r="N410" s="58"/>
      <c r="O410" s="58"/>
      <c r="P410" s="58"/>
      <c r="Q410" s="58"/>
      <c r="R410" s="58"/>
      <c r="S410" s="58"/>
      <c r="T410" s="58"/>
      <c r="U410" s="58"/>
    </row>
    <row r="411" spans="2:21" x14ac:dyDescent="0.15">
      <c r="B411" s="58"/>
      <c r="C411" s="58"/>
      <c r="D411" s="58"/>
      <c r="E411" s="58"/>
      <c r="F411" s="58"/>
      <c r="G411" s="58"/>
      <c r="H411" s="58"/>
      <c r="I411" s="58"/>
      <c r="J411" s="58"/>
      <c r="K411" s="58"/>
      <c r="L411" s="58"/>
      <c r="M411" s="58"/>
      <c r="N411" s="58"/>
      <c r="O411" s="58"/>
      <c r="P411" s="58"/>
      <c r="Q411" s="58"/>
      <c r="R411" s="58"/>
      <c r="S411" s="58"/>
      <c r="T411" s="58"/>
      <c r="U411" s="58"/>
    </row>
    <row r="412" spans="2:21" x14ac:dyDescent="0.15">
      <c r="B412" s="58"/>
      <c r="C412" s="58"/>
      <c r="D412" s="58"/>
      <c r="E412" s="58"/>
      <c r="F412" s="58"/>
      <c r="G412" s="58"/>
      <c r="H412" s="58"/>
      <c r="I412" s="58"/>
      <c r="J412" s="58"/>
      <c r="K412" s="58"/>
      <c r="L412" s="58"/>
      <c r="M412" s="58"/>
      <c r="N412" s="58"/>
      <c r="O412" s="58"/>
      <c r="P412" s="58"/>
      <c r="Q412" s="58"/>
      <c r="R412" s="58"/>
      <c r="S412" s="58"/>
      <c r="T412" s="58"/>
      <c r="U412" s="58"/>
    </row>
    <row r="413" spans="2:21" x14ac:dyDescent="0.15">
      <c r="B413" s="58"/>
      <c r="C413" s="58"/>
      <c r="D413" s="58"/>
      <c r="E413" s="58"/>
      <c r="F413" s="58"/>
      <c r="G413" s="58"/>
      <c r="H413" s="58"/>
      <c r="I413" s="58"/>
      <c r="J413" s="58"/>
      <c r="K413" s="58"/>
      <c r="L413" s="58"/>
      <c r="M413" s="58"/>
      <c r="N413" s="58"/>
      <c r="O413" s="58"/>
      <c r="P413" s="58"/>
      <c r="Q413" s="58"/>
      <c r="R413" s="58"/>
      <c r="S413" s="58"/>
      <c r="T413" s="58"/>
      <c r="U413" s="58"/>
    </row>
    <row r="414" spans="2:21" x14ac:dyDescent="0.15">
      <c r="B414" s="58"/>
      <c r="C414" s="58"/>
      <c r="D414" s="58"/>
      <c r="E414" s="58"/>
      <c r="F414" s="58"/>
      <c r="G414" s="58"/>
      <c r="H414" s="58"/>
      <c r="I414" s="58"/>
      <c r="J414" s="58"/>
      <c r="K414" s="58"/>
      <c r="L414" s="58"/>
      <c r="M414" s="58"/>
      <c r="N414" s="58"/>
      <c r="O414" s="58"/>
      <c r="P414" s="58"/>
      <c r="Q414" s="58"/>
      <c r="R414" s="58"/>
      <c r="S414" s="58"/>
      <c r="T414" s="58"/>
      <c r="U414" s="58"/>
    </row>
    <row r="415" spans="2:21" x14ac:dyDescent="0.15">
      <c r="B415" s="58"/>
      <c r="C415" s="58"/>
      <c r="D415" s="58"/>
      <c r="E415" s="58"/>
      <c r="F415" s="58"/>
      <c r="G415" s="58"/>
      <c r="H415" s="58"/>
      <c r="I415" s="58"/>
      <c r="J415" s="58"/>
      <c r="K415" s="58"/>
      <c r="L415" s="58"/>
      <c r="M415" s="58"/>
      <c r="N415" s="58"/>
      <c r="O415" s="58"/>
      <c r="P415" s="58"/>
      <c r="Q415" s="58"/>
      <c r="R415" s="58"/>
      <c r="S415" s="58"/>
      <c r="T415" s="58"/>
      <c r="U415" s="58"/>
    </row>
    <row r="416" spans="2:21" x14ac:dyDescent="0.15">
      <c r="B416" s="58"/>
      <c r="C416" s="58"/>
      <c r="D416" s="58"/>
      <c r="E416" s="58"/>
      <c r="F416" s="58"/>
      <c r="G416" s="58"/>
      <c r="H416" s="58"/>
      <c r="I416" s="58"/>
      <c r="J416" s="58"/>
      <c r="K416" s="58"/>
      <c r="L416" s="58"/>
      <c r="M416" s="58"/>
      <c r="N416" s="58"/>
      <c r="O416" s="58"/>
      <c r="P416" s="58"/>
      <c r="Q416" s="58"/>
      <c r="R416" s="58"/>
      <c r="S416" s="58"/>
      <c r="T416" s="58"/>
      <c r="U416" s="58"/>
    </row>
    <row r="417" spans="2:21" x14ac:dyDescent="0.15">
      <c r="B417" s="58"/>
      <c r="C417" s="58"/>
      <c r="D417" s="58"/>
      <c r="E417" s="58"/>
      <c r="F417" s="58"/>
      <c r="G417" s="58"/>
      <c r="H417" s="58"/>
      <c r="I417" s="58"/>
      <c r="J417" s="58"/>
      <c r="K417" s="58"/>
      <c r="L417" s="58"/>
      <c r="M417" s="58"/>
      <c r="N417" s="58"/>
      <c r="O417" s="58"/>
      <c r="P417" s="58"/>
      <c r="Q417" s="58"/>
      <c r="R417" s="58"/>
      <c r="S417" s="58"/>
      <c r="T417" s="58"/>
      <c r="U417" s="58"/>
    </row>
    <row r="418" spans="2:21" x14ac:dyDescent="0.15">
      <c r="B418" s="58"/>
      <c r="C418" s="58"/>
      <c r="D418" s="58"/>
      <c r="E418" s="58"/>
      <c r="F418" s="58"/>
      <c r="G418" s="58"/>
      <c r="H418" s="58"/>
      <c r="I418" s="58"/>
      <c r="J418" s="58"/>
      <c r="K418" s="58"/>
      <c r="L418" s="58"/>
      <c r="M418" s="58"/>
      <c r="N418" s="58"/>
      <c r="O418" s="58"/>
      <c r="P418" s="58"/>
      <c r="Q418" s="58"/>
      <c r="R418" s="58"/>
      <c r="S418" s="58"/>
      <c r="T418" s="58"/>
      <c r="U418" s="58"/>
    </row>
    <row r="419" spans="2:21" x14ac:dyDescent="0.15">
      <c r="B419" s="58"/>
      <c r="C419" s="58"/>
      <c r="D419" s="58"/>
      <c r="E419" s="58"/>
      <c r="F419" s="58"/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  <c r="S419" s="58"/>
      <c r="T419" s="58"/>
      <c r="U419" s="58"/>
    </row>
    <row r="420" spans="2:21" x14ac:dyDescent="0.15">
      <c r="B420" s="58"/>
      <c r="C420" s="58"/>
      <c r="D420" s="58"/>
      <c r="E420" s="58"/>
      <c r="F420" s="58"/>
      <c r="G420" s="58"/>
      <c r="H420" s="58"/>
      <c r="I420" s="58"/>
      <c r="J420" s="58"/>
      <c r="K420" s="58"/>
      <c r="L420" s="58"/>
      <c r="M420" s="58"/>
      <c r="N420" s="58"/>
      <c r="O420" s="58"/>
      <c r="P420" s="58"/>
      <c r="Q420" s="58"/>
      <c r="R420" s="58"/>
      <c r="S420" s="58"/>
      <c r="T420" s="58"/>
      <c r="U420" s="58"/>
    </row>
    <row r="421" spans="2:21" x14ac:dyDescent="0.15">
      <c r="B421" s="58"/>
      <c r="C421" s="58"/>
      <c r="D421" s="58"/>
      <c r="E421" s="58"/>
      <c r="F421" s="58"/>
      <c r="G421" s="58"/>
      <c r="H421" s="58"/>
      <c r="I421" s="58"/>
      <c r="J421" s="58"/>
      <c r="K421" s="58"/>
      <c r="L421" s="58"/>
      <c r="M421" s="58"/>
      <c r="N421" s="58"/>
      <c r="O421" s="58"/>
      <c r="P421" s="58"/>
      <c r="Q421" s="58"/>
      <c r="R421" s="58"/>
      <c r="S421" s="58"/>
      <c r="T421" s="58"/>
      <c r="U421" s="58"/>
    </row>
    <row r="422" spans="2:21" x14ac:dyDescent="0.15">
      <c r="B422" s="58"/>
      <c r="C422" s="58"/>
      <c r="D422" s="58"/>
      <c r="E422" s="58"/>
      <c r="F422" s="58"/>
      <c r="G422" s="58"/>
      <c r="H422" s="58"/>
      <c r="I422" s="58"/>
      <c r="J422" s="58"/>
      <c r="K422" s="58"/>
      <c r="L422" s="58"/>
      <c r="M422" s="58"/>
      <c r="N422" s="58"/>
      <c r="O422" s="58"/>
      <c r="P422" s="58"/>
      <c r="Q422" s="58"/>
      <c r="R422" s="58"/>
      <c r="S422" s="58"/>
      <c r="T422" s="58"/>
      <c r="U422" s="58"/>
    </row>
    <row r="423" spans="2:21" x14ac:dyDescent="0.15">
      <c r="B423" s="58"/>
      <c r="C423" s="58"/>
      <c r="D423" s="58"/>
      <c r="E423" s="58"/>
      <c r="F423" s="58"/>
      <c r="G423" s="58"/>
      <c r="H423" s="58"/>
      <c r="I423" s="58"/>
      <c r="J423" s="58"/>
      <c r="K423" s="58"/>
      <c r="L423" s="58"/>
      <c r="M423" s="58"/>
      <c r="N423" s="58"/>
      <c r="O423" s="58"/>
      <c r="P423" s="58"/>
      <c r="Q423" s="58"/>
      <c r="R423" s="58"/>
      <c r="S423" s="58"/>
      <c r="T423" s="58"/>
      <c r="U423" s="58"/>
    </row>
    <row r="424" spans="2:21" x14ac:dyDescent="0.15">
      <c r="B424" s="58"/>
      <c r="C424" s="58"/>
      <c r="D424" s="58"/>
      <c r="E424" s="58"/>
      <c r="F424" s="58"/>
      <c r="G424" s="58"/>
      <c r="H424" s="58"/>
      <c r="I424" s="58"/>
      <c r="J424" s="58"/>
      <c r="K424" s="58"/>
      <c r="L424" s="58"/>
      <c r="M424" s="58"/>
      <c r="N424" s="58"/>
      <c r="O424" s="58"/>
      <c r="P424" s="58"/>
      <c r="Q424" s="58"/>
      <c r="R424" s="58"/>
      <c r="S424" s="58"/>
      <c r="T424" s="58"/>
      <c r="U424" s="58"/>
    </row>
    <row r="425" spans="2:21" x14ac:dyDescent="0.15">
      <c r="B425" s="58"/>
      <c r="C425" s="58"/>
      <c r="D425" s="58"/>
      <c r="E425" s="58"/>
      <c r="F425" s="58"/>
      <c r="G425" s="58"/>
      <c r="H425" s="58"/>
      <c r="I425" s="58"/>
      <c r="J425" s="58"/>
      <c r="K425" s="58"/>
      <c r="L425" s="58"/>
      <c r="M425" s="58"/>
      <c r="N425" s="58"/>
      <c r="O425" s="58"/>
      <c r="P425" s="58"/>
      <c r="Q425" s="58"/>
      <c r="R425" s="58"/>
      <c r="S425" s="58"/>
      <c r="T425" s="58"/>
      <c r="U425" s="58"/>
    </row>
    <row r="426" spans="2:21" x14ac:dyDescent="0.15">
      <c r="B426" s="58"/>
      <c r="C426" s="58"/>
      <c r="D426" s="58"/>
      <c r="E426" s="58"/>
      <c r="F426" s="58"/>
      <c r="G426" s="58"/>
      <c r="H426" s="58"/>
      <c r="I426" s="58"/>
      <c r="J426" s="58"/>
      <c r="K426" s="58"/>
      <c r="L426" s="58"/>
      <c r="M426" s="58"/>
      <c r="N426" s="58"/>
      <c r="O426" s="58"/>
      <c r="P426" s="58"/>
      <c r="Q426" s="58"/>
      <c r="R426" s="58"/>
      <c r="S426" s="58"/>
      <c r="T426" s="58"/>
      <c r="U426" s="58"/>
    </row>
    <row r="427" spans="2:21" x14ac:dyDescent="0.15">
      <c r="B427" s="58"/>
      <c r="C427" s="58"/>
      <c r="D427" s="58"/>
      <c r="E427" s="58"/>
      <c r="F427" s="58"/>
      <c r="G427" s="58"/>
      <c r="H427" s="58"/>
      <c r="I427" s="58"/>
      <c r="J427" s="58"/>
      <c r="K427" s="58"/>
      <c r="L427" s="58"/>
      <c r="M427" s="58"/>
      <c r="N427" s="58"/>
      <c r="O427" s="58"/>
      <c r="P427" s="58"/>
      <c r="Q427" s="58"/>
      <c r="R427" s="58"/>
      <c r="S427" s="58"/>
      <c r="T427" s="58"/>
      <c r="U427" s="58"/>
    </row>
    <row r="428" spans="2:21" x14ac:dyDescent="0.15">
      <c r="B428" s="58"/>
      <c r="C428" s="58"/>
      <c r="D428" s="58"/>
      <c r="E428" s="58"/>
      <c r="F428" s="58"/>
      <c r="G428" s="58"/>
      <c r="H428" s="58"/>
      <c r="I428" s="58"/>
      <c r="J428" s="58"/>
      <c r="K428" s="58"/>
      <c r="L428" s="58"/>
      <c r="M428" s="58"/>
      <c r="N428" s="58"/>
      <c r="O428" s="58"/>
      <c r="P428" s="58"/>
      <c r="Q428" s="58"/>
      <c r="R428" s="58"/>
      <c r="S428" s="58"/>
      <c r="T428" s="58"/>
      <c r="U428" s="58"/>
    </row>
    <row r="429" spans="2:21" x14ac:dyDescent="0.15">
      <c r="B429" s="58"/>
      <c r="C429" s="58"/>
      <c r="D429" s="58"/>
      <c r="E429" s="58"/>
      <c r="F429" s="58"/>
      <c r="G429" s="58"/>
      <c r="H429" s="58"/>
      <c r="I429" s="58"/>
      <c r="J429" s="58"/>
      <c r="K429" s="58"/>
      <c r="L429" s="58"/>
      <c r="M429" s="58"/>
      <c r="N429" s="58"/>
      <c r="O429" s="58"/>
      <c r="P429" s="58"/>
      <c r="Q429" s="58"/>
      <c r="R429" s="58"/>
      <c r="S429" s="58"/>
      <c r="T429" s="58"/>
      <c r="U429" s="58"/>
    </row>
    <row r="430" spans="2:21" x14ac:dyDescent="0.15">
      <c r="B430" s="58"/>
      <c r="C430" s="58"/>
      <c r="D430" s="58"/>
      <c r="E430" s="58"/>
      <c r="F430" s="58"/>
      <c r="G430" s="58"/>
      <c r="H430" s="58"/>
      <c r="I430" s="58"/>
      <c r="J430" s="58"/>
      <c r="K430" s="58"/>
      <c r="L430" s="58"/>
      <c r="M430" s="58"/>
      <c r="N430" s="58"/>
      <c r="O430" s="58"/>
      <c r="P430" s="58"/>
      <c r="Q430" s="58"/>
      <c r="R430" s="58"/>
      <c r="S430" s="58"/>
      <c r="T430" s="58"/>
      <c r="U430" s="58"/>
    </row>
    <row r="431" spans="2:21" x14ac:dyDescent="0.15">
      <c r="B431" s="58"/>
      <c r="C431" s="58"/>
      <c r="D431" s="58"/>
      <c r="E431" s="58"/>
      <c r="F431" s="58"/>
      <c r="G431" s="58"/>
      <c r="H431" s="58"/>
      <c r="I431" s="58"/>
      <c r="J431" s="58"/>
      <c r="K431" s="58"/>
      <c r="L431" s="58"/>
      <c r="M431" s="58"/>
      <c r="N431" s="58"/>
      <c r="O431" s="58"/>
      <c r="P431" s="58"/>
      <c r="Q431" s="58"/>
      <c r="R431" s="58"/>
      <c r="S431" s="58"/>
      <c r="T431" s="58"/>
      <c r="U431" s="58"/>
    </row>
    <row r="432" spans="2:21" x14ac:dyDescent="0.15">
      <c r="B432" s="58"/>
      <c r="C432" s="58"/>
      <c r="D432" s="58"/>
      <c r="E432" s="58"/>
      <c r="F432" s="58"/>
      <c r="G432" s="58"/>
      <c r="H432" s="58"/>
      <c r="I432" s="58"/>
      <c r="J432" s="58"/>
      <c r="K432" s="58"/>
      <c r="L432" s="58"/>
      <c r="M432" s="58"/>
      <c r="N432" s="58"/>
      <c r="O432" s="58"/>
      <c r="P432" s="58"/>
      <c r="Q432" s="58"/>
      <c r="R432" s="58"/>
      <c r="S432" s="58"/>
      <c r="T432" s="58"/>
      <c r="U432" s="58"/>
    </row>
    <row r="433" spans="2:21" x14ac:dyDescent="0.15">
      <c r="B433" s="58"/>
      <c r="C433" s="58"/>
      <c r="D433" s="58"/>
      <c r="E433" s="58"/>
      <c r="F433" s="58"/>
      <c r="G433" s="58"/>
      <c r="H433" s="58"/>
      <c r="I433" s="58"/>
      <c r="J433" s="58"/>
      <c r="K433" s="58"/>
      <c r="L433" s="58"/>
      <c r="M433" s="58"/>
      <c r="N433" s="58"/>
      <c r="O433" s="58"/>
      <c r="P433" s="58"/>
      <c r="Q433" s="58"/>
      <c r="R433" s="58"/>
      <c r="S433" s="58"/>
      <c r="T433" s="58"/>
      <c r="U433" s="58"/>
    </row>
    <row r="434" spans="2:21" x14ac:dyDescent="0.15">
      <c r="B434" s="58"/>
      <c r="C434" s="58"/>
      <c r="D434" s="58"/>
      <c r="E434" s="58"/>
      <c r="F434" s="58"/>
      <c r="G434" s="58"/>
      <c r="H434" s="58"/>
      <c r="I434" s="58"/>
      <c r="J434" s="58"/>
      <c r="K434" s="58"/>
      <c r="L434" s="58"/>
      <c r="M434" s="58"/>
      <c r="N434" s="58"/>
      <c r="O434" s="58"/>
      <c r="P434" s="58"/>
      <c r="Q434" s="58"/>
      <c r="R434" s="58"/>
      <c r="S434" s="58"/>
      <c r="T434" s="58"/>
      <c r="U434" s="58"/>
    </row>
    <row r="435" spans="2:21" x14ac:dyDescent="0.15">
      <c r="B435" s="58"/>
      <c r="C435" s="58"/>
      <c r="D435" s="58"/>
      <c r="E435" s="58"/>
      <c r="F435" s="58"/>
      <c r="G435" s="58"/>
      <c r="H435" s="58"/>
      <c r="I435" s="58"/>
      <c r="J435" s="58"/>
      <c r="K435" s="58"/>
      <c r="L435" s="58"/>
      <c r="M435" s="58"/>
      <c r="N435" s="58"/>
      <c r="O435" s="58"/>
      <c r="P435" s="58"/>
      <c r="Q435" s="58"/>
      <c r="R435" s="58"/>
      <c r="S435" s="58"/>
      <c r="T435" s="58"/>
      <c r="U435" s="58"/>
    </row>
    <row r="436" spans="2:21" x14ac:dyDescent="0.15">
      <c r="B436" s="58"/>
      <c r="C436" s="58"/>
      <c r="D436" s="58"/>
      <c r="E436" s="58"/>
      <c r="F436" s="58"/>
      <c r="G436" s="58"/>
      <c r="H436" s="58"/>
      <c r="I436" s="58"/>
      <c r="J436" s="58"/>
      <c r="K436" s="58"/>
      <c r="L436" s="58"/>
      <c r="M436" s="58"/>
      <c r="N436" s="58"/>
      <c r="O436" s="58"/>
      <c r="P436" s="58"/>
      <c r="Q436" s="58"/>
      <c r="R436" s="58"/>
      <c r="S436" s="58"/>
      <c r="T436" s="58"/>
      <c r="U436" s="58"/>
    </row>
    <row r="437" spans="2:21" x14ac:dyDescent="0.15">
      <c r="B437" s="58"/>
      <c r="C437" s="58"/>
      <c r="D437" s="58"/>
      <c r="E437" s="58"/>
      <c r="F437" s="58"/>
      <c r="G437" s="58"/>
      <c r="H437" s="58"/>
      <c r="I437" s="58"/>
      <c r="J437" s="58"/>
      <c r="K437" s="58"/>
      <c r="L437" s="58"/>
      <c r="M437" s="58"/>
      <c r="N437" s="58"/>
      <c r="O437" s="58"/>
      <c r="P437" s="58"/>
      <c r="Q437" s="58"/>
      <c r="R437" s="58"/>
      <c r="S437" s="58"/>
      <c r="T437" s="58"/>
      <c r="U437" s="58"/>
    </row>
    <row r="438" spans="2:21" x14ac:dyDescent="0.15">
      <c r="B438" s="58"/>
      <c r="C438" s="58"/>
      <c r="D438" s="58"/>
      <c r="E438" s="58"/>
      <c r="F438" s="58"/>
      <c r="G438" s="58"/>
      <c r="H438" s="58"/>
      <c r="I438" s="58"/>
      <c r="J438" s="58"/>
      <c r="K438" s="58"/>
      <c r="L438" s="58"/>
      <c r="M438" s="58"/>
      <c r="N438" s="58"/>
      <c r="O438" s="58"/>
      <c r="P438" s="58"/>
      <c r="Q438" s="58"/>
      <c r="R438" s="58"/>
      <c r="S438" s="58"/>
      <c r="T438" s="58"/>
      <c r="U438" s="58"/>
    </row>
    <row r="439" spans="2:21" x14ac:dyDescent="0.15">
      <c r="B439" s="58"/>
      <c r="C439" s="58"/>
      <c r="D439" s="58"/>
      <c r="E439" s="58"/>
      <c r="F439" s="58"/>
      <c r="G439" s="58"/>
      <c r="H439" s="58"/>
      <c r="I439" s="58"/>
      <c r="J439" s="58"/>
      <c r="K439" s="58"/>
      <c r="L439" s="58"/>
      <c r="M439" s="58"/>
      <c r="N439" s="58"/>
      <c r="O439" s="58"/>
      <c r="P439" s="58"/>
      <c r="Q439" s="58"/>
      <c r="R439" s="58"/>
      <c r="S439" s="58"/>
      <c r="T439" s="58"/>
      <c r="U439" s="58"/>
    </row>
    <row r="440" spans="2:21" x14ac:dyDescent="0.15">
      <c r="B440" s="58"/>
      <c r="C440" s="58"/>
      <c r="D440" s="58"/>
      <c r="E440" s="58"/>
      <c r="F440" s="58"/>
      <c r="G440" s="58"/>
      <c r="H440" s="58"/>
      <c r="I440" s="58"/>
      <c r="J440" s="58"/>
      <c r="K440" s="58"/>
      <c r="L440" s="58"/>
      <c r="M440" s="58"/>
      <c r="N440" s="58"/>
      <c r="O440" s="58"/>
      <c r="P440" s="58"/>
      <c r="Q440" s="58"/>
      <c r="R440" s="58"/>
      <c r="S440" s="58"/>
      <c r="T440" s="58"/>
      <c r="U440" s="58"/>
    </row>
    <row r="441" spans="2:21" x14ac:dyDescent="0.15">
      <c r="B441" s="58"/>
      <c r="C441" s="58"/>
      <c r="D441" s="58"/>
      <c r="E441" s="58"/>
      <c r="F441" s="58"/>
      <c r="G441" s="58"/>
      <c r="H441" s="58"/>
      <c r="I441" s="58"/>
      <c r="J441" s="58"/>
      <c r="K441" s="58"/>
      <c r="L441" s="58"/>
      <c r="M441" s="58"/>
      <c r="N441" s="58"/>
      <c r="O441" s="58"/>
      <c r="P441" s="58"/>
      <c r="Q441" s="58"/>
      <c r="R441" s="58"/>
      <c r="S441" s="58"/>
      <c r="T441" s="58"/>
      <c r="U441" s="58"/>
    </row>
    <row r="442" spans="2:21" x14ac:dyDescent="0.15">
      <c r="B442" s="58"/>
      <c r="C442" s="58"/>
      <c r="D442" s="58"/>
      <c r="E442" s="58"/>
      <c r="F442" s="58"/>
      <c r="G442" s="58"/>
      <c r="H442" s="58"/>
      <c r="I442" s="58"/>
      <c r="J442" s="58"/>
      <c r="K442" s="58"/>
      <c r="L442" s="58"/>
      <c r="M442" s="58"/>
      <c r="N442" s="58"/>
      <c r="O442" s="58"/>
      <c r="P442" s="58"/>
      <c r="Q442" s="58"/>
      <c r="R442" s="58"/>
      <c r="S442" s="58"/>
      <c r="T442" s="58"/>
      <c r="U442" s="58"/>
    </row>
    <row r="443" spans="2:21" x14ac:dyDescent="0.15">
      <c r="B443" s="58"/>
      <c r="C443" s="58"/>
      <c r="D443" s="58"/>
      <c r="E443" s="58"/>
      <c r="F443" s="58"/>
      <c r="G443" s="58"/>
      <c r="H443" s="58"/>
      <c r="I443" s="58"/>
      <c r="J443" s="58"/>
      <c r="K443" s="58"/>
      <c r="L443" s="58"/>
      <c r="M443" s="58"/>
      <c r="N443" s="58"/>
      <c r="O443" s="58"/>
      <c r="P443" s="58"/>
      <c r="Q443" s="58"/>
      <c r="R443" s="58"/>
      <c r="S443" s="58"/>
      <c r="T443" s="58"/>
      <c r="U443" s="58"/>
    </row>
    <row r="444" spans="2:21" x14ac:dyDescent="0.15">
      <c r="B444" s="58"/>
      <c r="C444" s="58"/>
      <c r="D444" s="58"/>
      <c r="E444" s="58"/>
      <c r="F444" s="58"/>
      <c r="G444" s="58"/>
      <c r="H444" s="58"/>
      <c r="I444" s="58"/>
      <c r="J444" s="58"/>
      <c r="K444" s="58"/>
      <c r="L444" s="58"/>
      <c r="M444" s="58"/>
      <c r="N444" s="58"/>
      <c r="O444" s="58"/>
      <c r="P444" s="58"/>
      <c r="Q444" s="58"/>
      <c r="R444" s="58"/>
      <c r="S444" s="58"/>
      <c r="T444" s="58"/>
      <c r="U444" s="58"/>
    </row>
    <row r="445" spans="2:21" x14ac:dyDescent="0.15">
      <c r="B445" s="58"/>
      <c r="C445" s="58"/>
      <c r="D445" s="58"/>
      <c r="E445" s="58"/>
      <c r="F445" s="58"/>
      <c r="G445" s="58"/>
      <c r="H445" s="58"/>
      <c r="I445" s="58"/>
      <c r="J445" s="58"/>
      <c r="K445" s="58"/>
      <c r="L445" s="58"/>
      <c r="M445" s="58"/>
      <c r="N445" s="58"/>
      <c r="O445" s="58"/>
      <c r="P445" s="58"/>
      <c r="Q445" s="58"/>
      <c r="R445" s="58"/>
      <c r="S445" s="58"/>
      <c r="T445" s="58"/>
      <c r="U445" s="58"/>
    </row>
    <row r="446" spans="2:21" x14ac:dyDescent="0.15">
      <c r="B446" s="58"/>
      <c r="C446" s="58"/>
      <c r="D446" s="58"/>
      <c r="E446" s="58"/>
      <c r="F446" s="58"/>
      <c r="G446" s="58"/>
      <c r="H446" s="58"/>
      <c r="I446" s="58"/>
      <c r="J446" s="58"/>
      <c r="K446" s="58"/>
      <c r="L446" s="58"/>
      <c r="M446" s="58"/>
      <c r="N446" s="58"/>
      <c r="O446" s="58"/>
      <c r="P446" s="58"/>
      <c r="Q446" s="58"/>
      <c r="R446" s="58"/>
      <c r="S446" s="58"/>
      <c r="T446" s="58"/>
      <c r="U446" s="58"/>
    </row>
    <row r="447" spans="2:21" x14ac:dyDescent="0.15">
      <c r="B447" s="58"/>
      <c r="C447" s="58"/>
      <c r="D447" s="58"/>
      <c r="E447" s="58"/>
      <c r="F447" s="58"/>
      <c r="G447" s="58"/>
      <c r="H447" s="58"/>
      <c r="I447" s="58"/>
      <c r="J447" s="58"/>
      <c r="K447" s="58"/>
      <c r="L447" s="58"/>
      <c r="M447" s="58"/>
      <c r="N447" s="58"/>
      <c r="O447" s="58"/>
      <c r="P447" s="58"/>
      <c r="Q447" s="58"/>
      <c r="R447" s="58"/>
      <c r="S447" s="58"/>
      <c r="T447" s="58"/>
      <c r="U447" s="58"/>
    </row>
    <row r="448" spans="2:21" x14ac:dyDescent="0.15">
      <c r="B448" s="58"/>
      <c r="C448" s="58"/>
      <c r="D448" s="58"/>
      <c r="E448" s="58"/>
      <c r="F448" s="58"/>
      <c r="G448" s="58"/>
      <c r="H448" s="58"/>
      <c r="I448" s="58"/>
      <c r="J448" s="58"/>
      <c r="K448" s="58"/>
      <c r="L448" s="58"/>
      <c r="M448" s="58"/>
      <c r="N448" s="58"/>
      <c r="O448" s="58"/>
      <c r="P448" s="58"/>
      <c r="Q448" s="58"/>
      <c r="R448" s="58"/>
      <c r="S448" s="58"/>
      <c r="T448" s="58"/>
      <c r="U448" s="58"/>
    </row>
    <row r="449" spans="2:21" x14ac:dyDescent="0.15">
      <c r="B449" s="58"/>
      <c r="C449" s="58"/>
      <c r="D449" s="58"/>
      <c r="E449" s="58"/>
      <c r="F449" s="58"/>
      <c r="G449" s="58"/>
      <c r="H449" s="58"/>
      <c r="I449" s="58"/>
      <c r="J449" s="58"/>
      <c r="K449" s="58"/>
      <c r="L449" s="58"/>
      <c r="M449" s="58"/>
      <c r="N449" s="58"/>
      <c r="O449" s="58"/>
      <c r="P449" s="58"/>
      <c r="Q449" s="58"/>
      <c r="R449" s="58"/>
      <c r="S449" s="58"/>
      <c r="T449" s="58"/>
      <c r="U449" s="58"/>
    </row>
    <row r="450" spans="2:21" x14ac:dyDescent="0.15">
      <c r="B450" s="58"/>
      <c r="C450" s="58"/>
      <c r="D450" s="58"/>
      <c r="E450" s="58"/>
      <c r="F450" s="58"/>
      <c r="G450" s="58"/>
      <c r="H450" s="58"/>
      <c r="I450" s="58"/>
      <c r="J450" s="58"/>
      <c r="K450" s="58"/>
      <c r="L450" s="58"/>
      <c r="M450" s="58"/>
      <c r="N450" s="58"/>
      <c r="O450" s="58"/>
      <c r="P450" s="58"/>
      <c r="Q450" s="58"/>
      <c r="R450" s="58"/>
      <c r="S450" s="58"/>
      <c r="T450" s="58"/>
      <c r="U450" s="58"/>
    </row>
    <row r="451" spans="2:21" x14ac:dyDescent="0.15">
      <c r="B451" s="58"/>
      <c r="C451" s="58"/>
      <c r="D451" s="58"/>
      <c r="E451" s="58"/>
      <c r="F451" s="58"/>
      <c r="G451" s="58"/>
      <c r="H451" s="58"/>
      <c r="I451" s="58"/>
      <c r="J451" s="58"/>
      <c r="K451" s="58"/>
      <c r="L451" s="58"/>
      <c r="M451" s="58"/>
      <c r="N451" s="58"/>
      <c r="O451" s="58"/>
      <c r="P451" s="58"/>
      <c r="Q451" s="58"/>
      <c r="R451" s="58"/>
      <c r="S451" s="58"/>
      <c r="T451" s="58"/>
      <c r="U451" s="58"/>
    </row>
    <row r="452" spans="2:21" x14ac:dyDescent="0.15">
      <c r="B452" s="58"/>
      <c r="C452" s="58"/>
      <c r="D452" s="58"/>
      <c r="E452" s="58"/>
      <c r="F452" s="58"/>
      <c r="G452" s="58"/>
      <c r="H452" s="58"/>
      <c r="I452" s="58"/>
      <c r="J452" s="58"/>
      <c r="K452" s="58"/>
      <c r="L452" s="58"/>
      <c r="M452" s="58"/>
      <c r="N452" s="58"/>
      <c r="O452" s="58"/>
      <c r="P452" s="58"/>
      <c r="Q452" s="58"/>
      <c r="R452" s="58"/>
      <c r="S452" s="58"/>
      <c r="T452" s="58"/>
      <c r="U452" s="58"/>
    </row>
    <row r="453" spans="2:21" x14ac:dyDescent="0.15">
      <c r="B453" s="58"/>
      <c r="C453" s="58"/>
      <c r="D453" s="58"/>
      <c r="E453" s="58"/>
      <c r="F453" s="58"/>
      <c r="G453" s="58"/>
      <c r="H453" s="58"/>
      <c r="I453" s="58"/>
      <c r="J453" s="58"/>
      <c r="K453" s="58"/>
      <c r="L453" s="58"/>
      <c r="M453" s="58"/>
      <c r="N453" s="58"/>
      <c r="O453" s="58"/>
      <c r="P453" s="58"/>
      <c r="Q453" s="58"/>
      <c r="R453" s="58"/>
      <c r="S453" s="58"/>
      <c r="T453" s="58"/>
      <c r="U453" s="58"/>
    </row>
    <row r="454" spans="2:21" x14ac:dyDescent="0.15">
      <c r="B454" s="58"/>
      <c r="C454" s="58"/>
      <c r="D454" s="58"/>
      <c r="E454" s="58"/>
      <c r="F454" s="58"/>
      <c r="G454" s="58"/>
      <c r="H454" s="58"/>
      <c r="I454" s="58"/>
      <c r="J454" s="58"/>
      <c r="K454" s="58"/>
      <c r="L454" s="58"/>
      <c r="M454" s="58"/>
      <c r="N454" s="58"/>
      <c r="O454" s="58"/>
      <c r="P454" s="58"/>
      <c r="Q454" s="58"/>
      <c r="R454" s="58"/>
      <c r="S454" s="58"/>
      <c r="T454" s="58"/>
      <c r="U454" s="58"/>
    </row>
    <row r="455" spans="2:21" x14ac:dyDescent="0.15">
      <c r="B455" s="58"/>
      <c r="C455" s="58"/>
      <c r="D455" s="58"/>
      <c r="E455" s="58"/>
      <c r="F455" s="58"/>
      <c r="G455" s="58"/>
      <c r="H455" s="58"/>
      <c r="I455" s="58"/>
      <c r="J455" s="58"/>
      <c r="K455" s="58"/>
      <c r="L455" s="58"/>
      <c r="M455" s="58"/>
      <c r="N455" s="58"/>
      <c r="O455" s="58"/>
      <c r="P455" s="58"/>
      <c r="Q455" s="58"/>
      <c r="R455" s="58"/>
      <c r="S455" s="58"/>
      <c r="T455" s="58"/>
      <c r="U455" s="58"/>
    </row>
    <row r="456" spans="2:21" x14ac:dyDescent="0.15">
      <c r="B456" s="58"/>
      <c r="C456" s="58"/>
      <c r="D456" s="58"/>
      <c r="E456" s="58"/>
      <c r="F456" s="58"/>
      <c r="G456" s="58"/>
      <c r="H456" s="58"/>
      <c r="I456" s="58"/>
      <c r="J456" s="58"/>
      <c r="K456" s="58"/>
      <c r="L456" s="58"/>
      <c r="M456" s="58"/>
      <c r="N456" s="58"/>
      <c r="O456" s="58"/>
      <c r="P456" s="58"/>
      <c r="Q456" s="58"/>
      <c r="R456" s="58"/>
      <c r="S456" s="58"/>
      <c r="T456" s="58"/>
      <c r="U456" s="58"/>
    </row>
    <row r="457" spans="2:21" x14ac:dyDescent="0.15">
      <c r="B457" s="58"/>
      <c r="C457" s="58"/>
      <c r="D457" s="58"/>
      <c r="E457" s="58"/>
      <c r="F457" s="58"/>
      <c r="G457" s="58"/>
      <c r="H457" s="58"/>
      <c r="I457" s="58"/>
      <c r="J457" s="58"/>
      <c r="K457" s="58"/>
      <c r="L457" s="58"/>
      <c r="M457" s="58"/>
      <c r="N457" s="58"/>
      <c r="O457" s="58"/>
      <c r="P457" s="58"/>
      <c r="Q457" s="58"/>
      <c r="R457" s="58"/>
      <c r="S457" s="58"/>
      <c r="T457" s="58"/>
      <c r="U457" s="58"/>
    </row>
    <row r="458" spans="2:21" x14ac:dyDescent="0.15">
      <c r="B458" s="58"/>
      <c r="C458" s="58"/>
      <c r="D458" s="58"/>
      <c r="E458" s="58"/>
      <c r="F458" s="58"/>
      <c r="G458" s="58"/>
      <c r="H458" s="58"/>
      <c r="I458" s="58"/>
      <c r="J458" s="58"/>
      <c r="K458" s="58"/>
      <c r="L458" s="58"/>
      <c r="M458" s="58"/>
      <c r="N458" s="58"/>
      <c r="O458" s="58"/>
      <c r="P458" s="58"/>
      <c r="Q458" s="58"/>
      <c r="R458" s="58"/>
      <c r="S458" s="58"/>
      <c r="T458" s="58"/>
      <c r="U458" s="58"/>
    </row>
    <row r="459" spans="2:21" x14ac:dyDescent="0.15">
      <c r="B459" s="58"/>
      <c r="C459" s="58"/>
      <c r="D459" s="58"/>
      <c r="E459" s="58"/>
      <c r="F459" s="58"/>
      <c r="G459" s="58"/>
      <c r="H459" s="58"/>
      <c r="I459" s="58"/>
      <c r="J459" s="58"/>
      <c r="K459" s="58"/>
      <c r="L459" s="58"/>
      <c r="M459" s="58"/>
      <c r="N459" s="58"/>
      <c r="O459" s="58"/>
      <c r="P459" s="58"/>
      <c r="Q459" s="58"/>
      <c r="R459" s="58"/>
      <c r="S459" s="58"/>
      <c r="T459" s="58"/>
      <c r="U459" s="58"/>
    </row>
    <row r="460" spans="2:21" x14ac:dyDescent="0.15">
      <c r="B460" s="58"/>
      <c r="C460" s="58"/>
      <c r="D460" s="58"/>
      <c r="E460" s="58"/>
      <c r="F460" s="58"/>
      <c r="G460" s="58"/>
      <c r="H460" s="58"/>
      <c r="I460" s="58"/>
      <c r="J460" s="58"/>
      <c r="K460" s="58"/>
      <c r="L460" s="58"/>
      <c r="M460" s="58"/>
      <c r="N460" s="58"/>
      <c r="O460" s="58"/>
      <c r="P460" s="58"/>
      <c r="Q460" s="58"/>
      <c r="R460" s="58"/>
      <c r="S460" s="58"/>
      <c r="T460" s="58"/>
      <c r="U460" s="58"/>
    </row>
    <row r="461" spans="2:21" x14ac:dyDescent="0.15">
      <c r="B461" s="58"/>
      <c r="C461" s="58"/>
      <c r="D461" s="58"/>
      <c r="E461" s="58"/>
      <c r="F461" s="58"/>
      <c r="G461" s="58"/>
      <c r="H461" s="58"/>
      <c r="I461" s="58"/>
      <c r="J461" s="58"/>
      <c r="K461" s="58"/>
      <c r="L461" s="58"/>
      <c r="M461" s="58"/>
      <c r="N461" s="58"/>
      <c r="O461" s="58"/>
      <c r="P461" s="58"/>
      <c r="Q461" s="58"/>
      <c r="R461" s="58"/>
      <c r="S461" s="58"/>
      <c r="T461" s="58"/>
      <c r="U461" s="58"/>
    </row>
    <row r="462" spans="2:21" x14ac:dyDescent="0.15">
      <c r="B462" s="58"/>
      <c r="C462" s="58"/>
      <c r="D462" s="58"/>
      <c r="E462" s="58"/>
      <c r="F462" s="58"/>
      <c r="G462" s="58"/>
      <c r="H462" s="58"/>
      <c r="I462" s="58"/>
      <c r="J462" s="58"/>
      <c r="K462" s="58"/>
      <c r="L462" s="58"/>
      <c r="M462" s="58"/>
      <c r="N462" s="58"/>
      <c r="O462" s="58"/>
      <c r="P462" s="58"/>
      <c r="Q462" s="58"/>
      <c r="R462" s="58"/>
      <c r="S462" s="58"/>
      <c r="T462" s="58"/>
      <c r="U462" s="58"/>
    </row>
    <row r="463" spans="2:21" x14ac:dyDescent="0.15">
      <c r="B463" s="58"/>
      <c r="C463" s="58"/>
      <c r="D463" s="58"/>
      <c r="E463" s="58"/>
      <c r="F463" s="58"/>
      <c r="G463" s="58"/>
      <c r="H463" s="58"/>
      <c r="I463" s="58"/>
      <c r="J463" s="58"/>
      <c r="K463" s="58"/>
      <c r="L463" s="58"/>
      <c r="M463" s="58"/>
      <c r="N463" s="58"/>
      <c r="O463" s="58"/>
      <c r="P463" s="58"/>
      <c r="Q463" s="58"/>
      <c r="R463" s="58"/>
      <c r="S463" s="58"/>
      <c r="T463" s="58"/>
      <c r="U463" s="58"/>
    </row>
    <row r="464" spans="2:21" x14ac:dyDescent="0.15">
      <c r="B464" s="58"/>
      <c r="C464" s="58"/>
      <c r="D464" s="58"/>
      <c r="E464" s="58"/>
      <c r="F464" s="58"/>
      <c r="G464" s="58"/>
      <c r="H464" s="58"/>
      <c r="I464" s="58"/>
      <c r="J464" s="58"/>
      <c r="K464" s="58"/>
      <c r="L464" s="58"/>
      <c r="M464" s="58"/>
      <c r="N464" s="58"/>
      <c r="O464" s="58"/>
      <c r="P464" s="58"/>
      <c r="Q464" s="58"/>
      <c r="R464" s="58"/>
      <c r="S464" s="58"/>
      <c r="T464" s="58"/>
      <c r="U464" s="58"/>
    </row>
    <row r="465" spans="2:21" x14ac:dyDescent="0.15">
      <c r="B465" s="58"/>
      <c r="C465" s="58"/>
      <c r="D465" s="58"/>
      <c r="E465" s="58"/>
      <c r="F465" s="58"/>
      <c r="G465" s="58"/>
      <c r="H465" s="58"/>
      <c r="I465" s="58"/>
      <c r="J465" s="58"/>
      <c r="K465" s="58"/>
      <c r="L465" s="58"/>
      <c r="M465" s="58"/>
      <c r="N465" s="58"/>
      <c r="O465" s="58"/>
      <c r="P465" s="58"/>
      <c r="Q465" s="58"/>
      <c r="R465" s="58"/>
      <c r="S465" s="58"/>
      <c r="T465" s="58"/>
      <c r="U465" s="58"/>
    </row>
    <row r="466" spans="2:21" x14ac:dyDescent="0.15">
      <c r="B466" s="58"/>
      <c r="C466" s="58"/>
      <c r="D466" s="58"/>
      <c r="E466" s="58"/>
      <c r="F466" s="58"/>
      <c r="G466" s="58"/>
      <c r="H466" s="58"/>
      <c r="I466" s="58"/>
      <c r="J466" s="58"/>
      <c r="K466" s="58"/>
      <c r="L466" s="58"/>
      <c r="M466" s="58"/>
      <c r="N466" s="58"/>
      <c r="O466" s="58"/>
      <c r="P466" s="58"/>
      <c r="Q466" s="58"/>
      <c r="R466" s="58"/>
      <c r="S466" s="58"/>
      <c r="T466" s="58"/>
      <c r="U466" s="58"/>
    </row>
    <row r="467" spans="2:21" x14ac:dyDescent="0.15">
      <c r="B467" s="58"/>
      <c r="C467" s="58"/>
      <c r="D467" s="58"/>
      <c r="E467" s="58"/>
      <c r="F467" s="58"/>
      <c r="G467" s="58"/>
      <c r="H467" s="58"/>
      <c r="I467" s="58"/>
      <c r="J467" s="58"/>
      <c r="K467" s="58"/>
      <c r="L467" s="58"/>
      <c r="M467" s="58"/>
      <c r="N467" s="58"/>
      <c r="O467" s="58"/>
      <c r="P467" s="58"/>
      <c r="Q467" s="58"/>
      <c r="R467" s="58"/>
      <c r="S467" s="58"/>
      <c r="T467" s="58"/>
      <c r="U467" s="58"/>
    </row>
    <row r="468" spans="2:21" x14ac:dyDescent="0.15">
      <c r="B468" s="58"/>
      <c r="C468" s="58"/>
      <c r="D468" s="58"/>
      <c r="E468" s="58"/>
      <c r="F468" s="58"/>
      <c r="G468" s="58"/>
      <c r="H468" s="58"/>
      <c r="I468" s="58"/>
      <c r="J468" s="58"/>
      <c r="K468" s="58"/>
      <c r="L468" s="58"/>
      <c r="M468" s="58"/>
      <c r="N468" s="58"/>
      <c r="O468" s="58"/>
      <c r="P468" s="58"/>
      <c r="Q468" s="58"/>
      <c r="R468" s="58"/>
      <c r="S468" s="58"/>
      <c r="T468" s="58"/>
      <c r="U468" s="58"/>
    </row>
    <row r="469" spans="2:21" x14ac:dyDescent="0.15">
      <c r="B469" s="58"/>
      <c r="C469" s="58"/>
      <c r="D469" s="58"/>
      <c r="E469" s="58"/>
      <c r="F469" s="58"/>
      <c r="G469" s="58"/>
      <c r="H469" s="58"/>
      <c r="I469" s="58"/>
      <c r="J469" s="58"/>
      <c r="K469" s="58"/>
      <c r="L469" s="58"/>
      <c r="M469" s="58"/>
      <c r="N469" s="58"/>
      <c r="O469" s="58"/>
      <c r="P469" s="58"/>
      <c r="Q469" s="58"/>
      <c r="R469" s="58"/>
      <c r="S469" s="58"/>
      <c r="T469" s="58"/>
      <c r="U469" s="58"/>
    </row>
    <row r="470" spans="2:21" x14ac:dyDescent="0.15">
      <c r="B470" s="58"/>
      <c r="C470" s="58"/>
      <c r="D470" s="58"/>
      <c r="E470" s="58"/>
      <c r="F470" s="58"/>
      <c r="G470" s="58"/>
      <c r="H470" s="58"/>
      <c r="I470" s="58"/>
      <c r="J470" s="58"/>
      <c r="K470" s="58"/>
      <c r="L470" s="58"/>
      <c r="M470" s="58"/>
      <c r="N470" s="58"/>
      <c r="O470" s="58"/>
      <c r="P470" s="58"/>
      <c r="Q470" s="58"/>
      <c r="R470" s="58"/>
      <c r="S470" s="58"/>
      <c r="T470" s="58"/>
      <c r="U470" s="58"/>
    </row>
    <row r="471" spans="2:21" x14ac:dyDescent="0.15">
      <c r="B471" s="58"/>
      <c r="C471" s="58"/>
      <c r="D471" s="58"/>
      <c r="E471" s="58"/>
      <c r="F471" s="58"/>
      <c r="G471" s="58"/>
      <c r="H471" s="58"/>
      <c r="I471" s="58"/>
      <c r="J471" s="58"/>
      <c r="K471" s="58"/>
      <c r="L471" s="58"/>
      <c r="M471" s="58"/>
      <c r="N471" s="58"/>
      <c r="O471" s="58"/>
      <c r="P471" s="58"/>
      <c r="Q471" s="58"/>
      <c r="R471" s="58"/>
      <c r="S471" s="58"/>
      <c r="T471" s="58"/>
      <c r="U471" s="58"/>
    </row>
    <row r="472" spans="2:21" x14ac:dyDescent="0.15">
      <c r="B472" s="58"/>
      <c r="C472" s="58"/>
      <c r="D472" s="58"/>
      <c r="E472" s="58"/>
      <c r="F472" s="58"/>
      <c r="G472" s="58"/>
      <c r="H472" s="58"/>
      <c r="I472" s="58"/>
      <c r="J472" s="58"/>
      <c r="K472" s="58"/>
      <c r="L472" s="58"/>
      <c r="M472" s="58"/>
      <c r="N472" s="58"/>
      <c r="O472" s="58"/>
      <c r="P472" s="58"/>
      <c r="Q472" s="58"/>
      <c r="R472" s="58"/>
      <c r="S472" s="58"/>
      <c r="T472" s="58"/>
      <c r="U472" s="58"/>
    </row>
    <row r="473" spans="2:21" x14ac:dyDescent="0.15">
      <c r="B473" s="58"/>
      <c r="C473" s="58"/>
      <c r="D473" s="58"/>
      <c r="E473" s="58"/>
      <c r="F473" s="58"/>
      <c r="G473" s="58"/>
      <c r="H473" s="58"/>
      <c r="I473" s="58"/>
      <c r="J473" s="58"/>
      <c r="K473" s="58"/>
      <c r="L473" s="58"/>
      <c r="M473" s="58"/>
      <c r="N473" s="58"/>
      <c r="O473" s="58"/>
      <c r="P473" s="58"/>
      <c r="Q473" s="58"/>
      <c r="R473" s="58"/>
      <c r="S473" s="58"/>
      <c r="T473" s="58"/>
      <c r="U473" s="58"/>
    </row>
    <row r="474" spans="2:21" x14ac:dyDescent="0.15">
      <c r="B474" s="58"/>
      <c r="C474" s="58"/>
      <c r="D474" s="58"/>
      <c r="E474" s="58"/>
      <c r="F474" s="58"/>
      <c r="G474" s="58"/>
      <c r="H474" s="58"/>
      <c r="I474" s="58"/>
      <c r="J474" s="58"/>
      <c r="K474" s="58"/>
      <c r="L474" s="58"/>
      <c r="M474" s="58"/>
      <c r="N474" s="58"/>
      <c r="O474" s="58"/>
      <c r="P474" s="58"/>
      <c r="Q474" s="58"/>
      <c r="R474" s="58"/>
      <c r="S474" s="58"/>
      <c r="T474" s="58"/>
      <c r="U474" s="58"/>
    </row>
    <row r="475" spans="2:21" x14ac:dyDescent="0.15">
      <c r="B475" s="58"/>
      <c r="C475" s="58"/>
      <c r="D475" s="58"/>
      <c r="E475" s="58"/>
      <c r="F475" s="58"/>
      <c r="G475" s="58"/>
      <c r="H475" s="58"/>
      <c r="I475" s="58"/>
      <c r="J475" s="58"/>
      <c r="K475" s="58"/>
      <c r="L475" s="58"/>
      <c r="M475" s="58"/>
      <c r="N475" s="58"/>
      <c r="O475" s="58"/>
      <c r="P475" s="58"/>
      <c r="Q475" s="58"/>
      <c r="R475" s="58"/>
      <c r="S475" s="58"/>
      <c r="T475" s="58"/>
      <c r="U475" s="58"/>
    </row>
    <row r="476" spans="2:21" x14ac:dyDescent="0.15">
      <c r="B476" s="58"/>
      <c r="C476" s="58"/>
      <c r="D476" s="58"/>
      <c r="E476" s="58"/>
      <c r="F476" s="58"/>
      <c r="G476" s="58"/>
      <c r="H476" s="58"/>
      <c r="I476" s="58"/>
      <c r="J476" s="58"/>
      <c r="K476" s="58"/>
      <c r="L476" s="58"/>
      <c r="M476" s="58"/>
      <c r="N476" s="58"/>
      <c r="O476" s="58"/>
      <c r="P476" s="58"/>
      <c r="Q476" s="58"/>
      <c r="R476" s="58"/>
      <c r="S476" s="58"/>
      <c r="T476" s="58"/>
      <c r="U476" s="58"/>
    </row>
    <row r="477" spans="2:21" x14ac:dyDescent="0.15">
      <c r="B477" s="58"/>
      <c r="C477" s="58"/>
      <c r="D477" s="58"/>
      <c r="E477" s="58"/>
      <c r="F477" s="58"/>
      <c r="G477" s="58"/>
      <c r="H477" s="58"/>
      <c r="I477" s="58"/>
      <c r="J477" s="58"/>
      <c r="K477" s="58"/>
      <c r="L477" s="58"/>
      <c r="M477" s="58"/>
      <c r="N477" s="58"/>
      <c r="O477" s="58"/>
      <c r="P477" s="58"/>
      <c r="Q477" s="58"/>
      <c r="R477" s="58"/>
      <c r="S477" s="58"/>
      <c r="T477" s="58"/>
      <c r="U477" s="58"/>
    </row>
    <row r="478" spans="2:21" x14ac:dyDescent="0.15">
      <c r="B478" s="58"/>
      <c r="C478" s="58"/>
      <c r="D478" s="58"/>
      <c r="E478" s="58"/>
      <c r="F478" s="58"/>
      <c r="G478" s="58"/>
      <c r="H478" s="58"/>
      <c r="I478" s="58"/>
      <c r="J478" s="58"/>
      <c r="K478" s="58"/>
      <c r="L478" s="58"/>
      <c r="M478" s="58"/>
      <c r="N478" s="58"/>
      <c r="O478" s="58"/>
      <c r="P478" s="58"/>
      <c r="Q478" s="58"/>
      <c r="R478" s="58"/>
      <c r="S478" s="58"/>
      <c r="T478" s="58"/>
      <c r="U478" s="58"/>
    </row>
    <row r="479" spans="2:21" x14ac:dyDescent="0.15">
      <c r="B479" s="58"/>
      <c r="C479" s="58"/>
      <c r="D479" s="58"/>
      <c r="E479" s="58"/>
      <c r="F479" s="58"/>
      <c r="G479" s="58"/>
      <c r="H479" s="58"/>
      <c r="I479" s="58"/>
      <c r="J479" s="58"/>
      <c r="K479" s="58"/>
      <c r="L479" s="58"/>
      <c r="M479" s="58"/>
      <c r="N479" s="58"/>
      <c r="O479" s="58"/>
      <c r="P479" s="58"/>
      <c r="Q479" s="58"/>
      <c r="R479" s="58"/>
      <c r="S479" s="58"/>
      <c r="T479" s="58"/>
      <c r="U479" s="58"/>
    </row>
    <row r="480" spans="2:21" x14ac:dyDescent="0.15">
      <c r="B480" s="58"/>
      <c r="C480" s="58"/>
      <c r="D480" s="58"/>
      <c r="E480" s="58"/>
      <c r="F480" s="58"/>
      <c r="G480" s="58"/>
      <c r="H480" s="58"/>
      <c r="I480" s="58"/>
      <c r="J480" s="58"/>
      <c r="K480" s="58"/>
      <c r="L480" s="58"/>
      <c r="M480" s="58"/>
      <c r="N480" s="58"/>
      <c r="O480" s="58"/>
      <c r="P480" s="58"/>
      <c r="Q480" s="58"/>
      <c r="R480" s="58"/>
      <c r="S480" s="58"/>
      <c r="T480" s="58"/>
      <c r="U480" s="58"/>
    </row>
    <row r="481" spans="2:21" x14ac:dyDescent="0.15">
      <c r="B481" s="58"/>
      <c r="C481" s="58"/>
      <c r="D481" s="58"/>
      <c r="E481" s="58"/>
      <c r="F481" s="58"/>
      <c r="G481" s="58"/>
      <c r="H481" s="58"/>
      <c r="I481" s="58"/>
      <c r="J481" s="58"/>
      <c r="K481" s="58"/>
      <c r="L481" s="58"/>
      <c r="M481" s="58"/>
      <c r="N481" s="58"/>
      <c r="O481" s="58"/>
      <c r="P481" s="58"/>
      <c r="Q481" s="58"/>
      <c r="R481" s="58"/>
      <c r="S481" s="58"/>
      <c r="T481" s="58"/>
      <c r="U481" s="58"/>
    </row>
    <row r="482" spans="2:21" x14ac:dyDescent="0.15">
      <c r="B482" s="58"/>
      <c r="C482" s="58"/>
      <c r="D482" s="58"/>
      <c r="E482" s="58"/>
      <c r="F482" s="58"/>
      <c r="G482" s="58"/>
      <c r="H482" s="58"/>
      <c r="I482" s="58"/>
      <c r="J482" s="58"/>
      <c r="K482" s="58"/>
      <c r="L482" s="58"/>
      <c r="M482" s="58"/>
      <c r="N482" s="58"/>
      <c r="O482" s="58"/>
      <c r="P482" s="58"/>
      <c r="Q482" s="58"/>
      <c r="R482" s="58"/>
      <c r="S482" s="58"/>
      <c r="T482" s="58"/>
      <c r="U482" s="58"/>
    </row>
    <row r="483" spans="2:21" x14ac:dyDescent="0.15">
      <c r="B483" s="58"/>
      <c r="C483" s="58"/>
      <c r="D483" s="58"/>
      <c r="E483" s="58"/>
      <c r="F483" s="58"/>
      <c r="G483" s="58"/>
      <c r="H483" s="58"/>
      <c r="I483" s="58"/>
      <c r="J483" s="58"/>
      <c r="K483" s="58"/>
      <c r="L483" s="58"/>
      <c r="M483" s="58"/>
      <c r="N483" s="58"/>
      <c r="O483" s="58"/>
      <c r="P483" s="58"/>
      <c r="Q483" s="58"/>
      <c r="R483" s="58"/>
      <c r="S483" s="58"/>
      <c r="T483" s="58"/>
      <c r="U483" s="58"/>
    </row>
    <row r="484" spans="2:21" x14ac:dyDescent="0.15">
      <c r="B484" s="58"/>
      <c r="C484" s="58"/>
      <c r="D484" s="58"/>
      <c r="E484" s="58"/>
      <c r="F484" s="58"/>
      <c r="G484" s="58"/>
      <c r="H484" s="58"/>
      <c r="I484" s="58"/>
      <c r="J484" s="58"/>
      <c r="K484" s="58"/>
      <c r="L484" s="58"/>
      <c r="M484" s="58"/>
      <c r="N484" s="58"/>
      <c r="O484" s="58"/>
      <c r="P484" s="58"/>
      <c r="Q484" s="58"/>
      <c r="R484" s="58"/>
      <c r="S484" s="58"/>
      <c r="T484" s="58"/>
      <c r="U484" s="58"/>
    </row>
    <row r="485" spans="2:21" x14ac:dyDescent="0.15">
      <c r="B485" s="58"/>
      <c r="C485" s="58"/>
      <c r="D485" s="58"/>
      <c r="E485" s="58"/>
      <c r="F485" s="58"/>
      <c r="G485" s="58"/>
      <c r="H485" s="58"/>
      <c r="I485" s="58"/>
      <c r="J485" s="58"/>
      <c r="K485" s="58"/>
      <c r="L485" s="58"/>
      <c r="M485" s="58"/>
      <c r="N485" s="58"/>
      <c r="O485" s="58"/>
      <c r="P485" s="58"/>
      <c r="Q485" s="58"/>
      <c r="R485" s="58"/>
      <c r="S485" s="58"/>
      <c r="T485" s="58"/>
      <c r="U485" s="58"/>
    </row>
    <row r="486" spans="2:21" x14ac:dyDescent="0.15">
      <c r="B486" s="58"/>
      <c r="C486" s="58"/>
      <c r="D486" s="58"/>
      <c r="E486" s="58"/>
      <c r="F486" s="58"/>
      <c r="G486" s="58"/>
      <c r="H486" s="58"/>
      <c r="I486" s="58"/>
      <c r="J486" s="58"/>
      <c r="K486" s="58"/>
      <c r="L486" s="58"/>
      <c r="M486" s="58"/>
      <c r="N486" s="58"/>
      <c r="O486" s="58"/>
      <c r="P486" s="58"/>
      <c r="Q486" s="58"/>
      <c r="R486" s="58"/>
      <c r="S486" s="58"/>
      <c r="T486" s="58"/>
      <c r="U486" s="58"/>
    </row>
    <row r="487" spans="2:21" x14ac:dyDescent="0.15">
      <c r="B487" s="58"/>
      <c r="C487" s="58"/>
      <c r="D487" s="58"/>
      <c r="E487" s="58"/>
      <c r="F487" s="58"/>
      <c r="G487" s="58"/>
      <c r="H487" s="58"/>
      <c r="I487" s="58"/>
      <c r="J487" s="58"/>
      <c r="K487" s="58"/>
      <c r="L487" s="58"/>
      <c r="M487" s="58"/>
      <c r="N487" s="58"/>
      <c r="O487" s="58"/>
      <c r="P487" s="58"/>
      <c r="Q487" s="58"/>
      <c r="R487" s="58"/>
      <c r="S487" s="58"/>
      <c r="T487" s="58"/>
      <c r="U487" s="58"/>
    </row>
    <row r="488" spans="2:21" x14ac:dyDescent="0.15">
      <c r="B488" s="58"/>
      <c r="C488" s="58"/>
      <c r="D488" s="58"/>
      <c r="E488" s="58"/>
      <c r="F488" s="58"/>
      <c r="G488" s="58"/>
      <c r="H488" s="58"/>
      <c r="I488" s="58"/>
      <c r="J488" s="58"/>
      <c r="K488" s="58"/>
      <c r="L488" s="58"/>
      <c r="M488" s="58"/>
      <c r="N488" s="58"/>
      <c r="O488" s="58"/>
      <c r="P488" s="58"/>
      <c r="Q488" s="58"/>
      <c r="R488" s="58"/>
      <c r="S488" s="58"/>
      <c r="T488" s="58"/>
      <c r="U488" s="58"/>
    </row>
    <row r="489" spans="2:21" x14ac:dyDescent="0.15">
      <c r="B489" s="58"/>
      <c r="C489" s="58"/>
      <c r="D489" s="58"/>
      <c r="E489" s="58"/>
      <c r="F489" s="58"/>
      <c r="G489" s="58"/>
      <c r="H489" s="58"/>
      <c r="I489" s="58"/>
      <c r="J489" s="58"/>
      <c r="K489" s="58"/>
      <c r="L489" s="58"/>
      <c r="M489" s="58"/>
      <c r="N489" s="58"/>
      <c r="O489" s="58"/>
      <c r="P489" s="58"/>
      <c r="Q489" s="58"/>
      <c r="R489" s="58"/>
      <c r="S489" s="58"/>
      <c r="T489" s="58"/>
      <c r="U489" s="58"/>
    </row>
    <row r="490" spans="2:21" x14ac:dyDescent="0.15">
      <c r="B490" s="58"/>
      <c r="C490" s="58"/>
      <c r="D490" s="58"/>
      <c r="E490" s="58"/>
      <c r="F490" s="58"/>
      <c r="G490" s="58"/>
      <c r="H490" s="58"/>
      <c r="I490" s="58"/>
      <c r="J490" s="58"/>
      <c r="K490" s="58"/>
      <c r="L490" s="58"/>
      <c r="M490" s="58"/>
      <c r="N490" s="58"/>
      <c r="O490" s="58"/>
      <c r="P490" s="58"/>
      <c r="Q490" s="58"/>
      <c r="R490" s="58"/>
      <c r="S490" s="58"/>
      <c r="T490" s="58"/>
      <c r="U490" s="58"/>
    </row>
    <row r="491" spans="2:21" x14ac:dyDescent="0.15">
      <c r="B491" s="58"/>
      <c r="C491" s="58"/>
      <c r="D491" s="58"/>
      <c r="E491" s="58"/>
      <c r="F491" s="58"/>
      <c r="G491" s="58"/>
      <c r="H491" s="58"/>
      <c r="I491" s="58"/>
      <c r="J491" s="58"/>
      <c r="K491" s="58"/>
      <c r="L491" s="58"/>
      <c r="M491" s="58"/>
      <c r="N491" s="58"/>
      <c r="O491" s="58"/>
      <c r="P491" s="58"/>
      <c r="Q491" s="58"/>
      <c r="R491" s="58"/>
      <c r="S491" s="58"/>
      <c r="T491" s="58"/>
      <c r="U491" s="58"/>
    </row>
    <row r="492" spans="2:21" x14ac:dyDescent="0.15">
      <c r="B492" s="58"/>
      <c r="C492" s="58"/>
      <c r="D492" s="58"/>
      <c r="E492" s="58"/>
      <c r="F492" s="58"/>
      <c r="G492" s="58"/>
      <c r="H492" s="58"/>
      <c r="I492" s="58"/>
      <c r="J492" s="58"/>
      <c r="K492" s="58"/>
      <c r="L492" s="58"/>
      <c r="M492" s="58"/>
      <c r="N492" s="58"/>
      <c r="O492" s="58"/>
      <c r="P492" s="58"/>
      <c r="Q492" s="58"/>
      <c r="R492" s="58"/>
      <c r="S492" s="58"/>
      <c r="T492" s="58"/>
      <c r="U492" s="58"/>
    </row>
    <row r="493" spans="2:21" x14ac:dyDescent="0.15">
      <c r="B493" s="58"/>
      <c r="C493" s="58"/>
      <c r="D493" s="58"/>
      <c r="E493" s="58"/>
      <c r="F493" s="58"/>
      <c r="G493" s="58"/>
      <c r="H493" s="58"/>
      <c r="I493" s="58"/>
      <c r="J493" s="58"/>
      <c r="K493" s="58"/>
      <c r="L493" s="58"/>
      <c r="M493" s="58"/>
      <c r="N493" s="58"/>
      <c r="O493" s="58"/>
      <c r="P493" s="58"/>
      <c r="Q493" s="58"/>
      <c r="R493" s="58"/>
      <c r="S493" s="58"/>
      <c r="T493" s="58"/>
      <c r="U493" s="58"/>
    </row>
    <row r="494" spans="2:21" x14ac:dyDescent="0.15">
      <c r="B494" s="58"/>
      <c r="C494" s="58"/>
      <c r="D494" s="58"/>
      <c r="E494" s="58"/>
      <c r="F494" s="58"/>
      <c r="G494" s="58"/>
      <c r="H494" s="58"/>
      <c r="I494" s="58"/>
      <c r="J494" s="58"/>
      <c r="K494" s="58"/>
      <c r="L494" s="58"/>
      <c r="M494" s="58"/>
      <c r="N494" s="58"/>
      <c r="O494" s="58"/>
      <c r="P494" s="58"/>
      <c r="Q494" s="58"/>
      <c r="R494" s="58"/>
      <c r="S494" s="58"/>
      <c r="T494" s="58"/>
      <c r="U494" s="58"/>
    </row>
    <row r="495" spans="2:21" x14ac:dyDescent="0.15">
      <c r="B495" s="58"/>
      <c r="C495" s="58"/>
      <c r="D495" s="58"/>
      <c r="E495" s="58"/>
      <c r="F495" s="58"/>
      <c r="G495" s="58"/>
      <c r="H495" s="58"/>
      <c r="I495" s="58"/>
      <c r="J495" s="58"/>
      <c r="K495" s="58"/>
      <c r="L495" s="58"/>
      <c r="M495" s="58"/>
      <c r="N495" s="58"/>
      <c r="O495" s="58"/>
      <c r="P495" s="58"/>
      <c r="Q495" s="58"/>
      <c r="R495" s="58"/>
      <c r="S495" s="58"/>
      <c r="T495" s="58"/>
      <c r="U495" s="58"/>
    </row>
    <row r="496" spans="2:21" x14ac:dyDescent="0.15">
      <c r="B496" s="58"/>
      <c r="C496" s="58"/>
      <c r="D496" s="58"/>
      <c r="E496" s="58"/>
      <c r="F496" s="58"/>
      <c r="G496" s="58"/>
      <c r="H496" s="58"/>
      <c r="I496" s="58"/>
      <c r="J496" s="58"/>
      <c r="K496" s="58"/>
      <c r="L496" s="58"/>
      <c r="M496" s="58"/>
      <c r="N496" s="58"/>
      <c r="O496" s="58"/>
      <c r="P496" s="58"/>
      <c r="Q496" s="58"/>
      <c r="R496" s="58"/>
      <c r="S496" s="58"/>
      <c r="T496" s="58"/>
      <c r="U496" s="58"/>
    </row>
    <row r="497" spans="2:21" x14ac:dyDescent="0.15">
      <c r="B497" s="58"/>
      <c r="C497" s="58"/>
      <c r="D497" s="58"/>
      <c r="E497" s="58"/>
      <c r="F497" s="58"/>
      <c r="G497" s="58"/>
      <c r="H497" s="58"/>
      <c r="I497" s="58"/>
      <c r="J497" s="58"/>
      <c r="K497" s="58"/>
      <c r="L497" s="58"/>
      <c r="M497" s="58"/>
      <c r="N497" s="58"/>
      <c r="O497" s="58"/>
      <c r="P497" s="58"/>
      <c r="Q497" s="58"/>
      <c r="R497" s="58"/>
      <c r="S497" s="58"/>
      <c r="T497" s="58"/>
      <c r="U497" s="58"/>
    </row>
    <row r="498" spans="2:21" x14ac:dyDescent="0.15">
      <c r="B498" s="58"/>
      <c r="C498" s="58"/>
      <c r="D498" s="58"/>
      <c r="E498" s="58"/>
      <c r="F498" s="58"/>
      <c r="G498" s="58"/>
      <c r="H498" s="58"/>
      <c r="I498" s="58"/>
      <c r="J498" s="58"/>
      <c r="K498" s="58"/>
      <c r="L498" s="58"/>
      <c r="M498" s="58"/>
      <c r="N498" s="58"/>
      <c r="O498" s="58"/>
      <c r="P498" s="58"/>
      <c r="Q498" s="58"/>
      <c r="R498" s="58"/>
      <c r="S498" s="58"/>
      <c r="T498" s="58"/>
      <c r="U498" s="58"/>
    </row>
    <row r="499" spans="2:21" x14ac:dyDescent="0.15">
      <c r="B499" s="58"/>
      <c r="C499" s="58"/>
      <c r="D499" s="58"/>
      <c r="E499" s="58"/>
      <c r="F499" s="58"/>
      <c r="G499" s="58"/>
      <c r="H499" s="58"/>
      <c r="I499" s="58"/>
      <c r="J499" s="58"/>
      <c r="K499" s="58"/>
      <c r="L499" s="58"/>
      <c r="M499" s="58"/>
      <c r="N499" s="58"/>
      <c r="O499" s="58"/>
      <c r="P499" s="58"/>
      <c r="Q499" s="58"/>
      <c r="R499" s="58"/>
      <c r="S499" s="58"/>
      <c r="T499" s="58"/>
      <c r="U499" s="58"/>
    </row>
    <row r="500" spans="2:21" x14ac:dyDescent="0.15">
      <c r="B500" s="58"/>
      <c r="C500" s="58"/>
      <c r="D500" s="58"/>
      <c r="E500" s="58"/>
      <c r="F500" s="58"/>
      <c r="G500" s="58"/>
      <c r="H500" s="58"/>
      <c r="I500" s="58"/>
      <c r="J500" s="58"/>
      <c r="K500" s="58"/>
      <c r="L500" s="58"/>
      <c r="M500" s="58"/>
      <c r="N500" s="58"/>
      <c r="O500" s="58"/>
      <c r="P500" s="58"/>
      <c r="Q500" s="58"/>
      <c r="R500" s="58"/>
      <c r="S500" s="58"/>
      <c r="T500" s="58"/>
      <c r="U500" s="58"/>
    </row>
    <row r="501" spans="2:21" x14ac:dyDescent="0.15">
      <c r="B501" s="58"/>
      <c r="C501" s="58"/>
      <c r="D501" s="58"/>
      <c r="E501" s="58"/>
      <c r="F501" s="58"/>
      <c r="G501" s="58"/>
      <c r="H501" s="58"/>
      <c r="I501" s="58"/>
      <c r="J501" s="58"/>
      <c r="K501" s="58"/>
      <c r="L501" s="58"/>
      <c r="M501" s="58"/>
      <c r="N501" s="58"/>
      <c r="O501" s="58"/>
      <c r="P501" s="58"/>
      <c r="Q501" s="58"/>
      <c r="R501" s="58"/>
      <c r="S501" s="58"/>
      <c r="T501" s="58"/>
      <c r="U501" s="58"/>
    </row>
    <row r="502" spans="2:21" x14ac:dyDescent="0.15">
      <c r="B502" s="58"/>
      <c r="C502" s="58"/>
      <c r="D502" s="58"/>
      <c r="E502" s="58"/>
      <c r="F502" s="58"/>
      <c r="G502" s="58"/>
      <c r="H502" s="58"/>
      <c r="I502" s="58"/>
      <c r="J502" s="58"/>
      <c r="K502" s="58"/>
      <c r="L502" s="58"/>
      <c r="M502" s="58"/>
      <c r="N502" s="58"/>
      <c r="O502" s="58"/>
      <c r="P502" s="58"/>
      <c r="Q502" s="58"/>
      <c r="R502" s="58"/>
      <c r="S502" s="58"/>
      <c r="T502" s="58"/>
      <c r="U502" s="58"/>
    </row>
    <row r="503" spans="2:21" x14ac:dyDescent="0.15">
      <c r="B503" s="58"/>
      <c r="C503" s="58"/>
      <c r="D503" s="58"/>
      <c r="E503" s="58"/>
      <c r="F503" s="58"/>
      <c r="G503" s="58"/>
      <c r="H503" s="58"/>
      <c r="I503" s="58"/>
      <c r="J503" s="58"/>
      <c r="K503" s="58"/>
      <c r="L503" s="58"/>
      <c r="M503" s="58"/>
      <c r="N503" s="58"/>
      <c r="O503" s="58"/>
      <c r="P503" s="58"/>
      <c r="Q503" s="58"/>
      <c r="R503" s="58"/>
      <c r="S503" s="58"/>
      <c r="T503" s="58"/>
      <c r="U503" s="58"/>
    </row>
    <row r="504" spans="2:21" x14ac:dyDescent="0.15">
      <c r="B504" s="58"/>
      <c r="C504" s="58"/>
      <c r="D504" s="58"/>
      <c r="E504" s="58"/>
      <c r="F504" s="58"/>
      <c r="G504" s="58"/>
      <c r="H504" s="58"/>
      <c r="I504" s="58"/>
      <c r="J504" s="58"/>
      <c r="K504" s="58"/>
      <c r="L504" s="58"/>
      <c r="M504" s="58"/>
      <c r="N504" s="58"/>
      <c r="O504" s="58"/>
      <c r="P504" s="58"/>
      <c r="Q504" s="58"/>
      <c r="R504" s="58"/>
      <c r="S504" s="58"/>
      <c r="T504" s="58"/>
      <c r="U504" s="58"/>
    </row>
    <row r="505" spans="2:21" x14ac:dyDescent="0.15">
      <c r="B505" s="58"/>
      <c r="C505" s="58"/>
      <c r="D505" s="58"/>
      <c r="E505" s="58"/>
      <c r="F505" s="58"/>
      <c r="G505" s="58"/>
      <c r="H505" s="58"/>
      <c r="I505" s="58"/>
      <c r="J505" s="58"/>
      <c r="K505" s="58"/>
      <c r="L505" s="58"/>
      <c r="M505" s="58"/>
      <c r="N505" s="58"/>
      <c r="O505" s="58"/>
      <c r="P505" s="58"/>
      <c r="Q505" s="58"/>
      <c r="R505" s="58"/>
      <c r="S505" s="58"/>
      <c r="T505" s="58"/>
      <c r="U505" s="58"/>
    </row>
    <row r="506" spans="2:21" x14ac:dyDescent="0.15">
      <c r="B506" s="58"/>
      <c r="C506" s="58"/>
      <c r="D506" s="58"/>
      <c r="E506" s="58"/>
      <c r="F506" s="58"/>
      <c r="G506" s="58"/>
      <c r="H506" s="58"/>
      <c r="I506" s="58"/>
      <c r="J506" s="58"/>
      <c r="K506" s="58"/>
      <c r="L506" s="58"/>
      <c r="M506" s="58"/>
      <c r="N506" s="58"/>
      <c r="O506" s="58"/>
      <c r="P506" s="58"/>
      <c r="Q506" s="58"/>
      <c r="R506" s="58"/>
      <c r="S506" s="58"/>
      <c r="T506" s="58"/>
      <c r="U506" s="58"/>
    </row>
    <row r="507" spans="2:21" x14ac:dyDescent="0.15">
      <c r="B507" s="58"/>
      <c r="C507" s="58"/>
      <c r="D507" s="58"/>
      <c r="E507" s="58"/>
      <c r="F507" s="58"/>
      <c r="G507" s="58"/>
      <c r="H507" s="58"/>
      <c r="I507" s="58"/>
      <c r="J507" s="58"/>
      <c r="K507" s="58"/>
      <c r="L507" s="58"/>
      <c r="M507" s="58"/>
      <c r="N507" s="58"/>
      <c r="O507" s="58"/>
      <c r="P507" s="58"/>
      <c r="Q507" s="58"/>
      <c r="R507" s="58"/>
      <c r="S507" s="58"/>
      <c r="T507" s="58"/>
      <c r="U507" s="58"/>
    </row>
    <row r="508" spans="2:21" x14ac:dyDescent="0.15">
      <c r="B508" s="58"/>
      <c r="C508" s="58"/>
      <c r="D508" s="58"/>
      <c r="E508" s="58"/>
      <c r="F508" s="58"/>
      <c r="G508" s="58"/>
      <c r="H508" s="58"/>
      <c r="I508" s="58"/>
      <c r="J508" s="58"/>
      <c r="K508" s="58"/>
      <c r="L508" s="58"/>
      <c r="M508" s="58"/>
      <c r="N508" s="58"/>
      <c r="O508" s="58"/>
      <c r="P508" s="58"/>
      <c r="Q508" s="58"/>
      <c r="R508" s="58"/>
      <c r="S508" s="58"/>
      <c r="T508" s="58"/>
      <c r="U508" s="58"/>
    </row>
    <row r="509" spans="2:21" x14ac:dyDescent="0.15">
      <c r="B509" s="58"/>
      <c r="C509" s="58"/>
      <c r="D509" s="58"/>
      <c r="E509" s="58"/>
      <c r="F509" s="58"/>
      <c r="G509" s="58"/>
      <c r="H509" s="58"/>
      <c r="I509" s="58"/>
      <c r="J509" s="58"/>
      <c r="K509" s="58"/>
      <c r="L509" s="58"/>
      <c r="M509" s="58"/>
      <c r="N509" s="58"/>
      <c r="O509" s="58"/>
      <c r="P509" s="58"/>
      <c r="Q509" s="58"/>
      <c r="R509" s="58"/>
      <c r="S509" s="58"/>
      <c r="T509" s="58"/>
      <c r="U509" s="58"/>
    </row>
    <row r="510" spans="2:21" x14ac:dyDescent="0.15">
      <c r="B510" s="58"/>
      <c r="C510" s="58"/>
      <c r="D510" s="58"/>
      <c r="E510" s="58"/>
      <c r="F510" s="58"/>
      <c r="G510" s="58"/>
      <c r="H510" s="58"/>
      <c r="I510" s="58"/>
      <c r="J510" s="58"/>
      <c r="K510" s="58"/>
      <c r="L510" s="58"/>
      <c r="M510" s="58"/>
      <c r="N510" s="58"/>
      <c r="O510" s="58"/>
      <c r="P510" s="58"/>
      <c r="Q510" s="58"/>
      <c r="R510" s="58"/>
      <c r="S510" s="58"/>
      <c r="T510" s="58"/>
      <c r="U510" s="58"/>
    </row>
    <row r="511" spans="2:21" x14ac:dyDescent="0.15">
      <c r="B511" s="58"/>
      <c r="C511" s="58"/>
      <c r="D511" s="58"/>
      <c r="E511" s="58"/>
      <c r="F511" s="58"/>
      <c r="G511" s="58"/>
      <c r="H511" s="58"/>
      <c r="I511" s="58"/>
      <c r="J511" s="58"/>
      <c r="K511" s="58"/>
      <c r="L511" s="58"/>
      <c r="M511" s="58"/>
      <c r="N511" s="58"/>
      <c r="O511" s="58"/>
      <c r="P511" s="58"/>
      <c r="Q511" s="58"/>
      <c r="R511" s="58"/>
      <c r="S511" s="58"/>
      <c r="T511" s="58"/>
      <c r="U511" s="58"/>
    </row>
    <row r="512" spans="2:21" x14ac:dyDescent="0.15">
      <c r="B512" s="58"/>
      <c r="C512" s="58"/>
      <c r="D512" s="58"/>
      <c r="E512" s="58"/>
      <c r="F512" s="58"/>
      <c r="G512" s="58"/>
      <c r="H512" s="58"/>
      <c r="I512" s="58"/>
      <c r="J512" s="58"/>
      <c r="K512" s="58"/>
      <c r="L512" s="58"/>
      <c r="M512" s="58"/>
      <c r="N512" s="58"/>
      <c r="O512" s="58"/>
      <c r="P512" s="58"/>
      <c r="Q512" s="58"/>
      <c r="R512" s="58"/>
      <c r="S512" s="58"/>
      <c r="T512" s="58"/>
      <c r="U512" s="58"/>
    </row>
    <row r="513" spans="2:21" x14ac:dyDescent="0.15">
      <c r="B513" s="58"/>
      <c r="C513" s="58"/>
      <c r="D513" s="58"/>
      <c r="E513" s="58"/>
      <c r="F513" s="58"/>
      <c r="G513" s="58"/>
      <c r="H513" s="58"/>
      <c r="I513" s="58"/>
      <c r="J513" s="58"/>
      <c r="K513" s="58"/>
      <c r="L513" s="58"/>
      <c r="M513" s="58"/>
      <c r="N513" s="58"/>
      <c r="O513" s="58"/>
      <c r="P513" s="58"/>
      <c r="Q513" s="58"/>
      <c r="R513" s="58"/>
      <c r="S513" s="58"/>
      <c r="T513" s="58"/>
      <c r="U513" s="58"/>
    </row>
    <row r="514" spans="2:21" x14ac:dyDescent="0.15">
      <c r="B514" s="58"/>
      <c r="C514" s="58"/>
      <c r="D514" s="58"/>
      <c r="E514" s="58"/>
      <c r="F514" s="58"/>
      <c r="G514" s="58"/>
      <c r="H514" s="58"/>
      <c r="I514" s="58"/>
      <c r="J514" s="58"/>
      <c r="K514" s="58"/>
      <c r="L514" s="58"/>
      <c r="M514" s="58"/>
      <c r="N514" s="58"/>
      <c r="O514" s="58"/>
      <c r="P514" s="58"/>
      <c r="Q514" s="58"/>
      <c r="R514" s="58"/>
      <c r="S514" s="58"/>
      <c r="T514" s="58"/>
      <c r="U514" s="58"/>
    </row>
    <row r="515" spans="2:21" x14ac:dyDescent="0.15">
      <c r="B515" s="58"/>
      <c r="C515" s="58"/>
      <c r="D515" s="58"/>
      <c r="E515" s="58"/>
      <c r="F515" s="58"/>
      <c r="G515" s="58"/>
      <c r="H515" s="58"/>
      <c r="I515" s="58"/>
      <c r="J515" s="58"/>
      <c r="K515" s="58"/>
      <c r="L515" s="58"/>
      <c r="M515" s="58"/>
      <c r="N515" s="58"/>
      <c r="O515" s="58"/>
      <c r="P515" s="58"/>
      <c r="Q515" s="58"/>
      <c r="R515" s="58"/>
      <c r="S515" s="58"/>
      <c r="T515" s="58"/>
      <c r="U515" s="58"/>
    </row>
    <row r="516" spans="2:21" x14ac:dyDescent="0.15">
      <c r="B516" s="58"/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</row>
    <row r="517" spans="2:21" x14ac:dyDescent="0.15">
      <c r="B517" s="58"/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</row>
    <row r="518" spans="2:21" x14ac:dyDescent="0.15">
      <c r="B518" s="58"/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</row>
    <row r="519" spans="2:21" x14ac:dyDescent="0.15">
      <c r="B519" s="58"/>
      <c r="C519" s="58"/>
      <c r="D519" s="58"/>
      <c r="E519" s="58"/>
      <c r="F519" s="58"/>
      <c r="G519" s="58"/>
      <c r="H519" s="58"/>
      <c r="I519" s="58"/>
      <c r="J519" s="58"/>
      <c r="K519" s="58"/>
      <c r="L519" s="58"/>
      <c r="M519" s="58"/>
      <c r="N519" s="58"/>
      <c r="O519" s="58"/>
      <c r="P519" s="58"/>
      <c r="Q519" s="58"/>
      <c r="R519" s="58"/>
      <c r="S519" s="58"/>
      <c r="T519" s="58"/>
      <c r="U519" s="58"/>
    </row>
    <row r="520" spans="2:21" x14ac:dyDescent="0.15">
      <c r="B520" s="58"/>
      <c r="C520" s="58"/>
      <c r="D520" s="58"/>
      <c r="E520" s="58"/>
      <c r="F520" s="58"/>
      <c r="G520" s="58"/>
      <c r="H520" s="58"/>
      <c r="I520" s="58"/>
      <c r="J520" s="58"/>
      <c r="K520" s="58"/>
      <c r="L520" s="58"/>
      <c r="M520" s="58"/>
      <c r="N520" s="58"/>
      <c r="O520" s="58"/>
      <c r="P520" s="58"/>
      <c r="Q520" s="58"/>
      <c r="R520" s="58"/>
      <c r="S520" s="58"/>
      <c r="T520" s="58"/>
      <c r="U520" s="58"/>
    </row>
    <row r="521" spans="2:21" x14ac:dyDescent="0.15">
      <c r="B521" s="58"/>
      <c r="C521" s="58"/>
      <c r="D521" s="58"/>
      <c r="E521" s="58"/>
      <c r="F521" s="58"/>
      <c r="G521" s="58"/>
      <c r="H521" s="58"/>
      <c r="I521" s="58"/>
      <c r="J521" s="58"/>
      <c r="K521" s="58"/>
      <c r="L521" s="58"/>
      <c r="M521" s="58"/>
      <c r="N521" s="58"/>
      <c r="O521" s="58"/>
      <c r="P521" s="58"/>
      <c r="Q521" s="58"/>
      <c r="R521" s="58"/>
      <c r="S521" s="58"/>
      <c r="T521" s="58"/>
      <c r="U521" s="58"/>
    </row>
    <row r="522" spans="2:21" x14ac:dyDescent="0.15">
      <c r="B522" s="58"/>
      <c r="C522" s="58"/>
      <c r="D522" s="58"/>
      <c r="E522" s="58"/>
      <c r="F522" s="58"/>
      <c r="G522" s="58"/>
      <c r="H522" s="58"/>
      <c r="I522" s="58"/>
      <c r="J522" s="58"/>
      <c r="K522" s="58"/>
      <c r="L522" s="58"/>
      <c r="M522" s="58"/>
      <c r="N522" s="58"/>
      <c r="O522" s="58"/>
      <c r="P522" s="58"/>
      <c r="Q522" s="58"/>
      <c r="R522" s="58"/>
      <c r="S522" s="58"/>
      <c r="T522" s="58"/>
      <c r="U522" s="58"/>
    </row>
    <row r="523" spans="2:21" x14ac:dyDescent="0.15">
      <c r="B523" s="58"/>
      <c r="C523" s="58"/>
      <c r="D523" s="58"/>
      <c r="E523" s="58"/>
      <c r="F523" s="58"/>
      <c r="G523" s="58"/>
      <c r="H523" s="58"/>
      <c r="I523" s="58"/>
      <c r="J523" s="58"/>
      <c r="K523" s="58"/>
      <c r="L523" s="58"/>
      <c r="M523" s="58"/>
      <c r="N523" s="58"/>
      <c r="O523" s="58"/>
      <c r="P523" s="58"/>
      <c r="Q523" s="58"/>
      <c r="R523" s="58"/>
      <c r="S523" s="58"/>
      <c r="T523" s="58"/>
      <c r="U523" s="58"/>
    </row>
    <row r="524" spans="2:21" x14ac:dyDescent="0.15">
      <c r="B524" s="58"/>
      <c r="C524" s="58"/>
      <c r="D524" s="58"/>
      <c r="E524" s="58"/>
      <c r="F524" s="58"/>
      <c r="G524" s="58"/>
      <c r="H524" s="58"/>
      <c r="I524" s="58"/>
      <c r="J524" s="58"/>
      <c r="K524" s="58"/>
      <c r="L524" s="58"/>
      <c r="M524" s="58"/>
      <c r="N524" s="58"/>
      <c r="O524" s="58"/>
      <c r="P524" s="58"/>
      <c r="Q524" s="58"/>
      <c r="R524" s="58"/>
      <c r="S524" s="58"/>
      <c r="T524" s="58"/>
      <c r="U524" s="58"/>
    </row>
    <row r="525" spans="2:21" x14ac:dyDescent="0.15">
      <c r="B525" s="58"/>
      <c r="C525" s="58"/>
      <c r="D525" s="58"/>
      <c r="E525" s="58"/>
      <c r="F525" s="58"/>
      <c r="G525" s="58"/>
      <c r="H525" s="58"/>
      <c r="I525" s="58"/>
      <c r="J525" s="58"/>
      <c r="K525" s="58"/>
      <c r="L525" s="58"/>
      <c r="M525" s="58"/>
      <c r="N525" s="58"/>
      <c r="O525" s="58"/>
      <c r="P525" s="58"/>
      <c r="Q525" s="58"/>
      <c r="R525" s="58"/>
      <c r="S525" s="58"/>
      <c r="T525" s="58"/>
      <c r="U525" s="58"/>
    </row>
    <row r="526" spans="2:21" x14ac:dyDescent="0.15">
      <c r="B526" s="58"/>
      <c r="C526" s="58"/>
      <c r="D526" s="58"/>
      <c r="E526" s="58"/>
      <c r="F526" s="58"/>
      <c r="G526" s="58"/>
      <c r="H526" s="58"/>
      <c r="I526" s="58"/>
      <c r="J526" s="58"/>
      <c r="K526" s="58"/>
      <c r="L526" s="58"/>
      <c r="M526" s="58"/>
      <c r="N526" s="58"/>
      <c r="O526" s="58"/>
      <c r="P526" s="58"/>
      <c r="Q526" s="58"/>
      <c r="R526" s="58"/>
      <c r="S526" s="58"/>
      <c r="T526" s="58"/>
      <c r="U526" s="58"/>
    </row>
    <row r="527" spans="2:21" x14ac:dyDescent="0.15">
      <c r="B527" s="58"/>
      <c r="C527" s="58"/>
      <c r="D527" s="58"/>
      <c r="E527" s="58"/>
      <c r="F527" s="58"/>
      <c r="G527" s="58"/>
      <c r="H527" s="58"/>
      <c r="I527" s="58"/>
      <c r="J527" s="58"/>
      <c r="K527" s="58"/>
      <c r="L527" s="58"/>
      <c r="M527" s="58"/>
      <c r="N527" s="58"/>
      <c r="O527" s="58"/>
      <c r="P527" s="58"/>
      <c r="Q527" s="58"/>
      <c r="R527" s="58"/>
      <c r="S527" s="58"/>
      <c r="T527" s="58"/>
      <c r="U527" s="58"/>
    </row>
    <row r="528" spans="2:21" x14ac:dyDescent="0.15">
      <c r="B528" s="58"/>
      <c r="C528" s="58"/>
      <c r="D528" s="58"/>
      <c r="E528" s="58"/>
      <c r="F528" s="58"/>
      <c r="G528" s="58"/>
      <c r="H528" s="58"/>
      <c r="I528" s="58"/>
      <c r="J528" s="58"/>
      <c r="K528" s="58"/>
      <c r="L528" s="58"/>
      <c r="M528" s="58"/>
      <c r="N528" s="58"/>
      <c r="O528" s="58"/>
      <c r="P528" s="58"/>
      <c r="Q528" s="58"/>
      <c r="R528" s="58"/>
      <c r="S528" s="58"/>
      <c r="T528" s="58"/>
      <c r="U528" s="58"/>
    </row>
    <row r="529" spans="2:21" x14ac:dyDescent="0.15">
      <c r="B529" s="58"/>
      <c r="C529" s="58"/>
      <c r="D529" s="58"/>
      <c r="E529" s="58"/>
      <c r="F529" s="58"/>
      <c r="G529" s="58"/>
      <c r="H529" s="58"/>
      <c r="I529" s="58"/>
      <c r="J529" s="58"/>
      <c r="K529" s="58"/>
      <c r="L529" s="58"/>
      <c r="M529" s="58"/>
      <c r="N529" s="58"/>
      <c r="O529" s="58"/>
      <c r="P529" s="58"/>
      <c r="Q529" s="58"/>
      <c r="R529" s="58"/>
      <c r="S529" s="58"/>
      <c r="T529" s="58"/>
      <c r="U529" s="58"/>
    </row>
    <row r="530" spans="2:21" x14ac:dyDescent="0.15">
      <c r="B530" s="58"/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</row>
    <row r="531" spans="2:21" x14ac:dyDescent="0.15">
      <c r="B531" s="58"/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</row>
    <row r="532" spans="2:21" x14ac:dyDescent="0.15">
      <c r="B532" s="58"/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</row>
    <row r="533" spans="2:21" x14ac:dyDescent="0.15">
      <c r="B533" s="58"/>
      <c r="C533" s="58"/>
      <c r="D533" s="58"/>
      <c r="E533" s="58"/>
      <c r="F533" s="58"/>
      <c r="G533" s="58"/>
      <c r="H533" s="58"/>
      <c r="I533" s="58"/>
      <c r="J533" s="58"/>
      <c r="K533" s="58"/>
      <c r="L533" s="58"/>
      <c r="M533" s="58"/>
      <c r="N533" s="58"/>
      <c r="O533" s="58"/>
      <c r="P533" s="58"/>
      <c r="Q533" s="58"/>
      <c r="R533" s="58"/>
      <c r="S533" s="58"/>
      <c r="T533" s="58"/>
      <c r="U533" s="58"/>
    </row>
    <row r="534" spans="2:21" x14ac:dyDescent="0.15">
      <c r="B534" s="58"/>
      <c r="C534" s="58"/>
      <c r="D534" s="58"/>
      <c r="E534" s="58"/>
      <c r="F534" s="58"/>
      <c r="G534" s="58"/>
      <c r="H534" s="58"/>
      <c r="I534" s="58"/>
      <c r="J534" s="58"/>
      <c r="K534" s="58"/>
      <c r="L534" s="58"/>
      <c r="M534" s="58"/>
      <c r="N534" s="58"/>
      <c r="O534" s="58"/>
      <c r="P534" s="58"/>
      <c r="Q534" s="58"/>
      <c r="R534" s="58"/>
      <c r="S534" s="58"/>
      <c r="T534" s="58"/>
      <c r="U534" s="58"/>
    </row>
    <row r="535" spans="2:21" x14ac:dyDescent="0.15">
      <c r="B535" s="58"/>
      <c r="C535" s="58"/>
      <c r="D535" s="58"/>
      <c r="E535" s="58"/>
      <c r="F535" s="58"/>
      <c r="G535" s="58"/>
      <c r="H535" s="58"/>
      <c r="I535" s="58"/>
      <c r="J535" s="58"/>
      <c r="K535" s="58"/>
      <c r="L535" s="58"/>
      <c r="M535" s="58"/>
      <c r="N535" s="58"/>
      <c r="O535" s="58"/>
      <c r="P535" s="58"/>
      <c r="Q535" s="58"/>
      <c r="R535" s="58"/>
      <c r="S535" s="58"/>
      <c r="T535" s="58"/>
      <c r="U535" s="58"/>
    </row>
    <row r="536" spans="2:21" x14ac:dyDescent="0.15">
      <c r="B536" s="58"/>
      <c r="C536" s="58"/>
      <c r="D536" s="58"/>
      <c r="E536" s="58"/>
      <c r="F536" s="58"/>
      <c r="G536" s="58"/>
      <c r="H536" s="58"/>
      <c r="I536" s="58"/>
      <c r="J536" s="58"/>
      <c r="K536" s="58"/>
      <c r="L536" s="58"/>
      <c r="M536" s="58"/>
      <c r="N536" s="58"/>
      <c r="O536" s="58"/>
      <c r="P536" s="58"/>
      <c r="Q536" s="58"/>
      <c r="R536" s="58"/>
      <c r="S536" s="58"/>
      <c r="T536" s="58"/>
      <c r="U536" s="58"/>
    </row>
    <row r="537" spans="2:21" x14ac:dyDescent="0.15">
      <c r="B537" s="58"/>
      <c r="C537" s="58"/>
      <c r="D537" s="58"/>
      <c r="E537" s="58"/>
      <c r="F537" s="58"/>
      <c r="G537" s="58"/>
      <c r="H537" s="58"/>
      <c r="I537" s="58"/>
      <c r="J537" s="58"/>
      <c r="K537" s="58"/>
      <c r="L537" s="58"/>
      <c r="M537" s="58"/>
      <c r="N537" s="58"/>
      <c r="O537" s="58"/>
      <c r="P537" s="58"/>
      <c r="Q537" s="58"/>
      <c r="R537" s="58"/>
      <c r="S537" s="58"/>
      <c r="T537" s="58"/>
      <c r="U537" s="58"/>
    </row>
    <row r="538" spans="2:21" x14ac:dyDescent="0.15">
      <c r="B538" s="58"/>
      <c r="C538" s="58"/>
      <c r="D538" s="58"/>
      <c r="E538" s="58"/>
      <c r="F538" s="58"/>
      <c r="G538" s="58"/>
      <c r="H538" s="58"/>
      <c r="I538" s="58"/>
      <c r="J538" s="58"/>
      <c r="K538" s="58"/>
      <c r="L538" s="58"/>
      <c r="M538" s="58"/>
      <c r="N538" s="58"/>
      <c r="O538" s="58"/>
      <c r="P538" s="58"/>
      <c r="Q538" s="58"/>
      <c r="R538" s="58"/>
      <c r="S538" s="58"/>
      <c r="T538" s="58"/>
      <c r="U538" s="58"/>
    </row>
    <row r="539" spans="2:21" x14ac:dyDescent="0.15">
      <c r="B539" s="58"/>
      <c r="C539" s="58"/>
      <c r="D539" s="58"/>
      <c r="E539" s="58"/>
      <c r="F539" s="58"/>
      <c r="G539" s="58"/>
      <c r="H539" s="58"/>
      <c r="I539" s="58"/>
      <c r="J539" s="58"/>
      <c r="K539" s="58"/>
      <c r="L539" s="58"/>
      <c r="M539" s="58"/>
      <c r="N539" s="58"/>
      <c r="O539" s="58"/>
      <c r="P539" s="58"/>
      <c r="Q539" s="58"/>
      <c r="R539" s="58"/>
      <c r="S539" s="58"/>
      <c r="T539" s="58"/>
      <c r="U539" s="58"/>
    </row>
    <row r="540" spans="2:21" x14ac:dyDescent="0.15">
      <c r="B540" s="58"/>
      <c r="C540" s="58"/>
      <c r="D540" s="58"/>
      <c r="E540" s="58"/>
      <c r="F540" s="58"/>
      <c r="G540" s="58"/>
      <c r="H540" s="58"/>
      <c r="I540" s="58"/>
      <c r="J540" s="58"/>
      <c r="K540" s="58"/>
      <c r="L540" s="58"/>
      <c r="M540" s="58"/>
      <c r="N540" s="58"/>
      <c r="O540" s="58"/>
      <c r="P540" s="58"/>
      <c r="Q540" s="58"/>
      <c r="R540" s="58"/>
      <c r="S540" s="58"/>
      <c r="T540" s="58"/>
      <c r="U540" s="58"/>
    </row>
    <row r="541" spans="2:21" x14ac:dyDescent="0.15">
      <c r="B541" s="58"/>
      <c r="C541" s="58"/>
      <c r="D541" s="58"/>
      <c r="E541" s="58"/>
      <c r="F541" s="58"/>
      <c r="G541" s="58"/>
      <c r="H541" s="58"/>
      <c r="I541" s="58"/>
      <c r="J541" s="58"/>
      <c r="K541" s="58"/>
      <c r="L541" s="58"/>
      <c r="M541" s="58"/>
      <c r="N541" s="58"/>
      <c r="O541" s="58"/>
      <c r="P541" s="58"/>
      <c r="Q541" s="58"/>
      <c r="R541" s="58"/>
      <c r="S541" s="58"/>
      <c r="T541" s="58"/>
      <c r="U541" s="58"/>
    </row>
    <row r="542" spans="2:21" x14ac:dyDescent="0.15">
      <c r="B542" s="58"/>
      <c r="C542" s="58"/>
      <c r="D542" s="58"/>
      <c r="E542" s="58"/>
      <c r="F542" s="58"/>
      <c r="G542" s="58"/>
      <c r="H542" s="58"/>
      <c r="I542" s="58"/>
      <c r="J542" s="58"/>
      <c r="K542" s="58"/>
      <c r="L542" s="58"/>
      <c r="M542" s="58"/>
      <c r="N542" s="58"/>
      <c r="O542" s="58"/>
      <c r="P542" s="58"/>
      <c r="Q542" s="58"/>
      <c r="R542" s="58"/>
      <c r="S542" s="58"/>
      <c r="T542" s="58"/>
      <c r="U542" s="58"/>
    </row>
    <row r="543" spans="2:21" x14ac:dyDescent="0.15">
      <c r="B543" s="58"/>
      <c r="C543" s="58"/>
      <c r="D543" s="58"/>
      <c r="E543" s="58"/>
      <c r="F543" s="58"/>
      <c r="G543" s="58"/>
      <c r="H543" s="58"/>
      <c r="I543" s="58"/>
      <c r="J543" s="58"/>
      <c r="K543" s="58"/>
      <c r="L543" s="58"/>
      <c r="M543" s="58"/>
      <c r="N543" s="58"/>
      <c r="O543" s="58"/>
      <c r="P543" s="58"/>
      <c r="Q543" s="58"/>
      <c r="R543" s="58"/>
      <c r="S543" s="58"/>
      <c r="T543" s="58"/>
      <c r="U543" s="58"/>
    </row>
    <row r="544" spans="2:21" x14ac:dyDescent="0.15">
      <c r="B544" s="58"/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</row>
    <row r="545" spans="2:21" x14ac:dyDescent="0.15">
      <c r="B545" s="58"/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</row>
    <row r="546" spans="2:21" x14ac:dyDescent="0.15">
      <c r="B546" s="58"/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</row>
    <row r="547" spans="2:21" x14ac:dyDescent="0.15">
      <c r="B547" s="58"/>
      <c r="C547" s="58"/>
      <c r="D547" s="58"/>
      <c r="E547" s="58"/>
      <c r="F547" s="58"/>
      <c r="G547" s="58"/>
      <c r="H547" s="58"/>
      <c r="I547" s="58"/>
      <c r="J547" s="58"/>
      <c r="K547" s="58"/>
      <c r="L547" s="58"/>
      <c r="M547" s="58"/>
      <c r="N547" s="58"/>
      <c r="O547" s="58"/>
      <c r="P547" s="58"/>
      <c r="Q547" s="58"/>
      <c r="R547" s="58"/>
      <c r="S547" s="58"/>
      <c r="T547" s="58"/>
      <c r="U547" s="58"/>
    </row>
    <row r="548" spans="2:21" x14ac:dyDescent="0.15">
      <c r="B548" s="58"/>
      <c r="C548" s="58"/>
      <c r="D548" s="58"/>
      <c r="E548" s="58"/>
      <c r="F548" s="58"/>
      <c r="G548" s="58"/>
      <c r="H548" s="58"/>
      <c r="I548" s="58"/>
      <c r="J548" s="58"/>
      <c r="K548" s="58"/>
      <c r="L548" s="58"/>
      <c r="M548" s="58"/>
      <c r="N548" s="58"/>
      <c r="O548" s="58"/>
      <c r="P548" s="58"/>
      <c r="Q548" s="58"/>
      <c r="R548" s="58"/>
      <c r="S548" s="58"/>
      <c r="T548" s="58"/>
      <c r="U548" s="58"/>
    </row>
    <row r="549" spans="2:21" x14ac:dyDescent="0.15">
      <c r="B549" s="58"/>
      <c r="C549" s="58"/>
      <c r="D549" s="58"/>
      <c r="E549" s="58"/>
      <c r="F549" s="58"/>
      <c r="G549" s="58"/>
      <c r="H549" s="58"/>
      <c r="I549" s="58"/>
      <c r="J549" s="58"/>
      <c r="K549" s="58"/>
      <c r="L549" s="58"/>
      <c r="M549" s="58"/>
      <c r="N549" s="58"/>
      <c r="O549" s="58"/>
      <c r="P549" s="58"/>
      <c r="Q549" s="58"/>
      <c r="R549" s="58"/>
      <c r="S549" s="58"/>
      <c r="T549" s="58"/>
      <c r="U549" s="58"/>
    </row>
    <row r="550" spans="2:21" x14ac:dyDescent="0.15">
      <c r="B550" s="58"/>
      <c r="C550" s="58"/>
      <c r="D550" s="58"/>
      <c r="E550" s="58"/>
      <c r="F550" s="58"/>
      <c r="G550" s="58"/>
      <c r="H550" s="58"/>
      <c r="I550" s="58"/>
      <c r="J550" s="58"/>
      <c r="K550" s="58"/>
      <c r="L550" s="58"/>
      <c r="M550" s="58"/>
      <c r="N550" s="58"/>
      <c r="O550" s="58"/>
      <c r="P550" s="58"/>
      <c r="Q550" s="58"/>
      <c r="R550" s="58"/>
      <c r="S550" s="58"/>
      <c r="T550" s="58"/>
      <c r="U550" s="58"/>
    </row>
    <row r="551" spans="2:21" x14ac:dyDescent="0.15">
      <c r="B551" s="58"/>
      <c r="C551" s="58"/>
      <c r="D551" s="58"/>
      <c r="E551" s="58"/>
      <c r="F551" s="58"/>
      <c r="G551" s="58"/>
      <c r="H551" s="58"/>
      <c r="I551" s="58"/>
      <c r="J551" s="58"/>
      <c r="K551" s="58"/>
      <c r="L551" s="58"/>
      <c r="M551" s="58"/>
      <c r="N551" s="58"/>
      <c r="O551" s="58"/>
      <c r="P551" s="58"/>
      <c r="Q551" s="58"/>
      <c r="R551" s="58"/>
      <c r="S551" s="58"/>
      <c r="T551" s="58"/>
      <c r="U551" s="58"/>
    </row>
    <row r="552" spans="2:21" x14ac:dyDescent="0.15">
      <c r="B552" s="58"/>
      <c r="C552" s="58"/>
      <c r="D552" s="58"/>
      <c r="E552" s="58"/>
      <c r="F552" s="58"/>
      <c r="G552" s="58"/>
      <c r="H552" s="58"/>
      <c r="I552" s="58"/>
      <c r="J552" s="58"/>
      <c r="K552" s="58"/>
      <c r="L552" s="58"/>
      <c r="M552" s="58"/>
      <c r="N552" s="58"/>
      <c r="O552" s="58"/>
      <c r="P552" s="58"/>
      <c r="Q552" s="58"/>
      <c r="R552" s="58"/>
      <c r="S552" s="58"/>
      <c r="T552" s="58"/>
      <c r="U552" s="58"/>
    </row>
    <row r="553" spans="2:21" x14ac:dyDescent="0.15">
      <c r="B553" s="58"/>
      <c r="C553" s="58"/>
      <c r="D553" s="58"/>
      <c r="E553" s="58"/>
      <c r="F553" s="58"/>
      <c r="G553" s="58"/>
      <c r="H553" s="58"/>
      <c r="I553" s="58"/>
      <c r="J553" s="58"/>
      <c r="K553" s="58"/>
      <c r="L553" s="58"/>
      <c r="M553" s="58"/>
      <c r="N553" s="58"/>
      <c r="O553" s="58"/>
      <c r="P553" s="58"/>
      <c r="Q553" s="58"/>
      <c r="R553" s="58"/>
      <c r="S553" s="58"/>
      <c r="T553" s="58"/>
      <c r="U553" s="58"/>
    </row>
    <row r="554" spans="2:21" x14ac:dyDescent="0.15">
      <c r="B554" s="58"/>
      <c r="C554" s="58"/>
      <c r="D554" s="58"/>
      <c r="E554" s="58"/>
      <c r="F554" s="58"/>
      <c r="G554" s="58"/>
      <c r="H554" s="58"/>
      <c r="I554" s="58"/>
      <c r="J554" s="58"/>
      <c r="K554" s="58"/>
      <c r="L554" s="58"/>
      <c r="M554" s="58"/>
      <c r="N554" s="58"/>
      <c r="O554" s="58"/>
      <c r="P554" s="58"/>
      <c r="Q554" s="58"/>
      <c r="R554" s="58"/>
      <c r="S554" s="58"/>
      <c r="T554" s="58"/>
      <c r="U554" s="58"/>
    </row>
    <row r="555" spans="2:21" x14ac:dyDescent="0.15">
      <c r="B555" s="58"/>
      <c r="C555" s="58"/>
      <c r="D555" s="58"/>
      <c r="E555" s="58"/>
      <c r="F555" s="58"/>
      <c r="G555" s="58"/>
      <c r="H555" s="58"/>
      <c r="I555" s="58"/>
      <c r="J555" s="58"/>
      <c r="K555" s="58"/>
      <c r="L555" s="58"/>
      <c r="M555" s="58"/>
      <c r="N555" s="58"/>
      <c r="O555" s="58"/>
      <c r="P555" s="58"/>
      <c r="Q555" s="58"/>
      <c r="R555" s="58"/>
      <c r="S555" s="58"/>
      <c r="T555" s="58"/>
      <c r="U555" s="58"/>
    </row>
    <row r="556" spans="2:21" x14ac:dyDescent="0.15">
      <c r="B556" s="58"/>
      <c r="C556" s="58"/>
      <c r="D556" s="58"/>
      <c r="E556" s="58"/>
      <c r="F556" s="58"/>
      <c r="G556" s="58"/>
      <c r="H556" s="58"/>
      <c r="I556" s="58"/>
      <c r="J556" s="58"/>
      <c r="K556" s="58"/>
      <c r="L556" s="58"/>
      <c r="M556" s="58"/>
      <c r="N556" s="58"/>
      <c r="O556" s="58"/>
      <c r="P556" s="58"/>
      <c r="Q556" s="58"/>
      <c r="R556" s="58"/>
      <c r="S556" s="58"/>
      <c r="T556" s="58"/>
      <c r="U556" s="58"/>
    </row>
    <row r="557" spans="2:21" x14ac:dyDescent="0.15">
      <c r="B557" s="58"/>
      <c r="C557" s="58"/>
      <c r="D557" s="58"/>
      <c r="E557" s="58"/>
      <c r="F557" s="58"/>
      <c r="G557" s="58"/>
      <c r="H557" s="58"/>
      <c r="I557" s="58"/>
      <c r="J557" s="58"/>
      <c r="K557" s="58"/>
      <c r="L557" s="58"/>
      <c r="M557" s="58"/>
      <c r="N557" s="58"/>
      <c r="O557" s="58"/>
      <c r="P557" s="58"/>
      <c r="Q557" s="58"/>
      <c r="R557" s="58"/>
      <c r="S557" s="58"/>
      <c r="T557" s="58"/>
      <c r="U557" s="58"/>
    </row>
    <row r="558" spans="2:21" x14ac:dyDescent="0.15">
      <c r="B558" s="58"/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</row>
    <row r="559" spans="2:21" x14ac:dyDescent="0.15">
      <c r="B559" s="58"/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</row>
    <row r="560" spans="2:21" x14ac:dyDescent="0.15">
      <c r="B560" s="58"/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</row>
    <row r="561" spans="2:21" x14ac:dyDescent="0.15">
      <c r="B561" s="58"/>
      <c r="C561" s="58"/>
      <c r="D561" s="58"/>
      <c r="E561" s="58"/>
      <c r="F561" s="58"/>
      <c r="G561" s="58"/>
      <c r="H561" s="58"/>
      <c r="I561" s="58"/>
      <c r="J561" s="58"/>
      <c r="K561" s="58"/>
      <c r="L561" s="58"/>
      <c r="M561" s="58"/>
      <c r="N561" s="58"/>
      <c r="O561" s="58"/>
      <c r="P561" s="58"/>
      <c r="Q561" s="58"/>
      <c r="R561" s="58"/>
      <c r="S561" s="58"/>
      <c r="T561" s="58"/>
      <c r="U561" s="58"/>
    </row>
    <row r="562" spans="2:21" x14ac:dyDescent="0.15">
      <c r="B562" s="58"/>
      <c r="C562" s="58"/>
      <c r="D562" s="58"/>
      <c r="E562" s="58"/>
      <c r="F562" s="58"/>
      <c r="G562" s="58"/>
      <c r="H562" s="58"/>
      <c r="I562" s="58"/>
      <c r="J562" s="58"/>
      <c r="K562" s="58"/>
      <c r="L562" s="58"/>
      <c r="M562" s="58"/>
      <c r="N562" s="58"/>
      <c r="O562" s="58"/>
      <c r="P562" s="58"/>
      <c r="Q562" s="58"/>
      <c r="R562" s="58"/>
      <c r="S562" s="58"/>
      <c r="T562" s="58"/>
      <c r="U562" s="58"/>
    </row>
    <row r="563" spans="2:21" x14ac:dyDescent="0.15">
      <c r="B563" s="58"/>
      <c r="C563" s="58"/>
      <c r="D563" s="58"/>
      <c r="E563" s="58"/>
      <c r="F563" s="58"/>
      <c r="G563" s="58"/>
      <c r="H563" s="58"/>
      <c r="I563" s="58"/>
      <c r="J563" s="58"/>
      <c r="K563" s="58"/>
      <c r="L563" s="58"/>
      <c r="M563" s="58"/>
      <c r="N563" s="58"/>
      <c r="O563" s="58"/>
      <c r="P563" s="58"/>
      <c r="Q563" s="58"/>
      <c r="R563" s="58"/>
      <c r="S563" s="58"/>
      <c r="T563" s="58"/>
      <c r="U563" s="58"/>
    </row>
    <row r="564" spans="2:21" x14ac:dyDescent="0.15">
      <c r="B564" s="58"/>
      <c r="C564" s="58"/>
      <c r="D564" s="58"/>
      <c r="E564" s="58"/>
      <c r="F564" s="58"/>
      <c r="G564" s="58"/>
      <c r="H564" s="58"/>
      <c r="I564" s="58"/>
      <c r="J564" s="58"/>
      <c r="K564" s="58"/>
      <c r="L564" s="58"/>
      <c r="M564" s="58"/>
      <c r="N564" s="58"/>
      <c r="O564" s="58"/>
      <c r="P564" s="58"/>
      <c r="Q564" s="58"/>
      <c r="R564" s="58"/>
      <c r="S564" s="58"/>
      <c r="T564" s="58"/>
      <c r="U564" s="58"/>
    </row>
    <row r="565" spans="2:21" x14ac:dyDescent="0.15">
      <c r="B565" s="58"/>
      <c r="C565" s="58"/>
      <c r="D565" s="58"/>
      <c r="E565" s="58"/>
      <c r="F565" s="58"/>
      <c r="G565" s="58"/>
      <c r="H565" s="58"/>
      <c r="I565" s="58"/>
      <c r="J565" s="58"/>
      <c r="K565" s="58"/>
      <c r="L565" s="58"/>
      <c r="M565" s="58"/>
      <c r="N565" s="58"/>
      <c r="O565" s="58"/>
      <c r="P565" s="58"/>
      <c r="Q565" s="58"/>
      <c r="R565" s="58"/>
      <c r="S565" s="58"/>
      <c r="T565" s="58"/>
      <c r="U565" s="58"/>
    </row>
    <row r="566" spans="2:21" x14ac:dyDescent="0.15">
      <c r="B566" s="58"/>
      <c r="C566" s="58"/>
      <c r="D566" s="58"/>
      <c r="E566" s="58"/>
      <c r="F566" s="58"/>
      <c r="G566" s="58"/>
      <c r="H566" s="58"/>
      <c r="I566" s="58"/>
      <c r="J566" s="58"/>
      <c r="K566" s="58"/>
      <c r="L566" s="58"/>
      <c r="M566" s="58"/>
      <c r="N566" s="58"/>
      <c r="O566" s="58"/>
      <c r="P566" s="58"/>
      <c r="Q566" s="58"/>
      <c r="R566" s="58"/>
      <c r="S566" s="58"/>
      <c r="T566" s="58"/>
      <c r="U566" s="58"/>
    </row>
    <row r="567" spans="2:21" x14ac:dyDescent="0.15">
      <c r="B567" s="58"/>
      <c r="C567" s="58"/>
      <c r="D567" s="58"/>
      <c r="E567" s="58"/>
      <c r="F567" s="58"/>
      <c r="G567" s="58"/>
      <c r="H567" s="58"/>
      <c r="I567" s="58"/>
      <c r="J567" s="58"/>
      <c r="K567" s="58"/>
      <c r="L567" s="58"/>
      <c r="M567" s="58"/>
      <c r="N567" s="58"/>
      <c r="O567" s="58"/>
      <c r="P567" s="58"/>
      <c r="Q567" s="58"/>
      <c r="R567" s="58"/>
      <c r="S567" s="58"/>
      <c r="T567" s="58"/>
      <c r="U567" s="58"/>
    </row>
    <row r="568" spans="2:21" x14ac:dyDescent="0.15">
      <c r="B568" s="58"/>
      <c r="C568" s="58"/>
      <c r="D568" s="58"/>
      <c r="E568" s="58"/>
      <c r="F568" s="58"/>
      <c r="G568" s="58"/>
      <c r="H568" s="58"/>
      <c r="I568" s="58"/>
      <c r="J568" s="58"/>
      <c r="K568" s="58"/>
      <c r="L568" s="58"/>
      <c r="M568" s="58"/>
      <c r="N568" s="58"/>
      <c r="O568" s="58"/>
      <c r="P568" s="58"/>
      <c r="Q568" s="58"/>
      <c r="R568" s="58"/>
      <c r="S568" s="58"/>
      <c r="T568" s="58"/>
      <c r="U568" s="58"/>
    </row>
    <row r="569" spans="2:21" x14ac:dyDescent="0.15">
      <c r="B569" s="58"/>
      <c r="C569" s="58"/>
      <c r="D569" s="58"/>
      <c r="E569" s="58"/>
      <c r="F569" s="58"/>
      <c r="G569" s="58"/>
      <c r="H569" s="58"/>
      <c r="I569" s="58"/>
      <c r="J569" s="58"/>
      <c r="K569" s="58"/>
      <c r="L569" s="58"/>
      <c r="M569" s="58"/>
      <c r="N569" s="58"/>
      <c r="O569" s="58"/>
      <c r="P569" s="58"/>
      <c r="Q569" s="58"/>
      <c r="R569" s="58"/>
      <c r="S569" s="58"/>
      <c r="T569" s="58"/>
      <c r="U569" s="58"/>
    </row>
    <row r="570" spans="2:21" x14ac:dyDescent="0.15">
      <c r="B570" s="58"/>
      <c r="C570" s="58"/>
      <c r="D570" s="58"/>
      <c r="E570" s="58"/>
      <c r="F570" s="58"/>
      <c r="G570" s="58"/>
      <c r="H570" s="58"/>
      <c r="I570" s="58"/>
      <c r="J570" s="58"/>
      <c r="K570" s="58"/>
      <c r="L570" s="58"/>
      <c r="M570" s="58"/>
      <c r="N570" s="58"/>
      <c r="O570" s="58"/>
      <c r="P570" s="58"/>
      <c r="Q570" s="58"/>
      <c r="R570" s="58"/>
      <c r="S570" s="58"/>
      <c r="T570" s="58"/>
      <c r="U570" s="58"/>
    </row>
    <row r="571" spans="2:21" x14ac:dyDescent="0.15">
      <c r="B571" s="58"/>
      <c r="C571" s="58"/>
      <c r="D571" s="58"/>
      <c r="E571" s="58"/>
      <c r="F571" s="58"/>
      <c r="G571" s="58"/>
      <c r="H571" s="58"/>
      <c r="I571" s="58"/>
      <c r="J571" s="58"/>
      <c r="K571" s="58"/>
      <c r="L571" s="58"/>
      <c r="M571" s="58"/>
      <c r="N571" s="58"/>
      <c r="O571" s="58"/>
      <c r="P571" s="58"/>
      <c r="Q571" s="58"/>
      <c r="R571" s="58"/>
      <c r="S571" s="58"/>
      <c r="T571" s="58"/>
      <c r="U571" s="58"/>
    </row>
    <row r="572" spans="2:21" x14ac:dyDescent="0.15">
      <c r="B572" s="58"/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</row>
    <row r="573" spans="2:21" x14ac:dyDescent="0.15">
      <c r="B573" s="58"/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</row>
    <row r="574" spans="2:21" x14ac:dyDescent="0.15">
      <c r="B574" s="58"/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</row>
    <row r="575" spans="2:21" x14ac:dyDescent="0.15">
      <c r="B575" s="58"/>
      <c r="C575" s="58"/>
      <c r="D575" s="58"/>
      <c r="E575" s="58"/>
      <c r="F575" s="58"/>
      <c r="G575" s="58"/>
      <c r="H575" s="58"/>
      <c r="I575" s="58"/>
      <c r="J575" s="58"/>
      <c r="K575" s="58"/>
      <c r="L575" s="58"/>
      <c r="M575" s="58"/>
      <c r="N575" s="58"/>
      <c r="O575" s="58"/>
      <c r="P575" s="58"/>
      <c r="Q575" s="58"/>
      <c r="R575" s="58"/>
      <c r="S575" s="58"/>
      <c r="T575" s="58"/>
      <c r="U575" s="58"/>
    </row>
    <row r="576" spans="2:21" x14ac:dyDescent="0.15">
      <c r="B576" s="58"/>
      <c r="C576" s="58"/>
      <c r="D576" s="58"/>
      <c r="E576" s="58"/>
      <c r="F576" s="58"/>
      <c r="G576" s="58"/>
      <c r="H576" s="58"/>
      <c r="I576" s="58"/>
      <c r="J576" s="58"/>
      <c r="K576" s="58"/>
      <c r="L576" s="58"/>
      <c r="M576" s="58"/>
      <c r="N576" s="58"/>
      <c r="O576" s="58"/>
      <c r="P576" s="58"/>
      <c r="Q576" s="58"/>
      <c r="R576" s="58"/>
      <c r="S576" s="58"/>
      <c r="T576" s="58"/>
      <c r="U576" s="58"/>
    </row>
    <row r="577" spans="2:21" x14ac:dyDescent="0.15">
      <c r="B577" s="58"/>
      <c r="C577" s="58"/>
      <c r="D577" s="58"/>
      <c r="E577" s="58"/>
      <c r="F577" s="58"/>
      <c r="G577" s="58"/>
      <c r="H577" s="58"/>
      <c r="I577" s="58"/>
      <c r="J577" s="58"/>
      <c r="K577" s="58"/>
      <c r="L577" s="58"/>
      <c r="M577" s="58"/>
      <c r="N577" s="58"/>
      <c r="O577" s="58"/>
      <c r="P577" s="58"/>
      <c r="Q577" s="58"/>
      <c r="R577" s="58"/>
      <c r="S577" s="58"/>
      <c r="T577" s="58"/>
      <c r="U577" s="58"/>
    </row>
    <row r="578" spans="2:21" x14ac:dyDescent="0.15">
      <c r="B578" s="58"/>
      <c r="C578" s="58"/>
      <c r="D578" s="58"/>
      <c r="E578" s="58"/>
      <c r="F578" s="58"/>
      <c r="G578" s="58"/>
      <c r="H578" s="58"/>
      <c r="I578" s="58"/>
      <c r="J578" s="58"/>
      <c r="K578" s="58"/>
      <c r="L578" s="58"/>
      <c r="M578" s="58"/>
      <c r="N578" s="58"/>
      <c r="O578" s="58"/>
      <c r="P578" s="58"/>
      <c r="Q578" s="58"/>
      <c r="R578" s="58"/>
      <c r="S578" s="58"/>
      <c r="T578" s="58"/>
      <c r="U578" s="58"/>
    </row>
    <row r="579" spans="2:21" x14ac:dyDescent="0.15">
      <c r="B579" s="58"/>
      <c r="C579" s="58"/>
      <c r="D579" s="58"/>
      <c r="E579" s="58"/>
      <c r="F579" s="58"/>
      <c r="G579" s="58"/>
      <c r="H579" s="58"/>
      <c r="I579" s="58"/>
      <c r="J579" s="58"/>
      <c r="K579" s="58"/>
      <c r="L579" s="58"/>
      <c r="M579" s="58"/>
      <c r="N579" s="58"/>
      <c r="O579" s="58"/>
      <c r="P579" s="58"/>
      <c r="Q579" s="58"/>
      <c r="R579" s="58"/>
      <c r="S579" s="58"/>
      <c r="T579" s="58"/>
      <c r="U579" s="58"/>
    </row>
    <row r="580" spans="2:21" x14ac:dyDescent="0.15">
      <c r="B580" s="58"/>
      <c r="C580" s="58"/>
      <c r="D580" s="58"/>
      <c r="E580" s="58"/>
      <c r="F580" s="58"/>
      <c r="G580" s="58"/>
      <c r="H580" s="58"/>
      <c r="I580" s="58"/>
      <c r="J580" s="58"/>
      <c r="K580" s="58"/>
      <c r="L580" s="58"/>
      <c r="M580" s="58"/>
      <c r="N580" s="58"/>
      <c r="O580" s="58"/>
      <c r="P580" s="58"/>
      <c r="Q580" s="58"/>
      <c r="R580" s="58"/>
      <c r="S580" s="58"/>
      <c r="T580" s="58"/>
      <c r="U580" s="58"/>
    </row>
    <row r="581" spans="2:21" x14ac:dyDescent="0.15">
      <c r="B581" s="58"/>
      <c r="C581" s="58"/>
      <c r="D581" s="58"/>
      <c r="E581" s="58"/>
      <c r="F581" s="58"/>
      <c r="G581" s="58"/>
      <c r="H581" s="58"/>
      <c r="I581" s="58"/>
      <c r="J581" s="58"/>
      <c r="K581" s="58"/>
      <c r="L581" s="58"/>
      <c r="M581" s="58"/>
      <c r="N581" s="58"/>
      <c r="O581" s="58"/>
      <c r="P581" s="58"/>
      <c r="Q581" s="58"/>
      <c r="R581" s="58"/>
      <c r="S581" s="58"/>
      <c r="T581" s="58"/>
      <c r="U581" s="58"/>
    </row>
    <row r="582" spans="2:21" x14ac:dyDescent="0.15">
      <c r="B582" s="58"/>
      <c r="C582" s="58"/>
      <c r="D582" s="58"/>
      <c r="E582" s="58"/>
      <c r="F582" s="58"/>
      <c r="G582" s="58"/>
      <c r="H582" s="58"/>
      <c r="I582" s="58"/>
      <c r="J582" s="58"/>
      <c r="K582" s="58"/>
      <c r="L582" s="58"/>
      <c r="M582" s="58"/>
      <c r="N582" s="58"/>
      <c r="O582" s="58"/>
      <c r="P582" s="58"/>
      <c r="Q582" s="58"/>
      <c r="R582" s="58"/>
      <c r="S582" s="58"/>
      <c r="T582" s="58"/>
      <c r="U582" s="58"/>
    </row>
    <row r="583" spans="2:21" x14ac:dyDescent="0.15">
      <c r="B583" s="58"/>
      <c r="C583" s="58"/>
      <c r="D583" s="58"/>
      <c r="E583" s="58"/>
      <c r="F583" s="58"/>
      <c r="G583" s="58"/>
      <c r="H583" s="58"/>
      <c r="I583" s="58"/>
      <c r="J583" s="58"/>
      <c r="K583" s="58"/>
      <c r="L583" s="58"/>
      <c r="M583" s="58"/>
      <c r="N583" s="58"/>
      <c r="O583" s="58"/>
      <c r="P583" s="58"/>
      <c r="Q583" s="58"/>
      <c r="R583" s="58"/>
      <c r="S583" s="58"/>
      <c r="T583" s="58"/>
      <c r="U583" s="58"/>
    </row>
    <row r="584" spans="2:21" x14ac:dyDescent="0.15">
      <c r="B584" s="58"/>
      <c r="C584" s="58"/>
      <c r="D584" s="58"/>
      <c r="E584" s="58"/>
      <c r="F584" s="58"/>
      <c r="G584" s="58"/>
      <c r="H584" s="58"/>
      <c r="I584" s="58"/>
      <c r="J584" s="58"/>
      <c r="K584" s="58"/>
      <c r="L584" s="58"/>
      <c r="M584" s="58"/>
      <c r="N584" s="58"/>
      <c r="O584" s="58"/>
      <c r="P584" s="58"/>
      <c r="Q584" s="58"/>
      <c r="R584" s="58"/>
      <c r="S584" s="58"/>
      <c r="T584" s="58"/>
      <c r="U584" s="58"/>
    </row>
    <row r="585" spans="2:21" x14ac:dyDescent="0.15">
      <c r="B585" s="58"/>
      <c r="C585" s="58"/>
      <c r="D585" s="58"/>
      <c r="E585" s="58"/>
      <c r="F585" s="58"/>
      <c r="G585" s="58"/>
      <c r="H585" s="58"/>
      <c r="I585" s="58"/>
      <c r="J585" s="58"/>
      <c r="K585" s="58"/>
      <c r="L585" s="58"/>
      <c r="M585" s="58"/>
      <c r="N585" s="58"/>
      <c r="O585" s="58"/>
      <c r="P585" s="58"/>
      <c r="Q585" s="58"/>
      <c r="R585" s="58"/>
      <c r="S585" s="58"/>
      <c r="T585" s="58"/>
      <c r="U585" s="58"/>
    </row>
    <row r="586" spans="2:21" x14ac:dyDescent="0.15">
      <c r="B586" s="58"/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</row>
    <row r="587" spans="2:21" x14ac:dyDescent="0.15">
      <c r="B587" s="58"/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</row>
    <row r="588" spans="2:21" x14ac:dyDescent="0.15">
      <c r="B588" s="58"/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</row>
    <row r="589" spans="2:21" x14ac:dyDescent="0.15">
      <c r="B589" s="58"/>
      <c r="C589" s="58"/>
      <c r="D589" s="58"/>
      <c r="E589" s="58"/>
      <c r="F589" s="58"/>
      <c r="G589" s="58"/>
      <c r="H589" s="58"/>
      <c r="I589" s="58"/>
      <c r="J589" s="58"/>
      <c r="K589" s="58"/>
      <c r="L589" s="58"/>
      <c r="M589" s="58"/>
      <c r="N589" s="58"/>
      <c r="O589" s="58"/>
      <c r="P589" s="58"/>
      <c r="Q589" s="58"/>
      <c r="R589" s="58"/>
      <c r="S589" s="58"/>
      <c r="T589" s="58"/>
      <c r="U589" s="58"/>
    </row>
    <row r="590" spans="2:21" x14ac:dyDescent="0.15">
      <c r="B590" s="58"/>
      <c r="C590" s="58"/>
      <c r="D590" s="58"/>
      <c r="E590" s="58"/>
      <c r="F590" s="58"/>
      <c r="G590" s="58"/>
      <c r="H590" s="58"/>
      <c r="I590" s="58"/>
      <c r="J590" s="58"/>
      <c r="K590" s="58"/>
      <c r="L590" s="58"/>
      <c r="M590" s="58"/>
      <c r="N590" s="58"/>
      <c r="O590" s="58"/>
      <c r="P590" s="58"/>
      <c r="Q590" s="58"/>
      <c r="R590" s="58"/>
      <c r="S590" s="58"/>
      <c r="T590" s="58"/>
      <c r="U590" s="58"/>
    </row>
    <row r="591" spans="2:21" x14ac:dyDescent="0.15">
      <c r="B591" s="58"/>
      <c r="C591" s="58"/>
      <c r="D591" s="58"/>
      <c r="E591" s="58"/>
      <c r="F591" s="58"/>
      <c r="G591" s="58"/>
      <c r="H591" s="58"/>
      <c r="I591" s="58"/>
      <c r="J591" s="58"/>
      <c r="K591" s="58"/>
      <c r="L591" s="58"/>
      <c r="M591" s="58"/>
      <c r="N591" s="58"/>
      <c r="O591" s="58"/>
      <c r="P591" s="58"/>
      <c r="Q591" s="58"/>
      <c r="R591" s="58"/>
      <c r="S591" s="58"/>
      <c r="T591" s="58"/>
      <c r="U591" s="58"/>
    </row>
    <row r="592" spans="2:21" x14ac:dyDescent="0.15">
      <c r="B592" s="58"/>
      <c r="C592" s="58"/>
      <c r="D592" s="58"/>
      <c r="E592" s="58"/>
      <c r="F592" s="58"/>
      <c r="G592" s="58"/>
      <c r="H592" s="58"/>
      <c r="I592" s="58"/>
      <c r="J592" s="58"/>
      <c r="K592" s="58"/>
      <c r="L592" s="58"/>
      <c r="M592" s="58"/>
      <c r="N592" s="58"/>
      <c r="O592" s="58"/>
      <c r="P592" s="58"/>
      <c r="Q592" s="58"/>
      <c r="R592" s="58"/>
      <c r="S592" s="58"/>
      <c r="T592" s="58"/>
      <c r="U592" s="58"/>
    </row>
    <row r="593" spans="2:21" x14ac:dyDescent="0.15">
      <c r="B593" s="58"/>
      <c r="C593" s="58"/>
      <c r="D593" s="58"/>
      <c r="E593" s="58"/>
      <c r="F593" s="58"/>
      <c r="G593" s="58"/>
      <c r="H593" s="58"/>
      <c r="I593" s="58"/>
      <c r="J593" s="58"/>
      <c r="K593" s="58"/>
      <c r="L593" s="58"/>
      <c r="M593" s="58"/>
      <c r="N593" s="58"/>
      <c r="O593" s="58"/>
      <c r="P593" s="58"/>
      <c r="Q593" s="58"/>
      <c r="R593" s="58"/>
      <c r="S593" s="58"/>
      <c r="T593" s="58"/>
      <c r="U593" s="58"/>
    </row>
    <row r="594" spans="2:21" x14ac:dyDescent="0.15">
      <c r="B594" s="58"/>
      <c r="C594" s="58"/>
      <c r="D594" s="58"/>
      <c r="E594" s="58"/>
      <c r="F594" s="58"/>
      <c r="G594" s="58"/>
      <c r="H594" s="58"/>
      <c r="I594" s="58"/>
      <c r="J594" s="58"/>
      <c r="K594" s="58"/>
      <c r="L594" s="58"/>
      <c r="M594" s="58"/>
      <c r="N594" s="58"/>
      <c r="O594" s="58"/>
      <c r="P594" s="58"/>
      <c r="Q594" s="58"/>
      <c r="R594" s="58"/>
      <c r="S594" s="58"/>
      <c r="T594" s="58"/>
      <c r="U594" s="58"/>
    </row>
    <row r="595" spans="2:21" x14ac:dyDescent="0.15">
      <c r="B595" s="58"/>
      <c r="C595" s="58"/>
      <c r="D595" s="58"/>
      <c r="E595" s="58"/>
      <c r="F595" s="58"/>
      <c r="G595" s="58"/>
      <c r="H595" s="58"/>
      <c r="I595" s="58"/>
      <c r="J595" s="58"/>
      <c r="K595" s="58"/>
      <c r="L595" s="58"/>
      <c r="M595" s="58"/>
      <c r="N595" s="58"/>
      <c r="O595" s="58"/>
      <c r="P595" s="58"/>
      <c r="Q595" s="58"/>
      <c r="R595" s="58"/>
      <c r="S595" s="58"/>
      <c r="T595" s="58"/>
      <c r="U595" s="58"/>
    </row>
    <row r="596" spans="2:21" x14ac:dyDescent="0.15">
      <c r="B596" s="58"/>
      <c r="C596" s="58"/>
      <c r="D596" s="58"/>
      <c r="E596" s="58"/>
      <c r="F596" s="58"/>
      <c r="G596" s="58"/>
      <c r="H596" s="58"/>
      <c r="I596" s="58"/>
      <c r="J596" s="58"/>
      <c r="K596" s="58"/>
      <c r="L596" s="58"/>
      <c r="M596" s="58"/>
      <c r="N596" s="58"/>
      <c r="O596" s="58"/>
      <c r="P596" s="58"/>
      <c r="Q596" s="58"/>
      <c r="R596" s="58"/>
      <c r="S596" s="58"/>
      <c r="T596" s="58"/>
      <c r="U596" s="58"/>
    </row>
    <row r="597" spans="2:21" x14ac:dyDescent="0.15">
      <c r="B597" s="58"/>
      <c r="C597" s="58"/>
      <c r="D597" s="58"/>
      <c r="E597" s="58"/>
      <c r="F597" s="58"/>
      <c r="G597" s="58"/>
      <c r="H597" s="58"/>
      <c r="I597" s="58"/>
      <c r="J597" s="58"/>
      <c r="K597" s="58"/>
      <c r="L597" s="58"/>
      <c r="M597" s="58"/>
      <c r="N597" s="58"/>
      <c r="O597" s="58"/>
      <c r="P597" s="58"/>
      <c r="Q597" s="58"/>
      <c r="R597" s="58"/>
      <c r="S597" s="58"/>
      <c r="T597" s="58"/>
      <c r="U597" s="58"/>
    </row>
    <row r="598" spans="2:21" x14ac:dyDescent="0.15">
      <c r="B598" s="58"/>
      <c r="C598" s="58"/>
      <c r="D598" s="58"/>
      <c r="E598" s="58"/>
      <c r="F598" s="58"/>
      <c r="G598" s="58"/>
      <c r="H598" s="58"/>
      <c r="I598" s="58"/>
      <c r="J598" s="58"/>
      <c r="K598" s="58"/>
      <c r="L598" s="58"/>
      <c r="M598" s="58"/>
      <c r="N598" s="58"/>
      <c r="O598" s="58"/>
      <c r="P598" s="58"/>
      <c r="Q598" s="58"/>
      <c r="R598" s="58"/>
      <c r="S598" s="58"/>
      <c r="T598" s="58"/>
      <c r="U598" s="58"/>
    </row>
    <row r="599" spans="2:21" x14ac:dyDescent="0.15">
      <c r="B599" s="58"/>
      <c r="C599" s="58"/>
      <c r="D599" s="58"/>
      <c r="E599" s="58"/>
      <c r="F599" s="58"/>
      <c r="G599" s="58"/>
      <c r="H599" s="58"/>
      <c r="I599" s="58"/>
      <c r="J599" s="58"/>
      <c r="K599" s="58"/>
      <c r="L599" s="58"/>
      <c r="M599" s="58"/>
      <c r="N599" s="58"/>
      <c r="O599" s="58"/>
      <c r="P599" s="58"/>
      <c r="Q599" s="58"/>
      <c r="R599" s="58"/>
      <c r="S599" s="58"/>
      <c r="T599" s="58"/>
      <c r="U599" s="58"/>
    </row>
    <row r="600" spans="2:21" x14ac:dyDescent="0.15">
      <c r="B600" s="58"/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</row>
    <row r="601" spans="2:21" x14ac:dyDescent="0.15">
      <c r="B601" s="58"/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</row>
    <row r="602" spans="2:21" x14ac:dyDescent="0.15">
      <c r="B602" s="58"/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</row>
    <row r="603" spans="2:21" x14ac:dyDescent="0.15">
      <c r="B603" s="58"/>
      <c r="C603" s="58"/>
      <c r="D603" s="58"/>
      <c r="E603" s="58"/>
      <c r="F603" s="58"/>
      <c r="G603" s="58"/>
      <c r="H603" s="58"/>
      <c r="I603" s="58"/>
      <c r="J603" s="58"/>
      <c r="K603" s="58"/>
      <c r="L603" s="58"/>
      <c r="M603" s="58"/>
      <c r="N603" s="58"/>
      <c r="O603" s="58"/>
      <c r="P603" s="58"/>
      <c r="Q603" s="58"/>
      <c r="R603" s="58"/>
      <c r="S603" s="58"/>
      <c r="T603" s="58"/>
      <c r="U603" s="58"/>
    </row>
    <row r="604" spans="2:21" x14ac:dyDescent="0.15">
      <c r="B604" s="58"/>
      <c r="C604" s="58"/>
      <c r="D604" s="58"/>
      <c r="E604" s="58"/>
      <c r="F604" s="58"/>
      <c r="G604" s="58"/>
      <c r="H604" s="58"/>
      <c r="I604" s="58"/>
      <c r="J604" s="58"/>
      <c r="K604" s="58"/>
      <c r="L604" s="58"/>
      <c r="M604" s="58"/>
      <c r="N604" s="58"/>
      <c r="O604" s="58"/>
      <c r="P604" s="58"/>
      <c r="Q604" s="58"/>
      <c r="R604" s="58"/>
      <c r="S604" s="58"/>
      <c r="T604" s="58"/>
      <c r="U604" s="58"/>
    </row>
    <row r="605" spans="2:21" x14ac:dyDescent="0.15">
      <c r="B605" s="58"/>
      <c r="C605" s="58"/>
      <c r="D605" s="58"/>
      <c r="E605" s="58"/>
      <c r="F605" s="58"/>
      <c r="G605" s="58"/>
      <c r="H605" s="58"/>
      <c r="I605" s="58"/>
      <c r="J605" s="58"/>
      <c r="K605" s="58"/>
      <c r="L605" s="58"/>
      <c r="M605" s="58"/>
      <c r="N605" s="58"/>
      <c r="O605" s="58"/>
      <c r="P605" s="58"/>
      <c r="Q605" s="58"/>
      <c r="R605" s="58"/>
      <c r="S605" s="58"/>
      <c r="T605" s="58"/>
      <c r="U605" s="58"/>
    </row>
    <row r="606" spans="2:21" x14ac:dyDescent="0.15">
      <c r="B606" s="58"/>
      <c r="C606" s="58"/>
      <c r="D606" s="58"/>
      <c r="E606" s="58"/>
      <c r="F606" s="58"/>
      <c r="G606" s="58"/>
      <c r="H606" s="58"/>
      <c r="I606" s="58"/>
      <c r="J606" s="58"/>
      <c r="K606" s="58"/>
      <c r="L606" s="58"/>
      <c r="M606" s="58"/>
      <c r="N606" s="58"/>
      <c r="O606" s="58"/>
      <c r="P606" s="58"/>
      <c r="Q606" s="58"/>
      <c r="R606" s="58"/>
      <c r="S606" s="58"/>
      <c r="T606" s="58"/>
      <c r="U606" s="58"/>
    </row>
    <row r="607" spans="2:21" x14ac:dyDescent="0.15">
      <c r="B607" s="58"/>
      <c r="C607" s="58"/>
      <c r="D607" s="58"/>
      <c r="E607" s="58"/>
      <c r="F607" s="58"/>
      <c r="G607" s="58"/>
      <c r="H607" s="58"/>
      <c r="I607" s="58"/>
      <c r="J607" s="58"/>
      <c r="K607" s="58"/>
      <c r="L607" s="58"/>
      <c r="M607" s="58"/>
      <c r="N607" s="58"/>
      <c r="O607" s="58"/>
      <c r="P607" s="58"/>
      <c r="Q607" s="58"/>
      <c r="R607" s="58"/>
      <c r="S607" s="58"/>
      <c r="T607" s="58"/>
      <c r="U607" s="58"/>
    </row>
    <row r="608" spans="2:21" x14ac:dyDescent="0.15">
      <c r="B608" s="58"/>
      <c r="C608" s="58"/>
      <c r="D608" s="58"/>
      <c r="E608" s="58"/>
      <c r="F608" s="58"/>
      <c r="G608" s="58"/>
      <c r="H608" s="58"/>
      <c r="I608" s="58"/>
      <c r="J608" s="58"/>
      <c r="K608" s="58"/>
      <c r="L608" s="58"/>
      <c r="M608" s="58"/>
      <c r="N608" s="58"/>
      <c r="O608" s="58"/>
      <c r="P608" s="58"/>
      <c r="Q608" s="58"/>
      <c r="R608" s="58"/>
      <c r="S608" s="58"/>
      <c r="T608" s="58"/>
      <c r="U608" s="58"/>
    </row>
    <row r="609" spans="2:21" x14ac:dyDescent="0.15">
      <c r="B609" s="58"/>
      <c r="C609" s="58"/>
      <c r="D609" s="58"/>
      <c r="E609" s="58"/>
      <c r="F609" s="58"/>
      <c r="G609" s="58"/>
      <c r="H609" s="58"/>
      <c r="I609" s="58"/>
      <c r="J609" s="58"/>
      <c r="K609" s="58"/>
      <c r="L609" s="58"/>
      <c r="M609" s="58"/>
      <c r="N609" s="58"/>
      <c r="O609" s="58"/>
      <c r="P609" s="58"/>
      <c r="Q609" s="58"/>
      <c r="R609" s="58"/>
      <c r="S609" s="58"/>
      <c r="T609" s="58"/>
      <c r="U609" s="58"/>
    </row>
    <row r="610" spans="2:21" x14ac:dyDescent="0.15">
      <c r="B610" s="58"/>
      <c r="C610" s="58"/>
      <c r="D610" s="58"/>
      <c r="E610" s="58"/>
      <c r="F610" s="58"/>
      <c r="G610" s="58"/>
      <c r="H610" s="58"/>
      <c r="I610" s="58"/>
      <c r="J610" s="58"/>
      <c r="K610" s="58"/>
      <c r="L610" s="58"/>
      <c r="M610" s="58"/>
      <c r="N610" s="58"/>
      <c r="O610" s="58"/>
      <c r="P610" s="58"/>
      <c r="Q610" s="58"/>
      <c r="R610" s="58"/>
      <c r="S610" s="58"/>
      <c r="T610" s="58"/>
      <c r="U610" s="58"/>
    </row>
    <row r="611" spans="2:21" x14ac:dyDescent="0.15">
      <c r="B611" s="58"/>
      <c r="C611" s="58"/>
      <c r="D611" s="58"/>
      <c r="E611" s="58"/>
      <c r="F611" s="58"/>
      <c r="G611" s="58"/>
      <c r="H611" s="58"/>
      <c r="I611" s="58"/>
      <c r="J611" s="58"/>
      <c r="K611" s="58"/>
      <c r="L611" s="58"/>
      <c r="M611" s="58"/>
      <c r="N611" s="58"/>
      <c r="O611" s="58"/>
      <c r="P611" s="58"/>
      <c r="Q611" s="58"/>
      <c r="R611" s="58"/>
      <c r="S611" s="58"/>
      <c r="T611" s="58"/>
      <c r="U611" s="58"/>
    </row>
    <row r="612" spans="2:21" x14ac:dyDescent="0.15">
      <c r="B612" s="58"/>
      <c r="C612" s="58"/>
      <c r="D612" s="58"/>
      <c r="E612" s="58"/>
      <c r="F612" s="58"/>
      <c r="G612" s="58"/>
      <c r="H612" s="58"/>
      <c r="I612" s="58"/>
      <c r="J612" s="58"/>
      <c r="K612" s="58"/>
      <c r="L612" s="58"/>
      <c r="M612" s="58"/>
      <c r="N612" s="58"/>
      <c r="O612" s="58"/>
      <c r="P612" s="58"/>
      <c r="Q612" s="58"/>
      <c r="R612" s="58"/>
      <c r="S612" s="58"/>
      <c r="T612" s="58"/>
      <c r="U612" s="58"/>
    </row>
    <row r="613" spans="2:21" x14ac:dyDescent="0.15">
      <c r="B613" s="58"/>
      <c r="C613" s="58"/>
      <c r="D613" s="58"/>
      <c r="E613" s="58"/>
      <c r="F613" s="58"/>
      <c r="G613" s="58"/>
      <c r="H613" s="58"/>
      <c r="I613" s="58"/>
      <c r="J613" s="58"/>
      <c r="K613" s="58"/>
      <c r="L613" s="58"/>
      <c r="M613" s="58"/>
      <c r="N613" s="58"/>
      <c r="O613" s="58"/>
      <c r="P613" s="58"/>
      <c r="Q613" s="58"/>
      <c r="R613" s="58"/>
      <c r="S613" s="58"/>
      <c r="T613" s="58"/>
      <c r="U613" s="58"/>
    </row>
  </sheetData>
  <mergeCells count="163">
    <mergeCell ref="B98:B100"/>
    <mergeCell ref="C98:C100"/>
    <mergeCell ref="D98:D100"/>
    <mergeCell ref="E98:E100"/>
    <mergeCell ref="G98:G100"/>
    <mergeCell ref="B92:B94"/>
    <mergeCell ref="C92:C94"/>
    <mergeCell ref="D92:D94"/>
    <mergeCell ref="E92:E94"/>
    <mergeCell ref="G92:G94"/>
    <mergeCell ref="B95:B97"/>
    <mergeCell ref="C95:C97"/>
    <mergeCell ref="D95:D97"/>
    <mergeCell ref="E95:E97"/>
    <mergeCell ref="G95:G97"/>
    <mergeCell ref="B86:B88"/>
    <mergeCell ref="C86:C88"/>
    <mergeCell ref="D86:D88"/>
    <mergeCell ref="E86:E88"/>
    <mergeCell ref="G86:G88"/>
    <mergeCell ref="B89:B91"/>
    <mergeCell ref="C89:C91"/>
    <mergeCell ref="D89:D91"/>
    <mergeCell ref="E89:E91"/>
    <mergeCell ref="G89:G91"/>
    <mergeCell ref="B80:B82"/>
    <mergeCell ref="C80:C82"/>
    <mergeCell ref="D80:D82"/>
    <mergeCell ref="E80:E82"/>
    <mergeCell ref="G80:G82"/>
    <mergeCell ref="B83:B85"/>
    <mergeCell ref="C83:C85"/>
    <mergeCell ref="D83:D85"/>
    <mergeCell ref="E83:E85"/>
    <mergeCell ref="G83:G85"/>
    <mergeCell ref="B74:B76"/>
    <mergeCell ref="C74:C76"/>
    <mergeCell ref="D74:D76"/>
    <mergeCell ref="E74:E76"/>
    <mergeCell ref="G74:G76"/>
    <mergeCell ref="B77:B79"/>
    <mergeCell ref="C77:C79"/>
    <mergeCell ref="D77:D79"/>
    <mergeCell ref="E77:E79"/>
    <mergeCell ref="G77:G79"/>
    <mergeCell ref="H69:J69"/>
    <mergeCell ref="K69:M69"/>
    <mergeCell ref="B71:B73"/>
    <mergeCell ref="C71:C73"/>
    <mergeCell ref="D71:D73"/>
    <mergeCell ref="E71:E73"/>
    <mergeCell ref="G71:G73"/>
    <mergeCell ref="B65:B67"/>
    <mergeCell ref="C65:C67"/>
    <mergeCell ref="D65:D67"/>
    <mergeCell ref="E65:E67"/>
    <mergeCell ref="G65:G67"/>
    <mergeCell ref="B68:U68"/>
    <mergeCell ref="B59:B61"/>
    <mergeCell ref="C59:C61"/>
    <mergeCell ref="D59:D61"/>
    <mergeCell ref="E59:E61"/>
    <mergeCell ref="G59:G61"/>
    <mergeCell ref="B62:B64"/>
    <mergeCell ref="C62:C64"/>
    <mergeCell ref="D62:D64"/>
    <mergeCell ref="E62:E64"/>
    <mergeCell ref="G62:G64"/>
    <mergeCell ref="B53:B55"/>
    <mergeCell ref="C53:C55"/>
    <mergeCell ref="D53:D55"/>
    <mergeCell ref="E53:E55"/>
    <mergeCell ref="G53:G55"/>
    <mergeCell ref="B56:B58"/>
    <mergeCell ref="C56:C58"/>
    <mergeCell ref="D56:D58"/>
    <mergeCell ref="E56:E58"/>
    <mergeCell ref="G56:G58"/>
    <mergeCell ref="B47:B49"/>
    <mergeCell ref="C47:C49"/>
    <mergeCell ref="D47:D49"/>
    <mergeCell ref="E47:E49"/>
    <mergeCell ref="G47:G49"/>
    <mergeCell ref="B50:B52"/>
    <mergeCell ref="C50:C52"/>
    <mergeCell ref="D50:D52"/>
    <mergeCell ref="E50:E52"/>
    <mergeCell ref="G50:G52"/>
    <mergeCell ref="B41:B43"/>
    <mergeCell ref="C41:C43"/>
    <mergeCell ref="D41:D43"/>
    <mergeCell ref="E41:E43"/>
    <mergeCell ref="G41:G43"/>
    <mergeCell ref="B44:B46"/>
    <mergeCell ref="C44:C46"/>
    <mergeCell ref="D44:D46"/>
    <mergeCell ref="E44:E46"/>
    <mergeCell ref="G44:G46"/>
    <mergeCell ref="H36:J36"/>
    <mergeCell ref="K36:M36"/>
    <mergeCell ref="B38:B40"/>
    <mergeCell ref="C38:C40"/>
    <mergeCell ref="D38:D40"/>
    <mergeCell ref="E38:E40"/>
    <mergeCell ref="G38:G40"/>
    <mergeCell ref="B32:B34"/>
    <mergeCell ref="C32:C34"/>
    <mergeCell ref="D32:D34"/>
    <mergeCell ref="E32:E34"/>
    <mergeCell ref="G32:G34"/>
    <mergeCell ref="B35:U35"/>
    <mergeCell ref="B26:B28"/>
    <mergeCell ref="C26:C28"/>
    <mergeCell ref="D26:D28"/>
    <mergeCell ref="E26:E28"/>
    <mergeCell ref="G26:G28"/>
    <mergeCell ref="B29:B31"/>
    <mergeCell ref="C29:C31"/>
    <mergeCell ref="D29:D31"/>
    <mergeCell ref="E29:E31"/>
    <mergeCell ref="G29:G31"/>
    <mergeCell ref="B20:B22"/>
    <mergeCell ref="C20:C22"/>
    <mergeCell ref="D20:D22"/>
    <mergeCell ref="E20:E22"/>
    <mergeCell ref="G20:G22"/>
    <mergeCell ref="B23:B25"/>
    <mergeCell ref="C23:C25"/>
    <mergeCell ref="D23:D25"/>
    <mergeCell ref="E23:E25"/>
    <mergeCell ref="G23:G25"/>
    <mergeCell ref="B14:B16"/>
    <mergeCell ref="C14:C16"/>
    <mergeCell ref="D14:D16"/>
    <mergeCell ref="E14:E16"/>
    <mergeCell ref="G14:G16"/>
    <mergeCell ref="B17:B19"/>
    <mergeCell ref="C17:C19"/>
    <mergeCell ref="D17:D19"/>
    <mergeCell ref="E17:E19"/>
    <mergeCell ref="G17:G19"/>
    <mergeCell ref="A1:U1"/>
    <mergeCell ref="B2:U2"/>
    <mergeCell ref="B8:B10"/>
    <mergeCell ref="C8:C10"/>
    <mergeCell ref="D8:D10"/>
    <mergeCell ref="E8:E10"/>
    <mergeCell ref="G8:G10"/>
    <mergeCell ref="B11:B13"/>
    <mergeCell ref="C11:C13"/>
    <mergeCell ref="D11:D13"/>
    <mergeCell ref="E11:E13"/>
    <mergeCell ref="G11:G13"/>
    <mergeCell ref="Z2:AA2"/>
    <mergeCell ref="H3:J3"/>
    <mergeCell ref="K3:M3"/>
    <mergeCell ref="K4:M4"/>
    <mergeCell ref="B5:B7"/>
    <mergeCell ref="C5:C7"/>
    <mergeCell ref="D5:D7"/>
    <mergeCell ref="E5:E7"/>
    <mergeCell ref="G5:G7"/>
    <mergeCell ref="W2:Y2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8755E3B35AFD46855982A7C7E7BE1A" ma:contentTypeVersion="4" ma:contentTypeDescription="Create a new document." ma:contentTypeScope="" ma:versionID="3a788baaba5feb909dd4132bb981cf1b">
  <xsd:schema xmlns:xsd="http://www.w3.org/2001/XMLSchema" xmlns:xs="http://www.w3.org/2001/XMLSchema" xmlns:p="http://schemas.microsoft.com/office/2006/metadata/properties" xmlns:ns2="bb877b61-73df-4c71-aa42-e1c67dd7a708" targetNamespace="http://schemas.microsoft.com/office/2006/metadata/properties" ma:root="true" ma:fieldsID="7491248f6f5b838387a9d36578de4401" ns2:_="">
    <xsd:import namespace="bb877b61-73df-4c71-aa42-e1c67dd7a7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77b61-73df-4c71-aa42-e1c67dd7a7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5E60DA-A5BF-4B65-9590-8011A7BF62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877b61-73df-4c71-aa42-e1c67dd7a7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5FE609-9BD0-4EB7-98D7-799A30147DFF}">
  <ds:schemaRefs>
    <ds:schemaRef ds:uri="http://purl.org/dc/dcmitype/"/>
    <ds:schemaRef ds:uri="http://schemas.microsoft.com/office/2006/documentManagement/types"/>
    <ds:schemaRef ds:uri="bb877b61-73df-4c71-aa42-e1c67dd7a708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01F9179-DB06-437C-AAA6-80696582178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Information Sheet</vt:lpstr>
      <vt:lpstr>Growth curves CeBER</vt:lpstr>
      <vt:lpstr>Growth curves UTEX #1926</vt:lpstr>
      <vt:lpstr>C-phycocyanin CeBER</vt:lpstr>
      <vt:lpstr>C-phycocyanin UTEX #1926</vt:lpstr>
      <vt:lpstr>Nitrate content CeBER</vt:lpstr>
      <vt:lpstr>Nitrate content UTEX #1926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Karen Ssekimpi</cp:lastModifiedBy>
  <cp:revision/>
  <dcterms:created xsi:type="dcterms:W3CDTF">2021-07-14T17:44:20Z</dcterms:created>
  <dcterms:modified xsi:type="dcterms:W3CDTF">2023-04-02T19:12:54Z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0x010100DB8755E3B35AFD46855982A7C7E7BE1A</vt:lpwstr>
  </property>
</Properties>
</file>