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6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aren/Desktop/Thesis/Excel for submission/"/>
    </mc:Choice>
  </mc:AlternateContent>
  <xr:revisionPtr revIDLastSave="0" documentId="13_ncr:1_{CB60B8D1-1F9D-754C-9DBD-607F6DDAE7E1}" xr6:coauthVersionLast="47" xr6:coauthVersionMax="47" xr10:uidLastSave="{00000000-0000-0000-0000-000000000000}"/>
  <bookViews>
    <workbookView xWindow="0" yWindow="500" windowWidth="25600" windowHeight="14260" xr2:uid="{00000000-000D-0000-FFFF-FFFF00000000}"/>
  </bookViews>
  <sheets>
    <sheet name="Information Sheet" sheetId="26" r:id="rId1"/>
    <sheet name="Growth curves CeBER" sheetId="27" r:id="rId2"/>
    <sheet name="Growth curves UTEX #1926" sheetId="28" r:id="rId3"/>
    <sheet name="C-phycocyanin CeBER" sheetId="29" r:id="rId4"/>
    <sheet name="C-phycocyanin UTEX #1926" sheetId="30" r:id="rId5"/>
    <sheet name="Nitrate content CeBER" sheetId="31" r:id="rId6"/>
    <sheet name="Nitrate content UTEX #1926" sheetId="32" r:id="rId7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55" i="30" l="1"/>
  <c r="M52" i="30"/>
  <c r="M54" i="30"/>
  <c r="M51" i="30"/>
  <c r="M19" i="30"/>
  <c r="M20" i="30"/>
  <c r="M21" i="30"/>
  <c r="M22" i="30"/>
  <c r="M23" i="30"/>
  <c r="M24" i="30"/>
  <c r="M25" i="30"/>
  <c r="M26" i="30"/>
  <c r="M27" i="30"/>
  <c r="M28" i="30"/>
  <c r="M29" i="30"/>
  <c r="M30" i="30"/>
  <c r="M31" i="30"/>
  <c r="M32" i="30"/>
  <c r="M33" i="30"/>
  <c r="M34" i="30"/>
  <c r="M35" i="30"/>
  <c r="M36" i="30"/>
  <c r="M37" i="30"/>
  <c r="M38" i="30"/>
  <c r="M39" i="30"/>
  <c r="M40" i="30"/>
  <c r="M41" i="30"/>
  <c r="M42" i="30"/>
  <c r="M43" i="30"/>
  <c r="M44" i="30"/>
  <c r="M45" i="30"/>
  <c r="M46" i="30"/>
  <c r="M47" i="30"/>
  <c r="M48" i="30"/>
  <c r="M49" i="30"/>
  <c r="M18" i="30"/>
  <c r="M6" i="30"/>
  <c r="M7" i="30"/>
  <c r="M8" i="30"/>
  <c r="M9" i="30"/>
  <c r="M10" i="30"/>
  <c r="M11" i="30"/>
  <c r="M12" i="30"/>
  <c r="M13" i="30"/>
  <c r="M14" i="30"/>
  <c r="M15" i="30"/>
  <c r="M16" i="30"/>
  <c r="L6" i="30"/>
  <c r="L7" i="30"/>
  <c r="L8" i="30"/>
  <c r="L9" i="30"/>
  <c r="L10" i="30"/>
  <c r="L11" i="30"/>
  <c r="L12" i="30"/>
  <c r="L13" i="30"/>
  <c r="L14" i="30"/>
  <c r="L15" i="30"/>
  <c r="L16" i="30"/>
  <c r="L17" i="30"/>
  <c r="L18" i="30"/>
  <c r="L19" i="30"/>
  <c r="L20" i="30"/>
  <c r="L21" i="30"/>
  <c r="L22" i="30"/>
  <c r="L23" i="30"/>
  <c r="L24" i="30"/>
  <c r="L25" i="30"/>
  <c r="L26" i="30"/>
  <c r="L27" i="30"/>
  <c r="L28" i="30"/>
  <c r="L29" i="30"/>
  <c r="L30" i="30"/>
  <c r="L31" i="30"/>
  <c r="L32" i="30"/>
  <c r="L33" i="30"/>
  <c r="L34" i="30"/>
  <c r="L35" i="30"/>
  <c r="L36" i="30"/>
  <c r="L37" i="30"/>
  <c r="L38" i="30"/>
  <c r="L39" i="30"/>
  <c r="L40" i="30"/>
  <c r="L41" i="30"/>
  <c r="L42" i="30"/>
  <c r="L43" i="30"/>
  <c r="L44" i="30"/>
  <c r="L45" i="30"/>
  <c r="L46" i="30"/>
  <c r="L47" i="30"/>
  <c r="L48" i="30"/>
  <c r="L49" i="30"/>
  <c r="L50" i="30"/>
  <c r="L51" i="30"/>
  <c r="L52" i="30"/>
  <c r="L53" i="30"/>
  <c r="L54" i="30"/>
  <c r="L55" i="30"/>
  <c r="M5" i="30"/>
  <c r="L5" i="30"/>
  <c r="L60" i="30"/>
  <c r="M60" i="30"/>
  <c r="L61" i="30"/>
  <c r="M61" i="30"/>
  <c r="L62" i="30"/>
  <c r="M62" i="30"/>
  <c r="L63" i="30"/>
  <c r="M63" i="30"/>
  <c r="L64" i="30"/>
  <c r="M64" i="30"/>
  <c r="L65" i="30"/>
  <c r="M65" i="30"/>
  <c r="L66" i="30"/>
  <c r="M66" i="30"/>
  <c r="L67" i="30"/>
  <c r="M67" i="30"/>
  <c r="L68" i="30"/>
  <c r="M68" i="30"/>
  <c r="L69" i="30"/>
  <c r="M69" i="30"/>
  <c r="L70" i="30"/>
  <c r="M70" i="30"/>
  <c r="L71" i="30"/>
  <c r="M71" i="30"/>
  <c r="L72" i="30"/>
  <c r="M72" i="30"/>
  <c r="L73" i="30"/>
  <c r="M73" i="30"/>
  <c r="L74" i="30"/>
  <c r="M74" i="30"/>
  <c r="L75" i="30"/>
  <c r="M75" i="30"/>
  <c r="L76" i="30"/>
  <c r="M76" i="30"/>
  <c r="L77" i="30"/>
  <c r="M77" i="30"/>
  <c r="L78" i="30"/>
  <c r="M78" i="30"/>
  <c r="L79" i="30"/>
  <c r="M79" i="30"/>
  <c r="L80" i="30"/>
  <c r="M80" i="30"/>
  <c r="L81" i="30"/>
  <c r="M81" i="30"/>
  <c r="L82" i="30"/>
  <c r="M82" i="30"/>
  <c r="L83" i="30"/>
  <c r="M83" i="30"/>
  <c r="L84" i="30"/>
  <c r="M84" i="30"/>
  <c r="L85" i="30"/>
  <c r="M85" i="30"/>
  <c r="L86" i="30"/>
  <c r="M86" i="30"/>
  <c r="L87" i="30"/>
  <c r="M87" i="30"/>
  <c r="L88" i="30"/>
  <c r="M88" i="30"/>
  <c r="L89" i="30"/>
  <c r="M89" i="30"/>
  <c r="L90" i="30"/>
  <c r="M90" i="30"/>
  <c r="L91" i="30"/>
  <c r="M91" i="30"/>
  <c r="L92" i="30"/>
  <c r="M92" i="30"/>
  <c r="L93" i="30"/>
  <c r="M93" i="30"/>
  <c r="L94" i="30"/>
  <c r="M94" i="30"/>
  <c r="L95" i="30"/>
  <c r="M95" i="30"/>
  <c r="L96" i="30"/>
  <c r="M96" i="30"/>
  <c r="L97" i="30"/>
  <c r="M97" i="30"/>
  <c r="L98" i="30"/>
  <c r="M98" i="30"/>
  <c r="L99" i="30"/>
  <c r="M99" i="30"/>
  <c r="L100" i="30"/>
  <c r="M100" i="30"/>
  <c r="L101" i="30"/>
  <c r="M101" i="30"/>
  <c r="L102" i="30"/>
  <c r="M102" i="30"/>
  <c r="L103" i="30"/>
  <c r="M103" i="30"/>
  <c r="L104" i="30"/>
  <c r="M104" i="30"/>
  <c r="L105" i="30"/>
  <c r="M105" i="30"/>
  <c r="L106" i="30"/>
  <c r="M106" i="30"/>
  <c r="L107" i="30"/>
  <c r="M107" i="30"/>
  <c r="L108" i="30"/>
  <c r="M108" i="30"/>
  <c r="L109" i="30"/>
  <c r="M109" i="30"/>
  <c r="M59" i="30"/>
  <c r="L59" i="30"/>
  <c r="L114" i="30"/>
  <c r="M114" i="30"/>
  <c r="L115" i="30"/>
  <c r="M115" i="30"/>
  <c r="L116" i="30"/>
  <c r="M116" i="30"/>
  <c r="L117" i="30"/>
  <c r="M117" i="30"/>
  <c r="L118" i="30"/>
  <c r="M118" i="30"/>
  <c r="L119" i="30"/>
  <c r="M119" i="30"/>
  <c r="L120" i="30"/>
  <c r="M120" i="30"/>
  <c r="L121" i="30"/>
  <c r="M121" i="30"/>
  <c r="L122" i="30"/>
  <c r="M122" i="30"/>
  <c r="L123" i="30"/>
  <c r="M123" i="30"/>
  <c r="L124" i="30"/>
  <c r="M124" i="30"/>
  <c r="L125" i="30"/>
  <c r="M125" i="30"/>
  <c r="L126" i="30"/>
  <c r="M126" i="30"/>
  <c r="L127" i="30"/>
  <c r="M127" i="30"/>
  <c r="L128" i="30"/>
  <c r="M128" i="30"/>
  <c r="L129" i="30"/>
  <c r="M129" i="30"/>
  <c r="L130" i="30"/>
  <c r="M130" i="30"/>
  <c r="L131" i="30"/>
  <c r="M131" i="30"/>
  <c r="L132" i="30"/>
  <c r="M132" i="30"/>
  <c r="L133" i="30"/>
  <c r="M133" i="30"/>
  <c r="L134" i="30"/>
  <c r="M134" i="30"/>
  <c r="L135" i="30"/>
  <c r="M135" i="30"/>
  <c r="L136" i="30"/>
  <c r="M136" i="30"/>
  <c r="L137" i="30"/>
  <c r="M137" i="30"/>
  <c r="L138" i="30"/>
  <c r="M138" i="30"/>
  <c r="L139" i="30"/>
  <c r="M139" i="30"/>
  <c r="L140" i="30"/>
  <c r="M140" i="30"/>
  <c r="L141" i="30"/>
  <c r="M141" i="30"/>
  <c r="L142" i="30"/>
  <c r="M142" i="30"/>
  <c r="L143" i="30"/>
  <c r="M143" i="30"/>
  <c r="L144" i="30"/>
  <c r="M144" i="30"/>
  <c r="L145" i="30"/>
  <c r="M145" i="30"/>
  <c r="L146" i="30"/>
  <c r="M146" i="30"/>
  <c r="L147" i="30"/>
  <c r="M147" i="30"/>
  <c r="L148" i="30"/>
  <c r="M148" i="30"/>
  <c r="L149" i="30"/>
  <c r="M149" i="30"/>
  <c r="L150" i="30"/>
  <c r="M150" i="30"/>
  <c r="L151" i="30"/>
  <c r="M151" i="30"/>
  <c r="L152" i="30"/>
  <c r="M152" i="30"/>
  <c r="L153" i="30"/>
  <c r="M153" i="30"/>
  <c r="L154" i="30"/>
  <c r="M154" i="30"/>
  <c r="L155" i="30"/>
  <c r="M155" i="30"/>
  <c r="L156" i="30"/>
  <c r="M156" i="30"/>
  <c r="L157" i="30"/>
  <c r="M157" i="30"/>
  <c r="L158" i="30"/>
  <c r="M158" i="30"/>
  <c r="L159" i="30"/>
  <c r="M159" i="30"/>
  <c r="L160" i="30"/>
  <c r="M160" i="30"/>
  <c r="L161" i="30"/>
  <c r="M161" i="30"/>
  <c r="L162" i="30"/>
  <c r="M162" i="30"/>
  <c r="L163" i="30"/>
  <c r="M163" i="30"/>
  <c r="M113" i="30"/>
  <c r="L113" i="30"/>
  <c r="M163" i="29"/>
  <c r="M129" i="29"/>
  <c r="M130" i="29"/>
  <c r="M131" i="29"/>
  <c r="M132" i="29"/>
  <c r="M133" i="29"/>
  <c r="M134" i="29"/>
  <c r="M135" i="29"/>
  <c r="M136" i="29"/>
  <c r="M137" i="29"/>
  <c r="M138" i="29"/>
  <c r="M139" i="29"/>
  <c r="M140" i="29"/>
  <c r="M141" i="29"/>
  <c r="M142" i="29"/>
  <c r="M143" i="29"/>
  <c r="M144" i="29"/>
  <c r="M145" i="29"/>
  <c r="M146" i="29"/>
  <c r="M147" i="29"/>
  <c r="M148" i="29"/>
  <c r="M149" i="29"/>
  <c r="M150" i="29"/>
  <c r="M151" i="29"/>
  <c r="M152" i="29"/>
  <c r="M153" i="29"/>
  <c r="M154" i="29"/>
  <c r="M155" i="29"/>
  <c r="M156" i="29"/>
  <c r="M157" i="29"/>
  <c r="M158" i="29"/>
  <c r="M159" i="29"/>
  <c r="M160" i="29"/>
  <c r="M161" i="29"/>
  <c r="M162" i="29"/>
  <c r="M128" i="29"/>
  <c r="M114" i="29"/>
  <c r="M115" i="29"/>
  <c r="M116" i="29"/>
  <c r="M117" i="29"/>
  <c r="M118" i="29"/>
  <c r="M119" i="29"/>
  <c r="M120" i="29"/>
  <c r="M121" i="29"/>
  <c r="M122" i="29"/>
  <c r="M123" i="29"/>
  <c r="M124" i="29"/>
  <c r="M125" i="29"/>
  <c r="M126" i="29"/>
  <c r="L114" i="29"/>
  <c r="L115" i="29"/>
  <c r="L116" i="29"/>
  <c r="L117" i="29"/>
  <c r="L118" i="29"/>
  <c r="L119" i="29"/>
  <c r="L120" i="29"/>
  <c r="L121" i="29"/>
  <c r="L122" i="29"/>
  <c r="L123" i="29"/>
  <c r="L124" i="29"/>
  <c r="L125" i="29"/>
  <c r="L126" i="29"/>
  <c r="L127" i="29"/>
  <c r="L128" i="29"/>
  <c r="L129" i="29"/>
  <c r="L130" i="29"/>
  <c r="L131" i="29"/>
  <c r="L132" i="29"/>
  <c r="L133" i="29"/>
  <c r="L134" i="29"/>
  <c r="L135" i="29"/>
  <c r="L136" i="29"/>
  <c r="L137" i="29"/>
  <c r="L138" i="29"/>
  <c r="L139" i="29"/>
  <c r="L140" i="29"/>
  <c r="L141" i="29"/>
  <c r="L142" i="29"/>
  <c r="L143" i="29"/>
  <c r="L144" i="29"/>
  <c r="L145" i="29"/>
  <c r="L146" i="29"/>
  <c r="L147" i="29"/>
  <c r="L148" i="29"/>
  <c r="L149" i="29"/>
  <c r="L150" i="29"/>
  <c r="L151" i="29"/>
  <c r="L152" i="29"/>
  <c r="L153" i="29"/>
  <c r="L154" i="29"/>
  <c r="L155" i="29"/>
  <c r="L156" i="29"/>
  <c r="L157" i="29"/>
  <c r="L158" i="29"/>
  <c r="L159" i="29"/>
  <c r="L160" i="29"/>
  <c r="L161" i="29"/>
  <c r="L162" i="29"/>
  <c r="L163" i="29"/>
  <c r="M113" i="29"/>
  <c r="L113" i="29"/>
  <c r="L60" i="29"/>
  <c r="M60" i="29"/>
  <c r="L61" i="29"/>
  <c r="M61" i="29"/>
  <c r="L62" i="29"/>
  <c r="M62" i="29"/>
  <c r="L63" i="29"/>
  <c r="M63" i="29"/>
  <c r="L64" i="29"/>
  <c r="M64" i="29"/>
  <c r="L65" i="29"/>
  <c r="M65" i="29"/>
  <c r="L66" i="29"/>
  <c r="M66" i="29"/>
  <c r="L67" i="29"/>
  <c r="M67" i="29"/>
  <c r="L68" i="29"/>
  <c r="M68" i="29"/>
  <c r="L69" i="29"/>
  <c r="M69" i="29"/>
  <c r="L70" i="29"/>
  <c r="M70" i="29"/>
  <c r="L71" i="29"/>
  <c r="M71" i="29"/>
  <c r="L72" i="29"/>
  <c r="M72" i="29"/>
  <c r="L73" i="29"/>
  <c r="M73" i="29"/>
  <c r="L74" i="29"/>
  <c r="M74" i="29"/>
  <c r="L75" i="29"/>
  <c r="M75" i="29"/>
  <c r="L76" i="29"/>
  <c r="M76" i="29"/>
  <c r="L77" i="29"/>
  <c r="M77" i="29"/>
  <c r="L78" i="29"/>
  <c r="M78" i="29"/>
  <c r="L79" i="29"/>
  <c r="M79" i="29"/>
  <c r="L80" i="29"/>
  <c r="M80" i="29"/>
  <c r="L81" i="29"/>
  <c r="M81" i="29"/>
  <c r="L82" i="29"/>
  <c r="M82" i="29"/>
  <c r="L83" i="29"/>
  <c r="M83" i="29"/>
  <c r="L84" i="29"/>
  <c r="M84" i="29"/>
  <c r="L85" i="29"/>
  <c r="M85" i="29"/>
  <c r="L86" i="29"/>
  <c r="M86" i="29"/>
  <c r="L87" i="29"/>
  <c r="M87" i="29"/>
  <c r="L88" i="29"/>
  <c r="M88" i="29"/>
  <c r="L89" i="29"/>
  <c r="M89" i="29"/>
  <c r="L90" i="29"/>
  <c r="M90" i="29"/>
  <c r="L91" i="29"/>
  <c r="M91" i="29"/>
  <c r="L92" i="29"/>
  <c r="M92" i="29"/>
  <c r="L93" i="29"/>
  <c r="M93" i="29"/>
  <c r="L94" i="29"/>
  <c r="M94" i="29"/>
  <c r="L95" i="29"/>
  <c r="M95" i="29"/>
  <c r="L96" i="29"/>
  <c r="M96" i="29"/>
  <c r="L97" i="29"/>
  <c r="M97" i="29"/>
  <c r="L98" i="29"/>
  <c r="M98" i="29"/>
  <c r="L99" i="29"/>
  <c r="M99" i="29"/>
  <c r="L100" i="29"/>
  <c r="M100" i="29"/>
  <c r="L101" i="29"/>
  <c r="M101" i="29"/>
  <c r="L102" i="29"/>
  <c r="M102" i="29"/>
  <c r="L103" i="29"/>
  <c r="M103" i="29"/>
  <c r="L104" i="29"/>
  <c r="M104" i="29"/>
  <c r="L105" i="29"/>
  <c r="M105" i="29"/>
  <c r="L106" i="29"/>
  <c r="M106" i="29"/>
  <c r="L107" i="29"/>
  <c r="M107" i="29"/>
  <c r="L108" i="29"/>
  <c r="M108" i="29"/>
  <c r="L109" i="29"/>
  <c r="M109" i="29"/>
  <c r="M59" i="29"/>
  <c r="L59" i="29"/>
  <c r="L6" i="29"/>
  <c r="M6" i="29"/>
  <c r="L7" i="29"/>
  <c r="M7" i="29"/>
  <c r="L8" i="29"/>
  <c r="M8" i="29"/>
  <c r="L9" i="29"/>
  <c r="M9" i="29"/>
  <c r="L10" i="29"/>
  <c r="M10" i="29"/>
  <c r="L11" i="29"/>
  <c r="M11" i="29"/>
  <c r="L12" i="29"/>
  <c r="M12" i="29"/>
  <c r="L13" i="29"/>
  <c r="M13" i="29"/>
  <c r="L14" i="29"/>
  <c r="M14" i="29"/>
  <c r="L15" i="29"/>
  <c r="M15" i="29"/>
  <c r="L16" i="29"/>
  <c r="M16" i="29"/>
  <c r="L17" i="29"/>
  <c r="M17" i="29"/>
  <c r="L18" i="29"/>
  <c r="M18" i="29"/>
  <c r="L19" i="29"/>
  <c r="M19" i="29"/>
  <c r="L20" i="29"/>
  <c r="M20" i="29"/>
  <c r="L21" i="29"/>
  <c r="M21" i="29"/>
  <c r="L22" i="29"/>
  <c r="M22" i="29"/>
  <c r="L23" i="29"/>
  <c r="M23" i="29"/>
  <c r="L24" i="29"/>
  <c r="M24" i="29"/>
  <c r="L25" i="29"/>
  <c r="M25" i="29"/>
  <c r="L26" i="29"/>
  <c r="M26" i="29"/>
  <c r="L27" i="29"/>
  <c r="M27" i="29"/>
  <c r="L28" i="29"/>
  <c r="M28" i="29"/>
  <c r="L29" i="29"/>
  <c r="M29" i="29"/>
  <c r="L30" i="29"/>
  <c r="M30" i="29"/>
  <c r="L31" i="29"/>
  <c r="M31" i="29"/>
  <c r="L32" i="29"/>
  <c r="M32" i="29"/>
  <c r="L33" i="29"/>
  <c r="M33" i="29"/>
  <c r="L34" i="29"/>
  <c r="M34" i="29"/>
  <c r="L35" i="29"/>
  <c r="M35" i="29"/>
  <c r="L36" i="29"/>
  <c r="M36" i="29"/>
  <c r="L37" i="29"/>
  <c r="M37" i="29"/>
  <c r="L38" i="29"/>
  <c r="M38" i="29"/>
  <c r="L39" i="29"/>
  <c r="M39" i="29"/>
  <c r="L40" i="29"/>
  <c r="M40" i="29"/>
  <c r="L41" i="29"/>
  <c r="M41" i="29"/>
  <c r="L42" i="29"/>
  <c r="M42" i="29"/>
  <c r="L43" i="29"/>
  <c r="M43" i="29"/>
  <c r="L44" i="29"/>
  <c r="M44" i="29"/>
  <c r="L45" i="29"/>
  <c r="M45" i="29"/>
  <c r="L46" i="29"/>
  <c r="M46" i="29"/>
  <c r="L47" i="29"/>
  <c r="M47" i="29"/>
  <c r="L48" i="29"/>
  <c r="M48" i="29"/>
  <c r="L49" i="29"/>
  <c r="M49" i="29"/>
  <c r="L50" i="29"/>
  <c r="M50" i="29"/>
  <c r="L51" i="29"/>
  <c r="M51" i="29"/>
  <c r="L52" i="29"/>
  <c r="M52" i="29"/>
  <c r="L53" i="29"/>
  <c r="M53" i="29"/>
  <c r="L54" i="29"/>
  <c r="M54" i="29"/>
  <c r="L55" i="29"/>
  <c r="M55" i="29"/>
  <c r="M5" i="29"/>
  <c r="L5" i="29"/>
  <c r="J8" i="32"/>
  <c r="J10" i="32"/>
  <c r="J9" i="32"/>
  <c r="I10" i="32"/>
  <c r="H10" i="32"/>
  <c r="I9" i="32"/>
  <c r="I8" i="32"/>
  <c r="H9" i="32"/>
  <c r="H8" i="32"/>
  <c r="J85" i="32"/>
  <c r="J84" i="32"/>
  <c r="J83" i="32"/>
  <c r="I85" i="32"/>
  <c r="I84" i="32"/>
  <c r="I83" i="32"/>
  <c r="H85" i="32"/>
  <c r="H84" i="32"/>
  <c r="H83" i="32"/>
  <c r="J82" i="32"/>
  <c r="J81" i="32"/>
  <c r="J80" i="32"/>
  <c r="I82" i="32"/>
  <c r="I81" i="32"/>
  <c r="I80" i="32"/>
  <c r="H82" i="32"/>
  <c r="H81" i="32"/>
  <c r="H80" i="32"/>
  <c r="J73" i="32"/>
  <c r="J71" i="32"/>
  <c r="I73" i="32"/>
  <c r="I72" i="32"/>
  <c r="I71" i="32"/>
  <c r="H73" i="32"/>
  <c r="H72" i="32"/>
  <c r="H71" i="32"/>
  <c r="J55" i="32"/>
  <c r="J54" i="32"/>
  <c r="J53" i="32"/>
  <c r="I55" i="32"/>
  <c r="I54" i="32"/>
  <c r="I53" i="32"/>
  <c r="H55" i="32"/>
  <c r="H54" i="32"/>
  <c r="H53" i="32"/>
  <c r="J46" i="32"/>
  <c r="J45" i="32"/>
  <c r="J44" i="32"/>
  <c r="I46" i="32"/>
  <c r="I45" i="32"/>
  <c r="I44" i="32"/>
  <c r="H46" i="32"/>
  <c r="H45" i="32"/>
  <c r="H44" i="32"/>
  <c r="H43" i="32"/>
  <c r="J41" i="32"/>
  <c r="J42" i="32"/>
  <c r="I41" i="32"/>
  <c r="H41" i="32"/>
  <c r="I42" i="32"/>
  <c r="J43" i="32"/>
  <c r="I43" i="32"/>
  <c r="H42" i="32"/>
  <c r="U37" i="32"/>
  <c r="T37" i="32"/>
  <c r="H36" i="32"/>
  <c r="H35" i="32"/>
  <c r="H31" i="32"/>
  <c r="H30" i="32"/>
  <c r="H29" i="32"/>
  <c r="J31" i="32"/>
  <c r="J30" i="32"/>
  <c r="J29" i="32"/>
  <c r="I31" i="32"/>
  <c r="I30" i="32"/>
  <c r="I29" i="32"/>
  <c r="J28" i="32"/>
  <c r="J27" i="32"/>
  <c r="J26" i="32"/>
  <c r="I28" i="32"/>
  <c r="I27" i="32"/>
  <c r="I26" i="32"/>
  <c r="H28" i="32"/>
  <c r="H27" i="32"/>
  <c r="H26" i="32"/>
  <c r="J25" i="32"/>
  <c r="J24" i="32"/>
  <c r="J23" i="32"/>
  <c r="I25" i="32"/>
  <c r="I24" i="32"/>
  <c r="I23" i="32"/>
  <c r="H25" i="32"/>
  <c r="H24" i="32"/>
  <c r="H23" i="32"/>
  <c r="H20" i="32"/>
  <c r="I20" i="32"/>
  <c r="J20" i="32"/>
  <c r="J21" i="32"/>
  <c r="J19" i="32"/>
  <c r="I21" i="32"/>
  <c r="J22" i="32"/>
  <c r="I22" i="32"/>
  <c r="H22" i="32"/>
  <c r="H21" i="32"/>
  <c r="J18" i="32"/>
  <c r="J17" i="32"/>
  <c r="I19" i="32"/>
  <c r="I18" i="32"/>
  <c r="I17" i="32"/>
  <c r="H19" i="32"/>
  <c r="H18" i="32"/>
  <c r="H17" i="32"/>
  <c r="J15" i="32"/>
  <c r="J16" i="32"/>
  <c r="J14" i="32"/>
  <c r="I16" i="32"/>
  <c r="I15" i="32"/>
  <c r="I14" i="32"/>
  <c r="H16" i="32"/>
  <c r="H14" i="32"/>
  <c r="H15" i="32"/>
  <c r="H13" i="32"/>
  <c r="H12" i="32"/>
  <c r="J13" i="32"/>
  <c r="J12" i="32"/>
  <c r="I13" i="32"/>
  <c r="I12" i="32"/>
  <c r="I11" i="32"/>
  <c r="H11" i="32"/>
  <c r="J5" i="32"/>
  <c r="I6" i="32"/>
  <c r="J7" i="32"/>
  <c r="J6" i="32"/>
  <c r="I7" i="32"/>
  <c r="I5" i="32"/>
  <c r="H7" i="32"/>
  <c r="H6" i="32"/>
  <c r="H5" i="32"/>
  <c r="J91" i="31"/>
  <c r="J90" i="31"/>
  <c r="J89" i="31"/>
  <c r="I91" i="31"/>
  <c r="I90" i="31"/>
  <c r="I89" i="31"/>
  <c r="H91" i="31"/>
  <c r="H90" i="31"/>
  <c r="H89" i="31"/>
  <c r="I87" i="31"/>
  <c r="J87" i="31"/>
  <c r="J86" i="31"/>
  <c r="I86" i="31"/>
  <c r="H86" i="31"/>
  <c r="I88" i="31"/>
  <c r="J88" i="31"/>
  <c r="H88" i="31"/>
  <c r="J85" i="31"/>
  <c r="J84" i="31"/>
  <c r="J83" i="31"/>
  <c r="I85" i="31"/>
  <c r="I84" i="31"/>
  <c r="I83" i="31"/>
  <c r="H85" i="31"/>
  <c r="H84" i="31"/>
  <c r="H83" i="31"/>
  <c r="J80" i="31"/>
  <c r="I82" i="31"/>
  <c r="I81" i="31"/>
  <c r="H82" i="31"/>
  <c r="H81" i="31"/>
  <c r="H80" i="31"/>
  <c r="J77" i="31"/>
  <c r="I79" i="31"/>
  <c r="I78" i="31"/>
  <c r="I77" i="31"/>
  <c r="H79" i="31"/>
  <c r="H78" i="31"/>
  <c r="H77" i="31"/>
  <c r="H76" i="31"/>
  <c r="I76" i="31"/>
  <c r="J74" i="31"/>
  <c r="H74" i="31"/>
  <c r="H75" i="31"/>
  <c r="J76" i="31"/>
  <c r="J75" i="31"/>
  <c r="I75" i="31"/>
  <c r="I74" i="31"/>
  <c r="H70" i="31"/>
  <c r="J68" i="31"/>
  <c r="I68" i="31"/>
  <c r="H68" i="31"/>
  <c r="I69" i="31"/>
  <c r="J70" i="31"/>
  <c r="J69" i="31"/>
  <c r="I70" i="31"/>
  <c r="H69" i="31"/>
  <c r="I66" i="31"/>
  <c r="J67" i="31"/>
  <c r="J66" i="31"/>
  <c r="J65" i="31"/>
  <c r="I67" i="31"/>
  <c r="I65" i="31"/>
  <c r="H67" i="31"/>
  <c r="H66" i="31"/>
  <c r="H65" i="31"/>
  <c r="J82" i="31"/>
  <c r="J81" i="31"/>
  <c r="J79" i="31"/>
  <c r="J78" i="31"/>
  <c r="I80" i="31"/>
  <c r="H87" i="31"/>
  <c r="J40" i="31"/>
  <c r="J39" i="31"/>
  <c r="J38" i="31"/>
  <c r="I40" i="31"/>
  <c r="I39" i="31"/>
  <c r="I38" i="31"/>
  <c r="H40" i="31"/>
  <c r="H39" i="31"/>
  <c r="H38" i="31"/>
  <c r="I31" i="31"/>
  <c r="J30" i="31"/>
  <c r="I30" i="31"/>
  <c r="H30" i="31"/>
  <c r="H29" i="31"/>
  <c r="J31" i="31"/>
  <c r="J29" i="31"/>
  <c r="I29" i="31"/>
  <c r="H31" i="31"/>
  <c r="I26" i="31"/>
  <c r="J26" i="31"/>
  <c r="H26" i="31"/>
  <c r="J28" i="31"/>
  <c r="I28" i="31"/>
  <c r="H28" i="31"/>
  <c r="J27" i="31"/>
  <c r="I27" i="31"/>
  <c r="H27" i="31"/>
  <c r="J24" i="31"/>
  <c r="I25" i="31"/>
  <c r="J25" i="31"/>
  <c r="J23" i="31"/>
  <c r="I23" i="31"/>
  <c r="H25" i="31"/>
  <c r="H24" i="31"/>
  <c r="H23" i="31"/>
  <c r="I24" i="31"/>
  <c r="I20" i="31"/>
  <c r="H21" i="31"/>
  <c r="H20" i="31"/>
  <c r="H22" i="31"/>
  <c r="J22" i="31"/>
  <c r="J21" i="31"/>
  <c r="J20" i="31"/>
  <c r="I22" i="31"/>
  <c r="I21" i="31"/>
  <c r="J19" i="31"/>
  <c r="I19" i="31"/>
  <c r="H19" i="31"/>
  <c r="H18" i="31"/>
  <c r="I18" i="31"/>
  <c r="J18" i="31"/>
  <c r="J17" i="31"/>
  <c r="I17" i="31"/>
  <c r="H17" i="31"/>
  <c r="J16" i="31"/>
  <c r="I16" i="31"/>
  <c r="H16" i="31"/>
  <c r="J15" i="31"/>
  <c r="I15" i="31"/>
  <c r="H15" i="31"/>
  <c r="J14" i="31"/>
  <c r="I14" i="31"/>
  <c r="H14" i="31"/>
  <c r="J13" i="31"/>
  <c r="I13" i="31"/>
  <c r="I11" i="31"/>
  <c r="J11" i="31"/>
  <c r="J10" i="31"/>
  <c r="J12" i="31"/>
  <c r="H12" i="31"/>
  <c r="I12" i="31"/>
  <c r="H11" i="31"/>
  <c r="H13" i="31"/>
  <c r="H10" i="31"/>
  <c r="H8" i="31"/>
  <c r="I10" i="31"/>
  <c r="J8" i="31"/>
  <c r="I8" i="31"/>
  <c r="J9" i="31"/>
  <c r="I9" i="31"/>
  <c r="H9" i="31"/>
  <c r="H6" i="31"/>
  <c r="I6" i="31"/>
  <c r="J6" i="31"/>
  <c r="H5" i="31"/>
  <c r="J7" i="31"/>
  <c r="J5" i="31"/>
  <c r="I5" i="31"/>
  <c r="H7" i="31"/>
  <c r="I7" i="31"/>
  <c r="G161" i="30"/>
  <c r="F161" i="30"/>
  <c r="G158" i="30"/>
  <c r="F158" i="30"/>
  <c r="G155" i="30"/>
  <c r="F155" i="30"/>
  <c r="F152" i="30"/>
  <c r="G149" i="30"/>
  <c r="F149" i="30"/>
  <c r="G146" i="30"/>
  <c r="F146" i="30"/>
  <c r="G143" i="30"/>
  <c r="F143" i="30"/>
  <c r="G140" i="30"/>
  <c r="F140" i="30"/>
  <c r="G137" i="30"/>
  <c r="F137" i="30"/>
  <c r="F128" i="30"/>
  <c r="G125" i="30"/>
  <c r="F125" i="30"/>
  <c r="G122" i="30"/>
  <c r="F122" i="30"/>
  <c r="G119" i="30"/>
  <c r="F119" i="30"/>
  <c r="D119" i="30"/>
  <c r="D122" i="30" s="1"/>
  <c r="D125" i="30" s="1"/>
  <c r="D128" i="30" s="1"/>
  <c r="D131" i="30" s="1"/>
  <c r="D134" i="30" s="1"/>
  <c r="D137" i="30" s="1"/>
  <c r="D140" i="30" s="1"/>
  <c r="D143" i="30" s="1"/>
  <c r="D146" i="30" s="1"/>
  <c r="D149" i="30" s="1"/>
  <c r="D152" i="30" s="1"/>
  <c r="D155" i="30" s="1"/>
  <c r="D158" i="30" s="1"/>
  <c r="D161" i="30" s="1"/>
  <c r="G116" i="30"/>
  <c r="F116" i="30"/>
  <c r="D116" i="30"/>
  <c r="G113" i="30"/>
  <c r="F113" i="30"/>
  <c r="G107" i="30"/>
  <c r="F107" i="30"/>
  <c r="G104" i="30"/>
  <c r="F104" i="30"/>
  <c r="G101" i="30"/>
  <c r="F101" i="30"/>
  <c r="F98" i="30"/>
  <c r="G95" i="30"/>
  <c r="F95" i="30"/>
  <c r="G92" i="30"/>
  <c r="F92" i="30"/>
  <c r="G89" i="30"/>
  <c r="F89" i="30"/>
  <c r="G86" i="30"/>
  <c r="F86" i="30"/>
  <c r="G83" i="30"/>
  <c r="F83" i="30"/>
  <c r="F74" i="30"/>
  <c r="G71" i="30"/>
  <c r="F71" i="30"/>
  <c r="G68" i="30"/>
  <c r="F68" i="30"/>
  <c r="D68" i="30"/>
  <c r="D71" i="30" s="1"/>
  <c r="D74" i="30" s="1"/>
  <c r="D77" i="30" s="1"/>
  <c r="D80" i="30" s="1"/>
  <c r="D83" i="30" s="1"/>
  <c r="D86" i="30" s="1"/>
  <c r="D89" i="30" s="1"/>
  <c r="D92" i="30" s="1"/>
  <c r="D95" i="30" s="1"/>
  <c r="D98" i="30" s="1"/>
  <c r="D101" i="30" s="1"/>
  <c r="D104" i="30" s="1"/>
  <c r="D107" i="30" s="1"/>
  <c r="G65" i="30"/>
  <c r="F65" i="30"/>
  <c r="D65" i="30"/>
  <c r="G62" i="30"/>
  <c r="F62" i="30"/>
  <c r="D62" i="30"/>
  <c r="G59" i="30"/>
  <c r="F59" i="30"/>
  <c r="G53" i="30"/>
  <c r="F53" i="30"/>
  <c r="G50" i="30"/>
  <c r="F50" i="30"/>
  <c r="G47" i="30"/>
  <c r="F47" i="30"/>
  <c r="F44" i="30"/>
  <c r="G41" i="30"/>
  <c r="F41" i="30"/>
  <c r="G38" i="30"/>
  <c r="F38" i="30"/>
  <c r="G35" i="30"/>
  <c r="F35" i="30"/>
  <c r="G32" i="30"/>
  <c r="F32" i="30"/>
  <c r="G29" i="30"/>
  <c r="F29" i="30"/>
  <c r="F20" i="30"/>
  <c r="G17" i="30"/>
  <c r="F17" i="30"/>
  <c r="G14" i="30"/>
  <c r="F14" i="30"/>
  <c r="G11" i="30"/>
  <c r="F11" i="30"/>
  <c r="G8" i="30"/>
  <c r="F8" i="30"/>
  <c r="D8" i="30"/>
  <c r="D11" i="30" s="1"/>
  <c r="D14" i="30" s="1"/>
  <c r="D17" i="30" s="1"/>
  <c r="D20" i="30" s="1"/>
  <c r="D23" i="30" s="1"/>
  <c r="D26" i="30" s="1"/>
  <c r="D29" i="30" s="1"/>
  <c r="D32" i="30" s="1"/>
  <c r="D35" i="30" s="1"/>
  <c r="D38" i="30" s="1"/>
  <c r="D41" i="30" s="1"/>
  <c r="D44" i="30" s="1"/>
  <c r="D47" i="30" s="1"/>
  <c r="D50" i="30" s="1"/>
  <c r="D53" i="30" s="1"/>
  <c r="G5" i="30"/>
  <c r="F5" i="30"/>
  <c r="O154" i="30"/>
  <c r="O153" i="30"/>
  <c r="O152" i="30"/>
  <c r="O157" i="30"/>
  <c r="O156" i="30"/>
  <c r="O155" i="30"/>
  <c r="O160" i="30"/>
  <c r="O159" i="30"/>
  <c r="O158" i="30"/>
  <c r="O163" i="30"/>
  <c r="O162" i="30"/>
  <c r="O161" i="30"/>
  <c r="O151" i="30"/>
  <c r="O150" i="30"/>
  <c r="O149" i="30"/>
  <c r="O148" i="30"/>
  <c r="O147" i="30"/>
  <c r="O146" i="30"/>
  <c r="O145" i="30"/>
  <c r="O144" i="30"/>
  <c r="O143" i="30"/>
  <c r="O142" i="30"/>
  <c r="O141" i="30"/>
  <c r="O140" i="30"/>
  <c r="O139" i="30"/>
  <c r="O138" i="30"/>
  <c r="O137" i="30"/>
  <c r="O136" i="30"/>
  <c r="O135" i="30"/>
  <c r="O134" i="30"/>
  <c r="O133" i="30"/>
  <c r="O132" i="30"/>
  <c r="O131" i="30"/>
  <c r="O130" i="30"/>
  <c r="O129" i="30"/>
  <c r="Q129" i="30" s="1"/>
  <c r="O128" i="30"/>
  <c r="Q128" i="30" s="1"/>
  <c r="O127" i="30"/>
  <c r="O126" i="30"/>
  <c r="Q126" i="30" s="1"/>
  <c r="O125" i="30"/>
  <c r="O124" i="30"/>
  <c r="O123" i="30"/>
  <c r="Q123" i="30" s="1"/>
  <c r="O122" i="30"/>
  <c r="O121" i="30"/>
  <c r="O120" i="30"/>
  <c r="O119" i="30"/>
  <c r="O118" i="30"/>
  <c r="O117" i="30"/>
  <c r="O116" i="30"/>
  <c r="O115" i="30"/>
  <c r="O114" i="30"/>
  <c r="O113" i="30"/>
  <c r="O100" i="30"/>
  <c r="O99" i="30"/>
  <c r="O98" i="30"/>
  <c r="O103" i="30"/>
  <c r="O102" i="30"/>
  <c r="O101" i="30"/>
  <c r="O106" i="30"/>
  <c r="O105" i="30"/>
  <c r="O104" i="30"/>
  <c r="O109" i="30"/>
  <c r="O108" i="30"/>
  <c r="O107" i="30"/>
  <c r="O97" i="30"/>
  <c r="O96" i="30"/>
  <c r="O95" i="30"/>
  <c r="O94" i="30"/>
  <c r="O93" i="30"/>
  <c r="O92" i="30"/>
  <c r="O91" i="30"/>
  <c r="O90" i="30"/>
  <c r="O89" i="30"/>
  <c r="O88" i="30"/>
  <c r="O87" i="30"/>
  <c r="O86" i="30"/>
  <c r="O85" i="30"/>
  <c r="O84" i="30"/>
  <c r="O83" i="30"/>
  <c r="O82" i="30"/>
  <c r="O81" i="30"/>
  <c r="O80" i="30"/>
  <c r="O79" i="30"/>
  <c r="O78" i="30"/>
  <c r="O77" i="30"/>
  <c r="O76" i="30"/>
  <c r="Q76" i="30" s="1"/>
  <c r="O75" i="30"/>
  <c r="O74" i="30"/>
  <c r="O73" i="30"/>
  <c r="O72" i="30"/>
  <c r="Q72" i="30" s="1"/>
  <c r="O71" i="30"/>
  <c r="O70" i="30"/>
  <c r="O69" i="30"/>
  <c r="O68" i="30"/>
  <c r="Q68" i="30" s="1"/>
  <c r="O67" i="30"/>
  <c r="O66" i="30"/>
  <c r="O65" i="30"/>
  <c r="O64" i="30"/>
  <c r="O63" i="30"/>
  <c r="O62" i="30"/>
  <c r="O61" i="30"/>
  <c r="O60" i="30"/>
  <c r="O59" i="30"/>
  <c r="Q133" i="30"/>
  <c r="Q132" i="30"/>
  <c r="Q131" i="30"/>
  <c r="Q130" i="30"/>
  <c r="Q127" i="30"/>
  <c r="Q125" i="30"/>
  <c r="Q124" i="30"/>
  <c r="Q122" i="30"/>
  <c r="Q79" i="30"/>
  <c r="Q78" i="30"/>
  <c r="Q77" i="30"/>
  <c r="Q75" i="30"/>
  <c r="Q74" i="30"/>
  <c r="Q73" i="30"/>
  <c r="Q71" i="30"/>
  <c r="Q70" i="30"/>
  <c r="Q69" i="30"/>
  <c r="Q25" i="30"/>
  <c r="Q24" i="30"/>
  <c r="Q23" i="30"/>
  <c r="Q22" i="30"/>
  <c r="Q21" i="30"/>
  <c r="Q20" i="30"/>
  <c r="Q19" i="30"/>
  <c r="Q18" i="30"/>
  <c r="Q17" i="30"/>
  <c r="Q16" i="30"/>
  <c r="Q15" i="30"/>
  <c r="Q14" i="30"/>
  <c r="O154" i="29"/>
  <c r="O153" i="29"/>
  <c r="O152" i="29"/>
  <c r="O157" i="29"/>
  <c r="O156" i="29"/>
  <c r="O155" i="29"/>
  <c r="O160" i="29"/>
  <c r="O159" i="29"/>
  <c r="O158" i="29"/>
  <c r="O163" i="29"/>
  <c r="O162" i="29"/>
  <c r="O161" i="29"/>
  <c r="O151" i="29"/>
  <c r="O150" i="29"/>
  <c r="O149" i="29"/>
  <c r="O148" i="29"/>
  <c r="O147" i="29"/>
  <c r="O146" i="29"/>
  <c r="O145" i="29"/>
  <c r="O144" i="29"/>
  <c r="O143" i="29"/>
  <c r="O142" i="29"/>
  <c r="O141" i="29"/>
  <c r="O140" i="29"/>
  <c r="O139" i="29"/>
  <c r="O138" i="29"/>
  <c r="O137" i="29"/>
  <c r="O136" i="29"/>
  <c r="O135" i="29"/>
  <c r="O134" i="29"/>
  <c r="O133" i="29"/>
  <c r="Q133" i="29" s="1"/>
  <c r="O132" i="29"/>
  <c r="Q132" i="29" s="1"/>
  <c r="O131" i="29"/>
  <c r="Q131" i="29" s="1"/>
  <c r="O130" i="29"/>
  <c r="Q130" i="29" s="1"/>
  <c r="O129" i="29"/>
  <c r="Q129" i="29" s="1"/>
  <c r="O128" i="29"/>
  <c r="Q128" i="29" s="1"/>
  <c r="O127" i="29"/>
  <c r="Q127" i="29" s="1"/>
  <c r="O126" i="29"/>
  <c r="Q126" i="29" s="1"/>
  <c r="O125" i="29"/>
  <c r="Q125" i="29" s="1"/>
  <c r="O124" i="29"/>
  <c r="Q124" i="29" s="1"/>
  <c r="O123" i="29"/>
  <c r="Q123" i="29" s="1"/>
  <c r="O122" i="29"/>
  <c r="Q122" i="29" s="1"/>
  <c r="O121" i="29"/>
  <c r="O120" i="29"/>
  <c r="O119" i="29"/>
  <c r="O118" i="29"/>
  <c r="O117" i="29"/>
  <c r="O116" i="29"/>
  <c r="O115" i="29"/>
  <c r="O114" i="29"/>
  <c r="O113" i="29"/>
  <c r="O100" i="29"/>
  <c r="O99" i="29"/>
  <c r="O98" i="29"/>
  <c r="O102" i="29"/>
  <c r="O101" i="29"/>
  <c r="O103" i="29"/>
  <c r="O104" i="29"/>
  <c r="O105" i="29"/>
  <c r="O106" i="29"/>
  <c r="O107" i="29"/>
  <c r="O108" i="29"/>
  <c r="O109" i="29"/>
  <c r="O97" i="29"/>
  <c r="O96" i="29"/>
  <c r="O95" i="29"/>
  <c r="O94" i="29"/>
  <c r="O93" i="29"/>
  <c r="O92" i="29"/>
  <c r="O91" i="29"/>
  <c r="O90" i="29"/>
  <c r="O89" i="29"/>
  <c r="O88" i="29"/>
  <c r="O87" i="29"/>
  <c r="O86" i="29"/>
  <c r="O85" i="29"/>
  <c r="O84" i="29"/>
  <c r="O83" i="29"/>
  <c r="O82" i="29"/>
  <c r="O81" i="29"/>
  <c r="O80" i="29"/>
  <c r="O79" i="29"/>
  <c r="Q79" i="29" s="1"/>
  <c r="O78" i="29"/>
  <c r="Q78" i="29" s="1"/>
  <c r="O77" i="29"/>
  <c r="Q77" i="29" s="1"/>
  <c r="O76" i="29"/>
  <c r="Q76" i="29" s="1"/>
  <c r="O75" i="29"/>
  <c r="Q75" i="29" s="1"/>
  <c r="O74" i="29"/>
  <c r="Q74" i="29" s="1"/>
  <c r="O73" i="29"/>
  <c r="Q73" i="29" s="1"/>
  <c r="O72" i="29"/>
  <c r="Q72" i="29" s="1"/>
  <c r="O71" i="29"/>
  <c r="Q71" i="29" s="1"/>
  <c r="O70" i="29"/>
  <c r="Q70" i="29" s="1"/>
  <c r="O69" i="29"/>
  <c r="Q69" i="29" s="1"/>
  <c r="O68" i="29"/>
  <c r="Q68" i="29" s="1"/>
  <c r="O67" i="29"/>
  <c r="O66" i="29"/>
  <c r="O65" i="29"/>
  <c r="O64" i="29"/>
  <c r="O63" i="29"/>
  <c r="O62" i="29"/>
  <c r="O61" i="29"/>
  <c r="O60" i="29"/>
  <c r="O59" i="29"/>
  <c r="Q25" i="29"/>
  <c r="Q24" i="29"/>
  <c r="Q23" i="29"/>
  <c r="Q22" i="29"/>
  <c r="Q21" i="29"/>
  <c r="Q20" i="29"/>
  <c r="Q19" i="29"/>
  <c r="Q18" i="29"/>
  <c r="Q17" i="29"/>
  <c r="Q16" i="29"/>
  <c r="Q15" i="29"/>
  <c r="Q14" i="29"/>
  <c r="H71" i="28"/>
  <c r="G71" i="28"/>
  <c r="F71" i="28"/>
  <c r="H27" i="28"/>
  <c r="G27" i="28"/>
  <c r="F27" i="28"/>
  <c r="H26" i="28"/>
  <c r="G26" i="28"/>
  <c r="F26" i="28"/>
  <c r="G25" i="28"/>
  <c r="F25" i="28"/>
  <c r="H25" i="28"/>
  <c r="G22" i="28"/>
  <c r="H23" i="28"/>
  <c r="G23" i="28"/>
  <c r="F23" i="28"/>
  <c r="H24" i="28"/>
  <c r="G24" i="28"/>
  <c r="F24" i="28"/>
  <c r="H22" i="28"/>
  <c r="F22" i="28"/>
  <c r="H21" i="28"/>
  <c r="F21" i="28"/>
  <c r="G21" i="28"/>
  <c r="F20" i="28"/>
  <c r="G20" i="28"/>
  <c r="H20" i="28"/>
  <c r="G19" i="28"/>
  <c r="F19" i="28"/>
  <c r="H19" i="28"/>
  <c r="G18" i="28"/>
  <c r="H18" i="28"/>
  <c r="F18" i="28"/>
  <c r="F17" i="28"/>
  <c r="H17" i="28"/>
  <c r="G17" i="28"/>
  <c r="H16" i="28"/>
  <c r="F16" i="28"/>
  <c r="G16" i="28"/>
  <c r="H27" i="27"/>
  <c r="G27" i="27"/>
  <c r="F27" i="27"/>
  <c r="H26" i="27"/>
  <c r="G26" i="27"/>
  <c r="F26" i="27"/>
  <c r="F25" i="27"/>
  <c r="G25" i="27"/>
  <c r="H25" i="27"/>
  <c r="H24" i="27"/>
  <c r="G24" i="27"/>
  <c r="F24" i="27"/>
  <c r="F23" i="27"/>
  <c r="G23" i="27"/>
  <c r="H23" i="27"/>
  <c r="F22" i="27"/>
  <c r="H22" i="27"/>
  <c r="G22" i="27"/>
  <c r="F21" i="27"/>
  <c r="G21" i="27"/>
  <c r="H21" i="27"/>
  <c r="F20" i="27"/>
  <c r="G20" i="27"/>
  <c r="H20" i="27"/>
  <c r="G19" i="27"/>
  <c r="H19" i="27"/>
  <c r="F19" i="27"/>
  <c r="H18" i="27"/>
  <c r="F18" i="27"/>
  <c r="G18" i="27"/>
  <c r="F17" i="27"/>
  <c r="G17" i="27"/>
  <c r="H17" i="27"/>
  <c r="M91" i="32" l="1"/>
  <c r="L91" i="32"/>
  <c r="K91" i="32"/>
  <c r="M90" i="32"/>
  <c r="L90" i="32"/>
  <c r="K90" i="32"/>
  <c r="M89" i="32"/>
  <c r="L89" i="32"/>
  <c r="K89" i="32"/>
  <c r="M88" i="32"/>
  <c r="L88" i="32"/>
  <c r="K88" i="32"/>
  <c r="M87" i="32"/>
  <c r="L87" i="32"/>
  <c r="K87" i="32"/>
  <c r="M86" i="32"/>
  <c r="L86" i="32"/>
  <c r="K86" i="32"/>
  <c r="M85" i="32"/>
  <c r="L85" i="32"/>
  <c r="K85" i="32"/>
  <c r="M84" i="32"/>
  <c r="L84" i="32"/>
  <c r="K84" i="32"/>
  <c r="M83" i="32"/>
  <c r="L83" i="32"/>
  <c r="K83" i="32"/>
  <c r="M82" i="32"/>
  <c r="L82" i="32"/>
  <c r="K82" i="32"/>
  <c r="M81" i="32"/>
  <c r="L81" i="32"/>
  <c r="K81" i="32"/>
  <c r="M80" i="32"/>
  <c r="L80" i="32"/>
  <c r="K80" i="32"/>
  <c r="M79" i="32"/>
  <c r="L79" i="32"/>
  <c r="K79" i="32"/>
  <c r="M78" i="32"/>
  <c r="L78" i="32"/>
  <c r="K78" i="32"/>
  <c r="M77" i="32"/>
  <c r="L77" i="32"/>
  <c r="K77" i="32"/>
  <c r="M76" i="32"/>
  <c r="L76" i="32"/>
  <c r="K76" i="32"/>
  <c r="M75" i="32"/>
  <c r="L75" i="32"/>
  <c r="K75" i="32"/>
  <c r="M74" i="32"/>
  <c r="L74" i="32"/>
  <c r="K74" i="32"/>
  <c r="M73" i="32"/>
  <c r="L73" i="32"/>
  <c r="K73" i="32"/>
  <c r="J72" i="32"/>
  <c r="M72" i="32" s="1"/>
  <c r="L72" i="32"/>
  <c r="K72" i="32"/>
  <c r="M71" i="32"/>
  <c r="L71" i="32"/>
  <c r="K71" i="32"/>
  <c r="M70" i="32"/>
  <c r="L70" i="32"/>
  <c r="K70" i="32"/>
  <c r="M69" i="32"/>
  <c r="L69" i="32"/>
  <c r="K69" i="32"/>
  <c r="M68" i="32"/>
  <c r="L68" i="32"/>
  <c r="K68" i="32"/>
  <c r="M67" i="32"/>
  <c r="L67" i="32"/>
  <c r="K67" i="32"/>
  <c r="M66" i="32"/>
  <c r="L66" i="32"/>
  <c r="K66" i="32"/>
  <c r="M65" i="32"/>
  <c r="L65" i="32"/>
  <c r="K65" i="32"/>
  <c r="M91" i="31"/>
  <c r="L91" i="31"/>
  <c r="K91" i="31"/>
  <c r="N91" i="31" s="1"/>
  <c r="O91" i="31" s="1"/>
  <c r="M90" i="31"/>
  <c r="L90" i="31"/>
  <c r="K90" i="31"/>
  <c r="M89" i="31"/>
  <c r="L89" i="31"/>
  <c r="K89" i="31"/>
  <c r="M88" i="31"/>
  <c r="L88" i="31"/>
  <c r="K88" i="31"/>
  <c r="M87" i="31"/>
  <c r="L87" i="31"/>
  <c r="K87" i="31"/>
  <c r="N87" i="31" s="1"/>
  <c r="O87" i="31" s="1"/>
  <c r="M86" i="31"/>
  <c r="L86" i="31"/>
  <c r="K86" i="31"/>
  <c r="M85" i="31"/>
  <c r="N85" i="31" s="1"/>
  <c r="O85" i="31" s="1"/>
  <c r="L85" i="31"/>
  <c r="K85" i="31"/>
  <c r="M84" i="31"/>
  <c r="L84" i="31"/>
  <c r="K84" i="31"/>
  <c r="M83" i="31"/>
  <c r="L83" i="31"/>
  <c r="K83" i="31"/>
  <c r="N83" i="31" s="1"/>
  <c r="O83" i="31" s="1"/>
  <c r="M82" i="31"/>
  <c r="L82" i="31"/>
  <c r="K82" i="31"/>
  <c r="M81" i="31"/>
  <c r="L81" i="31"/>
  <c r="K81" i="31"/>
  <c r="N81" i="31" s="1"/>
  <c r="O81" i="31" s="1"/>
  <c r="M80" i="31"/>
  <c r="L80" i="31"/>
  <c r="K80" i="31"/>
  <c r="M79" i="31"/>
  <c r="L79" i="31"/>
  <c r="K79" i="31"/>
  <c r="M78" i="31"/>
  <c r="L78" i="31"/>
  <c r="K78" i="31"/>
  <c r="N78" i="31" s="1"/>
  <c r="O78" i="31" s="1"/>
  <c r="M77" i="31"/>
  <c r="L77" i="31"/>
  <c r="K77" i="31"/>
  <c r="M76" i="31"/>
  <c r="L76" i="31"/>
  <c r="K76" i="31"/>
  <c r="M75" i="31"/>
  <c r="L75" i="31"/>
  <c r="K75" i="31"/>
  <c r="M74" i="31"/>
  <c r="L74" i="31"/>
  <c r="K74" i="31"/>
  <c r="J73" i="31"/>
  <c r="M73" i="31" s="1"/>
  <c r="I73" i="31"/>
  <c r="L73" i="31" s="1"/>
  <c r="H73" i="31"/>
  <c r="K73" i="31" s="1"/>
  <c r="N73" i="31" s="1"/>
  <c r="O73" i="31" s="1"/>
  <c r="J72" i="31"/>
  <c r="M72" i="31" s="1"/>
  <c r="I72" i="31"/>
  <c r="L72" i="31" s="1"/>
  <c r="H72" i="31"/>
  <c r="K72" i="31" s="1"/>
  <c r="J71" i="31"/>
  <c r="M71" i="31" s="1"/>
  <c r="I71" i="31"/>
  <c r="L71" i="31" s="1"/>
  <c r="H71" i="31"/>
  <c r="K71" i="31" s="1"/>
  <c r="M70" i="31"/>
  <c r="L70" i="31"/>
  <c r="K70" i="31"/>
  <c r="M69" i="31"/>
  <c r="L69" i="31"/>
  <c r="K69" i="31"/>
  <c r="M68" i="31"/>
  <c r="L68" i="31"/>
  <c r="K68" i="31"/>
  <c r="M67" i="31"/>
  <c r="L67" i="31"/>
  <c r="K67" i="31"/>
  <c r="M66" i="31"/>
  <c r="L66" i="31"/>
  <c r="K66" i="31"/>
  <c r="M65" i="31"/>
  <c r="L65" i="31"/>
  <c r="K65" i="31"/>
  <c r="M61" i="32"/>
  <c r="L61" i="32"/>
  <c r="K61" i="32"/>
  <c r="M60" i="32"/>
  <c r="L60" i="32"/>
  <c r="K60" i="32"/>
  <c r="M59" i="32"/>
  <c r="L59" i="32"/>
  <c r="K59" i="32"/>
  <c r="J58" i="32"/>
  <c r="M58" i="32" s="1"/>
  <c r="I58" i="32"/>
  <c r="L58" i="32" s="1"/>
  <c r="H58" i="32"/>
  <c r="K58" i="32" s="1"/>
  <c r="J57" i="32"/>
  <c r="M57" i="32" s="1"/>
  <c r="I57" i="32"/>
  <c r="L57" i="32" s="1"/>
  <c r="H57" i="32"/>
  <c r="K57" i="32" s="1"/>
  <c r="J56" i="32"/>
  <c r="M56" i="32" s="1"/>
  <c r="I56" i="32"/>
  <c r="L56" i="32" s="1"/>
  <c r="H56" i="32"/>
  <c r="K56" i="32" s="1"/>
  <c r="M55" i="32"/>
  <c r="L55" i="32"/>
  <c r="K55" i="32"/>
  <c r="M54" i="32"/>
  <c r="L54" i="32"/>
  <c r="K54" i="32"/>
  <c r="M53" i="32"/>
  <c r="L53" i="32"/>
  <c r="K53" i="32"/>
  <c r="M52" i="32"/>
  <c r="L52" i="32"/>
  <c r="K52" i="32"/>
  <c r="M51" i="32"/>
  <c r="L51" i="32"/>
  <c r="K51" i="32"/>
  <c r="M50" i="32"/>
  <c r="L50" i="32"/>
  <c r="K50" i="32"/>
  <c r="M49" i="32"/>
  <c r="L49" i="32"/>
  <c r="K49" i="32"/>
  <c r="M48" i="32"/>
  <c r="L48" i="32"/>
  <c r="K48" i="32"/>
  <c r="M47" i="32"/>
  <c r="L47" i="32"/>
  <c r="K47" i="32"/>
  <c r="M46" i="32"/>
  <c r="L46" i="32"/>
  <c r="K46" i="32"/>
  <c r="M45" i="32"/>
  <c r="L45" i="32"/>
  <c r="K45" i="32"/>
  <c r="M44" i="32"/>
  <c r="L44" i="32"/>
  <c r="K44" i="32"/>
  <c r="M43" i="32"/>
  <c r="L43" i="32"/>
  <c r="K43" i="32"/>
  <c r="M42" i="32"/>
  <c r="L42" i="32"/>
  <c r="K42" i="32"/>
  <c r="M41" i="32"/>
  <c r="L41" i="32"/>
  <c r="K41" i="32"/>
  <c r="M40" i="32"/>
  <c r="L40" i="32"/>
  <c r="K40" i="32"/>
  <c r="M39" i="32"/>
  <c r="L39" i="32"/>
  <c r="K39" i="32"/>
  <c r="M38" i="32"/>
  <c r="L38" i="32"/>
  <c r="K38" i="32"/>
  <c r="M37" i="32"/>
  <c r="L37" i="32"/>
  <c r="K37" i="32"/>
  <c r="M36" i="32"/>
  <c r="L36" i="32"/>
  <c r="K36" i="32"/>
  <c r="M35" i="32"/>
  <c r="L35" i="32"/>
  <c r="K35" i="32"/>
  <c r="M61" i="31"/>
  <c r="L61" i="31"/>
  <c r="K61" i="31"/>
  <c r="M60" i="31"/>
  <c r="L60" i="31"/>
  <c r="K60" i="31"/>
  <c r="M59" i="31"/>
  <c r="L59" i="31"/>
  <c r="K59" i="31"/>
  <c r="J58" i="31"/>
  <c r="M58" i="31" s="1"/>
  <c r="I58" i="31"/>
  <c r="L58" i="31" s="1"/>
  <c r="H58" i="31"/>
  <c r="K58" i="31" s="1"/>
  <c r="J57" i="31"/>
  <c r="M57" i="31" s="1"/>
  <c r="I57" i="31"/>
  <c r="L57" i="31" s="1"/>
  <c r="H57" i="31"/>
  <c r="K57" i="31" s="1"/>
  <c r="J56" i="31"/>
  <c r="M56" i="31" s="1"/>
  <c r="I56" i="31"/>
  <c r="L56" i="31" s="1"/>
  <c r="H56" i="31"/>
  <c r="K56" i="31" s="1"/>
  <c r="J55" i="31"/>
  <c r="M55" i="31" s="1"/>
  <c r="I55" i="31"/>
  <c r="L55" i="31" s="1"/>
  <c r="H55" i="31"/>
  <c r="K55" i="31" s="1"/>
  <c r="J54" i="31"/>
  <c r="M54" i="31" s="1"/>
  <c r="I54" i="31"/>
  <c r="L54" i="31" s="1"/>
  <c r="H54" i="31"/>
  <c r="K54" i="31" s="1"/>
  <c r="J53" i="31"/>
  <c r="M53" i="31" s="1"/>
  <c r="I53" i="31"/>
  <c r="L53" i="31" s="1"/>
  <c r="H53" i="31"/>
  <c r="K53" i="31" s="1"/>
  <c r="M52" i="31"/>
  <c r="L52" i="31"/>
  <c r="K52" i="31"/>
  <c r="M51" i="31"/>
  <c r="L51" i="31"/>
  <c r="K51" i="31"/>
  <c r="M50" i="31"/>
  <c r="L50" i="31"/>
  <c r="K50" i="31"/>
  <c r="M49" i="31"/>
  <c r="L49" i="31"/>
  <c r="K49" i="31"/>
  <c r="M48" i="31"/>
  <c r="L48" i="31"/>
  <c r="K48" i="31"/>
  <c r="M47" i="31"/>
  <c r="L47" i="31"/>
  <c r="K47" i="31"/>
  <c r="J46" i="31"/>
  <c r="M46" i="31" s="1"/>
  <c r="I46" i="31"/>
  <c r="L46" i="31" s="1"/>
  <c r="H46" i="31"/>
  <c r="K46" i="31" s="1"/>
  <c r="J45" i="31"/>
  <c r="M45" i="31" s="1"/>
  <c r="I45" i="31"/>
  <c r="L45" i="31" s="1"/>
  <c r="H45" i="31"/>
  <c r="K45" i="31" s="1"/>
  <c r="J44" i="31"/>
  <c r="M44" i="31" s="1"/>
  <c r="I44" i="31"/>
  <c r="L44" i="31" s="1"/>
  <c r="H44" i="31"/>
  <c r="K44" i="31" s="1"/>
  <c r="J43" i="31"/>
  <c r="M43" i="31" s="1"/>
  <c r="I43" i="31"/>
  <c r="L43" i="31" s="1"/>
  <c r="H43" i="31"/>
  <c r="K43" i="31" s="1"/>
  <c r="J42" i="31"/>
  <c r="M42" i="31" s="1"/>
  <c r="I42" i="31"/>
  <c r="L42" i="31" s="1"/>
  <c r="H42" i="31"/>
  <c r="K42" i="31" s="1"/>
  <c r="J41" i="31"/>
  <c r="M41" i="31" s="1"/>
  <c r="I41" i="31"/>
  <c r="L41" i="31" s="1"/>
  <c r="H41" i="31"/>
  <c r="K41" i="31" s="1"/>
  <c r="M40" i="31"/>
  <c r="L40" i="31"/>
  <c r="K40" i="31"/>
  <c r="M39" i="31"/>
  <c r="L39" i="31"/>
  <c r="K39" i="31"/>
  <c r="M38" i="31"/>
  <c r="L38" i="31"/>
  <c r="K38" i="31"/>
  <c r="M37" i="31"/>
  <c r="L37" i="31"/>
  <c r="K37" i="31"/>
  <c r="M36" i="31"/>
  <c r="L36" i="31"/>
  <c r="K36" i="31"/>
  <c r="M35" i="31"/>
  <c r="L35" i="31"/>
  <c r="K35" i="31"/>
  <c r="M31" i="32"/>
  <c r="L31" i="32"/>
  <c r="K31" i="32"/>
  <c r="M30" i="32"/>
  <c r="L30" i="32"/>
  <c r="K30" i="32"/>
  <c r="M29" i="32"/>
  <c r="L29" i="32"/>
  <c r="K29" i="32"/>
  <c r="M28" i="32"/>
  <c r="L28" i="32"/>
  <c r="K28" i="32"/>
  <c r="M27" i="32"/>
  <c r="L27" i="32"/>
  <c r="K27" i="32"/>
  <c r="M26" i="32"/>
  <c r="L26" i="32"/>
  <c r="K26" i="32"/>
  <c r="M25" i="32"/>
  <c r="L25" i="32"/>
  <c r="K25" i="32"/>
  <c r="M24" i="32"/>
  <c r="L24" i="32"/>
  <c r="K24" i="32"/>
  <c r="M23" i="32"/>
  <c r="L23" i="32"/>
  <c r="K23" i="32"/>
  <c r="M22" i="32"/>
  <c r="L22" i="32"/>
  <c r="K22" i="32"/>
  <c r="M21" i="32"/>
  <c r="L21" i="32"/>
  <c r="K21" i="32"/>
  <c r="M20" i="32"/>
  <c r="L20" i="32"/>
  <c r="K20" i="32"/>
  <c r="M19" i="32"/>
  <c r="L19" i="32"/>
  <c r="K19" i="32"/>
  <c r="M18" i="32"/>
  <c r="L18" i="32"/>
  <c r="K18" i="32"/>
  <c r="M17" i="32"/>
  <c r="L17" i="32"/>
  <c r="K17" i="32"/>
  <c r="M16" i="32"/>
  <c r="L16" i="32"/>
  <c r="K16" i="32"/>
  <c r="M15" i="32"/>
  <c r="L15" i="32"/>
  <c r="K15" i="32"/>
  <c r="M14" i="32"/>
  <c r="L14" i="32"/>
  <c r="K14" i="32"/>
  <c r="M13" i="32"/>
  <c r="L13" i="32"/>
  <c r="K13" i="32"/>
  <c r="M12" i="32"/>
  <c r="L12" i="32"/>
  <c r="K12" i="32"/>
  <c r="J11" i="32"/>
  <c r="M11" i="32" s="1"/>
  <c r="L11" i="32"/>
  <c r="K11" i="32"/>
  <c r="M10" i="32"/>
  <c r="L10" i="32"/>
  <c r="K10" i="32"/>
  <c r="M9" i="32"/>
  <c r="L9" i="32"/>
  <c r="K9" i="32"/>
  <c r="M8" i="32"/>
  <c r="L8" i="32"/>
  <c r="K8" i="32"/>
  <c r="M7" i="32"/>
  <c r="L7" i="32"/>
  <c r="K7" i="32"/>
  <c r="M6" i="32"/>
  <c r="L6" i="32"/>
  <c r="K6" i="32"/>
  <c r="M5" i="32"/>
  <c r="L5" i="32"/>
  <c r="K5" i="32"/>
  <c r="M31" i="31"/>
  <c r="L31" i="31"/>
  <c r="K31" i="31"/>
  <c r="M30" i="31"/>
  <c r="L30" i="31"/>
  <c r="K30" i="31"/>
  <c r="M29" i="31"/>
  <c r="L29" i="31"/>
  <c r="K29" i="31"/>
  <c r="M28" i="31"/>
  <c r="L28" i="31"/>
  <c r="K28" i="31"/>
  <c r="M27" i="31"/>
  <c r="L27" i="31"/>
  <c r="K27" i="31"/>
  <c r="M26" i="31"/>
  <c r="L26" i="31"/>
  <c r="K26" i="31"/>
  <c r="M25" i="31"/>
  <c r="L25" i="31"/>
  <c r="K25" i="31"/>
  <c r="M24" i="31"/>
  <c r="L24" i="31"/>
  <c r="K24" i="31"/>
  <c r="M23" i="31"/>
  <c r="L23" i="31"/>
  <c r="K23" i="31"/>
  <c r="M22" i="31"/>
  <c r="L22" i="31"/>
  <c r="K22" i="31"/>
  <c r="M21" i="31"/>
  <c r="L21" i="31"/>
  <c r="K21" i="31"/>
  <c r="M20" i="31"/>
  <c r="L20" i="31"/>
  <c r="K20" i="31"/>
  <c r="M19" i="31"/>
  <c r="L19" i="31"/>
  <c r="K19" i="31"/>
  <c r="M18" i="31"/>
  <c r="L18" i="31"/>
  <c r="K18" i="31"/>
  <c r="M17" i="31"/>
  <c r="L17" i="31"/>
  <c r="K17" i="31"/>
  <c r="M16" i="31"/>
  <c r="L16" i="31"/>
  <c r="K16" i="31"/>
  <c r="M15" i="31"/>
  <c r="L15" i="31"/>
  <c r="K15" i="31"/>
  <c r="M14" i="31"/>
  <c r="L14" i="31"/>
  <c r="K14" i="31"/>
  <c r="M13" i="31"/>
  <c r="L13" i="31"/>
  <c r="K13" i="31"/>
  <c r="M12" i="31"/>
  <c r="L12" i="31"/>
  <c r="K12" i="31"/>
  <c r="M11" i="31"/>
  <c r="L11" i="31"/>
  <c r="K11" i="31"/>
  <c r="M10" i="31"/>
  <c r="L10" i="31"/>
  <c r="K10" i="31"/>
  <c r="M9" i="31"/>
  <c r="L9" i="31"/>
  <c r="K9" i="31"/>
  <c r="M8" i="31"/>
  <c r="L8" i="31"/>
  <c r="K8" i="31"/>
  <c r="M7" i="31"/>
  <c r="L7" i="31"/>
  <c r="K7" i="31"/>
  <c r="M6" i="31"/>
  <c r="L6" i="31"/>
  <c r="K6" i="31"/>
  <c r="M5" i="31"/>
  <c r="L5" i="31"/>
  <c r="K5" i="31"/>
  <c r="I163" i="30"/>
  <c r="I161" i="30"/>
  <c r="K163" i="30"/>
  <c r="H163" i="30"/>
  <c r="J160" i="30"/>
  <c r="I160" i="30"/>
  <c r="K157" i="30"/>
  <c r="I157" i="30"/>
  <c r="K154" i="30"/>
  <c r="J154" i="30"/>
  <c r="I154" i="30"/>
  <c r="K153" i="30"/>
  <c r="J153" i="30"/>
  <c r="I153" i="30"/>
  <c r="K152" i="30"/>
  <c r="J152" i="30"/>
  <c r="I152" i="30"/>
  <c r="H154" i="30"/>
  <c r="H150" i="30"/>
  <c r="J151" i="30"/>
  <c r="I151" i="30"/>
  <c r="J148" i="30"/>
  <c r="K148" i="30"/>
  <c r="I148" i="30"/>
  <c r="K145" i="30"/>
  <c r="H145" i="30"/>
  <c r="K142" i="30"/>
  <c r="I142" i="30"/>
  <c r="H137" i="30"/>
  <c r="J139" i="30"/>
  <c r="I139" i="30"/>
  <c r="K136" i="30"/>
  <c r="J136" i="30"/>
  <c r="I136" i="30"/>
  <c r="H136" i="30"/>
  <c r="K135" i="30"/>
  <c r="J135" i="30"/>
  <c r="I135" i="30"/>
  <c r="H135" i="30"/>
  <c r="K134" i="30"/>
  <c r="J134" i="30"/>
  <c r="I134" i="30"/>
  <c r="H134" i="30"/>
  <c r="K133" i="30"/>
  <c r="J133" i="30"/>
  <c r="I133" i="30"/>
  <c r="H133" i="30"/>
  <c r="K132" i="30"/>
  <c r="J132" i="30"/>
  <c r="I132" i="30"/>
  <c r="H132" i="30"/>
  <c r="K131" i="30"/>
  <c r="J131" i="30"/>
  <c r="I131" i="30"/>
  <c r="H131" i="30"/>
  <c r="K130" i="30"/>
  <c r="J130" i="30"/>
  <c r="I130" i="30"/>
  <c r="K129" i="30"/>
  <c r="J129" i="30"/>
  <c r="I129" i="30"/>
  <c r="K128" i="30"/>
  <c r="J128" i="30"/>
  <c r="I128" i="30"/>
  <c r="H130" i="30"/>
  <c r="J126" i="30"/>
  <c r="K125" i="30"/>
  <c r="I127" i="30"/>
  <c r="J124" i="30"/>
  <c r="J122" i="30"/>
  <c r="K124" i="30"/>
  <c r="H124" i="30"/>
  <c r="J120" i="30"/>
  <c r="I119" i="30"/>
  <c r="K121" i="30"/>
  <c r="I120" i="30"/>
  <c r="J118" i="30"/>
  <c r="I118" i="30"/>
  <c r="J115" i="30"/>
  <c r="J114" i="30"/>
  <c r="J113" i="30"/>
  <c r="K114" i="30"/>
  <c r="I115" i="30"/>
  <c r="G161" i="29"/>
  <c r="K163" i="29" s="1"/>
  <c r="F161" i="29"/>
  <c r="I162" i="29" s="1"/>
  <c r="H158" i="29"/>
  <c r="G158" i="29"/>
  <c r="J160" i="29" s="1"/>
  <c r="F158" i="29"/>
  <c r="I160" i="29" s="1"/>
  <c r="G155" i="29"/>
  <c r="K157" i="29" s="1"/>
  <c r="F155" i="29"/>
  <c r="I157" i="29" s="1"/>
  <c r="K154" i="29"/>
  <c r="J154" i="29"/>
  <c r="K153" i="29"/>
  <c r="J153" i="29"/>
  <c r="K152" i="29"/>
  <c r="J152" i="29"/>
  <c r="F152" i="29"/>
  <c r="H154" i="29" s="1"/>
  <c r="G149" i="29"/>
  <c r="J151" i="29" s="1"/>
  <c r="F149" i="29"/>
  <c r="I151" i="29" s="1"/>
  <c r="G146" i="29"/>
  <c r="K148" i="29" s="1"/>
  <c r="F146" i="29"/>
  <c r="I148" i="29" s="1"/>
  <c r="G143" i="29"/>
  <c r="K145" i="29" s="1"/>
  <c r="F143" i="29"/>
  <c r="H145" i="29" s="1"/>
  <c r="H141" i="29"/>
  <c r="G140" i="29"/>
  <c r="K142" i="29" s="1"/>
  <c r="F140" i="29"/>
  <c r="I142" i="29" s="1"/>
  <c r="G137" i="29"/>
  <c r="J139" i="29" s="1"/>
  <c r="F137" i="29"/>
  <c r="I139" i="29" s="1"/>
  <c r="K136" i="29"/>
  <c r="J136" i="29"/>
  <c r="I136" i="29"/>
  <c r="H136" i="29"/>
  <c r="K135" i="29"/>
  <c r="J135" i="29"/>
  <c r="I135" i="29"/>
  <c r="H135" i="29"/>
  <c r="K134" i="29"/>
  <c r="J134" i="29"/>
  <c r="I134" i="29"/>
  <c r="H134" i="29"/>
  <c r="K133" i="29"/>
  <c r="J133" i="29"/>
  <c r="I133" i="29"/>
  <c r="H133" i="29"/>
  <c r="K132" i="29"/>
  <c r="J132" i="29"/>
  <c r="I132" i="29"/>
  <c r="H132" i="29"/>
  <c r="K131" i="29"/>
  <c r="J131" i="29"/>
  <c r="I131" i="29"/>
  <c r="H131" i="29"/>
  <c r="K130" i="29"/>
  <c r="J130" i="29"/>
  <c r="K129" i="29"/>
  <c r="J129" i="29"/>
  <c r="K128" i="29"/>
  <c r="J128" i="29"/>
  <c r="F128" i="29"/>
  <c r="I130" i="29" s="1"/>
  <c r="H125" i="29"/>
  <c r="G125" i="29"/>
  <c r="K126" i="29" s="1"/>
  <c r="F125" i="29"/>
  <c r="H126" i="29" s="1"/>
  <c r="G122" i="29"/>
  <c r="J124" i="29" s="1"/>
  <c r="F122" i="29"/>
  <c r="I124" i="29" s="1"/>
  <c r="G119" i="29"/>
  <c r="K121" i="29" s="1"/>
  <c r="F119" i="29"/>
  <c r="I121" i="29" s="1"/>
  <c r="G116" i="29"/>
  <c r="K118" i="29" s="1"/>
  <c r="F116" i="29"/>
  <c r="H118" i="29" s="1"/>
  <c r="D116" i="29"/>
  <c r="D119" i="29" s="1"/>
  <c r="D122" i="29" s="1"/>
  <c r="D125" i="29" s="1"/>
  <c r="D128" i="29" s="1"/>
  <c r="D131" i="29" s="1"/>
  <c r="D134" i="29" s="1"/>
  <c r="D137" i="29" s="1"/>
  <c r="D140" i="29" s="1"/>
  <c r="D143" i="29" s="1"/>
  <c r="D146" i="29" s="1"/>
  <c r="D149" i="29" s="1"/>
  <c r="D152" i="29" s="1"/>
  <c r="D155" i="29" s="1"/>
  <c r="D158" i="29" s="1"/>
  <c r="D161" i="29" s="1"/>
  <c r="G113" i="29"/>
  <c r="K115" i="29" s="1"/>
  <c r="F113" i="29"/>
  <c r="I115" i="29" s="1"/>
  <c r="J108" i="30"/>
  <c r="K109" i="30"/>
  <c r="I109" i="30"/>
  <c r="I106" i="30"/>
  <c r="I104" i="30"/>
  <c r="J106" i="30"/>
  <c r="H106" i="30"/>
  <c r="K103" i="30"/>
  <c r="I103" i="30"/>
  <c r="K100" i="30"/>
  <c r="J100" i="30"/>
  <c r="K99" i="30"/>
  <c r="J99" i="30"/>
  <c r="K98" i="30"/>
  <c r="J98" i="30"/>
  <c r="H100" i="30"/>
  <c r="I97" i="30"/>
  <c r="I95" i="30"/>
  <c r="J97" i="30"/>
  <c r="H97" i="30"/>
  <c r="K94" i="30"/>
  <c r="I94" i="30"/>
  <c r="K91" i="30"/>
  <c r="H91" i="30"/>
  <c r="J87" i="30"/>
  <c r="K88" i="30"/>
  <c r="I88" i="30"/>
  <c r="I85" i="30"/>
  <c r="I83" i="30"/>
  <c r="J85" i="30"/>
  <c r="H85" i="30"/>
  <c r="K82" i="30"/>
  <c r="J82" i="30"/>
  <c r="I82" i="30"/>
  <c r="H82" i="30"/>
  <c r="K81" i="30"/>
  <c r="J81" i="30"/>
  <c r="I81" i="30"/>
  <c r="H81" i="30"/>
  <c r="K80" i="30"/>
  <c r="J80" i="30"/>
  <c r="I80" i="30"/>
  <c r="H80" i="30"/>
  <c r="K79" i="30"/>
  <c r="J79" i="30"/>
  <c r="I79" i="30"/>
  <c r="H79" i="30"/>
  <c r="K78" i="30"/>
  <c r="J78" i="30"/>
  <c r="I78" i="30"/>
  <c r="H78" i="30"/>
  <c r="K77" i="30"/>
  <c r="J77" i="30"/>
  <c r="I77" i="30"/>
  <c r="H77" i="30"/>
  <c r="K76" i="30"/>
  <c r="J76" i="30"/>
  <c r="K75" i="30"/>
  <c r="J75" i="30"/>
  <c r="K74" i="30"/>
  <c r="J74" i="30"/>
  <c r="I76" i="30"/>
  <c r="H72" i="30"/>
  <c r="H71" i="30"/>
  <c r="K73" i="30"/>
  <c r="I73" i="30"/>
  <c r="K70" i="30"/>
  <c r="H70" i="30"/>
  <c r="J67" i="30"/>
  <c r="K67" i="30"/>
  <c r="I67" i="30"/>
  <c r="J64" i="30"/>
  <c r="I64" i="30"/>
  <c r="H60" i="30"/>
  <c r="H59" i="30"/>
  <c r="K61" i="30"/>
  <c r="I61" i="30"/>
  <c r="N91" i="32" l="1"/>
  <c r="O91" i="32" s="1"/>
  <c r="N83" i="32"/>
  <c r="O83" i="32" s="1"/>
  <c r="N77" i="31"/>
  <c r="O77" i="31" s="1"/>
  <c r="N47" i="31"/>
  <c r="O47" i="31" s="1"/>
  <c r="H63" i="30"/>
  <c r="H117" i="30"/>
  <c r="H160" i="30"/>
  <c r="I63" i="30"/>
  <c r="H74" i="30"/>
  <c r="H75" i="30"/>
  <c r="H76" i="30"/>
  <c r="H84" i="30"/>
  <c r="J88" i="30"/>
  <c r="H96" i="30"/>
  <c r="H105" i="30"/>
  <c r="J109" i="30"/>
  <c r="I117" i="30"/>
  <c r="J119" i="30"/>
  <c r="H121" i="30"/>
  <c r="I123" i="30"/>
  <c r="J127" i="30"/>
  <c r="I141" i="30"/>
  <c r="J144" i="30"/>
  <c r="H151" i="30"/>
  <c r="J155" i="30"/>
  <c r="H162" i="30"/>
  <c r="H94" i="30"/>
  <c r="H103" i="30"/>
  <c r="H141" i="30"/>
  <c r="I144" i="30"/>
  <c r="H61" i="30"/>
  <c r="H62" i="30"/>
  <c r="H64" i="30"/>
  <c r="J65" i="30"/>
  <c r="I74" i="30"/>
  <c r="I75" i="30"/>
  <c r="I84" i="30"/>
  <c r="H92" i="30"/>
  <c r="I96" i="30"/>
  <c r="H101" i="30"/>
  <c r="I105" i="30"/>
  <c r="H116" i="30"/>
  <c r="H118" i="30"/>
  <c r="H120" i="30"/>
  <c r="I121" i="30"/>
  <c r="J123" i="30"/>
  <c r="H138" i="30"/>
  <c r="H140" i="30"/>
  <c r="H142" i="30"/>
  <c r="I143" i="30"/>
  <c r="I145" i="30"/>
  <c r="J146" i="30"/>
  <c r="J156" i="30"/>
  <c r="H158" i="30"/>
  <c r="I162" i="30"/>
  <c r="I62" i="30"/>
  <c r="J66" i="30"/>
  <c r="H73" i="30"/>
  <c r="H83" i="30"/>
  <c r="J86" i="30"/>
  <c r="H93" i="30"/>
  <c r="H95" i="30"/>
  <c r="H102" i="30"/>
  <c r="H104" i="30"/>
  <c r="J107" i="30"/>
  <c r="I116" i="30"/>
  <c r="H119" i="30"/>
  <c r="J121" i="30"/>
  <c r="I122" i="30"/>
  <c r="I124" i="30"/>
  <c r="J125" i="30"/>
  <c r="H128" i="30"/>
  <c r="H129" i="30"/>
  <c r="H139" i="30"/>
  <c r="I140" i="30"/>
  <c r="J143" i="30"/>
  <c r="J145" i="30"/>
  <c r="J147" i="30"/>
  <c r="H149" i="30"/>
  <c r="H152" i="30"/>
  <c r="H153" i="30"/>
  <c r="J157" i="30"/>
  <c r="H159" i="30"/>
  <c r="H161" i="30"/>
  <c r="H113" i="29"/>
  <c r="I152" i="29"/>
  <c r="H161" i="29"/>
  <c r="J113" i="29"/>
  <c r="I154" i="29"/>
  <c r="H159" i="29"/>
  <c r="J144" i="29"/>
  <c r="I114" i="29"/>
  <c r="J117" i="29"/>
  <c r="I126" i="29"/>
  <c r="H130" i="29"/>
  <c r="J145" i="29"/>
  <c r="H163" i="29"/>
  <c r="H129" i="29"/>
  <c r="H151" i="29"/>
  <c r="H128" i="29"/>
  <c r="J143" i="29"/>
  <c r="I113" i="29"/>
  <c r="J114" i="29"/>
  <c r="J118" i="29"/>
  <c r="H124" i="29"/>
  <c r="I125" i="29"/>
  <c r="H127" i="29"/>
  <c r="I128" i="29"/>
  <c r="I129" i="29"/>
  <c r="I138" i="29"/>
  <c r="H140" i="29"/>
  <c r="I141" i="29"/>
  <c r="H149" i="29"/>
  <c r="I153" i="29"/>
  <c r="H160" i="29"/>
  <c r="I161" i="29"/>
  <c r="I163" i="29"/>
  <c r="H123" i="29"/>
  <c r="H115" i="29"/>
  <c r="H122" i="29"/>
  <c r="J125" i="29"/>
  <c r="J127" i="29"/>
  <c r="H137" i="29"/>
  <c r="H139" i="29"/>
  <c r="I140" i="29"/>
  <c r="H142" i="29"/>
  <c r="I149" i="29"/>
  <c r="H162" i="29"/>
  <c r="H138" i="29"/>
  <c r="H114" i="29"/>
  <c r="J116" i="29"/>
  <c r="I122" i="29"/>
  <c r="I137" i="29"/>
  <c r="J140" i="29"/>
  <c r="H150" i="29"/>
  <c r="N84" i="32"/>
  <c r="O84" i="32" s="1"/>
  <c r="N66" i="32"/>
  <c r="O66" i="32" s="1"/>
  <c r="N70" i="32"/>
  <c r="O70" i="32" s="1"/>
  <c r="N74" i="32"/>
  <c r="O74" i="32" s="1"/>
  <c r="N78" i="32"/>
  <c r="O78" i="32" s="1"/>
  <c r="N82" i="32"/>
  <c r="O82" i="32" s="1"/>
  <c r="N86" i="32"/>
  <c r="O86" i="32" s="1"/>
  <c r="N90" i="32"/>
  <c r="O90" i="32" s="1"/>
  <c r="N65" i="32"/>
  <c r="O65" i="32" s="1"/>
  <c r="N69" i="32"/>
  <c r="O69" i="32" s="1"/>
  <c r="N77" i="32"/>
  <c r="O77" i="32" s="1"/>
  <c r="N85" i="32"/>
  <c r="O85" i="32" s="1"/>
  <c r="N87" i="32"/>
  <c r="O87" i="32" s="1"/>
  <c r="N49" i="32"/>
  <c r="O49" i="32" s="1"/>
  <c r="N59" i="32"/>
  <c r="O59" i="32" s="1"/>
  <c r="N68" i="32"/>
  <c r="O68" i="32" s="1"/>
  <c r="N76" i="32"/>
  <c r="O76" i="32" s="1"/>
  <c r="N89" i="32"/>
  <c r="O89" i="32" s="1"/>
  <c r="N67" i="32"/>
  <c r="O67" i="32" s="1"/>
  <c r="N71" i="32"/>
  <c r="O71" i="32" s="1"/>
  <c r="N75" i="32"/>
  <c r="O75" i="32" s="1"/>
  <c r="N79" i="32"/>
  <c r="O79" i="32" s="1"/>
  <c r="N88" i="32"/>
  <c r="O88" i="32" s="1"/>
  <c r="N73" i="32"/>
  <c r="O73" i="32" s="1"/>
  <c r="N81" i="32"/>
  <c r="O81" i="32" s="1"/>
  <c r="N72" i="32"/>
  <c r="O72" i="32" s="1"/>
  <c r="N80" i="32"/>
  <c r="O80" i="32" s="1"/>
  <c r="N61" i="31"/>
  <c r="O61" i="31" s="1"/>
  <c r="N66" i="31"/>
  <c r="O66" i="31" s="1"/>
  <c r="N67" i="31"/>
  <c r="O67" i="31" s="1"/>
  <c r="N88" i="31"/>
  <c r="O88" i="31" s="1"/>
  <c r="N82" i="31"/>
  <c r="O82" i="31" s="1"/>
  <c r="N68" i="31"/>
  <c r="O68" i="31" s="1"/>
  <c r="N70" i="31"/>
  <c r="O70" i="31" s="1"/>
  <c r="N72" i="31"/>
  <c r="O72" i="31" s="1"/>
  <c r="N76" i="31"/>
  <c r="O76" i="31" s="1"/>
  <c r="N65" i="31"/>
  <c r="O65" i="31" s="1"/>
  <c r="N75" i="31"/>
  <c r="O75" i="31" s="1"/>
  <c r="N80" i="31"/>
  <c r="O80" i="31" s="1"/>
  <c r="N86" i="31"/>
  <c r="O86" i="31" s="1"/>
  <c r="N90" i="31"/>
  <c r="O90" i="31" s="1"/>
  <c r="N69" i="31"/>
  <c r="O69" i="31" s="1"/>
  <c r="N74" i="31"/>
  <c r="O74" i="31" s="1"/>
  <c r="N79" i="31"/>
  <c r="O79" i="31" s="1"/>
  <c r="N84" i="31"/>
  <c r="O84" i="31" s="1"/>
  <c r="N89" i="31"/>
  <c r="O89" i="31" s="1"/>
  <c r="N71" i="31"/>
  <c r="O71" i="31" s="1"/>
  <c r="N54" i="32"/>
  <c r="O54" i="32" s="1"/>
  <c r="N35" i="32"/>
  <c r="O35" i="32" s="1"/>
  <c r="N39" i="32"/>
  <c r="O39" i="32" s="1"/>
  <c r="N51" i="32"/>
  <c r="O51" i="32" s="1"/>
  <c r="N20" i="32"/>
  <c r="O20" i="32" s="1"/>
  <c r="N21" i="32"/>
  <c r="O21" i="32" s="1"/>
  <c r="N43" i="32"/>
  <c r="O43" i="32" s="1"/>
  <c r="N44" i="32"/>
  <c r="O44" i="32" s="1"/>
  <c r="N45" i="32"/>
  <c r="O45" i="32" s="1"/>
  <c r="N50" i="32"/>
  <c r="O50" i="32" s="1"/>
  <c r="N58" i="32"/>
  <c r="O58" i="32" s="1"/>
  <c r="N28" i="32"/>
  <c r="O28" i="32" s="1"/>
  <c r="N37" i="32"/>
  <c r="O37" i="32" s="1"/>
  <c r="N40" i="32"/>
  <c r="O40" i="32" s="1"/>
  <c r="N48" i="32"/>
  <c r="O48" i="32" s="1"/>
  <c r="N60" i="32"/>
  <c r="O60" i="32" s="1"/>
  <c r="N46" i="32"/>
  <c r="O46" i="32" s="1"/>
  <c r="N47" i="32"/>
  <c r="O47" i="32" s="1"/>
  <c r="N52" i="32"/>
  <c r="O52" i="32" s="1"/>
  <c r="N61" i="32"/>
  <c r="O61" i="32" s="1"/>
  <c r="N56" i="32"/>
  <c r="O56" i="32" s="1"/>
  <c r="N36" i="32"/>
  <c r="O36" i="32" s="1"/>
  <c r="N38" i="32"/>
  <c r="O38" i="32" s="1"/>
  <c r="N41" i="32"/>
  <c r="O41" i="32" s="1"/>
  <c r="N42" i="32"/>
  <c r="O42" i="32" s="1"/>
  <c r="N55" i="32"/>
  <c r="O55" i="32" s="1"/>
  <c r="N53" i="32"/>
  <c r="O53" i="32" s="1"/>
  <c r="N57" i="32"/>
  <c r="O57" i="32" s="1"/>
  <c r="N38" i="31"/>
  <c r="O38" i="31" s="1"/>
  <c r="N51" i="31"/>
  <c r="O51" i="31" s="1"/>
  <c r="N56" i="31"/>
  <c r="O56" i="31" s="1"/>
  <c r="N57" i="31"/>
  <c r="O57" i="31" s="1"/>
  <c r="N30" i="31"/>
  <c r="O30" i="31" s="1"/>
  <c r="N37" i="31"/>
  <c r="O37" i="31" s="1"/>
  <c r="N48" i="31"/>
  <c r="O48" i="31" s="1"/>
  <c r="N55" i="31"/>
  <c r="O55" i="31" s="1"/>
  <c r="N35" i="31"/>
  <c r="O35" i="31" s="1"/>
  <c r="N40" i="31"/>
  <c r="O40" i="31" s="1"/>
  <c r="N52" i="31"/>
  <c r="O52" i="31" s="1"/>
  <c r="N39" i="31"/>
  <c r="O39" i="31" s="1"/>
  <c r="N50" i="31"/>
  <c r="O50" i="31" s="1"/>
  <c r="N60" i="31"/>
  <c r="O60" i="31" s="1"/>
  <c r="N58" i="31"/>
  <c r="O58" i="31" s="1"/>
  <c r="N59" i="31"/>
  <c r="O59" i="31" s="1"/>
  <c r="N36" i="31"/>
  <c r="O36" i="31" s="1"/>
  <c r="N49" i="31"/>
  <c r="O49" i="31" s="1"/>
  <c r="N41" i="31"/>
  <c r="O41" i="31" s="1"/>
  <c r="N42" i="31"/>
  <c r="O42" i="31" s="1"/>
  <c r="N43" i="31"/>
  <c r="O43" i="31" s="1"/>
  <c r="N44" i="31"/>
  <c r="O44" i="31" s="1"/>
  <c r="N45" i="31"/>
  <c r="O45" i="31" s="1"/>
  <c r="N46" i="31"/>
  <c r="O46" i="31" s="1"/>
  <c r="N53" i="31"/>
  <c r="O53" i="31" s="1"/>
  <c r="N54" i="31"/>
  <c r="O54" i="31" s="1"/>
  <c r="N19" i="32"/>
  <c r="O19" i="32" s="1"/>
  <c r="N8" i="32"/>
  <c r="O8" i="32" s="1"/>
  <c r="N13" i="32"/>
  <c r="O13" i="32" s="1"/>
  <c r="N15" i="32"/>
  <c r="O15" i="32" s="1"/>
  <c r="N24" i="32"/>
  <c r="O24" i="32" s="1"/>
  <c r="N29" i="32"/>
  <c r="O29" i="32" s="1"/>
  <c r="N26" i="32"/>
  <c r="O26" i="32" s="1"/>
  <c r="N6" i="32"/>
  <c r="O6" i="32" s="1"/>
  <c r="N9" i="32"/>
  <c r="O9" i="32" s="1"/>
  <c r="N11" i="32"/>
  <c r="O11" i="32" s="1"/>
  <c r="N16" i="32"/>
  <c r="O16" i="32" s="1"/>
  <c r="N18" i="32"/>
  <c r="O18" i="32" s="1"/>
  <c r="N30" i="32"/>
  <c r="O30" i="32" s="1"/>
  <c r="N10" i="32"/>
  <c r="O10" i="32" s="1"/>
  <c r="N12" i="32"/>
  <c r="O12" i="32" s="1"/>
  <c r="N17" i="32"/>
  <c r="O17" i="32" s="1"/>
  <c r="N22" i="32"/>
  <c r="O22" i="32" s="1"/>
  <c r="N31" i="32"/>
  <c r="O31" i="32" s="1"/>
  <c r="N5" i="32"/>
  <c r="O5" i="32" s="1"/>
  <c r="N7" i="32"/>
  <c r="O7" i="32" s="1"/>
  <c r="N14" i="32"/>
  <c r="O14" i="32" s="1"/>
  <c r="N25" i="32"/>
  <c r="O25" i="32" s="1"/>
  <c r="N23" i="32"/>
  <c r="O23" i="32" s="1"/>
  <c r="N27" i="32"/>
  <c r="O27" i="32" s="1"/>
  <c r="N10" i="31"/>
  <c r="O10" i="31" s="1"/>
  <c r="N25" i="31"/>
  <c r="O25" i="31" s="1"/>
  <c r="N23" i="31"/>
  <c r="O23" i="31" s="1"/>
  <c r="N29" i="31"/>
  <c r="O29" i="31" s="1"/>
  <c r="N7" i="31"/>
  <c r="O7" i="31" s="1"/>
  <c r="N9" i="31"/>
  <c r="O9" i="31" s="1"/>
  <c r="N21" i="31"/>
  <c r="O21" i="31" s="1"/>
  <c r="N6" i="31"/>
  <c r="O6" i="31" s="1"/>
  <c r="N14" i="31"/>
  <c r="O14" i="31" s="1"/>
  <c r="N16" i="31"/>
  <c r="O16" i="31" s="1"/>
  <c r="N17" i="31"/>
  <c r="O17" i="31" s="1"/>
  <c r="N20" i="31"/>
  <c r="O20" i="31" s="1"/>
  <c r="N11" i="31"/>
  <c r="O11" i="31" s="1"/>
  <c r="N18" i="31"/>
  <c r="O18" i="31" s="1"/>
  <c r="N27" i="31"/>
  <c r="O27" i="31" s="1"/>
  <c r="N8" i="31"/>
  <c r="O8" i="31" s="1"/>
  <c r="N12" i="31"/>
  <c r="O12" i="31" s="1"/>
  <c r="N15" i="31"/>
  <c r="O15" i="31" s="1"/>
  <c r="N22" i="31"/>
  <c r="O22" i="31" s="1"/>
  <c r="N24" i="31"/>
  <c r="O24" i="31" s="1"/>
  <c r="N31" i="31"/>
  <c r="O31" i="31" s="1"/>
  <c r="N5" i="31"/>
  <c r="O5" i="31" s="1"/>
  <c r="N13" i="31"/>
  <c r="O13" i="31" s="1"/>
  <c r="N19" i="31"/>
  <c r="O19" i="31" s="1"/>
  <c r="N26" i="31"/>
  <c r="O26" i="31" s="1"/>
  <c r="N28" i="31"/>
  <c r="O28" i="31" s="1"/>
  <c r="K116" i="30"/>
  <c r="K118" i="30"/>
  <c r="K137" i="30"/>
  <c r="K139" i="30"/>
  <c r="K150" i="30"/>
  <c r="K159" i="30"/>
  <c r="K160" i="30"/>
  <c r="K113" i="30"/>
  <c r="K115" i="30"/>
  <c r="K126" i="30"/>
  <c r="K127" i="30"/>
  <c r="K146" i="30"/>
  <c r="H113" i="30"/>
  <c r="H114" i="30"/>
  <c r="H115" i="30"/>
  <c r="K122" i="30"/>
  <c r="K123" i="30"/>
  <c r="H125" i="30"/>
  <c r="H126" i="30"/>
  <c r="H127" i="30"/>
  <c r="I137" i="30"/>
  <c r="I138" i="30"/>
  <c r="J140" i="30"/>
  <c r="J141" i="30"/>
  <c r="J142" i="30"/>
  <c r="K143" i="30"/>
  <c r="K144" i="30"/>
  <c r="H146" i="30"/>
  <c r="H147" i="30"/>
  <c r="H148" i="30"/>
  <c r="I149" i="30"/>
  <c r="I150" i="30"/>
  <c r="H155" i="30"/>
  <c r="H156" i="30"/>
  <c r="H157" i="30"/>
  <c r="I158" i="30"/>
  <c r="I159" i="30"/>
  <c r="J161" i="30"/>
  <c r="J162" i="30"/>
  <c r="J163" i="30"/>
  <c r="K117" i="30"/>
  <c r="K138" i="30"/>
  <c r="K149" i="30"/>
  <c r="K151" i="30"/>
  <c r="K158" i="30"/>
  <c r="K147" i="30"/>
  <c r="K155" i="30"/>
  <c r="K156" i="30"/>
  <c r="I113" i="30"/>
  <c r="I114" i="30"/>
  <c r="J116" i="30"/>
  <c r="J117" i="30"/>
  <c r="K119" i="30"/>
  <c r="K120" i="30"/>
  <c r="H122" i="30"/>
  <c r="H123" i="30"/>
  <c r="I125" i="30"/>
  <c r="I126" i="30"/>
  <c r="J137" i="30"/>
  <c r="J138" i="30"/>
  <c r="K140" i="30"/>
  <c r="K141" i="30"/>
  <c r="H143" i="30"/>
  <c r="H144" i="30"/>
  <c r="I146" i="30"/>
  <c r="I147" i="30"/>
  <c r="J149" i="30"/>
  <c r="J150" i="30"/>
  <c r="I155" i="30"/>
  <c r="I156" i="30"/>
  <c r="J158" i="30"/>
  <c r="J159" i="30"/>
  <c r="K161" i="30"/>
  <c r="K162" i="30"/>
  <c r="I116" i="29"/>
  <c r="I117" i="29"/>
  <c r="I118" i="29"/>
  <c r="J119" i="29"/>
  <c r="J120" i="29"/>
  <c r="J121" i="29"/>
  <c r="K122" i="29"/>
  <c r="K123" i="29"/>
  <c r="K124" i="29"/>
  <c r="K137" i="29"/>
  <c r="K138" i="29"/>
  <c r="K139" i="29"/>
  <c r="I143" i="29"/>
  <c r="I144" i="29"/>
  <c r="I145" i="29"/>
  <c r="J146" i="29"/>
  <c r="J147" i="29"/>
  <c r="J148" i="29"/>
  <c r="K149" i="29"/>
  <c r="K150" i="29"/>
  <c r="K151" i="29"/>
  <c r="J155" i="29"/>
  <c r="J156" i="29"/>
  <c r="J157" i="29"/>
  <c r="K158" i="29"/>
  <c r="K159" i="29"/>
  <c r="K160" i="29"/>
  <c r="K119" i="29"/>
  <c r="K120" i="29"/>
  <c r="K146" i="29"/>
  <c r="K147" i="29"/>
  <c r="K155" i="29"/>
  <c r="K156" i="29"/>
  <c r="J115" i="29"/>
  <c r="K116" i="29"/>
  <c r="K117" i="29"/>
  <c r="H119" i="29"/>
  <c r="H120" i="29"/>
  <c r="H121" i="29"/>
  <c r="I123" i="29"/>
  <c r="J126" i="29"/>
  <c r="J141" i="29"/>
  <c r="J142" i="29"/>
  <c r="K143" i="29"/>
  <c r="K144" i="29"/>
  <c r="H146" i="29"/>
  <c r="H147" i="29"/>
  <c r="H148" i="29"/>
  <c r="I150" i="29"/>
  <c r="H155" i="29"/>
  <c r="H156" i="29"/>
  <c r="H157" i="29"/>
  <c r="I158" i="29"/>
  <c r="I159" i="29"/>
  <c r="J161" i="29"/>
  <c r="J162" i="29"/>
  <c r="J163" i="29"/>
  <c r="K113" i="29"/>
  <c r="K114" i="29"/>
  <c r="H116" i="29"/>
  <c r="H117" i="29"/>
  <c r="I119" i="29"/>
  <c r="I120" i="29"/>
  <c r="J122" i="29"/>
  <c r="J123" i="29"/>
  <c r="K125" i="29"/>
  <c r="J137" i="29"/>
  <c r="J138" i="29"/>
  <c r="K140" i="29"/>
  <c r="K141" i="29"/>
  <c r="H143" i="29"/>
  <c r="H144" i="29"/>
  <c r="I146" i="29"/>
  <c r="I147" i="29"/>
  <c r="J149" i="29"/>
  <c r="J150" i="29"/>
  <c r="H152" i="29"/>
  <c r="H153" i="29"/>
  <c r="I155" i="29"/>
  <c r="I156" i="29"/>
  <c r="J158" i="29"/>
  <c r="J159" i="29"/>
  <c r="K161" i="29"/>
  <c r="K162" i="29"/>
  <c r="K69" i="30"/>
  <c r="K89" i="30"/>
  <c r="J59" i="30"/>
  <c r="J60" i="30"/>
  <c r="J61" i="30"/>
  <c r="K62" i="30"/>
  <c r="K63" i="30"/>
  <c r="K64" i="30"/>
  <c r="H65" i="30"/>
  <c r="H66" i="30"/>
  <c r="H67" i="30"/>
  <c r="I68" i="30"/>
  <c r="I69" i="30"/>
  <c r="I70" i="30"/>
  <c r="J71" i="30"/>
  <c r="J72" i="30"/>
  <c r="J73" i="30"/>
  <c r="K83" i="30"/>
  <c r="K84" i="30"/>
  <c r="K85" i="30"/>
  <c r="H86" i="30"/>
  <c r="H87" i="30"/>
  <c r="H88" i="30"/>
  <c r="I89" i="30"/>
  <c r="I90" i="30"/>
  <c r="I91" i="30"/>
  <c r="J92" i="30"/>
  <c r="J93" i="30"/>
  <c r="J94" i="30"/>
  <c r="K95" i="30"/>
  <c r="K96" i="30"/>
  <c r="K97" i="30"/>
  <c r="I98" i="30"/>
  <c r="I99" i="30"/>
  <c r="I100" i="30"/>
  <c r="J101" i="30"/>
  <c r="J102" i="30"/>
  <c r="J103" i="30"/>
  <c r="K104" i="30"/>
  <c r="K105" i="30"/>
  <c r="K106" i="30"/>
  <c r="H107" i="30"/>
  <c r="H108" i="30"/>
  <c r="H109" i="30"/>
  <c r="K90" i="30"/>
  <c r="K59" i="30"/>
  <c r="K60" i="30"/>
  <c r="I65" i="30"/>
  <c r="I66" i="30"/>
  <c r="J68" i="30"/>
  <c r="J69" i="30"/>
  <c r="J70" i="30"/>
  <c r="K71" i="30"/>
  <c r="K72" i="30"/>
  <c r="I86" i="30"/>
  <c r="I87" i="30"/>
  <c r="J89" i="30"/>
  <c r="J90" i="30"/>
  <c r="J91" i="30"/>
  <c r="K92" i="30"/>
  <c r="K93" i="30"/>
  <c r="K101" i="30"/>
  <c r="K102" i="30"/>
  <c r="I107" i="30"/>
  <c r="I108" i="30"/>
  <c r="K68" i="30"/>
  <c r="I59" i="30"/>
  <c r="I60" i="30"/>
  <c r="J62" i="30"/>
  <c r="J63" i="30"/>
  <c r="K65" i="30"/>
  <c r="K66" i="30"/>
  <c r="H68" i="30"/>
  <c r="H69" i="30"/>
  <c r="I71" i="30"/>
  <c r="I72" i="30"/>
  <c r="J83" i="30"/>
  <c r="J84" i="30"/>
  <c r="K86" i="30"/>
  <c r="K87" i="30"/>
  <c r="H89" i="30"/>
  <c r="H90" i="30"/>
  <c r="I92" i="30"/>
  <c r="I93" i="30"/>
  <c r="J95" i="30"/>
  <c r="J96" i="30"/>
  <c r="H98" i="30"/>
  <c r="H99" i="30"/>
  <c r="I101" i="30"/>
  <c r="I102" i="30"/>
  <c r="J104" i="30"/>
  <c r="J105" i="30"/>
  <c r="K107" i="30"/>
  <c r="K108" i="30"/>
  <c r="G107" i="29" l="1"/>
  <c r="K109" i="29" s="1"/>
  <c r="F107" i="29"/>
  <c r="I109" i="29" s="1"/>
  <c r="I104" i="29"/>
  <c r="H104" i="29"/>
  <c r="G104" i="29"/>
  <c r="J106" i="29" s="1"/>
  <c r="F104" i="29"/>
  <c r="I105" i="29" s="1"/>
  <c r="J103" i="29"/>
  <c r="J102" i="29"/>
  <c r="G101" i="29"/>
  <c r="K103" i="29" s="1"/>
  <c r="F101" i="29"/>
  <c r="I103" i="29" s="1"/>
  <c r="K100" i="29"/>
  <c r="J100" i="29"/>
  <c r="K99" i="29"/>
  <c r="J99" i="29"/>
  <c r="K98" i="29"/>
  <c r="J98" i="29"/>
  <c r="F98" i="29"/>
  <c r="H100" i="29" s="1"/>
  <c r="I95" i="29"/>
  <c r="H95" i="29"/>
  <c r="G95" i="29"/>
  <c r="J97" i="29" s="1"/>
  <c r="F95" i="29"/>
  <c r="H96" i="29" s="1"/>
  <c r="J94" i="29"/>
  <c r="J93" i="29"/>
  <c r="G92" i="29"/>
  <c r="K94" i="29" s="1"/>
  <c r="F92" i="29"/>
  <c r="I94" i="29" s="1"/>
  <c r="G89" i="29"/>
  <c r="K91" i="29" s="1"/>
  <c r="F89" i="29"/>
  <c r="H91" i="29" s="1"/>
  <c r="I86" i="29"/>
  <c r="H86" i="29"/>
  <c r="G86" i="29"/>
  <c r="K88" i="29" s="1"/>
  <c r="F86" i="29"/>
  <c r="H88" i="29" s="1"/>
  <c r="H85" i="29"/>
  <c r="G83" i="29"/>
  <c r="J85" i="29" s="1"/>
  <c r="F83" i="29"/>
  <c r="H84" i="29" s="1"/>
  <c r="K82" i="29"/>
  <c r="J82" i="29"/>
  <c r="I82" i="29"/>
  <c r="H82" i="29"/>
  <c r="K81" i="29"/>
  <c r="J81" i="29"/>
  <c r="I81" i="29"/>
  <c r="H81" i="29"/>
  <c r="K80" i="29"/>
  <c r="J80" i="29"/>
  <c r="I80" i="29"/>
  <c r="H80" i="29"/>
  <c r="K79" i="29"/>
  <c r="J79" i="29"/>
  <c r="I79" i="29"/>
  <c r="H79" i="29"/>
  <c r="K78" i="29"/>
  <c r="J78" i="29"/>
  <c r="I78" i="29"/>
  <c r="H78" i="29"/>
  <c r="K77" i="29"/>
  <c r="J77" i="29"/>
  <c r="I77" i="29"/>
  <c r="H77" i="29"/>
  <c r="K76" i="29"/>
  <c r="J76" i="29"/>
  <c r="K75" i="29"/>
  <c r="J75" i="29"/>
  <c r="K74" i="29"/>
  <c r="J74" i="29"/>
  <c r="F74" i="29"/>
  <c r="I76" i="29" s="1"/>
  <c r="J73" i="29"/>
  <c r="J72" i="29"/>
  <c r="G71" i="29"/>
  <c r="K73" i="29" s="1"/>
  <c r="F71" i="29"/>
  <c r="I73" i="29" s="1"/>
  <c r="G68" i="29"/>
  <c r="K70" i="29" s="1"/>
  <c r="F68" i="29"/>
  <c r="H70" i="29" s="1"/>
  <c r="G65" i="29"/>
  <c r="K67" i="29" s="1"/>
  <c r="F65" i="29"/>
  <c r="I65" i="29" s="1"/>
  <c r="G62" i="29"/>
  <c r="J64" i="29" s="1"/>
  <c r="F62" i="29"/>
  <c r="H63" i="29" s="1"/>
  <c r="D62" i="29"/>
  <c r="D65" i="29" s="1"/>
  <c r="G59" i="29"/>
  <c r="K61" i="29" s="1"/>
  <c r="F59" i="29"/>
  <c r="I61" i="29" s="1"/>
  <c r="J53" i="30"/>
  <c r="K55" i="30"/>
  <c r="H55" i="30"/>
  <c r="J52" i="30"/>
  <c r="H51" i="30"/>
  <c r="J47" i="30"/>
  <c r="K49" i="30"/>
  <c r="I49" i="30"/>
  <c r="K46" i="30"/>
  <c r="J46" i="30"/>
  <c r="K45" i="30"/>
  <c r="J45" i="30"/>
  <c r="K44" i="30"/>
  <c r="J44" i="30"/>
  <c r="H46" i="30"/>
  <c r="J43" i="30"/>
  <c r="I43" i="30"/>
  <c r="K40" i="30"/>
  <c r="I40" i="30"/>
  <c r="K37" i="30"/>
  <c r="H37" i="30"/>
  <c r="J32" i="30"/>
  <c r="K34" i="30"/>
  <c r="I32" i="30"/>
  <c r="J31" i="30"/>
  <c r="I31" i="30"/>
  <c r="K28" i="30"/>
  <c r="J28" i="30"/>
  <c r="I28" i="30"/>
  <c r="H28" i="30"/>
  <c r="K27" i="30"/>
  <c r="J27" i="30"/>
  <c r="I27" i="30"/>
  <c r="H27" i="30"/>
  <c r="K26" i="30"/>
  <c r="J26" i="30"/>
  <c r="I26" i="30"/>
  <c r="H26" i="30"/>
  <c r="K25" i="30"/>
  <c r="J25" i="30"/>
  <c r="I25" i="30"/>
  <c r="H25" i="30"/>
  <c r="K24" i="30"/>
  <c r="J24" i="30"/>
  <c r="I24" i="30"/>
  <c r="H24" i="30"/>
  <c r="K23" i="30"/>
  <c r="J23" i="30"/>
  <c r="I23" i="30"/>
  <c r="H23" i="30"/>
  <c r="K22" i="30"/>
  <c r="J22" i="30"/>
  <c r="H22" i="30"/>
  <c r="K21" i="30"/>
  <c r="J21" i="30"/>
  <c r="H21" i="30"/>
  <c r="K20" i="30"/>
  <c r="J20" i="30"/>
  <c r="H20" i="30"/>
  <c r="I22" i="30"/>
  <c r="J18" i="30"/>
  <c r="I19" i="30"/>
  <c r="I15" i="30"/>
  <c r="J16" i="30"/>
  <c r="H15" i="30"/>
  <c r="J11" i="30"/>
  <c r="K13" i="30"/>
  <c r="I13" i="30"/>
  <c r="I10" i="30"/>
  <c r="I8" i="30"/>
  <c r="K10" i="30"/>
  <c r="H10" i="30"/>
  <c r="K7" i="30"/>
  <c r="H7" i="30"/>
  <c r="G53" i="29"/>
  <c r="K55" i="29" s="1"/>
  <c r="F53" i="29"/>
  <c r="I55" i="29" s="1"/>
  <c r="G50" i="29"/>
  <c r="K52" i="29" s="1"/>
  <c r="F50" i="29"/>
  <c r="H52" i="29" s="1"/>
  <c r="G47" i="29"/>
  <c r="K49" i="29" s="1"/>
  <c r="F47" i="29"/>
  <c r="I49" i="29" s="1"/>
  <c r="K46" i="29"/>
  <c r="J46" i="29"/>
  <c r="K45" i="29"/>
  <c r="J45" i="29"/>
  <c r="K44" i="29"/>
  <c r="J44" i="29"/>
  <c r="F44" i="29"/>
  <c r="H46" i="29" s="1"/>
  <c r="G41" i="29"/>
  <c r="K43" i="29" s="1"/>
  <c r="F41" i="29"/>
  <c r="H43" i="29" s="1"/>
  <c r="H40" i="29"/>
  <c r="G38" i="29"/>
  <c r="K40" i="29" s="1"/>
  <c r="F38" i="29"/>
  <c r="I39" i="29" s="1"/>
  <c r="G35" i="29"/>
  <c r="K36" i="29" s="1"/>
  <c r="F35" i="29"/>
  <c r="I37" i="29" s="1"/>
  <c r="G32" i="29"/>
  <c r="K34" i="29" s="1"/>
  <c r="F32" i="29"/>
  <c r="I34" i="29" s="1"/>
  <c r="G29" i="29"/>
  <c r="K31" i="29" s="1"/>
  <c r="F29" i="29"/>
  <c r="H31" i="29" s="1"/>
  <c r="K28" i="29"/>
  <c r="J28" i="29"/>
  <c r="I28" i="29"/>
  <c r="H28" i="29"/>
  <c r="K27" i="29"/>
  <c r="J27" i="29"/>
  <c r="I27" i="29"/>
  <c r="H27" i="29"/>
  <c r="K26" i="29"/>
  <c r="J26" i="29"/>
  <c r="I26" i="29"/>
  <c r="H26" i="29"/>
  <c r="K25" i="29"/>
  <c r="J25" i="29"/>
  <c r="I25" i="29"/>
  <c r="H25" i="29"/>
  <c r="K24" i="29"/>
  <c r="J24" i="29"/>
  <c r="I24" i="29"/>
  <c r="H24" i="29"/>
  <c r="K23" i="29"/>
  <c r="J23" i="29"/>
  <c r="I23" i="29"/>
  <c r="H23" i="29"/>
  <c r="K22" i="29"/>
  <c r="J22" i="29"/>
  <c r="K21" i="29"/>
  <c r="J21" i="29"/>
  <c r="K20" i="29"/>
  <c r="J20" i="29"/>
  <c r="F20" i="29"/>
  <c r="I22" i="29" s="1"/>
  <c r="G17" i="29"/>
  <c r="K19" i="29" s="1"/>
  <c r="F17" i="29"/>
  <c r="H19" i="29" s="1"/>
  <c r="G14" i="29"/>
  <c r="J16" i="29" s="1"/>
  <c r="F14" i="29"/>
  <c r="I16" i="29" s="1"/>
  <c r="G11" i="29"/>
  <c r="K13" i="29" s="1"/>
  <c r="F11" i="29"/>
  <c r="I13" i="29" s="1"/>
  <c r="G8" i="29"/>
  <c r="K10" i="29" s="1"/>
  <c r="F8" i="29"/>
  <c r="H10" i="29" s="1"/>
  <c r="D8" i="29"/>
  <c r="D11" i="29" s="1"/>
  <c r="H5" i="29"/>
  <c r="G5" i="29"/>
  <c r="K7" i="29" s="1"/>
  <c r="F5" i="29"/>
  <c r="I6" i="29" s="1"/>
  <c r="H78" i="28"/>
  <c r="G78" i="28"/>
  <c r="F78" i="28"/>
  <c r="I78" i="28" s="1"/>
  <c r="H77" i="28"/>
  <c r="K77" i="28" s="1"/>
  <c r="G77" i="28"/>
  <c r="F77" i="28"/>
  <c r="H76" i="28"/>
  <c r="G76" i="28"/>
  <c r="J76" i="28" s="1"/>
  <c r="F76" i="28"/>
  <c r="H75" i="28"/>
  <c r="G75" i="28"/>
  <c r="F75" i="28"/>
  <c r="H74" i="28"/>
  <c r="G74" i="28"/>
  <c r="J74" i="28" s="1"/>
  <c r="F74" i="28"/>
  <c r="I74" i="28" s="1"/>
  <c r="H73" i="28"/>
  <c r="G73" i="28"/>
  <c r="J73" i="28" s="1"/>
  <c r="F73" i="28"/>
  <c r="H72" i="28"/>
  <c r="K72" i="28" s="1"/>
  <c r="G72" i="28"/>
  <c r="J72" i="28" s="1"/>
  <c r="F72" i="28"/>
  <c r="H70" i="28"/>
  <c r="G70" i="28"/>
  <c r="J70" i="28" s="1"/>
  <c r="F70" i="28"/>
  <c r="H69" i="28"/>
  <c r="G69" i="28"/>
  <c r="J69" i="28" s="1"/>
  <c r="F69" i="28"/>
  <c r="H68" i="28"/>
  <c r="G68" i="28"/>
  <c r="J68" i="28" s="1"/>
  <c r="F68" i="28"/>
  <c r="H67" i="28"/>
  <c r="G67" i="28"/>
  <c r="F67" i="28"/>
  <c r="D59" i="28"/>
  <c r="D60" i="28" s="1"/>
  <c r="D61" i="28" s="1"/>
  <c r="D62" i="28" s="1"/>
  <c r="D58" i="28"/>
  <c r="AB78" i="27"/>
  <c r="AA78" i="27"/>
  <c r="Z78" i="27"/>
  <c r="Y78" i="27"/>
  <c r="X78" i="27"/>
  <c r="W78" i="27"/>
  <c r="V78" i="27"/>
  <c r="U78" i="27"/>
  <c r="T78" i="27"/>
  <c r="S78" i="27"/>
  <c r="R78" i="27"/>
  <c r="Q78" i="27"/>
  <c r="O77" i="27"/>
  <c r="P77" i="27"/>
  <c r="O78" i="27"/>
  <c r="P78" i="27"/>
  <c r="N78" i="27"/>
  <c r="M78" i="27"/>
  <c r="L78" i="27"/>
  <c r="J77" i="27"/>
  <c r="K77" i="27"/>
  <c r="J78" i="27"/>
  <c r="K78" i="27"/>
  <c r="I78" i="27"/>
  <c r="H78" i="27"/>
  <c r="G78" i="27"/>
  <c r="F78" i="27"/>
  <c r="H77" i="27"/>
  <c r="G77" i="27"/>
  <c r="F77" i="27"/>
  <c r="H76" i="27"/>
  <c r="G76" i="27"/>
  <c r="F76" i="27"/>
  <c r="H75" i="27"/>
  <c r="G75" i="27"/>
  <c r="J75" i="27" s="1"/>
  <c r="F75" i="27"/>
  <c r="H74" i="27"/>
  <c r="G74" i="27"/>
  <c r="J74" i="27" s="1"/>
  <c r="F74" i="27"/>
  <c r="H73" i="27"/>
  <c r="G73" i="27"/>
  <c r="J73" i="27" s="1"/>
  <c r="F73" i="27"/>
  <c r="H72" i="27"/>
  <c r="G72" i="27"/>
  <c r="F72" i="27"/>
  <c r="H71" i="27"/>
  <c r="G71" i="27"/>
  <c r="J71" i="27" s="1"/>
  <c r="F71" i="27"/>
  <c r="H70" i="27"/>
  <c r="G70" i="27"/>
  <c r="J70" i="27" s="1"/>
  <c r="F70" i="27"/>
  <c r="H69" i="27"/>
  <c r="G69" i="27"/>
  <c r="J69" i="27" s="1"/>
  <c r="F69" i="27"/>
  <c r="H68" i="27"/>
  <c r="G68" i="27"/>
  <c r="H67" i="27"/>
  <c r="G67" i="27"/>
  <c r="D59" i="27"/>
  <c r="D60" i="27" s="1"/>
  <c r="D58" i="27"/>
  <c r="H53" i="28"/>
  <c r="G53" i="28"/>
  <c r="F53" i="28"/>
  <c r="H52" i="28"/>
  <c r="K52" i="28" s="1"/>
  <c r="G52" i="28"/>
  <c r="J52" i="28" s="1"/>
  <c r="O52" i="28" s="1"/>
  <c r="F52" i="28"/>
  <c r="H51" i="28"/>
  <c r="K51" i="28" s="1"/>
  <c r="P51" i="28" s="1"/>
  <c r="G51" i="28"/>
  <c r="J51" i="28" s="1"/>
  <c r="O51" i="28" s="1"/>
  <c r="F51" i="28"/>
  <c r="H50" i="28"/>
  <c r="G50" i="28"/>
  <c r="J50" i="28" s="1"/>
  <c r="F50" i="28"/>
  <c r="I50" i="28" s="1"/>
  <c r="N50" i="28" s="1"/>
  <c r="H49" i="28"/>
  <c r="G49" i="28"/>
  <c r="F49" i="28"/>
  <c r="I49" i="28" s="1"/>
  <c r="N49" i="28" s="1"/>
  <c r="H48" i="28"/>
  <c r="K48" i="28" s="1"/>
  <c r="G48" i="28"/>
  <c r="F48" i="28"/>
  <c r="H47" i="28"/>
  <c r="K47" i="28" s="1"/>
  <c r="G47" i="28"/>
  <c r="J47" i="28" s="1"/>
  <c r="F47" i="28"/>
  <c r="H46" i="28"/>
  <c r="G46" i="28"/>
  <c r="J46" i="28" s="1"/>
  <c r="F46" i="28"/>
  <c r="I46" i="28" s="1"/>
  <c r="H45" i="28"/>
  <c r="G45" i="28"/>
  <c r="F45" i="28"/>
  <c r="I45" i="28" s="1"/>
  <c r="H44" i="28"/>
  <c r="K44" i="28" s="1"/>
  <c r="P44" i="28" s="1"/>
  <c r="G44" i="28"/>
  <c r="F44" i="28"/>
  <c r="G43" i="28"/>
  <c r="F43" i="28"/>
  <c r="F42" i="28"/>
  <c r="D33" i="28"/>
  <c r="D34" i="28" s="1"/>
  <c r="D32" i="28"/>
  <c r="I52" i="28"/>
  <c r="N52" i="28" s="1"/>
  <c r="H53" i="27"/>
  <c r="G53" i="27"/>
  <c r="J53" i="27" s="1"/>
  <c r="F53" i="27"/>
  <c r="H52" i="27"/>
  <c r="G52" i="27"/>
  <c r="F52" i="27"/>
  <c r="I52" i="27" s="1"/>
  <c r="H51" i="27"/>
  <c r="G51" i="27"/>
  <c r="F51" i="27"/>
  <c r="H50" i="27"/>
  <c r="G50" i="27"/>
  <c r="F50" i="27"/>
  <c r="H49" i="27"/>
  <c r="G49" i="27"/>
  <c r="F49" i="27"/>
  <c r="H48" i="27"/>
  <c r="G48" i="27"/>
  <c r="F48" i="27"/>
  <c r="H47" i="27"/>
  <c r="G47" i="27"/>
  <c r="F47" i="27"/>
  <c r="H46" i="27"/>
  <c r="G46" i="27"/>
  <c r="F46" i="27"/>
  <c r="H45" i="27"/>
  <c r="G45" i="27"/>
  <c r="F45" i="27"/>
  <c r="H44" i="27"/>
  <c r="G44" i="27"/>
  <c r="F44" i="27"/>
  <c r="H43" i="27"/>
  <c r="G43" i="27"/>
  <c r="F43" i="27"/>
  <c r="H42" i="27"/>
  <c r="D33" i="27"/>
  <c r="D34" i="27" s="1"/>
  <c r="D35" i="27" s="1"/>
  <c r="D36" i="27" s="1"/>
  <c r="D37" i="27" s="1"/>
  <c r="D38" i="27" s="1"/>
  <c r="D39" i="27" s="1"/>
  <c r="D40" i="27" s="1"/>
  <c r="D41" i="27" s="1"/>
  <c r="D42" i="27" s="1"/>
  <c r="D43" i="27" s="1"/>
  <c r="D44" i="27" s="1"/>
  <c r="D45" i="27" s="1"/>
  <c r="D46" i="27" s="1"/>
  <c r="D47" i="27" s="1"/>
  <c r="D48" i="27" s="1"/>
  <c r="D49" i="27" s="1"/>
  <c r="D50" i="27" s="1"/>
  <c r="D51" i="27" s="1"/>
  <c r="D32" i="27"/>
  <c r="I27" i="28"/>
  <c r="K26" i="28"/>
  <c r="P26" i="28" s="1"/>
  <c r="I26" i="28"/>
  <c r="K25" i="28"/>
  <c r="P25" i="28" s="1"/>
  <c r="J25" i="28"/>
  <c r="O25" i="28" s="1"/>
  <c r="I25" i="28"/>
  <c r="K24" i="28"/>
  <c r="P24" i="28" s="1"/>
  <c r="J24" i="28"/>
  <c r="O24" i="28" s="1"/>
  <c r="I24" i="28"/>
  <c r="J23" i="28"/>
  <c r="O23" i="28" s="1"/>
  <c r="I23" i="28"/>
  <c r="K21" i="28"/>
  <c r="P21" i="28" s="1"/>
  <c r="I21" i="28"/>
  <c r="I20" i="28"/>
  <c r="J19" i="28"/>
  <c r="O19" i="28" s="1"/>
  <c r="I19" i="28"/>
  <c r="I18" i="28"/>
  <c r="K17" i="28"/>
  <c r="P17" i="28" s="1"/>
  <c r="I17" i="28"/>
  <c r="N17" i="28" s="1"/>
  <c r="D7" i="28"/>
  <c r="D8" i="28" s="1"/>
  <c r="D6" i="28"/>
  <c r="K52" i="27"/>
  <c r="Z52" i="27" s="1"/>
  <c r="J52" i="27"/>
  <c r="Y52" i="27" s="1"/>
  <c r="K26" i="27"/>
  <c r="P26" i="27" s="1"/>
  <c r="K25" i="27"/>
  <c r="P25" i="27" s="1"/>
  <c r="J25" i="27"/>
  <c r="O25" i="27" s="1"/>
  <c r="J24" i="27"/>
  <c r="O24" i="27" s="1"/>
  <c r="J23" i="27"/>
  <c r="O23" i="27" s="1"/>
  <c r="K22" i="27"/>
  <c r="P22" i="27" s="1"/>
  <c r="J22" i="27"/>
  <c r="O22" i="27" s="1"/>
  <c r="K21" i="27"/>
  <c r="J21" i="27"/>
  <c r="O21" i="27" s="1"/>
  <c r="K20" i="27"/>
  <c r="P20" i="27" s="1"/>
  <c r="J18" i="27"/>
  <c r="O18" i="27" s="1"/>
  <c r="K17" i="27"/>
  <c r="J17" i="27"/>
  <c r="I15" i="27"/>
  <c r="N15" i="27" s="1"/>
  <c r="D7" i="27"/>
  <c r="D8" i="27" s="1"/>
  <c r="D9" i="27" s="1"/>
  <c r="D10" i="27" s="1"/>
  <c r="D11" i="27" s="1"/>
  <c r="D12" i="27" s="1"/>
  <c r="D13" i="27" s="1"/>
  <c r="D14" i="27" s="1"/>
  <c r="D15" i="27" s="1"/>
  <c r="D16" i="27" s="1"/>
  <c r="D17" i="27" s="1"/>
  <c r="D18" i="27" s="1"/>
  <c r="D19" i="27" s="1"/>
  <c r="D20" i="27" s="1"/>
  <c r="D21" i="27" s="1"/>
  <c r="D22" i="27" s="1"/>
  <c r="D23" i="27" s="1"/>
  <c r="D24" i="27" s="1"/>
  <c r="D25" i="27" s="1"/>
  <c r="D6" i="27"/>
  <c r="J26" i="27"/>
  <c r="O26" i="27" s="1"/>
  <c r="I26" i="27"/>
  <c r="N26" i="27" s="1"/>
  <c r="W72" i="32"/>
  <c r="W71" i="32"/>
  <c r="W70" i="32"/>
  <c r="W69" i="32"/>
  <c r="W68" i="32"/>
  <c r="W67" i="32"/>
  <c r="W66" i="32"/>
  <c r="W65" i="32"/>
  <c r="Y63" i="32"/>
  <c r="X63" i="32"/>
  <c r="W42" i="32"/>
  <c r="W41" i="32"/>
  <c r="W40" i="32"/>
  <c r="W39" i="32"/>
  <c r="W38" i="32"/>
  <c r="W37" i="32"/>
  <c r="W36" i="32"/>
  <c r="W35" i="32"/>
  <c r="Y33" i="32"/>
  <c r="X33" i="32"/>
  <c r="P28" i="32"/>
  <c r="Q28" i="32" s="1"/>
  <c r="R28" i="32" s="1"/>
  <c r="P27" i="32"/>
  <c r="Q27" i="32" s="1"/>
  <c r="R27" i="32" s="1"/>
  <c r="P26" i="32"/>
  <c r="Q26" i="32" s="1"/>
  <c r="R26" i="32" s="1"/>
  <c r="P22" i="32"/>
  <c r="Q22" i="32" s="1"/>
  <c r="R22" i="32" s="1"/>
  <c r="P21" i="32"/>
  <c r="Q21" i="32" s="1"/>
  <c r="R21" i="32" s="1"/>
  <c r="P20" i="32"/>
  <c r="Q20" i="32" s="1"/>
  <c r="R20" i="32" s="1"/>
  <c r="P16" i="32"/>
  <c r="Q16" i="32" s="1"/>
  <c r="R16" i="32" s="1"/>
  <c r="P15" i="32"/>
  <c r="Q15" i="32" s="1"/>
  <c r="R15" i="32" s="1"/>
  <c r="P14" i="32"/>
  <c r="Q14" i="32" s="1"/>
  <c r="R14" i="32" s="1"/>
  <c r="W12" i="32"/>
  <c r="P12" i="32"/>
  <c r="Q12" i="32" s="1"/>
  <c r="R12" i="32" s="1"/>
  <c r="W11" i="32"/>
  <c r="P11" i="32"/>
  <c r="Q11" i="32" s="1"/>
  <c r="R11" i="32" s="1"/>
  <c r="W10" i="32"/>
  <c r="W9" i="32"/>
  <c r="W8" i="32"/>
  <c r="W7" i="32"/>
  <c r="W6" i="32"/>
  <c r="W5" i="32"/>
  <c r="Y3" i="32"/>
  <c r="X3" i="32"/>
  <c r="P78" i="31"/>
  <c r="Q78" i="31" s="1"/>
  <c r="R78" i="31" s="1"/>
  <c r="W72" i="31"/>
  <c r="W71" i="31"/>
  <c r="W70" i="31"/>
  <c r="W69" i="31"/>
  <c r="W68" i="31"/>
  <c r="W67" i="31"/>
  <c r="W66" i="31"/>
  <c r="W65" i="31"/>
  <c r="Y63" i="31"/>
  <c r="X63" i="31"/>
  <c r="W42" i="31"/>
  <c r="W41" i="31"/>
  <c r="W40" i="31"/>
  <c r="W39" i="31"/>
  <c r="W38" i="31"/>
  <c r="W37" i="31"/>
  <c r="W36" i="31"/>
  <c r="W35" i="31"/>
  <c r="Y33" i="31"/>
  <c r="X33" i="31"/>
  <c r="P31" i="31"/>
  <c r="Q31" i="31" s="1"/>
  <c r="R31" i="31" s="1"/>
  <c r="P30" i="31"/>
  <c r="Q30" i="31" s="1"/>
  <c r="R30" i="31" s="1"/>
  <c r="P29" i="31"/>
  <c r="Q29" i="31" s="1"/>
  <c r="R29" i="31" s="1"/>
  <c r="P28" i="31"/>
  <c r="Q28" i="31" s="1"/>
  <c r="R28" i="31" s="1"/>
  <c r="P27" i="31"/>
  <c r="Q27" i="31" s="1"/>
  <c r="R27" i="31" s="1"/>
  <c r="P26" i="31"/>
  <c r="Q26" i="31" s="1"/>
  <c r="R26" i="31" s="1"/>
  <c r="P23" i="31"/>
  <c r="Q23" i="31" s="1"/>
  <c r="R23" i="31" s="1"/>
  <c r="P22" i="31"/>
  <c r="Q22" i="31" s="1"/>
  <c r="R22" i="31" s="1"/>
  <c r="P21" i="31"/>
  <c r="Q21" i="31" s="1"/>
  <c r="R21" i="31" s="1"/>
  <c r="P20" i="31"/>
  <c r="Q20" i="31" s="1"/>
  <c r="R20" i="31" s="1"/>
  <c r="P17" i="31"/>
  <c r="Q17" i="31" s="1"/>
  <c r="R17" i="31" s="1"/>
  <c r="P16" i="31"/>
  <c r="Q16" i="31" s="1"/>
  <c r="R16" i="31" s="1"/>
  <c r="P15" i="31"/>
  <c r="Q15" i="31" s="1"/>
  <c r="R15" i="31" s="1"/>
  <c r="P14" i="31"/>
  <c r="Q14" i="31" s="1"/>
  <c r="R14" i="31" s="1"/>
  <c r="W12" i="31"/>
  <c r="W11" i="31"/>
  <c r="W10" i="31"/>
  <c r="W9" i="31"/>
  <c r="W8" i="31"/>
  <c r="W7" i="31"/>
  <c r="W6" i="31"/>
  <c r="W5" i="31"/>
  <c r="P5" i="31"/>
  <c r="Q5" i="31" s="1"/>
  <c r="R5" i="31" s="1"/>
  <c r="Y3" i="31"/>
  <c r="X3" i="31"/>
  <c r="W3" i="31"/>
  <c r="P163" i="30"/>
  <c r="Q163" i="30" s="1"/>
  <c r="P162" i="30"/>
  <c r="Q162" i="30" s="1"/>
  <c r="P161" i="30"/>
  <c r="Q161" i="30" s="1"/>
  <c r="P160" i="30"/>
  <c r="Q160" i="30" s="1"/>
  <c r="P159" i="30"/>
  <c r="Q159" i="30" s="1"/>
  <c r="P158" i="30"/>
  <c r="Q158" i="30" s="1"/>
  <c r="P157" i="30"/>
  <c r="Q157" i="30" s="1"/>
  <c r="P156" i="30"/>
  <c r="Q156" i="30" s="1"/>
  <c r="P155" i="30"/>
  <c r="Q155" i="30" s="1"/>
  <c r="P154" i="30"/>
  <c r="Q154" i="30" s="1"/>
  <c r="P153" i="30"/>
  <c r="Q153" i="30" s="1"/>
  <c r="P152" i="30"/>
  <c r="Q152" i="30" s="1"/>
  <c r="P151" i="30"/>
  <c r="Q151" i="30" s="1"/>
  <c r="P150" i="30"/>
  <c r="Q150" i="30" s="1"/>
  <c r="P149" i="30"/>
  <c r="Q149" i="30" s="1"/>
  <c r="P148" i="30"/>
  <c r="Q148" i="30" s="1"/>
  <c r="P147" i="30"/>
  <c r="Q147" i="30" s="1"/>
  <c r="P146" i="30"/>
  <c r="Q146" i="30" s="1"/>
  <c r="P145" i="30"/>
  <c r="Q145" i="30" s="1"/>
  <c r="P144" i="30"/>
  <c r="Q144" i="30" s="1"/>
  <c r="P143" i="30"/>
  <c r="Q143" i="30" s="1"/>
  <c r="P142" i="30"/>
  <c r="Q142" i="30" s="1"/>
  <c r="P141" i="30"/>
  <c r="Q141" i="30" s="1"/>
  <c r="P140" i="30"/>
  <c r="Q140" i="30" s="1"/>
  <c r="P139" i="30"/>
  <c r="Q139" i="30" s="1"/>
  <c r="P138" i="30"/>
  <c r="Q138" i="30" s="1"/>
  <c r="P137" i="30"/>
  <c r="Q137" i="30" s="1"/>
  <c r="P136" i="30"/>
  <c r="Q136" i="30" s="1"/>
  <c r="P135" i="30"/>
  <c r="Q135" i="30" s="1"/>
  <c r="N135" i="30"/>
  <c r="P134" i="30"/>
  <c r="Q134" i="30" s="1"/>
  <c r="P133" i="30"/>
  <c r="P132" i="30"/>
  <c r="P130" i="30"/>
  <c r="P129" i="30"/>
  <c r="P128" i="30"/>
  <c r="P127" i="30"/>
  <c r="P125" i="30"/>
  <c r="P124" i="30"/>
  <c r="P122" i="30"/>
  <c r="P121" i="30"/>
  <c r="Q121" i="30" s="1"/>
  <c r="P120" i="30"/>
  <c r="Q120" i="30" s="1"/>
  <c r="P119" i="30"/>
  <c r="Q119" i="30" s="1"/>
  <c r="P118" i="30"/>
  <c r="Q118" i="30" s="1"/>
  <c r="P117" i="30"/>
  <c r="Q117" i="30" s="1"/>
  <c r="P116" i="30"/>
  <c r="Q116" i="30" s="1"/>
  <c r="N117" i="30"/>
  <c r="R117" i="30" s="1"/>
  <c r="V117" i="30" s="1"/>
  <c r="AD115" i="30"/>
  <c r="P115" i="30"/>
  <c r="Q115" i="30" s="1"/>
  <c r="AD114" i="30"/>
  <c r="P114" i="30"/>
  <c r="Q114" i="30" s="1"/>
  <c r="AD113" i="30"/>
  <c r="P113" i="30"/>
  <c r="Q113" i="30" s="1"/>
  <c r="AD112" i="30"/>
  <c r="AG111" i="30"/>
  <c r="AE111" i="30"/>
  <c r="P109" i="30"/>
  <c r="Q109" i="30" s="1"/>
  <c r="P108" i="30"/>
  <c r="Q108" i="30" s="1"/>
  <c r="P107" i="30"/>
  <c r="Q107" i="30" s="1"/>
  <c r="P106" i="30"/>
  <c r="Q106" i="30" s="1"/>
  <c r="P105" i="30"/>
  <c r="Q105" i="30" s="1"/>
  <c r="P104" i="30"/>
  <c r="Q104" i="30" s="1"/>
  <c r="P103" i="30"/>
  <c r="Q103" i="30" s="1"/>
  <c r="P102" i="30"/>
  <c r="Q102" i="30" s="1"/>
  <c r="P101" i="30"/>
  <c r="Q101" i="30" s="1"/>
  <c r="P100" i="30"/>
  <c r="Q100" i="30" s="1"/>
  <c r="P99" i="30"/>
  <c r="Q99" i="30" s="1"/>
  <c r="P98" i="30"/>
  <c r="Q98" i="30" s="1"/>
  <c r="P97" i="30"/>
  <c r="Q97" i="30" s="1"/>
  <c r="P96" i="30"/>
  <c r="Q96" i="30" s="1"/>
  <c r="P95" i="30"/>
  <c r="Q95" i="30" s="1"/>
  <c r="P94" i="30"/>
  <c r="Q94" i="30" s="1"/>
  <c r="P93" i="30"/>
  <c r="Q93" i="30" s="1"/>
  <c r="P92" i="30"/>
  <c r="Q92" i="30" s="1"/>
  <c r="P91" i="30"/>
  <c r="Q91" i="30" s="1"/>
  <c r="P90" i="30"/>
  <c r="Q90" i="30" s="1"/>
  <c r="P89" i="30"/>
  <c r="Q89" i="30" s="1"/>
  <c r="P88" i="30"/>
  <c r="Q88" i="30" s="1"/>
  <c r="P87" i="30"/>
  <c r="Q87" i="30" s="1"/>
  <c r="P86" i="30"/>
  <c r="Q86" i="30" s="1"/>
  <c r="P85" i="30"/>
  <c r="Q85" i="30" s="1"/>
  <c r="P84" i="30"/>
  <c r="Q84" i="30" s="1"/>
  <c r="P83" i="30"/>
  <c r="Q83" i="30" s="1"/>
  <c r="P82" i="30"/>
  <c r="Q82" i="30" s="1"/>
  <c r="P81" i="30"/>
  <c r="Q81" i="30" s="1"/>
  <c r="P80" i="30"/>
  <c r="Q80" i="30" s="1"/>
  <c r="P79" i="30"/>
  <c r="P78" i="30"/>
  <c r="P76" i="30"/>
  <c r="P75" i="30"/>
  <c r="P73" i="30"/>
  <c r="P71" i="30"/>
  <c r="P70" i="30"/>
  <c r="N70" i="30"/>
  <c r="R70" i="30" s="1"/>
  <c r="P69" i="30"/>
  <c r="N68" i="30"/>
  <c r="R68" i="30" s="1"/>
  <c r="P67" i="30"/>
  <c r="Q67" i="30" s="1"/>
  <c r="P66" i="30"/>
  <c r="Q66" i="30" s="1"/>
  <c r="P65" i="30"/>
  <c r="Q65" i="30" s="1"/>
  <c r="P64" i="30"/>
  <c r="Q64" i="30" s="1"/>
  <c r="P63" i="30"/>
  <c r="Q63" i="30" s="1"/>
  <c r="P62" i="30"/>
  <c r="Q62" i="30" s="1"/>
  <c r="P61" i="30"/>
  <c r="Q61" i="30" s="1"/>
  <c r="AD60" i="30"/>
  <c r="P60" i="30"/>
  <c r="Q60" i="30" s="1"/>
  <c r="AD59" i="30"/>
  <c r="P59" i="30"/>
  <c r="Q59" i="30" s="1"/>
  <c r="AD58" i="30"/>
  <c r="AG57" i="30"/>
  <c r="AE57" i="30"/>
  <c r="P55" i="30"/>
  <c r="Q55" i="30" s="1"/>
  <c r="P54" i="30"/>
  <c r="Q54" i="30" s="1"/>
  <c r="P53" i="30"/>
  <c r="Q53" i="30" s="1"/>
  <c r="P52" i="30"/>
  <c r="Q52" i="30" s="1"/>
  <c r="P51" i="30"/>
  <c r="Q51" i="30" s="1"/>
  <c r="P50" i="30"/>
  <c r="Q50" i="30" s="1"/>
  <c r="P49" i="30"/>
  <c r="Q49" i="30" s="1"/>
  <c r="P48" i="30"/>
  <c r="Q48" i="30" s="1"/>
  <c r="P47" i="30"/>
  <c r="Q47" i="30" s="1"/>
  <c r="P46" i="30"/>
  <c r="Q46" i="30" s="1"/>
  <c r="P45" i="30"/>
  <c r="Q45" i="30" s="1"/>
  <c r="P44" i="30"/>
  <c r="Q44" i="30" s="1"/>
  <c r="P43" i="30"/>
  <c r="Q43" i="30" s="1"/>
  <c r="P42" i="30"/>
  <c r="Q42" i="30" s="1"/>
  <c r="P41" i="30"/>
  <c r="Q41" i="30" s="1"/>
  <c r="P40" i="30"/>
  <c r="Q40" i="30" s="1"/>
  <c r="P39" i="30"/>
  <c r="Q39" i="30" s="1"/>
  <c r="P38" i="30"/>
  <c r="Q38" i="30" s="1"/>
  <c r="P37" i="30"/>
  <c r="Q37" i="30" s="1"/>
  <c r="P36" i="30"/>
  <c r="Q36" i="30" s="1"/>
  <c r="P35" i="30"/>
  <c r="Q35" i="30" s="1"/>
  <c r="P34" i="30"/>
  <c r="Q34" i="30" s="1"/>
  <c r="P33" i="30"/>
  <c r="Q33" i="30" s="1"/>
  <c r="P32" i="30"/>
  <c r="Q32" i="30" s="1"/>
  <c r="P31" i="30"/>
  <c r="Q31" i="30" s="1"/>
  <c r="P30" i="30"/>
  <c r="Q30" i="30" s="1"/>
  <c r="P29" i="30"/>
  <c r="Q29" i="30" s="1"/>
  <c r="P28" i="30"/>
  <c r="Q28" i="30" s="1"/>
  <c r="P27" i="30"/>
  <c r="Q27" i="30" s="1"/>
  <c r="N27" i="30"/>
  <c r="P26" i="30"/>
  <c r="Q26" i="30" s="1"/>
  <c r="P23" i="30"/>
  <c r="P21" i="30"/>
  <c r="P18" i="30"/>
  <c r="P15" i="30"/>
  <c r="P13" i="30"/>
  <c r="Q13" i="30" s="1"/>
  <c r="P12" i="30"/>
  <c r="Q12" i="30" s="1"/>
  <c r="P11" i="30"/>
  <c r="Q11" i="30" s="1"/>
  <c r="P10" i="30"/>
  <c r="Q10" i="30" s="1"/>
  <c r="P9" i="30"/>
  <c r="Q9" i="30" s="1"/>
  <c r="P8" i="30"/>
  <c r="Q8" i="30" s="1"/>
  <c r="P7" i="30"/>
  <c r="Q7" i="30" s="1"/>
  <c r="P6" i="30"/>
  <c r="Q6" i="30" s="1"/>
  <c r="AD5" i="30"/>
  <c r="P5" i="30"/>
  <c r="Q5" i="30" s="1"/>
  <c r="AG4" i="30"/>
  <c r="AE4" i="30"/>
  <c r="P163" i="29"/>
  <c r="Q163" i="29" s="1"/>
  <c r="P162" i="29"/>
  <c r="Q162" i="29" s="1"/>
  <c r="P161" i="29"/>
  <c r="Q161" i="29" s="1"/>
  <c r="P160" i="29"/>
  <c r="Q160" i="29" s="1"/>
  <c r="P159" i="29"/>
  <c r="Q159" i="29" s="1"/>
  <c r="P158" i="29"/>
  <c r="Q158" i="29" s="1"/>
  <c r="P157" i="29"/>
  <c r="Q157" i="29" s="1"/>
  <c r="P156" i="29"/>
  <c r="Q156" i="29" s="1"/>
  <c r="P155" i="29"/>
  <c r="Q155" i="29" s="1"/>
  <c r="P154" i="29"/>
  <c r="Q154" i="29" s="1"/>
  <c r="P153" i="29"/>
  <c r="Q153" i="29" s="1"/>
  <c r="P152" i="29"/>
  <c r="Q152" i="29" s="1"/>
  <c r="P151" i="29"/>
  <c r="Q151" i="29" s="1"/>
  <c r="P150" i="29"/>
  <c r="Q150" i="29" s="1"/>
  <c r="P149" i="29"/>
  <c r="Q149" i="29" s="1"/>
  <c r="P148" i="29"/>
  <c r="Q148" i="29" s="1"/>
  <c r="P147" i="29"/>
  <c r="Q147" i="29" s="1"/>
  <c r="P146" i="29"/>
  <c r="Q146" i="29" s="1"/>
  <c r="P145" i="29"/>
  <c r="Q145" i="29" s="1"/>
  <c r="P144" i="29"/>
  <c r="Q144" i="29" s="1"/>
  <c r="P143" i="29"/>
  <c r="Q143" i="29" s="1"/>
  <c r="P142" i="29"/>
  <c r="Q142" i="29" s="1"/>
  <c r="P141" i="29"/>
  <c r="Q141" i="29" s="1"/>
  <c r="P140" i="29"/>
  <c r="Q140" i="29" s="1"/>
  <c r="P139" i="29"/>
  <c r="Q139" i="29" s="1"/>
  <c r="P138" i="29"/>
  <c r="Q138" i="29" s="1"/>
  <c r="P137" i="29"/>
  <c r="Q137" i="29" s="1"/>
  <c r="P136" i="29"/>
  <c r="Q136" i="29" s="1"/>
  <c r="N136" i="29"/>
  <c r="P135" i="29"/>
  <c r="Q135" i="29" s="1"/>
  <c r="P134" i="29"/>
  <c r="Q134" i="29" s="1"/>
  <c r="P133" i="29"/>
  <c r="P132" i="29"/>
  <c r="P130" i="29"/>
  <c r="P129" i="29"/>
  <c r="P128" i="29"/>
  <c r="P127" i="29"/>
  <c r="P126" i="29"/>
  <c r="P125" i="29"/>
  <c r="P123" i="29"/>
  <c r="N123" i="29"/>
  <c r="R123" i="29" s="1"/>
  <c r="V123" i="29" s="1"/>
  <c r="AD115" i="29"/>
  <c r="P121" i="29"/>
  <c r="Q121" i="29" s="1"/>
  <c r="P120" i="29"/>
  <c r="Q120" i="29" s="1"/>
  <c r="P119" i="29"/>
  <c r="Q119" i="29" s="1"/>
  <c r="P118" i="29"/>
  <c r="Q118" i="29" s="1"/>
  <c r="P117" i="29"/>
  <c r="Q117" i="29" s="1"/>
  <c r="P116" i="29"/>
  <c r="Q116" i="29" s="1"/>
  <c r="P115" i="29"/>
  <c r="Q115" i="29" s="1"/>
  <c r="AD114" i="29"/>
  <c r="P114" i="29"/>
  <c r="Q114" i="29" s="1"/>
  <c r="AD113" i="29"/>
  <c r="P113" i="29"/>
  <c r="Q113" i="29" s="1"/>
  <c r="AD112" i="29"/>
  <c r="AG111" i="29"/>
  <c r="AE111" i="29"/>
  <c r="P109" i="29"/>
  <c r="Q109" i="29" s="1"/>
  <c r="P108" i="29"/>
  <c r="Q108" i="29" s="1"/>
  <c r="P107" i="29"/>
  <c r="Q107" i="29" s="1"/>
  <c r="P106" i="29"/>
  <c r="Q106" i="29" s="1"/>
  <c r="P105" i="29"/>
  <c r="Q105" i="29" s="1"/>
  <c r="P104" i="29"/>
  <c r="Q104" i="29" s="1"/>
  <c r="P103" i="29"/>
  <c r="Q103" i="29" s="1"/>
  <c r="P102" i="29"/>
  <c r="Q102" i="29" s="1"/>
  <c r="P101" i="29"/>
  <c r="Q101" i="29" s="1"/>
  <c r="P100" i="29"/>
  <c r="Q100" i="29" s="1"/>
  <c r="P99" i="29"/>
  <c r="Q99" i="29" s="1"/>
  <c r="P98" i="29"/>
  <c r="Q98" i="29" s="1"/>
  <c r="P97" i="29"/>
  <c r="Q97" i="29" s="1"/>
  <c r="P96" i="29"/>
  <c r="Q96" i="29" s="1"/>
  <c r="P95" i="29"/>
  <c r="Q95" i="29" s="1"/>
  <c r="P94" i="29"/>
  <c r="Q94" i="29" s="1"/>
  <c r="P93" i="29"/>
  <c r="Q93" i="29" s="1"/>
  <c r="P92" i="29"/>
  <c r="Q92" i="29" s="1"/>
  <c r="P91" i="29"/>
  <c r="Q91" i="29" s="1"/>
  <c r="P90" i="29"/>
  <c r="Q90" i="29" s="1"/>
  <c r="P89" i="29"/>
  <c r="Q89" i="29" s="1"/>
  <c r="P88" i="29"/>
  <c r="Q88" i="29" s="1"/>
  <c r="P87" i="29"/>
  <c r="Q87" i="29" s="1"/>
  <c r="P86" i="29"/>
  <c r="Q86" i="29" s="1"/>
  <c r="P85" i="29"/>
  <c r="Q85" i="29" s="1"/>
  <c r="P84" i="29"/>
  <c r="Q84" i="29" s="1"/>
  <c r="P83" i="29"/>
  <c r="Q83" i="29" s="1"/>
  <c r="P82" i="29"/>
  <c r="Q82" i="29" s="1"/>
  <c r="P81" i="29"/>
  <c r="Q81" i="29" s="1"/>
  <c r="P80" i="29"/>
  <c r="Q80" i="29" s="1"/>
  <c r="P79" i="29"/>
  <c r="P78" i="29"/>
  <c r="P77" i="29"/>
  <c r="P76" i="29"/>
  <c r="P75" i="29"/>
  <c r="P74" i="29"/>
  <c r="P72" i="29"/>
  <c r="P71" i="29"/>
  <c r="P70" i="29"/>
  <c r="P68" i="29"/>
  <c r="P67" i="29"/>
  <c r="Q67" i="29" s="1"/>
  <c r="P66" i="29"/>
  <c r="Q66" i="29" s="1"/>
  <c r="P65" i="29"/>
  <c r="Q65" i="29" s="1"/>
  <c r="P64" i="29"/>
  <c r="Q64" i="29" s="1"/>
  <c r="P63" i="29"/>
  <c r="Q63" i="29" s="1"/>
  <c r="P62" i="29"/>
  <c r="Q62" i="29" s="1"/>
  <c r="AD59" i="29"/>
  <c r="P61" i="29"/>
  <c r="Q61" i="29" s="1"/>
  <c r="P60" i="29"/>
  <c r="Q60" i="29" s="1"/>
  <c r="P59" i="29"/>
  <c r="Q59" i="29" s="1"/>
  <c r="AD58" i="29"/>
  <c r="AG57" i="29"/>
  <c r="AE57" i="29"/>
  <c r="P55" i="29"/>
  <c r="Q55" i="29" s="1"/>
  <c r="P54" i="29"/>
  <c r="Q54" i="29" s="1"/>
  <c r="P53" i="29"/>
  <c r="Q53" i="29" s="1"/>
  <c r="P52" i="29"/>
  <c r="Q52" i="29" s="1"/>
  <c r="P51" i="29"/>
  <c r="Q51" i="29" s="1"/>
  <c r="P50" i="29"/>
  <c r="Q50" i="29" s="1"/>
  <c r="P49" i="29"/>
  <c r="Q49" i="29" s="1"/>
  <c r="P48" i="29"/>
  <c r="Q48" i="29" s="1"/>
  <c r="P47" i="29"/>
  <c r="Q47" i="29" s="1"/>
  <c r="P46" i="29"/>
  <c r="Q46" i="29" s="1"/>
  <c r="P45" i="29"/>
  <c r="Q45" i="29" s="1"/>
  <c r="P44" i="29"/>
  <c r="Q44" i="29" s="1"/>
  <c r="P43" i="29"/>
  <c r="Q43" i="29" s="1"/>
  <c r="P42" i="29"/>
  <c r="Q42" i="29" s="1"/>
  <c r="P41" i="29"/>
  <c r="Q41" i="29" s="1"/>
  <c r="P40" i="29"/>
  <c r="Q40" i="29" s="1"/>
  <c r="P39" i="29"/>
  <c r="Q39" i="29" s="1"/>
  <c r="P38" i="29"/>
  <c r="Q38" i="29" s="1"/>
  <c r="P37" i="29"/>
  <c r="Q37" i="29" s="1"/>
  <c r="P36" i="29"/>
  <c r="Q36" i="29" s="1"/>
  <c r="P35" i="29"/>
  <c r="Q35" i="29" s="1"/>
  <c r="P34" i="29"/>
  <c r="Q34" i="29" s="1"/>
  <c r="P33" i="29"/>
  <c r="Q33" i="29" s="1"/>
  <c r="P32" i="29"/>
  <c r="Q32" i="29" s="1"/>
  <c r="P31" i="29"/>
  <c r="Q31" i="29" s="1"/>
  <c r="P30" i="29"/>
  <c r="Q30" i="29" s="1"/>
  <c r="P29" i="29"/>
  <c r="Q29" i="29" s="1"/>
  <c r="P28" i="29"/>
  <c r="Q28" i="29" s="1"/>
  <c r="P27" i="29"/>
  <c r="Q27" i="29" s="1"/>
  <c r="P26" i="29"/>
  <c r="Q26" i="29" s="1"/>
  <c r="P25" i="29"/>
  <c r="P24" i="29"/>
  <c r="P22" i="29"/>
  <c r="P20" i="29"/>
  <c r="P19" i="29"/>
  <c r="P17" i="29"/>
  <c r="P16" i="29"/>
  <c r="P14" i="29"/>
  <c r="P13" i="29"/>
  <c r="Q13" i="29" s="1"/>
  <c r="P12" i="29"/>
  <c r="Q12" i="29" s="1"/>
  <c r="P11" i="29"/>
  <c r="Q11" i="29" s="1"/>
  <c r="P10" i="29"/>
  <c r="Q10" i="29" s="1"/>
  <c r="P9" i="29"/>
  <c r="Q9" i="29" s="1"/>
  <c r="P8" i="29"/>
  <c r="Q8" i="29" s="1"/>
  <c r="P7" i="29"/>
  <c r="Q7" i="29" s="1"/>
  <c r="P6" i="29"/>
  <c r="Q6" i="29" s="1"/>
  <c r="AD5" i="29"/>
  <c r="P5" i="29"/>
  <c r="Q5" i="29" s="1"/>
  <c r="AG4" i="29"/>
  <c r="AE4" i="29"/>
  <c r="K78" i="28"/>
  <c r="J78" i="28"/>
  <c r="J77" i="28"/>
  <c r="I77" i="28"/>
  <c r="K76" i="28"/>
  <c r="I76" i="28"/>
  <c r="K75" i="28"/>
  <c r="J75" i="28"/>
  <c r="I75" i="28"/>
  <c r="K74" i="28"/>
  <c r="K73" i="28"/>
  <c r="I73" i="28"/>
  <c r="I72" i="28"/>
  <c r="K71" i="28"/>
  <c r="J71" i="28"/>
  <c r="I71" i="28"/>
  <c r="K70" i="28"/>
  <c r="I70" i="28"/>
  <c r="N70" i="28" s="1"/>
  <c r="K69" i="28"/>
  <c r="P69" i="28" s="1"/>
  <c r="I69" i="28"/>
  <c r="N69" i="28" s="1"/>
  <c r="K68" i="28"/>
  <c r="P68" i="28" s="1"/>
  <c r="I68" i="28"/>
  <c r="N68" i="28" s="1"/>
  <c r="K67" i="28"/>
  <c r="P67" i="28" s="1"/>
  <c r="J67" i="28"/>
  <c r="I67" i="28"/>
  <c r="N67" i="28" s="1"/>
  <c r="K66" i="28"/>
  <c r="J66" i="28"/>
  <c r="I66" i="28"/>
  <c r="J65" i="28"/>
  <c r="O65" i="28" s="1"/>
  <c r="K65" i="28"/>
  <c r="I65" i="28"/>
  <c r="N65" i="28" s="1"/>
  <c r="K64" i="28"/>
  <c r="J64" i="28"/>
  <c r="O64" i="28" s="1"/>
  <c r="I64" i="28"/>
  <c r="N64" i="28" s="1"/>
  <c r="K63" i="28"/>
  <c r="P63" i="28" s="1"/>
  <c r="J63" i="28"/>
  <c r="O63" i="28" s="1"/>
  <c r="I63" i="28"/>
  <c r="N63" i="28" s="1"/>
  <c r="K62" i="28"/>
  <c r="P62" i="28" s="1"/>
  <c r="J62" i="28"/>
  <c r="O62" i="28" s="1"/>
  <c r="I62" i="28"/>
  <c r="K61" i="28"/>
  <c r="P61" i="28" s="1"/>
  <c r="J61" i="28"/>
  <c r="I61" i="28"/>
  <c r="K60" i="28"/>
  <c r="P60" i="28" s="1"/>
  <c r="J60" i="28"/>
  <c r="O60" i="28" s="1"/>
  <c r="I60" i="28"/>
  <c r="N60" i="28" s="1"/>
  <c r="K59" i="28"/>
  <c r="P59" i="28" s="1"/>
  <c r="J59" i="28"/>
  <c r="O59" i="28" s="1"/>
  <c r="I59" i="28"/>
  <c r="K58" i="28"/>
  <c r="P58" i="28" s="1"/>
  <c r="J58" i="28"/>
  <c r="Y58" i="28" s="1"/>
  <c r="I58" i="28"/>
  <c r="X58" i="28" s="1"/>
  <c r="K57" i="28"/>
  <c r="P57" i="28" s="1"/>
  <c r="J57" i="28"/>
  <c r="O57" i="28" s="1"/>
  <c r="I57" i="28"/>
  <c r="N57" i="28" s="1"/>
  <c r="K53" i="28"/>
  <c r="Z53" i="28" s="1"/>
  <c r="J53" i="28"/>
  <c r="Y53" i="28" s="1"/>
  <c r="I53" i="28"/>
  <c r="N53" i="28" s="1"/>
  <c r="I51" i="28"/>
  <c r="N51" i="28" s="1"/>
  <c r="K50" i="28"/>
  <c r="K49" i="28"/>
  <c r="J49" i="28"/>
  <c r="J48" i="28"/>
  <c r="I48" i="28"/>
  <c r="N48" i="28" s="1"/>
  <c r="I47" i="28"/>
  <c r="N47" i="28" s="1"/>
  <c r="K46" i="28"/>
  <c r="K45" i="28"/>
  <c r="J45" i="28"/>
  <c r="O45" i="28" s="1"/>
  <c r="J44" i="28"/>
  <c r="O44" i="28" s="1"/>
  <c r="I44" i="28"/>
  <c r="N44" i="28" s="1"/>
  <c r="K43" i="28"/>
  <c r="J43" i="28"/>
  <c r="I43" i="28"/>
  <c r="I42" i="28"/>
  <c r="K42" i="28"/>
  <c r="P42" i="28" s="1"/>
  <c r="J42" i="28"/>
  <c r="O42" i="28" s="1"/>
  <c r="K41" i="28"/>
  <c r="P41" i="28" s="1"/>
  <c r="J41" i="28"/>
  <c r="O41" i="28" s="1"/>
  <c r="I41" i="28"/>
  <c r="K40" i="28"/>
  <c r="P40" i="28" s="1"/>
  <c r="J40" i="28"/>
  <c r="O40" i="28" s="1"/>
  <c r="I40" i="28"/>
  <c r="K39" i="28"/>
  <c r="P39" i="28" s="1"/>
  <c r="J39" i="28"/>
  <c r="O39" i="28" s="1"/>
  <c r="I39" i="28"/>
  <c r="K38" i="28"/>
  <c r="P38" i="28" s="1"/>
  <c r="J38" i="28"/>
  <c r="O38" i="28" s="1"/>
  <c r="I38" i="28"/>
  <c r="K37" i="28"/>
  <c r="P37" i="28" s="1"/>
  <c r="J37" i="28"/>
  <c r="I37" i="28"/>
  <c r="N37" i="28" s="1"/>
  <c r="K36" i="28"/>
  <c r="J36" i="28"/>
  <c r="O36" i="28" s="1"/>
  <c r="I36" i="28"/>
  <c r="N36" i="28" s="1"/>
  <c r="K35" i="28"/>
  <c r="P35" i="28" s="1"/>
  <c r="J35" i="28"/>
  <c r="O35" i="28" s="1"/>
  <c r="I35" i="28"/>
  <c r="N35" i="28" s="1"/>
  <c r="K34" i="28"/>
  <c r="P34" i="28" s="1"/>
  <c r="J34" i="28"/>
  <c r="O34" i="28" s="1"/>
  <c r="I34" i="28"/>
  <c r="K33" i="28"/>
  <c r="P33" i="28" s="1"/>
  <c r="J33" i="28"/>
  <c r="I33" i="28"/>
  <c r="N33" i="28" s="1"/>
  <c r="K32" i="28"/>
  <c r="J32" i="28"/>
  <c r="Y32" i="28" s="1"/>
  <c r="I32" i="28"/>
  <c r="N32" i="28" s="1"/>
  <c r="K31" i="28"/>
  <c r="P31" i="28" s="1"/>
  <c r="J31" i="28"/>
  <c r="O31" i="28" s="1"/>
  <c r="I31" i="28"/>
  <c r="K27" i="28"/>
  <c r="P27" i="28" s="1"/>
  <c r="J27" i="28"/>
  <c r="O27" i="28" s="1"/>
  <c r="J26" i="28"/>
  <c r="O26" i="28" s="1"/>
  <c r="T26" i="28" s="1"/>
  <c r="K23" i="28"/>
  <c r="P23" i="28" s="1"/>
  <c r="K22" i="28"/>
  <c r="P22" i="28" s="1"/>
  <c r="J22" i="28"/>
  <c r="O22" i="28" s="1"/>
  <c r="I22" i="28"/>
  <c r="J21" i="28"/>
  <c r="K20" i="28"/>
  <c r="P20" i="28" s="1"/>
  <c r="J20" i="28"/>
  <c r="K19" i="28"/>
  <c r="P19" i="28" s="1"/>
  <c r="K18" i="28"/>
  <c r="P18" i="28" s="1"/>
  <c r="J18" i="28"/>
  <c r="O18" i="28" s="1"/>
  <c r="J17" i="28"/>
  <c r="K16" i="28"/>
  <c r="P16" i="28" s="1"/>
  <c r="J16" i="28"/>
  <c r="I16" i="28"/>
  <c r="I15" i="28"/>
  <c r="N15" i="28" s="1"/>
  <c r="K15" i="28"/>
  <c r="P15" i="28" s="1"/>
  <c r="J15" i="28"/>
  <c r="O15" i="28" s="1"/>
  <c r="K14" i="28"/>
  <c r="P14" i="28" s="1"/>
  <c r="J14" i="28"/>
  <c r="O14" i="28" s="1"/>
  <c r="I14" i="28"/>
  <c r="K13" i="28"/>
  <c r="P13" i="28" s="1"/>
  <c r="J13" i="28"/>
  <c r="I13" i="28"/>
  <c r="N13" i="28" s="1"/>
  <c r="K12" i="28"/>
  <c r="P12" i="28" s="1"/>
  <c r="J12" i="28"/>
  <c r="O12" i="28" s="1"/>
  <c r="I12" i="28"/>
  <c r="K11" i="28"/>
  <c r="P11" i="28" s="1"/>
  <c r="J11" i="28"/>
  <c r="I11" i="28"/>
  <c r="N11" i="28" s="1"/>
  <c r="K10" i="28"/>
  <c r="J10" i="28"/>
  <c r="O10" i="28" s="1"/>
  <c r="I10" i="28"/>
  <c r="N10" i="28" s="1"/>
  <c r="K9" i="28"/>
  <c r="P9" i="28" s="1"/>
  <c r="J9" i="28"/>
  <c r="O9" i="28" s="1"/>
  <c r="I9" i="28"/>
  <c r="N9" i="28" s="1"/>
  <c r="K8" i="28"/>
  <c r="P8" i="28" s="1"/>
  <c r="J8" i="28"/>
  <c r="O8" i="28" s="1"/>
  <c r="I8" i="28"/>
  <c r="K7" i="28"/>
  <c r="P7" i="28" s="1"/>
  <c r="J7" i="28"/>
  <c r="I7" i="28"/>
  <c r="K6" i="28"/>
  <c r="Z6" i="28" s="1"/>
  <c r="J6" i="28"/>
  <c r="O6" i="28" s="1"/>
  <c r="I6" i="28"/>
  <c r="N6" i="28" s="1"/>
  <c r="K5" i="28"/>
  <c r="P5" i="28" s="1"/>
  <c r="J5" i="28"/>
  <c r="O5" i="28" s="1"/>
  <c r="I5" i="28"/>
  <c r="I77" i="27"/>
  <c r="K76" i="27"/>
  <c r="P76" i="27" s="1"/>
  <c r="J76" i="27"/>
  <c r="I76" i="27"/>
  <c r="K75" i="27"/>
  <c r="P75" i="27" s="1"/>
  <c r="I75" i="27"/>
  <c r="K74" i="27"/>
  <c r="P74" i="27" s="1"/>
  <c r="I74" i="27"/>
  <c r="K73" i="27"/>
  <c r="P73" i="27" s="1"/>
  <c r="I73" i="27"/>
  <c r="K72" i="27"/>
  <c r="P72" i="27" s="1"/>
  <c r="J72" i="27"/>
  <c r="I72" i="27"/>
  <c r="K71" i="27"/>
  <c r="P71" i="27" s="1"/>
  <c r="I71" i="27"/>
  <c r="K70" i="27"/>
  <c r="P70" i="27" s="1"/>
  <c r="I70" i="27"/>
  <c r="K69" i="27"/>
  <c r="P69" i="27" s="1"/>
  <c r="I69" i="27"/>
  <c r="K68" i="27"/>
  <c r="P68" i="27" s="1"/>
  <c r="J68" i="27"/>
  <c r="I68" i="27"/>
  <c r="K67" i="27"/>
  <c r="P67" i="27" s="1"/>
  <c r="J67" i="27"/>
  <c r="I67" i="27"/>
  <c r="K66" i="27"/>
  <c r="P66" i="27" s="1"/>
  <c r="J66" i="27"/>
  <c r="I66" i="27"/>
  <c r="K65" i="27"/>
  <c r="J65" i="27"/>
  <c r="I65" i="27"/>
  <c r="K64" i="27"/>
  <c r="J64" i="27"/>
  <c r="O64" i="27" s="1"/>
  <c r="I64" i="27"/>
  <c r="K63" i="27"/>
  <c r="P63" i="27" s="1"/>
  <c r="J63" i="27"/>
  <c r="O63" i="27" s="1"/>
  <c r="I63" i="27"/>
  <c r="N63" i="27" s="1"/>
  <c r="K62" i="27"/>
  <c r="P62" i="27" s="1"/>
  <c r="J62" i="27"/>
  <c r="O62" i="27" s="1"/>
  <c r="I62" i="27"/>
  <c r="M62" i="27" s="1"/>
  <c r="K61" i="27"/>
  <c r="J61" i="27"/>
  <c r="O61" i="27" s="1"/>
  <c r="I61" i="27"/>
  <c r="N61" i="27" s="1"/>
  <c r="K60" i="27"/>
  <c r="P60" i="27" s="1"/>
  <c r="J60" i="27"/>
  <c r="O60" i="27" s="1"/>
  <c r="I60" i="27"/>
  <c r="N60" i="27" s="1"/>
  <c r="K59" i="27"/>
  <c r="J59" i="27"/>
  <c r="I59" i="27"/>
  <c r="K58" i="27"/>
  <c r="J58" i="27"/>
  <c r="I58" i="27"/>
  <c r="N58" i="27" s="1"/>
  <c r="K57" i="27"/>
  <c r="P57" i="27" s="1"/>
  <c r="J57" i="27"/>
  <c r="O57" i="27" s="1"/>
  <c r="I57" i="27"/>
  <c r="K53" i="27"/>
  <c r="P53" i="27" s="1"/>
  <c r="I53" i="27"/>
  <c r="J51" i="27"/>
  <c r="K51" i="27"/>
  <c r="P51" i="27" s="1"/>
  <c r="I51" i="27"/>
  <c r="K50" i="27"/>
  <c r="P50" i="27" s="1"/>
  <c r="J50" i="27"/>
  <c r="O50" i="27" s="1"/>
  <c r="I50" i="27"/>
  <c r="K49" i="27"/>
  <c r="P49" i="27" s="1"/>
  <c r="J49" i="27"/>
  <c r="I49" i="27"/>
  <c r="K48" i="27"/>
  <c r="P48" i="27" s="1"/>
  <c r="J48" i="27"/>
  <c r="I48" i="27"/>
  <c r="K47" i="27"/>
  <c r="P47" i="27" s="1"/>
  <c r="J47" i="27"/>
  <c r="I47" i="27"/>
  <c r="K46" i="27"/>
  <c r="P46" i="27" s="1"/>
  <c r="J46" i="27"/>
  <c r="O46" i="27" s="1"/>
  <c r="I46" i="27"/>
  <c r="N46" i="27" s="1"/>
  <c r="K45" i="27"/>
  <c r="J45" i="27"/>
  <c r="O45" i="27" s="1"/>
  <c r="I45" i="27"/>
  <c r="K44" i="27"/>
  <c r="P44" i="27" s="1"/>
  <c r="J44" i="27"/>
  <c r="O44" i="27" s="1"/>
  <c r="I44" i="27"/>
  <c r="I43" i="27"/>
  <c r="K43" i="27"/>
  <c r="P43" i="27" s="1"/>
  <c r="J43" i="27"/>
  <c r="O43" i="27" s="1"/>
  <c r="J42" i="27"/>
  <c r="O42" i="27" s="1"/>
  <c r="K42" i="27"/>
  <c r="I42" i="27"/>
  <c r="J41" i="27"/>
  <c r="O41" i="27" s="1"/>
  <c r="K41" i="27"/>
  <c r="I41" i="27"/>
  <c r="J40" i="27"/>
  <c r="O40" i="27" s="1"/>
  <c r="K40" i="27"/>
  <c r="P40" i="27" s="1"/>
  <c r="I40" i="27"/>
  <c r="K39" i="27"/>
  <c r="P39" i="27" s="1"/>
  <c r="J39" i="27"/>
  <c r="O39" i="27" s="1"/>
  <c r="I39" i="27"/>
  <c r="N39" i="27" s="1"/>
  <c r="K38" i="27"/>
  <c r="J38" i="27"/>
  <c r="O38" i="27" s="1"/>
  <c r="I38" i="27"/>
  <c r="N38" i="27" s="1"/>
  <c r="K37" i="27"/>
  <c r="P37" i="27" s="1"/>
  <c r="J37" i="27"/>
  <c r="O37" i="27" s="1"/>
  <c r="I37" i="27"/>
  <c r="N37" i="27" s="1"/>
  <c r="K36" i="27"/>
  <c r="P36" i="27" s="1"/>
  <c r="J36" i="27"/>
  <c r="O36" i="27" s="1"/>
  <c r="I36" i="27"/>
  <c r="K35" i="27"/>
  <c r="P35" i="27" s="1"/>
  <c r="J35" i="27"/>
  <c r="O35" i="27" s="1"/>
  <c r="I35" i="27"/>
  <c r="N35" i="27" s="1"/>
  <c r="K34" i="27"/>
  <c r="P34" i="27" s="1"/>
  <c r="J34" i="27"/>
  <c r="O34" i="27" s="1"/>
  <c r="I34" i="27"/>
  <c r="K33" i="27"/>
  <c r="P33" i="27" s="1"/>
  <c r="J33" i="27"/>
  <c r="I33" i="27"/>
  <c r="N33" i="27" s="1"/>
  <c r="K32" i="27"/>
  <c r="J32" i="27"/>
  <c r="Y32" i="27" s="1"/>
  <c r="I32" i="27"/>
  <c r="N32" i="27" s="1"/>
  <c r="K31" i="27"/>
  <c r="P31" i="27" s="1"/>
  <c r="J31" i="27"/>
  <c r="O31" i="27" s="1"/>
  <c r="I31" i="27"/>
  <c r="K27" i="27"/>
  <c r="P27" i="27" s="1"/>
  <c r="J27" i="27"/>
  <c r="O27" i="27" s="1"/>
  <c r="T27" i="27" s="1"/>
  <c r="I27" i="27"/>
  <c r="I25" i="27"/>
  <c r="K24" i="27"/>
  <c r="P24" i="27" s="1"/>
  <c r="I24" i="27"/>
  <c r="I23" i="27"/>
  <c r="K23" i="27"/>
  <c r="P23" i="27" s="1"/>
  <c r="I22" i="27"/>
  <c r="I21" i="27"/>
  <c r="J20" i="27"/>
  <c r="O20" i="27" s="1"/>
  <c r="I20" i="27"/>
  <c r="K19" i="27"/>
  <c r="J19" i="27"/>
  <c r="O19" i="27" s="1"/>
  <c r="I19" i="27"/>
  <c r="K18" i="27"/>
  <c r="I18" i="27"/>
  <c r="I17" i="27"/>
  <c r="N17" i="27" s="1"/>
  <c r="I16" i="27"/>
  <c r="N16" i="27" s="1"/>
  <c r="K16" i="27"/>
  <c r="J16" i="27"/>
  <c r="O16" i="27" s="1"/>
  <c r="K15" i="27"/>
  <c r="J15" i="27"/>
  <c r="O15" i="27" s="1"/>
  <c r="I14" i="27"/>
  <c r="N14" i="27" s="1"/>
  <c r="K14" i="27"/>
  <c r="J14" i="27"/>
  <c r="O14" i="27" s="1"/>
  <c r="J13" i="27"/>
  <c r="O13" i="27" s="1"/>
  <c r="I13" i="27"/>
  <c r="N13" i="27" s="1"/>
  <c r="K13" i="27"/>
  <c r="K12" i="27"/>
  <c r="P12" i="27" s="1"/>
  <c r="J12" i="27"/>
  <c r="O12" i="27" s="1"/>
  <c r="I12" i="27"/>
  <c r="N12" i="27" s="1"/>
  <c r="K11" i="27"/>
  <c r="P11" i="27" s="1"/>
  <c r="J11" i="27"/>
  <c r="O11" i="27" s="1"/>
  <c r="I11" i="27"/>
  <c r="N11" i="27" s="1"/>
  <c r="K10" i="27"/>
  <c r="P10" i="27" s="1"/>
  <c r="J10" i="27"/>
  <c r="O10" i="27" s="1"/>
  <c r="I10" i="27"/>
  <c r="K9" i="27"/>
  <c r="P9" i="27" s="1"/>
  <c r="J9" i="27"/>
  <c r="O9" i="27" s="1"/>
  <c r="I9" i="27"/>
  <c r="K8" i="27"/>
  <c r="J8" i="27"/>
  <c r="I8" i="27"/>
  <c r="K7" i="27"/>
  <c r="P7" i="27" s="1"/>
  <c r="J7" i="27"/>
  <c r="O7" i="27" s="1"/>
  <c r="I7" i="27"/>
  <c r="K6" i="27"/>
  <c r="P6" i="27" s="1"/>
  <c r="J6" i="27"/>
  <c r="Y6" i="27" s="1"/>
  <c r="I6" i="27"/>
  <c r="N6" i="27" s="1"/>
  <c r="K5" i="27"/>
  <c r="P5" i="27" s="1"/>
  <c r="J5" i="27"/>
  <c r="O5" i="27" s="1"/>
  <c r="I5" i="27"/>
  <c r="N5" i="27" s="1"/>
  <c r="S28" i="32" l="1"/>
  <c r="N59" i="30"/>
  <c r="N60" i="30"/>
  <c r="N61" i="30"/>
  <c r="R61" i="30" s="1"/>
  <c r="V61" i="30" s="1"/>
  <c r="I5" i="30"/>
  <c r="I7" i="30"/>
  <c r="K18" i="30"/>
  <c r="N23" i="30"/>
  <c r="R23" i="30" s="1"/>
  <c r="V23" i="30" s="1"/>
  <c r="H30" i="30"/>
  <c r="H34" i="30"/>
  <c r="J36" i="30"/>
  <c r="H42" i="30"/>
  <c r="I45" i="30"/>
  <c r="I51" i="30"/>
  <c r="H54" i="30"/>
  <c r="I55" i="30"/>
  <c r="H6" i="30"/>
  <c r="J8" i="30"/>
  <c r="J10" i="30"/>
  <c r="J12" i="30"/>
  <c r="H14" i="30"/>
  <c r="H16" i="30"/>
  <c r="H17" i="30"/>
  <c r="J19" i="30"/>
  <c r="I20" i="30"/>
  <c r="I21" i="30"/>
  <c r="I30" i="30"/>
  <c r="H33" i="30"/>
  <c r="I34" i="30"/>
  <c r="I35" i="30"/>
  <c r="I37" i="30"/>
  <c r="J38" i="30"/>
  <c r="I42" i="30"/>
  <c r="I44" i="30"/>
  <c r="J48" i="30"/>
  <c r="H50" i="30"/>
  <c r="H52" i="30"/>
  <c r="H53" i="30"/>
  <c r="I54" i="30"/>
  <c r="J55" i="30"/>
  <c r="I6" i="30"/>
  <c r="I9" i="30"/>
  <c r="J13" i="30"/>
  <c r="I14" i="30"/>
  <c r="I16" i="30"/>
  <c r="J17" i="30"/>
  <c r="K19" i="30"/>
  <c r="H29" i="30"/>
  <c r="H31" i="30"/>
  <c r="H32" i="30"/>
  <c r="I33" i="30"/>
  <c r="J34" i="30"/>
  <c r="J35" i="30"/>
  <c r="J37" i="30"/>
  <c r="J39" i="30"/>
  <c r="H41" i="30"/>
  <c r="H43" i="30"/>
  <c r="J49" i="30"/>
  <c r="I50" i="30"/>
  <c r="I52" i="30"/>
  <c r="I53" i="30"/>
  <c r="J54" i="30"/>
  <c r="N26" i="30"/>
  <c r="N79" i="30"/>
  <c r="H5" i="30"/>
  <c r="J9" i="30"/>
  <c r="I29" i="30"/>
  <c r="J33" i="30"/>
  <c r="I36" i="30"/>
  <c r="J40" i="30"/>
  <c r="I41" i="30"/>
  <c r="I46" i="30"/>
  <c r="N28" i="29"/>
  <c r="I85" i="29"/>
  <c r="J91" i="29"/>
  <c r="I17" i="29"/>
  <c r="I88" i="29"/>
  <c r="I97" i="29"/>
  <c r="I19" i="29"/>
  <c r="N19" i="29" s="1"/>
  <c r="R19" i="29" s="1"/>
  <c r="V19" i="29" s="1"/>
  <c r="H38" i="29"/>
  <c r="N81" i="29"/>
  <c r="R81" i="29" s="1"/>
  <c r="V81" i="29" s="1"/>
  <c r="H83" i="29"/>
  <c r="D68" i="29"/>
  <c r="D71" i="29" s="1"/>
  <c r="D74" i="29" s="1"/>
  <c r="D77" i="29" s="1"/>
  <c r="D80" i="29" s="1"/>
  <c r="D83" i="29" s="1"/>
  <c r="D86" i="29" s="1"/>
  <c r="D89" i="29" s="1"/>
  <c r="D92" i="29" s="1"/>
  <c r="D95" i="29" s="1"/>
  <c r="D98" i="29" s="1"/>
  <c r="D101" i="29" s="1"/>
  <c r="D104" i="29" s="1"/>
  <c r="D107" i="29" s="1"/>
  <c r="AD60" i="29"/>
  <c r="I43" i="29"/>
  <c r="I48" i="29"/>
  <c r="J107" i="29"/>
  <c r="J48" i="29"/>
  <c r="J59" i="29"/>
  <c r="I108" i="29"/>
  <c r="H7" i="29"/>
  <c r="I38" i="29"/>
  <c r="H47" i="29"/>
  <c r="J60" i="29"/>
  <c r="I75" i="29"/>
  <c r="I83" i="29"/>
  <c r="H87" i="29"/>
  <c r="I96" i="29"/>
  <c r="I98" i="29"/>
  <c r="H106" i="29"/>
  <c r="H107" i="29"/>
  <c r="J108" i="29"/>
  <c r="H39" i="29"/>
  <c r="I41" i="29"/>
  <c r="I47" i="29"/>
  <c r="J61" i="29"/>
  <c r="I63" i="29"/>
  <c r="J65" i="29"/>
  <c r="I74" i="29"/>
  <c r="I84" i="29"/>
  <c r="I87" i="29"/>
  <c r="J89" i="29"/>
  <c r="J92" i="29"/>
  <c r="H97" i="29"/>
  <c r="I100" i="29"/>
  <c r="I106" i="29"/>
  <c r="I107" i="29"/>
  <c r="J109" i="29"/>
  <c r="I5" i="29"/>
  <c r="I7" i="29"/>
  <c r="I8" i="29"/>
  <c r="I10" i="29"/>
  <c r="J11" i="29"/>
  <c r="H18" i="29"/>
  <c r="J30" i="29"/>
  <c r="H37" i="29"/>
  <c r="J51" i="29"/>
  <c r="H67" i="29"/>
  <c r="I69" i="29"/>
  <c r="J88" i="29"/>
  <c r="N88" i="29" s="1"/>
  <c r="R88" i="29" s="1"/>
  <c r="V88" i="29" s="1"/>
  <c r="N26" i="29"/>
  <c r="R26" i="29" s="1"/>
  <c r="H6" i="29"/>
  <c r="J8" i="29"/>
  <c r="J10" i="29"/>
  <c r="J12" i="29"/>
  <c r="H14" i="29"/>
  <c r="I18" i="29"/>
  <c r="I29" i="29"/>
  <c r="I31" i="29"/>
  <c r="J32" i="29"/>
  <c r="J38" i="29"/>
  <c r="I40" i="29"/>
  <c r="J41" i="29"/>
  <c r="J43" i="29"/>
  <c r="J47" i="29"/>
  <c r="H49" i="29"/>
  <c r="I50" i="29"/>
  <c r="I52" i="29"/>
  <c r="J53" i="29"/>
  <c r="H62" i="29"/>
  <c r="H64" i="29"/>
  <c r="H66" i="29"/>
  <c r="I67" i="29"/>
  <c r="J69" i="29"/>
  <c r="J87" i="29"/>
  <c r="I90" i="29"/>
  <c r="H105" i="29"/>
  <c r="H109" i="29"/>
  <c r="I9" i="29"/>
  <c r="J13" i="29"/>
  <c r="H15" i="29"/>
  <c r="H17" i="29"/>
  <c r="J29" i="29"/>
  <c r="J31" i="29"/>
  <c r="J33" i="29"/>
  <c r="H35" i="29"/>
  <c r="I42" i="29"/>
  <c r="H48" i="29"/>
  <c r="J49" i="29"/>
  <c r="J50" i="29"/>
  <c r="J52" i="29"/>
  <c r="J54" i="29"/>
  <c r="I62" i="29"/>
  <c r="I64" i="29"/>
  <c r="H65" i="29"/>
  <c r="I66" i="29"/>
  <c r="J67" i="29"/>
  <c r="I68" i="29"/>
  <c r="I70" i="29"/>
  <c r="J71" i="29"/>
  <c r="H74" i="29"/>
  <c r="H75" i="29"/>
  <c r="H76" i="29"/>
  <c r="J86" i="29"/>
  <c r="J90" i="29"/>
  <c r="I99" i="29"/>
  <c r="J101" i="29"/>
  <c r="H108" i="29"/>
  <c r="J9" i="29"/>
  <c r="H16" i="29"/>
  <c r="N27" i="29"/>
  <c r="R27" i="29" s="1"/>
  <c r="V27" i="29" s="1"/>
  <c r="I30" i="29"/>
  <c r="J34" i="29"/>
  <c r="H36" i="29"/>
  <c r="J42" i="29"/>
  <c r="I51" i="29"/>
  <c r="J55" i="29"/>
  <c r="J66" i="29"/>
  <c r="J68" i="29"/>
  <c r="J70" i="29"/>
  <c r="I89" i="29"/>
  <c r="I91" i="29"/>
  <c r="V70" i="30"/>
  <c r="R59" i="30"/>
  <c r="V59" i="30" s="1"/>
  <c r="R27" i="30"/>
  <c r="V27" i="30" s="1"/>
  <c r="M61" i="28"/>
  <c r="L7" i="28"/>
  <c r="M34" i="28"/>
  <c r="U27" i="27"/>
  <c r="T16" i="32"/>
  <c r="U16" i="32" s="1"/>
  <c r="Y7" i="32" s="1"/>
  <c r="S16" i="32"/>
  <c r="X7" i="32" s="1"/>
  <c r="P90" i="31"/>
  <c r="Q90" i="31" s="1"/>
  <c r="R90" i="31" s="1"/>
  <c r="P73" i="32"/>
  <c r="Q73" i="32" s="1"/>
  <c r="R73" i="32" s="1"/>
  <c r="P51" i="32"/>
  <c r="Q51" i="32" s="1"/>
  <c r="R51" i="32" s="1"/>
  <c r="P76" i="32"/>
  <c r="Q76" i="32" s="1"/>
  <c r="R76" i="32" s="1"/>
  <c r="P44" i="32"/>
  <c r="Q44" i="32" s="1"/>
  <c r="R44" i="32" s="1"/>
  <c r="P48" i="32"/>
  <c r="Q48" i="32" s="1"/>
  <c r="R48" i="32" s="1"/>
  <c r="P54" i="32"/>
  <c r="Q54" i="32" s="1"/>
  <c r="R54" i="32" s="1"/>
  <c r="P60" i="32"/>
  <c r="Q60" i="32" s="1"/>
  <c r="R60" i="32" s="1"/>
  <c r="P79" i="32"/>
  <c r="Q79" i="32" s="1"/>
  <c r="R79" i="32" s="1"/>
  <c r="P84" i="32"/>
  <c r="Q84" i="32" s="1"/>
  <c r="R84" i="32" s="1"/>
  <c r="P91" i="32"/>
  <c r="Q91" i="32" s="1"/>
  <c r="R91" i="32" s="1"/>
  <c r="P47" i="32"/>
  <c r="Q47" i="32" s="1"/>
  <c r="R47" i="32" s="1"/>
  <c r="P61" i="32"/>
  <c r="Q61" i="32" s="1"/>
  <c r="R61" i="32" s="1"/>
  <c r="P41" i="32"/>
  <c r="Q41" i="32" s="1"/>
  <c r="R41" i="32" s="1"/>
  <c r="P45" i="32"/>
  <c r="Q45" i="32" s="1"/>
  <c r="R45" i="32" s="1"/>
  <c r="P83" i="32"/>
  <c r="Q83" i="32" s="1"/>
  <c r="R83" i="32" s="1"/>
  <c r="P43" i="32"/>
  <c r="Q43" i="32" s="1"/>
  <c r="R43" i="32" s="1"/>
  <c r="P88" i="32"/>
  <c r="Q88" i="32" s="1"/>
  <c r="R88" i="32" s="1"/>
  <c r="P42" i="32"/>
  <c r="Q42" i="32" s="1"/>
  <c r="R42" i="32" s="1"/>
  <c r="P57" i="32"/>
  <c r="Q57" i="32" s="1"/>
  <c r="R57" i="32" s="1"/>
  <c r="P85" i="32"/>
  <c r="Q85" i="32" s="1"/>
  <c r="R85" i="32" s="1"/>
  <c r="P51" i="31"/>
  <c r="Q51" i="31" s="1"/>
  <c r="R51" i="31" s="1"/>
  <c r="P81" i="31"/>
  <c r="Q81" i="31" s="1"/>
  <c r="R81" i="31" s="1"/>
  <c r="P84" i="31"/>
  <c r="Q84" i="31" s="1"/>
  <c r="R84" i="31" s="1"/>
  <c r="P45" i="31"/>
  <c r="Q45" i="31" s="1"/>
  <c r="R45" i="31" s="1"/>
  <c r="P50" i="31"/>
  <c r="Q50" i="31" s="1"/>
  <c r="R50" i="31" s="1"/>
  <c r="P75" i="31"/>
  <c r="Q75" i="31" s="1"/>
  <c r="R75" i="31" s="1"/>
  <c r="P87" i="31"/>
  <c r="Q87" i="31" s="1"/>
  <c r="R87" i="31" s="1"/>
  <c r="P57" i="31"/>
  <c r="Q57" i="31" s="1"/>
  <c r="R57" i="31" s="1"/>
  <c r="P47" i="31"/>
  <c r="Q47" i="31" s="1"/>
  <c r="R47" i="31" s="1"/>
  <c r="P59" i="31"/>
  <c r="Q59" i="31" s="1"/>
  <c r="R59" i="31" s="1"/>
  <c r="P67" i="31"/>
  <c r="Q67" i="31" s="1"/>
  <c r="R67" i="31" s="1"/>
  <c r="P35" i="31"/>
  <c r="Q35" i="31" s="1"/>
  <c r="R35" i="31" s="1"/>
  <c r="P40" i="31"/>
  <c r="Q40" i="31" s="1"/>
  <c r="R40" i="31" s="1"/>
  <c r="P53" i="31"/>
  <c r="Q53" i="31" s="1"/>
  <c r="R53" i="31" s="1"/>
  <c r="P71" i="31"/>
  <c r="Q71" i="31" s="1"/>
  <c r="R71" i="31" s="1"/>
  <c r="P72" i="31"/>
  <c r="Q72" i="31" s="1"/>
  <c r="R72" i="31" s="1"/>
  <c r="P73" i="31"/>
  <c r="Q73" i="31" s="1"/>
  <c r="R73" i="31" s="1"/>
  <c r="P74" i="31"/>
  <c r="Q74" i="31" s="1"/>
  <c r="R74" i="31" s="1"/>
  <c r="P77" i="31"/>
  <c r="Q77" i="31" s="1"/>
  <c r="R77" i="31" s="1"/>
  <c r="P80" i="31"/>
  <c r="Q80" i="31" s="1"/>
  <c r="R80" i="31" s="1"/>
  <c r="P83" i="31"/>
  <c r="Q83" i="31" s="1"/>
  <c r="R83" i="31" s="1"/>
  <c r="P86" i="31"/>
  <c r="Q86" i="31" s="1"/>
  <c r="R86" i="31" s="1"/>
  <c r="P89" i="31"/>
  <c r="Q89" i="31" s="1"/>
  <c r="R89" i="31" s="1"/>
  <c r="P44" i="31"/>
  <c r="Q44" i="31" s="1"/>
  <c r="R44" i="31" s="1"/>
  <c r="P56" i="31"/>
  <c r="Q56" i="31" s="1"/>
  <c r="R56" i="31" s="1"/>
  <c r="N122" i="30"/>
  <c r="R122" i="30" s="1"/>
  <c r="N133" i="30"/>
  <c r="R133" i="30" s="1"/>
  <c r="V133" i="30" s="1"/>
  <c r="N134" i="30"/>
  <c r="R134" i="30" s="1"/>
  <c r="V134" i="30" s="1"/>
  <c r="N126" i="29"/>
  <c r="N114" i="29"/>
  <c r="R114" i="29" s="1"/>
  <c r="V114" i="29" s="1"/>
  <c r="Z123" i="29" s="1"/>
  <c r="N115" i="29"/>
  <c r="R115" i="29" s="1"/>
  <c r="V115" i="29" s="1"/>
  <c r="N124" i="29"/>
  <c r="R124" i="29" s="1"/>
  <c r="K59" i="29"/>
  <c r="K60" i="29"/>
  <c r="K71" i="29"/>
  <c r="K72" i="29"/>
  <c r="K92" i="29"/>
  <c r="K93" i="29"/>
  <c r="K101" i="29"/>
  <c r="K102" i="29"/>
  <c r="K62" i="29"/>
  <c r="K64" i="29"/>
  <c r="K84" i="29"/>
  <c r="K95" i="29"/>
  <c r="K97" i="29"/>
  <c r="H59" i="29"/>
  <c r="H60" i="29"/>
  <c r="H61" i="29"/>
  <c r="K68" i="29"/>
  <c r="K69" i="29"/>
  <c r="H71" i="29"/>
  <c r="H72" i="29"/>
  <c r="H73" i="29"/>
  <c r="K89" i="29"/>
  <c r="K90" i="29"/>
  <c r="H92" i="29"/>
  <c r="H93" i="29"/>
  <c r="H94" i="29"/>
  <c r="H101" i="29"/>
  <c r="H102" i="29"/>
  <c r="H103" i="29"/>
  <c r="K63" i="29"/>
  <c r="K83" i="29"/>
  <c r="K85" i="29"/>
  <c r="K96" i="29"/>
  <c r="K104" i="29"/>
  <c r="K105" i="29"/>
  <c r="K106" i="29"/>
  <c r="N79" i="29"/>
  <c r="I59" i="29"/>
  <c r="I60" i="29"/>
  <c r="J62" i="29"/>
  <c r="J63" i="29"/>
  <c r="K65" i="29"/>
  <c r="K66" i="29"/>
  <c r="H68" i="29"/>
  <c r="H69" i="29"/>
  <c r="I71" i="29"/>
  <c r="I72" i="29"/>
  <c r="J83" i="29"/>
  <c r="J84" i="29"/>
  <c r="K86" i="29"/>
  <c r="K87" i="29"/>
  <c r="H89" i="29"/>
  <c r="H90" i="29"/>
  <c r="I92" i="29"/>
  <c r="I93" i="29"/>
  <c r="J95" i="29"/>
  <c r="J96" i="29"/>
  <c r="H98" i="29"/>
  <c r="H99" i="29"/>
  <c r="I101" i="29"/>
  <c r="I102" i="29"/>
  <c r="J104" i="29"/>
  <c r="J105" i="29"/>
  <c r="K107" i="29"/>
  <c r="K108" i="29"/>
  <c r="R79" i="30"/>
  <c r="V79" i="30" s="1"/>
  <c r="R26" i="30"/>
  <c r="V26" i="30" s="1"/>
  <c r="K11" i="30"/>
  <c r="K12" i="30"/>
  <c r="K38" i="30"/>
  <c r="K39" i="30"/>
  <c r="K47" i="30"/>
  <c r="K48" i="30"/>
  <c r="K14" i="30"/>
  <c r="K15" i="30"/>
  <c r="K16" i="30"/>
  <c r="K30" i="30"/>
  <c r="K41" i="30"/>
  <c r="K43" i="30"/>
  <c r="K52" i="30"/>
  <c r="AD6" i="30"/>
  <c r="J5" i="30"/>
  <c r="J6" i="30"/>
  <c r="J7" i="30"/>
  <c r="N7" i="30" s="1"/>
  <c r="R7" i="30" s="1"/>
  <c r="V7" i="30" s="1"/>
  <c r="K8" i="30"/>
  <c r="K9" i="30"/>
  <c r="H11" i="30"/>
  <c r="H12" i="30"/>
  <c r="H13" i="30"/>
  <c r="H18" i="30"/>
  <c r="H19" i="30"/>
  <c r="K35" i="30"/>
  <c r="K36" i="30"/>
  <c r="H38" i="30"/>
  <c r="H39" i="30"/>
  <c r="H40" i="30"/>
  <c r="H47" i="30"/>
  <c r="H48" i="30"/>
  <c r="H49" i="30"/>
  <c r="K29" i="30"/>
  <c r="K31" i="30"/>
  <c r="K42" i="30"/>
  <c r="K50" i="30"/>
  <c r="K51" i="30"/>
  <c r="K5" i="30"/>
  <c r="K6" i="30"/>
  <c r="H8" i="30"/>
  <c r="H9" i="30"/>
  <c r="I11" i="30"/>
  <c r="I12" i="30"/>
  <c r="J14" i="30"/>
  <c r="J15" i="30"/>
  <c r="N15" i="30" s="1"/>
  <c r="R15" i="30" s="1"/>
  <c r="V15" i="30" s="1"/>
  <c r="I18" i="30"/>
  <c r="J29" i="30"/>
  <c r="J30" i="30"/>
  <c r="K32" i="30"/>
  <c r="K33" i="30"/>
  <c r="H35" i="30"/>
  <c r="H36" i="30"/>
  <c r="I38" i="30"/>
  <c r="I39" i="30"/>
  <c r="J41" i="30"/>
  <c r="J42" i="30"/>
  <c r="H44" i="30"/>
  <c r="H45" i="30"/>
  <c r="I47" i="30"/>
  <c r="I48" i="30"/>
  <c r="J50" i="30"/>
  <c r="N50" i="30" s="1"/>
  <c r="R50" i="30" s="1"/>
  <c r="V50" i="30" s="1"/>
  <c r="J51" i="30"/>
  <c r="K53" i="30"/>
  <c r="K54" i="30"/>
  <c r="R136" i="29"/>
  <c r="V136" i="29" s="1"/>
  <c r="R126" i="29"/>
  <c r="V126" i="29" s="1"/>
  <c r="R28" i="29"/>
  <c r="V28" i="29" s="1"/>
  <c r="AD7" i="29"/>
  <c r="D14" i="29"/>
  <c r="D17" i="29" s="1"/>
  <c r="D20" i="29" s="1"/>
  <c r="D23" i="29" s="1"/>
  <c r="D26" i="29" s="1"/>
  <c r="D29" i="29" s="1"/>
  <c r="D32" i="29" s="1"/>
  <c r="D35" i="29" s="1"/>
  <c r="D38" i="29" s="1"/>
  <c r="D41" i="29" s="1"/>
  <c r="D44" i="29" s="1"/>
  <c r="D47" i="29" s="1"/>
  <c r="D50" i="29" s="1"/>
  <c r="D53" i="29" s="1"/>
  <c r="K14" i="29"/>
  <c r="K16" i="29"/>
  <c r="K35" i="29"/>
  <c r="K37" i="29"/>
  <c r="N24" i="29"/>
  <c r="R24" i="29" s="1"/>
  <c r="V24" i="29" s="1"/>
  <c r="J5" i="29"/>
  <c r="J6" i="29"/>
  <c r="J7" i="29"/>
  <c r="K8" i="29"/>
  <c r="K9" i="29"/>
  <c r="H11" i="29"/>
  <c r="H12" i="29"/>
  <c r="H13" i="29"/>
  <c r="I14" i="29"/>
  <c r="I15" i="29"/>
  <c r="J17" i="29"/>
  <c r="J18" i="29"/>
  <c r="J19" i="29"/>
  <c r="H20" i="29"/>
  <c r="H21" i="29"/>
  <c r="H22" i="29"/>
  <c r="K29" i="29"/>
  <c r="K30" i="29"/>
  <c r="H32" i="29"/>
  <c r="H33" i="29"/>
  <c r="H34" i="29"/>
  <c r="I35" i="29"/>
  <c r="I36" i="29"/>
  <c r="J39" i="29"/>
  <c r="J40" i="29"/>
  <c r="K41" i="29"/>
  <c r="K42" i="29"/>
  <c r="I44" i="29"/>
  <c r="I45" i="29"/>
  <c r="I46" i="29"/>
  <c r="K50" i="29"/>
  <c r="K51" i="29"/>
  <c r="H53" i="29"/>
  <c r="H54" i="29"/>
  <c r="H55" i="29"/>
  <c r="K15" i="29"/>
  <c r="AD6" i="29"/>
  <c r="N25" i="29"/>
  <c r="R25" i="29" s="1"/>
  <c r="V25" i="29" s="1"/>
  <c r="K5" i="29"/>
  <c r="K6" i="29"/>
  <c r="H8" i="29"/>
  <c r="H9" i="29"/>
  <c r="I11" i="29"/>
  <c r="I12" i="29"/>
  <c r="J14" i="29"/>
  <c r="J15" i="29"/>
  <c r="K17" i="29"/>
  <c r="K18" i="29"/>
  <c r="I20" i="29"/>
  <c r="I21" i="29"/>
  <c r="H29" i="29"/>
  <c r="H30" i="29"/>
  <c r="I32" i="29"/>
  <c r="I33" i="29"/>
  <c r="J35" i="29"/>
  <c r="J36" i="29"/>
  <c r="J37" i="29"/>
  <c r="K38" i="29"/>
  <c r="K39" i="29"/>
  <c r="H41" i="29"/>
  <c r="H42" i="29"/>
  <c r="K47" i="29"/>
  <c r="K48" i="29"/>
  <c r="H50" i="29"/>
  <c r="H51" i="29"/>
  <c r="I53" i="29"/>
  <c r="I54" i="29"/>
  <c r="K11" i="29"/>
  <c r="K12" i="29"/>
  <c r="K32" i="29"/>
  <c r="K33" i="29"/>
  <c r="H44" i="29"/>
  <c r="H45" i="29"/>
  <c r="K53" i="29"/>
  <c r="K54" i="29"/>
  <c r="Z62" i="28"/>
  <c r="D63" i="28"/>
  <c r="D64" i="28" s="1"/>
  <c r="D65" i="28" s="1"/>
  <c r="D66" i="28" s="1"/>
  <c r="D67" i="28" s="1"/>
  <c r="D68" i="28" s="1"/>
  <c r="D69" i="28" s="1"/>
  <c r="D70" i="28" s="1"/>
  <c r="D71" i="28" s="1"/>
  <c r="D72" i="28" s="1"/>
  <c r="D73" i="28" s="1"/>
  <c r="D74" i="28" s="1"/>
  <c r="D75" i="28" s="1"/>
  <c r="D76" i="28" s="1"/>
  <c r="U51" i="27"/>
  <c r="U50" i="27"/>
  <c r="O52" i="27"/>
  <c r="X60" i="27"/>
  <c r="D61" i="27"/>
  <c r="D62" i="27" s="1"/>
  <c r="D63" i="27" s="1"/>
  <c r="D64" i="27" s="1"/>
  <c r="D65" i="27" s="1"/>
  <c r="D66" i="27" s="1"/>
  <c r="D67" i="27" s="1"/>
  <c r="D68" i="27" s="1"/>
  <c r="D69" i="27" s="1"/>
  <c r="D70" i="27" s="1"/>
  <c r="D71" i="27" s="1"/>
  <c r="D72" i="27" s="1"/>
  <c r="D73" i="27" s="1"/>
  <c r="D74" i="27" s="1"/>
  <c r="D75" i="27" s="1"/>
  <c r="D76" i="27" s="1"/>
  <c r="Y52" i="28"/>
  <c r="S53" i="28"/>
  <c r="L5" i="28"/>
  <c r="M59" i="28"/>
  <c r="U26" i="28"/>
  <c r="Z52" i="28"/>
  <c r="P52" i="28"/>
  <c r="Q52" i="28" s="1"/>
  <c r="D35" i="28"/>
  <c r="D36" i="28" s="1"/>
  <c r="D37" i="28" s="1"/>
  <c r="D38" i="28" s="1"/>
  <c r="D39" i="28" s="1"/>
  <c r="D40" i="28" s="1"/>
  <c r="D41" i="28" s="1"/>
  <c r="D42" i="28" s="1"/>
  <c r="D43" i="28" s="1"/>
  <c r="D44" i="28" s="1"/>
  <c r="D45" i="28" s="1"/>
  <c r="D46" i="28" s="1"/>
  <c r="D47" i="28" s="1"/>
  <c r="D48" i="28" s="1"/>
  <c r="D49" i="28" s="1"/>
  <c r="D50" i="28" s="1"/>
  <c r="D51" i="28" s="1"/>
  <c r="T52" i="28" s="1"/>
  <c r="Y34" i="28"/>
  <c r="M52" i="28"/>
  <c r="R52" i="28"/>
  <c r="S52" i="28"/>
  <c r="X53" i="28"/>
  <c r="L52" i="28"/>
  <c r="X52" i="28"/>
  <c r="M25" i="28"/>
  <c r="X25" i="28"/>
  <c r="N25" i="28"/>
  <c r="Y63" i="28"/>
  <c r="Q63" i="28"/>
  <c r="M24" i="28"/>
  <c r="Y25" i="28"/>
  <c r="O32" i="28"/>
  <c r="T32" i="28" s="1"/>
  <c r="Z35" i="28"/>
  <c r="L35" i="28"/>
  <c r="Z25" i="28"/>
  <c r="Z59" i="28"/>
  <c r="M18" i="28"/>
  <c r="M59" i="27"/>
  <c r="Y26" i="27"/>
  <c r="M52" i="27"/>
  <c r="X52" i="27"/>
  <c r="N52" i="27"/>
  <c r="L52" i="27"/>
  <c r="O32" i="27"/>
  <c r="T32" i="27" s="1"/>
  <c r="P52" i="27"/>
  <c r="U52" i="27" s="1"/>
  <c r="Z32" i="27"/>
  <c r="Z8" i="28"/>
  <c r="D9" i="28"/>
  <c r="D10" i="28" s="1"/>
  <c r="D11" i="28" s="1"/>
  <c r="D12" i="28" s="1"/>
  <c r="D13" i="28" s="1"/>
  <c r="D14" i="28" s="1"/>
  <c r="D15" i="28" s="1"/>
  <c r="D16" i="28" s="1"/>
  <c r="D17" i="28" s="1"/>
  <c r="D18" i="28" s="1"/>
  <c r="D19" i="28" s="1"/>
  <c r="D20" i="28" s="1"/>
  <c r="D21" i="28" s="1"/>
  <c r="D22" i="28" s="1"/>
  <c r="D23" i="28" s="1"/>
  <c r="D24" i="28" s="1"/>
  <c r="T25" i="28" s="1"/>
  <c r="Y6" i="28"/>
  <c r="L25" i="28"/>
  <c r="M8" i="28"/>
  <c r="N66" i="28"/>
  <c r="L66" i="28"/>
  <c r="M14" i="28"/>
  <c r="N45" i="28"/>
  <c r="L45" i="28"/>
  <c r="N58" i="28"/>
  <c r="S58" i="28" s="1"/>
  <c r="Z60" i="28"/>
  <c r="Y61" i="28"/>
  <c r="O61" i="28"/>
  <c r="T61" i="28" s="1"/>
  <c r="N61" i="28"/>
  <c r="L69" i="28"/>
  <c r="M7" i="28"/>
  <c r="N7" i="28"/>
  <c r="S7" i="28" s="1"/>
  <c r="L9" i="28"/>
  <c r="T35" i="28"/>
  <c r="O58" i="28"/>
  <c r="T58" i="28" s="1"/>
  <c r="T63" i="28"/>
  <c r="L68" i="28"/>
  <c r="M33" i="28"/>
  <c r="Z33" i="28"/>
  <c r="M37" i="28"/>
  <c r="N59" i="28"/>
  <c r="S59" i="28" s="1"/>
  <c r="L61" i="28"/>
  <c r="L65" i="28"/>
  <c r="T26" i="27"/>
  <c r="U26" i="27"/>
  <c r="Q26" i="27"/>
  <c r="Y58" i="27"/>
  <c r="R26" i="27"/>
  <c r="Z26" i="27"/>
  <c r="X26" i="27"/>
  <c r="Z6" i="27"/>
  <c r="X34" i="27"/>
  <c r="L42" i="27"/>
  <c r="L45" i="27"/>
  <c r="Y33" i="27"/>
  <c r="X58" i="27"/>
  <c r="L26" i="27"/>
  <c r="M9" i="27"/>
  <c r="M57" i="27"/>
  <c r="L63" i="27"/>
  <c r="M26" i="27"/>
  <c r="U11" i="27"/>
  <c r="N41" i="27"/>
  <c r="L41" i="27"/>
  <c r="Y8" i="27"/>
  <c r="L13" i="27"/>
  <c r="Y36" i="27"/>
  <c r="T63" i="27"/>
  <c r="L5" i="27"/>
  <c r="U6" i="27"/>
  <c r="Y7" i="27"/>
  <c r="Z8" i="27"/>
  <c r="N9" i="27"/>
  <c r="Q9" i="27" s="1"/>
  <c r="U10" i="27"/>
  <c r="L12" i="27"/>
  <c r="M33" i="27"/>
  <c r="Z33" i="27"/>
  <c r="L60" i="27"/>
  <c r="Y62" i="27"/>
  <c r="M18" i="27"/>
  <c r="X32" i="27"/>
  <c r="M6" i="27"/>
  <c r="Z7" i="27"/>
  <c r="L31" i="27"/>
  <c r="Z58" i="27"/>
  <c r="Y59" i="27"/>
  <c r="L35" i="27"/>
  <c r="T22" i="32"/>
  <c r="U22" i="32" s="1"/>
  <c r="Y9" i="32" s="1"/>
  <c r="S22" i="32"/>
  <c r="X9" i="32" s="1"/>
  <c r="T28" i="32"/>
  <c r="U28" i="32" s="1"/>
  <c r="Y11" i="32" s="1"/>
  <c r="X11" i="32"/>
  <c r="P13" i="32"/>
  <c r="Q13" i="32" s="1"/>
  <c r="R13" i="32" s="1"/>
  <c r="S13" i="32" s="1"/>
  <c r="X6" i="32" s="1"/>
  <c r="P18" i="32"/>
  <c r="Q18" i="32" s="1"/>
  <c r="R18" i="32" s="1"/>
  <c r="P19" i="32"/>
  <c r="Q19" i="32" s="1"/>
  <c r="R19" i="32" s="1"/>
  <c r="P24" i="32"/>
  <c r="Q24" i="32" s="1"/>
  <c r="R24" i="32" s="1"/>
  <c r="P25" i="32"/>
  <c r="Q25" i="32" s="1"/>
  <c r="R25" i="32" s="1"/>
  <c r="P30" i="32"/>
  <c r="Q30" i="32" s="1"/>
  <c r="R30" i="32" s="1"/>
  <c r="P31" i="32"/>
  <c r="Q31" i="32" s="1"/>
  <c r="R31" i="32" s="1"/>
  <c r="P17" i="32"/>
  <c r="Q17" i="32" s="1"/>
  <c r="R17" i="32" s="1"/>
  <c r="P23" i="32"/>
  <c r="Q23" i="32" s="1"/>
  <c r="R23" i="32" s="1"/>
  <c r="P29" i="32"/>
  <c r="Q29" i="32" s="1"/>
  <c r="R29" i="32" s="1"/>
  <c r="P56" i="32"/>
  <c r="Q56" i="32" s="1"/>
  <c r="R56" i="32" s="1"/>
  <c r="P58" i="32"/>
  <c r="Q58" i="32" s="1"/>
  <c r="R58" i="32" s="1"/>
  <c r="P82" i="32"/>
  <c r="Q82" i="32" s="1"/>
  <c r="R82" i="32" s="1"/>
  <c r="P8" i="32"/>
  <c r="Q8" i="32" s="1"/>
  <c r="R8" i="32" s="1"/>
  <c r="P10" i="32"/>
  <c r="Q10" i="32" s="1"/>
  <c r="R10" i="32" s="1"/>
  <c r="P46" i="32"/>
  <c r="Q46" i="32" s="1"/>
  <c r="R46" i="32" s="1"/>
  <c r="P49" i="32"/>
  <c r="Q49" i="32" s="1"/>
  <c r="R49" i="32" s="1"/>
  <c r="P53" i="32"/>
  <c r="Q53" i="32" s="1"/>
  <c r="R53" i="32" s="1"/>
  <c r="P55" i="32"/>
  <c r="Q55" i="32" s="1"/>
  <c r="R55" i="32" s="1"/>
  <c r="P50" i="32"/>
  <c r="Q50" i="32" s="1"/>
  <c r="R50" i="32" s="1"/>
  <c r="P52" i="32"/>
  <c r="Q52" i="32" s="1"/>
  <c r="R52" i="32" s="1"/>
  <c r="P59" i="32"/>
  <c r="Q59" i="32" s="1"/>
  <c r="R59" i="32" s="1"/>
  <c r="P35" i="32"/>
  <c r="Q35" i="32" s="1"/>
  <c r="R35" i="32" s="1"/>
  <c r="P37" i="32"/>
  <c r="Q37" i="32" s="1"/>
  <c r="R37" i="32" s="1"/>
  <c r="P71" i="32"/>
  <c r="Q71" i="32" s="1"/>
  <c r="R71" i="32" s="1"/>
  <c r="P72" i="32"/>
  <c r="Q72" i="32" s="1"/>
  <c r="R72" i="32" s="1"/>
  <c r="P74" i="32"/>
  <c r="Q74" i="32" s="1"/>
  <c r="R74" i="32" s="1"/>
  <c r="P75" i="32"/>
  <c r="Q75" i="32" s="1"/>
  <c r="R75" i="32" s="1"/>
  <c r="P86" i="32"/>
  <c r="Q86" i="32" s="1"/>
  <c r="R86" i="32" s="1"/>
  <c r="P87" i="32"/>
  <c r="Q87" i="32" s="1"/>
  <c r="R87" i="32" s="1"/>
  <c r="P77" i="32"/>
  <c r="Q77" i="32" s="1"/>
  <c r="R77" i="32" s="1"/>
  <c r="P78" i="32"/>
  <c r="Q78" i="32" s="1"/>
  <c r="R78" i="32" s="1"/>
  <c r="P89" i="32"/>
  <c r="Q89" i="32" s="1"/>
  <c r="R89" i="32" s="1"/>
  <c r="P90" i="32"/>
  <c r="Q90" i="32" s="1"/>
  <c r="R90" i="32" s="1"/>
  <c r="P80" i="32"/>
  <c r="Q80" i="32" s="1"/>
  <c r="R80" i="32" s="1"/>
  <c r="P81" i="32"/>
  <c r="Q81" i="32" s="1"/>
  <c r="R81" i="32" s="1"/>
  <c r="P66" i="32"/>
  <c r="Q66" i="32" s="1"/>
  <c r="R66" i="32" s="1"/>
  <c r="P70" i="32"/>
  <c r="Q70" i="32" s="1"/>
  <c r="R70" i="32" s="1"/>
  <c r="S16" i="31"/>
  <c r="X7" i="31" s="1"/>
  <c r="T16" i="31"/>
  <c r="U16" i="31" s="1"/>
  <c r="Y7" i="31" s="1"/>
  <c r="T28" i="31"/>
  <c r="S28" i="31"/>
  <c r="X11" i="31" s="1"/>
  <c r="T31" i="31"/>
  <c r="U31" i="31" s="1"/>
  <c r="Y12" i="31" s="1"/>
  <c r="S31" i="31"/>
  <c r="X12" i="31" s="1"/>
  <c r="S22" i="31"/>
  <c r="X9" i="31" s="1"/>
  <c r="T22" i="31"/>
  <c r="U22" i="31" s="1"/>
  <c r="Y9" i="31" s="1"/>
  <c r="P11" i="31"/>
  <c r="Q11" i="31" s="1"/>
  <c r="R11" i="31" s="1"/>
  <c r="P19" i="31"/>
  <c r="Q19" i="31" s="1"/>
  <c r="R19" i="31" s="1"/>
  <c r="P25" i="31"/>
  <c r="Q25" i="31" s="1"/>
  <c r="R25" i="31" s="1"/>
  <c r="P13" i="31"/>
  <c r="Q13" i="31" s="1"/>
  <c r="R13" i="31" s="1"/>
  <c r="P18" i="31"/>
  <c r="Q18" i="31" s="1"/>
  <c r="R18" i="31" s="1"/>
  <c r="P24" i="31"/>
  <c r="Q24" i="31" s="1"/>
  <c r="R24" i="31" s="1"/>
  <c r="P6" i="31"/>
  <c r="Q6" i="31" s="1"/>
  <c r="R6" i="31" s="1"/>
  <c r="P12" i="31"/>
  <c r="Q12" i="31" s="1"/>
  <c r="R12" i="31" s="1"/>
  <c r="P10" i="31"/>
  <c r="Q10" i="31" s="1"/>
  <c r="R10" i="31" s="1"/>
  <c r="P41" i="31"/>
  <c r="Q41" i="31" s="1"/>
  <c r="R41" i="31" s="1"/>
  <c r="P48" i="31"/>
  <c r="Q48" i="31" s="1"/>
  <c r="R48" i="31" s="1"/>
  <c r="P54" i="31"/>
  <c r="Q54" i="31" s="1"/>
  <c r="R54" i="31" s="1"/>
  <c r="P60" i="31"/>
  <c r="Q60" i="31" s="1"/>
  <c r="R60" i="31" s="1"/>
  <c r="P46" i="31"/>
  <c r="Q46" i="31" s="1"/>
  <c r="R46" i="31" s="1"/>
  <c r="P52" i="31"/>
  <c r="Q52" i="31" s="1"/>
  <c r="R52" i="31" s="1"/>
  <c r="P58" i="31"/>
  <c r="Q58" i="31" s="1"/>
  <c r="R58" i="31" s="1"/>
  <c r="P8" i="31"/>
  <c r="Q8" i="31" s="1"/>
  <c r="R8" i="31" s="1"/>
  <c r="P36" i="31"/>
  <c r="Q36" i="31" s="1"/>
  <c r="R36" i="31" s="1"/>
  <c r="P37" i="31"/>
  <c r="Q37" i="31" s="1"/>
  <c r="R37" i="31" s="1"/>
  <c r="P42" i="31"/>
  <c r="Q42" i="31" s="1"/>
  <c r="R42" i="31" s="1"/>
  <c r="P43" i="31"/>
  <c r="Q43" i="31" s="1"/>
  <c r="R43" i="31" s="1"/>
  <c r="P49" i="31"/>
  <c r="Q49" i="31" s="1"/>
  <c r="R49" i="31" s="1"/>
  <c r="P55" i="31"/>
  <c r="Q55" i="31" s="1"/>
  <c r="R55" i="31" s="1"/>
  <c r="P61" i="31"/>
  <c r="Q61" i="31" s="1"/>
  <c r="R61" i="31" s="1"/>
  <c r="P76" i="31"/>
  <c r="Q76" i="31" s="1"/>
  <c r="R76" i="31" s="1"/>
  <c r="S76" i="31" s="1"/>
  <c r="X67" i="31" s="1"/>
  <c r="P79" i="31"/>
  <c r="Q79" i="31" s="1"/>
  <c r="R79" i="31" s="1"/>
  <c r="P82" i="31"/>
  <c r="Q82" i="31" s="1"/>
  <c r="R82" i="31" s="1"/>
  <c r="P85" i="31"/>
  <c r="Q85" i="31" s="1"/>
  <c r="R85" i="31" s="1"/>
  <c r="P88" i="31"/>
  <c r="Q88" i="31" s="1"/>
  <c r="R88" i="31" s="1"/>
  <c r="P91" i="31"/>
  <c r="Q91" i="31" s="1"/>
  <c r="R91" i="31" s="1"/>
  <c r="P39" i="31"/>
  <c r="Q39" i="31" s="1"/>
  <c r="R39" i="31" s="1"/>
  <c r="P38" i="31"/>
  <c r="Q38" i="31" s="1"/>
  <c r="R38" i="31" s="1"/>
  <c r="P65" i="31"/>
  <c r="Q65" i="31" s="1"/>
  <c r="R65" i="31" s="1"/>
  <c r="P24" i="30"/>
  <c r="N44" i="30"/>
  <c r="R44" i="30" s="1"/>
  <c r="R60" i="30"/>
  <c r="V60" i="30" s="1"/>
  <c r="AD7" i="30"/>
  <c r="P17" i="30"/>
  <c r="N19" i="30"/>
  <c r="P19" i="30"/>
  <c r="N25" i="30"/>
  <c r="R25" i="30" s="1"/>
  <c r="N32" i="30"/>
  <c r="R32" i="30" s="1"/>
  <c r="AD61" i="30"/>
  <c r="N73" i="30"/>
  <c r="R73" i="30" s="1"/>
  <c r="V73" i="30" s="1"/>
  <c r="N82" i="30"/>
  <c r="R82" i="30" s="1"/>
  <c r="V82" i="30" s="1"/>
  <c r="N14" i="30"/>
  <c r="R14" i="30" s="1"/>
  <c r="N24" i="30"/>
  <c r="N28" i="30"/>
  <c r="R28" i="30" s="1"/>
  <c r="V28" i="30" s="1"/>
  <c r="P77" i="30"/>
  <c r="P123" i="30"/>
  <c r="P14" i="30"/>
  <c r="P16" i="30"/>
  <c r="P20" i="30"/>
  <c r="P22" i="30"/>
  <c r="P25" i="30"/>
  <c r="N40" i="30"/>
  <c r="R40" i="30" s="1"/>
  <c r="V40" i="30" s="1"/>
  <c r="N46" i="30"/>
  <c r="R46" i="30" s="1"/>
  <c r="V46" i="30" s="1"/>
  <c r="N49" i="30"/>
  <c r="R49" i="30" s="1"/>
  <c r="V49" i="30" s="1"/>
  <c r="N55" i="30"/>
  <c r="R55" i="30" s="1"/>
  <c r="V55" i="30" s="1"/>
  <c r="N72" i="30"/>
  <c r="P74" i="30"/>
  <c r="V122" i="30"/>
  <c r="N106" i="30"/>
  <c r="R106" i="30" s="1"/>
  <c r="V106" i="30" s="1"/>
  <c r="N12" i="30"/>
  <c r="R12" i="30" s="1"/>
  <c r="V12" i="30" s="1"/>
  <c r="N38" i="30"/>
  <c r="R38" i="30" s="1"/>
  <c r="N53" i="30"/>
  <c r="R53" i="30" s="1"/>
  <c r="P68" i="30"/>
  <c r="V68" i="30" s="1"/>
  <c r="N71" i="30"/>
  <c r="R71" i="30" s="1"/>
  <c r="P72" i="30"/>
  <c r="N113" i="30"/>
  <c r="R113" i="30" s="1"/>
  <c r="N114" i="30"/>
  <c r="R114" i="30" s="1"/>
  <c r="V114" i="30" s="1"/>
  <c r="Z117" i="30" s="1"/>
  <c r="N69" i="30"/>
  <c r="R69" i="30" s="1"/>
  <c r="V69" i="30" s="1"/>
  <c r="N78" i="30"/>
  <c r="R78" i="30" s="1"/>
  <c r="V78" i="30" s="1"/>
  <c r="N81" i="30"/>
  <c r="R81" i="30" s="1"/>
  <c r="V81" i="30" s="1"/>
  <c r="N104" i="30"/>
  <c r="R104" i="30" s="1"/>
  <c r="N109" i="30"/>
  <c r="R109" i="30" s="1"/>
  <c r="V109" i="30" s="1"/>
  <c r="N124" i="30"/>
  <c r="R124" i="30" s="1"/>
  <c r="V124" i="30" s="1"/>
  <c r="N88" i="30"/>
  <c r="R88" i="30" s="1"/>
  <c r="V88" i="30" s="1"/>
  <c r="AD117" i="30"/>
  <c r="N126" i="30"/>
  <c r="R126" i="30" s="1"/>
  <c r="P126" i="30"/>
  <c r="N84" i="30"/>
  <c r="R84" i="30" s="1"/>
  <c r="V84" i="30" s="1"/>
  <c r="N85" i="30"/>
  <c r="R85" i="30" s="1"/>
  <c r="V85" i="30" s="1"/>
  <c r="N107" i="30"/>
  <c r="R107" i="30" s="1"/>
  <c r="AD116" i="30"/>
  <c r="N125" i="30"/>
  <c r="R125" i="30" s="1"/>
  <c r="N127" i="30"/>
  <c r="R127" i="30" s="1"/>
  <c r="V127" i="30" s="1"/>
  <c r="N83" i="30"/>
  <c r="R83" i="30" s="1"/>
  <c r="N100" i="30"/>
  <c r="R100" i="30" s="1"/>
  <c r="V100" i="30" s="1"/>
  <c r="N120" i="30"/>
  <c r="R120" i="30" s="1"/>
  <c r="V120" i="30" s="1"/>
  <c r="N123" i="30"/>
  <c r="P131" i="30"/>
  <c r="R135" i="30"/>
  <c r="V135" i="30" s="1"/>
  <c r="N136" i="30"/>
  <c r="R136" i="30" s="1"/>
  <c r="V136" i="30" s="1"/>
  <c r="N99" i="30"/>
  <c r="R99" i="30" s="1"/>
  <c r="V99" i="30" s="1"/>
  <c r="N118" i="30"/>
  <c r="R118" i="30" s="1"/>
  <c r="V118" i="30" s="1"/>
  <c r="N128" i="30"/>
  <c r="R128" i="30" s="1"/>
  <c r="N131" i="30"/>
  <c r="N132" i="30"/>
  <c r="R132" i="30" s="1"/>
  <c r="V132" i="30" s="1"/>
  <c r="N163" i="30"/>
  <c r="R163" i="30" s="1"/>
  <c r="V163" i="30" s="1"/>
  <c r="N138" i="30"/>
  <c r="R138" i="30" s="1"/>
  <c r="V138" i="30" s="1"/>
  <c r="N139" i="30"/>
  <c r="R139" i="30" s="1"/>
  <c r="V139" i="30" s="1"/>
  <c r="N148" i="30"/>
  <c r="R148" i="30" s="1"/>
  <c r="V148" i="30" s="1"/>
  <c r="N161" i="30"/>
  <c r="R161" i="30" s="1"/>
  <c r="V26" i="29"/>
  <c r="N23" i="29"/>
  <c r="R23" i="29" s="1"/>
  <c r="P18" i="29"/>
  <c r="AD61" i="29"/>
  <c r="N8" i="29"/>
  <c r="R8" i="29" s="1"/>
  <c r="P15" i="29"/>
  <c r="P21" i="29"/>
  <c r="P23" i="29"/>
  <c r="P69" i="29"/>
  <c r="N73" i="29"/>
  <c r="P73" i="29"/>
  <c r="N78" i="29"/>
  <c r="R78" i="29" s="1"/>
  <c r="V78" i="29" s="1"/>
  <c r="AD116" i="29"/>
  <c r="N77" i="29"/>
  <c r="R77" i="29" s="1"/>
  <c r="R79" i="29"/>
  <c r="V79" i="29" s="1"/>
  <c r="N82" i="29"/>
  <c r="R82" i="29" s="1"/>
  <c r="V82" i="29" s="1"/>
  <c r="P124" i="29"/>
  <c r="N80" i="29"/>
  <c r="R80" i="29" s="1"/>
  <c r="N113" i="29"/>
  <c r="R113" i="29" s="1"/>
  <c r="N125" i="29"/>
  <c r="R125" i="29" s="1"/>
  <c r="N122" i="29"/>
  <c r="P122" i="29"/>
  <c r="N127" i="29"/>
  <c r="R127" i="29" s="1"/>
  <c r="V127" i="29" s="1"/>
  <c r="N132" i="29"/>
  <c r="R132" i="29" s="1"/>
  <c r="V132" i="29" s="1"/>
  <c r="N133" i="29"/>
  <c r="R133" i="29" s="1"/>
  <c r="V133" i="29" s="1"/>
  <c r="N135" i="29"/>
  <c r="R135" i="29" s="1"/>
  <c r="V135" i="29" s="1"/>
  <c r="N131" i="29"/>
  <c r="P131" i="29"/>
  <c r="N134" i="29"/>
  <c r="R134" i="29" s="1"/>
  <c r="N128" i="29"/>
  <c r="R128" i="29" s="1"/>
  <c r="N137" i="29"/>
  <c r="R137" i="29" s="1"/>
  <c r="N151" i="29"/>
  <c r="R151" i="29" s="1"/>
  <c r="V151" i="29" s="1"/>
  <c r="N155" i="29"/>
  <c r="R155" i="29" s="1"/>
  <c r="N161" i="29"/>
  <c r="R161" i="29" s="1"/>
  <c r="N148" i="29"/>
  <c r="R148" i="29" s="1"/>
  <c r="V148" i="29" s="1"/>
  <c r="O21" i="28"/>
  <c r="M21" i="28"/>
  <c r="O13" i="28"/>
  <c r="M13" i="28"/>
  <c r="O17" i="28"/>
  <c r="R17" i="28" s="1"/>
  <c r="M17" i="28"/>
  <c r="U8" i="28"/>
  <c r="R15" i="28"/>
  <c r="Q15" i="28"/>
  <c r="L22" i="28"/>
  <c r="M22" i="28"/>
  <c r="N22" i="28"/>
  <c r="L20" i="28"/>
  <c r="N20" i="28"/>
  <c r="M20" i="28"/>
  <c r="T6" i="28"/>
  <c r="R9" i="28"/>
  <c r="Q9" i="28"/>
  <c r="L16" i="28"/>
  <c r="N16" i="28"/>
  <c r="M16" i="28"/>
  <c r="M6" i="28"/>
  <c r="L19" i="28"/>
  <c r="O20" i="28"/>
  <c r="L26" i="28"/>
  <c r="N26" i="28"/>
  <c r="M27" i="28"/>
  <c r="S37" i="28"/>
  <c r="X7" i="28"/>
  <c r="X8" i="28"/>
  <c r="L8" i="28"/>
  <c r="N8" i="28"/>
  <c r="Y8" i="28"/>
  <c r="M9" i="28"/>
  <c r="L10" i="28"/>
  <c r="L14" i="28"/>
  <c r="N14" i="28"/>
  <c r="L18" i="28"/>
  <c r="N18" i="28"/>
  <c r="S33" i="28"/>
  <c r="X34" i="28"/>
  <c r="L34" i="28"/>
  <c r="N34" i="28"/>
  <c r="S35" i="28" s="1"/>
  <c r="R35" i="28"/>
  <c r="Q35" i="28"/>
  <c r="U35" i="28"/>
  <c r="Z38" i="28"/>
  <c r="X37" i="28"/>
  <c r="T36" i="28"/>
  <c r="M39" i="28"/>
  <c r="L40" i="28"/>
  <c r="N40" i="28"/>
  <c r="M41" i="28"/>
  <c r="L42" i="28"/>
  <c r="N42" i="28"/>
  <c r="O43" i="28"/>
  <c r="M43" i="28"/>
  <c r="N5" i="28"/>
  <c r="S6" i="28" s="1"/>
  <c r="Y9" i="28"/>
  <c r="N19" i="28"/>
  <c r="L23" i="28"/>
  <c r="N23" i="28"/>
  <c r="L31" i="28"/>
  <c r="N31" i="28"/>
  <c r="S32" i="28" s="1"/>
  <c r="Z36" i="28"/>
  <c r="P36" i="28"/>
  <c r="U36" i="28" s="1"/>
  <c r="X38" i="28"/>
  <c r="L38" i="28"/>
  <c r="N38" i="28"/>
  <c r="N46" i="28"/>
  <c r="M46" i="28"/>
  <c r="L46" i="28"/>
  <c r="U59" i="28"/>
  <c r="U58" i="28"/>
  <c r="Z7" i="28"/>
  <c r="M12" i="28"/>
  <c r="L21" i="28"/>
  <c r="N21" i="28"/>
  <c r="M23" i="28"/>
  <c r="L24" i="28"/>
  <c r="N24" i="28"/>
  <c r="M26" i="28"/>
  <c r="L27" i="28"/>
  <c r="N27" i="28"/>
  <c r="U34" i="28"/>
  <c r="R36" i="28"/>
  <c r="Q36" i="28"/>
  <c r="S36" i="28"/>
  <c r="Y37" i="28"/>
  <c r="L37" i="28"/>
  <c r="O37" i="28"/>
  <c r="T37" i="28" s="1"/>
  <c r="L44" i="28"/>
  <c r="X6" i="28"/>
  <c r="P10" i="28"/>
  <c r="R10" i="28" s="1"/>
  <c r="O11" i="28"/>
  <c r="L15" i="28"/>
  <c r="O16" i="28"/>
  <c r="P6" i="28"/>
  <c r="U6" i="28" s="1"/>
  <c r="Y7" i="28"/>
  <c r="O7" i="28"/>
  <c r="M10" i="28"/>
  <c r="L11" i="28"/>
  <c r="L13" i="28"/>
  <c r="L17" i="28"/>
  <c r="M5" i="28"/>
  <c r="L6" i="28"/>
  <c r="M11" i="28"/>
  <c r="L12" i="28"/>
  <c r="N12" i="28"/>
  <c r="M15" i="28"/>
  <c r="M19" i="28"/>
  <c r="M31" i="28"/>
  <c r="Z32" i="28"/>
  <c r="P32" i="28"/>
  <c r="U32" i="28" s="1"/>
  <c r="Y33" i="28"/>
  <c r="L33" i="28"/>
  <c r="O33" i="28"/>
  <c r="X35" i="28"/>
  <c r="Z37" i="28"/>
  <c r="M38" i="28"/>
  <c r="L39" i="28"/>
  <c r="N39" i="28"/>
  <c r="M40" i="28"/>
  <c r="L41" i="28"/>
  <c r="N41" i="28"/>
  <c r="M42" i="28"/>
  <c r="N43" i="28"/>
  <c r="L43" i="28"/>
  <c r="L32" i="28"/>
  <c r="X32" i="28"/>
  <c r="Z34" i="28"/>
  <c r="M35" i="28"/>
  <c r="Y35" i="28"/>
  <c r="L36" i="28"/>
  <c r="X36" i="28"/>
  <c r="R44" i="28"/>
  <c r="Q44" i="28"/>
  <c r="M45" i="28"/>
  <c r="R57" i="28"/>
  <c r="Q57" i="28"/>
  <c r="T60" i="28"/>
  <c r="T59" i="28"/>
  <c r="M32" i="28"/>
  <c r="X33" i="28"/>
  <c r="M36" i="28"/>
  <c r="Y36" i="28"/>
  <c r="P43" i="28"/>
  <c r="P45" i="28"/>
  <c r="O46" i="28"/>
  <c r="O47" i="28"/>
  <c r="O48" i="28"/>
  <c r="O49" i="28"/>
  <c r="O50" i="28"/>
  <c r="O53" i="28"/>
  <c r="T53" i="28" s="1"/>
  <c r="X61" i="28"/>
  <c r="Z61" i="28"/>
  <c r="U61" i="28"/>
  <c r="U62" i="28"/>
  <c r="M44" i="28"/>
  <c r="P46" i="28"/>
  <c r="P47" i="28"/>
  <c r="P48" i="28"/>
  <c r="P49" i="28"/>
  <c r="P50" i="28"/>
  <c r="P53" i="28"/>
  <c r="R60" i="28"/>
  <c r="Q60" i="28"/>
  <c r="S61" i="28"/>
  <c r="S60" i="28"/>
  <c r="M58" i="28"/>
  <c r="L59" i="28"/>
  <c r="X59" i="28"/>
  <c r="X62" i="28"/>
  <c r="L62" i="28"/>
  <c r="N62" i="28"/>
  <c r="R63" i="28"/>
  <c r="M63" i="28"/>
  <c r="X63" i="28"/>
  <c r="P64" i="28"/>
  <c r="L64" i="28"/>
  <c r="O67" i="28"/>
  <c r="L71" i="28"/>
  <c r="N71" i="28"/>
  <c r="M71" i="28"/>
  <c r="O72" i="28"/>
  <c r="P73" i="28"/>
  <c r="L75" i="28"/>
  <c r="N75" i="28"/>
  <c r="M75" i="28"/>
  <c r="O76" i="28"/>
  <c r="P77" i="28"/>
  <c r="L47" i="28"/>
  <c r="L48" i="28"/>
  <c r="L49" i="28"/>
  <c r="L50" i="28"/>
  <c r="L51" i="28"/>
  <c r="L53" i="28"/>
  <c r="L57" i="28"/>
  <c r="Z58" i="28"/>
  <c r="AA58" i="28" s="1"/>
  <c r="Q59" i="28"/>
  <c r="Y59" i="28"/>
  <c r="L60" i="28"/>
  <c r="X60" i="28"/>
  <c r="Y62" i="28"/>
  <c r="U63" i="28"/>
  <c r="O68" i="28"/>
  <c r="R68" i="28" s="1"/>
  <c r="L70" i="28"/>
  <c r="O70" i="28"/>
  <c r="O71" i="28"/>
  <c r="P72" i="28"/>
  <c r="L74" i="28"/>
  <c r="N74" i="28"/>
  <c r="M74" i="28"/>
  <c r="O75" i="28"/>
  <c r="P76" i="28"/>
  <c r="L78" i="28"/>
  <c r="N78" i="28"/>
  <c r="M78" i="28"/>
  <c r="M47" i="28"/>
  <c r="M48" i="28"/>
  <c r="M49" i="28"/>
  <c r="M50" i="28"/>
  <c r="M51" i="28"/>
  <c r="M53" i="28"/>
  <c r="M57" i="28"/>
  <c r="R59" i="28"/>
  <c r="M60" i="28"/>
  <c r="U60" i="28"/>
  <c r="Y60" i="28"/>
  <c r="P65" i="28"/>
  <c r="R65" i="28" s="1"/>
  <c r="O69" i="28"/>
  <c r="R69" i="28" s="1"/>
  <c r="P70" i="28"/>
  <c r="P71" i="28"/>
  <c r="L73" i="28"/>
  <c r="N73" i="28"/>
  <c r="M73" i="28"/>
  <c r="O74" i="28"/>
  <c r="P75" i="28"/>
  <c r="L77" i="28"/>
  <c r="N77" i="28"/>
  <c r="M77" i="28"/>
  <c r="O78" i="28"/>
  <c r="L58" i="28"/>
  <c r="M62" i="28"/>
  <c r="S64" i="28"/>
  <c r="L63" i="28"/>
  <c r="O66" i="28"/>
  <c r="P66" i="28"/>
  <c r="L67" i="28"/>
  <c r="Q68" i="28"/>
  <c r="L72" i="28"/>
  <c r="N72" i="28"/>
  <c r="M72" i="28"/>
  <c r="O73" i="28"/>
  <c r="P74" i="28"/>
  <c r="L76" i="28"/>
  <c r="N76" i="28"/>
  <c r="M76" i="28"/>
  <c r="O77" i="28"/>
  <c r="P78" i="28"/>
  <c r="M65" i="28"/>
  <c r="M66" i="28"/>
  <c r="M67" i="28"/>
  <c r="M68" i="28"/>
  <c r="M69" i="28"/>
  <c r="M70" i="28"/>
  <c r="M64" i="28"/>
  <c r="Q5" i="27"/>
  <c r="R5" i="27"/>
  <c r="M8" i="27"/>
  <c r="X8" i="27"/>
  <c r="L8" i="27"/>
  <c r="N8" i="27"/>
  <c r="S9" i="27" s="1"/>
  <c r="T11" i="27"/>
  <c r="N7" i="27"/>
  <c r="M7" i="27"/>
  <c r="X7" i="27"/>
  <c r="L7" i="27"/>
  <c r="Y11" i="27"/>
  <c r="Z12" i="27"/>
  <c r="U7" i="27"/>
  <c r="X10" i="27"/>
  <c r="L10" i="27"/>
  <c r="N10" i="27"/>
  <c r="R11" i="27"/>
  <c r="M11" i="27"/>
  <c r="M14" i="27"/>
  <c r="M16" i="27"/>
  <c r="L19" i="27"/>
  <c r="N19" i="27"/>
  <c r="R35" i="27"/>
  <c r="Q35" i="27"/>
  <c r="N44" i="27"/>
  <c r="M44" i="27"/>
  <c r="L44" i="27"/>
  <c r="M5" i="27"/>
  <c r="S6" i="27"/>
  <c r="Y10" i="27"/>
  <c r="X11" i="27"/>
  <c r="R12" i="27"/>
  <c r="Q12" i="27"/>
  <c r="P14" i="27"/>
  <c r="R14" i="27" s="1"/>
  <c r="L15" i="27"/>
  <c r="P16" i="27"/>
  <c r="Q16" i="27" s="1"/>
  <c r="L17" i="27"/>
  <c r="P18" i="27"/>
  <c r="P21" i="27"/>
  <c r="Z38" i="27"/>
  <c r="Z37" i="27"/>
  <c r="T10" i="27"/>
  <c r="L6" i="27"/>
  <c r="X6" i="27"/>
  <c r="P8" i="27"/>
  <c r="U8" i="27" s="1"/>
  <c r="Y9" i="27"/>
  <c r="R9" i="27"/>
  <c r="Z9" i="27"/>
  <c r="Z10" i="27"/>
  <c r="Z11" i="27"/>
  <c r="Q11" i="27"/>
  <c r="U12" i="27"/>
  <c r="M13" i="27"/>
  <c r="Q14" i="27"/>
  <c r="M15" i="27"/>
  <c r="O17" i="27"/>
  <c r="M17" i="27"/>
  <c r="L18" i="27"/>
  <c r="N18" i="27"/>
  <c r="M19" i="27"/>
  <c r="X37" i="27"/>
  <c r="U37" i="27"/>
  <c r="T38" i="27"/>
  <c r="N40" i="27"/>
  <c r="M40" i="27"/>
  <c r="L40" i="27"/>
  <c r="O6" i="27"/>
  <c r="T6" i="27" s="1"/>
  <c r="O8" i="27"/>
  <c r="T8" i="27" s="1"/>
  <c r="M10" i="27"/>
  <c r="L11" i="27"/>
  <c r="S12" i="27"/>
  <c r="P13" i="27"/>
  <c r="Q13" i="27" s="1"/>
  <c r="L14" i="27"/>
  <c r="P15" i="27"/>
  <c r="Q15" i="27" s="1"/>
  <c r="L16" i="27"/>
  <c r="P17" i="27"/>
  <c r="P19" i="27"/>
  <c r="Z34" i="27"/>
  <c r="U35" i="27"/>
  <c r="Y34" i="27"/>
  <c r="U34" i="27"/>
  <c r="T37" i="27"/>
  <c r="M20" i="27"/>
  <c r="M21" i="27"/>
  <c r="M22" i="27"/>
  <c r="M23" i="27"/>
  <c r="M24" i="27"/>
  <c r="M25" i="27"/>
  <c r="M27" i="27"/>
  <c r="M31" i="27"/>
  <c r="M34" i="27"/>
  <c r="Z36" i="27"/>
  <c r="Y37" i="27"/>
  <c r="M38" i="27"/>
  <c r="M42" i="27"/>
  <c r="N43" i="27"/>
  <c r="O48" i="27"/>
  <c r="O49" i="27"/>
  <c r="T50" i="27" s="1"/>
  <c r="M49" i="27"/>
  <c r="O53" i="27"/>
  <c r="T53" i="27" s="1"/>
  <c r="N20" i="27"/>
  <c r="N21" i="27"/>
  <c r="N22" i="27"/>
  <c r="N23" i="27"/>
  <c r="N24" i="27"/>
  <c r="N25" i="27"/>
  <c r="S26" i="27" s="1"/>
  <c r="N27" i="27"/>
  <c r="S27" i="27" s="1"/>
  <c r="N31" i="27"/>
  <c r="L32" i="27"/>
  <c r="P32" i="27"/>
  <c r="U32" i="27" s="1"/>
  <c r="O33" i="27"/>
  <c r="T33" i="27" s="1"/>
  <c r="S33" i="27"/>
  <c r="N34" i="27"/>
  <c r="M35" i="27"/>
  <c r="L36" i="27"/>
  <c r="M41" i="27"/>
  <c r="N42" i="27"/>
  <c r="L47" i="27"/>
  <c r="N47" i="27"/>
  <c r="M47" i="27"/>
  <c r="L9" i="27"/>
  <c r="X9" i="27"/>
  <c r="M12" i="27"/>
  <c r="M32" i="27"/>
  <c r="L33" i="27"/>
  <c r="X33" i="27"/>
  <c r="X36" i="27"/>
  <c r="M36" i="27"/>
  <c r="L37" i="27"/>
  <c r="Q37" i="27"/>
  <c r="P38" i="27"/>
  <c r="U38" i="27" s="1"/>
  <c r="L39" i="27"/>
  <c r="Q39" i="27"/>
  <c r="P42" i="27"/>
  <c r="L43" i="27"/>
  <c r="P45" i="27"/>
  <c r="M45" i="27"/>
  <c r="R46" i="27"/>
  <c r="Q46" i="27"/>
  <c r="O47" i="27"/>
  <c r="L51" i="27"/>
  <c r="N51" i="27"/>
  <c r="M51" i="27"/>
  <c r="L20" i="27"/>
  <c r="L21" i="27"/>
  <c r="L22" i="27"/>
  <c r="L23" i="27"/>
  <c r="L24" i="27"/>
  <c r="L25" i="27"/>
  <c r="L27" i="27"/>
  <c r="L34" i="27"/>
  <c r="N36" i="27"/>
  <c r="M37" i="27"/>
  <c r="R37" i="27"/>
  <c r="L38" i="27"/>
  <c r="M39" i="27"/>
  <c r="R39" i="27"/>
  <c r="P41" i="27"/>
  <c r="M43" i="27"/>
  <c r="N45" i="27"/>
  <c r="L46" i="27"/>
  <c r="M46" i="27"/>
  <c r="L48" i="27"/>
  <c r="N48" i="27"/>
  <c r="M48" i="27"/>
  <c r="L53" i="27"/>
  <c r="N53" i="27"/>
  <c r="S53" i="27" s="1"/>
  <c r="M53" i="27"/>
  <c r="AA58" i="27"/>
  <c r="L50" i="27"/>
  <c r="N50" i="27"/>
  <c r="O51" i="27"/>
  <c r="T51" i="27" s="1"/>
  <c r="P58" i="27"/>
  <c r="U58" i="27" s="1"/>
  <c r="O59" i="27"/>
  <c r="R60" i="27"/>
  <c r="Q60" i="27"/>
  <c r="Z63" i="27"/>
  <c r="L66" i="27"/>
  <c r="N66" i="27"/>
  <c r="M66" i="27"/>
  <c r="L67" i="27"/>
  <c r="N67" i="27"/>
  <c r="M67" i="27"/>
  <c r="L68" i="27"/>
  <c r="N68" i="27"/>
  <c r="M68" i="27"/>
  <c r="L69" i="27"/>
  <c r="N69" i="27"/>
  <c r="M69" i="27"/>
  <c r="L70" i="27"/>
  <c r="N70" i="27"/>
  <c r="M70" i="27"/>
  <c r="L71" i="27"/>
  <c r="N71" i="27"/>
  <c r="M71" i="27"/>
  <c r="L72" i="27"/>
  <c r="N72" i="27"/>
  <c r="M72" i="27"/>
  <c r="L73" i="27"/>
  <c r="N73" i="27"/>
  <c r="M73" i="27"/>
  <c r="L74" i="27"/>
  <c r="N74" i="27"/>
  <c r="M74" i="27"/>
  <c r="L75" i="27"/>
  <c r="N75" i="27"/>
  <c r="M75" i="27"/>
  <c r="L76" i="27"/>
  <c r="N76" i="27"/>
  <c r="M76" i="27"/>
  <c r="L77" i="27"/>
  <c r="N77" i="27"/>
  <c r="M77" i="27"/>
  <c r="L49" i="27"/>
  <c r="N49" i="27"/>
  <c r="L57" i="27"/>
  <c r="N57" i="27"/>
  <c r="S58" i="27" s="1"/>
  <c r="L58" i="27"/>
  <c r="P59" i="27"/>
  <c r="Z59" i="27"/>
  <c r="X62" i="27"/>
  <c r="L62" i="27"/>
  <c r="N62" i="27"/>
  <c r="R63" i="27"/>
  <c r="Q63" i="27"/>
  <c r="M58" i="27"/>
  <c r="P61" i="27"/>
  <c r="Q61" i="27" s="1"/>
  <c r="L61" i="27"/>
  <c r="M50" i="27"/>
  <c r="O58" i="27"/>
  <c r="X59" i="27"/>
  <c r="L59" i="27"/>
  <c r="N59" i="27"/>
  <c r="Z60" i="27"/>
  <c r="X63" i="27"/>
  <c r="P64" i="27"/>
  <c r="L64" i="27"/>
  <c r="M60" i="27"/>
  <c r="Y60" i="27"/>
  <c r="M63" i="27"/>
  <c r="O65" i="27"/>
  <c r="O66" i="27"/>
  <c r="O67" i="27"/>
  <c r="O68" i="27"/>
  <c r="O69" i="27"/>
  <c r="O70" i="27"/>
  <c r="O71" i="27"/>
  <c r="O72" i="27"/>
  <c r="O73" i="27"/>
  <c r="O74" i="27"/>
  <c r="O75" i="27"/>
  <c r="O76" i="27"/>
  <c r="M61" i="27"/>
  <c r="M64" i="27"/>
  <c r="L65" i="27"/>
  <c r="M65" i="27"/>
  <c r="P65" i="27"/>
  <c r="N64" i="27"/>
  <c r="N65" i="27"/>
  <c r="Z70" i="30" l="1"/>
  <c r="S46" i="32"/>
  <c r="T43" i="32"/>
  <c r="U43" i="32" s="1"/>
  <c r="S43" i="32"/>
  <c r="X36" i="32" s="1"/>
  <c r="N119" i="30"/>
  <c r="R119" i="30" s="1"/>
  <c r="V119" i="30" s="1"/>
  <c r="Z69" i="30"/>
  <c r="N64" i="30"/>
  <c r="R64" i="30" s="1"/>
  <c r="V64" i="30" s="1"/>
  <c r="N52" i="30"/>
  <c r="R52" i="30" s="1"/>
  <c r="V52" i="30" s="1"/>
  <c r="N39" i="30"/>
  <c r="R39" i="30" s="1"/>
  <c r="V39" i="30" s="1"/>
  <c r="N37" i="30"/>
  <c r="R37" i="30" s="1"/>
  <c r="V37" i="30" s="1"/>
  <c r="N34" i="30"/>
  <c r="R34" i="30" s="1"/>
  <c r="V34" i="30" s="1"/>
  <c r="N65" i="30"/>
  <c r="R65" i="30" s="1"/>
  <c r="V65" i="30" s="1"/>
  <c r="N142" i="30"/>
  <c r="R142" i="30" s="1"/>
  <c r="V142" i="30" s="1"/>
  <c r="N13" i="30"/>
  <c r="R13" i="30" s="1"/>
  <c r="V13" i="30" s="1"/>
  <c r="N16" i="30"/>
  <c r="R16" i="30" s="1"/>
  <c r="N97" i="30"/>
  <c r="R97" i="30" s="1"/>
  <c r="V97" i="30" s="1"/>
  <c r="N76" i="30"/>
  <c r="R76" i="30" s="1"/>
  <c r="V76" i="30" s="1"/>
  <c r="N17" i="30"/>
  <c r="N64" i="29"/>
  <c r="R64" i="29" s="1"/>
  <c r="V64" i="29" s="1"/>
  <c r="N33" i="29"/>
  <c r="R33" i="29" s="1"/>
  <c r="V33" i="29" s="1"/>
  <c r="N9" i="29"/>
  <c r="R9" i="29" s="1"/>
  <c r="V9" i="29" s="1"/>
  <c r="N11" i="29"/>
  <c r="R11" i="29" s="1"/>
  <c r="V11" i="29" s="1"/>
  <c r="N60" i="29"/>
  <c r="R60" i="29" s="1"/>
  <c r="V60" i="29" s="1"/>
  <c r="N7" i="29"/>
  <c r="R7" i="29" s="1"/>
  <c r="V7" i="29" s="1"/>
  <c r="N18" i="29"/>
  <c r="R18" i="29" s="1"/>
  <c r="V18" i="29" s="1"/>
  <c r="N70" i="29"/>
  <c r="R70" i="29" s="1"/>
  <c r="V70" i="29" s="1"/>
  <c r="N43" i="29"/>
  <c r="R43" i="29" s="1"/>
  <c r="V43" i="29" s="1"/>
  <c r="N49" i="29"/>
  <c r="R49" i="29" s="1"/>
  <c r="V49" i="29" s="1"/>
  <c r="N68" i="29"/>
  <c r="R68" i="29" s="1"/>
  <c r="V68" i="29" s="1"/>
  <c r="N53" i="29"/>
  <c r="R53" i="29" s="1"/>
  <c r="V53" i="29" s="1"/>
  <c r="N95" i="29"/>
  <c r="R95" i="29" s="1"/>
  <c r="N13" i="29"/>
  <c r="R13" i="29" s="1"/>
  <c r="V13" i="29" s="1"/>
  <c r="Z13" i="29" s="1"/>
  <c r="N31" i="29"/>
  <c r="R31" i="29" s="1"/>
  <c r="V31" i="29" s="1"/>
  <c r="N109" i="29"/>
  <c r="R109" i="29" s="1"/>
  <c r="V109" i="29" s="1"/>
  <c r="N50" i="29"/>
  <c r="R50" i="29" s="1"/>
  <c r="N40" i="29"/>
  <c r="R40" i="29" s="1"/>
  <c r="V40" i="29" s="1"/>
  <c r="N66" i="29"/>
  <c r="R66" i="29" s="1"/>
  <c r="V66" i="29" s="1"/>
  <c r="N101" i="29"/>
  <c r="R101" i="29" s="1"/>
  <c r="N108" i="29"/>
  <c r="R108" i="29" s="1"/>
  <c r="V108" i="29" s="1"/>
  <c r="N106" i="29"/>
  <c r="R106" i="29" s="1"/>
  <c r="V106" i="29" s="1"/>
  <c r="N52" i="29"/>
  <c r="R52" i="29" s="1"/>
  <c r="V52" i="29" s="1"/>
  <c r="N61" i="29"/>
  <c r="R61" i="29" s="1"/>
  <c r="N6" i="29"/>
  <c r="R6" i="29" s="1"/>
  <c r="V6" i="29" s="1"/>
  <c r="Z9" i="29" s="1"/>
  <c r="N63" i="29"/>
  <c r="R63" i="29" s="1"/>
  <c r="V63" i="29" s="1"/>
  <c r="N94" i="29"/>
  <c r="R94" i="29" s="1"/>
  <c r="V94" i="29" s="1"/>
  <c r="N59" i="29"/>
  <c r="R59" i="29" s="1"/>
  <c r="V59" i="29" s="1"/>
  <c r="N121" i="29"/>
  <c r="R121" i="29" s="1"/>
  <c r="V121" i="29" s="1"/>
  <c r="N62" i="29"/>
  <c r="R62" i="29" s="1"/>
  <c r="V62" i="29" s="1"/>
  <c r="N21" i="29"/>
  <c r="R21" i="29" s="1"/>
  <c r="AD8" i="29"/>
  <c r="N17" i="29"/>
  <c r="R17" i="29" s="1"/>
  <c r="N16" i="29"/>
  <c r="R16" i="29" s="1"/>
  <c r="V16" i="29" s="1"/>
  <c r="N69" i="29"/>
  <c r="R69" i="29" s="1"/>
  <c r="V126" i="30"/>
  <c r="Z126" i="30" s="1"/>
  <c r="S136" i="30"/>
  <c r="AE119" i="30" s="1"/>
  <c r="Z132" i="30"/>
  <c r="Z120" i="30"/>
  <c r="Z126" i="29"/>
  <c r="R73" i="29"/>
  <c r="R19" i="30"/>
  <c r="V19" i="30" s="1"/>
  <c r="Z19" i="30" s="1"/>
  <c r="T28" i="29"/>
  <c r="U28" i="29" s="1"/>
  <c r="AF12" i="29" s="1"/>
  <c r="S28" i="29"/>
  <c r="AE12" i="29" s="1"/>
  <c r="R16" i="27"/>
  <c r="S85" i="32"/>
  <c r="X70" i="32" s="1"/>
  <c r="Y36" i="32"/>
  <c r="S88" i="31"/>
  <c r="X71" i="31" s="1"/>
  <c r="T85" i="32"/>
  <c r="U85" i="32" s="1"/>
  <c r="Y70" i="32" s="1"/>
  <c r="S46" i="31"/>
  <c r="X37" i="31" s="1"/>
  <c r="U28" i="31"/>
  <c r="Y11" i="31" s="1"/>
  <c r="S73" i="31"/>
  <c r="X66" i="31" s="1"/>
  <c r="S52" i="31"/>
  <c r="X39" i="31" s="1"/>
  <c r="P68" i="32"/>
  <c r="Q68" i="32" s="1"/>
  <c r="R68" i="32" s="1"/>
  <c r="P67" i="32"/>
  <c r="Q67" i="32" s="1"/>
  <c r="R67" i="32" s="1"/>
  <c r="P69" i="32"/>
  <c r="Q69" i="32" s="1"/>
  <c r="R69" i="32" s="1"/>
  <c r="P65" i="32"/>
  <c r="Q65" i="32" s="1"/>
  <c r="R65" i="32" s="1"/>
  <c r="T46" i="32"/>
  <c r="U46" i="32" s="1"/>
  <c r="Y37" i="32" s="1"/>
  <c r="P38" i="32"/>
  <c r="Q38" i="32" s="1"/>
  <c r="R38" i="32" s="1"/>
  <c r="S49" i="32"/>
  <c r="X38" i="32" s="1"/>
  <c r="X37" i="32"/>
  <c r="P39" i="32"/>
  <c r="Q39" i="32" s="1"/>
  <c r="R39" i="32" s="1"/>
  <c r="T13" i="32"/>
  <c r="U13" i="32" s="1"/>
  <c r="Y6" i="32" s="1"/>
  <c r="T85" i="31"/>
  <c r="U85" i="31" s="1"/>
  <c r="Y70" i="31" s="1"/>
  <c r="S82" i="31"/>
  <c r="X69" i="31" s="1"/>
  <c r="S58" i="31"/>
  <c r="X41" i="31" s="1"/>
  <c r="T61" i="31"/>
  <c r="U61" i="31" s="1"/>
  <c r="Y42" i="31" s="1"/>
  <c r="T55" i="31"/>
  <c r="U55" i="31" s="1"/>
  <c r="Y40" i="31" s="1"/>
  <c r="T46" i="31"/>
  <c r="U46" i="31" s="1"/>
  <c r="Y37" i="31" s="1"/>
  <c r="S91" i="31"/>
  <c r="X72" i="31" s="1"/>
  <c r="T79" i="31"/>
  <c r="U79" i="31" s="1"/>
  <c r="Y68" i="31" s="1"/>
  <c r="T73" i="31"/>
  <c r="U73" i="31" s="1"/>
  <c r="Y66" i="31" s="1"/>
  <c r="S37" i="31"/>
  <c r="X34" i="31" s="1"/>
  <c r="S61" i="31"/>
  <c r="X42" i="31" s="1"/>
  <c r="S85" i="31"/>
  <c r="X70" i="31" s="1"/>
  <c r="S25" i="31"/>
  <c r="X10" i="31" s="1"/>
  <c r="S19" i="31"/>
  <c r="X8" i="31" s="1"/>
  <c r="T91" i="31"/>
  <c r="U91" i="31" s="1"/>
  <c r="Y72" i="31" s="1"/>
  <c r="S79" i="31"/>
  <c r="X68" i="31" s="1"/>
  <c r="S55" i="31"/>
  <c r="X40" i="31" s="1"/>
  <c r="P66" i="31"/>
  <c r="Q66" i="31" s="1"/>
  <c r="R66" i="31" s="1"/>
  <c r="T49" i="31"/>
  <c r="U49" i="31" s="1"/>
  <c r="Y38" i="31" s="1"/>
  <c r="N154" i="30"/>
  <c r="R154" i="30" s="1"/>
  <c r="V154" i="30" s="1"/>
  <c r="N149" i="30"/>
  <c r="R149" i="30" s="1"/>
  <c r="N156" i="30"/>
  <c r="R156" i="30" s="1"/>
  <c r="V156" i="30" s="1"/>
  <c r="N130" i="30"/>
  <c r="R130" i="30" s="1"/>
  <c r="V130" i="30" s="1"/>
  <c r="N155" i="30"/>
  <c r="R155" i="30" s="1"/>
  <c r="N121" i="30"/>
  <c r="R121" i="30" s="1"/>
  <c r="V121" i="30" s="1"/>
  <c r="N117" i="29"/>
  <c r="R117" i="29" s="1"/>
  <c r="V117" i="29" s="1"/>
  <c r="Z117" i="29" s="1"/>
  <c r="N159" i="29"/>
  <c r="R159" i="29" s="1"/>
  <c r="V159" i="29" s="1"/>
  <c r="N158" i="29"/>
  <c r="R158" i="29" s="1"/>
  <c r="V158" i="29" s="1"/>
  <c r="N157" i="29"/>
  <c r="R157" i="29" s="1"/>
  <c r="V157" i="29" s="1"/>
  <c r="N146" i="29"/>
  <c r="R146" i="29" s="1"/>
  <c r="V146" i="29" s="1"/>
  <c r="Z64" i="30"/>
  <c r="Z73" i="30"/>
  <c r="N80" i="30"/>
  <c r="R80" i="30" s="1"/>
  <c r="S82" i="30" s="1"/>
  <c r="AE65" i="30" s="1"/>
  <c r="N63" i="30"/>
  <c r="R63" i="30" s="1"/>
  <c r="V63" i="30" s="1"/>
  <c r="Z63" i="30" s="1"/>
  <c r="N66" i="30"/>
  <c r="R66" i="30" s="1"/>
  <c r="V66" i="30" s="1"/>
  <c r="Z66" i="30" s="1"/>
  <c r="N62" i="30"/>
  <c r="R62" i="30" s="1"/>
  <c r="N71" i="29"/>
  <c r="R71" i="29" s="1"/>
  <c r="N84" i="29"/>
  <c r="R84" i="29" s="1"/>
  <c r="V84" i="29" s="1"/>
  <c r="N96" i="29"/>
  <c r="R96" i="29" s="1"/>
  <c r="V96" i="29" s="1"/>
  <c r="N100" i="29"/>
  <c r="R100" i="29" s="1"/>
  <c r="V100" i="29" s="1"/>
  <c r="N87" i="29"/>
  <c r="R87" i="29" s="1"/>
  <c r="V87" i="29" s="1"/>
  <c r="N83" i="29"/>
  <c r="R83" i="29" s="1"/>
  <c r="V83" i="29" s="1"/>
  <c r="N102" i="29"/>
  <c r="R102" i="29" s="1"/>
  <c r="V102" i="29" s="1"/>
  <c r="N72" i="29"/>
  <c r="R72" i="29" s="1"/>
  <c r="V72" i="29" s="1"/>
  <c r="R123" i="30"/>
  <c r="R72" i="30"/>
  <c r="V72" i="30" s="1"/>
  <c r="Z72" i="30" s="1"/>
  <c r="R24" i="30"/>
  <c r="S25" i="30" s="1"/>
  <c r="AE11" i="30" s="1"/>
  <c r="V16" i="30"/>
  <c r="Z16" i="30" s="1"/>
  <c r="N18" i="30"/>
  <c r="R18" i="30" s="1"/>
  <c r="V18" i="30" s="1"/>
  <c r="N5" i="30"/>
  <c r="R5" i="30" s="1"/>
  <c r="N51" i="30"/>
  <c r="R51" i="30" s="1"/>
  <c r="V51" i="30" s="1"/>
  <c r="W52" i="30" s="1"/>
  <c r="AG20" i="30" s="1"/>
  <c r="Z13" i="30"/>
  <c r="N6" i="30"/>
  <c r="R6" i="30" s="1"/>
  <c r="V6" i="30" s="1"/>
  <c r="Z15" i="30" s="1"/>
  <c r="Z121" i="29"/>
  <c r="Z127" i="29"/>
  <c r="R122" i="29"/>
  <c r="V122" i="29" s="1"/>
  <c r="N51" i="29"/>
  <c r="R51" i="29" s="1"/>
  <c r="V51" i="29" s="1"/>
  <c r="N54" i="29"/>
  <c r="R54" i="29" s="1"/>
  <c r="V54" i="29" s="1"/>
  <c r="N45" i="29"/>
  <c r="R45" i="29" s="1"/>
  <c r="V45" i="29" s="1"/>
  <c r="N15" i="29"/>
  <c r="R15" i="29" s="1"/>
  <c r="N47" i="29"/>
  <c r="R47" i="29" s="1"/>
  <c r="V47" i="29" s="1"/>
  <c r="N22" i="29"/>
  <c r="R22" i="29" s="1"/>
  <c r="V22" i="29" s="1"/>
  <c r="N14" i="29"/>
  <c r="R14" i="29" s="1"/>
  <c r="V14" i="29" s="1"/>
  <c r="N5" i="29"/>
  <c r="R5" i="29" s="1"/>
  <c r="V5" i="29" s="1"/>
  <c r="Y64" i="28"/>
  <c r="U53" i="28"/>
  <c r="V53" i="28" s="1"/>
  <c r="W53" i="28"/>
  <c r="Z63" i="28"/>
  <c r="AB63" i="28" s="1"/>
  <c r="T33" i="28"/>
  <c r="T62" i="28"/>
  <c r="S63" i="28"/>
  <c r="Q7" i="28"/>
  <c r="R61" i="28"/>
  <c r="Y63" i="27"/>
  <c r="Y61" i="27"/>
  <c r="Q58" i="27"/>
  <c r="S63" i="27"/>
  <c r="Z62" i="27"/>
  <c r="U63" i="27"/>
  <c r="T64" i="27"/>
  <c r="Q58" i="28"/>
  <c r="Z64" i="28"/>
  <c r="S26" i="28"/>
  <c r="AA53" i="28"/>
  <c r="AB53" i="28"/>
  <c r="U52" i="28"/>
  <c r="V52" i="28" s="1"/>
  <c r="AB52" i="28"/>
  <c r="AA52" i="28"/>
  <c r="AA25" i="28"/>
  <c r="AB25" i="28"/>
  <c r="Q65" i="28"/>
  <c r="T64" i="28"/>
  <c r="U64" i="28"/>
  <c r="V64" i="28" s="1"/>
  <c r="V59" i="28"/>
  <c r="Q61" i="28"/>
  <c r="R70" i="28"/>
  <c r="Q6" i="28"/>
  <c r="R33" i="28"/>
  <c r="U25" i="28"/>
  <c r="Q48" i="28"/>
  <c r="R45" i="28"/>
  <c r="S25" i="28"/>
  <c r="R25" i="28"/>
  <c r="Q25" i="28"/>
  <c r="S52" i="27"/>
  <c r="S50" i="27"/>
  <c r="U53" i="27"/>
  <c r="S51" i="27"/>
  <c r="AB58" i="27"/>
  <c r="AB32" i="27"/>
  <c r="T52" i="27"/>
  <c r="R52" i="27"/>
  <c r="Q52" i="27"/>
  <c r="AB52" i="27"/>
  <c r="AA52" i="27"/>
  <c r="Q38" i="27"/>
  <c r="R51" i="28"/>
  <c r="U9" i="28"/>
  <c r="W59" i="28"/>
  <c r="Q45" i="28"/>
  <c r="AB58" i="28"/>
  <c r="R49" i="28"/>
  <c r="R58" i="28"/>
  <c r="R6" i="28"/>
  <c r="Q49" i="28"/>
  <c r="X9" i="28"/>
  <c r="U7" i="28"/>
  <c r="R47" i="28"/>
  <c r="Q47" i="28"/>
  <c r="Q70" i="28"/>
  <c r="Q64" i="28"/>
  <c r="U37" i="28"/>
  <c r="V37" i="28" s="1"/>
  <c r="T34" i="28"/>
  <c r="W26" i="27"/>
  <c r="V26" i="27"/>
  <c r="AB26" i="27"/>
  <c r="AA26" i="27"/>
  <c r="AA60" i="27"/>
  <c r="X38" i="27"/>
  <c r="X64" i="27"/>
  <c r="S35" i="27"/>
  <c r="S38" i="27"/>
  <c r="V38" i="27" s="1"/>
  <c r="T36" i="27"/>
  <c r="U64" i="27"/>
  <c r="U59" i="27"/>
  <c r="U9" i="27"/>
  <c r="Y64" i="27"/>
  <c r="AB34" i="27"/>
  <c r="Q17" i="27"/>
  <c r="T35" i="27"/>
  <c r="T9" i="27"/>
  <c r="Q32" i="27"/>
  <c r="U36" i="27"/>
  <c r="U33" i="27"/>
  <c r="V33" i="27" s="1"/>
  <c r="AA32" i="27"/>
  <c r="T58" i="32"/>
  <c r="U58" i="32" s="1"/>
  <c r="Y41" i="32" s="1"/>
  <c r="S58" i="32"/>
  <c r="X41" i="32" s="1"/>
  <c r="T49" i="32"/>
  <c r="U49" i="32" s="1"/>
  <c r="Y38" i="32" s="1"/>
  <c r="T79" i="32"/>
  <c r="U79" i="32" s="1"/>
  <c r="Y68" i="32" s="1"/>
  <c r="S79" i="32"/>
  <c r="X68" i="32" s="1"/>
  <c r="P40" i="32"/>
  <c r="Q40" i="32" s="1"/>
  <c r="R40" i="32" s="1"/>
  <c r="T88" i="32"/>
  <c r="U88" i="32" s="1"/>
  <c r="Y71" i="32" s="1"/>
  <c r="S88" i="32"/>
  <c r="X71" i="32" s="1"/>
  <c r="T73" i="32"/>
  <c r="U73" i="32" s="1"/>
  <c r="Y66" i="32" s="1"/>
  <c r="S73" i="32"/>
  <c r="X66" i="32" s="1"/>
  <c r="P36" i="32"/>
  <c r="Q36" i="32" s="1"/>
  <c r="R36" i="32" s="1"/>
  <c r="T52" i="32"/>
  <c r="U52" i="32" s="1"/>
  <c r="Y39" i="32" s="1"/>
  <c r="S52" i="32"/>
  <c r="X39" i="32" s="1"/>
  <c r="T31" i="32"/>
  <c r="U31" i="32" s="1"/>
  <c r="Y12" i="32" s="1"/>
  <c r="S31" i="32"/>
  <c r="X12" i="32" s="1"/>
  <c r="P6" i="32"/>
  <c r="Q6" i="32" s="1"/>
  <c r="R6" i="32" s="1"/>
  <c r="P7" i="32"/>
  <c r="Q7" i="32" s="1"/>
  <c r="R7" i="32" s="1"/>
  <c r="T82" i="32"/>
  <c r="U82" i="32" s="1"/>
  <c r="Y69" i="32" s="1"/>
  <c r="S82" i="32"/>
  <c r="X69" i="32" s="1"/>
  <c r="T91" i="32"/>
  <c r="U91" i="32" s="1"/>
  <c r="Y72" i="32" s="1"/>
  <c r="S91" i="32"/>
  <c r="X72" i="32" s="1"/>
  <c r="T55" i="32"/>
  <c r="U55" i="32" s="1"/>
  <c r="Y40" i="32" s="1"/>
  <c r="S55" i="32"/>
  <c r="X40" i="32" s="1"/>
  <c r="T25" i="32"/>
  <c r="U25" i="32" s="1"/>
  <c r="Y10" i="32" s="1"/>
  <c r="S25" i="32"/>
  <c r="X10" i="32" s="1"/>
  <c r="T76" i="32"/>
  <c r="U76" i="32" s="1"/>
  <c r="Y67" i="32" s="1"/>
  <c r="S76" i="32"/>
  <c r="X67" i="32" s="1"/>
  <c r="T61" i="32"/>
  <c r="U61" i="32" s="1"/>
  <c r="Y42" i="32" s="1"/>
  <c r="S61" i="32"/>
  <c r="X42" i="32" s="1"/>
  <c r="P9" i="32"/>
  <c r="Q9" i="32" s="1"/>
  <c r="R9" i="32" s="1"/>
  <c r="T10" i="32" s="1"/>
  <c r="U10" i="32" s="1"/>
  <c r="Y5" i="32" s="1"/>
  <c r="T19" i="32"/>
  <c r="U19" i="32" s="1"/>
  <c r="Y8" i="32" s="1"/>
  <c r="S19" i="32"/>
  <c r="X8" i="32" s="1"/>
  <c r="P5" i="32"/>
  <c r="Q5" i="32" s="1"/>
  <c r="R5" i="32" s="1"/>
  <c r="P68" i="31"/>
  <c r="Q68" i="31" s="1"/>
  <c r="R68" i="31" s="1"/>
  <c r="P7" i="31"/>
  <c r="Q7" i="31" s="1"/>
  <c r="R7" i="31" s="1"/>
  <c r="S40" i="31"/>
  <c r="X35" i="31" s="1"/>
  <c r="T40" i="31"/>
  <c r="U40" i="31" s="1"/>
  <c r="Y35" i="31" s="1"/>
  <c r="T88" i="31"/>
  <c r="U88" i="31" s="1"/>
  <c r="Y71" i="31" s="1"/>
  <c r="T82" i="31"/>
  <c r="U82" i="31" s="1"/>
  <c r="Y69" i="31" s="1"/>
  <c r="T76" i="31"/>
  <c r="U76" i="31" s="1"/>
  <c r="Y67" i="31" s="1"/>
  <c r="T52" i="31"/>
  <c r="U52" i="31" s="1"/>
  <c r="Y39" i="31" s="1"/>
  <c r="T58" i="31"/>
  <c r="U58" i="31" s="1"/>
  <c r="Y41" i="31" s="1"/>
  <c r="T25" i="31"/>
  <c r="U25" i="31" s="1"/>
  <c r="Y10" i="31" s="1"/>
  <c r="S49" i="31"/>
  <c r="X38" i="31" s="1"/>
  <c r="T19" i="31"/>
  <c r="U19" i="31" s="1"/>
  <c r="Y8" i="31" s="1"/>
  <c r="T37" i="31"/>
  <c r="U37" i="31" s="1"/>
  <c r="Y34" i="31" s="1"/>
  <c r="T43" i="31"/>
  <c r="U43" i="31" s="1"/>
  <c r="Y36" i="31" s="1"/>
  <c r="S43" i="31"/>
  <c r="X36" i="31" s="1"/>
  <c r="T13" i="31"/>
  <c r="U13" i="31" s="1"/>
  <c r="Y6" i="31" s="1"/>
  <c r="S13" i="31"/>
  <c r="X6" i="31" s="1"/>
  <c r="P69" i="31"/>
  <c r="Q69" i="31" s="1"/>
  <c r="R69" i="31" s="1"/>
  <c r="P70" i="31"/>
  <c r="Q70" i="31" s="1"/>
  <c r="R70" i="31" s="1"/>
  <c r="P9" i="31"/>
  <c r="Q9" i="31" s="1"/>
  <c r="R9" i="31" s="1"/>
  <c r="S10" i="31" s="1"/>
  <c r="X5" i="31" s="1"/>
  <c r="V83" i="30"/>
  <c r="T85" i="30"/>
  <c r="U85" i="30" s="1"/>
  <c r="AF66" i="30" s="1"/>
  <c r="S85" i="30"/>
  <c r="AE66" i="30" s="1"/>
  <c r="V24" i="30"/>
  <c r="V44" i="30"/>
  <c r="V38" i="30"/>
  <c r="S40" i="30"/>
  <c r="AE16" i="30" s="1"/>
  <c r="V32" i="30"/>
  <c r="V155" i="30"/>
  <c r="V128" i="30"/>
  <c r="N157" i="30"/>
  <c r="R157" i="30" s="1"/>
  <c r="V157" i="30" s="1"/>
  <c r="N146" i="30"/>
  <c r="R146" i="30" s="1"/>
  <c r="T127" i="30"/>
  <c r="U127" i="30" s="1"/>
  <c r="AF116" i="30" s="1"/>
  <c r="S127" i="30"/>
  <c r="AE116" i="30" s="1"/>
  <c r="V125" i="30"/>
  <c r="N101" i="30"/>
  <c r="R101" i="30" s="1"/>
  <c r="S73" i="30"/>
  <c r="AE62" i="30" s="1"/>
  <c r="V71" i="30"/>
  <c r="N54" i="30"/>
  <c r="R54" i="30" s="1"/>
  <c r="V54" i="30" s="1"/>
  <c r="N30" i="30"/>
  <c r="R30" i="30" s="1"/>
  <c r="V30" i="30" s="1"/>
  <c r="AD8" i="30"/>
  <c r="N9" i="30"/>
  <c r="R9" i="30" s="1"/>
  <c r="V9" i="30" s="1"/>
  <c r="X70" i="30"/>
  <c r="Y70" i="30" s="1"/>
  <c r="AH61" i="30" s="1"/>
  <c r="W70" i="30"/>
  <c r="AG61" i="30" s="1"/>
  <c r="Z68" i="30"/>
  <c r="W28" i="30"/>
  <c r="AG12" i="30" s="1"/>
  <c r="X28" i="30"/>
  <c r="Y28" i="30" s="1"/>
  <c r="AH12" i="30" s="1"/>
  <c r="N129" i="30"/>
  <c r="R129" i="30" s="1"/>
  <c r="N147" i="30"/>
  <c r="R147" i="30" s="1"/>
  <c r="V147" i="30" s="1"/>
  <c r="N159" i="30"/>
  <c r="R159" i="30" s="1"/>
  <c r="V159" i="30" s="1"/>
  <c r="V104" i="30"/>
  <c r="N96" i="30"/>
  <c r="R96" i="30" s="1"/>
  <c r="V96" i="30" s="1"/>
  <c r="N74" i="30"/>
  <c r="R74" i="30" s="1"/>
  <c r="T16" i="30"/>
  <c r="U16" i="30" s="1"/>
  <c r="AF8" i="30" s="1"/>
  <c r="S16" i="30"/>
  <c r="AE8" i="30" s="1"/>
  <c r="V14" i="30"/>
  <c r="N33" i="30"/>
  <c r="R33" i="30" s="1"/>
  <c r="V33" i="30" s="1"/>
  <c r="N45" i="30"/>
  <c r="R45" i="30" s="1"/>
  <c r="V45" i="30" s="1"/>
  <c r="N31" i="30"/>
  <c r="R31" i="30" s="1"/>
  <c r="V31" i="30" s="1"/>
  <c r="X61" i="30"/>
  <c r="Y61" i="30" s="1"/>
  <c r="AH58" i="30" s="1"/>
  <c r="W61" i="30"/>
  <c r="AG58" i="30" s="1"/>
  <c r="N162" i="30"/>
  <c r="R162" i="30" s="1"/>
  <c r="V162" i="30" s="1"/>
  <c r="N153" i="30"/>
  <c r="R153" i="30" s="1"/>
  <c r="V153" i="30" s="1"/>
  <c r="N152" i="30"/>
  <c r="R152" i="30" s="1"/>
  <c r="R131" i="30"/>
  <c r="N116" i="30"/>
  <c r="R116" i="30" s="1"/>
  <c r="N115" i="30"/>
  <c r="R115" i="30" s="1"/>
  <c r="V115" i="30" s="1"/>
  <c r="Z133" i="30" s="1"/>
  <c r="W136" i="30"/>
  <c r="AG119" i="30" s="1"/>
  <c r="X136" i="30"/>
  <c r="Y136" i="30" s="1"/>
  <c r="AH119" i="30" s="1"/>
  <c r="N160" i="30"/>
  <c r="R160" i="30" s="1"/>
  <c r="V160" i="30" s="1"/>
  <c r="N98" i="30"/>
  <c r="R98" i="30" s="1"/>
  <c r="N86" i="30"/>
  <c r="R86" i="30" s="1"/>
  <c r="N77" i="30"/>
  <c r="R77" i="30" s="1"/>
  <c r="V113" i="30"/>
  <c r="T115" i="30"/>
  <c r="U115" i="30" s="1"/>
  <c r="AF112" i="30" s="1"/>
  <c r="N11" i="30"/>
  <c r="R11" i="30" s="1"/>
  <c r="T124" i="30"/>
  <c r="U124" i="30" s="1"/>
  <c r="AF115" i="30" s="1"/>
  <c r="N92" i="30"/>
  <c r="R92" i="30" s="1"/>
  <c r="N140" i="30"/>
  <c r="R140" i="30" s="1"/>
  <c r="N43" i="30"/>
  <c r="R43" i="30" s="1"/>
  <c r="V43" i="30" s="1"/>
  <c r="N10" i="30"/>
  <c r="R10" i="30" s="1"/>
  <c r="V10" i="30" s="1"/>
  <c r="Z10" i="30" s="1"/>
  <c r="N21" i="30"/>
  <c r="R21" i="30" s="1"/>
  <c r="V21" i="30" s="1"/>
  <c r="N20" i="30"/>
  <c r="R20" i="30" s="1"/>
  <c r="S28" i="30"/>
  <c r="AE12" i="30" s="1"/>
  <c r="S61" i="30"/>
  <c r="AE58" i="30" s="1"/>
  <c r="V107" i="30"/>
  <c r="N150" i="30"/>
  <c r="R150" i="30" s="1"/>
  <c r="V150" i="30" s="1"/>
  <c r="N87" i="30"/>
  <c r="R87" i="30" s="1"/>
  <c r="V87" i="30" s="1"/>
  <c r="V53" i="30"/>
  <c r="N47" i="30"/>
  <c r="R47" i="30" s="1"/>
  <c r="V25" i="30"/>
  <c r="N8" i="30"/>
  <c r="R8" i="30" s="1"/>
  <c r="N36" i="30"/>
  <c r="R36" i="30" s="1"/>
  <c r="V36" i="30" s="1"/>
  <c r="S70" i="30"/>
  <c r="AE61" i="30" s="1"/>
  <c r="N151" i="30"/>
  <c r="R151" i="30" s="1"/>
  <c r="V151" i="30" s="1"/>
  <c r="V161" i="30"/>
  <c r="N137" i="30"/>
  <c r="R137" i="30" s="1"/>
  <c r="N105" i="30"/>
  <c r="R105" i="30" s="1"/>
  <c r="N103" i="30"/>
  <c r="R103" i="30" s="1"/>
  <c r="V103" i="30" s="1"/>
  <c r="N108" i="30"/>
  <c r="R108" i="30" s="1"/>
  <c r="N102" i="30"/>
  <c r="R102" i="30" s="1"/>
  <c r="V102" i="30" s="1"/>
  <c r="T136" i="30"/>
  <c r="U136" i="30" s="1"/>
  <c r="AF119" i="30" s="1"/>
  <c r="N158" i="30"/>
  <c r="R158" i="30" s="1"/>
  <c r="AD118" i="30"/>
  <c r="N95" i="30"/>
  <c r="R95" i="30" s="1"/>
  <c r="N75" i="30"/>
  <c r="R75" i="30" s="1"/>
  <c r="V75" i="30" s="1"/>
  <c r="Z75" i="30" s="1"/>
  <c r="Z122" i="30"/>
  <c r="N93" i="30"/>
  <c r="R93" i="30" s="1"/>
  <c r="V93" i="30" s="1"/>
  <c r="N67" i="30"/>
  <c r="R67" i="30" s="1"/>
  <c r="V67" i="30" s="1"/>
  <c r="Z67" i="30" s="1"/>
  <c r="N48" i="30"/>
  <c r="R48" i="30" s="1"/>
  <c r="V48" i="30" s="1"/>
  <c r="Z76" i="30"/>
  <c r="AD62" i="30"/>
  <c r="N42" i="30"/>
  <c r="R42" i="30" s="1"/>
  <c r="V42" i="30" s="1"/>
  <c r="N29" i="30"/>
  <c r="R29" i="30" s="1"/>
  <c r="R17" i="30"/>
  <c r="N41" i="30"/>
  <c r="R41" i="30" s="1"/>
  <c r="N22" i="30"/>
  <c r="R22" i="30" s="1"/>
  <c r="V22" i="30" s="1"/>
  <c r="X52" i="30"/>
  <c r="Y52" i="30" s="1"/>
  <c r="AH20" i="30" s="1"/>
  <c r="N35" i="30"/>
  <c r="R35" i="30" s="1"/>
  <c r="T70" i="30"/>
  <c r="U70" i="30" s="1"/>
  <c r="AF61" i="30" s="1"/>
  <c r="T28" i="30"/>
  <c r="U28" i="30" s="1"/>
  <c r="AF12" i="30" s="1"/>
  <c r="T61" i="30"/>
  <c r="U61" i="30" s="1"/>
  <c r="AF58" i="30" s="1"/>
  <c r="V128" i="29"/>
  <c r="S64" i="29"/>
  <c r="AE59" i="29" s="1"/>
  <c r="V137" i="29"/>
  <c r="S127" i="29"/>
  <c r="AE116" i="29" s="1"/>
  <c r="T127" i="29"/>
  <c r="U127" i="29" s="1"/>
  <c r="AF116" i="29" s="1"/>
  <c r="V125" i="29"/>
  <c r="V101" i="29"/>
  <c r="N152" i="29"/>
  <c r="R152" i="29" s="1"/>
  <c r="V161" i="29"/>
  <c r="V155" i="29"/>
  <c r="N103" i="29"/>
  <c r="R103" i="29" s="1"/>
  <c r="V103" i="29" s="1"/>
  <c r="N67" i="29"/>
  <c r="R67" i="29" s="1"/>
  <c r="V67" i="29" s="1"/>
  <c r="V61" i="29"/>
  <c r="Z64" i="29" s="1"/>
  <c r="N130" i="29"/>
  <c r="R130" i="29" s="1"/>
  <c r="V130" i="29" s="1"/>
  <c r="Z130" i="29" s="1"/>
  <c r="N107" i="29"/>
  <c r="R107" i="29" s="1"/>
  <c r="N34" i="29"/>
  <c r="R34" i="29" s="1"/>
  <c r="V34" i="29" s="1"/>
  <c r="N129" i="29"/>
  <c r="R129" i="29" s="1"/>
  <c r="V129" i="29" s="1"/>
  <c r="Z129" i="29" s="1"/>
  <c r="N154" i="29"/>
  <c r="R154" i="29" s="1"/>
  <c r="V154" i="29" s="1"/>
  <c r="N142" i="29"/>
  <c r="R142" i="29" s="1"/>
  <c r="V142" i="29" s="1"/>
  <c r="N162" i="29"/>
  <c r="R162" i="29" s="1"/>
  <c r="V162" i="29" s="1"/>
  <c r="N138" i="29"/>
  <c r="R138" i="29" s="1"/>
  <c r="V138" i="29" s="1"/>
  <c r="R131" i="29"/>
  <c r="Z133" i="29"/>
  <c r="N118" i="29"/>
  <c r="R118" i="29" s="1"/>
  <c r="V118" i="29" s="1"/>
  <c r="Z118" i="29" s="1"/>
  <c r="N104" i="29"/>
  <c r="R104" i="29" s="1"/>
  <c r="N98" i="29"/>
  <c r="R98" i="29" s="1"/>
  <c r="N92" i="29"/>
  <c r="R92" i="29" s="1"/>
  <c r="N86" i="29"/>
  <c r="R86" i="29" s="1"/>
  <c r="N76" i="29"/>
  <c r="R76" i="29" s="1"/>
  <c r="V76" i="29" s="1"/>
  <c r="N120" i="29"/>
  <c r="R120" i="29" s="1"/>
  <c r="V120" i="29" s="1"/>
  <c r="Z120" i="29" s="1"/>
  <c r="N119" i="29"/>
  <c r="R119" i="29" s="1"/>
  <c r="N42" i="29"/>
  <c r="R42" i="29" s="1"/>
  <c r="V42" i="29" s="1"/>
  <c r="N46" i="29"/>
  <c r="R46" i="29" s="1"/>
  <c r="V46" i="29" s="1"/>
  <c r="N41" i="29"/>
  <c r="R41" i="29" s="1"/>
  <c r="N20" i="29"/>
  <c r="R20" i="29" s="1"/>
  <c r="N10" i="29"/>
  <c r="R10" i="29" s="1"/>
  <c r="V10" i="29" s="1"/>
  <c r="Z10" i="29" s="1"/>
  <c r="N32" i="29"/>
  <c r="R32" i="29" s="1"/>
  <c r="V17" i="29"/>
  <c r="W28" i="29"/>
  <c r="AG12" i="29" s="1"/>
  <c r="X28" i="29"/>
  <c r="Y28" i="29" s="1"/>
  <c r="AH12" i="29" s="1"/>
  <c r="N140" i="29"/>
  <c r="R140" i="29" s="1"/>
  <c r="T115" i="29"/>
  <c r="U115" i="29" s="1"/>
  <c r="AF112" i="29" s="1"/>
  <c r="S115" i="29"/>
  <c r="AE112" i="29" s="1"/>
  <c r="V113" i="29"/>
  <c r="N65" i="29"/>
  <c r="R65" i="29" s="1"/>
  <c r="V8" i="29"/>
  <c r="T10" i="29"/>
  <c r="U10" i="29" s="1"/>
  <c r="AF6" i="29" s="1"/>
  <c r="N149" i="29"/>
  <c r="R149" i="29" s="1"/>
  <c r="N156" i="29"/>
  <c r="R156" i="29" s="1"/>
  <c r="V156" i="29" s="1"/>
  <c r="N160" i="29"/>
  <c r="R160" i="29" s="1"/>
  <c r="V160" i="29" s="1"/>
  <c r="N153" i="29"/>
  <c r="R153" i="29" s="1"/>
  <c r="V153" i="29" s="1"/>
  <c r="N147" i="29"/>
  <c r="R147" i="29" s="1"/>
  <c r="N141" i="29"/>
  <c r="R141" i="29" s="1"/>
  <c r="V141" i="29" s="1"/>
  <c r="N150" i="29"/>
  <c r="R150" i="29" s="1"/>
  <c r="V150" i="29" s="1"/>
  <c r="T136" i="29"/>
  <c r="U136" i="29" s="1"/>
  <c r="AF119" i="29" s="1"/>
  <c r="S136" i="29"/>
  <c r="AE119" i="29" s="1"/>
  <c r="V134" i="29"/>
  <c r="Z132" i="29"/>
  <c r="N116" i="29"/>
  <c r="R116" i="29" s="1"/>
  <c r="N99" i="29"/>
  <c r="R99" i="29" s="1"/>
  <c r="V99" i="29" s="1"/>
  <c r="N85" i="29"/>
  <c r="R85" i="29" s="1"/>
  <c r="V85" i="29" s="1"/>
  <c r="V124" i="29"/>
  <c r="Z124" i="29" s="1"/>
  <c r="N75" i="29"/>
  <c r="R75" i="29" s="1"/>
  <c r="V75" i="29" s="1"/>
  <c r="N44" i="29"/>
  <c r="R44" i="29" s="1"/>
  <c r="N12" i="29"/>
  <c r="R12" i="29" s="1"/>
  <c r="V12" i="29" s="1"/>
  <c r="V23" i="29"/>
  <c r="S25" i="29"/>
  <c r="AE11" i="29" s="1"/>
  <c r="T25" i="29"/>
  <c r="U25" i="29" s="1"/>
  <c r="AF11" i="29" s="1"/>
  <c r="T82" i="29"/>
  <c r="U82" i="29" s="1"/>
  <c r="AF65" i="29" s="1"/>
  <c r="S82" i="29"/>
  <c r="AE65" i="29" s="1"/>
  <c r="V80" i="29"/>
  <c r="N97" i="29"/>
  <c r="R97" i="29" s="1"/>
  <c r="V97" i="29" s="1"/>
  <c r="N93" i="29"/>
  <c r="R93" i="29" s="1"/>
  <c r="V93" i="29" s="1"/>
  <c r="N163" i="29"/>
  <c r="R163" i="29" s="1"/>
  <c r="V163" i="29" s="1"/>
  <c r="N139" i="29"/>
  <c r="R139" i="29" s="1"/>
  <c r="V139" i="29" s="1"/>
  <c r="N105" i="29"/>
  <c r="R105" i="29" s="1"/>
  <c r="V105" i="29" s="1"/>
  <c r="V95" i="29"/>
  <c r="N74" i="29"/>
  <c r="R74" i="29" s="1"/>
  <c r="T79" i="29"/>
  <c r="U79" i="29" s="1"/>
  <c r="AF64" i="29" s="1"/>
  <c r="V77" i="29"/>
  <c r="S79" i="29"/>
  <c r="AE64" i="29" s="1"/>
  <c r="N48" i="29"/>
  <c r="R48" i="29" s="1"/>
  <c r="V48" i="29" s="1"/>
  <c r="AD117" i="29"/>
  <c r="V73" i="29"/>
  <c r="N55" i="29"/>
  <c r="R55" i="29" s="1"/>
  <c r="V55" i="29" s="1"/>
  <c r="N29" i="29"/>
  <c r="R29" i="29" s="1"/>
  <c r="V21" i="29"/>
  <c r="AD62" i="29"/>
  <c r="N38" i="29"/>
  <c r="R38" i="29" s="1"/>
  <c r="AD9" i="29"/>
  <c r="Z19" i="29"/>
  <c r="W35" i="28"/>
  <c r="V35" i="28"/>
  <c r="W63" i="28"/>
  <c r="V63" i="28"/>
  <c r="AA35" i="28"/>
  <c r="AB35" i="28"/>
  <c r="R11" i="28"/>
  <c r="R27" i="28"/>
  <c r="Q27" i="28"/>
  <c r="U33" i="28"/>
  <c r="W33" i="28" s="1"/>
  <c r="R23" i="28"/>
  <c r="Q23" i="28"/>
  <c r="R40" i="28"/>
  <c r="Q40" i="28"/>
  <c r="AB37" i="28"/>
  <c r="AA37" i="28"/>
  <c r="AB34" i="28"/>
  <c r="AA34" i="28"/>
  <c r="Q32" i="28"/>
  <c r="AA7" i="28"/>
  <c r="AB7" i="28"/>
  <c r="R16" i="28"/>
  <c r="Q16" i="28"/>
  <c r="R76" i="28"/>
  <c r="Q76" i="28"/>
  <c r="R72" i="28"/>
  <c r="Q72" i="28"/>
  <c r="U65" i="28"/>
  <c r="X64" i="28"/>
  <c r="R64" i="28"/>
  <c r="R75" i="28"/>
  <c r="Q75" i="28"/>
  <c r="R71" i="28"/>
  <c r="Q71" i="28"/>
  <c r="AA63" i="28"/>
  <c r="S62" i="28"/>
  <c r="R62" i="28"/>
  <c r="Q62" i="28"/>
  <c r="AA59" i="28"/>
  <c r="AB59" i="28"/>
  <c r="V60" i="28"/>
  <c r="W60" i="28"/>
  <c r="AB33" i="28"/>
  <c r="AA33" i="28"/>
  <c r="AB36" i="28"/>
  <c r="AA36" i="28"/>
  <c r="R41" i="28"/>
  <c r="Q41" i="28"/>
  <c r="T7" i="28"/>
  <c r="R7" i="28"/>
  <c r="Q10" i="28"/>
  <c r="R24" i="28"/>
  <c r="Q24" i="28"/>
  <c r="Q51" i="28"/>
  <c r="R46" i="28"/>
  <c r="Q46" i="28"/>
  <c r="R31" i="28"/>
  <c r="Q31" i="28"/>
  <c r="Z9" i="28"/>
  <c r="T38" i="28"/>
  <c r="Y38" i="28"/>
  <c r="AB38" i="28" s="1"/>
  <c r="U38" i="28"/>
  <c r="R32" i="28"/>
  <c r="Q8" i="28"/>
  <c r="R8" i="28"/>
  <c r="S8" i="28"/>
  <c r="Q50" i="28"/>
  <c r="R26" i="28"/>
  <c r="Q26" i="28"/>
  <c r="Q17" i="28"/>
  <c r="Q13" i="28"/>
  <c r="R13" i="28"/>
  <c r="R66" i="28"/>
  <c r="Q67" i="28"/>
  <c r="R78" i="28"/>
  <c r="Q78" i="28"/>
  <c r="R74" i="28"/>
  <c r="Q74" i="28"/>
  <c r="AB60" i="28"/>
  <c r="AA60" i="28"/>
  <c r="W61" i="28"/>
  <c r="V61" i="28"/>
  <c r="AB61" i="28"/>
  <c r="AA61" i="28"/>
  <c r="W58" i="28"/>
  <c r="V58" i="28"/>
  <c r="AB32" i="28"/>
  <c r="AA32" i="28"/>
  <c r="R43" i="28"/>
  <c r="Q43" i="28"/>
  <c r="S39" i="28"/>
  <c r="R39" i="28"/>
  <c r="Q39" i="28"/>
  <c r="R12" i="28"/>
  <c r="Q12" i="28"/>
  <c r="Q11" i="28"/>
  <c r="AB6" i="28"/>
  <c r="AA6" i="28"/>
  <c r="V36" i="28"/>
  <c r="W36" i="28"/>
  <c r="R5" i="28"/>
  <c r="Q5" i="28"/>
  <c r="R42" i="28"/>
  <c r="Q42" i="28"/>
  <c r="R37" i="28"/>
  <c r="S34" i="28"/>
  <c r="R34" i="28"/>
  <c r="Q34" i="28"/>
  <c r="Q33" i="28"/>
  <c r="Q14" i="28"/>
  <c r="R14" i="28"/>
  <c r="Q53" i="28"/>
  <c r="R50" i="28"/>
  <c r="W37" i="28"/>
  <c r="Q22" i="28"/>
  <c r="R22" i="28"/>
  <c r="T9" i="28"/>
  <c r="Q69" i="28"/>
  <c r="R77" i="28"/>
  <c r="Q77" i="28"/>
  <c r="R73" i="28"/>
  <c r="Q73" i="28"/>
  <c r="R67" i="28"/>
  <c r="W64" i="28"/>
  <c r="Q66" i="28"/>
  <c r="AB62" i="28"/>
  <c r="AA62" i="28"/>
  <c r="R48" i="28"/>
  <c r="V6" i="28"/>
  <c r="W6" i="28"/>
  <c r="Q21" i="28"/>
  <c r="R21" i="28"/>
  <c r="S38" i="28"/>
  <c r="R38" i="28"/>
  <c r="Q38" i="28"/>
  <c r="R19" i="28"/>
  <c r="Q19" i="28"/>
  <c r="V32" i="28"/>
  <c r="W32" i="28"/>
  <c r="Q18" i="28"/>
  <c r="R18" i="28"/>
  <c r="AB8" i="28"/>
  <c r="AA8" i="28"/>
  <c r="R53" i="28"/>
  <c r="Q37" i="28"/>
  <c r="S9" i="28"/>
  <c r="R20" i="28"/>
  <c r="Q20" i="28"/>
  <c r="T8" i="28"/>
  <c r="V63" i="27"/>
  <c r="AB59" i="27"/>
  <c r="AA59" i="27"/>
  <c r="Z61" i="27"/>
  <c r="U60" i="27"/>
  <c r="T59" i="27"/>
  <c r="S36" i="27"/>
  <c r="R36" i="27"/>
  <c r="Q36" i="27"/>
  <c r="R31" i="27"/>
  <c r="Q31" i="27"/>
  <c r="R23" i="27"/>
  <c r="Q23" i="27"/>
  <c r="AB60" i="27"/>
  <c r="R38" i="27"/>
  <c r="Q33" i="27"/>
  <c r="Q41" i="27"/>
  <c r="T34" i="27"/>
  <c r="S10" i="27"/>
  <c r="R10" i="27"/>
  <c r="Q10" i="27"/>
  <c r="U13" i="27"/>
  <c r="X12" i="27"/>
  <c r="AA7" i="27"/>
  <c r="AB7" i="27"/>
  <c r="X61" i="27"/>
  <c r="T62" i="27"/>
  <c r="S61" i="27"/>
  <c r="R53" i="27"/>
  <c r="Q53" i="27"/>
  <c r="Q45" i="27"/>
  <c r="R45" i="27"/>
  <c r="U62" i="27"/>
  <c r="R51" i="27"/>
  <c r="Q51" i="27"/>
  <c r="R27" i="27"/>
  <c r="Q27" i="27"/>
  <c r="R22" i="27"/>
  <c r="Q22" i="27"/>
  <c r="R43" i="27"/>
  <c r="Q43" i="27"/>
  <c r="R41" i="27"/>
  <c r="AA34" i="27"/>
  <c r="R32" i="27"/>
  <c r="W6" i="27"/>
  <c r="V6" i="27"/>
  <c r="R19" i="27"/>
  <c r="Q19" i="27"/>
  <c r="R17" i="27"/>
  <c r="R15" i="27"/>
  <c r="Q8" i="27"/>
  <c r="S8" i="27"/>
  <c r="R8" i="27"/>
  <c r="T7" i="27"/>
  <c r="AA63" i="27"/>
  <c r="AB63" i="27"/>
  <c r="S59" i="27"/>
  <c r="R59" i="27"/>
  <c r="Q59" i="27"/>
  <c r="Q49" i="27"/>
  <c r="R49" i="27"/>
  <c r="R48" i="27"/>
  <c r="Q48" i="27"/>
  <c r="T60" i="27"/>
  <c r="AB36" i="27"/>
  <c r="AA36" i="27"/>
  <c r="R25" i="27"/>
  <c r="Q25" i="27"/>
  <c r="R21" i="27"/>
  <c r="Q21" i="27"/>
  <c r="W38" i="27"/>
  <c r="S37" i="27"/>
  <c r="R33" i="27"/>
  <c r="Z35" i="27"/>
  <c r="Y35" i="27"/>
  <c r="X35" i="27"/>
  <c r="R13" i="27"/>
  <c r="Y12" i="27"/>
  <c r="AA6" i="27"/>
  <c r="AB6" i="27"/>
  <c r="AA11" i="27"/>
  <c r="AB11" i="27"/>
  <c r="AB10" i="27"/>
  <c r="AA10" i="27"/>
  <c r="Q6" i="27"/>
  <c r="S7" i="27"/>
  <c r="Q7" i="27"/>
  <c r="R7" i="27"/>
  <c r="R64" i="27"/>
  <c r="Q64" i="27"/>
  <c r="S64" i="27"/>
  <c r="T58" i="27"/>
  <c r="W58" i="27" s="1"/>
  <c r="R58" i="27"/>
  <c r="S62" i="27"/>
  <c r="R62" i="27"/>
  <c r="Q62" i="27"/>
  <c r="R65" i="27"/>
  <c r="Q65" i="27"/>
  <c r="T61" i="27"/>
  <c r="U61" i="27"/>
  <c r="AB62" i="27"/>
  <c r="AA62" i="27"/>
  <c r="Q57" i="27"/>
  <c r="R57" i="27"/>
  <c r="R77" i="27"/>
  <c r="Q77" i="27"/>
  <c r="R76" i="27"/>
  <c r="Q76" i="27"/>
  <c r="R75" i="27"/>
  <c r="Q75" i="27"/>
  <c r="R74" i="27"/>
  <c r="Q74" i="27"/>
  <c r="R73" i="27"/>
  <c r="Q73" i="27"/>
  <c r="R72" i="27"/>
  <c r="Q72" i="27"/>
  <c r="R71" i="27"/>
  <c r="Q71" i="27"/>
  <c r="R70" i="27"/>
  <c r="Q70" i="27"/>
  <c r="R69" i="27"/>
  <c r="Q69" i="27"/>
  <c r="R68" i="27"/>
  <c r="Q68" i="27"/>
  <c r="R67" i="27"/>
  <c r="Q67" i="27"/>
  <c r="R66" i="27"/>
  <c r="Q66" i="27"/>
  <c r="T65" i="27"/>
  <c r="Z64" i="27"/>
  <c r="R61" i="27"/>
  <c r="S60" i="27"/>
  <c r="R50" i="27"/>
  <c r="Q50" i="27"/>
  <c r="AB33" i="27"/>
  <c r="AA33" i="27"/>
  <c r="AB9" i="27"/>
  <c r="AA9" i="27"/>
  <c r="R47" i="27"/>
  <c r="Q47" i="27"/>
  <c r="Q42" i="27"/>
  <c r="R42" i="27"/>
  <c r="S34" i="27"/>
  <c r="R34" i="27"/>
  <c r="Q34" i="27"/>
  <c r="R24" i="27"/>
  <c r="Q24" i="27"/>
  <c r="R20" i="27"/>
  <c r="Q20" i="27"/>
  <c r="R40" i="27"/>
  <c r="Q40" i="27"/>
  <c r="AA37" i="27"/>
  <c r="AB37" i="27"/>
  <c r="R18" i="27"/>
  <c r="Q18" i="27"/>
  <c r="Y38" i="27"/>
  <c r="AA38" i="27" s="1"/>
  <c r="S32" i="27"/>
  <c r="R44" i="27"/>
  <c r="Q44" i="27"/>
  <c r="S11" i="27"/>
  <c r="R6" i="27"/>
  <c r="T12" i="27"/>
  <c r="V12" i="27" s="1"/>
  <c r="AA8" i="27"/>
  <c r="AB8" i="27"/>
  <c r="S52" i="30" l="1"/>
  <c r="AE20" i="30" s="1"/>
  <c r="T40" i="30"/>
  <c r="U40" i="30" s="1"/>
  <c r="AF16" i="30" s="1"/>
  <c r="T73" i="30"/>
  <c r="U73" i="30" s="1"/>
  <c r="AF62" i="30" s="1"/>
  <c r="S64" i="30"/>
  <c r="AE59" i="30" s="1"/>
  <c r="Z127" i="30"/>
  <c r="T64" i="29"/>
  <c r="U64" i="29" s="1"/>
  <c r="AF59" i="29" s="1"/>
  <c r="Z63" i="29"/>
  <c r="X61" i="29"/>
  <c r="Y61" i="29" s="1"/>
  <c r="AH58" i="29" s="1"/>
  <c r="S52" i="29"/>
  <c r="AE20" i="29" s="1"/>
  <c r="Z16" i="29"/>
  <c r="S67" i="32"/>
  <c r="X64" i="32" s="1"/>
  <c r="S37" i="32"/>
  <c r="S67" i="31"/>
  <c r="X64" i="31" s="1"/>
  <c r="T67" i="31"/>
  <c r="U67" i="31" s="1"/>
  <c r="Y64" i="31" s="1"/>
  <c r="S115" i="30"/>
  <c r="AE112" i="30" s="1"/>
  <c r="T85" i="29"/>
  <c r="U85" i="29" s="1"/>
  <c r="AF66" i="29" s="1"/>
  <c r="Z68" i="29"/>
  <c r="T61" i="29"/>
  <c r="U61" i="29" s="1"/>
  <c r="AF58" i="29" s="1"/>
  <c r="T124" i="29"/>
  <c r="U124" i="29" s="1"/>
  <c r="AF115" i="29" s="1"/>
  <c r="N30" i="29"/>
  <c r="R30" i="29" s="1"/>
  <c r="V30" i="29" s="1"/>
  <c r="T52" i="29"/>
  <c r="U52" i="29" s="1"/>
  <c r="AF20" i="29" s="1"/>
  <c r="V69" i="29"/>
  <c r="S70" i="29"/>
  <c r="AE61" i="29" s="1"/>
  <c r="T70" i="29"/>
  <c r="U70" i="29" s="1"/>
  <c r="AF61" i="29" s="1"/>
  <c r="N35" i="29"/>
  <c r="R35" i="29" s="1"/>
  <c r="V50" i="29"/>
  <c r="S19" i="29"/>
  <c r="AE9" i="29" s="1"/>
  <c r="T19" i="29"/>
  <c r="U19" i="29" s="1"/>
  <c r="AF9" i="29" s="1"/>
  <c r="S124" i="29"/>
  <c r="AE115" i="29" s="1"/>
  <c r="T163" i="30"/>
  <c r="U163" i="30" s="1"/>
  <c r="AF128" i="30" s="1"/>
  <c r="S157" i="30"/>
  <c r="AE126" i="30" s="1"/>
  <c r="S151" i="30"/>
  <c r="AE124" i="30" s="1"/>
  <c r="V123" i="30"/>
  <c r="S124" i="30"/>
  <c r="AE115" i="30" s="1"/>
  <c r="S121" i="30"/>
  <c r="AE114" i="30" s="1"/>
  <c r="T121" i="30"/>
  <c r="U121" i="30" s="1"/>
  <c r="AF114" i="30" s="1"/>
  <c r="Z130" i="30"/>
  <c r="Z118" i="30"/>
  <c r="T82" i="30"/>
  <c r="U82" i="30" s="1"/>
  <c r="AF65" i="30" s="1"/>
  <c r="V80" i="30"/>
  <c r="W82" i="30" s="1"/>
  <c r="AG65" i="30" s="1"/>
  <c r="T25" i="30"/>
  <c r="U25" i="30" s="1"/>
  <c r="AF11" i="30" s="1"/>
  <c r="T52" i="30"/>
  <c r="U52" i="30" s="1"/>
  <c r="AF20" i="30" s="1"/>
  <c r="X25" i="30"/>
  <c r="Y25" i="30" s="1"/>
  <c r="AH11" i="30" s="1"/>
  <c r="Z69" i="29"/>
  <c r="S61" i="29"/>
  <c r="AE58" i="29" s="1"/>
  <c r="S97" i="29"/>
  <c r="AE70" i="29" s="1"/>
  <c r="T97" i="29"/>
  <c r="U97" i="29" s="1"/>
  <c r="AF70" i="29" s="1"/>
  <c r="Z66" i="29"/>
  <c r="S55" i="30"/>
  <c r="AE21" i="30" s="1"/>
  <c r="Z18" i="30"/>
  <c r="T55" i="30"/>
  <c r="U55" i="30" s="1"/>
  <c r="AF21" i="30" s="1"/>
  <c r="Z9" i="30"/>
  <c r="S7" i="30"/>
  <c r="AE5" i="30" s="1"/>
  <c r="W7" i="29"/>
  <c r="AG5" i="29" s="1"/>
  <c r="AA9" i="28"/>
  <c r="X34" i="32"/>
  <c r="Y34" i="32"/>
  <c r="T70" i="32"/>
  <c r="U70" i="32" s="1"/>
  <c r="Y65" i="32" s="1"/>
  <c r="S70" i="32"/>
  <c r="X65" i="32" s="1"/>
  <c r="T40" i="32"/>
  <c r="U40" i="32" s="1"/>
  <c r="Y35" i="32" s="1"/>
  <c r="T67" i="32"/>
  <c r="U67" i="32" s="1"/>
  <c r="Y64" i="32" s="1"/>
  <c r="V149" i="30"/>
  <c r="W151" i="30" s="1"/>
  <c r="AG124" i="30" s="1"/>
  <c r="N144" i="29"/>
  <c r="R144" i="29" s="1"/>
  <c r="V144" i="29" s="1"/>
  <c r="N145" i="29"/>
  <c r="R145" i="29" s="1"/>
  <c r="V145" i="29" s="1"/>
  <c r="N143" i="29"/>
  <c r="R143" i="29" s="1"/>
  <c r="V62" i="30"/>
  <c r="Z62" i="30" s="1"/>
  <c r="T64" i="30"/>
  <c r="U64" i="30" s="1"/>
  <c r="AF59" i="30" s="1"/>
  <c r="V71" i="29"/>
  <c r="Z71" i="29" s="1"/>
  <c r="S73" i="29"/>
  <c r="AE62" i="29" s="1"/>
  <c r="T73" i="29"/>
  <c r="U73" i="29" s="1"/>
  <c r="AF62" i="29" s="1"/>
  <c r="N90" i="29"/>
  <c r="R90" i="29" s="1"/>
  <c r="V90" i="29" s="1"/>
  <c r="Z72" i="29"/>
  <c r="V5" i="30"/>
  <c r="Z14" i="30" s="1"/>
  <c r="T7" i="30"/>
  <c r="U7" i="30" s="1"/>
  <c r="AF5" i="30" s="1"/>
  <c r="T34" i="30"/>
  <c r="U34" i="30" s="1"/>
  <c r="AF14" i="30" s="1"/>
  <c r="S46" i="30"/>
  <c r="AE18" i="30" s="1"/>
  <c r="T46" i="30"/>
  <c r="U46" i="30" s="1"/>
  <c r="AF18" i="30" s="1"/>
  <c r="Z12" i="30"/>
  <c r="V15" i="29"/>
  <c r="Z15" i="29" s="1"/>
  <c r="S16" i="29"/>
  <c r="AE8" i="29" s="1"/>
  <c r="T16" i="29"/>
  <c r="U16" i="29" s="1"/>
  <c r="AF8" i="29" s="1"/>
  <c r="X7" i="29"/>
  <c r="Y7" i="29" s="1"/>
  <c r="AH5" i="29" s="1"/>
  <c r="Z12" i="29"/>
  <c r="Z14" i="29"/>
  <c r="Z18" i="29"/>
  <c r="S55" i="29"/>
  <c r="AE21" i="29" s="1"/>
  <c r="S10" i="29"/>
  <c r="AE6" i="29" s="1"/>
  <c r="T7" i="29"/>
  <c r="U7" i="29" s="1"/>
  <c r="AF5" i="29" s="1"/>
  <c r="N37" i="29"/>
  <c r="R37" i="29" s="1"/>
  <c r="V37" i="29" s="1"/>
  <c r="S7" i="29"/>
  <c r="AE5" i="29" s="1"/>
  <c r="AB9" i="28"/>
  <c r="W52" i="28"/>
  <c r="W33" i="27"/>
  <c r="W63" i="27"/>
  <c r="V33" i="28"/>
  <c r="W25" i="28"/>
  <c r="V25" i="28"/>
  <c r="V9" i="27"/>
  <c r="AB64" i="27"/>
  <c r="V52" i="27"/>
  <c r="W52" i="27"/>
  <c r="W35" i="27"/>
  <c r="W9" i="27"/>
  <c r="V58" i="27"/>
  <c r="V35" i="27"/>
  <c r="S10" i="32"/>
  <c r="X5" i="32" s="1"/>
  <c r="T7" i="32"/>
  <c r="U7" i="32" s="1"/>
  <c r="Y4" i="32" s="1"/>
  <c r="S7" i="32"/>
  <c r="X4" i="32" s="1"/>
  <c r="S40" i="32"/>
  <c r="X35" i="32" s="1"/>
  <c r="T70" i="31"/>
  <c r="U70" i="31" s="1"/>
  <c r="Y65" i="31" s="1"/>
  <c r="S70" i="31"/>
  <c r="X65" i="31" s="1"/>
  <c r="S7" i="31"/>
  <c r="X4" i="31" s="1"/>
  <c r="T7" i="31"/>
  <c r="U7" i="31" s="1"/>
  <c r="Y4" i="31" s="1"/>
  <c r="T10" i="31"/>
  <c r="U10" i="31" s="1"/>
  <c r="Y5" i="31" s="1"/>
  <c r="V105" i="30"/>
  <c r="W106" i="30" s="1"/>
  <c r="AG73" i="30" s="1"/>
  <c r="T106" i="30"/>
  <c r="U106" i="30" s="1"/>
  <c r="AF73" i="30" s="1"/>
  <c r="S106" i="30"/>
  <c r="AE73" i="30" s="1"/>
  <c r="S31" i="30"/>
  <c r="AE13" i="30" s="1"/>
  <c r="V29" i="30"/>
  <c r="T31" i="30"/>
  <c r="U31" i="30" s="1"/>
  <c r="AF13" i="30" s="1"/>
  <c r="V108" i="30"/>
  <c r="T109" i="30"/>
  <c r="U109" i="30" s="1"/>
  <c r="AF74" i="30" s="1"/>
  <c r="S109" i="30"/>
  <c r="AE74" i="30" s="1"/>
  <c r="T10" i="30"/>
  <c r="U10" i="30" s="1"/>
  <c r="AF6" i="30" s="1"/>
  <c r="V8" i="30"/>
  <c r="S10" i="30"/>
  <c r="AE6" i="30" s="1"/>
  <c r="V140" i="30"/>
  <c r="S43" i="30"/>
  <c r="AE17" i="30" s="1"/>
  <c r="V41" i="30"/>
  <c r="T43" i="30"/>
  <c r="U43" i="30" s="1"/>
  <c r="AF17" i="30" s="1"/>
  <c r="V129" i="30"/>
  <c r="Z129" i="30" s="1"/>
  <c r="S130" i="30"/>
  <c r="AE117" i="30" s="1"/>
  <c r="T130" i="30"/>
  <c r="U130" i="30" s="1"/>
  <c r="AF117" i="30" s="1"/>
  <c r="W64" i="30"/>
  <c r="AG59" i="30" s="1"/>
  <c r="X55" i="30"/>
  <c r="Y55" i="30" s="1"/>
  <c r="AH21" i="30" s="1"/>
  <c r="W55" i="30"/>
  <c r="AG21" i="30" s="1"/>
  <c r="S79" i="30"/>
  <c r="AE64" i="30" s="1"/>
  <c r="V77" i="30"/>
  <c r="T79" i="30"/>
  <c r="U79" i="30" s="1"/>
  <c r="AF64" i="30" s="1"/>
  <c r="W16" i="30"/>
  <c r="AG8" i="30" s="1"/>
  <c r="X16" i="30"/>
  <c r="Y16" i="30" s="1"/>
  <c r="AH8" i="30" s="1"/>
  <c r="N145" i="30"/>
  <c r="R145" i="30" s="1"/>
  <c r="V145" i="30" s="1"/>
  <c r="AA70" i="30"/>
  <c r="AB70" i="30"/>
  <c r="X82" i="30"/>
  <c r="Y82" i="30" s="1"/>
  <c r="AH65" i="30" s="1"/>
  <c r="V137" i="30"/>
  <c r="T139" i="30"/>
  <c r="U139" i="30" s="1"/>
  <c r="AF120" i="30" s="1"/>
  <c r="S139" i="30"/>
  <c r="AE120" i="30" s="1"/>
  <c r="N94" i="30"/>
  <c r="R94" i="30" s="1"/>
  <c r="V94" i="30" s="1"/>
  <c r="S88" i="30"/>
  <c r="AE67" i="30" s="1"/>
  <c r="V86" i="30"/>
  <c r="T88" i="30"/>
  <c r="U88" i="30" s="1"/>
  <c r="AF67" i="30" s="1"/>
  <c r="S118" i="30"/>
  <c r="AE113" i="30" s="1"/>
  <c r="V116" i="30"/>
  <c r="T118" i="30"/>
  <c r="U118" i="30" s="1"/>
  <c r="AF113" i="30" s="1"/>
  <c r="W73" i="30"/>
  <c r="AG62" i="30" s="1"/>
  <c r="Z71" i="30"/>
  <c r="X73" i="30"/>
  <c r="Y73" i="30" s="1"/>
  <c r="AH62" i="30" s="1"/>
  <c r="X127" i="30"/>
  <c r="Y127" i="30" s="1"/>
  <c r="AH116" i="30" s="1"/>
  <c r="Z125" i="30"/>
  <c r="W127" i="30"/>
  <c r="AG116" i="30" s="1"/>
  <c r="V146" i="30"/>
  <c r="T148" i="30"/>
  <c r="U148" i="30" s="1"/>
  <c r="AF123" i="30" s="1"/>
  <c r="S148" i="30"/>
  <c r="AE123" i="30" s="1"/>
  <c r="W130" i="30"/>
  <c r="AG117" i="30" s="1"/>
  <c r="X130" i="30"/>
  <c r="Y130" i="30" s="1"/>
  <c r="AH117" i="30" s="1"/>
  <c r="Z128" i="30"/>
  <c r="T151" i="30"/>
  <c r="U151" i="30" s="1"/>
  <c r="AF124" i="30" s="1"/>
  <c r="X34" i="30"/>
  <c r="Y34" i="30" s="1"/>
  <c r="AH14" i="30" s="1"/>
  <c r="W34" i="30"/>
  <c r="AG14" i="30" s="1"/>
  <c r="W121" i="30"/>
  <c r="AG114" i="30" s="1"/>
  <c r="Z119" i="30"/>
  <c r="X121" i="30"/>
  <c r="Y121" i="30" s="1"/>
  <c r="AH114" i="30" s="1"/>
  <c r="S37" i="30"/>
  <c r="AE15" i="30" s="1"/>
  <c r="V35" i="30"/>
  <c r="T37" i="30"/>
  <c r="U37" i="30" s="1"/>
  <c r="AF15" i="30" s="1"/>
  <c r="N141" i="30"/>
  <c r="R141" i="30" s="1"/>
  <c r="V141" i="30" s="1"/>
  <c r="S67" i="30"/>
  <c r="AE60" i="30" s="1"/>
  <c r="N89" i="30"/>
  <c r="R89" i="30" s="1"/>
  <c r="N91" i="30"/>
  <c r="R91" i="30" s="1"/>
  <c r="V91" i="30" s="1"/>
  <c r="X163" i="30"/>
  <c r="Y163" i="30" s="1"/>
  <c r="AH128" i="30" s="1"/>
  <c r="W163" i="30"/>
  <c r="AG128" i="30" s="1"/>
  <c r="S49" i="30"/>
  <c r="AE19" i="30" s="1"/>
  <c r="V47" i="30"/>
  <c r="T49" i="30"/>
  <c r="U49" i="30" s="1"/>
  <c r="AF19" i="30" s="1"/>
  <c r="V92" i="30"/>
  <c r="T100" i="30"/>
  <c r="U100" i="30" s="1"/>
  <c r="AF71" i="30" s="1"/>
  <c r="S100" i="30"/>
  <c r="AE71" i="30" s="1"/>
  <c r="V98" i="30"/>
  <c r="S133" i="30"/>
  <c r="AE118" i="30" s="1"/>
  <c r="T133" i="30"/>
  <c r="U133" i="30" s="1"/>
  <c r="AF118" i="30" s="1"/>
  <c r="V131" i="30"/>
  <c r="S76" i="30"/>
  <c r="AE63" i="30" s="1"/>
  <c r="V74" i="30"/>
  <c r="T76" i="30"/>
  <c r="U76" i="30" s="1"/>
  <c r="AF63" i="30" s="1"/>
  <c r="Z22" i="30"/>
  <c r="AD9" i="30"/>
  <c r="T157" i="30"/>
  <c r="U157" i="30" s="1"/>
  <c r="AF126" i="30" s="1"/>
  <c r="X46" i="30"/>
  <c r="Y46" i="30" s="1"/>
  <c r="AH18" i="30" s="1"/>
  <c r="W46" i="30"/>
  <c r="AG18" i="30" s="1"/>
  <c r="T97" i="30"/>
  <c r="U97" i="30" s="1"/>
  <c r="AF70" i="30" s="1"/>
  <c r="S97" i="30"/>
  <c r="AE70" i="30" s="1"/>
  <c r="V95" i="30"/>
  <c r="AD119" i="30"/>
  <c r="T13" i="30"/>
  <c r="U13" i="30" s="1"/>
  <c r="AF7" i="30" s="1"/>
  <c r="S13" i="30"/>
  <c r="AE7" i="30" s="1"/>
  <c r="V11" i="30"/>
  <c r="V158" i="30"/>
  <c r="S160" i="30"/>
  <c r="AE127" i="30" s="1"/>
  <c r="T160" i="30"/>
  <c r="U160" i="30" s="1"/>
  <c r="AF127" i="30" s="1"/>
  <c r="Z135" i="30"/>
  <c r="T22" i="30"/>
  <c r="U22" i="30" s="1"/>
  <c r="AF10" i="30" s="1"/>
  <c r="S22" i="30"/>
  <c r="AE10" i="30" s="1"/>
  <c r="V20" i="30"/>
  <c r="S103" i="30"/>
  <c r="AE72" i="30" s="1"/>
  <c r="V101" i="30"/>
  <c r="T103" i="30"/>
  <c r="U103" i="30" s="1"/>
  <c r="AF72" i="30" s="1"/>
  <c r="X157" i="30"/>
  <c r="Y157" i="30" s="1"/>
  <c r="AH126" i="30" s="1"/>
  <c r="W157" i="30"/>
  <c r="AG126" i="30" s="1"/>
  <c r="X85" i="30"/>
  <c r="Y85" i="30" s="1"/>
  <c r="AH66" i="30" s="1"/>
  <c r="W85" i="30"/>
  <c r="AG66" i="30" s="1"/>
  <c r="X67" i="30"/>
  <c r="Y67" i="30" s="1"/>
  <c r="AH60" i="30" s="1"/>
  <c r="W67" i="30"/>
  <c r="AG60" i="30" s="1"/>
  <c r="Z65" i="30"/>
  <c r="T19" i="30"/>
  <c r="U19" i="30" s="1"/>
  <c r="AF9" i="30" s="1"/>
  <c r="S19" i="30"/>
  <c r="AE9" i="30" s="1"/>
  <c r="V17" i="30"/>
  <c r="AD63" i="30"/>
  <c r="T67" i="30"/>
  <c r="U67" i="30" s="1"/>
  <c r="AF60" i="30" s="1"/>
  <c r="N90" i="30"/>
  <c r="R90" i="30" s="1"/>
  <c r="V90" i="30" s="1"/>
  <c r="S163" i="30"/>
  <c r="AE128" i="30" s="1"/>
  <c r="X115" i="30"/>
  <c r="Y115" i="30" s="1"/>
  <c r="AH112" i="30" s="1"/>
  <c r="W115" i="30"/>
  <c r="AG112" i="30" s="1"/>
  <c r="Z124" i="30"/>
  <c r="Z134" i="30"/>
  <c r="V152" i="30"/>
  <c r="S154" i="30"/>
  <c r="AE125" i="30" s="1"/>
  <c r="T154" i="30"/>
  <c r="U154" i="30" s="1"/>
  <c r="AF125" i="30" s="1"/>
  <c r="N143" i="30"/>
  <c r="R143" i="30" s="1"/>
  <c r="Z136" i="30"/>
  <c r="W25" i="30"/>
  <c r="AG11" i="30" s="1"/>
  <c r="S34" i="30"/>
  <c r="AE14" i="30" s="1"/>
  <c r="Z121" i="30"/>
  <c r="X40" i="30"/>
  <c r="Y40" i="30" s="1"/>
  <c r="AH16" i="30" s="1"/>
  <c r="W40" i="30"/>
  <c r="AG16" i="30" s="1"/>
  <c r="V38" i="29"/>
  <c r="V143" i="29"/>
  <c r="V147" i="29"/>
  <c r="X148" i="29" s="1"/>
  <c r="Y148" i="29" s="1"/>
  <c r="AH123" i="29" s="1"/>
  <c r="S148" i="29"/>
  <c r="AE123" i="29" s="1"/>
  <c r="T148" i="29"/>
  <c r="U148" i="29" s="1"/>
  <c r="AF123" i="29" s="1"/>
  <c r="T121" i="29"/>
  <c r="U121" i="29" s="1"/>
  <c r="AF114" i="29" s="1"/>
  <c r="S121" i="29"/>
  <c r="AE114" i="29" s="1"/>
  <c r="V119" i="29"/>
  <c r="Z21" i="29"/>
  <c r="T76" i="29"/>
  <c r="U76" i="29" s="1"/>
  <c r="AF63" i="29" s="1"/>
  <c r="V74" i="29"/>
  <c r="S76" i="29"/>
  <c r="AE63" i="29" s="1"/>
  <c r="X115" i="29"/>
  <c r="Y115" i="29" s="1"/>
  <c r="AH112" i="29" s="1"/>
  <c r="W115" i="29"/>
  <c r="AG112" i="29" s="1"/>
  <c r="X19" i="29"/>
  <c r="Y19" i="29" s="1"/>
  <c r="AH9" i="29" s="1"/>
  <c r="Z17" i="29"/>
  <c r="W19" i="29"/>
  <c r="AG9" i="29" s="1"/>
  <c r="T43" i="29"/>
  <c r="U43" i="29" s="1"/>
  <c r="AF17" i="29" s="1"/>
  <c r="S43" i="29"/>
  <c r="AE17" i="29" s="1"/>
  <c r="V41" i="29"/>
  <c r="T94" i="29"/>
  <c r="U94" i="29" s="1"/>
  <c r="AF69" i="29" s="1"/>
  <c r="V92" i="29"/>
  <c r="S94" i="29"/>
  <c r="AE69" i="29" s="1"/>
  <c r="S49" i="29"/>
  <c r="AE19" i="29" s="1"/>
  <c r="X103" i="29"/>
  <c r="Y103" i="29" s="1"/>
  <c r="AH72" i="29" s="1"/>
  <c r="W103" i="29"/>
  <c r="AG72" i="29" s="1"/>
  <c r="S160" i="29"/>
  <c r="AE127" i="29" s="1"/>
  <c r="X130" i="29"/>
  <c r="Y130" i="29" s="1"/>
  <c r="AH117" i="29" s="1"/>
  <c r="W130" i="29"/>
  <c r="AG117" i="29" s="1"/>
  <c r="Z128" i="29"/>
  <c r="V35" i="29"/>
  <c r="AD63" i="29"/>
  <c r="X79" i="29"/>
  <c r="Y79" i="29" s="1"/>
  <c r="AH64" i="29" s="1"/>
  <c r="Z77" i="29"/>
  <c r="W79" i="29"/>
  <c r="AG64" i="29" s="1"/>
  <c r="N39" i="29"/>
  <c r="R39" i="29" s="1"/>
  <c r="V39" i="29" s="1"/>
  <c r="T46" i="29"/>
  <c r="U46" i="29" s="1"/>
  <c r="AF18" i="29" s="1"/>
  <c r="V44" i="29"/>
  <c r="S46" i="29"/>
  <c r="AE18" i="29" s="1"/>
  <c r="N91" i="29"/>
  <c r="R91" i="29" s="1"/>
  <c r="V91" i="29" s="1"/>
  <c r="T151" i="29"/>
  <c r="U151" i="29" s="1"/>
  <c r="AF124" i="29" s="1"/>
  <c r="S151" i="29"/>
  <c r="AE124" i="29" s="1"/>
  <c r="V149" i="29"/>
  <c r="V32" i="29"/>
  <c r="S34" i="29"/>
  <c r="AE14" i="29" s="1"/>
  <c r="T34" i="29"/>
  <c r="U34" i="29" s="1"/>
  <c r="AF14" i="29" s="1"/>
  <c r="S67" i="29"/>
  <c r="AE60" i="29" s="1"/>
  <c r="V65" i="29"/>
  <c r="T67" i="29"/>
  <c r="U67" i="29" s="1"/>
  <c r="AF60" i="29" s="1"/>
  <c r="Z76" i="29"/>
  <c r="S106" i="29"/>
  <c r="AE73" i="29" s="1"/>
  <c r="V104" i="29"/>
  <c r="T106" i="29"/>
  <c r="U106" i="29" s="1"/>
  <c r="AF73" i="29" s="1"/>
  <c r="X124" i="29"/>
  <c r="Y124" i="29" s="1"/>
  <c r="AH115" i="29" s="1"/>
  <c r="Z122" i="29"/>
  <c r="W124" i="29"/>
  <c r="AG115" i="29" s="1"/>
  <c r="X85" i="29"/>
  <c r="Y85" i="29" s="1"/>
  <c r="AH66" i="29" s="1"/>
  <c r="W85" i="29"/>
  <c r="AG66" i="29" s="1"/>
  <c r="S157" i="29"/>
  <c r="AE126" i="29" s="1"/>
  <c r="T163" i="29"/>
  <c r="U163" i="29" s="1"/>
  <c r="AF128" i="29" s="1"/>
  <c r="V152" i="29"/>
  <c r="T154" i="29"/>
  <c r="U154" i="29" s="1"/>
  <c r="AF125" i="29" s="1"/>
  <c r="S154" i="29"/>
  <c r="AE125" i="29" s="1"/>
  <c r="Z79" i="29"/>
  <c r="T103" i="29"/>
  <c r="U103" i="29" s="1"/>
  <c r="AF72" i="29" s="1"/>
  <c r="X160" i="29"/>
  <c r="Y160" i="29" s="1"/>
  <c r="AH127" i="29" s="1"/>
  <c r="W160" i="29"/>
  <c r="AG127" i="29" s="1"/>
  <c r="S139" i="29"/>
  <c r="AE120" i="29" s="1"/>
  <c r="Z23" i="29"/>
  <c r="AD10" i="29"/>
  <c r="T142" i="29"/>
  <c r="U142" i="29" s="1"/>
  <c r="AF121" i="29" s="1"/>
  <c r="S142" i="29"/>
  <c r="AE121" i="29" s="1"/>
  <c r="V140" i="29"/>
  <c r="S13" i="29"/>
  <c r="AE7" i="29" s="1"/>
  <c r="X163" i="29"/>
  <c r="Y163" i="29" s="1"/>
  <c r="AH128" i="29" s="1"/>
  <c r="W163" i="29"/>
  <c r="AG128" i="29" s="1"/>
  <c r="X139" i="29"/>
  <c r="Y139" i="29" s="1"/>
  <c r="AH120" i="29" s="1"/>
  <c r="W139" i="29"/>
  <c r="AG120" i="29" s="1"/>
  <c r="Z73" i="29"/>
  <c r="Z134" i="29"/>
  <c r="AD118" i="29"/>
  <c r="X82" i="29"/>
  <c r="Y82" i="29" s="1"/>
  <c r="AH65" i="29" s="1"/>
  <c r="W82" i="29"/>
  <c r="AG65" i="29" s="1"/>
  <c r="W25" i="29"/>
  <c r="AG11" i="29" s="1"/>
  <c r="X25" i="29"/>
  <c r="Y25" i="29" s="1"/>
  <c r="AH11" i="29" s="1"/>
  <c r="Z75" i="29"/>
  <c r="N89" i="29"/>
  <c r="R89" i="29" s="1"/>
  <c r="T118" i="29"/>
  <c r="U118" i="29" s="1"/>
  <c r="AF113" i="29" s="1"/>
  <c r="S118" i="29"/>
  <c r="AE113" i="29" s="1"/>
  <c r="V116" i="29"/>
  <c r="X55" i="29"/>
  <c r="Y55" i="29" s="1"/>
  <c r="AH21" i="29" s="1"/>
  <c r="W55" i="29"/>
  <c r="AG21" i="29" s="1"/>
  <c r="S22" i="29"/>
  <c r="AE10" i="29" s="1"/>
  <c r="V20" i="29"/>
  <c r="T22" i="29"/>
  <c r="U22" i="29" s="1"/>
  <c r="AF10" i="29" s="1"/>
  <c r="T88" i="29"/>
  <c r="U88" i="29" s="1"/>
  <c r="AF67" i="29" s="1"/>
  <c r="V86" i="29"/>
  <c r="S88" i="29"/>
  <c r="AE67" i="29" s="1"/>
  <c r="W61" i="29"/>
  <c r="AG58" i="29" s="1"/>
  <c r="X49" i="29"/>
  <c r="Y49" i="29" s="1"/>
  <c r="AH19" i="29" s="1"/>
  <c r="W49" i="29"/>
  <c r="AG19" i="29" s="1"/>
  <c r="X13" i="29"/>
  <c r="Y13" i="29" s="1"/>
  <c r="AH7" i="29" s="1"/>
  <c r="Z11" i="29"/>
  <c r="W13" i="29"/>
  <c r="AG7" i="29" s="1"/>
  <c r="S85" i="29"/>
  <c r="AE66" i="29" s="1"/>
  <c r="T157" i="29"/>
  <c r="U157" i="29" s="1"/>
  <c r="AF126" i="29" s="1"/>
  <c r="W127" i="29"/>
  <c r="AG116" i="29" s="1"/>
  <c r="Z125" i="29"/>
  <c r="X127" i="29"/>
  <c r="Y127" i="29" s="1"/>
  <c r="AH116" i="29" s="1"/>
  <c r="T139" i="29"/>
  <c r="U139" i="29" s="1"/>
  <c r="AF120" i="29" s="1"/>
  <c r="X64" i="29"/>
  <c r="Y64" i="29" s="1"/>
  <c r="AH59" i="29" s="1"/>
  <c r="Z62" i="29"/>
  <c r="W64" i="29"/>
  <c r="AG59" i="29" s="1"/>
  <c r="S130" i="29"/>
  <c r="AE117" i="29" s="1"/>
  <c r="S31" i="29"/>
  <c r="AE13" i="29" s="1"/>
  <c r="V29" i="29"/>
  <c r="Z70" i="29"/>
  <c r="AB70" i="29" s="1"/>
  <c r="X97" i="29"/>
  <c r="Y97" i="29" s="1"/>
  <c r="AH70" i="29" s="1"/>
  <c r="W97" i="29"/>
  <c r="AG70" i="29" s="1"/>
  <c r="X136" i="29"/>
  <c r="Y136" i="29" s="1"/>
  <c r="AH119" i="29" s="1"/>
  <c r="W136" i="29"/>
  <c r="AG119" i="29" s="1"/>
  <c r="W16" i="29"/>
  <c r="AG8" i="29" s="1"/>
  <c r="W10" i="29"/>
  <c r="AG6" i="29" s="1"/>
  <c r="Z8" i="29"/>
  <c r="X10" i="29"/>
  <c r="Y10" i="29" s="1"/>
  <c r="AH6" i="29" s="1"/>
  <c r="T55" i="29"/>
  <c r="U55" i="29" s="1"/>
  <c r="AF21" i="29" s="1"/>
  <c r="X52" i="29"/>
  <c r="Y52" i="29" s="1"/>
  <c r="AH20" i="29" s="1"/>
  <c r="W52" i="29"/>
  <c r="AG20" i="29" s="1"/>
  <c r="T100" i="29"/>
  <c r="U100" i="29" s="1"/>
  <c r="AF71" i="29" s="1"/>
  <c r="V98" i="29"/>
  <c r="S100" i="29"/>
  <c r="AE71" i="29" s="1"/>
  <c r="T133" i="29"/>
  <c r="U133" i="29" s="1"/>
  <c r="AF118" i="29" s="1"/>
  <c r="S133" i="29"/>
  <c r="AE118" i="29" s="1"/>
  <c r="V131" i="29"/>
  <c r="T49" i="29"/>
  <c r="U49" i="29" s="1"/>
  <c r="AF19" i="29" s="1"/>
  <c r="V107" i="29"/>
  <c r="T109" i="29"/>
  <c r="U109" i="29" s="1"/>
  <c r="AF74" i="29" s="1"/>
  <c r="S109" i="29"/>
  <c r="AE74" i="29" s="1"/>
  <c r="T13" i="29"/>
  <c r="U13" i="29" s="1"/>
  <c r="AF7" i="29" s="1"/>
  <c r="Z67" i="29"/>
  <c r="X157" i="29"/>
  <c r="Y157" i="29" s="1"/>
  <c r="AH126" i="29" s="1"/>
  <c r="W157" i="29"/>
  <c r="AG126" i="29" s="1"/>
  <c r="S163" i="29"/>
  <c r="AE128" i="29" s="1"/>
  <c r="S103" i="29"/>
  <c r="AE72" i="29" s="1"/>
  <c r="T160" i="29"/>
  <c r="U160" i="29" s="1"/>
  <c r="AF127" i="29" s="1"/>
  <c r="Z22" i="29"/>
  <c r="T130" i="29"/>
  <c r="U130" i="29" s="1"/>
  <c r="AF117" i="29" s="1"/>
  <c r="V8" i="28"/>
  <c r="W8" i="28"/>
  <c r="Y39" i="28"/>
  <c r="Z39" i="28"/>
  <c r="U39" i="28"/>
  <c r="T39" i="28"/>
  <c r="X39" i="28"/>
  <c r="W62" i="28"/>
  <c r="V62" i="28"/>
  <c r="W9" i="28"/>
  <c r="V9" i="28"/>
  <c r="W38" i="28"/>
  <c r="V38" i="28"/>
  <c r="W34" i="28"/>
  <c r="V34" i="28"/>
  <c r="Y10" i="28"/>
  <c r="T10" i="28"/>
  <c r="X10" i="28"/>
  <c r="S10" i="28"/>
  <c r="Z10" i="28"/>
  <c r="AA38" i="28"/>
  <c r="AB64" i="28"/>
  <c r="AA64" i="28"/>
  <c r="U10" i="28"/>
  <c r="V7" i="28"/>
  <c r="W7" i="28"/>
  <c r="Y65" i="28"/>
  <c r="X65" i="28"/>
  <c r="Z65" i="28"/>
  <c r="T65" i="28"/>
  <c r="S65" i="28"/>
  <c r="Z39" i="27"/>
  <c r="Y39" i="27"/>
  <c r="X39" i="27"/>
  <c r="T39" i="27"/>
  <c r="S39" i="27"/>
  <c r="W7" i="27"/>
  <c r="V7" i="27"/>
  <c r="W59" i="27"/>
  <c r="V59" i="27"/>
  <c r="AB38" i="27"/>
  <c r="AA12" i="27"/>
  <c r="AB12" i="27"/>
  <c r="W10" i="27"/>
  <c r="V10" i="27"/>
  <c r="W12" i="27"/>
  <c r="W62" i="27"/>
  <c r="V62" i="27"/>
  <c r="AA35" i="27"/>
  <c r="AB35" i="27"/>
  <c r="W37" i="27"/>
  <c r="V37" i="27"/>
  <c r="Y13" i="27"/>
  <c r="T13" i="27"/>
  <c r="S13" i="27"/>
  <c r="Z13" i="27"/>
  <c r="X13" i="27"/>
  <c r="AA64" i="27"/>
  <c r="W34" i="27"/>
  <c r="V34" i="27"/>
  <c r="X65" i="27"/>
  <c r="Z65" i="27"/>
  <c r="Y65" i="27"/>
  <c r="S65" i="27"/>
  <c r="W36" i="27"/>
  <c r="V36" i="27"/>
  <c r="W11" i="27"/>
  <c r="V11" i="27"/>
  <c r="V32" i="27"/>
  <c r="W32" i="27"/>
  <c r="W60" i="27"/>
  <c r="V60" i="27"/>
  <c r="U65" i="27"/>
  <c r="W64" i="27"/>
  <c r="V64" i="27"/>
  <c r="W8" i="27"/>
  <c r="V8" i="27"/>
  <c r="V61" i="27"/>
  <c r="W61" i="27"/>
  <c r="AB61" i="27"/>
  <c r="AA61" i="27"/>
  <c r="U39" i="27"/>
  <c r="X64" i="30" l="1"/>
  <c r="Y64" i="30" s="1"/>
  <c r="AH59" i="30" s="1"/>
  <c r="X151" i="30"/>
  <c r="Y151" i="30" s="1"/>
  <c r="AH124" i="30" s="1"/>
  <c r="W73" i="29"/>
  <c r="AG62" i="29" s="1"/>
  <c r="X73" i="29"/>
  <c r="Y73" i="29" s="1"/>
  <c r="AH62" i="29" s="1"/>
  <c r="AB73" i="29"/>
  <c r="X16" i="29"/>
  <c r="Y16" i="29" s="1"/>
  <c r="AH8" i="29" s="1"/>
  <c r="T31" i="29"/>
  <c r="U31" i="29" s="1"/>
  <c r="AF13" i="29" s="1"/>
  <c r="T142" i="30"/>
  <c r="U142" i="30" s="1"/>
  <c r="AF121" i="30" s="1"/>
  <c r="T145" i="29"/>
  <c r="U145" i="29" s="1"/>
  <c r="AF122" i="29" s="1"/>
  <c r="W70" i="29"/>
  <c r="AG61" i="29" s="1"/>
  <c r="X70" i="29"/>
  <c r="Y70" i="29" s="1"/>
  <c r="AH61" i="29" s="1"/>
  <c r="X124" i="30"/>
  <c r="Y124" i="30" s="1"/>
  <c r="AH115" i="30" s="1"/>
  <c r="Z123" i="30"/>
  <c r="W124" i="30"/>
  <c r="AG115" i="30" s="1"/>
  <c r="X106" i="30"/>
  <c r="Y106" i="30" s="1"/>
  <c r="AH73" i="30" s="1"/>
  <c r="W148" i="29"/>
  <c r="AG123" i="29" s="1"/>
  <c r="AA70" i="29"/>
  <c r="AA16" i="29"/>
  <c r="S145" i="29"/>
  <c r="AE122" i="29" s="1"/>
  <c r="W7" i="30"/>
  <c r="AG5" i="30" s="1"/>
  <c r="X7" i="30"/>
  <c r="Y7" i="30" s="1"/>
  <c r="AH5" i="30" s="1"/>
  <c r="AB16" i="29"/>
  <c r="W39" i="28"/>
  <c r="W79" i="30"/>
  <c r="AG64" i="30" s="1"/>
  <c r="Z77" i="30"/>
  <c r="X79" i="30"/>
  <c r="Y79" i="30" s="1"/>
  <c r="AH64" i="30" s="1"/>
  <c r="W142" i="30"/>
  <c r="AG121" i="30" s="1"/>
  <c r="X142" i="30"/>
  <c r="Y142" i="30" s="1"/>
  <c r="AH121" i="30" s="1"/>
  <c r="W10" i="30"/>
  <c r="AG6" i="30" s="1"/>
  <c r="X10" i="30"/>
  <c r="Y10" i="30" s="1"/>
  <c r="AH6" i="30" s="1"/>
  <c r="Z8" i="30"/>
  <c r="X103" i="30"/>
  <c r="Y103" i="30" s="1"/>
  <c r="AH72" i="30" s="1"/>
  <c r="W103" i="30"/>
  <c r="AG72" i="30" s="1"/>
  <c r="W109" i="30"/>
  <c r="AG74" i="30" s="1"/>
  <c r="W76" i="30"/>
  <c r="AG63" i="30" s="1"/>
  <c r="X76" i="30"/>
  <c r="Y76" i="30" s="1"/>
  <c r="AH63" i="30" s="1"/>
  <c r="Z74" i="30"/>
  <c r="W133" i="30"/>
  <c r="AG118" i="30" s="1"/>
  <c r="Z131" i="30"/>
  <c r="X133" i="30"/>
  <c r="Y133" i="30" s="1"/>
  <c r="AH118" i="30" s="1"/>
  <c r="T94" i="30"/>
  <c r="U94" i="30" s="1"/>
  <c r="AF69" i="30" s="1"/>
  <c r="AA130" i="30"/>
  <c r="AB130" i="30"/>
  <c r="S142" i="30"/>
  <c r="AE121" i="30" s="1"/>
  <c r="AA136" i="30"/>
  <c r="AB136" i="30"/>
  <c r="X13" i="30"/>
  <c r="Y13" i="30" s="1"/>
  <c r="AH7" i="30" s="1"/>
  <c r="Z11" i="30"/>
  <c r="W13" i="30"/>
  <c r="AG7" i="30" s="1"/>
  <c r="X97" i="30"/>
  <c r="Y97" i="30" s="1"/>
  <c r="AH70" i="30" s="1"/>
  <c r="W97" i="30"/>
  <c r="AG70" i="30" s="1"/>
  <c r="X100" i="30"/>
  <c r="Y100" i="30" s="1"/>
  <c r="AH71" i="30" s="1"/>
  <c r="W100" i="30"/>
  <c r="AG71" i="30" s="1"/>
  <c r="X94" i="30"/>
  <c r="Y94" i="30" s="1"/>
  <c r="AH69" i="30" s="1"/>
  <c r="W94" i="30"/>
  <c r="AG69" i="30" s="1"/>
  <c r="W49" i="30"/>
  <c r="AG19" i="30" s="1"/>
  <c r="X49" i="30"/>
  <c r="Y49" i="30" s="1"/>
  <c r="AH19" i="30" s="1"/>
  <c r="AB127" i="30"/>
  <c r="AA127" i="30"/>
  <c r="AD64" i="30"/>
  <c r="Z79" i="30"/>
  <c r="Z78" i="30"/>
  <c r="AD120" i="30"/>
  <c r="Z139" i="30"/>
  <c r="Z138" i="30"/>
  <c r="AD10" i="30"/>
  <c r="W148" i="30"/>
  <c r="AG123" i="30" s="1"/>
  <c r="X148" i="30"/>
  <c r="Y148" i="30" s="1"/>
  <c r="AH123" i="30" s="1"/>
  <c r="W118" i="30"/>
  <c r="AG113" i="30" s="1"/>
  <c r="X118" i="30"/>
  <c r="Y118" i="30" s="1"/>
  <c r="AH113" i="30" s="1"/>
  <c r="Z116" i="30"/>
  <c r="W88" i="30"/>
  <c r="AG67" i="30" s="1"/>
  <c r="X88" i="30"/>
  <c r="Y88" i="30" s="1"/>
  <c r="AH67" i="30" s="1"/>
  <c r="X139" i="30"/>
  <c r="Y139" i="30" s="1"/>
  <c r="AH120" i="30" s="1"/>
  <c r="Z137" i="30"/>
  <c r="W139" i="30"/>
  <c r="AG120" i="30" s="1"/>
  <c r="Z21" i="30"/>
  <c r="W43" i="30"/>
  <c r="AG17" i="30" s="1"/>
  <c r="X43" i="30"/>
  <c r="Y43" i="30" s="1"/>
  <c r="AH17" i="30" s="1"/>
  <c r="W31" i="30"/>
  <c r="AG13" i="30" s="1"/>
  <c r="X31" i="30"/>
  <c r="Y31" i="30" s="1"/>
  <c r="AH13" i="30" s="1"/>
  <c r="V143" i="30"/>
  <c r="X154" i="30"/>
  <c r="Y154" i="30" s="1"/>
  <c r="AH125" i="30" s="1"/>
  <c r="W154" i="30"/>
  <c r="AG125" i="30" s="1"/>
  <c r="X19" i="30"/>
  <c r="Y19" i="30" s="1"/>
  <c r="AH9" i="30" s="1"/>
  <c r="Z17" i="30"/>
  <c r="W19" i="30"/>
  <c r="AG9" i="30" s="1"/>
  <c r="AB67" i="30"/>
  <c r="AA67" i="30"/>
  <c r="X22" i="30"/>
  <c r="Y22" i="30" s="1"/>
  <c r="AH10" i="30" s="1"/>
  <c r="Z20" i="30"/>
  <c r="W22" i="30"/>
  <c r="AG10" i="30" s="1"/>
  <c r="X160" i="30"/>
  <c r="Y160" i="30" s="1"/>
  <c r="AH127" i="30" s="1"/>
  <c r="W160" i="30"/>
  <c r="AG127" i="30" s="1"/>
  <c r="X109" i="30"/>
  <c r="Y109" i="30" s="1"/>
  <c r="AH74" i="30" s="1"/>
  <c r="N144" i="30"/>
  <c r="R144" i="30" s="1"/>
  <c r="V144" i="30" s="1"/>
  <c r="S94" i="30"/>
  <c r="AE69" i="30" s="1"/>
  <c r="V89" i="30"/>
  <c r="T91" i="30"/>
  <c r="U91" i="30" s="1"/>
  <c r="AF68" i="30" s="1"/>
  <c r="S91" i="30"/>
  <c r="AE68" i="30" s="1"/>
  <c r="W37" i="30"/>
  <c r="AG15" i="30" s="1"/>
  <c r="X37" i="30"/>
  <c r="Y37" i="30" s="1"/>
  <c r="AH15" i="30" s="1"/>
  <c r="AB121" i="30"/>
  <c r="AA121" i="30"/>
  <c r="AA73" i="30"/>
  <c r="AB73" i="30"/>
  <c r="AB16" i="30"/>
  <c r="AA16" i="30"/>
  <c r="AB64" i="30"/>
  <c r="AA64" i="30"/>
  <c r="W34" i="29"/>
  <c r="AG14" i="29" s="1"/>
  <c r="X34" i="29"/>
  <c r="Y34" i="29" s="1"/>
  <c r="AH14" i="29" s="1"/>
  <c r="X121" i="29"/>
  <c r="Y121" i="29" s="1"/>
  <c r="AH114" i="29" s="1"/>
  <c r="Z119" i="29"/>
  <c r="W121" i="29"/>
  <c r="AG114" i="29" s="1"/>
  <c r="T40" i="29"/>
  <c r="U40" i="29" s="1"/>
  <c r="AF16" i="29" s="1"/>
  <c r="X109" i="29"/>
  <c r="Y109" i="29" s="1"/>
  <c r="AH74" i="29" s="1"/>
  <c r="W109" i="29"/>
  <c r="AG74" i="29" s="1"/>
  <c r="X133" i="29"/>
  <c r="Y133" i="29" s="1"/>
  <c r="AH118" i="29" s="1"/>
  <c r="W133" i="29"/>
  <c r="AG118" i="29" s="1"/>
  <c r="Z131" i="29"/>
  <c r="X100" i="29"/>
  <c r="Y100" i="29" s="1"/>
  <c r="AH71" i="29" s="1"/>
  <c r="W100" i="29"/>
  <c r="AG71" i="29" s="1"/>
  <c r="AA10" i="29"/>
  <c r="AB10" i="29"/>
  <c r="AB64" i="29"/>
  <c r="AA64" i="29"/>
  <c r="X88" i="29"/>
  <c r="Y88" i="29" s="1"/>
  <c r="AH67" i="29" s="1"/>
  <c r="W88" i="29"/>
  <c r="AG67" i="29" s="1"/>
  <c r="W22" i="29"/>
  <c r="AG10" i="29" s="1"/>
  <c r="X22" i="29"/>
  <c r="Y22" i="29" s="1"/>
  <c r="AH10" i="29" s="1"/>
  <c r="Z20" i="29"/>
  <c r="X142" i="29"/>
  <c r="Y142" i="29" s="1"/>
  <c r="AH121" i="29" s="1"/>
  <c r="W142" i="29"/>
  <c r="AG121" i="29" s="1"/>
  <c r="X154" i="29"/>
  <c r="Y154" i="29" s="1"/>
  <c r="AH125" i="29" s="1"/>
  <c r="W154" i="29"/>
  <c r="AG125" i="29" s="1"/>
  <c r="AA124" i="29"/>
  <c r="AB124" i="29"/>
  <c r="X151" i="29"/>
  <c r="Y151" i="29" s="1"/>
  <c r="AH124" i="29" s="1"/>
  <c r="W151" i="29"/>
  <c r="AG124" i="29" s="1"/>
  <c r="X94" i="29"/>
  <c r="Y94" i="29" s="1"/>
  <c r="AH69" i="29" s="1"/>
  <c r="W94" i="29"/>
  <c r="AG69" i="29" s="1"/>
  <c r="X76" i="29"/>
  <c r="Y76" i="29" s="1"/>
  <c r="AH63" i="29" s="1"/>
  <c r="W76" i="29"/>
  <c r="AG63" i="29" s="1"/>
  <c r="Z74" i="29"/>
  <c r="S40" i="29"/>
  <c r="AE16" i="29" s="1"/>
  <c r="W31" i="29"/>
  <c r="AG13" i="29" s="1"/>
  <c r="X31" i="29"/>
  <c r="Y31" i="29" s="1"/>
  <c r="AH13" i="29" s="1"/>
  <c r="W67" i="29"/>
  <c r="AG60" i="29" s="1"/>
  <c r="X67" i="29"/>
  <c r="Y67" i="29" s="1"/>
  <c r="AH60" i="29" s="1"/>
  <c r="Z65" i="29"/>
  <c r="AB127" i="29"/>
  <c r="AA127" i="29"/>
  <c r="T91" i="29"/>
  <c r="U91" i="29" s="1"/>
  <c r="AF68" i="29" s="1"/>
  <c r="S91" i="29"/>
  <c r="AE68" i="29" s="1"/>
  <c r="V89" i="29"/>
  <c r="N36" i="29"/>
  <c r="R36" i="29" s="1"/>
  <c r="X46" i="29"/>
  <c r="Y46" i="29" s="1"/>
  <c r="AH18" i="29" s="1"/>
  <c r="W46" i="29"/>
  <c r="AG18" i="29" s="1"/>
  <c r="AD64" i="29"/>
  <c r="Z78" i="29"/>
  <c r="AB79" i="29" s="1"/>
  <c r="AB130" i="29"/>
  <c r="AA130" i="29"/>
  <c r="AA73" i="29"/>
  <c r="W40" i="29"/>
  <c r="AG16" i="29" s="1"/>
  <c r="X40" i="29"/>
  <c r="Y40" i="29" s="1"/>
  <c r="AH16" i="29" s="1"/>
  <c r="AB13" i="29"/>
  <c r="AA13" i="29"/>
  <c r="AD119" i="29"/>
  <c r="Z136" i="29"/>
  <c r="Z135" i="29"/>
  <c r="W106" i="29"/>
  <c r="AG73" i="29" s="1"/>
  <c r="X106" i="29"/>
  <c r="Y106" i="29" s="1"/>
  <c r="AH73" i="29" s="1"/>
  <c r="X118" i="29"/>
  <c r="Y118" i="29" s="1"/>
  <c r="AH113" i="29" s="1"/>
  <c r="Z116" i="29"/>
  <c r="W118" i="29"/>
  <c r="AG113" i="29" s="1"/>
  <c r="AD11" i="29"/>
  <c r="Z25" i="29"/>
  <c r="Z24" i="29"/>
  <c r="X43" i="29"/>
  <c r="Y43" i="29" s="1"/>
  <c r="AH17" i="29" s="1"/>
  <c r="W43" i="29"/>
  <c r="AG17" i="29" s="1"/>
  <c r="AB19" i="29"/>
  <c r="AA19" i="29"/>
  <c r="X145" i="29"/>
  <c r="Y145" i="29" s="1"/>
  <c r="AH122" i="29" s="1"/>
  <c r="W145" i="29"/>
  <c r="AG122" i="29" s="1"/>
  <c r="X11" i="28"/>
  <c r="Z11" i="28"/>
  <c r="S11" i="28"/>
  <c r="Y11" i="28"/>
  <c r="T11" i="28"/>
  <c r="U11" i="28"/>
  <c r="X66" i="28"/>
  <c r="Z66" i="28"/>
  <c r="S66" i="28"/>
  <c r="Y66" i="28"/>
  <c r="U66" i="28"/>
  <c r="T66" i="28"/>
  <c r="V10" i="28"/>
  <c r="W10" i="28"/>
  <c r="W65" i="28"/>
  <c r="V65" i="28"/>
  <c r="AA10" i="28"/>
  <c r="AB10" i="28"/>
  <c r="AB39" i="28"/>
  <c r="AA39" i="28"/>
  <c r="Y40" i="28"/>
  <c r="U40" i="28"/>
  <c r="X40" i="28"/>
  <c r="Z40" i="28"/>
  <c r="T40" i="28"/>
  <c r="S40" i="28"/>
  <c r="V39" i="28"/>
  <c r="AA65" i="28"/>
  <c r="AB65" i="28"/>
  <c r="W65" i="27"/>
  <c r="V65" i="27"/>
  <c r="Y66" i="27"/>
  <c r="U66" i="27"/>
  <c r="Z66" i="27"/>
  <c r="X66" i="27"/>
  <c r="S66" i="27"/>
  <c r="T66" i="27"/>
  <c r="AA13" i="27"/>
  <c r="AB13" i="27"/>
  <c r="AA39" i="27"/>
  <c r="AB39" i="27"/>
  <c r="X14" i="27"/>
  <c r="Z14" i="27"/>
  <c r="Y14" i="27"/>
  <c r="T14" i="27"/>
  <c r="S14" i="27"/>
  <c r="U14" i="27"/>
  <c r="W13" i="27"/>
  <c r="V13" i="27"/>
  <c r="W39" i="27"/>
  <c r="V39" i="27"/>
  <c r="AB65" i="27"/>
  <c r="AA65" i="27"/>
  <c r="Z40" i="27"/>
  <c r="T40" i="27"/>
  <c r="U40" i="27"/>
  <c r="X40" i="27"/>
  <c r="Y40" i="27"/>
  <c r="S40" i="27"/>
  <c r="AA25" i="29" l="1"/>
  <c r="AA124" i="30"/>
  <c r="AB124" i="30"/>
  <c r="AB136" i="29"/>
  <c r="AA136" i="29"/>
  <c r="X145" i="30"/>
  <c r="Y145" i="30" s="1"/>
  <c r="AH122" i="30" s="1"/>
  <c r="W145" i="30"/>
  <c r="AG122" i="30" s="1"/>
  <c r="Z143" i="30"/>
  <c r="AD121" i="30"/>
  <c r="Z142" i="30"/>
  <c r="AA76" i="30"/>
  <c r="AB76" i="30"/>
  <c r="AA79" i="30"/>
  <c r="AB79" i="30"/>
  <c r="X91" i="30"/>
  <c r="Y91" i="30" s="1"/>
  <c r="AH68" i="30" s="1"/>
  <c r="W91" i="30"/>
  <c r="AG68" i="30" s="1"/>
  <c r="AA22" i="30"/>
  <c r="AB22" i="30"/>
  <c r="T145" i="30"/>
  <c r="U145" i="30" s="1"/>
  <c r="AF122" i="30" s="1"/>
  <c r="AB10" i="30"/>
  <c r="AA10" i="30"/>
  <c r="AA118" i="30"/>
  <c r="AB118" i="30"/>
  <c r="AD11" i="30"/>
  <c r="Z23" i="30"/>
  <c r="Z24" i="30"/>
  <c r="Z25" i="30"/>
  <c r="Z141" i="30"/>
  <c r="S145" i="30"/>
  <c r="AE122" i="30" s="1"/>
  <c r="AB13" i="30"/>
  <c r="AA13" i="30"/>
  <c r="AB19" i="30"/>
  <c r="AA19" i="30"/>
  <c r="AB139" i="30"/>
  <c r="AA139" i="30"/>
  <c r="AD65" i="30"/>
  <c r="Z81" i="30"/>
  <c r="Z82" i="30"/>
  <c r="Z80" i="30"/>
  <c r="AA133" i="30"/>
  <c r="AB133" i="30"/>
  <c r="Z140" i="30"/>
  <c r="X91" i="29"/>
  <c r="Y91" i="29" s="1"/>
  <c r="AH68" i="29" s="1"/>
  <c r="W91" i="29"/>
  <c r="AG68" i="29" s="1"/>
  <c r="AB118" i="29"/>
  <c r="AA118" i="29"/>
  <c r="AA67" i="29"/>
  <c r="AB67" i="29"/>
  <c r="AA22" i="29"/>
  <c r="AB22" i="29"/>
  <c r="AD120" i="29"/>
  <c r="Z139" i="29"/>
  <c r="Z137" i="29"/>
  <c r="Z138" i="29"/>
  <c r="AD65" i="29"/>
  <c r="Z81" i="29"/>
  <c r="Z82" i="29"/>
  <c r="Z80" i="29"/>
  <c r="AB76" i="29"/>
  <c r="AA76" i="29"/>
  <c r="AA79" i="29"/>
  <c r="AB133" i="29"/>
  <c r="AA133" i="29"/>
  <c r="AB121" i="29"/>
  <c r="AA121" i="29"/>
  <c r="AB25" i="29"/>
  <c r="AD12" i="29"/>
  <c r="Z28" i="29"/>
  <c r="Z26" i="29"/>
  <c r="Z27" i="29"/>
  <c r="V36" i="29"/>
  <c r="T37" i="29"/>
  <c r="U37" i="29" s="1"/>
  <c r="AF15" i="29" s="1"/>
  <c r="S37" i="29"/>
  <c r="AE15" i="29" s="1"/>
  <c r="X67" i="28"/>
  <c r="Y67" i="28"/>
  <c r="Z67" i="28"/>
  <c r="S67" i="28"/>
  <c r="T67" i="28"/>
  <c r="U67" i="28"/>
  <c r="W11" i="28"/>
  <c r="V11" i="28"/>
  <c r="Y41" i="28"/>
  <c r="X41" i="28"/>
  <c r="T41" i="28"/>
  <c r="U41" i="28"/>
  <c r="Z41" i="28"/>
  <c r="S41" i="28"/>
  <c r="W66" i="28"/>
  <c r="V66" i="28"/>
  <c r="AB40" i="28"/>
  <c r="AA40" i="28"/>
  <c r="AB11" i="28"/>
  <c r="AA11" i="28"/>
  <c r="W40" i="28"/>
  <c r="V40" i="28"/>
  <c r="AA66" i="28"/>
  <c r="AB66" i="28"/>
  <c r="Z12" i="28"/>
  <c r="Y12" i="28"/>
  <c r="U12" i="28"/>
  <c r="X12" i="28"/>
  <c r="T12" i="28"/>
  <c r="S12" i="28"/>
  <c r="W66" i="27"/>
  <c r="V66" i="27"/>
  <c r="U67" i="27"/>
  <c r="X67" i="27"/>
  <c r="Y67" i="27"/>
  <c r="Z67" i="27"/>
  <c r="T67" i="27"/>
  <c r="S67" i="27"/>
  <c r="AA14" i="27"/>
  <c r="AB14" i="27"/>
  <c r="AA40" i="27"/>
  <c r="AB40" i="27"/>
  <c r="Y41" i="27"/>
  <c r="X41" i="27"/>
  <c r="Z41" i="27"/>
  <c r="S41" i="27"/>
  <c r="T41" i="27"/>
  <c r="U41" i="27"/>
  <c r="W14" i="27"/>
  <c r="V14" i="27"/>
  <c r="Y15" i="27"/>
  <c r="S15" i="27"/>
  <c r="Z15" i="27"/>
  <c r="T15" i="27"/>
  <c r="X15" i="27"/>
  <c r="U15" i="27"/>
  <c r="AB66" i="27"/>
  <c r="AA66" i="27"/>
  <c r="W40" i="27"/>
  <c r="V40" i="27"/>
  <c r="AA82" i="30" l="1"/>
  <c r="AB82" i="30"/>
  <c r="AB142" i="30"/>
  <c r="AA142" i="30"/>
  <c r="AD12" i="30"/>
  <c r="Z27" i="30"/>
  <c r="Z28" i="30"/>
  <c r="Z26" i="30"/>
  <c r="AD123" i="30"/>
  <c r="Z148" i="30"/>
  <c r="Z147" i="30"/>
  <c r="Z146" i="30"/>
  <c r="AD66" i="30"/>
  <c r="Z84" i="30"/>
  <c r="Z85" i="30"/>
  <c r="Z83" i="30"/>
  <c r="AB25" i="30"/>
  <c r="AA25" i="30"/>
  <c r="AD122" i="30"/>
  <c r="Z145" i="30"/>
  <c r="Z144" i="30"/>
  <c r="AD121" i="29"/>
  <c r="Z142" i="29"/>
  <c r="Z141" i="29"/>
  <c r="Z140" i="29"/>
  <c r="AD13" i="29"/>
  <c r="Z30" i="29"/>
  <c r="Z31" i="29"/>
  <c r="Z29" i="29"/>
  <c r="AD66" i="29"/>
  <c r="Z84" i="29"/>
  <c r="Z83" i="29"/>
  <c r="Z85" i="29"/>
  <c r="AA28" i="29"/>
  <c r="AB28" i="29"/>
  <c r="AB82" i="29"/>
  <c r="AA82" i="29"/>
  <c r="W37" i="29"/>
  <c r="AG15" i="29" s="1"/>
  <c r="X37" i="29"/>
  <c r="Y37" i="29" s="1"/>
  <c r="AH15" i="29" s="1"/>
  <c r="AB139" i="29"/>
  <c r="AA139" i="29"/>
  <c r="W41" i="28"/>
  <c r="V41" i="28"/>
  <c r="AB12" i="28"/>
  <c r="AA12" i="28"/>
  <c r="U13" i="28"/>
  <c r="Z13" i="28"/>
  <c r="Y13" i="28"/>
  <c r="X13" i="28"/>
  <c r="S13" i="28"/>
  <c r="T13" i="28"/>
  <c r="Y42" i="28"/>
  <c r="U42" i="28"/>
  <c r="X42" i="28"/>
  <c r="T42" i="28"/>
  <c r="Z42" i="28"/>
  <c r="S42" i="28"/>
  <c r="AB41" i="28"/>
  <c r="AA41" i="28"/>
  <c r="AA67" i="28"/>
  <c r="AB67" i="28"/>
  <c r="W12" i="28"/>
  <c r="V12" i="28"/>
  <c r="W67" i="28"/>
  <c r="V67" i="28"/>
  <c r="X68" i="28"/>
  <c r="U68" i="28"/>
  <c r="Y68" i="28"/>
  <c r="S68" i="28"/>
  <c r="Z68" i="28"/>
  <c r="T68" i="28"/>
  <c r="AA15" i="27"/>
  <c r="AB15" i="27"/>
  <c r="AA41" i="27"/>
  <c r="AB41" i="27"/>
  <c r="Y42" i="27"/>
  <c r="T42" i="27"/>
  <c r="X42" i="27"/>
  <c r="Z42" i="27"/>
  <c r="U42" i="27"/>
  <c r="S42" i="27"/>
  <c r="Z68" i="27"/>
  <c r="Y68" i="27"/>
  <c r="U68" i="27"/>
  <c r="X68" i="27"/>
  <c r="S68" i="27"/>
  <c r="T68" i="27"/>
  <c r="W41" i="27"/>
  <c r="V41" i="27"/>
  <c r="X16" i="27"/>
  <c r="Z16" i="27"/>
  <c r="Y16" i="27"/>
  <c r="T16" i="27"/>
  <c r="S16" i="27"/>
  <c r="U16" i="27"/>
  <c r="W15" i="27"/>
  <c r="V15" i="27"/>
  <c r="W67" i="27"/>
  <c r="V67" i="27"/>
  <c r="AB67" i="27"/>
  <c r="AA67" i="27"/>
  <c r="AA145" i="30" l="1"/>
  <c r="AB145" i="30"/>
  <c r="AB28" i="30"/>
  <c r="AA28" i="30"/>
  <c r="AD13" i="30"/>
  <c r="Z31" i="30"/>
  <c r="Z30" i="30"/>
  <c r="Z29" i="30"/>
  <c r="AB85" i="30"/>
  <c r="AA85" i="30"/>
  <c r="AD67" i="30"/>
  <c r="Z88" i="30"/>
  <c r="Z87" i="30"/>
  <c r="Z86" i="30"/>
  <c r="AB148" i="30"/>
  <c r="AA148" i="30"/>
  <c r="AD124" i="30"/>
  <c r="Z151" i="30"/>
  <c r="Z150" i="30"/>
  <c r="Z149" i="30"/>
  <c r="AB142" i="29"/>
  <c r="AA142" i="29"/>
  <c r="AD123" i="29"/>
  <c r="Z148" i="29"/>
  <c r="Z146" i="29"/>
  <c r="Z147" i="29"/>
  <c r="AB85" i="29"/>
  <c r="AA85" i="29"/>
  <c r="AA31" i="29"/>
  <c r="AB31" i="29"/>
  <c r="AD14" i="29"/>
  <c r="Z34" i="29"/>
  <c r="Z33" i="29"/>
  <c r="Z32" i="29"/>
  <c r="AD67" i="29"/>
  <c r="Z87" i="29"/>
  <c r="Z88" i="29"/>
  <c r="Z86" i="29"/>
  <c r="AD122" i="29"/>
  <c r="Z145" i="29"/>
  <c r="Z144" i="29"/>
  <c r="Z143" i="29"/>
  <c r="AA68" i="28"/>
  <c r="AB68" i="28"/>
  <c r="Z43" i="28"/>
  <c r="Y43" i="28"/>
  <c r="X43" i="28"/>
  <c r="U43" i="28"/>
  <c r="S43" i="28"/>
  <c r="T43" i="28"/>
  <c r="W68" i="28"/>
  <c r="V68" i="28"/>
  <c r="X69" i="28"/>
  <c r="Y69" i="28"/>
  <c r="Z69" i="28"/>
  <c r="S69" i="28"/>
  <c r="U69" i="28"/>
  <c r="T69" i="28"/>
  <c r="AB42" i="28"/>
  <c r="AA42" i="28"/>
  <c r="W42" i="28"/>
  <c r="V42" i="28"/>
  <c r="W13" i="28"/>
  <c r="V13" i="28"/>
  <c r="AB13" i="28"/>
  <c r="AA13" i="28"/>
  <c r="Z14" i="28"/>
  <c r="Y14" i="28"/>
  <c r="T14" i="28"/>
  <c r="U14" i="28"/>
  <c r="X14" i="28"/>
  <c r="S14" i="28"/>
  <c r="AB68" i="27"/>
  <c r="AA68" i="27"/>
  <c r="U69" i="27"/>
  <c r="Z69" i="27"/>
  <c r="X69" i="27"/>
  <c r="Y69" i="27"/>
  <c r="T69" i="27"/>
  <c r="S69" i="27"/>
  <c r="AA42" i="27"/>
  <c r="AB42" i="27"/>
  <c r="W42" i="27"/>
  <c r="V42" i="27"/>
  <c r="W16" i="27"/>
  <c r="V16" i="27"/>
  <c r="S17" i="27"/>
  <c r="X17" i="27"/>
  <c r="Z17" i="27"/>
  <c r="Y17" i="27"/>
  <c r="U17" i="27"/>
  <c r="T17" i="27"/>
  <c r="Z43" i="27"/>
  <c r="Y43" i="27"/>
  <c r="T43" i="27"/>
  <c r="X43" i="27"/>
  <c r="S43" i="27"/>
  <c r="U43" i="27"/>
  <c r="AA16" i="27"/>
  <c r="AB16" i="27"/>
  <c r="W68" i="27"/>
  <c r="V68" i="27"/>
  <c r="AD68" i="30" l="1"/>
  <c r="Z91" i="30"/>
  <c r="Z90" i="30"/>
  <c r="Z89" i="30"/>
  <c r="AA88" i="30"/>
  <c r="AB88" i="30"/>
  <c r="AD14" i="30"/>
  <c r="Z34" i="30"/>
  <c r="Z32" i="30"/>
  <c r="Z33" i="30"/>
  <c r="AB151" i="30"/>
  <c r="AA151" i="30"/>
  <c r="AD69" i="30"/>
  <c r="Z93" i="30"/>
  <c r="Z92" i="30"/>
  <c r="Z94" i="30"/>
  <c r="AD125" i="30"/>
  <c r="Z154" i="30"/>
  <c r="Z153" i="30"/>
  <c r="Z152" i="30"/>
  <c r="AA31" i="30"/>
  <c r="AB31" i="30"/>
  <c r="AD15" i="29"/>
  <c r="Z37" i="29"/>
  <c r="Z35" i="29"/>
  <c r="Z36" i="29"/>
  <c r="AD16" i="29"/>
  <c r="Z40" i="29"/>
  <c r="Z39" i="29"/>
  <c r="Z38" i="29"/>
  <c r="AB145" i="29"/>
  <c r="AA145" i="29"/>
  <c r="AB88" i="29"/>
  <c r="AA88" i="29"/>
  <c r="AD69" i="29"/>
  <c r="Z94" i="29"/>
  <c r="Z93" i="29"/>
  <c r="Z92" i="29"/>
  <c r="AD124" i="29"/>
  <c r="Z151" i="29"/>
  <c r="Z150" i="29"/>
  <c r="Z149" i="29"/>
  <c r="AD68" i="29"/>
  <c r="Z90" i="29"/>
  <c r="Z91" i="29"/>
  <c r="Z89" i="29"/>
  <c r="AB148" i="29"/>
  <c r="AA148" i="29"/>
  <c r="AA34" i="29"/>
  <c r="AB34" i="29"/>
  <c r="W69" i="28"/>
  <c r="V69" i="28"/>
  <c r="AB14" i="28"/>
  <c r="AA14" i="28"/>
  <c r="V43" i="28"/>
  <c r="W43" i="28"/>
  <c r="Y44" i="28"/>
  <c r="X44" i="28"/>
  <c r="Z44" i="28"/>
  <c r="S44" i="28"/>
  <c r="T44" i="28"/>
  <c r="U44" i="28"/>
  <c r="AA43" i="28"/>
  <c r="AB43" i="28"/>
  <c r="Y15" i="28"/>
  <c r="Z15" i="28"/>
  <c r="U15" i="28"/>
  <c r="X15" i="28"/>
  <c r="T15" i="28"/>
  <c r="S15" i="28"/>
  <c r="AB69" i="28"/>
  <c r="AA69" i="28"/>
  <c r="V14" i="28"/>
  <c r="W14" i="28"/>
  <c r="X70" i="28"/>
  <c r="S70" i="28"/>
  <c r="Y70" i="28"/>
  <c r="Z70" i="28"/>
  <c r="U70" i="28"/>
  <c r="T70" i="28"/>
  <c r="W43" i="27"/>
  <c r="V43" i="27"/>
  <c r="Y18" i="27"/>
  <c r="Z18" i="27"/>
  <c r="X18" i="27"/>
  <c r="T18" i="27"/>
  <c r="U18" i="27"/>
  <c r="S18" i="27"/>
  <c r="AA43" i="27"/>
  <c r="AB43" i="27"/>
  <c r="Z70" i="27"/>
  <c r="Y70" i="27"/>
  <c r="U70" i="27"/>
  <c r="X70" i="27"/>
  <c r="T70" i="27"/>
  <c r="S70" i="27"/>
  <c r="AA17" i="27"/>
  <c r="AB17" i="27"/>
  <c r="AB69" i="27"/>
  <c r="AA69" i="27"/>
  <c r="U44" i="27"/>
  <c r="T44" i="27"/>
  <c r="Z44" i="27"/>
  <c r="Y44" i="27"/>
  <c r="X44" i="27"/>
  <c r="S44" i="27"/>
  <c r="W17" i="27"/>
  <c r="V17" i="27"/>
  <c r="W69" i="27"/>
  <c r="V69" i="27"/>
  <c r="AB154" i="30" l="1"/>
  <c r="AA154" i="30"/>
  <c r="AD70" i="30"/>
  <c r="Z97" i="30"/>
  <c r="Z96" i="30"/>
  <c r="Z95" i="30"/>
  <c r="AB94" i="30"/>
  <c r="AA94" i="30"/>
  <c r="AD126" i="30"/>
  <c r="Z156" i="30"/>
  <c r="Z157" i="30"/>
  <c r="Z155" i="30"/>
  <c r="AB91" i="30"/>
  <c r="AA91" i="30"/>
  <c r="AB34" i="30"/>
  <c r="AA34" i="30"/>
  <c r="AD15" i="30"/>
  <c r="Z37" i="30"/>
  <c r="Z36" i="30"/>
  <c r="Z35" i="30"/>
  <c r="AD16" i="30"/>
  <c r="Z40" i="30"/>
  <c r="Z39" i="30"/>
  <c r="Z38" i="30"/>
  <c r="AB94" i="29"/>
  <c r="AA94" i="29"/>
  <c r="AD70" i="29"/>
  <c r="Z96" i="29"/>
  <c r="Z97" i="29"/>
  <c r="Z95" i="29"/>
  <c r="AB91" i="29"/>
  <c r="AA91" i="29"/>
  <c r="AB151" i="29"/>
  <c r="AA151" i="29"/>
  <c r="AD125" i="29"/>
  <c r="Z153" i="29"/>
  <c r="Z154" i="29"/>
  <c r="Z152" i="29"/>
  <c r="AA37" i="29"/>
  <c r="AB37" i="29"/>
  <c r="AA40" i="29"/>
  <c r="AB40" i="29"/>
  <c r="AD17" i="29"/>
  <c r="Z43" i="29"/>
  <c r="Z42" i="29"/>
  <c r="Z41" i="29"/>
  <c r="X71" i="28"/>
  <c r="Y71" i="28"/>
  <c r="Z71" i="28"/>
  <c r="S71" i="28"/>
  <c r="U71" i="28"/>
  <c r="T71" i="28"/>
  <c r="AB15" i="28"/>
  <c r="AA15" i="28"/>
  <c r="Z16" i="28"/>
  <c r="U16" i="28"/>
  <c r="Y16" i="28"/>
  <c r="X16" i="28"/>
  <c r="T16" i="28"/>
  <c r="S16" i="28"/>
  <c r="W70" i="28"/>
  <c r="V70" i="28"/>
  <c r="AB70" i="28"/>
  <c r="AA70" i="28"/>
  <c r="V44" i="28"/>
  <c r="W44" i="28"/>
  <c r="X45" i="28"/>
  <c r="T45" i="28"/>
  <c r="S45" i="28"/>
  <c r="Y45" i="28"/>
  <c r="Z45" i="28"/>
  <c r="U45" i="28"/>
  <c r="W15" i="28"/>
  <c r="V15" i="28"/>
  <c r="AA44" i="28"/>
  <c r="AB44" i="28"/>
  <c r="AA44" i="27"/>
  <c r="AB44" i="27"/>
  <c r="AB70" i="27"/>
  <c r="AA70" i="27"/>
  <c r="X45" i="27"/>
  <c r="Z45" i="27"/>
  <c r="Y45" i="27"/>
  <c r="T45" i="27"/>
  <c r="S45" i="27"/>
  <c r="U45" i="27"/>
  <c r="W70" i="27"/>
  <c r="V70" i="27"/>
  <c r="AB18" i="27"/>
  <c r="AA18" i="27"/>
  <c r="U71" i="27"/>
  <c r="X71" i="27"/>
  <c r="Z71" i="27"/>
  <c r="Y71" i="27"/>
  <c r="T71" i="27"/>
  <c r="S71" i="27"/>
  <c r="Y19" i="27"/>
  <c r="X19" i="27"/>
  <c r="T19" i="27"/>
  <c r="Z19" i="27"/>
  <c r="U19" i="27"/>
  <c r="S19" i="27"/>
  <c r="W44" i="27"/>
  <c r="V44" i="27"/>
  <c r="W18" i="27"/>
  <c r="V18" i="27"/>
  <c r="AB40" i="30" l="1"/>
  <c r="AA40" i="30"/>
  <c r="AD17" i="30"/>
  <c r="Z43" i="30"/>
  <c r="Z42" i="30"/>
  <c r="Z41" i="30"/>
  <c r="AB97" i="30"/>
  <c r="AA97" i="30"/>
  <c r="AD71" i="30"/>
  <c r="Z99" i="30"/>
  <c r="Z100" i="30"/>
  <c r="Z98" i="30"/>
  <c r="AA37" i="30"/>
  <c r="AB37" i="30"/>
  <c r="AB157" i="30"/>
  <c r="AA157" i="30"/>
  <c r="AD127" i="30"/>
  <c r="Z159" i="30"/>
  <c r="Z160" i="30"/>
  <c r="Z158" i="30"/>
  <c r="AB154" i="29"/>
  <c r="AA154" i="29"/>
  <c r="AD126" i="29"/>
  <c r="Z157" i="29"/>
  <c r="Z155" i="29"/>
  <c r="Z156" i="29"/>
  <c r="AB97" i="29"/>
  <c r="AA97" i="29"/>
  <c r="AD71" i="29"/>
  <c r="Z99" i="29"/>
  <c r="Z100" i="29"/>
  <c r="Z98" i="29"/>
  <c r="AB43" i="29"/>
  <c r="AA43" i="29"/>
  <c r="AD18" i="29"/>
  <c r="Z45" i="29"/>
  <c r="Z46" i="29"/>
  <c r="Z44" i="29"/>
  <c r="W16" i="28"/>
  <c r="V16" i="28"/>
  <c r="AB45" i="28"/>
  <c r="AA45" i="28"/>
  <c r="Y17" i="28"/>
  <c r="Z17" i="28"/>
  <c r="U17" i="28"/>
  <c r="X17" i="28"/>
  <c r="T17" i="28"/>
  <c r="S17" i="28"/>
  <c r="V45" i="28"/>
  <c r="W45" i="28"/>
  <c r="AB16" i="28"/>
  <c r="AA16" i="28"/>
  <c r="AB71" i="28"/>
  <c r="AA71" i="28"/>
  <c r="X46" i="28"/>
  <c r="Z46" i="28"/>
  <c r="Y46" i="28"/>
  <c r="U46" i="28"/>
  <c r="T46" i="28"/>
  <c r="S46" i="28"/>
  <c r="W71" i="28"/>
  <c r="V71" i="28"/>
  <c r="X72" i="28"/>
  <c r="Y72" i="28"/>
  <c r="Z72" i="28"/>
  <c r="U72" i="28"/>
  <c r="T72" i="28"/>
  <c r="S72" i="28"/>
  <c r="W71" i="27"/>
  <c r="V71" i="27"/>
  <c r="AB71" i="27"/>
  <c r="AA71" i="27"/>
  <c r="W45" i="27"/>
  <c r="V45" i="27"/>
  <c r="AB45" i="27"/>
  <c r="AA45" i="27"/>
  <c r="Z72" i="27"/>
  <c r="Y72" i="27"/>
  <c r="U72" i="27"/>
  <c r="X72" i="27"/>
  <c r="T72" i="27"/>
  <c r="S72" i="27"/>
  <c r="Z20" i="27"/>
  <c r="Y20" i="27"/>
  <c r="T20" i="27"/>
  <c r="U20" i="27"/>
  <c r="X20" i="27"/>
  <c r="S20" i="27"/>
  <c r="W19" i="27"/>
  <c r="V19" i="27"/>
  <c r="AB19" i="27"/>
  <c r="AA19" i="27"/>
  <c r="Z46" i="27"/>
  <c r="Y46" i="27"/>
  <c r="T46" i="27"/>
  <c r="S46" i="27"/>
  <c r="X46" i="27"/>
  <c r="U46" i="27"/>
  <c r="AD18" i="30" l="1"/>
  <c r="Z46" i="30"/>
  <c r="Z45" i="30"/>
  <c r="Z44" i="30"/>
  <c r="AA160" i="30"/>
  <c r="AB160" i="30"/>
  <c r="AA43" i="30"/>
  <c r="AB43" i="30"/>
  <c r="AB100" i="30"/>
  <c r="AA100" i="30"/>
  <c r="AD72" i="30"/>
  <c r="Z102" i="30"/>
  <c r="Z103" i="30"/>
  <c r="Z101" i="30"/>
  <c r="AD128" i="30"/>
  <c r="Z163" i="30"/>
  <c r="Z161" i="30"/>
  <c r="Z162" i="30"/>
  <c r="AD72" i="29"/>
  <c r="Z102" i="29"/>
  <c r="Z103" i="29"/>
  <c r="Z101" i="29"/>
  <c r="AB46" i="29"/>
  <c r="AA46" i="29"/>
  <c r="AB100" i="29"/>
  <c r="AA100" i="29"/>
  <c r="AB157" i="29"/>
  <c r="AA157" i="29"/>
  <c r="AD127" i="29"/>
  <c r="Z159" i="29"/>
  <c r="Z160" i="29"/>
  <c r="Z158" i="29"/>
  <c r="AD19" i="29"/>
  <c r="Z49" i="29"/>
  <c r="Z47" i="29"/>
  <c r="Z48" i="29"/>
  <c r="AB72" i="28"/>
  <c r="AA72" i="28"/>
  <c r="V46" i="28"/>
  <c r="W46" i="28"/>
  <c r="Z73" i="28"/>
  <c r="Y73" i="28"/>
  <c r="X73" i="28"/>
  <c r="U73" i="28"/>
  <c r="T73" i="28"/>
  <c r="S73" i="28"/>
  <c r="AB46" i="28"/>
  <c r="AA46" i="28"/>
  <c r="V17" i="28"/>
  <c r="W17" i="28"/>
  <c r="S47" i="28"/>
  <c r="Z47" i="28"/>
  <c r="X47" i="28"/>
  <c r="Y47" i="28"/>
  <c r="T47" i="28"/>
  <c r="U47" i="28"/>
  <c r="W72" i="28"/>
  <c r="V72" i="28"/>
  <c r="AB17" i="28"/>
  <c r="AA17" i="28"/>
  <c r="Z18" i="28"/>
  <c r="Y18" i="28"/>
  <c r="U18" i="28"/>
  <c r="X18" i="28"/>
  <c r="T18" i="28"/>
  <c r="S18" i="28"/>
  <c r="Z47" i="27"/>
  <c r="U47" i="27"/>
  <c r="Y47" i="27"/>
  <c r="X47" i="27"/>
  <c r="S47" i="27"/>
  <c r="T47" i="27"/>
  <c r="AB46" i="27"/>
  <c r="AA46" i="27"/>
  <c r="W46" i="27"/>
  <c r="V46" i="27"/>
  <c r="W72" i="27"/>
  <c r="V72" i="27"/>
  <c r="W20" i="27"/>
  <c r="V20" i="27"/>
  <c r="AB20" i="27"/>
  <c r="AA20" i="27"/>
  <c r="Y21" i="27"/>
  <c r="Z21" i="27"/>
  <c r="T21" i="27"/>
  <c r="X21" i="27"/>
  <c r="U21" i="27"/>
  <c r="S21" i="27"/>
  <c r="AB72" i="27"/>
  <c r="AA72" i="27"/>
  <c r="U73" i="27"/>
  <c r="Z73" i="27"/>
  <c r="X73" i="27"/>
  <c r="Y73" i="27"/>
  <c r="S73" i="27"/>
  <c r="T73" i="27"/>
  <c r="AB103" i="30" l="1"/>
  <c r="AA103" i="30"/>
  <c r="AB163" i="30"/>
  <c r="AA163" i="30"/>
  <c r="AD73" i="30"/>
  <c r="Z106" i="30"/>
  <c r="Z104" i="30"/>
  <c r="Z105" i="30"/>
  <c r="AB46" i="30"/>
  <c r="AA46" i="30"/>
  <c r="AD19" i="30"/>
  <c r="Z49" i="30"/>
  <c r="Z48" i="30"/>
  <c r="Z47" i="30"/>
  <c r="AD20" i="29"/>
  <c r="Z51" i="29"/>
  <c r="Z52" i="29"/>
  <c r="Z50" i="29"/>
  <c r="AB49" i="29"/>
  <c r="AA49" i="29"/>
  <c r="AB160" i="29"/>
  <c r="AA160" i="29"/>
  <c r="AD128" i="29"/>
  <c r="Z161" i="29"/>
  <c r="Z162" i="29"/>
  <c r="Z163" i="29"/>
  <c r="AD73" i="29"/>
  <c r="Z106" i="29"/>
  <c r="Z105" i="29"/>
  <c r="Z104" i="29"/>
  <c r="AB103" i="29"/>
  <c r="AA103" i="29"/>
  <c r="W73" i="28"/>
  <c r="V73" i="28"/>
  <c r="V18" i="28"/>
  <c r="W18" i="28"/>
  <c r="V47" i="28"/>
  <c r="W47" i="28"/>
  <c r="Y48" i="28"/>
  <c r="X48" i="28"/>
  <c r="S48" i="28"/>
  <c r="Z48" i="28"/>
  <c r="U48" i="28"/>
  <c r="T48" i="28"/>
  <c r="X74" i="28"/>
  <c r="Y74" i="28"/>
  <c r="Z74" i="28"/>
  <c r="U74" i="28"/>
  <c r="S74" i="28"/>
  <c r="T74" i="28"/>
  <c r="AB18" i="28"/>
  <c r="AA18" i="28"/>
  <c r="Z19" i="28"/>
  <c r="U19" i="28"/>
  <c r="Y19" i="28"/>
  <c r="T19" i="28"/>
  <c r="X19" i="28"/>
  <c r="S19" i="28"/>
  <c r="AB47" i="28"/>
  <c r="AA47" i="28"/>
  <c r="S49" i="28"/>
  <c r="Z49" i="28"/>
  <c r="X49" i="28"/>
  <c r="Y49" i="28"/>
  <c r="T49" i="28"/>
  <c r="U49" i="28"/>
  <c r="AB73" i="28"/>
  <c r="AA73" i="28"/>
  <c r="X75" i="28"/>
  <c r="Y75" i="28"/>
  <c r="Z75" i="28"/>
  <c r="S75" i="28"/>
  <c r="T75" i="28"/>
  <c r="U75" i="28"/>
  <c r="Z22" i="27"/>
  <c r="Y22" i="27"/>
  <c r="T22" i="27"/>
  <c r="X22" i="27"/>
  <c r="S22" i="27"/>
  <c r="U22" i="27"/>
  <c r="W47" i="27"/>
  <c r="V47" i="27"/>
  <c r="Y74" i="27"/>
  <c r="U74" i="27"/>
  <c r="Z74" i="27"/>
  <c r="X74" i="27"/>
  <c r="S74" i="27"/>
  <c r="T74" i="27"/>
  <c r="W21" i="27"/>
  <c r="V21" i="27"/>
  <c r="AB47" i="27"/>
  <c r="AA47" i="27"/>
  <c r="Y49" i="27"/>
  <c r="U49" i="27"/>
  <c r="X49" i="27"/>
  <c r="Z49" i="27"/>
  <c r="T49" i="27"/>
  <c r="S49" i="27"/>
  <c r="AB21" i="27"/>
  <c r="AA21" i="27"/>
  <c r="W73" i="27"/>
  <c r="V73" i="27"/>
  <c r="Z23" i="27"/>
  <c r="Y23" i="27"/>
  <c r="T23" i="27"/>
  <c r="U23" i="27"/>
  <c r="X23" i="27"/>
  <c r="S23" i="27"/>
  <c r="AB73" i="27"/>
  <c r="AA73" i="27"/>
  <c r="Z75" i="27"/>
  <c r="X75" i="27"/>
  <c r="U75" i="27"/>
  <c r="Y75" i="27"/>
  <c r="T75" i="27"/>
  <c r="S75" i="27"/>
  <c r="Y48" i="27"/>
  <c r="U48" i="27"/>
  <c r="X48" i="27"/>
  <c r="Z48" i="27"/>
  <c r="S48" i="27"/>
  <c r="T48" i="27"/>
  <c r="AA49" i="30" l="1"/>
  <c r="AB49" i="30"/>
  <c r="AB106" i="30"/>
  <c r="AA106" i="30"/>
  <c r="AD20" i="30"/>
  <c r="Z50" i="30"/>
  <c r="Z51" i="30"/>
  <c r="Z52" i="30"/>
  <c r="AD74" i="30"/>
  <c r="Z109" i="30"/>
  <c r="Z107" i="30"/>
  <c r="Z108" i="30"/>
  <c r="AA106" i="29"/>
  <c r="AB106" i="29"/>
  <c r="AB163" i="29"/>
  <c r="AA163" i="29"/>
  <c r="AD74" i="29"/>
  <c r="Z108" i="29"/>
  <c r="Z109" i="29"/>
  <c r="Z107" i="29"/>
  <c r="AB52" i="29"/>
  <c r="AA52" i="29"/>
  <c r="AD21" i="29"/>
  <c r="Z54" i="29"/>
  <c r="Z55" i="29"/>
  <c r="Z53" i="29"/>
  <c r="AB49" i="28"/>
  <c r="AA49" i="28"/>
  <c r="W74" i="28"/>
  <c r="V74" i="28"/>
  <c r="AB74" i="28"/>
  <c r="AA74" i="28"/>
  <c r="AB75" i="28"/>
  <c r="AA75" i="28"/>
  <c r="AB48" i="28"/>
  <c r="AA48" i="28"/>
  <c r="V48" i="28"/>
  <c r="W48" i="28"/>
  <c r="W75" i="28"/>
  <c r="V75" i="28"/>
  <c r="X76" i="28"/>
  <c r="Y76" i="28"/>
  <c r="Z76" i="28"/>
  <c r="U76" i="28"/>
  <c r="S76" i="28"/>
  <c r="T76" i="28"/>
  <c r="V49" i="28"/>
  <c r="W49" i="28"/>
  <c r="W19" i="28"/>
  <c r="V19" i="28"/>
  <c r="U20" i="28"/>
  <c r="Z20" i="28"/>
  <c r="X20" i="28"/>
  <c r="Y20" i="28"/>
  <c r="T20" i="28"/>
  <c r="S20" i="28"/>
  <c r="X50" i="28"/>
  <c r="Y50" i="28"/>
  <c r="S50" i="28"/>
  <c r="Z50" i="28"/>
  <c r="U50" i="28"/>
  <c r="T50" i="28"/>
  <c r="AB19" i="28"/>
  <c r="AA19" i="28"/>
  <c r="AB23" i="27"/>
  <c r="AA23" i="27"/>
  <c r="Z50" i="27"/>
  <c r="Y50" i="27"/>
  <c r="X50" i="27"/>
  <c r="W48" i="27"/>
  <c r="V48" i="27"/>
  <c r="AB49" i="27"/>
  <c r="AA49" i="27"/>
  <c r="AB48" i="27"/>
  <c r="AA48" i="27"/>
  <c r="W23" i="27"/>
  <c r="V23" i="27"/>
  <c r="AB74" i="27"/>
  <c r="AA74" i="27"/>
  <c r="AB22" i="27"/>
  <c r="AA22" i="27"/>
  <c r="Z76" i="27"/>
  <c r="U76" i="27"/>
  <c r="Y76" i="27"/>
  <c r="X76" i="27"/>
  <c r="S76" i="27"/>
  <c r="T76" i="27"/>
  <c r="Z24" i="27"/>
  <c r="Y24" i="27"/>
  <c r="T24" i="27"/>
  <c r="X24" i="27"/>
  <c r="U24" i="27"/>
  <c r="S24" i="27"/>
  <c r="W75" i="27"/>
  <c r="V75" i="27"/>
  <c r="AB75" i="27"/>
  <c r="AA75" i="27"/>
  <c r="V49" i="27"/>
  <c r="W49" i="27"/>
  <c r="W74" i="27"/>
  <c r="V74" i="27"/>
  <c r="W22" i="27"/>
  <c r="V22" i="27"/>
  <c r="AA109" i="30" l="1"/>
  <c r="AB109" i="30"/>
  <c r="AB52" i="30"/>
  <c r="AA52" i="30"/>
  <c r="AD21" i="30"/>
  <c r="Z55" i="30"/>
  <c r="Z53" i="30"/>
  <c r="Z54" i="30"/>
  <c r="AB55" i="29"/>
  <c r="AA55" i="29"/>
  <c r="AB109" i="29"/>
  <c r="AA109" i="29"/>
  <c r="W20" i="28"/>
  <c r="V20" i="28"/>
  <c r="V50" i="28"/>
  <c r="W50" i="28"/>
  <c r="W76" i="28"/>
  <c r="V76" i="28"/>
  <c r="AB76" i="28"/>
  <c r="AA76" i="28"/>
  <c r="Y21" i="28"/>
  <c r="U21" i="28"/>
  <c r="X21" i="28"/>
  <c r="Z21" i="28"/>
  <c r="T21" i="28"/>
  <c r="S21" i="28"/>
  <c r="Z77" i="28"/>
  <c r="Y77" i="28"/>
  <c r="X77" i="28"/>
  <c r="U77" i="28"/>
  <c r="T77" i="28"/>
  <c r="S77" i="28"/>
  <c r="AB50" i="28"/>
  <c r="AA50" i="28"/>
  <c r="Z51" i="28"/>
  <c r="X51" i="28"/>
  <c r="S51" i="28"/>
  <c r="Y51" i="28"/>
  <c r="U51" i="28"/>
  <c r="T51" i="28"/>
  <c r="AB20" i="28"/>
  <c r="AA20" i="28"/>
  <c r="W76" i="27"/>
  <c r="V76" i="27"/>
  <c r="Z51" i="27"/>
  <c r="X51" i="27"/>
  <c r="Y51" i="27"/>
  <c r="Z25" i="27"/>
  <c r="Y25" i="27"/>
  <c r="X25" i="27"/>
  <c r="T25" i="27"/>
  <c r="U25" i="27"/>
  <c r="S25" i="27"/>
  <c r="AB76" i="27"/>
  <c r="AA76" i="27"/>
  <c r="U77" i="27"/>
  <c r="Z77" i="27"/>
  <c r="X77" i="27"/>
  <c r="Y77" i="27"/>
  <c r="T77" i="27"/>
  <c r="S77" i="27"/>
  <c r="AB50" i="27"/>
  <c r="AA50" i="27"/>
  <c r="W24" i="27"/>
  <c r="V24" i="27"/>
  <c r="AB24" i="27"/>
  <c r="AA24" i="27"/>
  <c r="W50" i="27"/>
  <c r="V50" i="27"/>
  <c r="AB55" i="30" l="1"/>
  <c r="AA55" i="30"/>
  <c r="AB51" i="28"/>
  <c r="AA51" i="28"/>
  <c r="AB77" i="28"/>
  <c r="AA77" i="28"/>
  <c r="W77" i="28"/>
  <c r="V77" i="28"/>
  <c r="Z22" i="28"/>
  <c r="Y22" i="28"/>
  <c r="U22" i="28"/>
  <c r="X22" i="28"/>
  <c r="T22" i="28"/>
  <c r="S22" i="28"/>
  <c r="W21" i="28"/>
  <c r="V21" i="28"/>
  <c r="V51" i="28"/>
  <c r="W51" i="28"/>
  <c r="X78" i="28"/>
  <c r="Y78" i="28"/>
  <c r="Z78" i="28"/>
  <c r="U78" i="28"/>
  <c r="S78" i="28"/>
  <c r="T78" i="28"/>
  <c r="AB21" i="28"/>
  <c r="AA21" i="28"/>
  <c r="U23" i="28"/>
  <c r="Y23" i="28"/>
  <c r="Z23" i="28"/>
  <c r="X23" i="28"/>
  <c r="T23" i="28"/>
  <c r="S23" i="28"/>
  <c r="W25" i="27"/>
  <c r="V25" i="27"/>
  <c r="W51" i="27"/>
  <c r="V51" i="27"/>
  <c r="Z27" i="27"/>
  <c r="Y27" i="27"/>
  <c r="X27" i="27"/>
  <c r="AB77" i="27"/>
  <c r="AA77" i="27"/>
  <c r="AB51" i="27"/>
  <c r="AA51" i="27"/>
  <c r="X53" i="27"/>
  <c r="Y53" i="27"/>
  <c r="Z53" i="27"/>
  <c r="W77" i="27"/>
  <c r="V77" i="27"/>
  <c r="AB25" i="27"/>
  <c r="AA25" i="27"/>
  <c r="W78" i="28" l="1"/>
  <c r="V78" i="28"/>
  <c r="V22" i="28"/>
  <c r="W22" i="28"/>
  <c r="AB22" i="28"/>
  <c r="AA22" i="28"/>
  <c r="AB23" i="28"/>
  <c r="AA23" i="28"/>
  <c r="U24" i="28"/>
  <c r="X24" i="28"/>
  <c r="Z24" i="28"/>
  <c r="T24" i="28"/>
  <c r="Y24" i="28"/>
  <c r="S24" i="28"/>
  <c r="AB78" i="28"/>
  <c r="AA78" i="28"/>
  <c r="W23" i="28"/>
  <c r="V23" i="28"/>
  <c r="W27" i="27"/>
  <c r="V27" i="27"/>
  <c r="AB53" i="27"/>
  <c r="AA53" i="27"/>
  <c r="AB27" i="27"/>
  <c r="AA27" i="27"/>
  <c r="W53" i="27"/>
  <c r="V53" i="27"/>
  <c r="W24" i="28" l="1"/>
  <c r="V24" i="28"/>
  <c r="AB24" i="28"/>
  <c r="AA24" i="28"/>
  <c r="Y26" i="28"/>
  <c r="X26" i="28"/>
  <c r="Z26" i="28"/>
  <c r="T27" i="28" l="1"/>
  <c r="Y27" i="28"/>
  <c r="X27" i="28"/>
  <c r="U27" i="28"/>
  <c r="Z27" i="28"/>
  <c r="S27" i="28"/>
  <c r="AB26" i="28"/>
  <c r="AA26" i="28"/>
  <c r="W26" i="28"/>
  <c r="V26" i="28"/>
  <c r="AB27" i="28" l="1"/>
  <c r="AA27" i="28"/>
  <c r="W27" i="28"/>
  <c r="V27" i="28"/>
</calcChain>
</file>

<file path=xl/sharedStrings.xml><?xml version="1.0" encoding="utf-8"?>
<sst xmlns="http://schemas.openxmlformats.org/spreadsheetml/2006/main" count="1350" uniqueCount="114">
  <si>
    <t>Date</t>
  </si>
  <si>
    <t>Time</t>
  </si>
  <si>
    <t>Hours</t>
  </si>
  <si>
    <t>Days</t>
  </si>
  <si>
    <t>Average biomass concentration</t>
  </si>
  <si>
    <t>Average Ln of biomass concentration</t>
  </si>
  <si>
    <t>Growth rate</t>
  </si>
  <si>
    <t>g/L</t>
  </si>
  <si>
    <t>620 (Blank)</t>
  </si>
  <si>
    <t>650 (Blank)</t>
  </si>
  <si>
    <t>Biomass concentration</t>
  </si>
  <si>
    <t>Amount of biomass</t>
  </si>
  <si>
    <t>Error</t>
  </si>
  <si>
    <t>nm</t>
  </si>
  <si>
    <t>mg/ml</t>
  </si>
  <si>
    <t>g/l</t>
  </si>
  <si>
    <t>g</t>
  </si>
  <si>
    <t>Day</t>
  </si>
  <si>
    <t>Blank</t>
  </si>
  <si>
    <t>OD (410 nm) readings</t>
  </si>
  <si>
    <t>Average N content</t>
  </si>
  <si>
    <t>N concentration</t>
  </si>
  <si>
    <t>µg</t>
  </si>
  <si>
    <t>mol/l</t>
  </si>
  <si>
    <t>12/10/2021</t>
  </si>
  <si>
    <t>13/10/2021</t>
  </si>
  <si>
    <t>14/10/2021</t>
  </si>
  <si>
    <t>15/10/2021</t>
  </si>
  <si>
    <t>16/10/2021</t>
  </si>
  <si>
    <t>17/10/2021</t>
  </si>
  <si>
    <t>18/10/2021</t>
  </si>
  <si>
    <t>19/10/2021</t>
  </si>
  <si>
    <t>20/10/2021</t>
  </si>
  <si>
    <t>21/10/2021</t>
  </si>
  <si>
    <t>22/10/2021</t>
  </si>
  <si>
    <t>23/10/2021</t>
  </si>
  <si>
    <t>24/10/2021</t>
  </si>
  <si>
    <t>25/10/2021</t>
  </si>
  <si>
    <t>26/10/2021</t>
  </si>
  <si>
    <t>27/10/2021</t>
  </si>
  <si>
    <t>28/10/2021</t>
  </si>
  <si>
    <t>29/10/2021</t>
  </si>
  <si>
    <t>30/10/2021</t>
  </si>
  <si>
    <t>Lab work by: Karen Ssekimpi</t>
  </si>
  <si>
    <t>Project Leader: A. Prof. Marijke Fagan-Endres, Prof. Sue Harrison, Dr Mariette Smart</t>
  </si>
  <si>
    <t>all assays by Karen Ssekimpi</t>
  </si>
  <si>
    <r>
      <t xml:space="preserve">The two </t>
    </r>
    <r>
      <rPr>
        <i/>
        <sz val="11"/>
        <color theme="1"/>
        <rFont val="Arial"/>
        <family val="2"/>
      </rPr>
      <t>Spirulina</t>
    </r>
    <r>
      <rPr>
        <sz val="11"/>
        <color theme="1"/>
        <rFont val="Arial"/>
        <family val="2"/>
      </rPr>
      <t xml:space="preserve"> strains, a type strain obtained from the University of Texas culture collection (UTEX #1926) and a Centre for Bioprocess Engineering Research (CeBER) strain previously isolated from a local tannery wastewater dam, were grown at room temperature under different conditions. These conditions include fluorescent light, different coloured LEDs, and an additional nitrogen source.</t>
    </r>
  </si>
  <si>
    <r>
      <rPr>
        <b/>
        <sz val="10"/>
        <color theme="1"/>
        <rFont val="Arial"/>
        <family val="2"/>
      </rPr>
      <t>Daily measurements:</t>
    </r>
    <r>
      <rPr>
        <sz val="10"/>
        <color theme="1"/>
        <rFont val="Arial"/>
        <family val="2"/>
      </rPr>
      <t xml:space="preserve"> Absorbance at 750 nm for biomass concentration, 620 and 650 nm for c-phycocyanin determination, and 410 nm for nitrate determination</t>
    </r>
  </si>
  <si>
    <t>Start date:</t>
  </si>
  <si>
    <t>End date:</t>
  </si>
  <si>
    <t>Table of Contents</t>
  </si>
  <si>
    <t>Sheet #</t>
  </si>
  <si>
    <t>Description</t>
  </si>
  <si>
    <t xml:space="preserve">Information Sheet </t>
  </si>
  <si>
    <t>Details experiments conducted</t>
  </si>
  <si>
    <t>Growth curves CeBER</t>
  </si>
  <si>
    <t>Growth curves UTEX #1926</t>
  </si>
  <si>
    <t>C-phycocyanin CeBER</t>
  </si>
  <si>
    <t>C-phycocyanin UTEX #1926</t>
  </si>
  <si>
    <t>Nitrate content CeBER</t>
  </si>
  <si>
    <t>Nitrate content UTEX #1926</t>
  </si>
  <si>
    <r>
      <rPr>
        <i/>
        <sz val="11"/>
        <color theme="1"/>
        <rFont val="Arial"/>
        <family val="2"/>
      </rPr>
      <t>Spirulina</t>
    </r>
    <r>
      <rPr>
        <sz val="11"/>
        <color theme="1"/>
        <rFont val="Arial"/>
        <family val="2"/>
      </rPr>
      <t xml:space="preserve"> was grown in yellow light at 40 µmol/m^2.s, 60 µmol/m^2.s, and 80 µmol/m^2.s. </t>
    </r>
  </si>
  <si>
    <r>
      <t xml:space="preserve">Details growth data achieved when growing the CeBER </t>
    </r>
    <r>
      <rPr>
        <i/>
        <sz val="11"/>
        <color theme="1"/>
        <rFont val="Arial"/>
        <family val="2"/>
      </rPr>
      <t>Spirulina</t>
    </r>
    <r>
      <rPr>
        <sz val="11"/>
        <color theme="1"/>
        <rFont val="Arial"/>
        <family val="2"/>
      </rPr>
      <t xml:space="preserve"> strain in yellow light at 40µmol/m^2.s, 60 µmol/m^2.s, and 80 µmol/m^2.s for 19 days. </t>
    </r>
  </si>
  <si>
    <r>
      <t xml:space="preserve">Details growth data achieved when growing the UTEX #1926 </t>
    </r>
    <r>
      <rPr>
        <i/>
        <sz val="11"/>
        <color theme="1"/>
        <rFont val="Arial"/>
        <family val="2"/>
      </rPr>
      <t>Spirulina</t>
    </r>
    <r>
      <rPr>
        <sz val="11"/>
        <color theme="1"/>
        <rFont val="Arial"/>
        <family val="2"/>
      </rPr>
      <t xml:space="preserve"> strain in yellow light at 40µmol/m^2.s, 60 µmol/m^2.s, and 80 µmol/m^2.s for 19 days. </t>
    </r>
  </si>
  <si>
    <t xml:space="preserve">Details c-phycocyanin data achieved when growing the CeBER Spirulina strain in yellow light at 40µmol/m^2.s, 60 µmol/m^2.s, and 80 µmol/m^2.s for 19 days. </t>
  </si>
  <si>
    <t xml:space="preserve">Details c-phycocyanin data achieved when growing the UTEX #1926 Spirulina strain in yellow light at 40µmol/m^2.s, 60 µmol/m^2.s, and 80 µmol/m^2.s for 19 days. </t>
  </si>
  <si>
    <t xml:space="preserve">Details the nitrate data achieved when growing the CeBER Spirulina strain in yellow light at 40µmol/m^2.s, 60 µmol/m^2.s, and 80 µmol/m^2.s for 19 days. </t>
  </si>
  <si>
    <t xml:space="preserve">Details the nitrate data achieved when growing the UTEX #1926 Spirulina strain in yellow light at 40µmol/m^2.s, 60 µmol/m^2.s, and 80 µmol/m^2.s for 19 days. </t>
  </si>
  <si>
    <t>CeBER strain Spirulina growth curves</t>
  </si>
  <si>
    <t>40 µmol/m^2.s</t>
  </si>
  <si>
    <t>Absorbance at 750</t>
  </si>
  <si>
    <t>Standard error</t>
  </si>
  <si>
    <t>Ln of biomass concentration</t>
  </si>
  <si>
    <t>Average growth rate</t>
  </si>
  <si>
    <t>Biomass productivity</t>
  </si>
  <si>
    <t>Average biomass productivity</t>
  </si>
  <si>
    <t>/h</t>
  </si>
  <si>
    <t>g/L.h</t>
  </si>
  <si>
    <t>60 µmol/m^2.s</t>
  </si>
  <si>
    <t>Sandard error</t>
  </si>
  <si>
    <t>80 µmol/m^2.s</t>
  </si>
  <si>
    <t>UTEX #1926 strain Spirulina growth curves</t>
  </si>
  <si>
    <t>Phycocyanin content from CeBER Spirulina</t>
  </si>
  <si>
    <t>OD at 650</t>
  </si>
  <si>
    <t>C-phycocyanin concentration</t>
  </si>
  <si>
    <t>Average CPC conc.</t>
  </si>
  <si>
    <t>OD at 750</t>
  </si>
  <si>
    <t>Specific CPC conc.</t>
  </si>
  <si>
    <t>Average specific CPC conc.</t>
  </si>
  <si>
    <t>Standard deviation</t>
  </si>
  <si>
    <t>Total CPC</t>
  </si>
  <si>
    <t>Average total CPC</t>
  </si>
  <si>
    <t>CPC productivity</t>
  </si>
  <si>
    <t>Average CPC productivity</t>
  </si>
  <si>
    <t>mg CPC/g biomass</t>
  </si>
  <si>
    <t>mg CPC/L</t>
  </si>
  <si>
    <t>mg CPC/L.h</t>
  </si>
  <si>
    <t>Phycocyanin content from UTEX #1926 Spirulina</t>
  </si>
  <si>
    <t>Nitrate content determination for the CeBER Spirulina strain</t>
  </si>
  <si>
    <t>OD at 410</t>
  </si>
  <si>
    <t>N content</t>
  </si>
  <si>
    <r>
      <t>NO</t>
    </r>
    <r>
      <rPr>
        <vertAlign val="subscript"/>
        <sz val="10"/>
        <color theme="1"/>
        <rFont val="Arial"/>
        <family val="2"/>
      </rPr>
      <t>3</t>
    </r>
    <r>
      <rPr>
        <sz val="10"/>
        <color theme="1"/>
        <rFont val="Arial"/>
        <family val="2"/>
      </rPr>
      <t xml:space="preserve"> concentration</t>
    </r>
  </si>
  <si>
    <r>
      <t>Average NO</t>
    </r>
    <r>
      <rPr>
        <vertAlign val="subscript"/>
        <sz val="10"/>
        <color theme="1"/>
        <rFont val="Arial"/>
        <family val="2"/>
      </rPr>
      <t>3</t>
    </r>
    <r>
      <rPr>
        <sz val="10"/>
        <color theme="1"/>
        <rFont val="Arial"/>
        <family val="2"/>
      </rPr>
      <t xml:space="preserve"> concentration</t>
    </r>
  </si>
  <si>
    <t>N content (µg)</t>
  </si>
  <si>
    <t>Nitrate content determination for the UTEX #1926 Spirulina strain</t>
  </si>
  <si>
    <t>Bottle 1</t>
  </si>
  <si>
    <t>Bottle 2</t>
  </si>
  <si>
    <t>Bottle 3</t>
  </si>
  <si>
    <t>OD at 620 nm</t>
  </si>
  <si>
    <t>Reading 1</t>
  </si>
  <si>
    <t>Reading 2</t>
  </si>
  <si>
    <t>OD at 650 nm</t>
  </si>
  <si>
    <r>
      <t xml:space="preserve">The biomass, c-phycocyanin, and nitrate content of two </t>
    </r>
    <r>
      <rPr>
        <i/>
        <sz val="14"/>
        <rFont val="Arial"/>
        <family val="2"/>
      </rPr>
      <t>Spirulina</t>
    </r>
    <r>
      <rPr>
        <sz val="14"/>
        <rFont val="Arial"/>
        <family val="2"/>
      </rPr>
      <t xml:space="preserve"> cultures grown in yellow light at 40 µmol/m^2.s, 60 µmol/m^2.s, and 80 µmol/m^2.s. </t>
    </r>
  </si>
  <si>
    <t>Data extracted for plots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</si>
</sst>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[$-F400]h:mm:ss\ AM/PM"/>
    <numFmt numFmtId="165" formatCode="0.000"/>
    <numFmt numFmtId="166" formatCode="0.00000"/>
    <numFmt numFmtId="167" formatCode="[$-F800]dddd\,\ mmmm\ dd\,\ yyyy"/>
    <numFmt numFmtId="168" formatCode="0.0"/>
    <numFmt numFmtId="169" formatCode="0.000000"/>
    <numFmt numFmtId="170" formatCode="0.0000"/>
  </numFmts>
  <fonts count="20" x14ac:knownFonts="1">
    <font>
      <sz val="11"/>
      <color theme="1"/>
      <name val="Calibri"/>
      <family val="2"/>
      <scheme val="minor"/>
    </font>
    <font>
      <sz val="14"/>
      <name val="Arial"/>
      <family val="2"/>
    </font>
    <font>
      <i/>
      <sz val="14"/>
      <name val="Arial"/>
      <family val="2"/>
    </font>
    <font>
      <sz val="9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sz val="12"/>
      <name val="Arial"/>
      <family val="2"/>
    </font>
    <font>
      <i/>
      <sz val="10"/>
      <color theme="1"/>
      <name val="Arial"/>
      <family val="2"/>
    </font>
    <font>
      <sz val="10"/>
      <color theme="1"/>
      <name val="Arial"/>
      <family val="2"/>
    </font>
    <font>
      <i/>
      <sz val="11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i/>
      <sz val="12"/>
      <color theme="0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i/>
      <sz val="12"/>
      <color theme="1"/>
      <name val="Arial"/>
      <family val="2"/>
    </font>
    <font>
      <vertAlign val="subscript"/>
      <sz val="10"/>
      <color theme="1"/>
      <name val="Arial"/>
      <family val="2"/>
    </font>
    <font>
      <sz val="11"/>
      <color rgb="FF00000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rgb="FF33993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AEECA"/>
        <bgColor indexed="64"/>
      </patternFill>
    </fill>
    <fill>
      <patternFill patternType="solid">
        <fgColor rgb="FF3B6A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1E8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249977111117893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70">
    <xf numFmtId="0" fontId="0" fillId="0" borderId="0" xfId="0"/>
    <xf numFmtId="0" fontId="3" fillId="0" borderId="0" xfId="0" applyFont="1" applyAlignment="1">
      <alignment vertical="top"/>
    </xf>
    <xf numFmtId="0" fontId="4" fillId="0" borderId="0" xfId="0" applyFont="1"/>
    <xf numFmtId="0" fontId="5" fillId="0" borderId="0" xfId="0" applyFont="1"/>
    <xf numFmtId="0" fontId="7" fillId="0" borderId="0" xfId="0" applyFont="1"/>
    <xf numFmtId="0" fontId="8" fillId="0" borderId="0" xfId="0" applyFont="1"/>
    <xf numFmtId="0" fontId="8" fillId="7" borderId="0" xfId="0" applyFont="1" applyFill="1" applyAlignment="1">
      <alignment horizontal="left" vertical="top" wrapText="1"/>
    </xf>
    <xf numFmtId="0" fontId="8" fillId="7" borderId="0" xfId="0" applyFont="1" applyFill="1" applyAlignment="1">
      <alignment horizontal="center" vertical="top" wrapText="1"/>
    </xf>
    <xf numFmtId="167" fontId="8" fillId="7" borderId="0" xfId="0" applyNumberFormat="1" applyFont="1" applyFill="1" applyAlignment="1">
      <alignment horizontal="left" vertical="top" wrapText="1"/>
    </xf>
    <xf numFmtId="0" fontId="8" fillId="7" borderId="18" xfId="0" applyFont="1" applyFill="1" applyBorder="1" applyAlignment="1">
      <alignment horizontal="left" vertical="top" wrapText="1"/>
    </xf>
    <xf numFmtId="0" fontId="8" fillId="7" borderId="18" xfId="0" applyFont="1" applyFill="1" applyBorder="1" applyAlignment="1">
      <alignment horizontal="center" vertical="top" wrapText="1"/>
    </xf>
    <xf numFmtId="167" fontId="8" fillId="7" borderId="18" xfId="0" applyNumberFormat="1" applyFont="1" applyFill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top" wrapText="1"/>
    </xf>
    <xf numFmtId="0" fontId="11" fillId="12" borderId="18" xfId="0" applyFont="1" applyFill="1" applyBorder="1" applyAlignment="1">
      <alignment vertical="top" wrapText="1"/>
    </xf>
    <xf numFmtId="0" fontId="11" fillId="8" borderId="18" xfId="0" applyFont="1" applyFill="1" applyBorder="1" applyAlignment="1">
      <alignment horizontal="center" vertical="top" wrapText="1"/>
    </xf>
    <xf numFmtId="0" fontId="11" fillId="7" borderId="18" xfId="0" applyFont="1" applyFill="1" applyBorder="1" applyAlignment="1">
      <alignment vertical="top" wrapText="1"/>
    </xf>
    <xf numFmtId="0" fontId="5" fillId="12" borderId="0" xfId="0" applyFont="1" applyFill="1" applyAlignment="1">
      <alignment vertical="top" wrapText="1"/>
    </xf>
    <xf numFmtId="0" fontId="5" fillId="8" borderId="0" xfId="0" applyFont="1" applyFill="1" applyAlignment="1">
      <alignment horizontal="center" vertical="top" wrapText="1"/>
    </xf>
    <xf numFmtId="0" fontId="5" fillId="7" borderId="0" xfId="0" applyFont="1" applyFill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center" vertical="top" wrapText="1"/>
    </xf>
    <xf numFmtId="0" fontId="5" fillId="0" borderId="15" xfId="0" applyFont="1" applyBorder="1"/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32" xfId="0" applyFont="1" applyFill="1" applyBorder="1" applyAlignment="1">
      <alignment horizontal="center" vertical="center" wrapText="1"/>
    </xf>
    <xf numFmtId="0" fontId="5" fillId="4" borderId="10" xfId="0" applyFont="1" applyFill="1" applyBorder="1"/>
    <xf numFmtId="0" fontId="5" fillId="4" borderId="11" xfId="0" applyFont="1" applyFill="1" applyBorder="1"/>
    <xf numFmtId="0" fontId="5" fillId="4" borderId="12" xfId="0" applyFont="1" applyFill="1" applyBorder="1"/>
    <xf numFmtId="0" fontId="5" fillId="4" borderId="13" xfId="0" applyFont="1" applyFill="1" applyBorder="1"/>
    <xf numFmtId="0" fontId="5" fillId="4" borderId="14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5" fillId="4" borderId="14" xfId="0" applyFont="1" applyFill="1" applyBorder="1"/>
    <xf numFmtId="0" fontId="5" fillId="4" borderId="12" xfId="0" applyFont="1" applyFill="1" applyBorder="1" applyAlignment="1">
      <alignment horizontal="center"/>
    </xf>
    <xf numFmtId="0" fontId="5" fillId="4" borderId="26" xfId="0" applyFont="1" applyFill="1" applyBorder="1"/>
    <xf numFmtId="164" fontId="8" fillId="0" borderId="0" xfId="0" applyNumberFormat="1" applyFont="1"/>
    <xf numFmtId="1" fontId="8" fillId="0" borderId="0" xfId="0" applyNumberFormat="1" applyFont="1"/>
    <xf numFmtId="165" fontId="8" fillId="0" borderId="15" xfId="0" applyNumberFormat="1" applyFont="1" applyBorder="1"/>
    <xf numFmtId="165" fontId="8" fillId="0" borderId="0" xfId="0" applyNumberFormat="1" applyFont="1"/>
    <xf numFmtId="165" fontId="8" fillId="5" borderId="0" xfId="0" applyNumberFormat="1" applyFont="1" applyFill="1"/>
    <xf numFmtId="167" fontId="8" fillId="0" borderId="15" xfId="0" applyNumberFormat="1" applyFont="1" applyBorder="1"/>
    <xf numFmtId="0" fontId="8" fillId="0" borderId="16" xfId="0" applyFont="1" applyBorder="1"/>
    <xf numFmtId="0" fontId="8" fillId="0" borderId="15" xfId="0" applyFont="1" applyBorder="1"/>
    <xf numFmtId="164" fontId="8" fillId="0" borderId="18" xfId="0" applyNumberFormat="1" applyFont="1" applyBorder="1"/>
    <xf numFmtId="1" fontId="8" fillId="0" borderId="18" xfId="0" applyNumberFormat="1" applyFont="1" applyBorder="1"/>
    <xf numFmtId="0" fontId="8" fillId="0" borderId="19" xfId="0" applyFont="1" applyBorder="1"/>
    <xf numFmtId="165" fontId="8" fillId="0" borderId="17" xfId="0" applyNumberFormat="1" applyFont="1" applyBorder="1"/>
    <xf numFmtId="165" fontId="8" fillId="0" borderId="18" xfId="0" applyNumberFormat="1" applyFont="1" applyBorder="1"/>
    <xf numFmtId="165" fontId="8" fillId="5" borderId="18" xfId="0" applyNumberFormat="1" applyFont="1" applyFill="1" applyBorder="1"/>
    <xf numFmtId="166" fontId="8" fillId="0" borderId="0" xfId="0" applyNumberFormat="1" applyFont="1"/>
    <xf numFmtId="166" fontId="8" fillId="0" borderId="18" xfId="0" applyNumberFormat="1" applyFont="1" applyBorder="1"/>
    <xf numFmtId="0" fontId="14" fillId="0" borderId="0" xfId="0" applyFont="1"/>
    <xf numFmtId="167" fontId="8" fillId="0" borderId="17" xfId="0" applyNumberFormat="1" applyFont="1" applyBorder="1"/>
    <xf numFmtId="0" fontId="8" fillId="0" borderId="0" xfId="0" applyFont="1" applyAlignment="1">
      <alignment horizontal="center" vertical="center"/>
    </xf>
    <xf numFmtId="0" fontId="10" fillId="0" borderId="15" xfId="0" applyFont="1" applyBorder="1" applyAlignment="1">
      <alignment vertical="center"/>
    </xf>
    <xf numFmtId="0" fontId="8" fillId="0" borderId="15" xfId="0" applyFont="1" applyBorder="1" applyAlignment="1">
      <alignment horizontal="center" vertical="center"/>
    </xf>
    <xf numFmtId="0" fontId="8" fillId="7" borderId="35" xfId="0" applyFont="1" applyFill="1" applyBorder="1" applyAlignment="1">
      <alignment horizontal="center" vertical="center"/>
    </xf>
    <xf numFmtId="0" fontId="8" fillId="7" borderId="24" xfId="0" applyFont="1" applyFill="1" applyBorder="1" applyAlignment="1">
      <alignment horizontal="center" vertical="center"/>
    </xf>
    <xf numFmtId="0" fontId="8" fillId="7" borderId="37" xfId="0" applyFont="1" applyFill="1" applyBorder="1" applyAlignment="1">
      <alignment horizontal="center" vertical="center"/>
    </xf>
    <xf numFmtId="0" fontId="8" fillId="7" borderId="39" xfId="0" applyFont="1" applyFill="1" applyBorder="1" applyAlignment="1">
      <alignment horizontal="center" vertical="center" wrapText="1"/>
    </xf>
    <xf numFmtId="0" fontId="8" fillId="7" borderId="39" xfId="0" applyFont="1" applyFill="1" applyBorder="1" applyAlignment="1">
      <alignment horizontal="center" vertical="center"/>
    </xf>
    <xf numFmtId="0" fontId="8" fillId="7" borderId="37" xfId="0" applyFont="1" applyFill="1" applyBorder="1" applyAlignment="1">
      <alignment horizontal="center" vertical="center" wrapText="1"/>
    </xf>
    <xf numFmtId="0" fontId="8" fillId="7" borderId="6" xfId="0" applyFont="1" applyFill="1" applyBorder="1" applyAlignment="1">
      <alignment horizontal="center" vertical="center" wrapText="1"/>
    </xf>
    <xf numFmtId="0" fontId="8" fillId="7" borderId="36" xfId="0" applyFont="1" applyFill="1" applyBorder="1" applyAlignment="1">
      <alignment horizontal="center" vertical="center" wrapText="1"/>
    </xf>
    <xf numFmtId="0" fontId="8" fillId="8" borderId="10" xfId="0" applyFont="1" applyFill="1" applyBorder="1" applyAlignment="1">
      <alignment horizontal="center" vertical="center"/>
    </xf>
    <xf numFmtId="0" fontId="8" fillId="8" borderId="11" xfId="0" applyFont="1" applyFill="1" applyBorder="1" applyAlignment="1">
      <alignment horizontal="center" vertical="center"/>
    </xf>
    <xf numFmtId="0" fontId="8" fillId="8" borderId="13" xfId="0" applyFont="1" applyFill="1" applyBorder="1" applyAlignment="1">
      <alignment horizontal="center" vertical="center"/>
    </xf>
    <xf numFmtId="0" fontId="8" fillId="8" borderId="21" xfId="0" applyFont="1" applyFill="1" applyBorder="1" applyAlignment="1">
      <alignment horizontal="center" vertical="center"/>
    </xf>
    <xf numFmtId="0" fontId="8" fillId="8" borderId="14" xfId="0" applyFont="1" applyFill="1" applyBorder="1" applyAlignment="1">
      <alignment horizontal="center" vertical="center"/>
    </xf>
    <xf numFmtId="0" fontId="8" fillId="8" borderId="22" xfId="0" applyFont="1" applyFill="1" applyBorder="1" applyAlignment="1">
      <alignment horizontal="center" vertical="center"/>
    </xf>
    <xf numFmtId="0" fontId="8" fillId="8" borderId="12" xfId="0" applyFont="1" applyFill="1" applyBorder="1" applyAlignment="1">
      <alignment horizontal="center" vertical="center"/>
    </xf>
    <xf numFmtId="0" fontId="8" fillId="8" borderId="12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5" fontId="8" fillId="0" borderId="15" xfId="0" applyNumberFormat="1" applyFont="1" applyBorder="1" applyAlignment="1">
      <alignment horizontal="center" vertical="center"/>
    </xf>
    <xf numFmtId="165" fontId="8" fillId="0" borderId="0" xfId="0" applyNumberFormat="1" applyFont="1" applyAlignment="1">
      <alignment horizontal="center" vertical="center"/>
    </xf>
    <xf numFmtId="169" fontId="8" fillId="0" borderId="0" xfId="0" applyNumberFormat="1" applyFont="1" applyAlignment="1">
      <alignment horizontal="center" vertical="center"/>
    </xf>
    <xf numFmtId="2" fontId="8" fillId="0" borderId="0" xfId="0" applyNumberFormat="1" applyFont="1" applyAlignment="1">
      <alignment horizontal="center" vertical="center" wrapText="1"/>
    </xf>
    <xf numFmtId="0" fontId="8" fillId="9" borderId="0" xfId="0" applyFont="1" applyFill="1" applyAlignment="1">
      <alignment horizontal="center" vertical="center"/>
    </xf>
    <xf numFmtId="2" fontId="8" fillId="0" borderId="0" xfId="0" applyNumberFormat="1" applyFont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1" fontId="8" fillId="0" borderId="0" xfId="0" applyNumberFormat="1" applyFont="1" applyAlignment="1">
      <alignment horizontal="center" vertical="center"/>
    </xf>
    <xf numFmtId="165" fontId="8" fillId="0" borderId="23" xfId="0" applyNumberFormat="1" applyFont="1" applyBorder="1" applyAlignment="1">
      <alignment horizontal="center" vertical="center"/>
    </xf>
    <xf numFmtId="165" fontId="8" fillId="0" borderId="24" xfId="0" applyNumberFormat="1" applyFont="1" applyBorder="1" applyAlignment="1">
      <alignment horizontal="center" vertical="center"/>
    </xf>
    <xf numFmtId="169" fontId="8" fillId="0" borderId="24" xfId="0" applyNumberFormat="1" applyFont="1" applyBorder="1" applyAlignment="1">
      <alignment horizontal="center" vertical="center"/>
    </xf>
    <xf numFmtId="2" fontId="8" fillId="0" borderId="24" xfId="0" applyNumberFormat="1" applyFont="1" applyBorder="1" applyAlignment="1">
      <alignment horizontal="center" vertical="center" wrapText="1"/>
    </xf>
    <xf numFmtId="2" fontId="8" fillId="9" borderId="24" xfId="0" applyNumberFormat="1" applyFont="1" applyFill="1" applyBorder="1" applyAlignment="1">
      <alignment horizontal="center" vertical="center"/>
    </xf>
    <xf numFmtId="2" fontId="8" fillId="0" borderId="24" xfId="0" applyNumberFormat="1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9" borderId="24" xfId="0" applyFont="1" applyFill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2" fontId="8" fillId="9" borderId="0" xfId="0" applyNumberFormat="1" applyFont="1" applyFill="1" applyAlignment="1">
      <alignment horizontal="center" vertical="center"/>
    </xf>
    <xf numFmtId="170" fontId="8" fillId="0" borderId="25" xfId="0" applyNumberFormat="1" applyFont="1" applyBorder="1" applyAlignment="1">
      <alignment horizontal="center" vertical="center"/>
    </xf>
    <xf numFmtId="165" fontId="8" fillId="0" borderId="21" xfId="0" applyNumberFormat="1" applyFont="1" applyBorder="1" applyAlignment="1">
      <alignment horizontal="center" vertical="center"/>
    </xf>
    <xf numFmtId="165" fontId="8" fillId="0" borderId="11" xfId="0" applyNumberFormat="1" applyFont="1" applyBorder="1" applyAlignment="1">
      <alignment horizontal="center" vertical="center"/>
    </xf>
    <xf numFmtId="169" fontId="8" fillId="0" borderId="11" xfId="0" applyNumberFormat="1" applyFont="1" applyBorder="1" applyAlignment="1">
      <alignment horizontal="center" vertical="center"/>
    </xf>
    <xf numFmtId="2" fontId="8" fillId="0" borderId="11" xfId="0" applyNumberFormat="1" applyFont="1" applyBorder="1" applyAlignment="1">
      <alignment horizontal="center" vertical="center" wrapText="1"/>
    </xf>
    <xf numFmtId="2" fontId="8" fillId="9" borderId="11" xfId="0" applyNumberFormat="1" applyFont="1" applyFill="1" applyBorder="1" applyAlignment="1">
      <alignment horizontal="center" vertical="center"/>
    </xf>
    <xf numFmtId="2" fontId="8" fillId="0" borderId="11" xfId="0" applyNumberFormat="1" applyFont="1" applyBorder="1" applyAlignment="1">
      <alignment horizontal="center" vertical="center"/>
    </xf>
    <xf numFmtId="170" fontId="8" fillId="0" borderId="16" xfId="0" applyNumberFormat="1" applyFont="1" applyBorder="1" applyAlignment="1">
      <alignment horizontal="center" vertical="center"/>
    </xf>
    <xf numFmtId="0" fontId="8" fillId="9" borderId="11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165" fontId="8" fillId="0" borderId="18" xfId="0" applyNumberFormat="1" applyFont="1" applyBorder="1" applyAlignment="1">
      <alignment horizontal="center" vertical="center"/>
    </xf>
    <xf numFmtId="169" fontId="8" fillId="0" borderId="18" xfId="0" applyNumberFormat="1" applyFont="1" applyBorder="1" applyAlignment="1">
      <alignment horizontal="center" vertical="center"/>
    </xf>
    <xf numFmtId="2" fontId="8" fillId="0" borderId="18" xfId="0" applyNumberFormat="1" applyFont="1" applyBorder="1" applyAlignment="1">
      <alignment horizontal="center" vertical="center" wrapText="1"/>
    </xf>
    <xf numFmtId="2" fontId="8" fillId="9" borderId="18" xfId="0" applyNumberFormat="1" applyFont="1" applyFill="1" applyBorder="1" applyAlignment="1">
      <alignment horizontal="center" vertical="center"/>
    </xf>
    <xf numFmtId="2" fontId="8" fillId="0" borderId="18" xfId="0" applyNumberFormat="1" applyFont="1" applyBorder="1" applyAlignment="1">
      <alignment horizontal="center" vertical="center"/>
    </xf>
    <xf numFmtId="170" fontId="8" fillId="0" borderId="19" xfId="0" applyNumberFormat="1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7" borderId="4" xfId="0" applyFont="1" applyFill="1" applyBorder="1" applyAlignment="1">
      <alignment horizontal="center" vertical="center" wrapText="1"/>
    </xf>
    <xf numFmtId="0" fontId="8" fillId="7" borderId="7" xfId="0" applyFont="1" applyFill="1" applyBorder="1" applyAlignment="1">
      <alignment horizontal="center" vertical="center" wrapText="1"/>
    </xf>
    <xf numFmtId="0" fontId="8" fillId="7" borderId="27" xfId="0" applyFont="1" applyFill="1" applyBorder="1" applyAlignment="1">
      <alignment horizontal="center" vertical="center" wrapText="1"/>
    </xf>
    <xf numFmtId="0" fontId="8" fillId="7" borderId="8" xfId="0" applyFont="1" applyFill="1" applyBorder="1" applyAlignment="1">
      <alignment horizontal="center" vertical="center" wrapText="1"/>
    </xf>
    <xf numFmtId="0" fontId="17" fillId="0" borderId="0" xfId="0" applyFont="1"/>
    <xf numFmtId="167" fontId="8" fillId="8" borderId="15" xfId="0" applyNumberFormat="1" applyFont="1" applyFill="1" applyBorder="1"/>
    <xf numFmtId="0" fontId="8" fillId="8" borderId="30" xfId="0" applyFont="1" applyFill="1" applyBorder="1"/>
    <xf numFmtId="165" fontId="8" fillId="0" borderId="16" xfId="0" applyNumberFormat="1" applyFont="1" applyBorder="1" applyAlignment="1">
      <alignment horizontal="center" vertical="center"/>
    </xf>
    <xf numFmtId="165" fontId="8" fillId="11" borderId="11" xfId="0" applyNumberFormat="1" applyFont="1" applyFill="1" applyBorder="1" applyAlignment="1">
      <alignment horizontal="center" vertical="center"/>
    </xf>
    <xf numFmtId="165" fontId="8" fillId="0" borderId="26" xfId="0" applyNumberFormat="1" applyFont="1" applyBorder="1" applyAlignment="1">
      <alignment horizontal="center" vertical="center"/>
    </xf>
    <xf numFmtId="165" fontId="8" fillId="11" borderId="24" xfId="0" applyNumberFormat="1" applyFont="1" applyFill="1" applyBorder="1" applyAlignment="1">
      <alignment horizontal="center" vertical="center"/>
    </xf>
    <xf numFmtId="165" fontId="8" fillId="0" borderId="25" xfId="0" applyNumberFormat="1" applyFont="1" applyBorder="1" applyAlignment="1">
      <alignment horizontal="center" vertical="center"/>
    </xf>
    <xf numFmtId="0" fontId="8" fillId="11" borderId="11" xfId="0" applyFont="1" applyFill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20" fontId="8" fillId="0" borderId="11" xfId="0" applyNumberFormat="1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165" fontId="8" fillId="0" borderId="30" xfId="0" applyNumberFormat="1" applyFont="1" applyBorder="1" applyAlignment="1">
      <alignment horizontal="center" vertical="center"/>
    </xf>
    <xf numFmtId="165" fontId="8" fillId="0" borderId="31" xfId="0" applyNumberFormat="1" applyFont="1" applyBorder="1" applyAlignment="1">
      <alignment horizontal="center" vertical="center"/>
    </xf>
    <xf numFmtId="0" fontId="8" fillId="0" borderId="30" xfId="0" applyFont="1" applyBorder="1"/>
    <xf numFmtId="1" fontId="5" fillId="0" borderId="0" xfId="0" applyNumberFormat="1" applyFont="1"/>
    <xf numFmtId="0" fontId="8" fillId="0" borderId="17" xfId="0" applyFont="1" applyBorder="1"/>
    <xf numFmtId="0" fontId="8" fillId="7" borderId="27" xfId="0" applyFont="1" applyFill="1" applyBorder="1" applyAlignment="1">
      <alignment horizontal="center" vertical="center"/>
    </xf>
    <xf numFmtId="0" fontId="8" fillId="8" borderId="29" xfId="0" applyFont="1" applyFill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0" borderId="42" xfId="0" applyFont="1" applyBorder="1" applyAlignment="1">
      <alignment horizontal="center" vertical="center"/>
    </xf>
    <xf numFmtId="20" fontId="8" fillId="0" borderId="0" xfId="0" applyNumberFormat="1" applyFont="1" applyAlignment="1">
      <alignment horizontal="center" vertical="center"/>
    </xf>
    <xf numFmtId="165" fontId="8" fillId="0" borderId="19" xfId="0" applyNumberFormat="1" applyFont="1" applyBorder="1" applyAlignment="1">
      <alignment horizontal="center" vertical="center"/>
    </xf>
    <xf numFmtId="165" fontId="8" fillId="0" borderId="17" xfId="0" applyNumberFormat="1" applyFont="1" applyBorder="1" applyAlignment="1">
      <alignment horizontal="center" vertical="center"/>
    </xf>
    <xf numFmtId="165" fontId="8" fillId="0" borderId="16" xfId="0" applyNumberFormat="1" applyFont="1" applyBorder="1"/>
    <xf numFmtId="1" fontId="18" fillId="0" borderId="0" xfId="0" applyNumberFormat="1" applyFont="1"/>
    <xf numFmtId="165" fontId="8" fillId="0" borderId="19" xfId="0" applyNumberFormat="1" applyFont="1" applyBorder="1"/>
    <xf numFmtId="165" fontId="8" fillId="0" borderId="0" xfId="0" applyNumberFormat="1" applyFont="1" applyAlignment="1">
      <alignment horizontal="center"/>
    </xf>
    <xf numFmtId="165" fontId="8" fillId="5" borderId="0" xfId="0" applyNumberFormat="1" applyFont="1" applyFill="1" applyAlignment="1">
      <alignment horizontal="center"/>
    </xf>
    <xf numFmtId="165" fontId="8" fillId="0" borderId="16" xfId="0" applyNumberFormat="1" applyFont="1" applyBorder="1" applyAlignment="1">
      <alignment horizontal="center"/>
    </xf>
    <xf numFmtId="0" fontId="8" fillId="5" borderId="0" xfId="0" applyFont="1" applyFill="1"/>
    <xf numFmtId="0" fontId="18" fillId="0" borderId="0" xfId="0" applyFont="1"/>
    <xf numFmtId="0" fontId="19" fillId="0" borderId="0" xfId="0" applyFont="1"/>
    <xf numFmtId="0" fontId="10" fillId="0" borderId="43" xfId="0" applyFont="1" applyBorder="1" applyAlignment="1">
      <alignment vertical="center"/>
    </xf>
    <xf numFmtId="164" fontId="8" fillId="8" borderId="0" xfId="0" applyNumberFormat="1" applyFont="1" applyFill="1"/>
    <xf numFmtId="0" fontId="8" fillId="8" borderId="0" xfId="0" applyFont="1" applyFill="1"/>
    <xf numFmtId="0" fontId="8" fillId="11" borderId="0" xfId="0" applyFont="1" applyFill="1" applyAlignment="1">
      <alignment horizontal="center" vertical="center"/>
    </xf>
    <xf numFmtId="165" fontId="8" fillId="11" borderId="0" xfId="0" applyNumberFormat="1" applyFont="1" applyFill="1" applyAlignment="1">
      <alignment horizontal="center" vertical="center"/>
    </xf>
    <xf numFmtId="0" fontId="8" fillId="0" borderId="18" xfId="0" applyFont="1" applyBorder="1"/>
    <xf numFmtId="0" fontId="8" fillId="0" borderId="42" xfId="0" applyFont="1" applyBorder="1"/>
    <xf numFmtId="165" fontId="8" fillId="11" borderId="18" xfId="0" applyNumberFormat="1" applyFont="1" applyFill="1" applyBorder="1" applyAlignment="1">
      <alignment horizontal="center" vertical="center"/>
    </xf>
    <xf numFmtId="170" fontId="8" fillId="0" borderId="16" xfId="0" applyNumberFormat="1" applyFont="1" applyBorder="1"/>
    <xf numFmtId="0" fontId="8" fillId="0" borderId="30" xfId="0" applyFont="1" applyBorder="1" applyAlignment="1">
      <alignment horizontal="center"/>
    </xf>
    <xf numFmtId="170" fontId="8" fillId="0" borderId="29" xfId="0" applyNumberFormat="1" applyFont="1" applyBorder="1" applyAlignment="1">
      <alignment horizontal="center" vertical="center"/>
    </xf>
    <xf numFmtId="170" fontId="8" fillId="0" borderId="30" xfId="0" applyNumberFormat="1" applyFont="1" applyBorder="1" applyAlignment="1">
      <alignment horizontal="center" vertical="center"/>
    </xf>
    <xf numFmtId="170" fontId="8" fillId="0" borderId="31" xfId="0" applyNumberFormat="1" applyFont="1" applyBorder="1" applyAlignment="1">
      <alignment horizontal="center" vertical="center"/>
    </xf>
    <xf numFmtId="1" fontId="8" fillId="0" borderId="24" xfId="0" applyNumberFormat="1" applyFont="1" applyBorder="1" applyAlignment="1">
      <alignment horizontal="center" vertical="center"/>
    </xf>
    <xf numFmtId="1" fontId="8" fillId="0" borderId="11" xfId="0" applyNumberFormat="1" applyFont="1" applyBorder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164" fontId="8" fillId="0" borderId="24" xfId="0" applyNumberFormat="1" applyFont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/>
    </xf>
    <xf numFmtId="167" fontId="8" fillId="0" borderId="15" xfId="0" applyNumberFormat="1" applyFont="1" applyBorder="1" applyAlignment="1">
      <alignment horizontal="center" vertical="center"/>
    </xf>
    <xf numFmtId="165" fontId="8" fillId="0" borderId="29" xfId="0" applyNumberFormat="1" applyFont="1" applyBorder="1" applyAlignment="1">
      <alignment horizontal="center" vertical="center"/>
    </xf>
    <xf numFmtId="0" fontId="8" fillId="0" borderId="44" xfId="0" applyFont="1" applyBorder="1" applyAlignment="1">
      <alignment horizontal="center" vertical="center"/>
    </xf>
    <xf numFmtId="165" fontId="8" fillId="0" borderId="10" xfId="0" applyNumberFormat="1" applyFont="1" applyBorder="1" applyAlignment="1">
      <alignment horizontal="center" vertical="center"/>
    </xf>
    <xf numFmtId="165" fontId="8" fillId="0" borderId="12" xfId="0" applyNumberFormat="1" applyFont="1" applyBorder="1" applyAlignment="1">
      <alignment horizontal="center" vertical="center"/>
    </xf>
    <xf numFmtId="0" fontId="8" fillId="8" borderId="0" xfId="0" applyFont="1" applyFill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1" fillId="12" borderId="0" xfId="0" applyFont="1" applyFill="1" applyAlignment="1">
      <alignment horizontal="left" vertical="center" wrapText="1"/>
    </xf>
    <xf numFmtId="0" fontId="6" fillId="12" borderId="0" xfId="0" applyFont="1" applyFill="1" applyAlignment="1">
      <alignment horizontal="left" vertical="top" wrapText="1"/>
    </xf>
    <xf numFmtId="0" fontId="5" fillId="12" borderId="0" xfId="0" applyFont="1" applyFill="1" applyAlignment="1">
      <alignment horizontal="left" vertical="top" wrapText="1"/>
    </xf>
    <xf numFmtId="0" fontId="7" fillId="12" borderId="0" xfId="0" applyFont="1" applyFill="1" applyAlignment="1">
      <alignment horizontal="left" vertical="top" wrapText="1"/>
    </xf>
    <xf numFmtId="0" fontId="5" fillId="7" borderId="0" xfId="0" applyFont="1" applyFill="1" applyAlignment="1">
      <alignment horizontal="left" vertical="top" wrapText="1"/>
    </xf>
    <xf numFmtId="0" fontId="5" fillId="8" borderId="0" xfId="0" applyFont="1" applyFill="1" applyAlignment="1">
      <alignment horizontal="left" vertical="top" wrapText="1"/>
    </xf>
    <xf numFmtId="14" fontId="8" fillId="0" borderId="15" xfId="0" applyNumberFormat="1" applyFont="1" applyBorder="1" applyAlignment="1">
      <alignment horizontal="left"/>
    </xf>
    <xf numFmtId="167" fontId="8" fillId="0" borderId="15" xfId="0" applyNumberFormat="1" applyFont="1" applyBorder="1" applyAlignment="1">
      <alignment horizontal="left"/>
    </xf>
    <xf numFmtId="0" fontId="5" fillId="4" borderId="21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5" fillId="4" borderId="22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8" fillId="0" borderId="16" xfId="0" applyFont="1" applyBorder="1" applyAlignment="1">
      <alignment horizontal="right"/>
    </xf>
    <xf numFmtId="0" fontId="5" fillId="4" borderId="34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5" fillId="4" borderId="14" xfId="0" applyFont="1" applyFill="1" applyBorder="1" applyAlignment="1">
      <alignment horizontal="center"/>
    </xf>
    <xf numFmtId="0" fontId="5" fillId="4" borderId="11" xfId="0" applyFont="1" applyFill="1" applyBorder="1" applyAlignment="1">
      <alignment horizontal="center"/>
    </xf>
    <xf numFmtId="0" fontId="5" fillId="4" borderId="22" xfId="0" applyFont="1" applyFill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5" fillId="3" borderId="20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3" borderId="33" xfId="0" applyFont="1" applyFill="1" applyBorder="1" applyAlignment="1">
      <alignment horizontal="center" vertical="center" wrapText="1"/>
    </xf>
    <xf numFmtId="0" fontId="5" fillId="3" borderId="28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8" fillId="7" borderId="23" xfId="0" applyFont="1" applyFill="1" applyBorder="1" applyAlignment="1">
      <alignment horizontal="center" vertical="center"/>
    </xf>
    <xf numFmtId="0" fontId="8" fillId="7" borderId="24" xfId="0" applyFont="1" applyFill="1" applyBorder="1" applyAlignment="1">
      <alignment horizontal="center" vertical="center"/>
    </xf>
    <xf numFmtId="0" fontId="8" fillId="7" borderId="37" xfId="0" applyFont="1" applyFill="1" applyBorder="1" applyAlignment="1">
      <alignment horizontal="center" vertical="center"/>
    </xf>
    <xf numFmtId="0" fontId="8" fillId="7" borderId="38" xfId="0" applyFont="1" applyFill="1" applyBorder="1" applyAlignment="1">
      <alignment horizontal="center" vertical="center"/>
    </xf>
    <xf numFmtId="0" fontId="8" fillId="7" borderId="24" xfId="0" applyFont="1" applyFill="1" applyBorder="1" applyAlignment="1">
      <alignment horizontal="center" vertical="center" wrapText="1"/>
    </xf>
    <xf numFmtId="0" fontId="8" fillId="7" borderId="38" xfId="0" applyFont="1" applyFill="1" applyBorder="1" applyAlignment="1">
      <alignment horizontal="center" vertical="center" wrapText="1"/>
    </xf>
    <xf numFmtId="0" fontId="8" fillId="8" borderId="14" xfId="0" applyFont="1" applyFill="1" applyBorder="1" applyAlignment="1">
      <alignment horizontal="center" vertical="center"/>
    </xf>
    <xf numFmtId="0" fontId="8" fillId="8" borderId="22" xfId="0" applyFont="1" applyFill="1" applyBorder="1" applyAlignment="1">
      <alignment horizontal="center" vertical="center"/>
    </xf>
    <xf numFmtId="0" fontId="8" fillId="8" borderId="11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20" fontId="8" fillId="0" borderId="0" xfId="0" applyNumberFormat="1" applyFont="1" applyAlignment="1">
      <alignment horizontal="center" vertical="center"/>
    </xf>
    <xf numFmtId="20" fontId="8" fillId="0" borderId="24" xfId="0" applyNumberFormat="1" applyFont="1" applyBorder="1" applyAlignment="1">
      <alignment horizontal="center" vertical="center"/>
    </xf>
    <xf numFmtId="1" fontId="8" fillId="0" borderId="16" xfId="0" applyNumberFormat="1" applyFont="1" applyBorder="1" applyAlignment="1">
      <alignment horizontal="center" vertical="center"/>
    </xf>
    <xf numFmtId="1" fontId="8" fillId="0" borderId="25" xfId="0" applyNumberFormat="1" applyFont="1" applyBorder="1" applyAlignment="1">
      <alignment horizontal="center" vertical="center"/>
    </xf>
    <xf numFmtId="165" fontId="8" fillId="0" borderId="15" xfId="0" applyNumberFormat="1" applyFont="1" applyBorder="1" applyAlignment="1">
      <alignment horizontal="center" vertical="center"/>
    </xf>
    <xf numFmtId="165" fontId="8" fillId="0" borderId="23" xfId="0" applyNumberFormat="1" applyFont="1" applyBorder="1" applyAlignment="1">
      <alignment horizontal="center" vertical="center"/>
    </xf>
    <xf numFmtId="165" fontId="8" fillId="0" borderId="16" xfId="0" applyNumberFormat="1" applyFont="1" applyBorder="1" applyAlignment="1">
      <alignment horizontal="center" vertical="center"/>
    </xf>
    <xf numFmtId="165" fontId="8" fillId="0" borderId="25" xfId="0" applyNumberFormat="1" applyFont="1" applyBorder="1" applyAlignment="1">
      <alignment horizontal="center" vertical="center"/>
    </xf>
    <xf numFmtId="0" fontId="12" fillId="6" borderId="1" xfId="0" applyFont="1" applyFill="1" applyBorder="1" applyAlignment="1">
      <alignment horizontal="left" vertical="center"/>
    </xf>
    <xf numFmtId="0" fontId="12" fillId="6" borderId="2" xfId="0" applyFont="1" applyFill="1" applyBorder="1" applyAlignment="1">
      <alignment horizontal="left" vertical="center"/>
    </xf>
    <xf numFmtId="0" fontId="12" fillId="6" borderId="3" xfId="0" applyFont="1" applyFill="1" applyBorder="1" applyAlignment="1">
      <alignment horizontal="left" vertical="center"/>
    </xf>
    <xf numFmtId="0" fontId="13" fillId="0" borderId="17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20" fontId="8" fillId="0" borderId="11" xfId="0" applyNumberFormat="1" applyFont="1" applyBorder="1" applyAlignment="1">
      <alignment horizontal="center" vertical="center"/>
    </xf>
    <xf numFmtId="1" fontId="8" fillId="0" borderId="26" xfId="0" applyNumberFormat="1" applyFont="1" applyBorder="1" applyAlignment="1">
      <alignment horizontal="center" vertical="center"/>
    </xf>
    <xf numFmtId="165" fontId="8" fillId="0" borderId="21" xfId="0" applyNumberFormat="1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165" fontId="8" fillId="0" borderId="26" xfId="0" applyNumberFormat="1" applyFont="1" applyBorder="1" applyAlignment="1">
      <alignment horizontal="center" vertical="center"/>
    </xf>
    <xf numFmtId="1" fontId="8" fillId="0" borderId="19" xfId="0" applyNumberFormat="1" applyFont="1" applyBorder="1" applyAlignment="1">
      <alignment horizontal="center" vertical="center"/>
    </xf>
    <xf numFmtId="20" fontId="8" fillId="0" borderId="18" xfId="0" applyNumberFormat="1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165" fontId="8" fillId="0" borderId="19" xfId="0" applyNumberFormat="1" applyFont="1" applyBorder="1" applyAlignment="1">
      <alignment horizontal="center" vertical="center"/>
    </xf>
    <xf numFmtId="165" fontId="8" fillId="0" borderId="17" xfId="0" applyNumberFormat="1" applyFont="1" applyBorder="1" applyAlignment="1">
      <alignment horizontal="center" vertical="center"/>
    </xf>
    <xf numFmtId="168" fontId="8" fillId="0" borderId="16" xfId="0" applyNumberFormat="1" applyFont="1" applyBorder="1" applyAlignment="1">
      <alignment horizontal="center" vertical="center"/>
    </xf>
    <xf numFmtId="168" fontId="8" fillId="0" borderId="25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7" borderId="9" xfId="0" applyFont="1" applyFill="1" applyBorder="1" applyAlignment="1">
      <alignment horizontal="center" vertical="center"/>
    </xf>
    <xf numFmtId="0" fontId="8" fillId="7" borderId="6" xfId="0" applyFont="1" applyFill="1" applyBorder="1" applyAlignment="1">
      <alignment horizontal="center" vertical="center"/>
    </xf>
    <xf numFmtId="0" fontId="8" fillId="7" borderId="6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8" fillId="8" borderId="40" xfId="0" applyFont="1" applyFill="1" applyBorder="1" applyAlignment="1">
      <alignment horizontal="center"/>
    </xf>
    <xf numFmtId="0" fontId="8" fillId="8" borderId="41" xfId="0" applyFont="1" applyFill="1" applyBorder="1" applyAlignment="1">
      <alignment horizontal="center"/>
    </xf>
    <xf numFmtId="0" fontId="15" fillId="10" borderId="1" xfId="0" applyFont="1" applyFill="1" applyBorder="1" applyAlignment="1">
      <alignment horizontal="left" vertical="center"/>
    </xf>
    <xf numFmtId="0" fontId="15" fillId="10" borderId="2" xfId="0" applyFont="1" applyFill="1" applyBorder="1" applyAlignment="1">
      <alignment horizontal="left" vertical="center"/>
    </xf>
    <xf numFmtId="0" fontId="15" fillId="10" borderId="3" xfId="0" applyFont="1" applyFill="1" applyBorder="1" applyAlignment="1">
      <alignment horizontal="left" vertical="center"/>
    </xf>
    <xf numFmtId="165" fontId="8" fillId="0" borderId="0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'Growth curves CeBER'!$A$95</c:f>
              <c:strCache>
                <c:ptCount val="1"/>
                <c:pt idx="0">
                  <c:v>40 µmol/m^2.s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rgbClr val="92D050"/>
              </a:solidFill>
              <a:ln w="9525">
                <a:solidFill>
                  <a:srgbClr val="92D0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'Growth curves CeBER'!$R$5:$R$27</c:f>
                <c:numCache>
                  <c:formatCode>General</c:formatCode>
                  <c:ptCount val="23"/>
                  <c:pt idx="0">
                    <c:v>3.1701159075617935E-2</c:v>
                  </c:pt>
                  <c:pt idx="1">
                    <c:v>5.2488014833757535E-3</c:v>
                  </c:pt>
                  <c:pt idx="2">
                    <c:v>2.6380228248743122E-2</c:v>
                  </c:pt>
                  <c:pt idx="3">
                    <c:v>3.4789954648654212E-2</c:v>
                  </c:pt>
                  <c:pt idx="4">
                    <c:v>8.0942919095631227E-3</c:v>
                  </c:pt>
                  <c:pt idx="5">
                    <c:v>3.4441211149543245E-2</c:v>
                  </c:pt>
                  <c:pt idx="6">
                    <c:v>2.1564041841798505E-2</c:v>
                  </c:pt>
                  <c:pt idx="7">
                    <c:v>4.4670625722869053E-3</c:v>
                  </c:pt>
                  <c:pt idx="8">
                    <c:v>7.3356998289332686E-3</c:v>
                  </c:pt>
                  <c:pt idx="9">
                    <c:v>8.5207870804064594E-3</c:v>
                  </c:pt>
                  <c:pt idx="10">
                    <c:v>1.1266990922394745E-2</c:v>
                  </c:pt>
                  <c:pt idx="11">
                    <c:v>2.8360695546057618E-2</c:v>
                  </c:pt>
                  <c:pt idx="12">
                    <c:v>1.088717417780082E-2</c:v>
                  </c:pt>
                  <c:pt idx="13">
                    <c:v>1.910345774081338E-2</c:v>
                  </c:pt>
                  <c:pt idx="14">
                    <c:v>3.4753588269640243E-2</c:v>
                  </c:pt>
                  <c:pt idx="15">
                    <c:v>4.5322699936954883E-2</c:v>
                  </c:pt>
                  <c:pt idx="16">
                    <c:v>4.6353978882903164E-2</c:v>
                  </c:pt>
                  <c:pt idx="17">
                    <c:v>4.1166759374184833E-2</c:v>
                  </c:pt>
                  <c:pt idx="18">
                    <c:v>5.4156187853206736E-2</c:v>
                  </c:pt>
                  <c:pt idx="19">
                    <c:v>3.4011463658192354E-2</c:v>
                  </c:pt>
                  <c:pt idx="20">
                    <c:v>4.3059097763117601E-2</c:v>
                  </c:pt>
                  <c:pt idx="21">
                    <c:v>5.8581577772419055E-2</c:v>
                  </c:pt>
                  <c:pt idx="22">
                    <c:v>6.0224508525879038E-2</c:v>
                  </c:pt>
                </c:numCache>
              </c:numRef>
            </c:plus>
            <c:minus>
              <c:numRef>
                <c:f>'Growth curves CeBER'!$R$5:$R$27</c:f>
                <c:numCache>
                  <c:formatCode>General</c:formatCode>
                  <c:ptCount val="23"/>
                  <c:pt idx="0">
                    <c:v>3.1701159075617935E-2</c:v>
                  </c:pt>
                  <c:pt idx="1">
                    <c:v>5.2488014833757535E-3</c:v>
                  </c:pt>
                  <c:pt idx="2">
                    <c:v>2.6380228248743122E-2</c:v>
                  </c:pt>
                  <c:pt idx="3">
                    <c:v>3.4789954648654212E-2</c:v>
                  </c:pt>
                  <c:pt idx="4">
                    <c:v>8.0942919095631227E-3</c:v>
                  </c:pt>
                  <c:pt idx="5">
                    <c:v>3.4441211149543245E-2</c:v>
                  </c:pt>
                  <c:pt idx="6">
                    <c:v>2.1564041841798505E-2</c:v>
                  </c:pt>
                  <c:pt idx="7">
                    <c:v>4.4670625722869053E-3</c:v>
                  </c:pt>
                  <c:pt idx="8">
                    <c:v>7.3356998289332686E-3</c:v>
                  </c:pt>
                  <c:pt idx="9">
                    <c:v>8.5207870804064594E-3</c:v>
                  </c:pt>
                  <c:pt idx="10">
                    <c:v>1.1266990922394745E-2</c:v>
                  </c:pt>
                  <c:pt idx="11">
                    <c:v>2.8360695546057618E-2</c:v>
                  </c:pt>
                  <c:pt idx="12">
                    <c:v>1.088717417780082E-2</c:v>
                  </c:pt>
                  <c:pt idx="13">
                    <c:v>1.910345774081338E-2</c:v>
                  </c:pt>
                  <c:pt idx="14">
                    <c:v>3.4753588269640243E-2</c:v>
                  </c:pt>
                  <c:pt idx="15">
                    <c:v>4.5322699936954883E-2</c:v>
                  </c:pt>
                  <c:pt idx="16">
                    <c:v>4.6353978882903164E-2</c:v>
                  </c:pt>
                  <c:pt idx="17">
                    <c:v>4.1166759374184833E-2</c:v>
                  </c:pt>
                  <c:pt idx="18">
                    <c:v>5.4156187853206736E-2</c:v>
                  </c:pt>
                  <c:pt idx="19">
                    <c:v>3.4011463658192354E-2</c:v>
                  </c:pt>
                  <c:pt idx="20">
                    <c:v>4.3059097763117601E-2</c:v>
                  </c:pt>
                  <c:pt idx="21">
                    <c:v>5.8581577772419055E-2</c:v>
                  </c:pt>
                  <c:pt idx="22">
                    <c:v>6.0224508525879038E-2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'Growth curves CeBER'!$D$5:$D$27</c:f>
              <c:numCache>
                <c:formatCode>0</c:formatCode>
                <c:ptCount val="23"/>
                <c:pt idx="0" formatCode="General">
                  <c:v>0</c:v>
                </c:pt>
                <c:pt idx="1">
                  <c:v>4.833333333333333</c:v>
                </c:pt>
                <c:pt idx="2">
                  <c:v>10.25</c:v>
                </c:pt>
                <c:pt idx="3">
                  <c:v>22</c:v>
                </c:pt>
                <c:pt idx="4">
                  <c:v>25.166666666666668</c:v>
                </c:pt>
                <c:pt idx="5">
                  <c:v>29.133333333333333</c:v>
                </c:pt>
                <c:pt idx="6">
                  <c:v>46.5</c:v>
                </c:pt>
                <c:pt idx="7">
                  <c:v>70.7</c:v>
                </c:pt>
                <c:pt idx="8">
                  <c:v>97.366666666666674</c:v>
                </c:pt>
                <c:pt idx="9">
                  <c:v>121.45000000000002</c:v>
                </c:pt>
                <c:pt idx="10">
                  <c:v>141.85000000000002</c:v>
                </c:pt>
                <c:pt idx="11">
                  <c:v>166.65000000000003</c:v>
                </c:pt>
                <c:pt idx="12">
                  <c:v>190.53333333333336</c:v>
                </c:pt>
                <c:pt idx="13">
                  <c:v>215.20000000000002</c:v>
                </c:pt>
                <c:pt idx="14">
                  <c:v>238.93333333333334</c:v>
                </c:pt>
                <c:pt idx="15">
                  <c:v>264.31666666666666</c:v>
                </c:pt>
                <c:pt idx="16">
                  <c:v>287.41666666666669</c:v>
                </c:pt>
                <c:pt idx="17">
                  <c:v>312.10000000000002</c:v>
                </c:pt>
                <c:pt idx="18">
                  <c:v>334.93333333333334</c:v>
                </c:pt>
                <c:pt idx="19">
                  <c:v>358.78333333333336</c:v>
                </c:pt>
                <c:pt idx="20">
                  <c:v>382.78333333333336</c:v>
                </c:pt>
                <c:pt idx="21">
                  <c:v>406.8</c:v>
                </c:pt>
                <c:pt idx="22">
                  <c:v>431.53333333333336</c:v>
                </c:pt>
              </c:numCache>
            </c:numRef>
          </c:xVal>
          <c:yVal>
            <c:numRef>
              <c:f>'Growth curves CeBER'!$Q$5:$Q$27</c:f>
              <c:numCache>
                <c:formatCode>0.000</c:formatCode>
                <c:ptCount val="23"/>
                <c:pt idx="0">
                  <c:v>-2.0871685278889256</c:v>
                </c:pt>
                <c:pt idx="1">
                  <c:v>-1.9975278789622504</c:v>
                </c:pt>
                <c:pt idx="2">
                  <c:v>-1.6595600058460664</c:v>
                </c:pt>
                <c:pt idx="3">
                  <c:v>-1.4399671159483185</c:v>
                </c:pt>
                <c:pt idx="4">
                  <c:v>-1.3320701947274225</c:v>
                </c:pt>
                <c:pt idx="5">
                  <c:v>-1.2395803246980084</c:v>
                </c:pt>
                <c:pt idx="6">
                  <c:v>-0.91155119053438038</c:v>
                </c:pt>
                <c:pt idx="7">
                  <c:v>-0.50291519059505096</c:v>
                </c:pt>
                <c:pt idx="8">
                  <c:v>-0.13230013722058909</c:v>
                </c:pt>
                <c:pt idx="9">
                  <c:v>3.3760166889236699E-2</c:v>
                </c:pt>
                <c:pt idx="10">
                  <c:v>0.12081680237445198</c:v>
                </c:pt>
                <c:pt idx="11">
                  <c:v>0.43503938617793397</c:v>
                </c:pt>
                <c:pt idx="12">
                  <c:v>0.65005961104925813</c:v>
                </c:pt>
                <c:pt idx="13">
                  <c:v>0.81481878476180702</c:v>
                </c:pt>
                <c:pt idx="14">
                  <c:v>0.92606944804873859</c:v>
                </c:pt>
                <c:pt idx="15">
                  <c:v>1.0595754669157789</c:v>
                </c:pt>
                <c:pt idx="16">
                  <c:v>1.0903073258419875</c:v>
                </c:pt>
                <c:pt idx="17">
                  <c:v>1.1174235913143999</c:v>
                </c:pt>
                <c:pt idx="18">
                  <c:v>1.1416341931845697</c:v>
                </c:pt>
                <c:pt idx="19">
                  <c:v>1.1738211815748538</c:v>
                </c:pt>
                <c:pt idx="20">
                  <c:v>1.2153852871999291</c:v>
                </c:pt>
                <c:pt idx="21">
                  <c:v>1.1941277727496515</c:v>
                </c:pt>
                <c:pt idx="22">
                  <c:v>1.1959126944622049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F17-3D43-BB2A-8B4774A2E455}"/>
            </c:ext>
          </c:extLst>
        </c:ser>
        <c:ser>
          <c:idx val="1"/>
          <c:order val="1"/>
          <c:tx>
            <c:strRef>
              <c:f>'Growth curves CeBER'!$B$95</c:f>
              <c:strCache>
                <c:ptCount val="1"/>
                <c:pt idx="0">
                  <c:v>60 µmol/m^2.s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339933"/>
              </a:solidFill>
              <a:ln w="9525">
                <a:solidFill>
                  <a:srgbClr val="33993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'Growth curves CeBER'!$R$31:$R$53</c:f>
                <c:numCache>
                  <c:formatCode>General</c:formatCode>
                  <c:ptCount val="23"/>
                  <c:pt idx="0">
                    <c:v>4.1542900166017652E-2</c:v>
                  </c:pt>
                  <c:pt idx="1">
                    <c:v>4.4090617759989313E-2</c:v>
                  </c:pt>
                  <c:pt idx="2">
                    <c:v>2.8391067668478619E-2</c:v>
                  </c:pt>
                  <c:pt idx="3">
                    <c:v>1.491735659195333E-2</c:v>
                  </c:pt>
                  <c:pt idx="4">
                    <c:v>3.5051503995513954E-2</c:v>
                  </c:pt>
                  <c:pt idx="5">
                    <c:v>2.3212469761193063E-2</c:v>
                  </c:pt>
                  <c:pt idx="6">
                    <c:v>3.9859718913688148E-2</c:v>
                  </c:pt>
                  <c:pt idx="7">
                    <c:v>2.2622824953021769E-2</c:v>
                  </c:pt>
                  <c:pt idx="8">
                    <c:v>2.9880313595525423E-2</c:v>
                  </c:pt>
                  <c:pt idx="9">
                    <c:v>5.1729867771707974E-2</c:v>
                  </c:pt>
                  <c:pt idx="10">
                    <c:v>3.5535813058740644E-2</c:v>
                  </c:pt>
                  <c:pt idx="11">
                    <c:v>1.4424202488997522E-2</c:v>
                  </c:pt>
                  <c:pt idx="12">
                    <c:v>2.7279601239273359E-2</c:v>
                  </c:pt>
                  <c:pt idx="13">
                    <c:v>4.4257097034916253E-2</c:v>
                  </c:pt>
                  <c:pt idx="14">
                    <c:v>8.0974098858628673E-3</c:v>
                  </c:pt>
                  <c:pt idx="15">
                    <c:v>3.7714348079098806E-2</c:v>
                  </c:pt>
                  <c:pt idx="16">
                    <c:v>3.5138795337748142E-2</c:v>
                  </c:pt>
                  <c:pt idx="17">
                    <c:v>4.154083850606545E-2</c:v>
                  </c:pt>
                  <c:pt idx="18">
                    <c:v>2.5579301876561197E-2</c:v>
                  </c:pt>
                  <c:pt idx="19">
                    <c:v>4.2520399425728481E-2</c:v>
                  </c:pt>
                  <c:pt idx="20">
                    <c:v>4.1127523289214624E-2</c:v>
                  </c:pt>
                  <c:pt idx="21">
                    <c:v>4.3006169323659596E-2</c:v>
                  </c:pt>
                  <c:pt idx="22">
                    <c:v>4.0308659764794995E-2</c:v>
                  </c:pt>
                </c:numCache>
              </c:numRef>
            </c:plus>
            <c:minus>
              <c:numRef>
                <c:f>'Growth curves CeBER'!$R$31:$R$53</c:f>
                <c:numCache>
                  <c:formatCode>General</c:formatCode>
                  <c:ptCount val="23"/>
                  <c:pt idx="0">
                    <c:v>4.1542900166017652E-2</c:v>
                  </c:pt>
                  <c:pt idx="1">
                    <c:v>4.4090617759989313E-2</c:v>
                  </c:pt>
                  <c:pt idx="2">
                    <c:v>2.8391067668478619E-2</c:v>
                  </c:pt>
                  <c:pt idx="3">
                    <c:v>1.491735659195333E-2</c:v>
                  </c:pt>
                  <c:pt idx="4">
                    <c:v>3.5051503995513954E-2</c:v>
                  </c:pt>
                  <c:pt idx="5">
                    <c:v>2.3212469761193063E-2</c:v>
                  </c:pt>
                  <c:pt idx="6">
                    <c:v>3.9859718913688148E-2</c:v>
                  </c:pt>
                  <c:pt idx="7">
                    <c:v>2.2622824953021769E-2</c:v>
                  </c:pt>
                  <c:pt idx="8">
                    <c:v>2.9880313595525423E-2</c:v>
                  </c:pt>
                  <c:pt idx="9">
                    <c:v>5.1729867771707974E-2</c:v>
                  </c:pt>
                  <c:pt idx="10">
                    <c:v>3.5535813058740644E-2</c:v>
                  </c:pt>
                  <c:pt idx="11">
                    <c:v>1.4424202488997522E-2</c:v>
                  </c:pt>
                  <c:pt idx="12">
                    <c:v>2.7279601239273359E-2</c:v>
                  </c:pt>
                  <c:pt idx="13">
                    <c:v>4.4257097034916253E-2</c:v>
                  </c:pt>
                  <c:pt idx="14">
                    <c:v>8.0974098858628673E-3</c:v>
                  </c:pt>
                  <c:pt idx="15">
                    <c:v>3.7714348079098806E-2</c:v>
                  </c:pt>
                  <c:pt idx="16">
                    <c:v>3.5138795337748142E-2</c:v>
                  </c:pt>
                  <c:pt idx="17">
                    <c:v>4.154083850606545E-2</c:v>
                  </c:pt>
                  <c:pt idx="18">
                    <c:v>2.5579301876561197E-2</c:v>
                  </c:pt>
                  <c:pt idx="19">
                    <c:v>4.2520399425728481E-2</c:v>
                  </c:pt>
                  <c:pt idx="20">
                    <c:v>4.1127523289214624E-2</c:v>
                  </c:pt>
                  <c:pt idx="21">
                    <c:v>4.3006169323659596E-2</c:v>
                  </c:pt>
                  <c:pt idx="22">
                    <c:v>4.0308659764794995E-2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'Growth curves CeBER'!$D$31:$D$53</c:f>
              <c:numCache>
                <c:formatCode>0</c:formatCode>
                <c:ptCount val="23"/>
                <c:pt idx="0" formatCode="General">
                  <c:v>0</c:v>
                </c:pt>
                <c:pt idx="1">
                  <c:v>4.166666666666667</c:v>
                </c:pt>
                <c:pt idx="2">
                  <c:v>9.5</c:v>
                </c:pt>
                <c:pt idx="3">
                  <c:v>21.25</c:v>
                </c:pt>
                <c:pt idx="4">
                  <c:v>24.416666666666668</c:v>
                </c:pt>
                <c:pt idx="5">
                  <c:v>28.366666666666667</c:v>
                </c:pt>
                <c:pt idx="6">
                  <c:v>45.733333333333334</c:v>
                </c:pt>
                <c:pt idx="7">
                  <c:v>70.05</c:v>
                </c:pt>
                <c:pt idx="8">
                  <c:v>96.6</c:v>
                </c:pt>
                <c:pt idx="9">
                  <c:v>120.69999999999999</c:v>
                </c:pt>
                <c:pt idx="10">
                  <c:v>141.13333333333333</c:v>
                </c:pt>
                <c:pt idx="11">
                  <c:v>165.91666666666666</c:v>
                </c:pt>
                <c:pt idx="12">
                  <c:v>189.79999999999998</c:v>
                </c:pt>
                <c:pt idx="13">
                  <c:v>214.49999999999997</c:v>
                </c:pt>
                <c:pt idx="14">
                  <c:v>238.64999999999998</c:v>
                </c:pt>
                <c:pt idx="15">
                  <c:v>263.48333333333329</c:v>
                </c:pt>
                <c:pt idx="16">
                  <c:v>286.68333333333328</c:v>
                </c:pt>
                <c:pt idx="17">
                  <c:v>311.34999999999997</c:v>
                </c:pt>
                <c:pt idx="18">
                  <c:v>334.21666666666664</c:v>
                </c:pt>
                <c:pt idx="19">
                  <c:v>358.08333333333331</c:v>
                </c:pt>
                <c:pt idx="20">
                  <c:v>382.08333333333331</c:v>
                </c:pt>
                <c:pt idx="21">
                  <c:v>406.13333333333333</c:v>
                </c:pt>
                <c:pt idx="22">
                  <c:v>430.93333333333334</c:v>
                </c:pt>
              </c:numCache>
            </c:numRef>
          </c:xVal>
          <c:yVal>
            <c:numRef>
              <c:f>'Growth curves CeBER'!$Q$31:$Q$53</c:f>
              <c:numCache>
                <c:formatCode>0.000</c:formatCode>
                <c:ptCount val="23"/>
                <c:pt idx="0">
                  <c:v>-2.0520948981661618</c:v>
                </c:pt>
                <c:pt idx="1">
                  <c:v>-1.8796672100674712</c:v>
                </c:pt>
                <c:pt idx="2">
                  <c:v>-1.6256927086055979</c:v>
                </c:pt>
                <c:pt idx="3">
                  <c:v>-1.3431915639218091</c:v>
                </c:pt>
                <c:pt idx="4">
                  <c:v>-1.2995525474286129</c:v>
                </c:pt>
                <c:pt idx="5">
                  <c:v>-1.1314475256772556</c:v>
                </c:pt>
                <c:pt idx="6">
                  <c:v>-0.85604534773327157</c:v>
                </c:pt>
                <c:pt idx="7">
                  <c:v>-0.44980234020894555</c:v>
                </c:pt>
                <c:pt idx="8">
                  <c:v>-7.4804822773474444E-2</c:v>
                </c:pt>
                <c:pt idx="9">
                  <c:v>0.18557847444228018</c:v>
                </c:pt>
                <c:pt idx="10">
                  <c:v>0.32423276101060677</c:v>
                </c:pt>
                <c:pt idx="11">
                  <c:v>0.49774920727678662</c:v>
                </c:pt>
                <c:pt idx="12">
                  <c:v>0.68775228255384258</c:v>
                </c:pt>
                <c:pt idx="13">
                  <c:v>0.85073555927633093</c:v>
                </c:pt>
                <c:pt idx="14">
                  <c:v>0.95608110367230914</c:v>
                </c:pt>
                <c:pt idx="15">
                  <c:v>1.0829700389651506</c:v>
                </c:pt>
                <c:pt idx="16">
                  <c:v>1.1248391111455824</c:v>
                </c:pt>
                <c:pt idx="17">
                  <c:v>1.1490776788181083</c:v>
                </c:pt>
                <c:pt idx="18">
                  <c:v>1.2033628226606756</c:v>
                </c:pt>
                <c:pt idx="19">
                  <c:v>1.2139549114249573</c:v>
                </c:pt>
                <c:pt idx="20">
                  <c:v>1.2257061606617825</c:v>
                </c:pt>
                <c:pt idx="21">
                  <c:v>1.2245807246323352</c:v>
                </c:pt>
                <c:pt idx="22">
                  <c:v>1.2267359964044544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F17-3D43-BB2A-8B4774A2E455}"/>
            </c:ext>
          </c:extLst>
        </c:ser>
        <c:ser>
          <c:idx val="2"/>
          <c:order val="2"/>
          <c:tx>
            <c:strRef>
              <c:f>'Growth curves CeBER'!$C$95</c:f>
              <c:strCache>
                <c:ptCount val="1"/>
                <c:pt idx="0">
                  <c:v>80 µmol/m^2.s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rgbClr val="1D551D"/>
              </a:solidFill>
              <a:ln w="9525">
                <a:solidFill>
                  <a:srgbClr val="1D551D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'Growth curves CeBER'!$R$57:$R$78</c:f>
                <c:numCache>
                  <c:formatCode>General</c:formatCode>
                  <c:ptCount val="22"/>
                  <c:pt idx="0">
                    <c:v>1.851008261863776E-2</c:v>
                  </c:pt>
                  <c:pt idx="1">
                    <c:v>1.8033453817308361E-2</c:v>
                  </c:pt>
                  <c:pt idx="2">
                    <c:v>1.2676009465042857E-2</c:v>
                  </c:pt>
                  <c:pt idx="3">
                    <c:v>1.4364390584177975E-2</c:v>
                  </c:pt>
                  <c:pt idx="4">
                    <c:v>1.3472730261451198E-2</c:v>
                  </c:pt>
                  <c:pt idx="5">
                    <c:v>6.9266561639150792E-3</c:v>
                  </c:pt>
                  <c:pt idx="6">
                    <c:v>3.8365490522653034E-2</c:v>
                  </c:pt>
                  <c:pt idx="7">
                    <c:v>1.8583970297957303E-2</c:v>
                  </c:pt>
                  <c:pt idx="8">
                    <c:v>2.1242289156626282E-2</c:v>
                  </c:pt>
                  <c:pt idx="9">
                    <c:v>2.8022199319856451E-2</c:v>
                  </c:pt>
                  <c:pt idx="10">
                    <c:v>1.2503240741487896E-2</c:v>
                  </c:pt>
                  <c:pt idx="11">
                    <c:v>3.2960181160218857E-2</c:v>
                  </c:pt>
                  <c:pt idx="12">
                    <c:v>1.3327594960320474E-2</c:v>
                  </c:pt>
                  <c:pt idx="13">
                    <c:v>1.1780494275237264E-2</c:v>
                  </c:pt>
                  <c:pt idx="14">
                    <c:v>2.0935588924841982E-2</c:v>
                  </c:pt>
                  <c:pt idx="15">
                    <c:v>4.0679106442080643E-2</c:v>
                  </c:pt>
                  <c:pt idx="16">
                    <c:v>4.5733015047947516E-2</c:v>
                  </c:pt>
                  <c:pt idx="17">
                    <c:v>5.6887045795617673E-2</c:v>
                  </c:pt>
                  <c:pt idx="18">
                    <c:v>4.089901681960418E-2</c:v>
                  </c:pt>
                  <c:pt idx="19">
                    <c:v>4.0996671343951012E-2</c:v>
                  </c:pt>
                  <c:pt idx="20">
                    <c:v>3.688822667645366E-2</c:v>
                  </c:pt>
                  <c:pt idx="21">
                    <c:v>4.5174476416004333E-2</c:v>
                  </c:pt>
                </c:numCache>
              </c:numRef>
            </c:plus>
            <c:minus>
              <c:numRef>
                <c:f>'Growth curves CeBER'!$R$57:$R$78</c:f>
                <c:numCache>
                  <c:formatCode>General</c:formatCode>
                  <c:ptCount val="22"/>
                  <c:pt idx="0">
                    <c:v>1.851008261863776E-2</c:v>
                  </c:pt>
                  <c:pt idx="1">
                    <c:v>1.8033453817308361E-2</c:v>
                  </c:pt>
                  <c:pt idx="2">
                    <c:v>1.2676009465042857E-2</c:v>
                  </c:pt>
                  <c:pt idx="3">
                    <c:v>1.4364390584177975E-2</c:v>
                  </c:pt>
                  <c:pt idx="4">
                    <c:v>1.3472730261451198E-2</c:v>
                  </c:pt>
                  <c:pt idx="5">
                    <c:v>6.9266561639150792E-3</c:v>
                  </c:pt>
                  <c:pt idx="6">
                    <c:v>3.8365490522653034E-2</c:v>
                  </c:pt>
                  <c:pt idx="7">
                    <c:v>1.8583970297957303E-2</c:v>
                  </c:pt>
                  <c:pt idx="8">
                    <c:v>2.1242289156626282E-2</c:v>
                  </c:pt>
                  <c:pt idx="9">
                    <c:v>2.8022199319856451E-2</c:v>
                  </c:pt>
                  <c:pt idx="10">
                    <c:v>1.2503240741487896E-2</c:v>
                  </c:pt>
                  <c:pt idx="11">
                    <c:v>3.2960181160218857E-2</c:v>
                  </c:pt>
                  <c:pt idx="12">
                    <c:v>1.3327594960320474E-2</c:v>
                  </c:pt>
                  <c:pt idx="13">
                    <c:v>1.1780494275237264E-2</c:v>
                  </c:pt>
                  <c:pt idx="14">
                    <c:v>2.0935588924841982E-2</c:v>
                  </c:pt>
                  <c:pt idx="15">
                    <c:v>4.0679106442080643E-2</c:v>
                  </c:pt>
                  <c:pt idx="16">
                    <c:v>4.5733015047947516E-2</c:v>
                  </c:pt>
                  <c:pt idx="17">
                    <c:v>5.6887045795617673E-2</c:v>
                  </c:pt>
                  <c:pt idx="18">
                    <c:v>4.089901681960418E-2</c:v>
                  </c:pt>
                  <c:pt idx="19">
                    <c:v>4.0996671343951012E-2</c:v>
                  </c:pt>
                  <c:pt idx="20">
                    <c:v>3.688822667645366E-2</c:v>
                  </c:pt>
                  <c:pt idx="21">
                    <c:v>4.5174476416004333E-2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'Growth curves CeBER'!$D$57:$D$78</c:f>
              <c:numCache>
                <c:formatCode>0</c:formatCode>
                <c:ptCount val="22"/>
                <c:pt idx="0" formatCode="General">
                  <c:v>0</c:v>
                </c:pt>
                <c:pt idx="1">
                  <c:v>3.3333333333333335</c:v>
                </c:pt>
                <c:pt idx="2">
                  <c:v>20.5</c:v>
                </c:pt>
                <c:pt idx="3">
                  <c:v>23.666666666666668</c:v>
                </c:pt>
                <c:pt idx="4">
                  <c:v>27.6</c:v>
                </c:pt>
                <c:pt idx="5">
                  <c:v>45</c:v>
                </c:pt>
                <c:pt idx="6">
                  <c:v>69.283333333333331</c:v>
                </c:pt>
                <c:pt idx="7">
                  <c:v>95.883333333333326</c:v>
                </c:pt>
                <c:pt idx="8">
                  <c:v>120</c:v>
                </c:pt>
                <c:pt idx="9">
                  <c:v>140.46666666666667</c:v>
                </c:pt>
                <c:pt idx="10">
                  <c:v>165.28333333333333</c:v>
                </c:pt>
                <c:pt idx="11">
                  <c:v>189.13333333333333</c:v>
                </c:pt>
                <c:pt idx="12">
                  <c:v>213.83333333333331</c:v>
                </c:pt>
                <c:pt idx="13">
                  <c:v>237.7</c:v>
                </c:pt>
                <c:pt idx="14">
                  <c:v>262.66666666666663</c:v>
                </c:pt>
                <c:pt idx="15">
                  <c:v>285.99999999999994</c:v>
                </c:pt>
                <c:pt idx="16">
                  <c:v>310.61666666666662</c:v>
                </c:pt>
                <c:pt idx="17">
                  <c:v>333.49999999999994</c:v>
                </c:pt>
                <c:pt idx="18">
                  <c:v>357.39999999999992</c:v>
                </c:pt>
                <c:pt idx="19">
                  <c:v>381.39999999999992</c:v>
                </c:pt>
                <c:pt idx="20">
                  <c:v>405.49999999999994</c:v>
                </c:pt>
                <c:pt idx="21">
                  <c:v>430.26666666666659</c:v>
                </c:pt>
              </c:numCache>
            </c:numRef>
          </c:xVal>
          <c:yVal>
            <c:numRef>
              <c:f>'Growth curves CeBER'!$Q$57:$Q$78</c:f>
              <c:numCache>
                <c:formatCode>0.000</c:formatCode>
                <c:ptCount val="22"/>
                <c:pt idx="0">
                  <c:v>-2.0039224303890308</c:v>
                </c:pt>
                <c:pt idx="1">
                  <c:v>-1.7238732050817689</c:v>
                </c:pt>
                <c:pt idx="2">
                  <c:v>-1.3718844928848399</c:v>
                </c:pt>
                <c:pt idx="3">
                  <c:v>-1.2970120930609326</c:v>
                </c:pt>
                <c:pt idx="4">
                  <c:v>-1.1413349292669854</c:v>
                </c:pt>
                <c:pt idx="5">
                  <c:v>-0.74132800795235043</c:v>
                </c:pt>
                <c:pt idx="6">
                  <c:v>-0.18472650382874037</c:v>
                </c:pt>
                <c:pt idx="7">
                  <c:v>0.15003497582397471</c:v>
                </c:pt>
                <c:pt idx="8">
                  <c:v>0.40571373560683277</c:v>
                </c:pt>
                <c:pt idx="9">
                  <c:v>0.58285134015776985</c:v>
                </c:pt>
                <c:pt idx="10">
                  <c:v>0.7796559566133775</c:v>
                </c:pt>
                <c:pt idx="11">
                  <c:v>0.91375764105269708</c:v>
                </c:pt>
                <c:pt idx="12">
                  <c:v>1.0308438104992215</c:v>
                </c:pt>
                <c:pt idx="13">
                  <c:v>1.2043682674942511</c:v>
                </c:pt>
                <c:pt idx="14">
                  <c:v>1.3368581742956007</c:v>
                </c:pt>
                <c:pt idx="15">
                  <c:v>1.3737643861104833</c:v>
                </c:pt>
                <c:pt idx="16">
                  <c:v>1.3854956439834794</c:v>
                </c:pt>
                <c:pt idx="17">
                  <c:v>1.4117157797874091</c:v>
                </c:pt>
                <c:pt idx="18">
                  <c:v>1.4696120395138952</c:v>
                </c:pt>
                <c:pt idx="19">
                  <c:v>1.4793744585465036</c:v>
                </c:pt>
                <c:pt idx="20">
                  <c:v>1.4834211185728854</c:v>
                </c:pt>
                <c:pt idx="21">
                  <c:v>1.4752751176924799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F17-3D43-BB2A-8B4774A2E4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1967840"/>
        <c:axId val="1020632992"/>
      </c:scatterChart>
      <c:valAx>
        <c:axId val="1141967840"/>
        <c:scaling>
          <c:orientation val="minMax"/>
          <c:max val="4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20632992"/>
        <c:crosses val="autoZero"/>
        <c:crossBetween val="midCat"/>
        <c:majorUnit val="50"/>
      </c:valAx>
      <c:valAx>
        <c:axId val="102063299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ln</a:t>
                </a:r>
                <a:r>
                  <a:rPr lang="en-ZA" baseline="0"/>
                  <a:t> biomass concentration </a:t>
                </a:r>
                <a:r>
                  <a:rPr lang="en-ZA"/>
                  <a:t>(g.L</a:t>
                </a:r>
                <a:r>
                  <a:rPr lang="en-ZA" baseline="30000"/>
                  <a:t>-1</a:t>
                </a:r>
                <a:r>
                  <a:rPr lang="en-ZA"/>
                  <a:t>)</a:t>
                </a:r>
              </a:p>
            </c:rich>
          </c:tx>
          <c:layout>
            <c:manualLayout>
              <c:xMode val="edge"/>
              <c:yMode val="edge"/>
              <c:x val="2.5000000000000001E-2"/>
              <c:y val="0.2145563575386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141967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'Nitrate content UTEX #1926'!$B$2:$U$2</c:f>
              <c:strCache>
                <c:ptCount val="1"/>
                <c:pt idx="0">
                  <c:v>40 µmol/m^2.s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rgbClr val="FFFDC6"/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'Nitrate content UTEX #1926'!$Y$4:$Y$13</c:f>
                <c:numCache>
                  <c:formatCode>General</c:formatCode>
                  <c:ptCount val="10"/>
                  <c:pt idx="0">
                    <c:v>4.5630501841004312E-2</c:v>
                  </c:pt>
                  <c:pt idx="1">
                    <c:v>1.6403955461898174E-2</c:v>
                  </c:pt>
                  <c:pt idx="2">
                    <c:v>5.5525274853632713E-2</c:v>
                  </c:pt>
                  <c:pt idx="3">
                    <c:v>2.4898045059288419E-2</c:v>
                  </c:pt>
                  <c:pt idx="4">
                    <c:v>3.213385249892891E-2</c:v>
                  </c:pt>
                  <c:pt idx="5">
                    <c:v>4.0124930934083522E-2</c:v>
                  </c:pt>
                  <c:pt idx="6">
                    <c:v>3.4603053574936989E-2</c:v>
                  </c:pt>
                  <c:pt idx="7">
                    <c:v>3.0389100707810678E-3</c:v>
                  </c:pt>
                  <c:pt idx="8">
                    <c:v>9.6819199999997896E-4</c:v>
                  </c:pt>
                </c:numCache>
              </c:numRef>
            </c:plus>
            <c:minus>
              <c:numRef>
                <c:f>'Nitrate content UTEX #1926'!$Y$4:$Y$13</c:f>
                <c:numCache>
                  <c:formatCode>General</c:formatCode>
                  <c:ptCount val="10"/>
                  <c:pt idx="0">
                    <c:v>4.5630501841004312E-2</c:v>
                  </c:pt>
                  <c:pt idx="1">
                    <c:v>1.6403955461898174E-2</c:v>
                  </c:pt>
                  <c:pt idx="2">
                    <c:v>5.5525274853632713E-2</c:v>
                  </c:pt>
                  <c:pt idx="3">
                    <c:v>2.4898045059288419E-2</c:v>
                  </c:pt>
                  <c:pt idx="4">
                    <c:v>3.213385249892891E-2</c:v>
                  </c:pt>
                  <c:pt idx="5">
                    <c:v>4.0124930934083522E-2</c:v>
                  </c:pt>
                  <c:pt idx="6">
                    <c:v>3.4603053574936989E-2</c:v>
                  </c:pt>
                  <c:pt idx="7">
                    <c:v>3.0389100707810678E-3</c:v>
                  </c:pt>
                  <c:pt idx="8">
                    <c:v>9.6819199999997896E-4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'Nitrate content UTEX #1926'!$W$4:$W$13</c:f>
              <c:numCache>
                <c:formatCode>0</c:formatCode>
                <c:ptCount val="10"/>
                <c:pt idx="0">
                  <c:v>0</c:v>
                </c:pt>
                <c:pt idx="1">
                  <c:v>46.5</c:v>
                </c:pt>
                <c:pt idx="2">
                  <c:v>97.366666666666674</c:v>
                </c:pt>
                <c:pt idx="3">
                  <c:v>141.85000000000002</c:v>
                </c:pt>
                <c:pt idx="4">
                  <c:v>190.53333333333336</c:v>
                </c:pt>
                <c:pt idx="5">
                  <c:v>238.93333333333334</c:v>
                </c:pt>
                <c:pt idx="6">
                  <c:v>287.41666666666669</c:v>
                </c:pt>
                <c:pt idx="7">
                  <c:v>334.93333333333334</c:v>
                </c:pt>
                <c:pt idx="8">
                  <c:v>431.53333333333336</c:v>
                </c:pt>
              </c:numCache>
            </c:numRef>
          </c:xVal>
          <c:yVal>
            <c:numRef>
              <c:f>'Nitrate content UTEX #1926'!$X$4:$X$13</c:f>
              <c:numCache>
                <c:formatCode>0.000</c:formatCode>
                <c:ptCount val="10"/>
                <c:pt idx="0">
                  <c:v>1.5605082717460317</c:v>
                </c:pt>
                <c:pt idx="1">
                  <c:v>1.4884624740740742</c:v>
                </c:pt>
                <c:pt idx="2">
                  <c:v>1.42069187</c:v>
                </c:pt>
                <c:pt idx="3">
                  <c:v>1.2700350388888888</c:v>
                </c:pt>
                <c:pt idx="4">
                  <c:v>1.0644865619047621</c:v>
                </c:pt>
                <c:pt idx="5">
                  <c:v>0.94528380206349227</c:v>
                </c:pt>
                <c:pt idx="6">
                  <c:v>0.76241909580952383</c:v>
                </c:pt>
                <c:pt idx="7">
                  <c:v>0.65355604644444443</c:v>
                </c:pt>
                <c:pt idx="8">
                  <c:v>0.52766464000000002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F2D-CD45-89BD-7006E9E1D383}"/>
            </c:ext>
          </c:extLst>
        </c:ser>
        <c:ser>
          <c:idx val="1"/>
          <c:order val="1"/>
          <c:tx>
            <c:strRef>
              <c:f>'Nitrate content UTEX #1926'!$B$32:$U$32</c:f>
              <c:strCache>
                <c:ptCount val="1"/>
                <c:pt idx="0">
                  <c:v>60 µmol/m^2.s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FF00"/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'Nitrate content UTEX #1926'!$Y$34:$Y$43</c:f>
                <c:numCache>
                  <c:formatCode>General</c:formatCode>
                  <c:ptCount val="10"/>
                  <c:pt idx="0">
                    <c:v>5.4878377286387232E-2</c:v>
                  </c:pt>
                  <c:pt idx="1">
                    <c:v>4.4938478631499738E-2</c:v>
                  </c:pt>
                  <c:pt idx="2">
                    <c:v>6.9141104697248351E-2</c:v>
                  </c:pt>
                  <c:pt idx="3">
                    <c:v>1.5159608659462346E-2</c:v>
                  </c:pt>
                  <c:pt idx="4">
                    <c:v>1.4222493292084618E-2</c:v>
                  </c:pt>
                  <c:pt idx="5">
                    <c:v>2.5073886598219582E-2</c:v>
                  </c:pt>
                  <c:pt idx="6">
                    <c:v>3.260176660989586E-2</c:v>
                  </c:pt>
                  <c:pt idx="7">
                    <c:v>1.9608109505997461E-2</c:v>
                  </c:pt>
                  <c:pt idx="8">
                    <c:v>4.1756612411943998E-2</c:v>
                  </c:pt>
                </c:numCache>
              </c:numRef>
            </c:plus>
            <c:minus>
              <c:numRef>
                <c:f>'Nitrate content UTEX #1926'!$Y$34:$Y$43</c:f>
                <c:numCache>
                  <c:formatCode>General</c:formatCode>
                  <c:ptCount val="10"/>
                  <c:pt idx="0">
                    <c:v>5.4878377286387232E-2</c:v>
                  </c:pt>
                  <c:pt idx="1">
                    <c:v>4.4938478631499738E-2</c:v>
                  </c:pt>
                  <c:pt idx="2">
                    <c:v>6.9141104697248351E-2</c:v>
                  </c:pt>
                  <c:pt idx="3">
                    <c:v>1.5159608659462346E-2</c:v>
                  </c:pt>
                  <c:pt idx="4">
                    <c:v>1.4222493292084618E-2</c:v>
                  </c:pt>
                  <c:pt idx="5">
                    <c:v>2.5073886598219582E-2</c:v>
                  </c:pt>
                  <c:pt idx="6">
                    <c:v>3.260176660989586E-2</c:v>
                  </c:pt>
                  <c:pt idx="7">
                    <c:v>1.9608109505997461E-2</c:v>
                  </c:pt>
                  <c:pt idx="8">
                    <c:v>4.1756612411943998E-2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'Nitrate content UTEX #1926'!$W$34:$W$43</c:f>
              <c:numCache>
                <c:formatCode>0</c:formatCode>
                <c:ptCount val="10"/>
                <c:pt idx="0">
                  <c:v>0</c:v>
                </c:pt>
                <c:pt idx="1">
                  <c:v>45.733333333333334</c:v>
                </c:pt>
                <c:pt idx="2">
                  <c:v>96.6</c:v>
                </c:pt>
                <c:pt idx="3">
                  <c:v>141.13333333333333</c:v>
                </c:pt>
                <c:pt idx="4">
                  <c:v>189.79999999999998</c:v>
                </c:pt>
                <c:pt idx="5">
                  <c:v>238.64999999999998</c:v>
                </c:pt>
                <c:pt idx="6">
                  <c:v>286.68333333333328</c:v>
                </c:pt>
                <c:pt idx="7">
                  <c:v>334.21666666666664</c:v>
                </c:pt>
                <c:pt idx="8">
                  <c:v>430.93333333333334</c:v>
                </c:pt>
              </c:numCache>
            </c:numRef>
          </c:xVal>
          <c:yVal>
            <c:numRef>
              <c:f>'Nitrate content UTEX #1926'!$X$34:$X$43</c:f>
              <c:numCache>
                <c:formatCode>0.000</c:formatCode>
                <c:ptCount val="10"/>
                <c:pt idx="0">
                  <c:v>1.5981316300529098</c:v>
                </c:pt>
                <c:pt idx="1">
                  <c:v>1.4945772814814815</c:v>
                </c:pt>
                <c:pt idx="2">
                  <c:v>1.3991164899999997</c:v>
                </c:pt>
                <c:pt idx="3">
                  <c:v>1.1764821366666667</c:v>
                </c:pt>
                <c:pt idx="4">
                  <c:v>1.0130922966666667</c:v>
                </c:pt>
                <c:pt idx="5">
                  <c:v>0.8812010129365081</c:v>
                </c:pt>
                <c:pt idx="6">
                  <c:v>0.73934391809523792</c:v>
                </c:pt>
                <c:pt idx="7">
                  <c:v>0.62457958571428573</c:v>
                </c:pt>
                <c:pt idx="8">
                  <c:v>0.50273369600000006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F2D-CD45-89BD-7006E9E1D383}"/>
            </c:ext>
          </c:extLst>
        </c:ser>
        <c:ser>
          <c:idx val="2"/>
          <c:order val="2"/>
          <c:tx>
            <c:strRef>
              <c:f>'Nitrate content UTEX #1926'!$B$62:$U$62</c:f>
              <c:strCache>
                <c:ptCount val="1"/>
                <c:pt idx="0">
                  <c:v>80 µmol/m^2.s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rgbClr val="DDDC00"/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'Nitrate content UTEX #1926'!$Y$64:$Y$73</c:f>
                <c:numCache>
                  <c:formatCode>General</c:formatCode>
                  <c:ptCount val="10"/>
                  <c:pt idx="0">
                    <c:v>1.235872618572087E-2</c:v>
                  </c:pt>
                  <c:pt idx="1">
                    <c:v>1.5560408339952449E-2</c:v>
                  </c:pt>
                  <c:pt idx="2">
                    <c:v>3.0082281554439132E-2</c:v>
                  </c:pt>
                  <c:pt idx="3">
                    <c:v>2.699137665583597E-2</c:v>
                  </c:pt>
                  <c:pt idx="4">
                    <c:v>1.2185158980298986E-2</c:v>
                  </c:pt>
                  <c:pt idx="5">
                    <c:v>4.3348884169863822E-2</c:v>
                  </c:pt>
                  <c:pt idx="6">
                    <c:v>7.0787607195274979E-2</c:v>
                  </c:pt>
                  <c:pt idx="7">
                    <c:v>8.6885617904838165E-3</c:v>
                  </c:pt>
                  <c:pt idx="8">
                    <c:v>2.4573667485013793E-2</c:v>
                  </c:pt>
                </c:numCache>
              </c:numRef>
            </c:plus>
            <c:minus>
              <c:numRef>
                <c:f>'Nitrate content UTEX #1926'!$Y$64:$Y$73</c:f>
                <c:numCache>
                  <c:formatCode>General</c:formatCode>
                  <c:ptCount val="10"/>
                  <c:pt idx="0">
                    <c:v>1.235872618572087E-2</c:v>
                  </c:pt>
                  <c:pt idx="1">
                    <c:v>1.5560408339952449E-2</c:v>
                  </c:pt>
                  <c:pt idx="2">
                    <c:v>3.0082281554439132E-2</c:v>
                  </c:pt>
                  <c:pt idx="3">
                    <c:v>2.699137665583597E-2</c:v>
                  </c:pt>
                  <c:pt idx="4">
                    <c:v>1.2185158980298986E-2</c:v>
                  </c:pt>
                  <c:pt idx="5">
                    <c:v>4.3348884169863822E-2</c:v>
                  </c:pt>
                  <c:pt idx="6">
                    <c:v>7.0787607195274979E-2</c:v>
                  </c:pt>
                  <c:pt idx="7">
                    <c:v>8.6885617904838165E-3</c:v>
                  </c:pt>
                  <c:pt idx="8">
                    <c:v>2.4573667485013793E-2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'Nitrate content UTEX #1926'!$W$64:$W$73</c:f>
              <c:numCache>
                <c:formatCode>0</c:formatCode>
                <c:ptCount val="10"/>
                <c:pt idx="0">
                  <c:v>0</c:v>
                </c:pt>
                <c:pt idx="1">
                  <c:v>45</c:v>
                </c:pt>
                <c:pt idx="2">
                  <c:v>95.628052805280532</c:v>
                </c:pt>
                <c:pt idx="3">
                  <c:v>140.21138613861388</c:v>
                </c:pt>
                <c:pt idx="4">
                  <c:v>188.87805280528053</c:v>
                </c:pt>
                <c:pt idx="5">
                  <c:v>237.4447194719472</c:v>
                </c:pt>
                <c:pt idx="6">
                  <c:v>285.74471947194718</c:v>
                </c:pt>
                <c:pt idx="7">
                  <c:v>333.24471947194718</c:v>
                </c:pt>
                <c:pt idx="8">
                  <c:v>430.01138613861383</c:v>
                </c:pt>
              </c:numCache>
            </c:numRef>
          </c:xVal>
          <c:yVal>
            <c:numRef>
              <c:f>'Nitrate content UTEX #1926'!$X$64:$X$73</c:f>
              <c:numCache>
                <c:formatCode>0.000</c:formatCode>
                <c:ptCount val="10"/>
                <c:pt idx="0">
                  <c:v>1.531893323174603</c:v>
                </c:pt>
                <c:pt idx="1">
                  <c:v>1.3257296962962961</c:v>
                </c:pt>
                <c:pt idx="2">
                  <c:v>1.2119735199999999</c:v>
                </c:pt>
                <c:pt idx="3">
                  <c:v>0.99706880507936502</c:v>
                </c:pt>
                <c:pt idx="4">
                  <c:v>0.79859367928571423</c:v>
                </c:pt>
                <c:pt idx="5">
                  <c:v>0.72788690857142857</c:v>
                </c:pt>
                <c:pt idx="6">
                  <c:v>0.56479750285714281</c:v>
                </c:pt>
                <c:pt idx="7">
                  <c:v>0.49183219269841266</c:v>
                </c:pt>
                <c:pt idx="8">
                  <c:v>0.31450103466666662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F2D-CD45-89BD-7006E9E1D3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9963248"/>
        <c:axId val="1531741264"/>
      </c:scatterChart>
      <c:valAx>
        <c:axId val="1519963248"/>
        <c:scaling>
          <c:orientation val="minMax"/>
          <c:max val="4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Time</a:t>
                </a:r>
                <a:r>
                  <a:rPr lang="en-GB" baseline="0"/>
                  <a:t> (h)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0.47704046657315508"/>
              <c:y val="0.8193472004047049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31741264"/>
        <c:crosses val="autoZero"/>
        <c:crossBetween val="midCat"/>
      </c:valAx>
      <c:valAx>
        <c:axId val="153174126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Nitrate</a:t>
                </a:r>
                <a:r>
                  <a:rPr lang="en-GB" baseline="0"/>
                  <a:t> concentration (g.L</a:t>
                </a:r>
                <a:r>
                  <a:rPr lang="en-GB" baseline="30000"/>
                  <a:t>-1</a:t>
                </a:r>
                <a:r>
                  <a:rPr lang="en-GB" baseline="0"/>
                  <a:t>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199632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'Growth curves CeBER'!$A$95</c:f>
              <c:strCache>
                <c:ptCount val="1"/>
                <c:pt idx="0">
                  <c:v>40 µmol/m^2.s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rgbClr val="92D050"/>
              </a:solidFill>
              <a:ln w="9525">
                <a:solidFill>
                  <a:srgbClr val="92D0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'Growth curves CeBER'!$M$5:$M$27</c:f>
                <c:numCache>
                  <c:formatCode>General</c:formatCode>
                  <c:ptCount val="23"/>
                  <c:pt idx="0">
                    <c:v>3.9219620367588722E-3</c:v>
                  </c:pt>
                  <c:pt idx="1">
                    <c:v>7.1210382201848991E-4</c:v>
                  </c:pt>
                  <c:pt idx="2">
                    <c:v>5.0016528699132236E-3</c:v>
                  </c:pt>
                  <c:pt idx="3">
                    <c:v>8.3146570988292135E-3</c:v>
                  </c:pt>
                  <c:pt idx="4">
                    <c:v>2.1363114660554457E-3</c:v>
                  </c:pt>
                  <c:pt idx="5">
                    <c:v>9.9694535082587785E-3</c:v>
                  </c:pt>
                  <c:pt idx="6">
                    <c:v>8.7504782642626837E-3</c:v>
                  </c:pt>
                  <c:pt idx="7">
                    <c:v>2.6959815586247117E-3</c:v>
                  </c:pt>
                  <c:pt idx="8">
                    <c:v>6.4221079668421895E-3</c:v>
                  </c:pt>
                  <c:pt idx="9">
                    <c:v>8.7890268132737488E-3</c:v>
                  </c:pt>
                  <c:pt idx="10">
                    <c:v>1.2658634430827617E-2</c:v>
                  </c:pt>
                  <c:pt idx="11">
                    <c:v>4.4135120247611265E-2</c:v>
                  </c:pt>
                  <c:pt idx="12">
                    <c:v>2.0753072401400698E-2</c:v>
                  </c:pt>
                  <c:pt idx="13">
                    <c:v>4.3010127655704521E-2</c:v>
                  </c:pt>
                  <c:pt idx="14">
                    <c:v>8.9127789791312834E-2</c:v>
                  </c:pt>
                  <c:pt idx="15">
                    <c:v>0.13139811042131966</c:v>
                  </c:pt>
                  <c:pt idx="16">
                    <c:v>0.13661509686909093</c:v>
                  </c:pt>
                  <c:pt idx="17">
                    <c:v>0.12488712168831159</c:v>
                  </c:pt>
                  <c:pt idx="18">
                    <c:v>0.16948270431723836</c:v>
                  </c:pt>
                  <c:pt idx="19">
                    <c:v>0.1107712535169862</c:v>
                  </c:pt>
                  <c:pt idx="20">
                    <c:v>0.14619707095822557</c:v>
                  </c:pt>
                  <c:pt idx="21">
                    <c:v>0.19569946666666663</c:v>
                  </c:pt>
                  <c:pt idx="22">
                    <c:v>0.201822501593895</c:v>
                  </c:pt>
                </c:numCache>
              </c:numRef>
            </c:plus>
            <c:minus>
              <c:numRef>
                <c:f>'Growth curves CeBER'!$M$5:$M$27</c:f>
                <c:numCache>
                  <c:formatCode>General</c:formatCode>
                  <c:ptCount val="23"/>
                  <c:pt idx="0">
                    <c:v>3.9219620367588722E-3</c:v>
                  </c:pt>
                  <c:pt idx="1">
                    <c:v>7.1210382201848991E-4</c:v>
                  </c:pt>
                  <c:pt idx="2">
                    <c:v>5.0016528699132236E-3</c:v>
                  </c:pt>
                  <c:pt idx="3">
                    <c:v>8.3146570988292135E-3</c:v>
                  </c:pt>
                  <c:pt idx="4">
                    <c:v>2.1363114660554457E-3</c:v>
                  </c:pt>
                  <c:pt idx="5">
                    <c:v>9.9694535082587785E-3</c:v>
                  </c:pt>
                  <c:pt idx="6">
                    <c:v>8.7504782642626837E-3</c:v>
                  </c:pt>
                  <c:pt idx="7">
                    <c:v>2.6959815586247117E-3</c:v>
                  </c:pt>
                  <c:pt idx="8">
                    <c:v>6.4221079668421895E-3</c:v>
                  </c:pt>
                  <c:pt idx="9">
                    <c:v>8.7890268132737488E-3</c:v>
                  </c:pt>
                  <c:pt idx="10">
                    <c:v>1.2658634430827617E-2</c:v>
                  </c:pt>
                  <c:pt idx="11">
                    <c:v>4.4135120247611265E-2</c:v>
                  </c:pt>
                  <c:pt idx="12">
                    <c:v>2.0753072401400698E-2</c:v>
                  </c:pt>
                  <c:pt idx="13">
                    <c:v>4.3010127655704521E-2</c:v>
                  </c:pt>
                  <c:pt idx="14">
                    <c:v>8.9127789791312834E-2</c:v>
                  </c:pt>
                  <c:pt idx="15">
                    <c:v>0.13139811042131966</c:v>
                  </c:pt>
                  <c:pt idx="16">
                    <c:v>0.13661509686909093</c:v>
                  </c:pt>
                  <c:pt idx="17">
                    <c:v>0.12488712168831159</c:v>
                  </c:pt>
                  <c:pt idx="18">
                    <c:v>0.16948270431723836</c:v>
                  </c:pt>
                  <c:pt idx="19">
                    <c:v>0.1107712535169862</c:v>
                  </c:pt>
                  <c:pt idx="20">
                    <c:v>0.14619707095822557</c:v>
                  </c:pt>
                  <c:pt idx="21">
                    <c:v>0.19569946666666663</c:v>
                  </c:pt>
                  <c:pt idx="22">
                    <c:v>0.201822501593895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'Growth curves CeBER'!$D$5:$D$27</c:f>
              <c:numCache>
                <c:formatCode>0</c:formatCode>
                <c:ptCount val="23"/>
                <c:pt idx="0" formatCode="General">
                  <c:v>0</c:v>
                </c:pt>
                <c:pt idx="1">
                  <c:v>4.833333333333333</c:v>
                </c:pt>
                <c:pt idx="2">
                  <c:v>10.25</c:v>
                </c:pt>
                <c:pt idx="3">
                  <c:v>22</c:v>
                </c:pt>
                <c:pt idx="4">
                  <c:v>25.166666666666668</c:v>
                </c:pt>
                <c:pt idx="5">
                  <c:v>29.133333333333333</c:v>
                </c:pt>
                <c:pt idx="6">
                  <c:v>46.5</c:v>
                </c:pt>
                <c:pt idx="7">
                  <c:v>70.7</c:v>
                </c:pt>
                <c:pt idx="8">
                  <c:v>97.366666666666674</c:v>
                </c:pt>
                <c:pt idx="9">
                  <c:v>121.45000000000002</c:v>
                </c:pt>
                <c:pt idx="10">
                  <c:v>141.85000000000002</c:v>
                </c:pt>
                <c:pt idx="11">
                  <c:v>166.65000000000003</c:v>
                </c:pt>
                <c:pt idx="12">
                  <c:v>190.53333333333336</c:v>
                </c:pt>
                <c:pt idx="13">
                  <c:v>215.20000000000002</c:v>
                </c:pt>
                <c:pt idx="14">
                  <c:v>238.93333333333334</c:v>
                </c:pt>
                <c:pt idx="15">
                  <c:v>264.31666666666666</c:v>
                </c:pt>
                <c:pt idx="16">
                  <c:v>287.41666666666669</c:v>
                </c:pt>
                <c:pt idx="17">
                  <c:v>312.10000000000002</c:v>
                </c:pt>
                <c:pt idx="18">
                  <c:v>334.93333333333334</c:v>
                </c:pt>
                <c:pt idx="19">
                  <c:v>358.78333333333336</c:v>
                </c:pt>
                <c:pt idx="20">
                  <c:v>382.78333333333336</c:v>
                </c:pt>
                <c:pt idx="21">
                  <c:v>406.8</c:v>
                </c:pt>
                <c:pt idx="22">
                  <c:v>431.53333333333336</c:v>
                </c:pt>
              </c:numCache>
            </c:numRef>
          </c:xVal>
          <c:yVal>
            <c:numRef>
              <c:f>'Growth curves CeBER'!$L$5:$L$27</c:f>
              <c:numCache>
                <c:formatCode>0.000</c:formatCode>
                <c:ptCount val="23"/>
                <c:pt idx="0">
                  <c:v>0.12416226666666667</c:v>
                </c:pt>
                <c:pt idx="1">
                  <c:v>0.13567400000000002</c:v>
                </c:pt>
                <c:pt idx="2">
                  <c:v>0.19035473333333333</c:v>
                </c:pt>
                <c:pt idx="3">
                  <c:v>0.23722393333333333</c:v>
                </c:pt>
                <c:pt idx="4">
                  <c:v>0.2639476</c:v>
                </c:pt>
                <c:pt idx="5">
                  <c:v>0.28984900000000002</c:v>
                </c:pt>
                <c:pt idx="6">
                  <c:v>0.40208840000000001</c:v>
                </c:pt>
                <c:pt idx="7">
                  <c:v>0.60477713333333338</c:v>
                </c:pt>
                <c:pt idx="8">
                  <c:v>0.87612513333333331</c:v>
                </c:pt>
                <c:pt idx="9">
                  <c:v>1.0344114666666666</c:v>
                </c:pt>
                <c:pt idx="10">
                  <c:v>1.1285610000000001</c:v>
                </c:pt>
                <c:pt idx="11">
                  <c:v>1.546272466666667</c:v>
                </c:pt>
                <c:pt idx="12">
                  <c:v>1.9158813333333333</c:v>
                </c:pt>
                <c:pt idx="13">
                  <c:v>2.2595888</c:v>
                </c:pt>
                <c:pt idx="14">
                  <c:v>2.5276477333333336</c:v>
                </c:pt>
                <c:pt idx="15">
                  <c:v>2.8910896000000004</c:v>
                </c:pt>
                <c:pt idx="16">
                  <c:v>2.9815389333333333</c:v>
                </c:pt>
                <c:pt idx="17">
                  <c:v>3.0621210666666663</c:v>
                </c:pt>
                <c:pt idx="18">
                  <c:v>3.1410586666666664</c:v>
                </c:pt>
                <c:pt idx="19">
                  <c:v>3.2380861333333328</c:v>
                </c:pt>
                <c:pt idx="20">
                  <c:v>3.3778714666666669</c:v>
                </c:pt>
                <c:pt idx="21">
                  <c:v>3.3120901333333337</c:v>
                </c:pt>
                <c:pt idx="22">
                  <c:v>3.3186682666666667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98-B34F-BBA1-079C0429F440}"/>
            </c:ext>
          </c:extLst>
        </c:ser>
        <c:ser>
          <c:idx val="1"/>
          <c:order val="1"/>
          <c:tx>
            <c:strRef>
              <c:f>'Growth curves CeBER'!$B$95</c:f>
              <c:strCache>
                <c:ptCount val="1"/>
                <c:pt idx="0">
                  <c:v>60 µmol/m^2.s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339933"/>
              </a:solidFill>
              <a:ln w="9525">
                <a:solidFill>
                  <a:srgbClr val="33993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'Growth curves CeBER'!$T$31:$T$53</c:f>
                <c:numCache>
                  <c:formatCode>General</c:formatCode>
                  <c:ptCount val="23"/>
                  <c:pt idx="1">
                    <c:v>5.355445231541027E-2</c:v>
                  </c:pt>
                  <c:pt idx="2">
                    <c:v>4.3085267631164673E-2</c:v>
                  </c:pt>
                  <c:pt idx="3">
                    <c:v>3.1252359657375724E-2</c:v>
                  </c:pt>
                  <c:pt idx="4">
                    <c:v>2.6388972109276477E-2</c:v>
                  </c:pt>
                  <c:pt idx="5">
                    <c:v>3.4871373458447104E-2</c:v>
                  </c:pt>
                  <c:pt idx="6">
                    <c:v>1.1477902262216389E-2</c:v>
                  </c:pt>
                  <c:pt idx="7">
                    <c:v>1.9544655382194919E-2</c:v>
                  </c:pt>
                  <c:pt idx="8">
                    <c:v>1.3193504583132832E-2</c:v>
                  </c:pt>
                  <c:pt idx="9">
                    <c:v>1.3124174543279953E-2</c:v>
                  </c:pt>
                  <c:pt idx="10">
                    <c:v>5.0054901690253584E-3</c:v>
                  </c:pt>
                  <c:pt idx="11">
                    <c:v>4.7836318652565114E-3</c:v>
                  </c:pt>
                  <c:pt idx="12">
                    <c:v>1.0533345370645429E-2</c:v>
                  </c:pt>
                  <c:pt idx="13">
                    <c:v>5.7806092431967561E-3</c:v>
                  </c:pt>
                  <c:pt idx="14">
                    <c:v>4.0169663122321406E-3</c:v>
                  </c:pt>
                  <c:pt idx="15">
                    <c:v>3.2815986946785097E-3</c:v>
                  </c:pt>
                  <c:pt idx="16">
                    <c:v>4.1422578166735256E-3</c:v>
                  </c:pt>
                  <c:pt idx="17">
                    <c:v>3.7297920957822237E-3</c:v>
                  </c:pt>
                  <c:pt idx="18">
                    <c:v>4.3888891520928359E-4</c:v>
                  </c:pt>
                  <c:pt idx="19">
                    <c:v>2.3816210670163612E-3</c:v>
                  </c:pt>
                  <c:pt idx="20">
                    <c:v>3.9123918124328583E-4</c:v>
                  </c:pt>
                  <c:pt idx="21">
                    <c:v>1.1088017658691952E-4</c:v>
                  </c:pt>
                  <c:pt idx="22">
                    <c:v>-1.0752694544013768E-4</c:v>
                  </c:pt>
                </c:numCache>
              </c:numRef>
            </c:plus>
            <c:minus>
              <c:numRef>
                <c:f>'Growth curves CeBER'!$T$31:$T$53</c:f>
                <c:numCache>
                  <c:formatCode>General</c:formatCode>
                  <c:ptCount val="23"/>
                  <c:pt idx="1">
                    <c:v>5.355445231541027E-2</c:v>
                  </c:pt>
                  <c:pt idx="2">
                    <c:v>4.3085267631164673E-2</c:v>
                  </c:pt>
                  <c:pt idx="3">
                    <c:v>3.1252359657375724E-2</c:v>
                  </c:pt>
                  <c:pt idx="4">
                    <c:v>2.6388972109276477E-2</c:v>
                  </c:pt>
                  <c:pt idx="5">
                    <c:v>3.4871373458447104E-2</c:v>
                  </c:pt>
                  <c:pt idx="6">
                    <c:v>1.1477902262216389E-2</c:v>
                  </c:pt>
                  <c:pt idx="7">
                    <c:v>1.9544655382194919E-2</c:v>
                  </c:pt>
                  <c:pt idx="8">
                    <c:v>1.3193504583132832E-2</c:v>
                  </c:pt>
                  <c:pt idx="9">
                    <c:v>1.3124174543279953E-2</c:v>
                  </c:pt>
                  <c:pt idx="10">
                    <c:v>5.0054901690253584E-3</c:v>
                  </c:pt>
                  <c:pt idx="11">
                    <c:v>4.7836318652565114E-3</c:v>
                  </c:pt>
                  <c:pt idx="12">
                    <c:v>1.0533345370645429E-2</c:v>
                  </c:pt>
                  <c:pt idx="13">
                    <c:v>5.7806092431967561E-3</c:v>
                  </c:pt>
                  <c:pt idx="14">
                    <c:v>4.0169663122321406E-3</c:v>
                  </c:pt>
                  <c:pt idx="15">
                    <c:v>3.2815986946785097E-3</c:v>
                  </c:pt>
                  <c:pt idx="16">
                    <c:v>4.1422578166735256E-3</c:v>
                  </c:pt>
                  <c:pt idx="17">
                    <c:v>3.7297920957822237E-3</c:v>
                  </c:pt>
                  <c:pt idx="18">
                    <c:v>4.3888891520928359E-4</c:v>
                  </c:pt>
                  <c:pt idx="19">
                    <c:v>2.3816210670163612E-3</c:v>
                  </c:pt>
                  <c:pt idx="20">
                    <c:v>3.9123918124328583E-4</c:v>
                  </c:pt>
                  <c:pt idx="21">
                    <c:v>1.1088017658691952E-4</c:v>
                  </c:pt>
                  <c:pt idx="22">
                    <c:v>-1.0752694544013768E-4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'Growth curves CeBER'!$D$31:$D$53</c:f>
              <c:numCache>
                <c:formatCode>0</c:formatCode>
                <c:ptCount val="23"/>
                <c:pt idx="0" formatCode="General">
                  <c:v>0</c:v>
                </c:pt>
                <c:pt idx="1">
                  <c:v>4.166666666666667</c:v>
                </c:pt>
                <c:pt idx="2">
                  <c:v>9.5</c:v>
                </c:pt>
                <c:pt idx="3">
                  <c:v>21.25</c:v>
                </c:pt>
                <c:pt idx="4">
                  <c:v>24.416666666666668</c:v>
                </c:pt>
                <c:pt idx="5">
                  <c:v>28.366666666666667</c:v>
                </c:pt>
                <c:pt idx="6">
                  <c:v>45.733333333333334</c:v>
                </c:pt>
                <c:pt idx="7">
                  <c:v>70.05</c:v>
                </c:pt>
                <c:pt idx="8">
                  <c:v>96.6</c:v>
                </c:pt>
                <c:pt idx="9">
                  <c:v>120.69999999999999</c:v>
                </c:pt>
                <c:pt idx="10">
                  <c:v>141.13333333333333</c:v>
                </c:pt>
                <c:pt idx="11">
                  <c:v>165.91666666666666</c:v>
                </c:pt>
                <c:pt idx="12">
                  <c:v>189.79999999999998</c:v>
                </c:pt>
                <c:pt idx="13">
                  <c:v>214.49999999999997</c:v>
                </c:pt>
                <c:pt idx="14">
                  <c:v>238.64999999999998</c:v>
                </c:pt>
                <c:pt idx="15">
                  <c:v>263.48333333333329</c:v>
                </c:pt>
                <c:pt idx="16">
                  <c:v>286.68333333333328</c:v>
                </c:pt>
                <c:pt idx="17">
                  <c:v>311.34999999999997</c:v>
                </c:pt>
                <c:pt idx="18">
                  <c:v>334.21666666666664</c:v>
                </c:pt>
                <c:pt idx="19">
                  <c:v>358.08333333333331</c:v>
                </c:pt>
                <c:pt idx="20">
                  <c:v>382.08333333333331</c:v>
                </c:pt>
                <c:pt idx="21">
                  <c:v>406.13333333333333</c:v>
                </c:pt>
                <c:pt idx="22">
                  <c:v>430.93333333333334</c:v>
                </c:pt>
              </c:numCache>
            </c:numRef>
          </c:xVal>
          <c:yVal>
            <c:numRef>
              <c:f>'Growth curves CeBER'!$L$31:$L$53</c:f>
              <c:numCache>
                <c:formatCode>0.000</c:formatCode>
                <c:ptCount val="23"/>
                <c:pt idx="0">
                  <c:v>0.12868473333333333</c:v>
                </c:pt>
                <c:pt idx="1">
                  <c:v>0.15294160000000001</c:v>
                </c:pt>
                <c:pt idx="2">
                  <c:v>0.19693286666666668</c:v>
                </c:pt>
                <c:pt idx="3">
                  <c:v>0.2610696666666667</c:v>
                </c:pt>
                <c:pt idx="4">
                  <c:v>0.27299253333333334</c:v>
                </c:pt>
                <c:pt idx="5">
                  <c:v>0.32273966666666665</c:v>
                </c:pt>
                <c:pt idx="6">
                  <c:v>0.42552300000000004</c:v>
                </c:pt>
                <c:pt idx="7">
                  <c:v>0.63807893333333332</c:v>
                </c:pt>
                <c:pt idx="8">
                  <c:v>0.92875019999999997</c:v>
                </c:pt>
                <c:pt idx="9">
                  <c:v>1.2070874666666667</c:v>
                </c:pt>
                <c:pt idx="10">
                  <c:v>1.3846970666666667</c:v>
                </c:pt>
                <c:pt idx="11">
                  <c:v>1.6453556</c:v>
                </c:pt>
                <c:pt idx="12">
                  <c:v>1.9907075999999997</c:v>
                </c:pt>
                <c:pt idx="13">
                  <c:v>2.3459268000000004</c:v>
                </c:pt>
                <c:pt idx="14">
                  <c:v>2.6016517333333335</c:v>
                </c:pt>
                <c:pt idx="15">
                  <c:v>2.9576932</c:v>
                </c:pt>
                <c:pt idx="16">
                  <c:v>3.0835000000000004</c:v>
                </c:pt>
                <c:pt idx="17">
                  <c:v>3.1607930666666668</c:v>
                </c:pt>
                <c:pt idx="18">
                  <c:v>3.3334690666666664</c:v>
                </c:pt>
                <c:pt idx="19">
                  <c:v>3.3729378666666672</c:v>
                </c:pt>
                <c:pt idx="20">
                  <c:v>3.412406666666667</c:v>
                </c:pt>
                <c:pt idx="21">
                  <c:v>3.4091176000000001</c:v>
                </c:pt>
                <c:pt idx="22">
                  <c:v>3.4156957333333335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298-B34F-BBA1-079C0429F440}"/>
            </c:ext>
          </c:extLst>
        </c:ser>
        <c:ser>
          <c:idx val="2"/>
          <c:order val="2"/>
          <c:tx>
            <c:strRef>
              <c:f>'Growth curves CeBER'!$C$95</c:f>
              <c:strCache>
                <c:ptCount val="1"/>
                <c:pt idx="0">
                  <c:v>80 µmol/m^2.s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rgbClr val="1D551D"/>
              </a:solidFill>
              <a:ln w="9525">
                <a:solidFill>
                  <a:srgbClr val="1D551D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'Growth curves CeBER'!$M$57:$M$78</c:f>
                <c:numCache>
                  <c:formatCode>General</c:formatCode>
                  <c:ptCount val="22"/>
                  <c:pt idx="0">
                    <c:v>2.5008264349566083E-3</c:v>
                  </c:pt>
                  <c:pt idx="1">
                    <c:v>3.2110539834210856E-3</c:v>
                  </c:pt>
                  <c:pt idx="2">
                    <c:v>3.2110539834210852E-3</c:v>
                  </c:pt>
                  <c:pt idx="3">
                    <c:v>3.9219620367588722E-3</c:v>
                  </c:pt>
                  <c:pt idx="4">
                    <c:v>4.3315584462562031E-3</c:v>
                  </c:pt>
                  <c:pt idx="5">
                    <c:v>3.2890666666666553E-3</c:v>
                  </c:pt>
                  <c:pt idx="6">
                    <c:v>3.150204369518482E-2</c:v>
                  </c:pt>
                  <c:pt idx="7">
                    <c:v>2.1414482623474954E-2</c:v>
                  </c:pt>
                  <c:pt idx="8">
                    <c:v>3.1718610262956533E-2</c:v>
                  </c:pt>
                  <c:pt idx="9">
                    <c:v>5.001652869913218E-2</c:v>
                  </c:pt>
                  <c:pt idx="10">
                    <c:v>2.7212554758501619E-2</c:v>
                  </c:pt>
                  <c:pt idx="11">
                    <c:v>8.2995998311243963E-2</c:v>
                  </c:pt>
                  <c:pt idx="12">
                    <c:v>3.7474076005924131E-2</c:v>
                  </c:pt>
                  <c:pt idx="13">
                    <c:v>3.915923600480474E-2</c:v>
                  </c:pt>
                  <c:pt idx="14">
                    <c:v>8.0212102796855686E-2</c:v>
                  </c:pt>
                  <c:pt idx="15">
                    <c:v>0.16140740706935766</c:v>
                  </c:pt>
                  <c:pt idx="16">
                    <c:v>0.18597956138950078</c:v>
                  </c:pt>
                  <c:pt idx="17">
                    <c:v>0.23359321032202773</c:v>
                  </c:pt>
                  <c:pt idx="18">
                    <c:v>0.17432053333333317</c:v>
                  </c:pt>
                  <c:pt idx="19">
                    <c:v>0.1765404809904455</c:v>
                  </c:pt>
                  <c:pt idx="20">
                    <c:v>0.15974844772209154</c:v>
                  </c:pt>
                  <c:pt idx="21">
                    <c:v>0.19344074555577304</c:v>
                  </c:pt>
                </c:numCache>
              </c:numRef>
            </c:plus>
            <c:minus>
              <c:numRef>
                <c:f>'Growth curves CeBER'!$M$57:$M$78</c:f>
                <c:numCache>
                  <c:formatCode>General</c:formatCode>
                  <c:ptCount val="22"/>
                  <c:pt idx="0">
                    <c:v>2.5008264349566083E-3</c:v>
                  </c:pt>
                  <c:pt idx="1">
                    <c:v>3.2110539834210856E-3</c:v>
                  </c:pt>
                  <c:pt idx="2">
                    <c:v>3.2110539834210852E-3</c:v>
                  </c:pt>
                  <c:pt idx="3">
                    <c:v>3.9219620367588722E-3</c:v>
                  </c:pt>
                  <c:pt idx="4">
                    <c:v>4.3315584462562031E-3</c:v>
                  </c:pt>
                  <c:pt idx="5">
                    <c:v>3.2890666666666553E-3</c:v>
                  </c:pt>
                  <c:pt idx="6">
                    <c:v>3.150204369518482E-2</c:v>
                  </c:pt>
                  <c:pt idx="7">
                    <c:v>2.1414482623474954E-2</c:v>
                  </c:pt>
                  <c:pt idx="8">
                    <c:v>3.1718610262956533E-2</c:v>
                  </c:pt>
                  <c:pt idx="9">
                    <c:v>5.001652869913218E-2</c:v>
                  </c:pt>
                  <c:pt idx="10">
                    <c:v>2.7212554758501619E-2</c:v>
                  </c:pt>
                  <c:pt idx="11">
                    <c:v>8.2995998311243963E-2</c:v>
                  </c:pt>
                  <c:pt idx="12">
                    <c:v>3.7474076005924131E-2</c:v>
                  </c:pt>
                  <c:pt idx="13">
                    <c:v>3.915923600480474E-2</c:v>
                  </c:pt>
                  <c:pt idx="14">
                    <c:v>8.0212102796855686E-2</c:v>
                  </c:pt>
                  <c:pt idx="15">
                    <c:v>0.16140740706935766</c:v>
                  </c:pt>
                  <c:pt idx="16">
                    <c:v>0.18597956138950078</c:v>
                  </c:pt>
                  <c:pt idx="17">
                    <c:v>0.23359321032202773</c:v>
                  </c:pt>
                  <c:pt idx="18">
                    <c:v>0.17432053333333317</c:v>
                  </c:pt>
                  <c:pt idx="19">
                    <c:v>0.1765404809904455</c:v>
                  </c:pt>
                  <c:pt idx="20">
                    <c:v>0.15974844772209154</c:v>
                  </c:pt>
                  <c:pt idx="21">
                    <c:v>0.19344074555577304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'Growth curves CeBER'!$D$57:$D$78</c:f>
              <c:numCache>
                <c:formatCode>0</c:formatCode>
                <c:ptCount val="22"/>
                <c:pt idx="0" formatCode="General">
                  <c:v>0</c:v>
                </c:pt>
                <c:pt idx="1">
                  <c:v>3.3333333333333335</c:v>
                </c:pt>
                <c:pt idx="2">
                  <c:v>20.5</c:v>
                </c:pt>
                <c:pt idx="3">
                  <c:v>23.666666666666668</c:v>
                </c:pt>
                <c:pt idx="4">
                  <c:v>27.6</c:v>
                </c:pt>
                <c:pt idx="5">
                  <c:v>45</c:v>
                </c:pt>
                <c:pt idx="6">
                  <c:v>69.283333333333331</c:v>
                </c:pt>
                <c:pt idx="7">
                  <c:v>95.883333333333326</c:v>
                </c:pt>
                <c:pt idx="8">
                  <c:v>120</c:v>
                </c:pt>
                <c:pt idx="9">
                  <c:v>140.46666666666667</c:v>
                </c:pt>
                <c:pt idx="10">
                  <c:v>165.28333333333333</c:v>
                </c:pt>
                <c:pt idx="11">
                  <c:v>189.13333333333333</c:v>
                </c:pt>
                <c:pt idx="12">
                  <c:v>213.83333333333331</c:v>
                </c:pt>
                <c:pt idx="13">
                  <c:v>237.7</c:v>
                </c:pt>
                <c:pt idx="14">
                  <c:v>262.66666666666663</c:v>
                </c:pt>
                <c:pt idx="15">
                  <c:v>285.99999999999994</c:v>
                </c:pt>
                <c:pt idx="16">
                  <c:v>310.61666666666662</c:v>
                </c:pt>
                <c:pt idx="17">
                  <c:v>333.49999999999994</c:v>
                </c:pt>
                <c:pt idx="18">
                  <c:v>357.39999999999992</c:v>
                </c:pt>
                <c:pt idx="19">
                  <c:v>381.39999999999992</c:v>
                </c:pt>
                <c:pt idx="20">
                  <c:v>405.49999999999994</c:v>
                </c:pt>
                <c:pt idx="21">
                  <c:v>430.26666666666659</c:v>
                </c:pt>
              </c:numCache>
            </c:numRef>
          </c:xVal>
          <c:yVal>
            <c:numRef>
              <c:f>'Growth curves CeBER'!$L$57:$L$78</c:f>
              <c:numCache>
                <c:formatCode>0.000</c:formatCode>
                <c:ptCount val="22"/>
                <c:pt idx="0">
                  <c:v>0.13485173333333333</c:v>
                </c:pt>
                <c:pt idx="1">
                  <c:v>0.17843186666666666</c:v>
                </c:pt>
                <c:pt idx="2">
                  <c:v>0.25366926666666667</c:v>
                </c:pt>
                <c:pt idx="3">
                  <c:v>0.27340366666666666</c:v>
                </c:pt>
                <c:pt idx="4">
                  <c:v>0.31945059999999997</c:v>
                </c:pt>
                <c:pt idx="5">
                  <c:v>0.47650353333333334</c:v>
                </c:pt>
                <c:pt idx="6">
                  <c:v>0.83254500000000009</c:v>
                </c:pt>
                <c:pt idx="7">
                  <c:v>1.1622739333333332</c:v>
                </c:pt>
                <c:pt idx="8">
                  <c:v>1.5010478</c:v>
                </c:pt>
                <c:pt idx="9">
                  <c:v>1.7925413333333333</c:v>
                </c:pt>
                <c:pt idx="10">
                  <c:v>2.1810623333333332</c:v>
                </c:pt>
                <c:pt idx="11">
                  <c:v>2.4964016</c:v>
                </c:pt>
                <c:pt idx="12">
                  <c:v>2.8039293333333331</c:v>
                </c:pt>
                <c:pt idx="13">
                  <c:v>3.3351135999999997</c:v>
                </c:pt>
                <c:pt idx="14">
                  <c:v>3.8087392000000002</c:v>
                </c:pt>
                <c:pt idx="15">
                  <c:v>3.9567472000000001</c:v>
                </c:pt>
                <c:pt idx="16">
                  <c:v>4.0052609333333331</c:v>
                </c:pt>
                <c:pt idx="17">
                  <c:v>4.1162669333333337</c:v>
                </c:pt>
                <c:pt idx="18">
                  <c:v>4.3547242666666675</c:v>
                </c:pt>
                <c:pt idx="19">
                  <c:v>4.3974821333333338</c:v>
                </c:pt>
                <c:pt idx="20">
                  <c:v>4.4139274666666672</c:v>
                </c:pt>
                <c:pt idx="21">
                  <c:v>4.3810368000000004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298-B34F-BBA1-079C0429F4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7550368"/>
        <c:axId val="1542574832"/>
      </c:scatterChart>
      <c:valAx>
        <c:axId val="1157550368"/>
        <c:scaling>
          <c:orientation val="minMax"/>
          <c:max val="45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Time</a:t>
                </a:r>
                <a:r>
                  <a:rPr lang="en-GB" baseline="0"/>
                  <a:t> (h)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42574832"/>
        <c:crosses val="autoZero"/>
        <c:crossBetween val="midCat"/>
        <c:majorUnit val="50"/>
      </c:valAx>
      <c:valAx>
        <c:axId val="154257483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Biomass concentration (g.L</a:t>
                </a:r>
                <a:r>
                  <a:rPr lang="en-GB" baseline="30000"/>
                  <a:t>-1</a:t>
                </a:r>
                <a:r>
                  <a:rPr lang="en-GB"/>
                  <a:t>)</a:t>
                </a:r>
              </a:p>
            </c:rich>
          </c:tx>
          <c:layout>
            <c:manualLayout>
              <c:xMode val="edge"/>
              <c:yMode val="edge"/>
              <c:x val="1.9444444444444445E-2"/>
              <c:y val="0.130046296296296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1575503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'Growth curves UTEX #1926'!$A$95</c:f>
              <c:strCache>
                <c:ptCount val="1"/>
                <c:pt idx="0">
                  <c:v>40 µmol/m^2.s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rgbClr val="92D050"/>
              </a:solidFill>
              <a:ln w="9525">
                <a:solidFill>
                  <a:srgbClr val="92D0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'Growth curves UTEX #1926'!$R$5:$R$27</c:f>
                <c:numCache>
                  <c:formatCode>General</c:formatCode>
                  <c:ptCount val="23"/>
                  <c:pt idx="0">
                    <c:v>3.220937698904551E-2</c:v>
                  </c:pt>
                  <c:pt idx="1">
                    <c:v>4.2105653783217525E-2</c:v>
                  </c:pt>
                  <c:pt idx="2">
                    <c:v>3.8907079735094878E-2</c:v>
                  </c:pt>
                  <c:pt idx="3">
                    <c:v>5.19284040545041E-2</c:v>
                  </c:pt>
                  <c:pt idx="4">
                    <c:v>6.9002208687923231E-3</c:v>
                  </c:pt>
                  <c:pt idx="5">
                    <c:v>4.5318533749548716E-2</c:v>
                  </c:pt>
                  <c:pt idx="6">
                    <c:v>5.2284862163785889E-2</c:v>
                  </c:pt>
                  <c:pt idx="7">
                    <c:v>5.5720890329523105E-2</c:v>
                  </c:pt>
                  <c:pt idx="8">
                    <c:v>1.7714488530651131E-2</c:v>
                  </c:pt>
                  <c:pt idx="9">
                    <c:v>5.8741504416955859E-2</c:v>
                  </c:pt>
                  <c:pt idx="10">
                    <c:v>1.9702983371692184E-2</c:v>
                  </c:pt>
                  <c:pt idx="11">
                    <c:v>2.1624757709355156E-2</c:v>
                  </c:pt>
                  <c:pt idx="12">
                    <c:v>2.7139560387241433E-2</c:v>
                  </c:pt>
                  <c:pt idx="13">
                    <c:v>1.0777707689973836E-2</c:v>
                  </c:pt>
                  <c:pt idx="14">
                    <c:v>4.8070707026497163E-3</c:v>
                  </c:pt>
                  <c:pt idx="15">
                    <c:v>1.6136529772149213E-2</c:v>
                  </c:pt>
                  <c:pt idx="16">
                    <c:v>1.4409208981335651E-2</c:v>
                  </c:pt>
                  <c:pt idx="17">
                    <c:v>2.9075806478728351E-2</c:v>
                  </c:pt>
                  <c:pt idx="18">
                    <c:v>1.8846140762039571E-2</c:v>
                  </c:pt>
                  <c:pt idx="19">
                    <c:v>2.2668915149716997E-2</c:v>
                  </c:pt>
                  <c:pt idx="20">
                    <c:v>1.8389882212934569E-2</c:v>
                  </c:pt>
                  <c:pt idx="21">
                    <c:v>3.9768967040134957E-3</c:v>
                  </c:pt>
                  <c:pt idx="22">
                    <c:v>1.8870833346776345E-3</c:v>
                  </c:pt>
                </c:numCache>
              </c:numRef>
            </c:plus>
            <c:minus>
              <c:numRef>
                <c:f>'Growth curves UTEX #1926'!$R$5:$R$27</c:f>
                <c:numCache>
                  <c:formatCode>General</c:formatCode>
                  <c:ptCount val="23"/>
                  <c:pt idx="0">
                    <c:v>3.220937698904551E-2</c:v>
                  </c:pt>
                  <c:pt idx="1">
                    <c:v>4.2105653783217525E-2</c:v>
                  </c:pt>
                  <c:pt idx="2">
                    <c:v>3.8907079735094878E-2</c:v>
                  </c:pt>
                  <c:pt idx="3">
                    <c:v>5.19284040545041E-2</c:v>
                  </c:pt>
                  <c:pt idx="4">
                    <c:v>6.9002208687923231E-3</c:v>
                  </c:pt>
                  <c:pt idx="5">
                    <c:v>4.5318533749548716E-2</c:v>
                  </c:pt>
                  <c:pt idx="6">
                    <c:v>5.2284862163785889E-2</c:v>
                  </c:pt>
                  <c:pt idx="7">
                    <c:v>5.5720890329523105E-2</c:v>
                  </c:pt>
                  <c:pt idx="8">
                    <c:v>1.7714488530651131E-2</c:v>
                  </c:pt>
                  <c:pt idx="9">
                    <c:v>5.8741504416955859E-2</c:v>
                  </c:pt>
                  <c:pt idx="10">
                    <c:v>1.9702983371692184E-2</c:v>
                  </c:pt>
                  <c:pt idx="11">
                    <c:v>2.1624757709355156E-2</c:v>
                  </c:pt>
                  <c:pt idx="12">
                    <c:v>2.7139560387241433E-2</c:v>
                  </c:pt>
                  <c:pt idx="13">
                    <c:v>1.0777707689973836E-2</c:v>
                  </c:pt>
                  <c:pt idx="14">
                    <c:v>4.8070707026497163E-3</c:v>
                  </c:pt>
                  <c:pt idx="15">
                    <c:v>1.6136529772149213E-2</c:v>
                  </c:pt>
                  <c:pt idx="16">
                    <c:v>1.4409208981335651E-2</c:v>
                  </c:pt>
                  <c:pt idx="17">
                    <c:v>2.9075806478728351E-2</c:v>
                  </c:pt>
                  <c:pt idx="18">
                    <c:v>1.8846140762039571E-2</c:v>
                  </c:pt>
                  <c:pt idx="19">
                    <c:v>2.2668915149716997E-2</c:v>
                  </c:pt>
                  <c:pt idx="20">
                    <c:v>1.8389882212934569E-2</c:v>
                  </c:pt>
                  <c:pt idx="21">
                    <c:v>3.9768967040134957E-3</c:v>
                  </c:pt>
                  <c:pt idx="22">
                    <c:v>1.8870833346776345E-3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'Growth curves UTEX #1926'!$D$5:$D$27</c:f>
              <c:numCache>
                <c:formatCode>0</c:formatCode>
                <c:ptCount val="23"/>
                <c:pt idx="0" formatCode="General">
                  <c:v>0</c:v>
                </c:pt>
                <c:pt idx="1">
                  <c:v>4.833333333333333</c:v>
                </c:pt>
                <c:pt idx="2">
                  <c:v>10.25</c:v>
                </c:pt>
                <c:pt idx="3">
                  <c:v>22</c:v>
                </c:pt>
                <c:pt idx="4">
                  <c:v>25.166666666666668</c:v>
                </c:pt>
                <c:pt idx="5">
                  <c:v>29.133333333333333</c:v>
                </c:pt>
                <c:pt idx="6">
                  <c:v>46.5</c:v>
                </c:pt>
                <c:pt idx="7">
                  <c:v>70.7</c:v>
                </c:pt>
                <c:pt idx="8">
                  <c:v>97.366666666666674</c:v>
                </c:pt>
                <c:pt idx="9">
                  <c:v>121.45000000000002</c:v>
                </c:pt>
                <c:pt idx="10">
                  <c:v>141.85000000000002</c:v>
                </c:pt>
                <c:pt idx="11">
                  <c:v>166.65000000000003</c:v>
                </c:pt>
                <c:pt idx="12">
                  <c:v>190.53333333333336</c:v>
                </c:pt>
                <c:pt idx="13">
                  <c:v>215.20000000000002</c:v>
                </c:pt>
                <c:pt idx="14">
                  <c:v>238.93333333333334</c:v>
                </c:pt>
                <c:pt idx="15">
                  <c:v>264.31666666666666</c:v>
                </c:pt>
                <c:pt idx="16">
                  <c:v>287.41666666666669</c:v>
                </c:pt>
                <c:pt idx="17">
                  <c:v>312.10000000000002</c:v>
                </c:pt>
                <c:pt idx="18">
                  <c:v>334.93333333333334</c:v>
                </c:pt>
                <c:pt idx="19">
                  <c:v>358.78333333333336</c:v>
                </c:pt>
                <c:pt idx="20">
                  <c:v>382.78333333333336</c:v>
                </c:pt>
                <c:pt idx="21">
                  <c:v>406.8</c:v>
                </c:pt>
                <c:pt idx="22">
                  <c:v>431.53333333333336</c:v>
                </c:pt>
              </c:numCache>
            </c:numRef>
          </c:xVal>
          <c:yVal>
            <c:numRef>
              <c:f>'Growth curves UTEX #1926'!$Q$5:$Q$27</c:f>
              <c:numCache>
                <c:formatCode>0.000</c:formatCode>
                <c:ptCount val="23"/>
                <c:pt idx="0">
                  <c:v>-2.0694895121904007</c:v>
                </c:pt>
                <c:pt idx="1">
                  <c:v>-1.8086385958501952</c:v>
                </c:pt>
                <c:pt idx="2">
                  <c:v>-1.7440196613144308</c:v>
                </c:pt>
                <c:pt idx="3">
                  <c:v>-1.3746858753843625</c:v>
                </c:pt>
                <c:pt idx="4">
                  <c:v>-1.3283151433613338</c:v>
                </c:pt>
                <c:pt idx="5">
                  <c:v>-1.2067736489899863</c:v>
                </c:pt>
                <c:pt idx="6">
                  <c:v>-0.90723252645072827</c:v>
                </c:pt>
                <c:pt idx="7">
                  <c:v>-0.68024641826567844</c:v>
                </c:pt>
                <c:pt idx="8">
                  <c:v>-0.28034339280566511</c:v>
                </c:pt>
                <c:pt idx="9">
                  <c:v>-8.2742136263721219E-2</c:v>
                </c:pt>
                <c:pt idx="10">
                  <c:v>0.16711314680841513</c:v>
                </c:pt>
                <c:pt idx="11">
                  <c:v>0.28354965558681594</c:v>
                </c:pt>
                <c:pt idx="12">
                  <c:v>0.49856369521568333</c:v>
                </c:pt>
                <c:pt idx="13">
                  <c:v>0.69147249768520869</c:v>
                </c:pt>
                <c:pt idx="14">
                  <c:v>0.85278022901931194</c:v>
                </c:pt>
                <c:pt idx="15">
                  <c:v>0.93131961827507759</c:v>
                </c:pt>
                <c:pt idx="16">
                  <c:v>0.99076828327463273</c:v>
                </c:pt>
                <c:pt idx="17">
                  <c:v>1.0262461207978055</c:v>
                </c:pt>
                <c:pt idx="18">
                  <c:v>1.0765918817727085</c:v>
                </c:pt>
                <c:pt idx="19">
                  <c:v>1.1046365418058626</c:v>
                </c:pt>
                <c:pt idx="20">
                  <c:v>1.1531259126124729</c:v>
                </c:pt>
                <c:pt idx="21">
                  <c:v>1.1613664509200614</c:v>
                </c:pt>
                <c:pt idx="22">
                  <c:v>1.1666225379208248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F73-BE4B-A80F-BC7BC3ACA3FA}"/>
            </c:ext>
          </c:extLst>
        </c:ser>
        <c:ser>
          <c:idx val="1"/>
          <c:order val="1"/>
          <c:tx>
            <c:strRef>
              <c:f>'Growth curves UTEX #1926'!$B$95</c:f>
              <c:strCache>
                <c:ptCount val="1"/>
                <c:pt idx="0">
                  <c:v>60 µmol/m^2.s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339933"/>
              </a:solidFill>
              <a:ln w="9525">
                <a:solidFill>
                  <a:srgbClr val="33993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'Growth curves UTEX #1926'!$R$31:$R$53</c:f>
                <c:numCache>
                  <c:formatCode>General</c:formatCode>
                  <c:ptCount val="23"/>
                  <c:pt idx="0">
                    <c:v>8.6167419217606123E-2</c:v>
                  </c:pt>
                  <c:pt idx="1">
                    <c:v>8.7484845320312307E-3</c:v>
                  </c:pt>
                  <c:pt idx="2">
                    <c:v>4.1644450790347363E-2</c:v>
                  </c:pt>
                  <c:pt idx="3">
                    <c:v>2.7152201127364047E-2</c:v>
                  </c:pt>
                  <c:pt idx="4">
                    <c:v>6.8921131268450545E-3</c:v>
                  </c:pt>
                  <c:pt idx="5">
                    <c:v>1.4639744644945182E-2</c:v>
                  </c:pt>
                  <c:pt idx="6">
                    <c:v>4.0875359301269606E-2</c:v>
                  </c:pt>
                  <c:pt idx="7">
                    <c:v>4.822580477662073E-3</c:v>
                  </c:pt>
                  <c:pt idx="8">
                    <c:v>1.8593087095939494E-2</c:v>
                  </c:pt>
                  <c:pt idx="9">
                    <c:v>1.67564896221386E-2</c:v>
                  </c:pt>
                  <c:pt idx="10">
                    <c:v>2.5787525571754621E-2</c:v>
                  </c:pt>
                  <c:pt idx="11">
                    <c:v>1.9471704432638789E-2</c:v>
                  </c:pt>
                  <c:pt idx="12">
                    <c:v>3.9683280231000125E-3</c:v>
                  </c:pt>
                  <c:pt idx="13">
                    <c:v>3.0757619230249444E-3</c:v>
                  </c:pt>
                  <c:pt idx="14">
                    <c:v>1.1375983846173287E-2</c:v>
                  </c:pt>
                  <c:pt idx="15">
                    <c:v>7.6667321130569474E-3</c:v>
                  </c:pt>
                  <c:pt idx="16">
                    <c:v>2.0364166932748746E-2</c:v>
                  </c:pt>
                  <c:pt idx="17">
                    <c:v>1.4194554187197402E-2</c:v>
                  </c:pt>
                  <c:pt idx="18">
                    <c:v>9.976510213133595E-3</c:v>
                  </c:pt>
                  <c:pt idx="19">
                    <c:v>4.142672197112153E-2</c:v>
                  </c:pt>
                  <c:pt idx="20">
                    <c:v>4.2202525643495456E-2</c:v>
                  </c:pt>
                  <c:pt idx="21">
                    <c:v>4.892109622469272E-2</c:v>
                  </c:pt>
                  <c:pt idx="22">
                    <c:v>5.377462021275134E-2</c:v>
                  </c:pt>
                </c:numCache>
              </c:numRef>
            </c:plus>
            <c:minus>
              <c:numRef>
                <c:f>'Growth curves UTEX #1926'!$R$31:$R$53</c:f>
                <c:numCache>
                  <c:formatCode>General</c:formatCode>
                  <c:ptCount val="23"/>
                  <c:pt idx="0">
                    <c:v>8.6167419217606123E-2</c:v>
                  </c:pt>
                  <c:pt idx="1">
                    <c:v>8.7484845320312307E-3</c:v>
                  </c:pt>
                  <c:pt idx="2">
                    <c:v>4.1644450790347363E-2</c:v>
                  </c:pt>
                  <c:pt idx="3">
                    <c:v>2.7152201127364047E-2</c:v>
                  </c:pt>
                  <c:pt idx="4">
                    <c:v>6.8921131268450545E-3</c:v>
                  </c:pt>
                  <c:pt idx="5">
                    <c:v>1.4639744644945182E-2</c:v>
                  </c:pt>
                  <c:pt idx="6">
                    <c:v>4.0875359301269606E-2</c:v>
                  </c:pt>
                  <c:pt idx="7">
                    <c:v>4.822580477662073E-3</c:v>
                  </c:pt>
                  <c:pt idx="8">
                    <c:v>1.8593087095939494E-2</c:v>
                  </c:pt>
                  <c:pt idx="9">
                    <c:v>1.67564896221386E-2</c:v>
                  </c:pt>
                  <c:pt idx="10">
                    <c:v>2.5787525571754621E-2</c:v>
                  </c:pt>
                  <c:pt idx="11">
                    <c:v>1.9471704432638789E-2</c:v>
                  </c:pt>
                  <c:pt idx="12">
                    <c:v>3.9683280231000125E-3</c:v>
                  </c:pt>
                  <c:pt idx="13">
                    <c:v>3.0757619230249444E-3</c:v>
                  </c:pt>
                  <c:pt idx="14">
                    <c:v>1.1375983846173287E-2</c:v>
                  </c:pt>
                  <c:pt idx="15">
                    <c:v>7.6667321130569474E-3</c:v>
                  </c:pt>
                  <c:pt idx="16">
                    <c:v>2.0364166932748746E-2</c:v>
                  </c:pt>
                  <c:pt idx="17">
                    <c:v>1.4194554187197402E-2</c:v>
                  </c:pt>
                  <c:pt idx="18">
                    <c:v>9.976510213133595E-3</c:v>
                  </c:pt>
                  <c:pt idx="19">
                    <c:v>4.142672197112153E-2</c:v>
                  </c:pt>
                  <c:pt idx="20">
                    <c:v>4.2202525643495456E-2</c:v>
                  </c:pt>
                  <c:pt idx="21">
                    <c:v>4.892109622469272E-2</c:v>
                  </c:pt>
                  <c:pt idx="22">
                    <c:v>5.377462021275134E-2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'Growth curves UTEX #1926'!$D$31:$D$53</c:f>
              <c:numCache>
                <c:formatCode>0</c:formatCode>
                <c:ptCount val="23"/>
                <c:pt idx="0" formatCode="General">
                  <c:v>0</c:v>
                </c:pt>
                <c:pt idx="1">
                  <c:v>4.166666666666667</c:v>
                </c:pt>
                <c:pt idx="2" formatCode="General">
                  <c:v>9.5</c:v>
                </c:pt>
                <c:pt idx="3">
                  <c:v>21.25</c:v>
                </c:pt>
                <c:pt idx="4">
                  <c:v>24.416666666666668</c:v>
                </c:pt>
                <c:pt idx="5">
                  <c:v>28.366666666666667</c:v>
                </c:pt>
                <c:pt idx="6">
                  <c:v>45.733333333333334</c:v>
                </c:pt>
                <c:pt idx="7">
                  <c:v>70.05</c:v>
                </c:pt>
                <c:pt idx="8">
                  <c:v>96.6</c:v>
                </c:pt>
                <c:pt idx="9">
                  <c:v>120.69999999999999</c:v>
                </c:pt>
                <c:pt idx="10">
                  <c:v>141.13333333333333</c:v>
                </c:pt>
                <c:pt idx="11">
                  <c:v>165.91666666666666</c:v>
                </c:pt>
                <c:pt idx="12">
                  <c:v>189.79999999999998</c:v>
                </c:pt>
                <c:pt idx="13">
                  <c:v>214.49999999999997</c:v>
                </c:pt>
                <c:pt idx="14">
                  <c:v>238.64999999999998</c:v>
                </c:pt>
                <c:pt idx="15">
                  <c:v>263.48333333333329</c:v>
                </c:pt>
                <c:pt idx="16">
                  <c:v>286.68333333333328</c:v>
                </c:pt>
                <c:pt idx="17">
                  <c:v>311.34999999999997</c:v>
                </c:pt>
                <c:pt idx="18">
                  <c:v>334.21666666666664</c:v>
                </c:pt>
                <c:pt idx="19">
                  <c:v>358.08333333333331</c:v>
                </c:pt>
                <c:pt idx="20">
                  <c:v>382.08333333333331</c:v>
                </c:pt>
                <c:pt idx="21">
                  <c:v>406.13333333333333</c:v>
                </c:pt>
                <c:pt idx="22">
                  <c:v>430.93333333333334</c:v>
                </c:pt>
              </c:numCache>
            </c:numRef>
          </c:xVal>
          <c:yVal>
            <c:numRef>
              <c:f>'Growth curves UTEX #1926'!$Q$31:$Q$53</c:f>
              <c:numCache>
                <c:formatCode>0.000</c:formatCode>
                <c:ptCount val="23"/>
                <c:pt idx="0">
                  <c:v>-2.0562902715321734</c:v>
                </c:pt>
                <c:pt idx="1">
                  <c:v>-1.794235677739783</c:v>
                </c:pt>
                <c:pt idx="2">
                  <c:v>-1.6182346115890072</c:v>
                </c:pt>
                <c:pt idx="3">
                  <c:v>-1.3195473974340746</c:v>
                </c:pt>
                <c:pt idx="4">
                  <c:v>-1.2788459593961037</c:v>
                </c:pt>
                <c:pt idx="5">
                  <c:v>-1.1610631135477325</c:v>
                </c:pt>
                <c:pt idx="6">
                  <c:v>-0.85265206807636373</c:v>
                </c:pt>
                <c:pt idx="7">
                  <c:v>-0.49421093517321552</c:v>
                </c:pt>
                <c:pt idx="8">
                  <c:v>-0.11110515549382743</c:v>
                </c:pt>
                <c:pt idx="9">
                  <c:v>0.17323808985466735</c:v>
                </c:pt>
                <c:pt idx="10">
                  <c:v>0.282083654425547</c:v>
                </c:pt>
                <c:pt idx="11">
                  <c:v>0.42158872476853054</c:v>
                </c:pt>
                <c:pt idx="12">
                  <c:v>0.59031595237144285</c:v>
                </c:pt>
                <c:pt idx="13">
                  <c:v>0.77967656482899361</c:v>
                </c:pt>
                <c:pt idx="14">
                  <c:v>0.89746757057554027</c:v>
                </c:pt>
                <c:pt idx="15">
                  <c:v>0.98842106462564894</c:v>
                </c:pt>
                <c:pt idx="16">
                  <c:v>1.0748156757695999</c:v>
                </c:pt>
                <c:pt idx="17">
                  <c:v>1.1361585551216116</c:v>
                </c:pt>
                <c:pt idx="18">
                  <c:v>1.2017258475812023</c:v>
                </c:pt>
                <c:pt idx="19">
                  <c:v>1.2302136211219088</c:v>
                </c:pt>
                <c:pt idx="20">
                  <c:v>1.2369905621437054</c:v>
                </c:pt>
                <c:pt idx="21">
                  <c:v>1.2354203567377857</c:v>
                </c:pt>
                <c:pt idx="22">
                  <c:v>1.2295647734647503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F73-BE4B-A80F-BC7BC3ACA3FA}"/>
            </c:ext>
          </c:extLst>
        </c:ser>
        <c:ser>
          <c:idx val="2"/>
          <c:order val="2"/>
          <c:tx>
            <c:strRef>
              <c:f>'Growth curves UTEX #1926'!$C$95</c:f>
              <c:strCache>
                <c:ptCount val="1"/>
                <c:pt idx="0">
                  <c:v>80 µmol/m^2.s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rgbClr val="1D551D"/>
              </a:solidFill>
              <a:ln w="9525">
                <a:solidFill>
                  <a:srgbClr val="1D551D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'Growth curves UTEX #1926'!$R$57:$R$78</c:f>
                <c:numCache>
                  <c:formatCode>General</c:formatCode>
                  <c:ptCount val="22"/>
                  <c:pt idx="0">
                    <c:v>1.7501490660806134E-2</c:v>
                  </c:pt>
                  <c:pt idx="1">
                    <c:v>1.1180164115487964E-2</c:v>
                  </c:pt>
                  <c:pt idx="2">
                    <c:v>1.5939501938478075E-2</c:v>
                  </c:pt>
                  <c:pt idx="3">
                    <c:v>1.3839164228284104E-2</c:v>
                  </c:pt>
                  <c:pt idx="4">
                    <c:v>2.8796954363648705E-2</c:v>
                  </c:pt>
                  <c:pt idx="5">
                    <c:v>1.0121612274243881E-2</c:v>
                  </c:pt>
                  <c:pt idx="6">
                    <c:v>4.0476094453332598E-2</c:v>
                  </c:pt>
                  <c:pt idx="7">
                    <c:v>1.4762048496839469E-2</c:v>
                  </c:pt>
                  <c:pt idx="8">
                    <c:v>2.105059779416216E-2</c:v>
                  </c:pt>
                  <c:pt idx="9">
                    <c:v>2.132231982698099E-2</c:v>
                  </c:pt>
                  <c:pt idx="10">
                    <c:v>1.7435845502746655E-2</c:v>
                  </c:pt>
                  <c:pt idx="11">
                    <c:v>1.7186421480166969E-2</c:v>
                  </c:pt>
                  <c:pt idx="12">
                    <c:v>6.7456662473317107E-3</c:v>
                  </c:pt>
                  <c:pt idx="13">
                    <c:v>8.291128411556355E-3</c:v>
                  </c:pt>
                  <c:pt idx="14">
                    <c:v>3.1255168117414807E-2</c:v>
                  </c:pt>
                  <c:pt idx="15">
                    <c:v>2.061973571978053E-2</c:v>
                  </c:pt>
                  <c:pt idx="16">
                    <c:v>1.8507605081089975E-2</c:v>
                  </c:pt>
                  <c:pt idx="17">
                    <c:v>3.7498970336575399E-2</c:v>
                  </c:pt>
                  <c:pt idx="18">
                    <c:v>4.5788368120521249E-2</c:v>
                  </c:pt>
                  <c:pt idx="19">
                    <c:v>4.287360329123354E-2</c:v>
                  </c:pt>
                  <c:pt idx="20">
                    <c:v>4.0058067851601764E-2</c:v>
                  </c:pt>
                  <c:pt idx="21">
                    <c:v>4.0547838733217823E-2</c:v>
                  </c:pt>
                </c:numCache>
              </c:numRef>
            </c:plus>
            <c:minus>
              <c:numRef>
                <c:f>'Growth curves UTEX #1926'!$R$57:$R$78</c:f>
                <c:numCache>
                  <c:formatCode>General</c:formatCode>
                  <c:ptCount val="22"/>
                  <c:pt idx="0">
                    <c:v>1.7501490660806134E-2</c:v>
                  </c:pt>
                  <c:pt idx="1">
                    <c:v>1.1180164115487964E-2</c:v>
                  </c:pt>
                  <c:pt idx="2">
                    <c:v>1.5939501938478075E-2</c:v>
                  </c:pt>
                  <c:pt idx="3">
                    <c:v>1.3839164228284104E-2</c:v>
                  </c:pt>
                  <c:pt idx="4">
                    <c:v>2.8796954363648705E-2</c:v>
                  </c:pt>
                  <c:pt idx="5">
                    <c:v>1.0121612274243881E-2</c:v>
                  </c:pt>
                  <c:pt idx="6">
                    <c:v>4.0476094453332598E-2</c:v>
                  </c:pt>
                  <c:pt idx="7">
                    <c:v>1.4762048496839469E-2</c:v>
                  </c:pt>
                  <c:pt idx="8">
                    <c:v>2.105059779416216E-2</c:v>
                  </c:pt>
                  <c:pt idx="9">
                    <c:v>2.132231982698099E-2</c:v>
                  </c:pt>
                  <c:pt idx="10">
                    <c:v>1.7435845502746655E-2</c:v>
                  </c:pt>
                  <c:pt idx="11">
                    <c:v>1.7186421480166969E-2</c:v>
                  </c:pt>
                  <c:pt idx="12">
                    <c:v>6.7456662473317107E-3</c:v>
                  </c:pt>
                  <c:pt idx="13">
                    <c:v>8.291128411556355E-3</c:v>
                  </c:pt>
                  <c:pt idx="14">
                    <c:v>3.1255168117414807E-2</c:v>
                  </c:pt>
                  <c:pt idx="15">
                    <c:v>2.061973571978053E-2</c:v>
                  </c:pt>
                  <c:pt idx="16">
                    <c:v>1.8507605081089975E-2</c:v>
                  </c:pt>
                  <c:pt idx="17">
                    <c:v>3.7498970336575399E-2</c:v>
                  </c:pt>
                  <c:pt idx="18">
                    <c:v>4.5788368120521249E-2</c:v>
                  </c:pt>
                  <c:pt idx="19">
                    <c:v>4.287360329123354E-2</c:v>
                  </c:pt>
                  <c:pt idx="20">
                    <c:v>4.0058067851601764E-2</c:v>
                  </c:pt>
                  <c:pt idx="21">
                    <c:v>4.0547838733217823E-2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'Growth curves UTEX #1926'!$D$57:$D$78</c:f>
              <c:numCache>
                <c:formatCode>0</c:formatCode>
                <c:ptCount val="22"/>
                <c:pt idx="0" formatCode="General">
                  <c:v>0</c:v>
                </c:pt>
                <c:pt idx="1">
                  <c:v>3.3333333333333335</c:v>
                </c:pt>
                <c:pt idx="2">
                  <c:v>20.5</c:v>
                </c:pt>
                <c:pt idx="3">
                  <c:v>23.666666666666668</c:v>
                </c:pt>
                <c:pt idx="4">
                  <c:v>27.6</c:v>
                </c:pt>
                <c:pt idx="5" formatCode="General">
                  <c:v>45</c:v>
                </c:pt>
                <c:pt idx="6">
                  <c:v>69.028052805280524</c:v>
                </c:pt>
                <c:pt idx="7">
                  <c:v>95.628052805280532</c:v>
                </c:pt>
                <c:pt idx="8">
                  <c:v>119.74471947194721</c:v>
                </c:pt>
                <c:pt idx="9">
                  <c:v>140.21138613861388</c:v>
                </c:pt>
                <c:pt idx="10">
                  <c:v>165.02805280528054</c:v>
                </c:pt>
                <c:pt idx="11">
                  <c:v>188.87805280528053</c:v>
                </c:pt>
                <c:pt idx="12">
                  <c:v>213.57805280528052</c:v>
                </c:pt>
                <c:pt idx="13">
                  <c:v>237.4447194719472</c:v>
                </c:pt>
                <c:pt idx="14">
                  <c:v>262.41138613861386</c:v>
                </c:pt>
                <c:pt idx="15">
                  <c:v>285.74471947194718</c:v>
                </c:pt>
                <c:pt idx="16">
                  <c:v>310.36138613861385</c:v>
                </c:pt>
                <c:pt idx="17">
                  <c:v>333.24471947194718</c:v>
                </c:pt>
                <c:pt idx="18">
                  <c:v>357.14471947194716</c:v>
                </c:pt>
                <c:pt idx="19">
                  <c:v>381.14471947194716</c:v>
                </c:pt>
                <c:pt idx="20">
                  <c:v>405.24471947194718</c:v>
                </c:pt>
                <c:pt idx="21">
                  <c:v>430.01138613861383</c:v>
                </c:pt>
              </c:numCache>
            </c:numRef>
          </c:xVal>
          <c:yVal>
            <c:numRef>
              <c:f>'Growth curves UTEX #1926'!$Q$57:$Q$78</c:f>
              <c:numCache>
                <c:formatCode>0.000</c:formatCode>
                <c:ptCount val="22"/>
                <c:pt idx="0">
                  <c:v>-2.0821474504418389</c:v>
                </c:pt>
                <c:pt idx="1">
                  <c:v>-1.7644315648973936</c:v>
                </c:pt>
                <c:pt idx="2">
                  <c:v>-1.3739107957227634</c:v>
                </c:pt>
                <c:pt idx="3">
                  <c:v>-1.2332920581686444</c:v>
                </c:pt>
                <c:pt idx="4">
                  <c:v>-1.1738224498645666</c:v>
                </c:pt>
                <c:pt idx="5">
                  <c:v>-0.7404074098851855</c:v>
                </c:pt>
                <c:pt idx="6">
                  <c:v>-0.25859237760840986</c:v>
                </c:pt>
                <c:pt idx="7">
                  <c:v>8.8244747674847704E-2</c:v>
                </c:pt>
                <c:pt idx="8">
                  <c:v>0.34009915183237877</c:v>
                </c:pt>
                <c:pt idx="9">
                  <c:v>0.51426750740695104</c:v>
                </c:pt>
                <c:pt idx="10">
                  <c:v>0.79618308166969076</c:v>
                </c:pt>
                <c:pt idx="11">
                  <c:v>0.92364769812625092</c:v>
                </c:pt>
                <c:pt idx="12">
                  <c:v>1.0407896792515781</c:v>
                </c:pt>
                <c:pt idx="13">
                  <c:v>1.1499452240937982</c:v>
                </c:pt>
                <c:pt idx="14">
                  <c:v>1.1614503665640996</c:v>
                </c:pt>
                <c:pt idx="15">
                  <c:v>1.2236188967817225</c:v>
                </c:pt>
                <c:pt idx="16">
                  <c:v>1.2829044262333833</c:v>
                </c:pt>
                <c:pt idx="17">
                  <c:v>1.3418978581001506</c:v>
                </c:pt>
                <c:pt idx="18">
                  <c:v>1.3935230030155521</c:v>
                </c:pt>
                <c:pt idx="19">
                  <c:v>1.4020551881684702</c:v>
                </c:pt>
                <c:pt idx="20">
                  <c:v>1.4014619205281216</c:v>
                </c:pt>
                <c:pt idx="21">
                  <c:v>1.4071854764018126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F73-BE4B-A80F-BC7BC3ACA3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1967840"/>
        <c:axId val="1020632992"/>
      </c:scatterChart>
      <c:valAx>
        <c:axId val="1141967840"/>
        <c:scaling>
          <c:orientation val="minMax"/>
          <c:max val="4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Time</a:t>
                </a:r>
                <a:r>
                  <a:rPr lang="en-ZA" baseline="0"/>
                  <a:t> (h)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20632992"/>
        <c:crosses val="autoZero"/>
        <c:crossBetween val="midCat"/>
        <c:majorUnit val="50"/>
      </c:valAx>
      <c:valAx>
        <c:axId val="102063299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ln</a:t>
                </a:r>
                <a:r>
                  <a:rPr lang="en-ZA" baseline="0"/>
                  <a:t> biomass concentration </a:t>
                </a:r>
                <a:r>
                  <a:rPr lang="en-ZA"/>
                  <a:t>(g.L</a:t>
                </a:r>
                <a:r>
                  <a:rPr lang="en-ZA" baseline="30000"/>
                  <a:t>-1</a:t>
                </a:r>
                <a:r>
                  <a:rPr lang="en-ZA"/>
                  <a:t>)</a:t>
                </a:r>
              </a:p>
            </c:rich>
          </c:tx>
          <c:layout>
            <c:manualLayout>
              <c:xMode val="edge"/>
              <c:yMode val="edge"/>
              <c:x val="1.993611082258263E-2"/>
              <c:y val="0.1518304148343730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141967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'Growth curves UTEX #1926'!$A$95</c:f>
              <c:strCache>
                <c:ptCount val="1"/>
                <c:pt idx="0">
                  <c:v>40 µmol/m^2.s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rgbClr val="92D050"/>
              </a:solidFill>
              <a:ln w="9525">
                <a:solidFill>
                  <a:srgbClr val="92D0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'Growth curves UTEX #1926'!$M$5:$M$27</c:f>
                <c:numCache>
                  <c:formatCode>General</c:formatCode>
                  <c:ptCount val="23"/>
                  <c:pt idx="0">
                    <c:v>4.0052727270159438E-3</c:v>
                  </c:pt>
                  <c:pt idx="1">
                    <c:v>6.9118776622404034E-3</c:v>
                  </c:pt>
                  <c:pt idx="2">
                    <c:v>6.9373358613615673E-3</c:v>
                  </c:pt>
                  <c:pt idx="3">
                    <c:v>1.3096879067082269E-2</c:v>
                  </c:pt>
                  <c:pt idx="4">
                    <c:v>1.8301563697612835E-3</c:v>
                  </c:pt>
                  <c:pt idx="5">
                    <c:v>1.3874671722723143E-2</c:v>
                  </c:pt>
                  <c:pt idx="6">
                    <c:v>2.1355493485075702E-2</c:v>
                  </c:pt>
                  <c:pt idx="7">
                    <c:v>2.7532498550702666E-2</c:v>
                  </c:pt>
                  <c:pt idx="8">
                    <c:v>1.3270709467093321E-2</c:v>
                  </c:pt>
                  <c:pt idx="9">
                    <c:v>5.26091425430135E-2</c:v>
                  </c:pt>
                  <c:pt idx="10">
                    <c:v>2.3115557139823453E-2</c:v>
                  </c:pt>
                  <c:pt idx="11">
                    <c:v>2.8882432378946946E-2</c:v>
                  </c:pt>
                  <c:pt idx="12">
                    <c:v>4.409199768725991E-2</c:v>
                  </c:pt>
                  <c:pt idx="13">
                    <c:v>2.1589477043329416E-2</c:v>
                  </c:pt>
                  <c:pt idx="14">
                    <c:v>1.1297456566462657E-2</c:v>
                  </c:pt>
                  <c:pt idx="15">
                    <c:v>4.0681591794050717E-2</c:v>
                  </c:pt>
                  <c:pt idx="16">
                    <c:v>3.9063398237793479E-2</c:v>
                  </c:pt>
                  <c:pt idx="17">
                    <c:v>8.2345262861954746E-2</c:v>
                  </c:pt>
                  <c:pt idx="18">
                    <c:v>5.5676283142864748E-2</c:v>
                  </c:pt>
                  <c:pt idx="19">
                    <c:v>6.8611917527043154E-2</c:v>
                  </c:pt>
                  <c:pt idx="20">
                    <c:v>5.839619350517062E-2</c:v>
                  </c:pt>
                  <c:pt idx="21">
                    <c:v>1.2679695272889422E-2</c:v>
                  </c:pt>
                  <c:pt idx="22">
                    <c:v>6.0554031820992419E-3</c:v>
                  </c:pt>
                </c:numCache>
              </c:numRef>
            </c:plus>
            <c:minus>
              <c:numRef>
                <c:f>'Growth curves UTEX #1926'!$M$5:$M$27</c:f>
                <c:numCache>
                  <c:formatCode>General</c:formatCode>
                  <c:ptCount val="23"/>
                  <c:pt idx="0">
                    <c:v>4.0052727270159438E-3</c:v>
                  </c:pt>
                  <c:pt idx="1">
                    <c:v>6.9118776622404034E-3</c:v>
                  </c:pt>
                  <c:pt idx="2">
                    <c:v>6.9373358613615673E-3</c:v>
                  </c:pt>
                  <c:pt idx="3">
                    <c:v>1.3096879067082269E-2</c:v>
                  </c:pt>
                  <c:pt idx="4">
                    <c:v>1.8301563697612835E-3</c:v>
                  </c:pt>
                  <c:pt idx="5">
                    <c:v>1.3874671722723143E-2</c:v>
                  </c:pt>
                  <c:pt idx="6">
                    <c:v>2.1355493485075702E-2</c:v>
                  </c:pt>
                  <c:pt idx="7">
                    <c:v>2.7532498550702666E-2</c:v>
                  </c:pt>
                  <c:pt idx="8">
                    <c:v>1.3270709467093321E-2</c:v>
                  </c:pt>
                  <c:pt idx="9">
                    <c:v>5.26091425430135E-2</c:v>
                  </c:pt>
                  <c:pt idx="10">
                    <c:v>2.3115557139823453E-2</c:v>
                  </c:pt>
                  <c:pt idx="11">
                    <c:v>2.8882432378946946E-2</c:v>
                  </c:pt>
                  <c:pt idx="12">
                    <c:v>4.409199768725991E-2</c:v>
                  </c:pt>
                  <c:pt idx="13">
                    <c:v>2.1589477043329416E-2</c:v>
                  </c:pt>
                  <c:pt idx="14">
                    <c:v>1.1297456566462657E-2</c:v>
                  </c:pt>
                  <c:pt idx="15">
                    <c:v>4.0681591794050717E-2</c:v>
                  </c:pt>
                  <c:pt idx="16">
                    <c:v>3.9063398237793479E-2</c:v>
                  </c:pt>
                  <c:pt idx="17">
                    <c:v>8.2345262861954746E-2</c:v>
                  </c:pt>
                  <c:pt idx="18">
                    <c:v>5.5676283142864748E-2</c:v>
                  </c:pt>
                  <c:pt idx="19">
                    <c:v>6.8611917527043154E-2</c:v>
                  </c:pt>
                  <c:pt idx="20">
                    <c:v>5.839619350517062E-2</c:v>
                  </c:pt>
                  <c:pt idx="21">
                    <c:v>1.2679695272889422E-2</c:v>
                  </c:pt>
                  <c:pt idx="22">
                    <c:v>6.0554031820992419E-3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'Growth curves UTEX #1926'!$D$5:$D$27</c:f>
              <c:numCache>
                <c:formatCode>0</c:formatCode>
                <c:ptCount val="23"/>
                <c:pt idx="0" formatCode="General">
                  <c:v>0</c:v>
                </c:pt>
                <c:pt idx="1">
                  <c:v>4.833333333333333</c:v>
                </c:pt>
                <c:pt idx="2">
                  <c:v>10.25</c:v>
                </c:pt>
                <c:pt idx="3">
                  <c:v>22</c:v>
                </c:pt>
                <c:pt idx="4">
                  <c:v>25.166666666666668</c:v>
                </c:pt>
                <c:pt idx="5">
                  <c:v>29.133333333333333</c:v>
                </c:pt>
                <c:pt idx="6">
                  <c:v>46.5</c:v>
                </c:pt>
                <c:pt idx="7">
                  <c:v>70.7</c:v>
                </c:pt>
                <c:pt idx="8">
                  <c:v>97.366666666666674</c:v>
                </c:pt>
                <c:pt idx="9">
                  <c:v>121.45000000000002</c:v>
                </c:pt>
                <c:pt idx="10">
                  <c:v>141.85000000000002</c:v>
                </c:pt>
                <c:pt idx="11">
                  <c:v>166.65000000000003</c:v>
                </c:pt>
                <c:pt idx="12">
                  <c:v>190.53333333333336</c:v>
                </c:pt>
                <c:pt idx="13">
                  <c:v>215.20000000000002</c:v>
                </c:pt>
                <c:pt idx="14">
                  <c:v>238.93333333333334</c:v>
                </c:pt>
                <c:pt idx="15">
                  <c:v>264.31666666666666</c:v>
                </c:pt>
                <c:pt idx="16">
                  <c:v>287.41666666666669</c:v>
                </c:pt>
                <c:pt idx="17">
                  <c:v>312.10000000000002</c:v>
                </c:pt>
                <c:pt idx="18">
                  <c:v>334.93333333333334</c:v>
                </c:pt>
                <c:pt idx="19">
                  <c:v>358.78333333333336</c:v>
                </c:pt>
                <c:pt idx="20">
                  <c:v>382.78333333333336</c:v>
                </c:pt>
                <c:pt idx="21">
                  <c:v>406.8</c:v>
                </c:pt>
                <c:pt idx="22">
                  <c:v>431.53333333333336</c:v>
                </c:pt>
              </c:numCache>
            </c:numRef>
          </c:xVal>
          <c:yVal>
            <c:numRef>
              <c:f>'Growth curves UTEX #1926'!$L$5:$L$27</c:f>
              <c:numCache>
                <c:formatCode>0.000</c:formatCode>
                <c:ptCount val="23"/>
                <c:pt idx="0">
                  <c:v>0.12637986666666667</c:v>
                </c:pt>
                <c:pt idx="1">
                  <c:v>0.16416786666666669</c:v>
                </c:pt>
                <c:pt idx="2">
                  <c:v>0.1750844</c:v>
                </c:pt>
                <c:pt idx="3">
                  <c:v>0.25359946666666672</c:v>
                </c:pt>
                <c:pt idx="4">
                  <c:v>0.26493586666666663</c:v>
                </c:pt>
                <c:pt idx="5">
                  <c:v>0.29978480000000002</c:v>
                </c:pt>
                <c:pt idx="6">
                  <c:v>0.40475146666666673</c:v>
                </c:pt>
                <c:pt idx="7">
                  <c:v>0.50803866666666664</c:v>
                </c:pt>
                <c:pt idx="8">
                  <c:v>0.75575999999999999</c:v>
                </c:pt>
                <c:pt idx="9">
                  <c:v>0.92370666666666679</c:v>
                </c:pt>
                <c:pt idx="10">
                  <c:v>1.1823445333333333</c:v>
                </c:pt>
                <c:pt idx="11">
                  <c:v>1.3284581333333334</c:v>
                </c:pt>
                <c:pt idx="12">
                  <c:v>1.6475568000000003</c:v>
                </c:pt>
                <c:pt idx="13">
                  <c:v>1.9968858666666669</c:v>
                </c:pt>
                <c:pt idx="14">
                  <c:v>2.3462149333333335</c:v>
                </c:pt>
                <c:pt idx="15">
                  <c:v>2.5385138666666669</c:v>
                </c:pt>
                <c:pt idx="16">
                  <c:v>2.6938645333333331</c:v>
                </c:pt>
                <c:pt idx="17">
                  <c:v>2.7929530666666671</c:v>
                </c:pt>
                <c:pt idx="18">
                  <c:v>2.935707733333333</c:v>
                </c:pt>
                <c:pt idx="19">
                  <c:v>3.0196810666666671</c:v>
                </c:pt>
                <c:pt idx="20">
                  <c:v>3.1691536</c:v>
                </c:pt>
                <c:pt idx="21">
                  <c:v>3.1943456000000001</c:v>
                </c:pt>
                <c:pt idx="22">
                  <c:v>3.2111402666666673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DDF-D348-ACAF-5A789E4D8667}"/>
            </c:ext>
          </c:extLst>
        </c:ser>
        <c:ser>
          <c:idx val="1"/>
          <c:order val="1"/>
          <c:tx>
            <c:strRef>
              <c:f>'Growth curves UTEX #1926'!$B$95</c:f>
              <c:strCache>
                <c:ptCount val="1"/>
                <c:pt idx="0">
                  <c:v>60 µmol/m^2.s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339933"/>
              </a:solidFill>
              <a:ln w="9525">
                <a:solidFill>
                  <a:srgbClr val="33993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'Growth curves UTEX #1926'!$T$31:$T$53</c:f>
                <c:numCache>
                  <c:formatCode>General</c:formatCode>
                  <c:ptCount val="23"/>
                  <c:pt idx="1">
                    <c:v>7.7550917147406889E-2</c:v>
                  </c:pt>
                  <c:pt idx="2">
                    <c:v>2.3632635167880917E-2</c:v>
                  </c:pt>
                  <c:pt idx="3">
                    <c:v>2.5871970037728051E-2</c:v>
                  </c:pt>
                  <c:pt idx="4">
                    <c:v>2.0763592914562323E-2</c:v>
                  </c:pt>
                  <c:pt idx="5">
                    <c:v>2.7248269415788669E-2</c:v>
                  </c:pt>
                  <c:pt idx="6">
                    <c:v>1.5736660364664957E-2</c:v>
                  </c:pt>
                  <c:pt idx="7">
                    <c:v>1.7097896928392278E-2</c:v>
                  </c:pt>
                  <c:pt idx="8">
                    <c:v>1.3263900363602914E-2</c:v>
                  </c:pt>
                  <c:pt idx="9">
                    <c:v>1.1471041691648009E-2</c:v>
                  </c:pt>
                  <c:pt idx="10">
                    <c:v>5.8414560558615889E-3</c:v>
                  </c:pt>
                  <c:pt idx="11">
                    <c:v>7.2848055835286257E-3</c:v>
                  </c:pt>
                  <c:pt idx="12">
                    <c:v>6.021033576224571E-3</c:v>
                  </c:pt>
                  <c:pt idx="13">
                    <c:v>7.7300919299243811E-3</c:v>
                  </c:pt>
                  <c:pt idx="14">
                    <c:v>4.410707800350063E-3</c:v>
                  </c:pt>
                  <c:pt idx="15">
                    <c:v>4.1419081385117218E-3</c:v>
                  </c:pt>
                  <c:pt idx="16">
                    <c:v>3.7234747499491701E-3</c:v>
                  </c:pt>
                  <c:pt idx="17">
                    <c:v>3.7366402621482578E-3</c:v>
                  </c:pt>
                  <c:pt idx="18">
                    <c:v>1.0194349359379234E-3</c:v>
                  </c:pt>
                  <c:pt idx="19">
                    <c:v>2.4377914266509332E-3</c:v>
                  </c:pt>
                  <c:pt idx="20">
                    <c:v>5.9953072717081979E-4</c:v>
                  </c:pt>
                  <c:pt idx="21">
                    <c:v>3.5488159874583539E-4</c:v>
                  </c:pt>
                  <c:pt idx="22">
                    <c:v>1.1406678227732578E-4</c:v>
                  </c:pt>
                </c:numCache>
              </c:numRef>
            </c:plus>
            <c:minus>
              <c:numRef>
                <c:f>'Growth curves UTEX #1926'!$T$31:$T$53</c:f>
                <c:numCache>
                  <c:formatCode>General</c:formatCode>
                  <c:ptCount val="23"/>
                  <c:pt idx="1">
                    <c:v>7.7550917147406889E-2</c:v>
                  </c:pt>
                  <c:pt idx="2">
                    <c:v>2.3632635167880917E-2</c:v>
                  </c:pt>
                  <c:pt idx="3">
                    <c:v>2.5871970037728051E-2</c:v>
                  </c:pt>
                  <c:pt idx="4">
                    <c:v>2.0763592914562323E-2</c:v>
                  </c:pt>
                  <c:pt idx="5">
                    <c:v>2.7248269415788669E-2</c:v>
                  </c:pt>
                  <c:pt idx="6">
                    <c:v>1.5736660364664957E-2</c:v>
                  </c:pt>
                  <c:pt idx="7">
                    <c:v>1.7097896928392278E-2</c:v>
                  </c:pt>
                  <c:pt idx="8">
                    <c:v>1.3263900363602914E-2</c:v>
                  </c:pt>
                  <c:pt idx="9">
                    <c:v>1.1471041691648009E-2</c:v>
                  </c:pt>
                  <c:pt idx="10">
                    <c:v>5.8414560558615889E-3</c:v>
                  </c:pt>
                  <c:pt idx="11">
                    <c:v>7.2848055835286257E-3</c:v>
                  </c:pt>
                  <c:pt idx="12">
                    <c:v>6.021033576224571E-3</c:v>
                  </c:pt>
                  <c:pt idx="13">
                    <c:v>7.7300919299243811E-3</c:v>
                  </c:pt>
                  <c:pt idx="14">
                    <c:v>4.410707800350063E-3</c:v>
                  </c:pt>
                  <c:pt idx="15">
                    <c:v>4.1419081385117218E-3</c:v>
                  </c:pt>
                  <c:pt idx="16">
                    <c:v>3.7234747499491701E-3</c:v>
                  </c:pt>
                  <c:pt idx="17">
                    <c:v>3.7366402621482578E-3</c:v>
                  </c:pt>
                  <c:pt idx="18">
                    <c:v>1.0194349359379234E-3</c:v>
                  </c:pt>
                  <c:pt idx="19">
                    <c:v>2.4377914266509332E-3</c:v>
                  </c:pt>
                  <c:pt idx="20">
                    <c:v>5.9953072717081979E-4</c:v>
                  </c:pt>
                  <c:pt idx="21">
                    <c:v>3.5488159874583539E-4</c:v>
                  </c:pt>
                  <c:pt idx="22">
                    <c:v>1.1406678227732578E-4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'Growth curves UTEX #1926'!$D$31:$D$53</c:f>
              <c:numCache>
                <c:formatCode>0</c:formatCode>
                <c:ptCount val="23"/>
                <c:pt idx="0" formatCode="General">
                  <c:v>0</c:v>
                </c:pt>
                <c:pt idx="1">
                  <c:v>4.166666666666667</c:v>
                </c:pt>
                <c:pt idx="2" formatCode="General">
                  <c:v>9.5</c:v>
                </c:pt>
                <c:pt idx="3">
                  <c:v>21.25</c:v>
                </c:pt>
                <c:pt idx="4">
                  <c:v>24.416666666666668</c:v>
                </c:pt>
                <c:pt idx="5">
                  <c:v>28.366666666666667</c:v>
                </c:pt>
                <c:pt idx="6">
                  <c:v>45.733333333333334</c:v>
                </c:pt>
                <c:pt idx="7">
                  <c:v>70.05</c:v>
                </c:pt>
                <c:pt idx="8">
                  <c:v>96.6</c:v>
                </c:pt>
                <c:pt idx="9">
                  <c:v>120.69999999999999</c:v>
                </c:pt>
                <c:pt idx="10">
                  <c:v>141.13333333333333</c:v>
                </c:pt>
                <c:pt idx="11">
                  <c:v>165.91666666666666</c:v>
                </c:pt>
                <c:pt idx="12">
                  <c:v>189.79999999999998</c:v>
                </c:pt>
                <c:pt idx="13">
                  <c:v>214.49999999999997</c:v>
                </c:pt>
                <c:pt idx="14">
                  <c:v>238.64999999999998</c:v>
                </c:pt>
                <c:pt idx="15">
                  <c:v>263.48333333333329</c:v>
                </c:pt>
                <c:pt idx="16">
                  <c:v>286.68333333333328</c:v>
                </c:pt>
                <c:pt idx="17">
                  <c:v>311.34999999999997</c:v>
                </c:pt>
                <c:pt idx="18">
                  <c:v>334.21666666666664</c:v>
                </c:pt>
                <c:pt idx="19">
                  <c:v>358.08333333333331</c:v>
                </c:pt>
                <c:pt idx="20">
                  <c:v>382.08333333333331</c:v>
                </c:pt>
                <c:pt idx="21">
                  <c:v>406.13333333333333</c:v>
                </c:pt>
                <c:pt idx="22">
                  <c:v>430.93333333333334</c:v>
                </c:pt>
              </c:numCache>
            </c:numRef>
          </c:xVal>
          <c:yVal>
            <c:numRef>
              <c:f>'Growth curves UTEX #1926'!$L$31:$L$53</c:f>
              <c:numCache>
                <c:formatCode>0.000</c:formatCode>
                <c:ptCount val="23"/>
                <c:pt idx="0">
                  <c:v>0.12889906666666667</c:v>
                </c:pt>
                <c:pt idx="1">
                  <c:v>0.1662672</c:v>
                </c:pt>
                <c:pt idx="2">
                  <c:v>0.19859693333333336</c:v>
                </c:pt>
                <c:pt idx="3">
                  <c:v>0.26745506666666669</c:v>
                </c:pt>
                <c:pt idx="4">
                  <c:v>0.2783716</c:v>
                </c:pt>
                <c:pt idx="5">
                  <c:v>0.31322053333333333</c:v>
                </c:pt>
                <c:pt idx="6">
                  <c:v>0.42700440000000001</c:v>
                </c:pt>
                <c:pt idx="7">
                  <c:v>0.61006626666666675</c:v>
                </c:pt>
                <c:pt idx="8">
                  <c:v>0.89515573333333343</c:v>
                </c:pt>
                <c:pt idx="9">
                  <c:v>1.1894822666666667</c:v>
                </c:pt>
                <c:pt idx="10">
                  <c:v>1.3267786666666668</c:v>
                </c:pt>
                <c:pt idx="11">
                  <c:v>1.5249557333333332</c:v>
                </c:pt>
                <c:pt idx="12">
                  <c:v>1.8045869333333335</c:v>
                </c:pt>
                <c:pt idx="13">
                  <c:v>2.1807874666666671</c:v>
                </c:pt>
                <c:pt idx="14">
                  <c:v>2.4537008</c:v>
                </c:pt>
                <c:pt idx="15">
                  <c:v>2.687146666666667</c:v>
                </c:pt>
                <c:pt idx="16">
                  <c:v>2.9306693333333338</c:v>
                </c:pt>
                <c:pt idx="17">
                  <c:v>3.115410666666667</c:v>
                </c:pt>
                <c:pt idx="18">
                  <c:v>3.3261837333333339</c:v>
                </c:pt>
                <c:pt idx="19">
                  <c:v>3.4277914666666667</c:v>
                </c:pt>
                <c:pt idx="20">
                  <c:v>3.4513039999999999</c:v>
                </c:pt>
                <c:pt idx="21">
                  <c:v>3.4479450666666671</c:v>
                </c:pt>
                <c:pt idx="22">
                  <c:v>3.4294709333333331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DDF-D348-ACAF-5A789E4D8667}"/>
            </c:ext>
          </c:extLst>
        </c:ser>
        <c:ser>
          <c:idx val="2"/>
          <c:order val="2"/>
          <c:tx>
            <c:strRef>
              <c:f>'Growth curves UTEX #1926'!$C$95</c:f>
              <c:strCache>
                <c:ptCount val="1"/>
                <c:pt idx="0">
                  <c:v>80 µmol/m^2.s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rgbClr val="1D551D"/>
              </a:solidFill>
              <a:ln w="9525">
                <a:solidFill>
                  <a:srgbClr val="1D551D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'Growth curves UTEX #1926'!$M$57:$M$78</c:f>
                <c:numCache>
                  <c:formatCode>General</c:formatCode>
                  <c:ptCount val="22"/>
                  <c:pt idx="0">
                    <c:v>2.1816911972137531E-3</c:v>
                  </c:pt>
                  <c:pt idx="1">
                    <c:v>1.9240707817887914E-3</c:v>
                  </c:pt>
                  <c:pt idx="2">
                    <c:v>4.0490474995155722E-3</c:v>
                  </c:pt>
                  <c:pt idx="3">
                    <c:v>4.0052727270159516E-3</c:v>
                  </c:pt>
                  <c:pt idx="4">
                    <c:v>9.0344536210614952E-3</c:v>
                  </c:pt>
                  <c:pt idx="5">
                    <c:v>4.8421386147491155E-3</c:v>
                  </c:pt>
                  <c:pt idx="6">
                    <c:v>3.0956447868578228E-2</c:v>
                  </c:pt>
                  <c:pt idx="7">
                    <c:v>1.6086976412544984E-2</c:v>
                  </c:pt>
                  <c:pt idx="8">
                    <c:v>2.9869610944458825E-2</c:v>
                  </c:pt>
                  <c:pt idx="9">
                    <c:v>3.5331224913445203E-2</c:v>
                  </c:pt>
                  <c:pt idx="10">
                    <c:v>3.8600341012195519E-2</c:v>
                  </c:pt>
                  <c:pt idx="11">
                    <c:v>4.2925078471836603E-2</c:v>
                  </c:pt>
                  <c:pt idx="12">
                    <c:v>1.9075074539653285E-2</c:v>
                  </c:pt>
                  <c:pt idx="13">
                    <c:v>2.6193758134164601E-2</c:v>
                  </c:pt>
                  <c:pt idx="14">
                    <c:v>0.10085543428976843</c:v>
                  </c:pt>
                  <c:pt idx="15">
                    <c:v>7.0597555471937731E-2</c:v>
                  </c:pt>
                  <c:pt idx="16">
                    <c:v>6.6561779294059834E-2</c:v>
                  </c:pt>
                  <c:pt idx="17">
                    <c:v>0.14450490746619421</c:v>
                  </c:pt>
                  <c:pt idx="18">
                    <c:v>0.18363875584641109</c:v>
                  </c:pt>
                  <c:pt idx="19">
                    <c:v>0.17482594592977321</c:v>
                  </c:pt>
                  <c:pt idx="20">
                    <c:v>0.16345275057415742</c:v>
                  </c:pt>
                  <c:pt idx="21">
                    <c:v>0.16649606067267783</c:v>
                  </c:pt>
                </c:numCache>
              </c:numRef>
            </c:plus>
            <c:minus>
              <c:numRef>
                <c:f>'Growth curves UTEX #1926'!$M$57:$M$78</c:f>
                <c:numCache>
                  <c:formatCode>General</c:formatCode>
                  <c:ptCount val="22"/>
                  <c:pt idx="0">
                    <c:v>2.1816911972137531E-3</c:v>
                  </c:pt>
                  <c:pt idx="1">
                    <c:v>1.9240707817887914E-3</c:v>
                  </c:pt>
                  <c:pt idx="2">
                    <c:v>4.0490474995155722E-3</c:v>
                  </c:pt>
                  <c:pt idx="3">
                    <c:v>4.0052727270159516E-3</c:v>
                  </c:pt>
                  <c:pt idx="4">
                    <c:v>9.0344536210614952E-3</c:v>
                  </c:pt>
                  <c:pt idx="5">
                    <c:v>4.8421386147491155E-3</c:v>
                  </c:pt>
                  <c:pt idx="6">
                    <c:v>3.0956447868578228E-2</c:v>
                  </c:pt>
                  <c:pt idx="7">
                    <c:v>1.6086976412544984E-2</c:v>
                  </c:pt>
                  <c:pt idx="8">
                    <c:v>2.9869610944458825E-2</c:v>
                  </c:pt>
                  <c:pt idx="9">
                    <c:v>3.5331224913445203E-2</c:v>
                  </c:pt>
                  <c:pt idx="10">
                    <c:v>3.8600341012195519E-2</c:v>
                  </c:pt>
                  <c:pt idx="11">
                    <c:v>4.2925078471836603E-2</c:v>
                  </c:pt>
                  <c:pt idx="12">
                    <c:v>1.9075074539653285E-2</c:v>
                  </c:pt>
                  <c:pt idx="13">
                    <c:v>2.6193758134164601E-2</c:v>
                  </c:pt>
                  <c:pt idx="14">
                    <c:v>0.10085543428976843</c:v>
                  </c:pt>
                  <c:pt idx="15">
                    <c:v>7.0597555471937731E-2</c:v>
                  </c:pt>
                  <c:pt idx="16">
                    <c:v>6.6561779294059834E-2</c:v>
                  </c:pt>
                  <c:pt idx="17">
                    <c:v>0.14450490746619421</c:v>
                  </c:pt>
                  <c:pt idx="18">
                    <c:v>0.18363875584641109</c:v>
                  </c:pt>
                  <c:pt idx="19">
                    <c:v>0.17482594592977321</c:v>
                  </c:pt>
                  <c:pt idx="20">
                    <c:v>0.16345275057415742</c:v>
                  </c:pt>
                  <c:pt idx="21">
                    <c:v>0.16649606067267783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'Growth curves UTEX #1926'!$D$57:$D$78</c:f>
              <c:numCache>
                <c:formatCode>0</c:formatCode>
                <c:ptCount val="22"/>
                <c:pt idx="0" formatCode="General">
                  <c:v>0</c:v>
                </c:pt>
                <c:pt idx="1">
                  <c:v>3.3333333333333335</c:v>
                </c:pt>
                <c:pt idx="2">
                  <c:v>20.5</c:v>
                </c:pt>
                <c:pt idx="3">
                  <c:v>23.666666666666668</c:v>
                </c:pt>
                <c:pt idx="4">
                  <c:v>27.6</c:v>
                </c:pt>
                <c:pt idx="5" formatCode="General">
                  <c:v>45</c:v>
                </c:pt>
                <c:pt idx="6">
                  <c:v>69.028052805280524</c:v>
                </c:pt>
                <c:pt idx="7">
                  <c:v>95.628052805280532</c:v>
                </c:pt>
                <c:pt idx="8">
                  <c:v>119.74471947194721</c:v>
                </c:pt>
                <c:pt idx="9">
                  <c:v>140.21138613861388</c:v>
                </c:pt>
                <c:pt idx="10">
                  <c:v>165.02805280528054</c:v>
                </c:pt>
                <c:pt idx="11">
                  <c:v>188.87805280528053</c:v>
                </c:pt>
                <c:pt idx="12">
                  <c:v>213.57805280528052</c:v>
                </c:pt>
                <c:pt idx="13">
                  <c:v>237.4447194719472</c:v>
                </c:pt>
                <c:pt idx="14">
                  <c:v>262.41138613861386</c:v>
                </c:pt>
                <c:pt idx="15">
                  <c:v>285.74471947194718</c:v>
                </c:pt>
                <c:pt idx="16">
                  <c:v>310.36138613861385</c:v>
                </c:pt>
                <c:pt idx="17">
                  <c:v>333.24471947194718</c:v>
                </c:pt>
                <c:pt idx="18">
                  <c:v>357.14471947194716</c:v>
                </c:pt>
                <c:pt idx="19">
                  <c:v>381.14471947194716</c:v>
                </c:pt>
                <c:pt idx="20">
                  <c:v>405.24471947194718</c:v>
                </c:pt>
                <c:pt idx="21">
                  <c:v>430.01138613861383</c:v>
                </c:pt>
              </c:numCache>
            </c:numRef>
          </c:xVal>
          <c:yVal>
            <c:numRef>
              <c:f>'Growth curves UTEX #1926'!$L$57:$L$78</c:f>
              <c:numCache>
                <c:formatCode>0.000</c:formatCode>
                <c:ptCount val="22"/>
                <c:pt idx="0">
                  <c:v>0.1247004</c:v>
                </c:pt>
                <c:pt idx="1">
                  <c:v>0.17130560000000003</c:v>
                </c:pt>
                <c:pt idx="2">
                  <c:v>0.2531796</c:v>
                </c:pt>
                <c:pt idx="3">
                  <c:v>0.29138746666666665</c:v>
                </c:pt>
                <c:pt idx="4">
                  <c:v>0.30944173333333336</c:v>
                </c:pt>
                <c:pt idx="5">
                  <c:v>0.47696853333333333</c:v>
                </c:pt>
                <c:pt idx="6">
                  <c:v>0.77339440000000004</c:v>
                </c:pt>
                <c:pt idx="7">
                  <c:v>1.0924930666666668</c:v>
                </c:pt>
                <c:pt idx="8">
                  <c:v>1.4057136000000001</c:v>
                </c:pt>
                <c:pt idx="9">
                  <c:v>1.673168666666667</c:v>
                </c:pt>
                <c:pt idx="10">
                  <c:v>2.2177357333333334</c:v>
                </c:pt>
                <c:pt idx="11">
                  <c:v>2.5192000000000001</c:v>
                </c:pt>
                <c:pt idx="12">
                  <c:v>2.8315807999999998</c:v>
                </c:pt>
                <c:pt idx="13">
                  <c:v>3.1582370666666666</c:v>
                </c:pt>
                <c:pt idx="14">
                  <c:v>3.1977045333333334</c:v>
                </c:pt>
                <c:pt idx="15">
                  <c:v>3.4009200000000006</c:v>
                </c:pt>
                <c:pt idx="16">
                  <c:v>3.6083341333333334</c:v>
                </c:pt>
                <c:pt idx="17">
                  <c:v>3.8317032000000002</c:v>
                </c:pt>
                <c:pt idx="18">
                  <c:v>4.037437866666667</c:v>
                </c:pt>
                <c:pt idx="19">
                  <c:v>4.0710271999999996</c:v>
                </c:pt>
                <c:pt idx="20">
                  <c:v>4.0676682666666668</c:v>
                </c:pt>
                <c:pt idx="21">
                  <c:v>4.0911808000000001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DDF-D348-ACAF-5A789E4D86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7550368"/>
        <c:axId val="1542574832"/>
      </c:scatterChart>
      <c:valAx>
        <c:axId val="1157550368"/>
        <c:scaling>
          <c:orientation val="minMax"/>
          <c:max val="45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Time</a:t>
                </a:r>
                <a:r>
                  <a:rPr lang="en-GB" baseline="0"/>
                  <a:t> (h)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42574832"/>
        <c:crosses val="autoZero"/>
        <c:crossBetween val="midCat"/>
        <c:majorUnit val="50"/>
      </c:valAx>
      <c:valAx>
        <c:axId val="154257483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Biomass concentration (g.L</a:t>
                </a:r>
                <a:r>
                  <a:rPr lang="en-GB" baseline="30000"/>
                  <a:t>-1</a:t>
                </a:r>
                <a:r>
                  <a:rPr lang="en-GB"/>
                  <a:t>)</a:t>
                </a:r>
              </a:p>
            </c:rich>
          </c:tx>
          <c:layout>
            <c:manualLayout>
              <c:xMode val="edge"/>
              <c:yMode val="edge"/>
              <c:x val="1.9444444444444445E-2"/>
              <c:y val="0.130046296296296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1575503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'C-phycocyanin CeBER'!$B$2:$AB$2</c:f>
              <c:strCache>
                <c:ptCount val="1"/>
                <c:pt idx="0">
                  <c:v>40 µmol/m^2.s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rgbClr val="E1E8FF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'C-phycocyanin CeBER'!$AF$5:$AF$22</c:f>
                <c:numCache>
                  <c:formatCode>General</c:formatCode>
                  <c:ptCount val="18"/>
                  <c:pt idx="0">
                    <c:v>3.1858858028536945</c:v>
                  </c:pt>
                  <c:pt idx="1">
                    <c:v>1.6408938495978136</c:v>
                  </c:pt>
                  <c:pt idx="2">
                    <c:v>0.89252960842670115</c:v>
                  </c:pt>
                  <c:pt idx="3">
                    <c:v>2.1108123510237973</c:v>
                  </c:pt>
                  <c:pt idx="4">
                    <c:v>3.8888544613844322</c:v>
                  </c:pt>
                  <c:pt idx="5">
                    <c:v>1.4574400260493234</c:v>
                  </c:pt>
                  <c:pt idx="6">
                    <c:v>14.201964084385011</c:v>
                  </c:pt>
                  <c:pt idx="7">
                    <c:v>0.86698119770226922</c:v>
                  </c:pt>
                  <c:pt idx="8">
                    <c:v>2.9989545105084932</c:v>
                  </c:pt>
                  <c:pt idx="9">
                    <c:v>5.6778104886878502</c:v>
                  </c:pt>
                  <c:pt idx="10">
                    <c:v>4.0009546339262414</c:v>
                  </c:pt>
                  <c:pt idx="11">
                    <c:v>6.7306828051058556</c:v>
                  </c:pt>
                  <c:pt idx="12">
                    <c:v>12.659949923418505</c:v>
                  </c:pt>
                  <c:pt idx="13">
                    <c:v>2.5975882649356445</c:v>
                  </c:pt>
                  <c:pt idx="14">
                    <c:v>3.6564385749590813</c:v>
                  </c:pt>
                  <c:pt idx="15">
                    <c:v>8.5594853871841288</c:v>
                  </c:pt>
                  <c:pt idx="16">
                    <c:v>6.79860355996008</c:v>
                  </c:pt>
                </c:numCache>
              </c:numRef>
            </c:plus>
            <c:minus>
              <c:numRef>
                <c:f>'C-phycocyanin CeBER'!$AF$5:$AF$22</c:f>
                <c:numCache>
                  <c:formatCode>General</c:formatCode>
                  <c:ptCount val="18"/>
                  <c:pt idx="0">
                    <c:v>3.1858858028536945</c:v>
                  </c:pt>
                  <c:pt idx="1">
                    <c:v>1.6408938495978136</c:v>
                  </c:pt>
                  <c:pt idx="2">
                    <c:v>0.89252960842670115</c:v>
                  </c:pt>
                  <c:pt idx="3">
                    <c:v>2.1108123510237973</c:v>
                  </c:pt>
                  <c:pt idx="4">
                    <c:v>3.8888544613844322</c:v>
                  </c:pt>
                  <c:pt idx="5">
                    <c:v>1.4574400260493234</c:v>
                  </c:pt>
                  <c:pt idx="6">
                    <c:v>14.201964084385011</c:v>
                  </c:pt>
                  <c:pt idx="7">
                    <c:v>0.86698119770226922</c:v>
                  </c:pt>
                  <c:pt idx="8">
                    <c:v>2.9989545105084932</c:v>
                  </c:pt>
                  <c:pt idx="9">
                    <c:v>5.6778104886878502</c:v>
                  </c:pt>
                  <c:pt idx="10">
                    <c:v>4.0009546339262414</c:v>
                  </c:pt>
                  <c:pt idx="11">
                    <c:v>6.7306828051058556</c:v>
                  </c:pt>
                  <c:pt idx="12">
                    <c:v>12.659949923418505</c:v>
                  </c:pt>
                  <c:pt idx="13">
                    <c:v>2.5975882649356445</c:v>
                  </c:pt>
                  <c:pt idx="14">
                    <c:v>3.6564385749590813</c:v>
                  </c:pt>
                  <c:pt idx="15">
                    <c:v>8.5594853871841288</c:v>
                  </c:pt>
                  <c:pt idx="16">
                    <c:v>6.79860355996008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'C-phycocyanin CeBER'!$AD$5:$AD$22</c:f>
              <c:numCache>
                <c:formatCode>0</c:formatCode>
                <c:ptCount val="18"/>
                <c:pt idx="0">
                  <c:v>0</c:v>
                </c:pt>
                <c:pt idx="1">
                  <c:v>22</c:v>
                </c:pt>
                <c:pt idx="2">
                  <c:v>46.5</c:v>
                </c:pt>
                <c:pt idx="3">
                  <c:v>70.7</c:v>
                </c:pt>
                <c:pt idx="4">
                  <c:v>97.366666666666674</c:v>
                </c:pt>
                <c:pt idx="5">
                  <c:v>121.45000000000002</c:v>
                </c:pt>
                <c:pt idx="6">
                  <c:v>141.85000000000002</c:v>
                </c:pt>
                <c:pt idx="7">
                  <c:v>166.65000000000003</c:v>
                </c:pt>
                <c:pt idx="8">
                  <c:v>190.53333333333336</c:v>
                </c:pt>
                <c:pt idx="9">
                  <c:v>215.20000000000002</c:v>
                </c:pt>
                <c:pt idx="10">
                  <c:v>238.93333333333334</c:v>
                </c:pt>
                <c:pt idx="11">
                  <c:v>264.31666666666666</c:v>
                </c:pt>
                <c:pt idx="12">
                  <c:v>287.41666666666669</c:v>
                </c:pt>
                <c:pt idx="13">
                  <c:v>334.93333333333334</c:v>
                </c:pt>
                <c:pt idx="14">
                  <c:v>358.78333333333336</c:v>
                </c:pt>
                <c:pt idx="15">
                  <c:v>406.8</c:v>
                </c:pt>
                <c:pt idx="16">
                  <c:v>431.53333333333336</c:v>
                </c:pt>
              </c:numCache>
            </c:numRef>
          </c:xVal>
          <c:yVal>
            <c:numRef>
              <c:f>'C-phycocyanin CeBER'!$AE$5:$AE$22</c:f>
              <c:numCache>
                <c:formatCode>0.00</c:formatCode>
                <c:ptCount val="18"/>
                <c:pt idx="0">
                  <c:v>62.490254959091921</c:v>
                </c:pt>
                <c:pt idx="1">
                  <c:v>25.735313721139729</c:v>
                </c:pt>
                <c:pt idx="2">
                  <c:v>18.845190860995888</c:v>
                </c:pt>
                <c:pt idx="3">
                  <c:v>28.759327340475</c:v>
                </c:pt>
                <c:pt idx="4">
                  <c:v>53.266672350159759</c:v>
                </c:pt>
                <c:pt idx="5">
                  <c:v>56.517813942902023</c:v>
                </c:pt>
                <c:pt idx="6">
                  <c:v>59.788918892233916</c:v>
                </c:pt>
                <c:pt idx="7">
                  <c:v>43.170193296727255</c:v>
                </c:pt>
                <c:pt idx="8">
                  <c:v>46.405969866813827</c:v>
                </c:pt>
                <c:pt idx="9">
                  <c:v>43.204515305472562</c:v>
                </c:pt>
                <c:pt idx="10">
                  <c:v>51.697861026397788</c:v>
                </c:pt>
                <c:pt idx="11">
                  <c:v>56.051520695302436</c:v>
                </c:pt>
                <c:pt idx="12">
                  <c:v>57.308337255707436</c:v>
                </c:pt>
                <c:pt idx="13">
                  <c:v>59.521541606800383</c:v>
                </c:pt>
                <c:pt idx="14">
                  <c:v>56.760955057836917</c:v>
                </c:pt>
                <c:pt idx="15">
                  <c:v>62.516835293785249</c:v>
                </c:pt>
                <c:pt idx="16">
                  <c:v>64.707965241319485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A2F-AD4F-86C3-E5AF1C34EF00}"/>
            </c:ext>
          </c:extLst>
        </c:ser>
        <c:ser>
          <c:idx val="1"/>
          <c:order val="1"/>
          <c:tx>
            <c:strRef>
              <c:f>'C-phycocyanin CeBER'!$B$56:$AB$56</c:f>
              <c:strCache>
                <c:ptCount val="1"/>
                <c:pt idx="0">
                  <c:v>60 µmol/m^2.s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'C-phycocyanin CeBER'!$AF$58:$AF$74</c:f>
                <c:numCache>
                  <c:formatCode>General</c:formatCode>
                  <c:ptCount val="17"/>
                  <c:pt idx="0">
                    <c:v>1.7870714696504817</c:v>
                  </c:pt>
                  <c:pt idx="1">
                    <c:v>1.6582225386907412</c:v>
                  </c:pt>
                  <c:pt idx="2">
                    <c:v>2.2073591900311476</c:v>
                  </c:pt>
                  <c:pt idx="3">
                    <c:v>1.1229467165529847</c:v>
                  </c:pt>
                  <c:pt idx="4">
                    <c:v>4.3624922982957663</c:v>
                  </c:pt>
                  <c:pt idx="5">
                    <c:v>4.4127373299966521</c:v>
                  </c:pt>
                  <c:pt idx="6">
                    <c:v>0.29221001662380441</c:v>
                  </c:pt>
                  <c:pt idx="7">
                    <c:v>2.4000783661447387</c:v>
                  </c:pt>
                  <c:pt idx="8">
                    <c:v>3.729682335920657</c:v>
                  </c:pt>
                  <c:pt idx="9">
                    <c:v>2.9289968393574544</c:v>
                  </c:pt>
                  <c:pt idx="10">
                    <c:v>3.6061070111376892</c:v>
                  </c:pt>
                  <c:pt idx="11">
                    <c:v>4.3738224571774005</c:v>
                  </c:pt>
                  <c:pt idx="12">
                    <c:v>2.5284176293192848</c:v>
                  </c:pt>
                  <c:pt idx="13">
                    <c:v>5.5210103818790186</c:v>
                  </c:pt>
                  <c:pt idx="14">
                    <c:v>1.4387693847699718</c:v>
                  </c:pt>
                  <c:pt idx="15">
                    <c:v>3.5834162545967199</c:v>
                  </c:pt>
                  <c:pt idx="16">
                    <c:v>10.705134296067323</c:v>
                  </c:pt>
                </c:numCache>
              </c:numRef>
            </c:plus>
            <c:minus>
              <c:numRef>
                <c:f>'C-phycocyanin CeBER'!$AF$58:$AF$74</c:f>
                <c:numCache>
                  <c:formatCode>General</c:formatCode>
                  <c:ptCount val="17"/>
                  <c:pt idx="0">
                    <c:v>1.7870714696504817</c:v>
                  </c:pt>
                  <c:pt idx="1">
                    <c:v>1.6582225386907412</c:v>
                  </c:pt>
                  <c:pt idx="2">
                    <c:v>2.2073591900311476</c:v>
                  </c:pt>
                  <c:pt idx="3">
                    <c:v>1.1229467165529847</c:v>
                  </c:pt>
                  <c:pt idx="4">
                    <c:v>4.3624922982957663</c:v>
                  </c:pt>
                  <c:pt idx="5">
                    <c:v>4.4127373299966521</c:v>
                  </c:pt>
                  <c:pt idx="6">
                    <c:v>0.29221001662380441</c:v>
                  </c:pt>
                  <c:pt idx="7">
                    <c:v>2.4000783661447387</c:v>
                  </c:pt>
                  <c:pt idx="8">
                    <c:v>3.729682335920657</c:v>
                  </c:pt>
                  <c:pt idx="9">
                    <c:v>2.9289968393574544</c:v>
                  </c:pt>
                  <c:pt idx="10">
                    <c:v>3.6061070111376892</c:v>
                  </c:pt>
                  <c:pt idx="11">
                    <c:v>4.3738224571774005</c:v>
                  </c:pt>
                  <c:pt idx="12">
                    <c:v>2.5284176293192848</c:v>
                  </c:pt>
                  <c:pt idx="13">
                    <c:v>5.5210103818790186</c:v>
                  </c:pt>
                  <c:pt idx="14">
                    <c:v>1.4387693847699718</c:v>
                  </c:pt>
                  <c:pt idx="15">
                    <c:v>3.5834162545967199</c:v>
                  </c:pt>
                  <c:pt idx="16">
                    <c:v>10.705134296067323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'C-phycocyanin CeBER'!$AD$58:$AD$74</c:f>
              <c:numCache>
                <c:formatCode>0</c:formatCode>
                <c:ptCount val="17"/>
                <c:pt idx="0">
                  <c:v>0</c:v>
                </c:pt>
                <c:pt idx="1">
                  <c:v>21.25</c:v>
                </c:pt>
                <c:pt idx="2">
                  <c:v>45.733333333333334</c:v>
                </c:pt>
                <c:pt idx="3">
                  <c:v>70.05</c:v>
                </c:pt>
                <c:pt idx="4">
                  <c:v>96.6</c:v>
                </c:pt>
                <c:pt idx="5">
                  <c:v>120.69999999999999</c:v>
                </c:pt>
                <c:pt idx="6">
                  <c:v>141.13333333333333</c:v>
                </c:pt>
                <c:pt idx="7">
                  <c:v>165.91666666666666</c:v>
                </c:pt>
                <c:pt idx="8">
                  <c:v>189.79999999999998</c:v>
                </c:pt>
                <c:pt idx="9">
                  <c:v>214.49999999999997</c:v>
                </c:pt>
                <c:pt idx="10">
                  <c:v>238.64999999999998</c:v>
                </c:pt>
                <c:pt idx="11">
                  <c:v>263.48333333333329</c:v>
                </c:pt>
                <c:pt idx="12">
                  <c:v>286.68333333333328</c:v>
                </c:pt>
                <c:pt idx="13">
                  <c:v>334.21666666666658</c:v>
                </c:pt>
                <c:pt idx="14">
                  <c:v>358.08333333333326</c:v>
                </c:pt>
                <c:pt idx="15">
                  <c:v>406.13333333333327</c:v>
                </c:pt>
                <c:pt idx="16">
                  <c:v>430.93333333333328</c:v>
                </c:pt>
              </c:numCache>
            </c:numRef>
          </c:xVal>
          <c:yVal>
            <c:numRef>
              <c:f>'C-phycocyanin CeBER'!$AE$58:$AE$74</c:f>
              <c:numCache>
                <c:formatCode>0.00</c:formatCode>
                <c:ptCount val="17"/>
                <c:pt idx="0">
                  <c:v>49.724104539037789</c:v>
                </c:pt>
                <c:pt idx="1">
                  <c:v>26.146700296171019</c:v>
                </c:pt>
                <c:pt idx="2">
                  <c:v>23.474696698901298</c:v>
                </c:pt>
                <c:pt idx="3">
                  <c:v>45.219636624438927</c:v>
                </c:pt>
                <c:pt idx="4">
                  <c:v>58.530258942108439</c:v>
                </c:pt>
                <c:pt idx="5">
                  <c:v>55.226444767459576</c:v>
                </c:pt>
                <c:pt idx="6">
                  <c:v>53.03895263991533</c:v>
                </c:pt>
                <c:pt idx="7">
                  <c:v>44.811307397102873</c:v>
                </c:pt>
                <c:pt idx="8">
                  <c:v>42.974702431473453</c:v>
                </c:pt>
                <c:pt idx="9">
                  <c:v>44.51065305735532</c:v>
                </c:pt>
                <c:pt idx="10">
                  <c:v>47.220812116638349</c:v>
                </c:pt>
                <c:pt idx="11">
                  <c:v>43.690364403597897</c:v>
                </c:pt>
                <c:pt idx="12">
                  <c:v>44.04297487625783</c:v>
                </c:pt>
                <c:pt idx="13">
                  <c:v>46.433869497996234</c:v>
                </c:pt>
                <c:pt idx="14">
                  <c:v>57.527133149964008</c:v>
                </c:pt>
                <c:pt idx="15">
                  <c:v>52.504262124582475</c:v>
                </c:pt>
                <c:pt idx="16">
                  <c:v>54.279376497751457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A2F-AD4F-86C3-E5AF1C34EF00}"/>
            </c:ext>
          </c:extLst>
        </c:ser>
        <c:ser>
          <c:idx val="2"/>
          <c:order val="2"/>
          <c:tx>
            <c:strRef>
              <c:f>'C-phycocyanin CeBER'!$B$110:$AB$110</c:f>
              <c:strCache>
                <c:ptCount val="1"/>
                <c:pt idx="0">
                  <c:v>80 µmol/m^2.s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rgbClr val="002060"/>
              </a:solidFill>
              <a:ln w="9525">
                <a:solidFill>
                  <a:srgbClr val="00206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'C-phycocyanin CeBER'!$AF$112:$AF$128</c:f>
                <c:numCache>
                  <c:formatCode>General</c:formatCode>
                  <c:ptCount val="17"/>
                  <c:pt idx="0">
                    <c:v>1.9818188651782531</c:v>
                  </c:pt>
                  <c:pt idx="1">
                    <c:v>1.5896229398819282</c:v>
                  </c:pt>
                  <c:pt idx="2">
                    <c:v>1.5210671519658496</c:v>
                  </c:pt>
                  <c:pt idx="3">
                    <c:v>2.0295783673225145</c:v>
                  </c:pt>
                  <c:pt idx="4">
                    <c:v>3.9554583184249763</c:v>
                  </c:pt>
                  <c:pt idx="5">
                    <c:v>2.0177240923881055</c:v>
                  </c:pt>
                  <c:pt idx="6">
                    <c:v>2.7693846187950668</c:v>
                  </c:pt>
                  <c:pt idx="7">
                    <c:v>0.98216849569104381</c:v>
                  </c:pt>
                  <c:pt idx="8">
                    <c:v>2.2153148249422205</c:v>
                  </c:pt>
                  <c:pt idx="9">
                    <c:v>3.7298697355695349</c:v>
                  </c:pt>
                  <c:pt idx="10">
                    <c:v>6.9045218581600878</c:v>
                  </c:pt>
                  <c:pt idx="11">
                    <c:v>4.1572456897322398</c:v>
                  </c:pt>
                  <c:pt idx="12">
                    <c:v>4.3572215734814606</c:v>
                  </c:pt>
                  <c:pt idx="13">
                    <c:v>3.0762768255618429</c:v>
                  </c:pt>
                  <c:pt idx="14">
                    <c:v>3.358791277507108</c:v>
                  </c:pt>
                  <c:pt idx="15">
                    <c:v>8.7595423493305464</c:v>
                  </c:pt>
                  <c:pt idx="16">
                    <c:v>6.1636090790039484</c:v>
                  </c:pt>
                </c:numCache>
              </c:numRef>
            </c:plus>
            <c:minus>
              <c:numRef>
                <c:f>'C-phycocyanin CeBER'!$AF$112:$AF$128</c:f>
                <c:numCache>
                  <c:formatCode>General</c:formatCode>
                  <c:ptCount val="17"/>
                  <c:pt idx="0">
                    <c:v>1.9818188651782531</c:v>
                  </c:pt>
                  <c:pt idx="1">
                    <c:v>1.5896229398819282</c:v>
                  </c:pt>
                  <c:pt idx="2">
                    <c:v>1.5210671519658496</c:v>
                  </c:pt>
                  <c:pt idx="3">
                    <c:v>2.0295783673225145</c:v>
                  </c:pt>
                  <c:pt idx="4">
                    <c:v>3.9554583184249763</c:v>
                  </c:pt>
                  <c:pt idx="5">
                    <c:v>2.0177240923881055</c:v>
                  </c:pt>
                  <c:pt idx="6">
                    <c:v>2.7693846187950668</c:v>
                  </c:pt>
                  <c:pt idx="7">
                    <c:v>0.98216849569104381</c:v>
                  </c:pt>
                  <c:pt idx="8">
                    <c:v>2.2153148249422205</c:v>
                  </c:pt>
                  <c:pt idx="9">
                    <c:v>3.7298697355695349</c:v>
                  </c:pt>
                  <c:pt idx="10">
                    <c:v>6.9045218581600878</c:v>
                  </c:pt>
                  <c:pt idx="11">
                    <c:v>4.1572456897322398</c:v>
                  </c:pt>
                  <c:pt idx="12">
                    <c:v>4.3572215734814606</c:v>
                  </c:pt>
                  <c:pt idx="13">
                    <c:v>3.0762768255618429</c:v>
                  </c:pt>
                  <c:pt idx="14">
                    <c:v>3.358791277507108</c:v>
                  </c:pt>
                  <c:pt idx="15">
                    <c:v>8.7595423493305464</c:v>
                  </c:pt>
                  <c:pt idx="16">
                    <c:v>6.1636090790039484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'C-phycocyanin CeBER'!$AD$112:$AD$128</c:f>
              <c:numCache>
                <c:formatCode>0</c:formatCode>
                <c:ptCount val="17"/>
                <c:pt idx="0">
                  <c:v>0</c:v>
                </c:pt>
                <c:pt idx="1">
                  <c:v>20.5</c:v>
                </c:pt>
                <c:pt idx="2">
                  <c:v>45</c:v>
                </c:pt>
                <c:pt idx="3">
                  <c:v>69.283333333333331</c:v>
                </c:pt>
                <c:pt idx="4">
                  <c:v>95.883333333333326</c:v>
                </c:pt>
                <c:pt idx="5">
                  <c:v>120</c:v>
                </c:pt>
                <c:pt idx="6">
                  <c:v>140.46666666666667</c:v>
                </c:pt>
                <c:pt idx="7">
                  <c:v>165.28333333333333</c:v>
                </c:pt>
                <c:pt idx="8">
                  <c:v>189.13333333333333</c:v>
                </c:pt>
                <c:pt idx="9">
                  <c:v>213.83333333333331</c:v>
                </c:pt>
                <c:pt idx="10">
                  <c:v>237.7</c:v>
                </c:pt>
                <c:pt idx="11">
                  <c:v>262.66666666666663</c:v>
                </c:pt>
                <c:pt idx="12">
                  <c:v>285.99999999999994</c:v>
                </c:pt>
                <c:pt idx="13">
                  <c:v>333.49999999999994</c:v>
                </c:pt>
                <c:pt idx="14">
                  <c:v>357.39999999999992</c:v>
                </c:pt>
                <c:pt idx="15">
                  <c:v>405.49999999999994</c:v>
                </c:pt>
                <c:pt idx="16">
                  <c:v>430.26666666666659</c:v>
                </c:pt>
              </c:numCache>
            </c:numRef>
          </c:xVal>
          <c:yVal>
            <c:numRef>
              <c:f>'C-phycocyanin CeBER'!$AE$112:$AE$128</c:f>
              <c:numCache>
                <c:formatCode>0.00</c:formatCode>
                <c:ptCount val="17"/>
                <c:pt idx="0">
                  <c:v>42.420970077618279</c:v>
                </c:pt>
                <c:pt idx="1">
                  <c:v>23.927236202090882</c:v>
                </c:pt>
                <c:pt idx="2">
                  <c:v>16.728833192711459</c:v>
                </c:pt>
                <c:pt idx="3">
                  <c:v>27.312828801935538</c:v>
                </c:pt>
                <c:pt idx="4">
                  <c:v>37.885960466128402</c:v>
                </c:pt>
                <c:pt idx="5">
                  <c:v>53.818199112193895</c:v>
                </c:pt>
                <c:pt idx="6">
                  <c:v>51.864304928312528</c:v>
                </c:pt>
                <c:pt idx="7">
                  <c:v>39.428272186579449</c:v>
                </c:pt>
                <c:pt idx="8">
                  <c:v>46.220028087392734</c:v>
                </c:pt>
                <c:pt idx="9">
                  <c:v>50.930365268308663</c:v>
                </c:pt>
                <c:pt idx="10">
                  <c:v>47.420490457378357</c:v>
                </c:pt>
                <c:pt idx="11">
                  <c:v>40.837787107742336</c:v>
                </c:pt>
                <c:pt idx="12">
                  <c:v>51.982583260816888</c:v>
                </c:pt>
                <c:pt idx="13">
                  <c:v>52.545575694137248</c:v>
                </c:pt>
                <c:pt idx="14">
                  <c:v>47.587820194978839</c:v>
                </c:pt>
                <c:pt idx="15">
                  <c:v>50.771239468661044</c:v>
                </c:pt>
                <c:pt idx="16">
                  <c:v>43.391949655121458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A2F-AD4F-86C3-E5AF1C34EF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8529088"/>
        <c:axId val="678536160"/>
      </c:scatterChart>
      <c:valAx>
        <c:axId val="678529088"/>
        <c:scaling>
          <c:orientation val="minMax"/>
          <c:max val="4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Time</a:t>
                </a:r>
                <a:r>
                  <a:rPr lang="en-ZA" baseline="0"/>
                  <a:t> (h)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78536160"/>
        <c:crosses val="autoZero"/>
        <c:crossBetween val="midCat"/>
      </c:valAx>
      <c:valAx>
        <c:axId val="678536160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Specific</a:t>
                </a:r>
                <a:r>
                  <a:rPr lang="en-ZA" baseline="0"/>
                  <a:t> c-phycocyanin concentration</a:t>
                </a:r>
                <a:r>
                  <a:rPr lang="en-ZA"/>
                  <a:t> (mg PC.(g biomass)</a:t>
                </a:r>
                <a:r>
                  <a:rPr lang="en-ZA" baseline="30000"/>
                  <a:t>-1</a:t>
                </a:r>
                <a:r>
                  <a:rPr lang="en-ZA"/>
                  <a:t>)</a:t>
                </a:r>
              </a:p>
            </c:rich>
          </c:tx>
          <c:layout>
            <c:manualLayout>
              <c:xMode val="edge"/>
              <c:yMode val="edge"/>
              <c:x val="1.9087719720131947E-2"/>
              <c:y val="7.1983667775839796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785290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'C-phycocyanin CeBER'!$B$2:$AB$2</c:f>
              <c:strCache>
                <c:ptCount val="1"/>
                <c:pt idx="0">
                  <c:v>40 µmol/m^2.s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rgbClr val="E1E8FF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'C-phycocyanin CeBER'!$AH$5:$AH$21</c:f>
                <c:numCache>
                  <c:formatCode>General</c:formatCode>
                  <c:ptCount val="17"/>
                  <c:pt idx="0">
                    <c:v>0.47447005707477174</c:v>
                  </c:pt>
                  <c:pt idx="1">
                    <c:v>0.18359003521390591</c:v>
                  </c:pt>
                  <c:pt idx="2">
                    <c:v>0.74648981115309998</c:v>
                  </c:pt>
                  <c:pt idx="3">
                    <c:v>1.9611093050312669</c:v>
                  </c:pt>
                  <c:pt idx="4">
                    <c:v>4.8565249747066597</c:v>
                  </c:pt>
                  <c:pt idx="5">
                    <c:v>3.0358564052387065</c:v>
                  </c:pt>
                  <c:pt idx="6">
                    <c:v>20.586788508686826</c:v>
                  </c:pt>
                  <c:pt idx="7">
                    <c:v>0.79572456514079426</c:v>
                  </c:pt>
                  <c:pt idx="8">
                    <c:v>5.341029669882368</c:v>
                  </c:pt>
                  <c:pt idx="9">
                    <c:v>15.596322656623874</c:v>
                  </c:pt>
                  <c:pt idx="10">
                    <c:v>15.066973191303507</c:v>
                  </c:pt>
                  <c:pt idx="11">
                    <c:v>18.255101738277453</c:v>
                  </c:pt>
                  <c:pt idx="12">
                    <c:v>49.808061519931996</c:v>
                  </c:pt>
                  <c:pt idx="13">
                    <c:v>1.9587919140495116</c:v>
                  </c:pt>
                  <c:pt idx="14">
                    <c:v>13.831434535185641</c:v>
                  </c:pt>
                  <c:pt idx="15">
                    <c:v>35.429500078127013</c:v>
                  </c:pt>
                  <c:pt idx="16">
                    <c:v>39.371701321979963</c:v>
                  </c:pt>
                </c:numCache>
              </c:numRef>
            </c:plus>
            <c:minus>
              <c:numRef>
                <c:f>'C-phycocyanin CeBER'!$AH$5:$AH$21</c:f>
                <c:numCache>
                  <c:formatCode>General</c:formatCode>
                  <c:ptCount val="17"/>
                  <c:pt idx="0">
                    <c:v>0.47447005707477174</c:v>
                  </c:pt>
                  <c:pt idx="1">
                    <c:v>0.18359003521390591</c:v>
                  </c:pt>
                  <c:pt idx="2">
                    <c:v>0.74648981115309998</c:v>
                  </c:pt>
                  <c:pt idx="3">
                    <c:v>1.9611093050312669</c:v>
                  </c:pt>
                  <c:pt idx="4">
                    <c:v>4.8565249747066597</c:v>
                  </c:pt>
                  <c:pt idx="5">
                    <c:v>3.0358564052387065</c:v>
                  </c:pt>
                  <c:pt idx="6">
                    <c:v>20.586788508686826</c:v>
                  </c:pt>
                  <c:pt idx="7">
                    <c:v>0.79572456514079426</c:v>
                  </c:pt>
                  <c:pt idx="8">
                    <c:v>5.341029669882368</c:v>
                  </c:pt>
                  <c:pt idx="9">
                    <c:v>15.596322656623874</c:v>
                  </c:pt>
                  <c:pt idx="10">
                    <c:v>15.066973191303507</c:v>
                  </c:pt>
                  <c:pt idx="11">
                    <c:v>18.255101738277453</c:v>
                  </c:pt>
                  <c:pt idx="12">
                    <c:v>49.808061519931996</c:v>
                  </c:pt>
                  <c:pt idx="13">
                    <c:v>1.9587919140495116</c:v>
                  </c:pt>
                  <c:pt idx="14">
                    <c:v>13.831434535185641</c:v>
                  </c:pt>
                  <c:pt idx="15">
                    <c:v>35.429500078127013</c:v>
                  </c:pt>
                  <c:pt idx="16">
                    <c:v>39.371701321979963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'C-phycocyanin CeBER'!$AD$5:$AD$21</c:f>
              <c:numCache>
                <c:formatCode>0</c:formatCode>
                <c:ptCount val="17"/>
                <c:pt idx="0">
                  <c:v>0</c:v>
                </c:pt>
                <c:pt idx="1">
                  <c:v>22</c:v>
                </c:pt>
                <c:pt idx="2">
                  <c:v>46.5</c:v>
                </c:pt>
                <c:pt idx="3">
                  <c:v>70.7</c:v>
                </c:pt>
                <c:pt idx="4">
                  <c:v>97.366666666666674</c:v>
                </c:pt>
                <c:pt idx="5">
                  <c:v>121.45000000000002</c:v>
                </c:pt>
                <c:pt idx="6">
                  <c:v>141.85000000000002</c:v>
                </c:pt>
                <c:pt idx="7">
                  <c:v>166.65000000000003</c:v>
                </c:pt>
                <c:pt idx="8">
                  <c:v>190.53333333333336</c:v>
                </c:pt>
                <c:pt idx="9">
                  <c:v>215.20000000000002</c:v>
                </c:pt>
                <c:pt idx="10">
                  <c:v>238.93333333333334</c:v>
                </c:pt>
                <c:pt idx="11">
                  <c:v>264.31666666666666</c:v>
                </c:pt>
                <c:pt idx="12">
                  <c:v>287.41666666666669</c:v>
                </c:pt>
                <c:pt idx="13">
                  <c:v>334.93333333333334</c:v>
                </c:pt>
                <c:pt idx="14">
                  <c:v>358.78333333333336</c:v>
                </c:pt>
                <c:pt idx="15">
                  <c:v>406.8</c:v>
                </c:pt>
                <c:pt idx="16">
                  <c:v>431.53333333333336</c:v>
                </c:pt>
              </c:numCache>
            </c:numRef>
          </c:xVal>
          <c:yVal>
            <c:numRef>
              <c:f>'C-phycocyanin CeBER'!$AG$5:$AG$21</c:f>
              <c:numCache>
                <c:formatCode>0.00</c:formatCode>
                <c:ptCount val="17"/>
                <c:pt idx="0">
                  <c:v>8.151917882225824</c:v>
                </c:pt>
                <c:pt idx="1">
                  <c:v>6.0777552674230142</c:v>
                </c:pt>
                <c:pt idx="2">
                  <c:v>8.5078133441383041</c:v>
                </c:pt>
                <c:pt idx="3">
                  <c:v>20.407939016747704</c:v>
                </c:pt>
                <c:pt idx="4">
                  <c:v>52.291562236628856</c:v>
                </c:pt>
                <c:pt idx="5">
                  <c:v>75.311697190707733</c:v>
                </c:pt>
                <c:pt idx="6">
                  <c:v>93.306276877363572</c:v>
                </c:pt>
                <c:pt idx="7">
                  <c:v>79.765207995678011</c:v>
                </c:pt>
                <c:pt idx="8">
                  <c:v>107.42052944354403</c:v>
                </c:pt>
                <c:pt idx="9">
                  <c:v>107.30544300378172</c:v>
                </c:pt>
                <c:pt idx="10">
                  <c:v>156.60867999279674</c:v>
                </c:pt>
                <c:pt idx="11">
                  <c:v>178.46663965424094</c:v>
                </c:pt>
                <c:pt idx="12">
                  <c:v>200.95029713668285</c:v>
                </c:pt>
                <c:pt idx="13">
                  <c:v>217.0095894111291</c:v>
                </c:pt>
                <c:pt idx="14">
                  <c:v>250.5213398163155</c:v>
                </c:pt>
                <c:pt idx="15">
                  <c:v>287.26863857374389</c:v>
                </c:pt>
                <c:pt idx="16">
                  <c:v>300.0698271204754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65C-824B-9997-41D5994252F3}"/>
            </c:ext>
          </c:extLst>
        </c:ser>
        <c:ser>
          <c:idx val="1"/>
          <c:order val="1"/>
          <c:tx>
            <c:strRef>
              <c:f>'C-phycocyanin CeBER'!$B$56:$AB$56</c:f>
              <c:strCache>
                <c:ptCount val="1"/>
                <c:pt idx="0">
                  <c:v>60 µmol/m^2.s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'C-phycocyanin CeBER'!$AH$58:$AH$74</c:f>
                <c:numCache>
                  <c:formatCode>General</c:formatCode>
                  <c:ptCount val="17"/>
                  <c:pt idx="0">
                    <c:v>0.17324221605827209</c:v>
                  </c:pt>
                  <c:pt idx="1">
                    <c:v>0.54159784135366995</c:v>
                  </c:pt>
                  <c:pt idx="2">
                    <c:v>0.7719905889920079</c:v>
                  </c:pt>
                  <c:pt idx="3">
                    <c:v>1.3327412034601087</c:v>
                  </c:pt>
                  <c:pt idx="4">
                    <c:v>4.5324488144609942</c:v>
                  </c:pt>
                  <c:pt idx="5">
                    <c:v>8.4096932184499043</c:v>
                  </c:pt>
                  <c:pt idx="6">
                    <c:v>2.6058623352570374</c:v>
                  </c:pt>
                  <c:pt idx="7">
                    <c:v>3.9131024107228582</c:v>
                  </c:pt>
                  <c:pt idx="8">
                    <c:v>6.9506719318056041</c:v>
                  </c:pt>
                  <c:pt idx="9">
                    <c:v>2.1600967534950946</c:v>
                  </c:pt>
                  <c:pt idx="10">
                    <c:v>9.614774563268897</c:v>
                  </c:pt>
                  <c:pt idx="11">
                    <c:v>8.5312176721494275</c:v>
                  </c:pt>
                  <c:pt idx="12">
                    <c:v>6.3789937739806337</c:v>
                  </c:pt>
                  <c:pt idx="13">
                    <c:v>21.174438195694037</c:v>
                  </c:pt>
                  <c:pt idx="14">
                    <c:v>9.3174943497623808</c:v>
                  </c:pt>
                  <c:pt idx="15">
                    <c:v>9.2651577464666577</c:v>
                  </c:pt>
                  <c:pt idx="16">
                    <c:v>37.711948173460755</c:v>
                  </c:pt>
                </c:numCache>
              </c:numRef>
            </c:plus>
            <c:minus>
              <c:numRef>
                <c:f>'C-phycocyanin CeBER'!$AH$58:$AH$74</c:f>
                <c:numCache>
                  <c:formatCode>General</c:formatCode>
                  <c:ptCount val="17"/>
                  <c:pt idx="0">
                    <c:v>0.17324221605827209</c:v>
                  </c:pt>
                  <c:pt idx="1">
                    <c:v>0.54159784135366995</c:v>
                  </c:pt>
                  <c:pt idx="2">
                    <c:v>0.7719905889920079</c:v>
                  </c:pt>
                  <c:pt idx="3">
                    <c:v>1.3327412034601087</c:v>
                  </c:pt>
                  <c:pt idx="4">
                    <c:v>4.5324488144609942</c:v>
                  </c:pt>
                  <c:pt idx="5">
                    <c:v>8.4096932184499043</c:v>
                  </c:pt>
                  <c:pt idx="6">
                    <c:v>2.6058623352570374</c:v>
                  </c:pt>
                  <c:pt idx="7">
                    <c:v>3.9131024107228582</c:v>
                  </c:pt>
                  <c:pt idx="8">
                    <c:v>6.9506719318056041</c:v>
                  </c:pt>
                  <c:pt idx="9">
                    <c:v>2.1600967534950946</c:v>
                  </c:pt>
                  <c:pt idx="10">
                    <c:v>9.614774563268897</c:v>
                  </c:pt>
                  <c:pt idx="11">
                    <c:v>8.5312176721494275</c:v>
                  </c:pt>
                  <c:pt idx="12">
                    <c:v>6.3789937739806337</c:v>
                  </c:pt>
                  <c:pt idx="13">
                    <c:v>21.174438195694037</c:v>
                  </c:pt>
                  <c:pt idx="14">
                    <c:v>9.3174943497623808</c:v>
                  </c:pt>
                  <c:pt idx="15">
                    <c:v>9.2651577464666577</c:v>
                  </c:pt>
                  <c:pt idx="16">
                    <c:v>37.711948173460755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'C-phycocyanin CeBER'!$AD$58:$AD$74</c:f>
              <c:numCache>
                <c:formatCode>0</c:formatCode>
                <c:ptCount val="17"/>
                <c:pt idx="0">
                  <c:v>0</c:v>
                </c:pt>
                <c:pt idx="1">
                  <c:v>21.25</c:v>
                </c:pt>
                <c:pt idx="2">
                  <c:v>45.733333333333334</c:v>
                </c:pt>
                <c:pt idx="3">
                  <c:v>70.05</c:v>
                </c:pt>
                <c:pt idx="4">
                  <c:v>96.6</c:v>
                </c:pt>
                <c:pt idx="5">
                  <c:v>120.69999999999999</c:v>
                </c:pt>
                <c:pt idx="6">
                  <c:v>141.13333333333333</c:v>
                </c:pt>
                <c:pt idx="7">
                  <c:v>165.91666666666666</c:v>
                </c:pt>
                <c:pt idx="8">
                  <c:v>189.79999999999998</c:v>
                </c:pt>
                <c:pt idx="9">
                  <c:v>214.49999999999997</c:v>
                </c:pt>
                <c:pt idx="10">
                  <c:v>238.64999999999998</c:v>
                </c:pt>
                <c:pt idx="11">
                  <c:v>263.48333333333329</c:v>
                </c:pt>
                <c:pt idx="12">
                  <c:v>286.68333333333328</c:v>
                </c:pt>
                <c:pt idx="13">
                  <c:v>334.21666666666658</c:v>
                </c:pt>
                <c:pt idx="14">
                  <c:v>358.08333333333326</c:v>
                </c:pt>
                <c:pt idx="15">
                  <c:v>406.13333333333327</c:v>
                </c:pt>
                <c:pt idx="16">
                  <c:v>430.93333333333328</c:v>
                </c:pt>
              </c:numCache>
            </c:numRef>
          </c:xVal>
          <c:yVal>
            <c:numRef>
              <c:f>'C-phycocyanin CeBER'!$AG$58:$AG$74</c:f>
              <c:numCache>
                <c:formatCode>0.00</c:formatCode>
                <c:ptCount val="17"/>
                <c:pt idx="0">
                  <c:v>6.3842247433819557</c:v>
                </c:pt>
                <c:pt idx="1">
                  <c:v>6.839066720691517</c:v>
                </c:pt>
                <c:pt idx="2">
                  <c:v>9.9478997839005938</c:v>
                </c:pt>
                <c:pt idx="3">
                  <c:v>28.883071757608505</c:v>
                </c:pt>
                <c:pt idx="4">
                  <c:v>54.3937062938952</c:v>
                </c:pt>
                <c:pt idx="5">
                  <c:v>67.195845229605609</c:v>
                </c:pt>
                <c:pt idx="6">
                  <c:v>73.442939600216093</c:v>
                </c:pt>
                <c:pt idx="7">
                  <c:v>73.707833603457587</c:v>
                </c:pt>
                <c:pt idx="8">
                  <c:v>85.376661264181507</c:v>
                </c:pt>
                <c:pt idx="9">
                  <c:v>103.81962452728254</c:v>
                </c:pt>
                <c:pt idx="10">
                  <c:v>122.86880965244013</c:v>
                </c:pt>
                <c:pt idx="11">
                  <c:v>128.23838465694217</c:v>
                </c:pt>
                <c:pt idx="12">
                  <c:v>135.47069151809831</c:v>
                </c:pt>
                <c:pt idx="13">
                  <c:v>155.51769313884384</c:v>
                </c:pt>
                <c:pt idx="14">
                  <c:v>194.00067531064289</c:v>
                </c:pt>
                <c:pt idx="15">
                  <c:v>178.35143165856292</c:v>
                </c:pt>
                <c:pt idx="16">
                  <c:v>186.11304700162074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65C-824B-9997-41D5994252F3}"/>
            </c:ext>
          </c:extLst>
        </c:ser>
        <c:ser>
          <c:idx val="2"/>
          <c:order val="2"/>
          <c:tx>
            <c:strRef>
              <c:f>'C-phycocyanin CeBER'!$B$110:$AB$110</c:f>
              <c:strCache>
                <c:ptCount val="1"/>
                <c:pt idx="0">
                  <c:v>80 µmol/m^2.s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rgbClr val="002060"/>
              </a:solidFill>
              <a:ln w="9525">
                <a:solidFill>
                  <a:srgbClr val="00206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'C-phycocyanin CeBER'!$AH$112:$AH$128</c:f>
                <c:numCache>
                  <c:formatCode>General</c:formatCode>
                  <c:ptCount val="17"/>
                  <c:pt idx="0">
                    <c:v>0.22471338869439433</c:v>
                  </c:pt>
                  <c:pt idx="1">
                    <c:v>0.36856544006307285</c:v>
                  </c:pt>
                  <c:pt idx="2">
                    <c:v>0.74542415538317208</c:v>
                  </c:pt>
                  <c:pt idx="3">
                    <c:v>1.2962671456923662</c:v>
                  </c:pt>
                  <c:pt idx="4">
                    <c:v>5.133399963699012</c:v>
                  </c:pt>
                  <c:pt idx="5">
                    <c:v>4.7114117188973381</c:v>
                  </c:pt>
                  <c:pt idx="6">
                    <c:v>3.0719629120753478</c:v>
                  </c:pt>
                  <c:pt idx="7">
                    <c:v>1.0877913817008829</c:v>
                  </c:pt>
                  <c:pt idx="8">
                    <c:v>2.9380026348296875</c:v>
                  </c:pt>
                  <c:pt idx="9">
                    <c:v>8.9235310373149073</c:v>
                  </c:pt>
                  <c:pt idx="10">
                    <c:v>21.697039644221899</c:v>
                  </c:pt>
                  <c:pt idx="11">
                    <c:v>13.423195094378412</c:v>
                  </c:pt>
                  <c:pt idx="12">
                    <c:v>19.25709790077569</c:v>
                  </c:pt>
                  <c:pt idx="13">
                    <c:v>18.819961891820519</c:v>
                  </c:pt>
                  <c:pt idx="14">
                    <c:v>18.951337195210886</c:v>
                  </c:pt>
                  <c:pt idx="15">
                    <c:v>44.987602713310928</c:v>
                  </c:pt>
                  <c:pt idx="16">
                    <c:v>34.190310725486157</c:v>
                  </c:pt>
                </c:numCache>
              </c:numRef>
            </c:plus>
            <c:minus>
              <c:numRef>
                <c:f>'C-phycocyanin CeBER'!$AH$112:$AH$128</c:f>
                <c:numCache>
                  <c:formatCode>General</c:formatCode>
                  <c:ptCount val="17"/>
                  <c:pt idx="0">
                    <c:v>0.22471338869439433</c:v>
                  </c:pt>
                  <c:pt idx="1">
                    <c:v>0.36856544006307285</c:v>
                  </c:pt>
                  <c:pt idx="2">
                    <c:v>0.74542415538317208</c:v>
                  </c:pt>
                  <c:pt idx="3">
                    <c:v>1.2962671456923662</c:v>
                  </c:pt>
                  <c:pt idx="4">
                    <c:v>5.133399963699012</c:v>
                  </c:pt>
                  <c:pt idx="5">
                    <c:v>4.7114117188973381</c:v>
                  </c:pt>
                  <c:pt idx="6">
                    <c:v>3.0719629120753478</c:v>
                  </c:pt>
                  <c:pt idx="7">
                    <c:v>1.0877913817008829</c:v>
                  </c:pt>
                  <c:pt idx="8">
                    <c:v>2.9380026348296875</c:v>
                  </c:pt>
                  <c:pt idx="9">
                    <c:v>8.9235310373149073</c:v>
                  </c:pt>
                  <c:pt idx="10">
                    <c:v>21.697039644221899</c:v>
                  </c:pt>
                  <c:pt idx="11">
                    <c:v>13.423195094378412</c:v>
                  </c:pt>
                  <c:pt idx="12">
                    <c:v>19.25709790077569</c:v>
                  </c:pt>
                  <c:pt idx="13">
                    <c:v>18.819961891820519</c:v>
                  </c:pt>
                  <c:pt idx="14">
                    <c:v>18.951337195210886</c:v>
                  </c:pt>
                  <c:pt idx="15">
                    <c:v>44.987602713310928</c:v>
                  </c:pt>
                  <c:pt idx="16">
                    <c:v>34.190310725486157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'C-phycocyanin CeBER'!$AD$112:$AD$128</c:f>
              <c:numCache>
                <c:formatCode>0</c:formatCode>
                <c:ptCount val="17"/>
                <c:pt idx="0">
                  <c:v>0</c:v>
                </c:pt>
                <c:pt idx="1">
                  <c:v>20.5</c:v>
                </c:pt>
                <c:pt idx="2">
                  <c:v>45</c:v>
                </c:pt>
                <c:pt idx="3">
                  <c:v>69.283333333333331</c:v>
                </c:pt>
                <c:pt idx="4">
                  <c:v>95.883333333333326</c:v>
                </c:pt>
                <c:pt idx="5">
                  <c:v>120</c:v>
                </c:pt>
                <c:pt idx="6">
                  <c:v>140.46666666666667</c:v>
                </c:pt>
                <c:pt idx="7">
                  <c:v>165.28333333333333</c:v>
                </c:pt>
                <c:pt idx="8">
                  <c:v>189.13333333333333</c:v>
                </c:pt>
                <c:pt idx="9">
                  <c:v>213.83333333333331</c:v>
                </c:pt>
                <c:pt idx="10">
                  <c:v>237.7</c:v>
                </c:pt>
                <c:pt idx="11">
                  <c:v>262.66666666666663</c:v>
                </c:pt>
                <c:pt idx="12">
                  <c:v>285.99999999999994</c:v>
                </c:pt>
                <c:pt idx="13">
                  <c:v>333.49999999999994</c:v>
                </c:pt>
                <c:pt idx="14">
                  <c:v>357.39999999999992</c:v>
                </c:pt>
                <c:pt idx="15">
                  <c:v>405.49999999999994</c:v>
                </c:pt>
                <c:pt idx="16">
                  <c:v>430.26666666666659</c:v>
                </c:pt>
              </c:numCache>
            </c:numRef>
          </c:xVal>
          <c:yVal>
            <c:numRef>
              <c:f>'C-phycocyanin CeBER'!$AG$112:$AG$128</c:f>
              <c:numCache>
                <c:formatCode>0.00</c:formatCode>
                <c:ptCount val="17"/>
                <c:pt idx="0">
                  <c:v>5.714688006482981</c:v>
                </c:pt>
                <c:pt idx="1">
                  <c:v>6.0636345218800649</c:v>
                </c:pt>
                <c:pt idx="2">
                  <c:v>7.9740072933549415</c:v>
                </c:pt>
                <c:pt idx="3">
                  <c:v>22.647982658022695</c:v>
                </c:pt>
                <c:pt idx="4">
                  <c:v>44.123652266342511</c:v>
                </c:pt>
                <c:pt idx="5">
                  <c:v>80.911306537007022</c:v>
                </c:pt>
                <c:pt idx="6">
                  <c:v>92.724693128038894</c:v>
                </c:pt>
                <c:pt idx="7">
                  <c:v>85.943057806591028</c:v>
                </c:pt>
                <c:pt idx="8">
                  <c:v>115.07509454349001</c:v>
                </c:pt>
                <c:pt idx="9">
                  <c:v>142.55409238249592</c:v>
                </c:pt>
                <c:pt idx="10">
                  <c:v>157.80569061768418</c:v>
                </c:pt>
                <c:pt idx="11">
                  <c:v>155.0695569962183</c:v>
                </c:pt>
                <c:pt idx="12">
                  <c:v>205.79457050243116</c:v>
                </c:pt>
                <c:pt idx="13">
                  <c:v>216.6068341437061</c:v>
                </c:pt>
                <c:pt idx="14">
                  <c:v>207.53997839005942</c:v>
                </c:pt>
                <c:pt idx="15">
                  <c:v>226.21447866018366</c:v>
                </c:pt>
                <c:pt idx="16">
                  <c:v>192.20232306861158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65C-824B-9997-41D5994252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5726320"/>
        <c:axId val="1251986208"/>
      </c:scatterChart>
      <c:valAx>
        <c:axId val="1485726320"/>
        <c:scaling>
          <c:orientation val="minMax"/>
          <c:max val="4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Time</a:t>
                </a:r>
                <a:r>
                  <a:rPr lang="en-GB" baseline="0"/>
                  <a:t> (h)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51986208"/>
        <c:crosses val="autoZero"/>
        <c:crossBetween val="midCat"/>
        <c:majorUnit val="50"/>
      </c:valAx>
      <c:valAx>
        <c:axId val="1251986208"/>
        <c:scaling>
          <c:orientation val="minMax"/>
          <c:max val="45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Total</a:t>
                </a:r>
                <a:r>
                  <a:rPr lang="en-GB" baseline="0"/>
                  <a:t> c-phycocyanin (mg CPC.L</a:t>
                </a:r>
                <a:r>
                  <a:rPr lang="en-GB" baseline="30000"/>
                  <a:t>-1</a:t>
                </a:r>
                <a:r>
                  <a:rPr lang="en-GB" baseline="0"/>
                  <a:t>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1.2972972972972972E-2"/>
              <c:y val="0.156776160555688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4857263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'C-phycocyanin UTEX #1926'!$B$2:$AB$2</c:f>
              <c:strCache>
                <c:ptCount val="1"/>
                <c:pt idx="0">
                  <c:v>40 µmol/m^2.s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rgbClr val="E1E8FF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'C-phycocyanin UTEX #1926'!$AF$5:$AF$22</c:f>
                <c:numCache>
                  <c:formatCode>General</c:formatCode>
                  <c:ptCount val="18"/>
                  <c:pt idx="0">
                    <c:v>2.9672518282640974</c:v>
                  </c:pt>
                  <c:pt idx="1">
                    <c:v>1.3917357103942214</c:v>
                  </c:pt>
                  <c:pt idx="2">
                    <c:v>1.2742225271580736</c:v>
                  </c:pt>
                  <c:pt idx="3">
                    <c:v>1.7658152958525517</c:v>
                  </c:pt>
                  <c:pt idx="4">
                    <c:v>2.5893587952751229</c:v>
                  </c:pt>
                  <c:pt idx="5">
                    <c:v>1.538255474241508</c:v>
                  </c:pt>
                  <c:pt idx="6">
                    <c:v>1.6229554165848612</c:v>
                  </c:pt>
                  <c:pt idx="7">
                    <c:v>2.0469807574347998</c:v>
                  </c:pt>
                  <c:pt idx="8">
                    <c:v>3.4165995170205856</c:v>
                  </c:pt>
                  <c:pt idx="9">
                    <c:v>4.4858306199594997</c:v>
                  </c:pt>
                  <c:pt idx="10">
                    <c:v>2.0894036012114796</c:v>
                  </c:pt>
                  <c:pt idx="11">
                    <c:v>7.4073451238895478</c:v>
                  </c:pt>
                  <c:pt idx="12">
                    <c:v>7.9930963840923495</c:v>
                  </c:pt>
                  <c:pt idx="13">
                    <c:v>6.9110589242173699</c:v>
                  </c:pt>
                  <c:pt idx="14">
                    <c:v>6.7316453164162038</c:v>
                  </c:pt>
                  <c:pt idx="15">
                    <c:v>3.4031949489099862</c:v>
                  </c:pt>
                  <c:pt idx="16">
                    <c:v>5.5572719143127287</c:v>
                  </c:pt>
                </c:numCache>
              </c:numRef>
            </c:plus>
            <c:minus>
              <c:numRef>
                <c:f>'C-phycocyanin UTEX #1926'!$AF$5:$AF$22</c:f>
                <c:numCache>
                  <c:formatCode>General</c:formatCode>
                  <c:ptCount val="18"/>
                  <c:pt idx="0">
                    <c:v>2.9672518282640974</c:v>
                  </c:pt>
                  <c:pt idx="1">
                    <c:v>1.3917357103942214</c:v>
                  </c:pt>
                  <c:pt idx="2">
                    <c:v>1.2742225271580736</c:v>
                  </c:pt>
                  <c:pt idx="3">
                    <c:v>1.7658152958525517</c:v>
                  </c:pt>
                  <c:pt idx="4">
                    <c:v>2.5893587952751229</c:v>
                  </c:pt>
                  <c:pt idx="5">
                    <c:v>1.538255474241508</c:v>
                  </c:pt>
                  <c:pt idx="6">
                    <c:v>1.6229554165848612</c:v>
                  </c:pt>
                  <c:pt idx="7">
                    <c:v>2.0469807574347998</c:v>
                  </c:pt>
                  <c:pt idx="8">
                    <c:v>3.4165995170205856</c:v>
                  </c:pt>
                  <c:pt idx="9">
                    <c:v>4.4858306199594997</c:v>
                  </c:pt>
                  <c:pt idx="10">
                    <c:v>2.0894036012114796</c:v>
                  </c:pt>
                  <c:pt idx="11">
                    <c:v>7.4073451238895478</c:v>
                  </c:pt>
                  <c:pt idx="12">
                    <c:v>7.9930963840923495</c:v>
                  </c:pt>
                  <c:pt idx="13">
                    <c:v>6.9110589242173699</c:v>
                  </c:pt>
                  <c:pt idx="14">
                    <c:v>6.7316453164162038</c:v>
                  </c:pt>
                  <c:pt idx="15">
                    <c:v>3.4031949489099862</c:v>
                  </c:pt>
                  <c:pt idx="16">
                    <c:v>5.5572719143127287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'C-phycocyanin UTEX #1926'!$AD$5:$AD$22</c:f>
              <c:numCache>
                <c:formatCode>0</c:formatCode>
                <c:ptCount val="18"/>
                <c:pt idx="0">
                  <c:v>0</c:v>
                </c:pt>
                <c:pt idx="1">
                  <c:v>22</c:v>
                </c:pt>
                <c:pt idx="2">
                  <c:v>46.5</c:v>
                </c:pt>
                <c:pt idx="3">
                  <c:v>70.7</c:v>
                </c:pt>
                <c:pt idx="4">
                  <c:v>97.366666666666674</c:v>
                </c:pt>
                <c:pt idx="5">
                  <c:v>121.45000000000002</c:v>
                </c:pt>
                <c:pt idx="6">
                  <c:v>141.85000000000002</c:v>
                </c:pt>
                <c:pt idx="7">
                  <c:v>166.65000000000003</c:v>
                </c:pt>
                <c:pt idx="8">
                  <c:v>190.53333333333336</c:v>
                </c:pt>
                <c:pt idx="9">
                  <c:v>215.20000000000002</c:v>
                </c:pt>
                <c:pt idx="10">
                  <c:v>238.93333333333334</c:v>
                </c:pt>
                <c:pt idx="11">
                  <c:v>264.31666666666666</c:v>
                </c:pt>
                <c:pt idx="12">
                  <c:v>287.41666666666669</c:v>
                </c:pt>
                <c:pt idx="13">
                  <c:v>334.93333333333334</c:v>
                </c:pt>
                <c:pt idx="14">
                  <c:v>358.78333333333336</c:v>
                </c:pt>
                <c:pt idx="15">
                  <c:v>406.8</c:v>
                </c:pt>
                <c:pt idx="16">
                  <c:v>431.53333333333336</c:v>
                </c:pt>
              </c:numCache>
            </c:numRef>
          </c:xVal>
          <c:yVal>
            <c:numRef>
              <c:f>'C-phycocyanin UTEX #1926'!$AE$5:$AE$22</c:f>
              <c:numCache>
                <c:formatCode>0.00</c:formatCode>
                <c:ptCount val="18"/>
                <c:pt idx="0">
                  <c:v>45.128381006355902</c:v>
                </c:pt>
                <c:pt idx="1">
                  <c:v>24.378789678020166</c:v>
                </c:pt>
                <c:pt idx="2">
                  <c:v>18.780341890946694</c:v>
                </c:pt>
                <c:pt idx="3">
                  <c:v>26.235742891797841</c:v>
                </c:pt>
                <c:pt idx="4">
                  <c:v>43.965072801707471</c:v>
                </c:pt>
                <c:pt idx="5">
                  <c:v>49.187559636951967</c:v>
                </c:pt>
                <c:pt idx="6">
                  <c:v>50.592364371805381</c:v>
                </c:pt>
                <c:pt idx="7">
                  <c:v>43.934209657740119</c:v>
                </c:pt>
                <c:pt idx="8">
                  <c:v>44.635720373981229</c:v>
                </c:pt>
                <c:pt idx="9">
                  <c:v>46.716148391202296</c:v>
                </c:pt>
                <c:pt idx="10">
                  <c:v>46.311801603999136</c:v>
                </c:pt>
                <c:pt idx="11">
                  <c:v>47.103310889868716</c:v>
                </c:pt>
                <c:pt idx="12">
                  <c:v>52.010572061056344</c:v>
                </c:pt>
                <c:pt idx="13">
                  <c:v>53.978465810065835</c:v>
                </c:pt>
                <c:pt idx="14">
                  <c:v>50.892122803424854</c:v>
                </c:pt>
                <c:pt idx="15">
                  <c:v>53.819539143521475</c:v>
                </c:pt>
                <c:pt idx="16">
                  <c:v>59.496679483487505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273-C84F-9AC2-47859764C7EE}"/>
            </c:ext>
          </c:extLst>
        </c:ser>
        <c:ser>
          <c:idx val="1"/>
          <c:order val="1"/>
          <c:tx>
            <c:strRef>
              <c:f>'C-phycocyanin UTEX #1926'!$B$56:$AB$56</c:f>
              <c:strCache>
                <c:ptCount val="1"/>
                <c:pt idx="0">
                  <c:v>60 µmol/m^2.s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'C-phycocyanin UTEX #1926'!$AF$58:$AF$74</c:f>
                <c:numCache>
                  <c:formatCode>General</c:formatCode>
                  <c:ptCount val="17"/>
                  <c:pt idx="0">
                    <c:v>2.9805328005477252</c:v>
                  </c:pt>
                  <c:pt idx="1">
                    <c:v>0.97767464803830084</c:v>
                  </c:pt>
                  <c:pt idx="2">
                    <c:v>0.5977791294435939</c:v>
                  </c:pt>
                  <c:pt idx="3">
                    <c:v>0.59030402648383939</c:v>
                  </c:pt>
                  <c:pt idx="4">
                    <c:v>3.9010259361608726</c:v>
                  </c:pt>
                  <c:pt idx="5">
                    <c:v>4.4476425564112247</c:v>
                  </c:pt>
                  <c:pt idx="6">
                    <c:v>5.5334939955970608</c:v>
                  </c:pt>
                  <c:pt idx="7">
                    <c:v>5.825511541988579</c:v>
                  </c:pt>
                  <c:pt idx="8">
                    <c:v>2.9472331636775668</c:v>
                  </c:pt>
                  <c:pt idx="9">
                    <c:v>1.4153653090783109</c:v>
                  </c:pt>
                  <c:pt idx="10">
                    <c:v>6.3993744065921101</c:v>
                  </c:pt>
                  <c:pt idx="11">
                    <c:v>7.4613937844073002</c:v>
                  </c:pt>
                  <c:pt idx="12">
                    <c:v>3.7073269330012777</c:v>
                  </c:pt>
                  <c:pt idx="13">
                    <c:v>4.3412866363358784</c:v>
                  </c:pt>
                  <c:pt idx="14">
                    <c:v>2.8018665213422205</c:v>
                  </c:pt>
                  <c:pt idx="15">
                    <c:v>3.5255877018257693</c:v>
                  </c:pt>
                  <c:pt idx="16">
                    <c:v>0.83741740035963441</c:v>
                  </c:pt>
                </c:numCache>
              </c:numRef>
            </c:plus>
            <c:minus>
              <c:numRef>
                <c:f>'C-phycocyanin UTEX #1926'!$AF$58:$AF$74</c:f>
                <c:numCache>
                  <c:formatCode>General</c:formatCode>
                  <c:ptCount val="17"/>
                  <c:pt idx="0">
                    <c:v>2.9805328005477252</c:v>
                  </c:pt>
                  <c:pt idx="1">
                    <c:v>0.97767464803830084</c:v>
                  </c:pt>
                  <c:pt idx="2">
                    <c:v>0.5977791294435939</c:v>
                  </c:pt>
                  <c:pt idx="3">
                    <c:v>0.59030402648383939</c:v>
                  </c:pt>
                  <c:pt idx="4">
                    <c:v>3.9010259361608726</c:v>
                  </c:pt>
                  <c:pt idx="5">
                    <c:v>4.4476425564112247</c:v>
                  </c:pt>
                  <c:pt idx="6">
                    <c:v>5.5334939955970608</c:v>
                  </c:pt>
                  <c:pt idx="7">
                    <c:v>5.825511541988579</c:v>
                  </c:pt>
                  <c:pt idx="8">
                    <c:v>2.9472331636775668</c:v>
                  </c:pt>
                  <c:pt idx="9">
                    <c:v>1.4153653090783109</c:v>
                  </c:pt>
                  <c:pt idx="10">
                    <c:v>6.3993744065921101</c:v>
                  </c:pt>
                  <c:pt idx="11">
                    <c:v>7.4613937844073002</c:v>
                  </c:pt>
                  <c:pt idx="12">
                    <c:v>3.7073269330012777</c:v>
                  </c:pt>
                  <c:pt idx="13">
                    <c:v>4.3412866363358784</c:v>
                  </c:pt>
                  <c:pt idx="14">
                    <c:v>2.8018665213422205</c:v>
                  </c:pt>
                  <c:pt idx="15">
                    <c:v>3.5255877018257693</c:v>
                  </c:pt>
                  <c:pt idx="16">
                    <c:v>0.83741740035963441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'C-phycocyanin UTEX #1926'!$AD$58:$AD$74</c:f>
              <c:numCache>
                <c:formatCode>0</c:formatCode>
                <c:ptCount val="17"/>
                <c:pt idx="0">
                  <c:v>0</c:v>
                </c:pt>
                <c:pt idx="1">
                  <c:v>21.25</c:v>
                </c:pt>
                <c:pt idx="2">
                  <c:v>45.733333333333334</c:v>
                </c:pt>
                <c:pt idx="3">
                  <c:v>70.05</c:v>
                </c:pt>
                <c:pt idx="4">
                  <c:v>96.6</c:v>
                </c:pt>
                <c:pt idx="5">
                  <c:v>120.69999999999999</c:v>
                </c:pt>
                <c:pt idx="6">
                  <c:v>141.13333333333333</c:v>
                </c:pt>
                <c:pt idx="7">
                  <c:v>165.91666666666666</c:v>
                </c:pt>
                <c:pt idx="8">
                  <c:v>189.79999999999998</c:v>
                </c:pt>
                <c:pt idx="9">
                  <c:v>214.49999999999997</c:v>
                </c:pt>
                <c:pt idx="10">
                  <c:v>238.64999999999998</c:v>
                </c:pt>
                <c:pt idx="11">
                  <c:v>263.48333333333329</c:v>
                </c:pt>
                <c:pt idx="12">
                  <c:v>286.68333333333328</c:v>
                </c:pt>
                <c:pt idx="13">
                  <c:v>334.21666666666658</c:v>
                </c:pt>
                <c:pt idx="14">
                  <c:v>358.08333333333326</c:v>
                </c:pt>
                <c:pt idx="15">
                  <c:v>406.13333333333327</c:v>
                </c:pt>
                <c:pt idx="16">
                  <c:v>430.93333333333328</c:v>
                </c:pt>
              </c:numCache>
            </c:numRef>
          </c:xVal>
          <c:yVal>
            <c:numRef>
              <c:f>'C-phycocyanin UTEX #1926'!$AE$58:$AE$74</c:f>
              <c:numCache>
                <c:formatCode>0.00</c:formatCode>
                <c:ptCount val="17"/>
                <c:pt idx="0">
                  <c:v>49.901900039067897</c:v>
                </c:pt>
                <c:pt idx="1">
                  <c:v>22.893400880441931</c:v>
                </c:pt>
                <c:pt idx="2">
                  <c:v>18.579453021504303</c:v>
                </c:pt>
                <c:pt idx="3">
                  <c:v>38.477617181087687</c:v>
                </c:pt>
                <c:pt idx="4">
                  <c:v>40.869709856819171</c:v>
                </c:pt>
                <c:pt idx="5">
                  <c:v>47.905532289977224</c:v>
                </c:pt>
                <c:pt idx="6">
                  <c:v>53.114384519094699</c:v>
                </c:pt>
                <c:pt idx="7">
                  <c:v>49.574912908875397</c:v>
                </c:pt>
                <c:pt idx="8">
                  <c:v>41.959253272759696</c:v>
                </c:pt>
                <c:pt idx="9">
                  <c:v>49.146907703828752</c:v>
                </c:pt>
                <c:pt idx="10">
                  <c:v>44.940044220126573</c:v>
                </c:pt>
                <c:pt idx="11">
                  <c:v>46.214146377469689</c:v>
                </c:pt>
                <c:pt idx="12">
                  <c:v>50.301964252776052</c:v>
                </c:pt>
                <c:pt idx="13">
                  <c:v>50.303947734476253</c:v>
                </c:pt>
                <c:pt idx="14">
                  <c:v>47.189255903897852</c:v>
                </c:pt>
                <c:pt idx="15">
                  <c:v>47.136258145767108</c:v>
                </c:pt>
                <c:pt idx="16">
                  <c:v>49.935349168935282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273-C84F-9AC2-47859764C7EE}"/>
            </c:ext>
          </c:extLst>
        </c:ser>
        <c:ser>
          <c:idx val="2"/>
          <c:order val="2"/>
          <c:tx>
            <c:strRef>
              <c:f>'C-phycocyanin UTEX #1926'!$B$110:$AB$110</c:f>
              <c:strCache>
                <c:ptCount val="1"/>
                <c:pt idx="0">
                  <c:v>80 µmol/m^2.s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rgbClr val="002060"/>
              </a:solidFill>
              <a:ln w="9525">
                <a:solidFill>
                  <a:srgbClr val="00206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'C-phycocyanin UTEX #1926'!$AF$112:$AF$128</c:f>
                <c:numCache>
                  <c:formatCode>General</c:formatCode>
                  <c:ptCount val="17"/>
                  <c:pt idx="0">
                    <c:v>2.4011815324402974</c:v>
                  </c:pt>
                  <c:pt idx="1">
                    <c:v>1.104979023575716</c:v>
                  </c:pt>
                  <c:pt idx="2">
                    <c:v>0.57096294559418614</c:v>
                  </c:pt>
                  <c:pt idx="3">
                    <c:v>0.43535200592895917</c:v>
                  </c:pt>
                  <c:pt idx="4">
                    <c:v>3.1678482928691016</c:v>
                  </c:pt>
                  <c:pt idx="5">
                    <c:v>1.8492609134089779</c:v>
                  </c:pt>
                  <c:pt idx="6">
                    <c:v>2.7816139505586359</c:v>
                  </c:pt>
                  <c:pt idx="7">
                    <c:v>1.8506159777568074</c:v>
                  </c:pt>
                  <c:pt idx="8">
                    <c:v>1.5236862079317874</c:v>
                  </c:pt>
                  <c:pt idx="9">
                    <c:v>1.3802908735823127</c:v>
                  </c:pt>
                  <c:pt idx="10">
                    <c:v>2.6161314477703894</c:v>
                  </c:pt>
                  <c:pt idx="11">
                    <c:v>2.9702411493226593</c:v>
                  </c:pt>
                  <c:pt idx="12">
                    <c:v>7.0116480667395402</c:v>
                  </c:pt>
                  <c:pt idx="13">
                    <c:v>3.6318771326524923</c:v>
                  </c:pt>
                  <c:pt idx="14">
                    <c:v>3.1626566338523916</c:v>
                  </c:pt>
                  <c:pt idx="15">
                    <c:v>4.8768929164546231</c:v>
                  </c:pt>
                  <c:pt idx="16">
                    <c:v>5.8993127770786309</c:v>
                  </c:pt>
                </c:numCache>
              </c:numRef>
            </c:plus>
            <c:minus>
              <c:numRef>
                <c:f>'C-phycocyanin UTEX #1926'!$AF$112:$AF$128</c:f>
                <c:numCache>
                  <c:formatCode>General</c:formatCode>
                  <c:ptCount val="17"/>
                  <c:pt idx="0">
                    <c:v>2.4011815324402974</c:v>
                  </c:pt>
                  <c:pt idx="1">
                    <c:v>1.104979023575716</c:v>
                  </c:pt>
                  <c:pt idx="2">
                    <c:v>0.57096294559418614</c:v>
                  </c:pt>
                  <c:pt idx="3">
                    <c:v>0.43535200592895917</c:v>
                  </c:pt>
                  <c:pt idx="4">
                    <c:v>3.1678482928691016</c:v>
                  </c:pt>
                  <c:pt idx="5">
                    <c:v>1.8492609134089779</c:v>
                  </c:pt>
                  <c:pt idx="6">
                    <c:v>2.7816139505586359</c:v>
                  </c:pt>
                  <c:pt idx="7">
                    <c:v>1.8506159777568074</c:v>
                  </c:pt>
                  <c:pt idx="8">
                    <c:v>1.5236862079317874</c:v>
                  </c:pt>
                  <c:pt idx="9">
                    <c:v>1.3802908735823127</c:v>
                  </c:pt>
                  <c:pt idx="10">
                    <c:v>2.6161314477703894</c:v>
                  </c:pt>
                  <c:pt idx="11">
                    <c:v>2.9702411493226593</c:v>
                  </c:pt>
                  <c:pt idx="12">
                    <c:v>7.0116480667395402</c:v>
                  </c:pt>
                  <c:pt idx="13">
                    <c:v>3.6318771326524923</c:v>
                  </c:pt>
                  <c:pt idx="14">
                    <c:v>3.1626566338523916</c:v>
                  </c:pt>
                  <c:pt idx="15">
                    <c:v>4.8768929164546231</c:v>
                  </c:pt>
                  <c:pt idx="16">
                    <c:v>5.8993127770786309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'C-phycocyanin UTEX #1926'!$AD$112:$AD$128</c:f>
              <c:numCache>
                <c:formatCode>0</c:formatCode>
                <c:ptCount val="17"/>
                <c:pt idx="0">
                  <c:v>0</c:v>
                </c:pt>
                <c:pt idx="1">
                  <c:v>20.5</c:v>
                </c:pt>
                <c:pt idx="2">
                  <c:v>45</c:v>
                </c:pt>
                <c:pt idx="3">
                  <c:v>69.283333333333331</c:v>
                </c:pt>
                <c:pt idx="4">
                  <c:v>95.883333333333326</c:v>
                </c:pt>
                <c:pt idx="5">
                  <c:v>120</c:v>
                </c:pt>
                <c:pt idx="6">
                  <c:v>140.46666666666667</c:v>
                </c:pt>
                <c:pt idx="7">
                  <c:v>165.28333333333333</c:v>
                </c:pt>
                <c:pt idx="8">
                  <c:v>189.13333333333333</c:v>
                </c:pt>
                <c:pt idx="9">
                  <c:v>213.83333333333331</c:v>
                </c:pt>
                <c:pt idx="10">
                  <c:v>237.7</c:v>
                </c:pt>
                <c:pt idx="11">
                  <c:v>262.66666666666663</c:v>
                </c:pt>
                <c:pt idx="12">
                  <c:v>285.99999999999994</c:v>
                </c:pt>
                <c:pt idx="13">
                  <c:v>333.49999999999994</c:v>
                </c:pt>
                <c:pt idx="14">
                  <c:v>357.39999999999992</c:v>
                </c:pt>
                <c:pt idx="15">
                  <c:v>405.49999999999994</c:v>
                </c:pt>
                <c:pt idx="16">
                  <c:v>430.26666666666659</c:v>
                </c:pt>
              </c:numCache>
            </c:numRef>
          </c:xVal>
          <c:yVal>
            <c:numRef>
              <c:f>'C-phycocyanin UTEX #1926'!$AE$112:$AE$128</c:f>
              <c:numCache>
                <c:formatCode>0.00</c:formatCode>
                <c:ptCount val="17"/>
                <c:pt idx="0">
                  <c:v>48.769435710150695</c:v>
                </c:pt>
                <c:pt idx="1">
                  <c:v>21.915006353192869</c:v>
                </c:pt>
                <c:pt idx="2">
                  <c:v>15.001046901938103</c:v>
                </c:pt>
                <c:pt idx="3">
                  <c:v>19.694701481010128</c:v>
                </c:pt>
                <c:pt idx="4">
                  <c:v>35.649009511102577</c:v>
                </c:pt>
                <c:pt idx="5">
                  <c:v>47.562763025420139</c:v>
                </c:pt>
                <c:pt idx="6">
                  <c:v>50.402091373217168</c:v>
                </c:pt>
                <c:pt idx="7">
                  <c:v>36.693729160324438</c:v>
                </c:pt>
                <c:pt idx="8">
                  <c:v>40.061132106557118</c:v>
                </c:pt>
                <c:pt idx="9">
                  <c:v>41.209488754169612</c:v>
                </c:pt>
                <c:pt idx="10">
                  <c:v>47.543851300948582</c:v>
                </c:pt>
                <c:pt idx="11">
                  <c:v>35.363894250152754</c:v>
                </c:pt>
                <c:pt idx="12">
                  <c:v>40.901752423034587</c:v>
                </c:pt>
                <c:pt idx="13">
                  <c:v>41.636084645625381</c:v>
                </c:pt>
                <c:pt idx="14">
                  <c:v>46.150774881578535</c:v>
                </c:pt>
                <c:pt idx="15">
                  <c:v>54.09061765862517</c:v>
                </c:pt>
                <c:pt idx="16">
                  <c:v>57.318919997990776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273-C84F-9AC2-47859764C7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8529088"/>
        <c:axId val="678536160"/>
      </c:scatterChart>
      <c:valAx>
        <c:axId val="678529088"/>
        <c:scaling>
          <c:orientation val="minMax"/>
          <c:max val="4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Time</a:t>
                </a:r>
                <a:r>
                  <a:rPr lang="en-ZA" baseline="0"/>
                  <a:t> (h)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78536160"/>
        <c:crosses val="autoZero"/>
        <c:crossBetween val="midCat"/>
      </c:valAx>
      <c:valAx>
        <c:axId val="678536160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Specific</a:t>
                </a:r>
                <a:r>
                  <a:rPr lang="en-ZA" baseline="0"/>
                  <a:t> c-phycocyanin concentration</a:t>
                </a:r>
                <a:r>
                  <a:rPr lang="en-ZA"/>
                  <a:t> (mg PC.(g biomass)</a:t>
                </a:r>
                <a:r>
                  <a:rPr lang="en-ZA" baseline="30000"/>
                  <a:t>-1</a:t>
                </a:r>
                <a:r>
                  <a:rPr lang="en-ZA"/>
                  <a:t>)</a:t>
                </a:r>
              </a:p>
            </c:rich>
          </c:tx>
          <c:layout>
            <c:manualLayout>
              <c:xMode val="edge"/>
              <c:yMode val="edge"/>
              <c:x val="1.9087719720131947E-2"/>
              <c:y val="7.1983667775839796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785290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'C-phycocyanin UTEX #1926'!$B$2:$AB$2</c:f>
              <c:strCache>
                <c:ptCount val="1"/>
                <c:pt idx="0">
                  <c:v>40 µmol/m^2.s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rgbClr val="E1E8FF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'C-phycocyanin UTEX #1926'!$AH$5:$AH$21</c:f>
                <c:numCache>
                  <c:formatCode>General</c:formatCode>
                  <c:ptCount val="17"/>
                  <c:pt idx="0">
                    <c:v>0.37348847104887251</c:v>
                  </c:pt>
                  <c:pt idx="1">
                    <c:v>3.0633721676908518E-2</c:v>
                  </c:pt>
                  <c:pt idx="2">
                    <c:v>0.87600098055006981</c:v>
                  </c:pt>
                  <c:pt idx="3">
                    <c:v>1.3930440213332871</c:v>
                  </c:pt>
                  <c:pt idx="4">
                    <c:v>2.9433774593639703</c:v>
                  </c:pt>
                  <c:pt idx="5">
                    <c:v>4.3258038512488186</c:v>
                  </c:pt>
                  <c:pt idx="6">
                    <c:v>4.3240724529462558</c:v>
                  </c:pt>
                  <c:pt idx="7">
                    <c:v>5.469785476455165</c:v>
                  </c:pt>
                  <c:pt idx="8">
                    <c:v>8.3171144800385228</c:v>
                  </c:pt>
                  <c:pt idx="9">
                    <c:v>15.782213164177488</c:v>
                  </c:pt>
                  <c:pt idx="10">
                    <c:v>8.9197286478846269</c:v>
                  </c:pt>
                  <c:pt idx="11">
                    <c:v>26.198708067620075</c:v>
                  </c:pt>
                  <c:pt idx="12">
                    <c:v>29.90611550338339</c:v>
                  </c:pt>
                  <c:pt idx="13">
                    <c:v>26.346829125664662</c:v>
                  </c:pt>
                  <c:pt idx="14">
                    <c:v>45.057339845981808</c:v>
                  </c:pt>
                  <c:pt idx="15">
                    <c:v>33.031328334310949</c:v>
                  </c:pt>
                  <c:pt idx="16">
                    <c:v>37.915403006095325</c:v>
                  </c:pt>
                </c:numCache>
              </c:numRef>
            </c:plus>
            <c:minus>
              <c:numRef>
                <c:f>'C-phycocyanin UTEX #1926'!$AH$5:$AH$21</c:f>
                <c:numCache>
                  <c:formatCode>General</c:formatCode>
                  <c:ptCount val="17"/>
                  <c:pt idx="0">
                    <c:v>0.37348847104887251</c:v>
                  </c:pt>
                  <c:pt idx="1">
                    <c:v>3.0633721676908518E-2</c:v>
                  </c:pt>
                  <c:pt idx="2">
                    <c:v>0.87600098055006981</c:v>
                  </c:pt>
                  <c:pt idx="3">
                    <c:v>1.3930440213332871</c:v>
                  </c:pt>
                  <c:pt idx="4">
                    <c:v>2.9433774593639703</c:v>
                  </c:pt>
                  <c:pt idx="5">
                    <c:v>4.3258038512488186</c:v>
                  </c:pt>
                  <c:pt idx="6">
                    <c:v>4.3240724529462558</c:v>
                  </c:pt>
                  <c:pt idx="7">
                    <c:v>5.469785476455165</c:v>
                  </c:pt>
                  <c:pt idx="8">
                    <c:v>8.3171144800385228</c:v>
                  </c:pt>
                  <c:pt idx="9">
                    <c:v>15.782213164177488</c:v>
                  </c:pt>
                  <c:pt idx="10">
                    <c:v>8.9197286478846269</c:v>
                  </c:pt>
                  <c:pt idx="11">
                    <c:v>26.198708067620075</c:v>
                  </c:pt>
                  <c:pt idx="12">
                    <c:v>29.90611550338339</c:v>
                  </c:pt>
                  <c:pt idx="13">
                    <c:v>26.346829125664662</c:v>
                  </c:pt>
                  <c:pt idx="14">
                    <c:v>45.057339845981808</c:v>
                  </c:pt>
                  <c:pt idx="15">
                    <c:v>33.031328334310949</c:v>
                  </c:pt>
                  <c:pt idx="16">
                    <c:v>37.915403006095325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'C-phycocyanin UTEX #1926'!$AD$5:$AD$21</c:f>
              <c:numCache>
                <c:formatCode>0</c:formatCode>
                <c:ptCount val="17"/>
                <c:pt idx="0">
                  <c:v>0</c:v>
                </c:pt>
                <c:pt idx="1">
                  <c:v>22</c:v>
                </c:pt>
                <c:pt idx="2">
                  <c:v>46.5</c:v>
                </c:pt>
                <c:pt idx="3">
                  <c:v>70.7</c:v>
                </c:pt>
                <c:pt idx="4">
                  <c:v>97.366666666666674</c:v>
                </c:pt>
                <c:pt idx="5">
                  <c:v>121.45000000000002</c:v>
                </c:pt>
                <c:pt idx="6">
                  <c:v>141.85000000000002</c:v>
                </c:pt>
                <c:pt idx="7">
                  <c:v>166.65000000000003</c:v>
                </c:pt>
                <c:pt idx="8">
                  <c:v>190.53333333333336</c:v>
                </c:pt>
                <c:pt idx="9">
                  <c:v>215.20000000000002</c:v>
                </c:pt>
                <c:pt idx="10">
                  <c:v>238.93333333333334</c:v>
                </c:pt>
                <c:pt idx="11">
                  <c:v>264.31666666666666</c:v>
                </c:pt>
                <c:pt idx="12">
                  <c:v>287.41666666666669</c:v>
                </c:pt>
                <c:pt idx="13">
                  <c:v>334.93333333333334</c:v>
                </c:pt>
                <c:pt idx="14">
                  <c:v>358.78333333333336</c:v>
                </c:pt>
                <c:pt idx="15">
                  <c:v>406.8</c:v>
                </c:pt>
                <c:pt idx="16">
                  <c:v>431.53333333333336</c:v>
                </c:pt>
              </c:numCache>
            </c:numRef>
          </c:xVal>
          <c:yVal>
            <c:numRef>
              <c:f>'C-phycocyanin UTEX #1926'!$AG$5:$AG$21</c:f>
              <c:numCache>
                <c:formatCode>0.00</c:formatCode>
                <c:ptCount val="17"/>
                <c:pt idx="0">
                  <c:v>5.8909440842787681</c:v>
                </c:pt>
                <c:pt idx="1">
                  <c:v>6.1460359265262019</c:v>
                </c:pt>
                <c:pt idx="2">
                  <c:v>8.735615883306318</c:v>
                </c:pt>
                <c:pt idx="3">
                  <c:v>18.461736945795067</c:v>
                </c:pt>
                <c:pt idx="4">
                  <c:v>42.190560588870873</c:v>
                </c:pt>
                <c:pt idx="5">
                  <c:v>65.242720669908167</c:v>
                </c:pt>
                <c:pt idx="6">
                  <c:v>80.17779310642895</c:v>
                </c:pt>
                <c:pt idx="7">
                  <c:v>80.501134521880076</c:v>
                </c:pt>
                <c:pt idx="8">
                  <c:v>100.40043219881146</c:v>
                </c:pt>
                <c:pt idx="9">
                  <c:v>124.76283090221501</c:v>
                </c:pt>
                <c:pt idx="10">
                  <c:v>132.14406627048444</c:v>
                </c:pt>
                <c:pt idx="11">
                  <c:v>148.47163695299835</c:v>
                </c:pt>
                <c:pt idx="12">
                  <c:v>187.27201512695842</c:v>
                </c:pt>
                <c:pt idx="13">
                  <c:v>203.11129119394923</c:v>
                </c:pt>
                <c:pt idx="14">
                  <c:v>218.33265802269045</c:v>
                </c:pt>
                <c:pt idx="15">
                  <c:v>238.79119394921668</c:v>
                </c:pt>
                <c:pt idx="16">
                  <c:v>264.04619124797404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DC9-3741-A738-DCD6192BF754}"/>
            </c:ext>
          </c:extLst>
        </c:ser>
        <c:ser>
          <c:idx val="1"/>
          <c:order val="1"/>
          <c:tx>
            <c:strRef>
              <c:f>'C-phycocyanin UTEX #1926'!$B$56:$AB$56</c:f>
              <c:strCache>
                <c:ptCount val="1"/>
                <c:pt idx="0">
                  <c:v>60 µmol/m^2.s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'C-phycocyanin UTEX #1926'!$AH$58:$AH$74</c:f>
                <c:numCache>
                  <c:formatCode>General</c:formatCode>
                  <c:ptCount val="17"/>
                  <c:pt idx="0">
                    <c:v>0.46107834502580985</c:v>
                  </c:pt>
                  <c:pt idx="1">
                    <c:v>0.16369790842737408</c:v>
                  </c:pt>
                  <c:pt idx="2">
                    <c:v>6.8710819010390431E-2</c:v>
                  </c:pt>
                  <c:pt idx="3">
                    <c:v>0.35566925163876939</c:v>
                  </c:pt>
                  <c:pt idx="4">
                    <c:v>3.4146691772352185</c:v>
                  </c:pt>
                  <c:pt idx="5">
                    <c:v>5.0928841568222154</c:v>
                  </c:pt>
                  <c:pt idx="6">
                    <c:v>7.5290855230918714</c:v>
                  </c:pt>
                  <c:pt idx="7">
                    <c:v>7.2615234679237322</c:v>
                  </c:pt>
                  <c:pt idx="8">
                    <c:v>5.2167227495186879</c:v>
                  </c:pt>
                  <c:pt idx="9">
                    <c:v>2.7910036403138392</c:v>
                  </c:pt>
                  <c:pt idx="10">
                    <c:v>17.081980098016313</c:v>
                  </c:pt>
                  <c:pt idx="11">
                    <c:v>21.075185557026014</c:v>
                  </c:pt>
                  <c:pt idx="12">
                    <c:v>11.743239600428273</c:v>
                  </c:pt>
                  <c:pt idx="13">
                    <c:v>16.120034324862864</c:v>
                  </c:pt>
                  <c:pt idx="14">
                    <c:v>12.8879910643467</c:v>
                  </c:pt>
                  <c:pt idx="15">
                    <c:v>19.266646343881664</c:v>
                  </c:pt>
                  <c:pt idx="16">
                    <c:v>11.622298127057894</c:v>
                  </c:pt>
                </c:numCache>
              </c:numRef>
            </c:plus>
            <c:minus>
              <c:numRef>
                <c:f>'C-phycocyanin UTEX #1926'!$AH$58:$AH$74</c:f>
                <c:numCache>
                  <c:formatCode>General</c:formatCode>
                  <c:ptCount val="17"/>
                  <c:pt idx="0">
                    <c:v>0.46107834502580985</c:v>
                  </c:pt>
                  <c:pt idx="1">
                    <c:v>0.16369790842737408</c:v>
                  </c:pt>
                  <c:pt idx="2">
                    <c:v>6.8710819010390431E-2</c:v>
                  </c:pt>
                  <c:pt idx="3">
                    <c:v>0.35566925163876939</c:v>
                  </c:pt>
                  <c:pt idx="4">
                    <c:v>3.4146691772352185</c:v>
                  </c:pt>
                  <c:pt idx="5">
                    <c:v>5.0928841568222154</c:v>
                  </c:pt>
                  <c:pt idx="6">
                    <c:v>7.5290855230918714</c:v>
                  </c:pt>
                  <c:pt idx="7">
                    <c:v>7.2615234679237322</c:v>
                  </c:pt>
                  <c:pt idx="8">
                    <c:v>5.2167227495186879</c:v>
                  </c:pt>
                  <c:pt idx="9">
                    <c:v>2.7910036403138392</c:v>
                  </c:pt>
                  <c:pt idx="10">
                    <c:v>17.081980098016313</c:v>
                  </c:pt>
                  <c:pt idx="11">
                    <c:v>21.075185557026014</c:v>
                  </c:pt>
                  <c:pt idx="12">
                    <c:v>11.743239600428273</c:v>
                  </c:pt>
                  <c:pt idx="13">
                    <c:v>16.120034324862864</c:v>
                  </c:pt>
                  <c:pt idx="14">
                    <c:v>12.8879910643467</c:v>
                  </c:pt>
                  <c:pt idx="15">
                    <c:v>19.266646343881664</c:v>
                  </c:pt>
                  <c:pt idx="16">
                    <c:v>11.622298127057894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'C-phycocyanin UTEX #1926'!$AD$58:$AD$74</c:f>
              <c:numCache>
                <c:formatCode>0</c:formatCode>
                <c:ptCount val="17"/>
                <c:pt idx="0">
                  <c:v>0</c:v>
                </c:pt>
                <c:pt idx="1">
                  <c:v>21.25</c:v>
                </c:pt>
                <c:pt idx="2">
                  <c:v>45.733333333333334</c:v>
                </c:pt>
                <c:pt idx="3">
                  <c:v>70.05</c:v>
                </c:pt>
                <c:pt idx="4">
                  <c:v>96.6</c:v>
                </c:pt>
                <c:pt idx="5">
                  <c:v>120.69999999999999</c:v>
                </c:pt>
                <c:pt idx="6">
                  <c:v>141.13333333333333</c:v>
                </c:pt>
                <c:pt idx="7">
                  <c:v>165.91666666666666</c:v>
                </c:pt>
                <c:pt idx="8">
                  <c:v>189.79999999999998</c:v>
                </c:pt>
                <c:pt idx="9">
                  <c:v>214.49999999999997</c:v>
                </c:pt>
                <c:pt idx="10">
                  <c:v>238.64999999999998</c:v>
                </c:pt>
                <c:pt idx="11">
                  <c:v>263.48333333333329</c:v>
                </c:pt>
                <c:pt idx="12">
                  <c:v>286.68333333333328</c:v>
                </c:pt>
                <c:pt idx="13">
                  <c:v>334.21666666666658</c:v>
                </c:pt>
                <c:pt idx="14">
                  <c:v>358.08333333333326</c:v>
                </c:pt>
                <c:pt idx="15">
                  <c:v>406.13333333333327</c:v>
                </c:pt>
                <c:pt idx="16">
                  <c:v>430.93333333333328</c:v>
                </c:pt>
              </c:numCache>
            </c:numRef>
          </c:xVal>
          <c:yVal>
            <c:numRef>
              <c:f>'C-phycocyanin UTEX #1926'!$AG$58:$AG$74</c:f>
              <c:numCache>
                <c:formatCode>0.00</c:formatCode>
                <c:ptCount val="17"/>
                <c:pt idx="0">
                  <c:v>6.3966301998919484</c:v>
                </c:pt>
                <c:pt idx="1">
                  <c:v>6.1116356023770919</c:v>
                </c:pt>
                <c:pt idx="2">
                  <c:v>7.912317666126417</c:v>
                </c:pt>
                <c:pt idx="3">
                  <c:v>23.473189263461194</c:v>
                </c:pt>
                <c:pt idx="4">
                  <c:v>36.568600361966503</c:v>
                </c:pt>
                <c:pt idx="5">
                  <c:v>56.930415440302539</c:v>
                </c:pt>
                <c:pt idx="6">
                  <c:v>70.503847347379789</c:v>
                </c:pt>
                <c:pt idx="7">
                  <c:v>75.258130740140459</c:v>
                </c:pt>
                <c:pt idx="8">
                  <c:v>75.706591031874652</c:v>
                </c:pt>
                <c:pt idx="9">
                  <c:v>107.16139924365207</c:v>
                </c:pt>
                <c:pt idx="10">
                  <c:v>110.61048082117775</c:v>
                </c:pt>
                <c:pt idx="11">
                  <c:v>124.4662344678552</c:v>
                </c:pt>
                <c:pt idx="12">
                  <c:v>147.51998919502969</c:v>
                </c:pt>
                <c:pt idx="13">
                  <c:v>167.60021609940571</c:v>
                </c:pt>
                <c:pt idx="14">
                  <c:v>161.97258238789843</c:v>
                </c:pt>
                <c:pt idx="15">
                  <c:v>163.66220961642355</c:v>
                </c:pt>
                <c:pt idx="16">
                  <c:v>171.53754727174501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DC9-3741-A738-DCD6192BF754}"/>
            </c:ext>
          </c:extLst>
        </c:ser>
        <c:ser>
          <c:idx val="2"/>
          <c:order val="2"/>
          <c:tx>
            <c:strRef>
              <c:f>'C-phycocyanin UTEX #1926'!$B$110:$AB$110</c:f>
              <c:strCache>
                <c:ptCount val="1"/>
                <c:pt idx="0">
                  <c:v>80 µmol/m^2.s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rgbClr val="002060"/>
              </a:solidFill>
              <a:ln w="9525">
                <a:solidFill>
                  <a:srgbClr val="00206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'C-phycocyanin UTEX #1926'!$AH$112:$AH$128</c:f>
                <c:numCache>
                  <c:formatCode>General</c:formatCode>
                  <c:ptCount val="17"/>
                  <c:pt idx="0">
                    <c:v>0.19508650304723091</c:v>
                  </c:pt>
                  <c:pt idx="1">
                    <c:v>0.32287011236912566</c:v>
                  </c:pt>
                  <c:pt idx="2">
                    <c:v>0.27954546797399166</c:v>
                  </c:pt>
                  <c:pt idx="3">
                    <c:v>0.40563205049664502</c:v>
                  </c:pt>
                  <c:pt idx="4">
                    <c:v>2.9577326169460618</c:v>
                  </c:pt>
                  <c:pt idx="5">
                    <c:v>3.2702971467795199</c:v>
                  </c:pt>
                  <c:pt idx="6">
                    <c:v>5.723930396090446</c:v>
                  </c:pt>
                  <c:pt idx="7">
                    <c:v>4.9156741383648184</c:v>
                  </c:pt>
                  <c:pt idx="8">
                    <c:v>4.94541803393171</c:v>
                  </c:pt>
                  <c:pt idx="9">
                    <c:v>4.4416963158716056</c:v>
                  </c:pt>
                  <c:pt idx="10">
                    <c:v>9.1104431972760676</c:v>
                  </c:pt>
                  <c:pt idx="11">
                    <c:v>6.283684024052822</c:v>
                  </c:pt>
                  <c:pt idx="12">
                    <c:v>27.087414861614189</c:v>
                  </c:pt>
                  <c:pt idx="13">
                    <c:v>20.040496040822806</c:v>
                  </c:pt>
                  <c:pt idx="14">
                    <c:v>20.989927255153994</c:v>
                  </c:pt>
                  <c:pt idx="15">
                    <c:v>28.827986500944643</c:v>
                  </c:pt>
                  <c:pt idx="16">
                    <c:v>27.118619185506237</c:v>
                  </c:pt>
                </c:numCache>
              </c:numRef>
            </c:plus>
            <c:minus>
              <c:numRef>
                <c:f>'C-phycocyanin UTEX #1926'!$AH$112:$AH$128</c:f>
                <c:numCache>
                  <c:formatCode>General</c:formatCode>
                  <c:ptCount val="17"/>
                  <c:pt idx="0">
                    <c:v>0.19508650304723091</c:v>
                  </c:pt>
                  <c:pt idx="1">
                    <c:v>0.32287011236912566</c:v>
                  </c:pt>
                  <c:pt idx="2">
                    <c:v>0.27954546797399166</c:v>
                  </c:pt>
                  <c:pt idx="3">
                    <c:v>0.40563205049664502</c:v>
                  </c:pt>
                  <c:pt idx="4">
                    <c:v>2.9577326169460618</c:v>
                  </c:pt>
                  <c:pt idx="5">
                    <c:v>3.2702971467795199</c:v>
                  </c:pt>
                  <c:pt idx="6">
                    <c:v>5.723930396090446</c:v>
                  </c:pt>
                  <c:pt idx="7">
                    <c:v>4.9156741383648184</c:v>
                  </c:pt>
                  <c:pt idx="8">
                    <c:v>4.94541803393171</c:v>
                  </c:pt>
                  <c:pt idx="9">
                    <c:v>4.4416963158716056</c:v>
                  </c:pt>
                  <c:pt idx="10">
                    <c:v>9.1104431972760676</c:v>
                  </c:pt>
                  <c:pt idx="11">
                    <c:v>6.283684024052822</c:v>
                  </c:pt>
                  <c:pt idx="12">
                    <c:v>27.087414861614189</c:v>
                  </c:pt>
                  <c:pt idx="13">
                    <c:v>20.040496040822806</c:v>
                  </c:pt>
                  <c:pt idx="14">
                    <c:v>20.989927255153994</c:v>
                  </c:pt>
                  <c:pt idx="15">
                    <c:v>28.827986500944643</c:v>
                  </c:pt>
                  <c:pt idx="16">
                    <c:v>27.118619185506237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'C-phycocyanin UTEX #1926'!$AD$112:$AD$128</c:f>
              <c:numCache>
                <c:formatCode>0</c:formatCode>
                <c:ptCount val="17"/>
                <c:pt idx="0">
                  <c:v>0</c:v>
                </c:pt>
                <c:pt idx="1">
                  <c:v>20.5</c:v>
                </c:pt>
                <c:pt idx="2">
                  <c:v>45</c:v>
                </c:pt>
                <c:pt idx="3">
                  <c:v>69.283333333333331</c:v>
                </c:pt>
                <c:pt idx="4">
                  <c:v>95.883333333333326</c:v>
                </c:pt>
                <c:pt idx="5">
                  <c:v>120</c:v>
                </c:pt>
                <c:pt idx="6">
                  <c:v>140.46666666666667</c:v>
                </c:pt>
                <c:pt idx="7">
                  <c:v>165.28333333333333</c:v>
                </c:pt>
                <c:pt idx="8">
                  <c:v>189.13333333333333</c:v>
                </c:pt>
                <c:pt idx="9">
                  <c:v>213.83333333333331</c:v>
                </c:pt>
                <c:pt idx="10">
                  <c:v>237.7</c:v>
                </c:pt>
                <c:pt idx="11">
                  <c:v>262.66666666666663</c:v>
                </c:pt>
                <c:pt idx="12">
                  <c:v>285.99999999999994</c:v>
                </c:pt>
                <c:pt idx="13">
                  <c:v>333.49999999999994</c:v>
                </c:pt>
                <c:pt idx="14">
                  <c:v>357.39999999999992</c:v>
                </c:pt>
                <c:pt idx="15">
                  <c:v>405.49999999999994</c:v>
                </c:pt>
                <c:pt idx="16">
                  <c:v>430.26666666666659</c:v>
                </c:pt>
              </c:numCache>
            </c:numRef>
          </c:xVal>
          <c:yVal>
            <c:numRef>
              <c:f>'C-phycocyanin UTEX #1926'!$AG$112:$AG$128</c:f>
              <c:numCache>
                <c:formatCode>0.00</c:formatCode>
                <c:ptCount val="17"/>
                <c:pt idx="0">
                  <c:v>6.0714208535926524</c:v>
                </c:pt>
                <c:pt idx="1">
                  <c:v>5.5514519178822246</c:v>
                </c:pt>
                <c:pt idx="2">
                  <c:v>7.1550175580767146</c:v>
                </c:pt>
                <c:pt idx="3">
                  <c:v>15.210458242391502</c:v>
                </c:pt>
                <c:pt idx="4">
                  <c:v>38.851225569962175</c:v>
                </c:pt>
                <c:pt idx="5">
                  <c:v>66.889319330091837</c:v>
                </c:pt>
                <c:pt idx="6">
                  <c:v>84.414839805510539</c:v>
                </c:pt>
                <c:pt idx="7">
                  <c:v>81.450243111831441</c:v>
                </c:pt>
                <c:pt idx="8">
                  <c:v>100.98908698001078</c:v>
                </c:pt>
                <c:pt idx="9">
                  <c:v>116.72271745002701</c:v>
                </c:pt>
                <c:pt idx="10">
                  <c:v>150.25076535206196</c:v>
                </c:pt>
                <c:pt idx="11">
                  <c:v>112.53268503511613</c:v>
                </c:pt>
                <c:pt idx="12">
                  <c:v>140.04349000540248</c:v>
                </c:pt>
                <c:pt idx="13">
                  <c:v>160.58198271204753</c:v>
                </c:pt>
                <c:pt idx="14">
                  <c:v>187.36345218800648</c:v>
                </c:pt>
                <c:pt idx="15">
                  <c:v>221.6157482441923</c:v>
                </c:pt>
                <c:pt idx="16">
                  <c:v>234.96961102106968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DC9-3741-A738-DCD6192BF7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5726320"/>
        <c:axId val="1251986208"/>
      </c:scatterChart>
      <c:valAx>
        <c:axId val="1485726320"/>
        <c:scaling>
          <c:orientation val="minMax"/>
          <c:max val="4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Time</a:t>
                </a:r>
                <a:r>
                  <a:rPr lang="en-GB" baseline="0"/>
                  <a:t> (h)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51986208"/>
        <c:crosses val="autoZero"/>
        <c:crossBetween val="midCat"/>
        <c:majorUnit val="50"/>
      </c:valAx>
      <c:valAx>
        <c:axId val="1251986208"/>
        <c:scaling>
          <c:orientation val="minMax"/>
          <c:max val="45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Total</a:t>
                </a:r>
                <a:r>
                  <a:rPr lang="en-GB" baseline="0"/>
                  <a:t> c-phycocyanin (mg CPC.L</a:t>
                </a:r>
                <a:r>
                  <a:rPr lang="en-GB" baseline="30000"/>
                  <a:t>-1</a:t>
                </a:r>
                <a:r>
                  <a:rPr lang="en-GB" baseline="0"/>
                  <a:t>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1.2972972972972972E-2"/>
              <c:y val="0.156776160555688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4857263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'Nitrate content CeBER'!$B$2:$U$2</c:f>
              <c:strCache>
                <c:ptCount val="1"/>
                <c:pt idx="0">
                  <c:v>40 µmol/m^2.s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rgbClr val="FFFDC6"/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'Nitrate content CeBER'!$Y$4:$Y$13</c:f>
                <c:numCache>
                  <c:formatCode>General</c:formatCode>
                  <c:ptCount val="10"/>
                  <c:pt idx="0">
                    <c:v>6.3144773318819731E-3</c:v>
                  </c:pt>
                  <c:pt idx="1">
                    <c:v>2.2598038552032501E-3</c:v>
                  </c:pt>
                  <c:pt idx="2">
                    <c:v>1.4683793832653572E-2</c:v>
                  </c:pt>
                  <c:pt idx="3">
                    <c:v>3.9152737111310502E-3</c:v>
                  </c:pt>
                  <c:pt idx="4">
                    <c:v>7.7982983485916195E-3</c:v>
                  </c:pt>
                  <c:pt idx="5">
                    <c:v>9.7059011787633445E-2</c:v>
                  </c:pt>
                  <c:pt idx="6">
                    <c:v>5.6043087264777414E-3</c:v>
                  </c:pt>
                  <c:pt idx="7">
                    <c:v>2.8781812031757177E-2</c:v>
                  </c:pt>
                  <c:pt idx="8">
                    <c:v>2.541542420027058E-2</c:v>
                  </c:pt>
                </c:numCache>
              </c:numRef>
            </c:plus>
            <c:minus>
              <c:numRef>
                <c:f>'Nitrate content CeBER'!$Y$4:$Y$13</c:f>
                <c:numCache>
                  <c:formatCode>General</c:formatCode>
                  <c:ptCount val="10"/>
                  <c:pt idx="0">
                    <c:v>6.3144773318819731E-3</c:v>
                  </c:pt>
                  <c:pt idx="1">
                    <c:v>2.2598038552032501E-3</c:v>
                  </c:pt>
                  <c:pt idx="2">
                    <c:v>1.4683793832653572E-2</c:v>
                  </c:pt>
                  <c:pt idx="3">
                    <c:v>3.9152737111310502E-3</c:v>
                  </c:pt>
                  <c:pt idx="4">
                    <c:v>7.7982983485916195E-3</c:v>
                  </c:pt>
                  <c:pt idx="5">
                    <c:v>9.7059011787633445E-2</c:v>
                  </c:pt>
                  <c:pt idx="6">
                    <c:v>5.6043087264777414E-3</c:v>
                  </c:pt>
                  <c:pt idx="7">
                    <c:v>2.8781812031757177E-2</c:v>
                  </c:pt>
                  <c:pt idx="8">
                    <c:v>2.541542420027058E-2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'Nitrate content CeBER'!$W$4:$W$13</c:f>
              <c:numCache>
                <c:formatCode>0</c:formatCode>
                <c:ptCount val="10"/>
                <c:pt idx="0">
                  <c:v>0</c:v>
                </c:pt>
                <c:pt idx="1">
                  <c:v>46.5</c:v>
                </c:pt>
                <c:pt idx="2">
                  <c:v>97.366666666666674</c:v>
                </c:pt>
                <c:pt idx="3">
                  <c:v>141.85000000000002</c:v>
                </c:pt>
                <c:pt idx="4">
                  <c:v>190.53333333333336</c:v>
                </c:pt>
                <c:pt idx="5">
                  <c:v>238.93333333333334</c:v>
                </c:pt>
                <c:pt idx="6">
                  <c:v>287.41666666666669</c:v>
                </c:pt>
                <c:pt idx="7">
                  <c:v>334.93333333333334</c:v>
                </c:pt>
                <c:pt idx="8">
                  <c:v>431.53333333333336</c:v>
                </c:pt>
              </c:numCache>
            </c:numRef>
          </c:xVal>
          <c:yVal>
            <c:numRef>
              <c:f>'Nitrate content CeBER'!$X$4:$X$13</c:f>
              <c:numCache>
                <c:formatCode>0.000</c:formatCode>
                <c:ptCount val="10"/>
                <c:pt idx="0">
                  <c:v>1.5227524368253966</c:v>
                </c:pt>
                <c:pt idx="1">
                  <c:v>1.4296814222222221</c:v>
                </c:pt>
                <c:pt idx="2">
                  <c:v>1.3272767283333333</c:v>
                </c:pt>
                <c:pt idx="3">
                  <c:v>1.0931858649206347</c:v>
                </c:pt>
                <c:pt idx="4">
                  <c:v>1.0036369719047615</c:v>
                </c:pt>
                <c:pt idx="5">
                  <c:v>0.84427194801587302</c:v>
                </c:pt>
                <c:pt idx="6">
                  <c:v>0.72270359047619037</c:v>
                </c:pt>
                <c:pt idx="7">
                  <c:v>0.64959895417989422</c:v>
                </c:pt>
                <c:pt idx="8">
                  <c:v>0.55041715199999997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0BB-0547-98D6-07C85D513505}"/>
            </c:ext>
          </c:extLst>
        </c:ser>
        <c:ser>
          <c:idx val="1"/>
          <c:order val="1"/>
          <c:tx>
            <c:strRef>
              <c:f>'Nitrate content CeBER'!$B$32:$U$32</c:f>
              <c:strCache>
                <c:ptCount val="1"/>
                <c:pt idx="0">
                  <c:v>60 µmol/m^2.s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FF00"/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'Nitrate content CeBER'!$Y$34:$Y$43</c:f>
                <c:numCache>
                  <c:formatCode>General</c:formatCode>
                  <c:ptCount val="10"/>
                  <c:pt idx="0">
                    <c:v>0.16424449358089532</c:v>
                  </c:pt>
                  <c:pt idx="1">
                    <c:v>4.5308282356376073E-2</c:v>
                  </c:pt>
                  <c:pt idx="2">
                    <c:v>1.215135750482978E-2</c:v>
                  </c:pt>
                  <c:pt idx="3">
                    <c:v>2.9291703246390136E-2</c:v>
                  </c:pt>
                  <c:pt idx="4">
                    <c:v>1.7707854653566151E-2</c:v>
                  </c:pt>
                  <c:pt idx="5">
                    <c:v>3.6123434056662414E-2</c:v>
                  </c:pt>
                  <c:pt idx="6">
                    <c:v>2.8759169533185074E-2</c:v>
                  </c:pt>
                  <c:pt idx="7">
                    <c:v>1.2221000952213698E-2</c:v>
                  </c:pt>
                  <c:pt idx="8">
                    <c:v>5.6319275454119661E-2</c:v>
                  </c:pt>
                </c:numCache>
              </c:numRef>
            </c:plus>
            <c:minus>
              <c:numRef>
                <c:f>'Nitrate content CeBER'!$Y$34:$Y$43</c:f>
                <c:numCache>
                  <c:formatCode>General</c:formatCode>
                  <c:ptCount val="10"/>
                  <c:pt idx="0">
                    <c:v>0.16424449358089532</c:v>
                  </c:pt>
                  <c:pt idx="1">
                    <c:v>4.5308282356376073E-2</c:v>
                  </c:pt>
                  <c:pt idx="2">
                    <c:v>1.215135750482978E-2</c:v>
                  </c:pt>
                  <c:pt idx="3">
                    <c:v>2.9291703246390136E-2</c:v>
                  </c:pt>
                  <c:pt idx="4">
                    <c:v>1.7707854653566151E-2</c:v>
                  </c:pt>
                  <c:pt idx="5">
                    <c:v>3.6123434056662414E-2</c:v>
                  </c:pt>
                  <c:pt idx="6">
                    <c:v>2.8759169533185074E-2</c:v>
                  </c:pt>
                  <c:pt idx="7">
                    <c:v>1.2221000952213698E-2</c:v>
                  </c:pt>
                  <c:pt idx="8">
                    <c:v>5.6319275454119661E-2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'Nitrate content CeBER'!$W$34:$W$43</c:f>
              <c:numCache>
                <c:formatCode>0</c:formatCode>
                <c:ptCount val="10"/>
                <c:pt idx="0">
                  <c:v>0</c:v>
                </c:pt>
                <c:pt idx="1">
                  <c:v>45.733333333333334</c:v>
                </c:pt>
                <c:pt idx="2">
                  <c:v>96.6</c:v>
                </c:pt>
                <c:pt idx="3">
                  <c:v>141.13333333333333</c:v>
                </c:pt>
                <c:pt idx="4">
                  <c:v>189.79999999999998</c:v>
                </c:pt>
                <c:pt idx="5">
                  <c:v>238.64999999999998</c:v>
                </c:pt>
                <c:pt idx="6">
                  <c:v>286.68333333333328</c:v>
                </c:pt>
                <c:pt idx="7">
                  <c:v>334.21666666666664</c:v>
                </c:pt>
                <c:pt idx="8">
                  <c:v>430.93333333333334</c:v>
                </c:pt>
              </c:numCache>
            </c:numRef>
          </c:xVal>
          <c:yVal>
            <c:numRef>
              <c:f>'Nitrate content CeBER'!$X$34:$X$43</c:f>
              <c:numCache>
                <c:formatCode>0.000</c:formatCode>
                <c:ptCount val="10"/>
                <c:pt idx="0">
                  <c:v>1.5038745193650793</c:v>
                </c:pt>
                <c:pt idx="1">
                  <c:v>1.4139998999999996</c:v>
                </c:pt>
                <c:pt idx="2">
                  <c:v>1.2376138266666665</c:v>
                </c:pt>
                <c:pt idx="3">
                  <c:v>1.0968378469841271</c:v>
                </c:pt>
                <c:pt idx="4">
                  <c:v>0.98190497547619049</c:v>
                </c:pt>
                <c:pt idx="5">
                  <c:v>0.80809483238095237</c:v>
                </c:pt>
                <c:pt idx="6">
                  <c:v>0.67428731809523812</c:v>
                </c:pt>
                <c:pt idx="7">
                  <c:v>0.63303137650793628</c:v>
                </c:pt>
                <c:pt idx="8">
                  <c:v>0.5099144533333333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0BB-0547-98D6-07C85D513505}"/>
            </c:ext>
          </c:extLst>
        </c:ser>
        <c:ser>
          <c:idx val="2"/>
          <c:order val="2"/>
          <c:tx>
            <c:strRef>
              <c:f>'Nitrate content CeBER'!$B$62:$U$62</c:f>
              <c:strCache>
                <c:ptCount val="1"/>
                <c:pt idx="0">
                  <c:v>80 µmol/m^2.s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rgbClr val="DDDC00"/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'Nitrate content CeBER'!$Y$64:$Y$73</c:f>
                <c:numCache>
                  <c:formatCode>General</c:formatCode>
                  <c:ptCount val="10"/>
                  <c:pt idx="0">
                    <c:v>1.2966148571428636E-2</c:v>
                  </c:pt>
                  <c:pt idx="1">
                    <c:v>3.3576298059555164E-2</c:v>
                  </c:pt>
                  <c:pt idx="2">
                    <c:v>6.5459004480254948E-2</c:v>
                  </c:pt>
                  <c:pt idx="3">
                    <c:v>1.8108508189878966E-2</c:v>
                  </c:pt>
                  <c:pt idx="4">
                    <c:v>1.9686471097106476E-2</c:v>
                  </c:pt>
                  <c:pt idx="5">
                    <c:v>1.7193124270221183E-2</c:v>
                  </c:pt>
                  <c:pt idx="6">
                    <c:v>1.8601082710994001E-2</c:v>
                  </c:pt>
                  <c:pt idx="7">
                    <c:v>2.756532607817215E-2</c:v>
                  </c:pt>
                  <c:pt idx="8">
                    <c:v>1.2569675872212742E-2</c:v>
                  </c:pt>
                </c:numCache>
              </c:numRef>
            </c:plus>
            <c:minus>
              <c:numRef>
                <c:f>'Nitrate content CeBER'!$Y$64:$Y$73</c:f>
                <c:numCache>
                  <c:formatCode>General</c:formatCode>
                  <c:ptCount val="10"/>
                  <c:pt idx="0">
                    <c:v>1.2966148571428636E-2</c:v>
                  </c:pt>
                  <c:pt idx="1">
                    <c:v>3.3576298059555164E-2</c:v>
                  </c:pt>
                  <c:pt idx="2">
                    <c:v>6.5459004480254948E-2</c:v>
                  </c:pt>
                  <c:pt idx="3">
                    <c:v>1.8108508189878966E-2</c:v>
                  </c:pt>
                  <c:pt idx="4">
                    <c:v>1.9686471097106476E-2</c:v>
                  </c:pt>
                  <c:pt idx="5">
                    <c:v>1.7193124270221183E-2</c:v>
                  </c:pt>
                  <c:pt idx="6">
                    <c:v>1.8601082710994001E-2</c:v>
                  </c:pt>
                  <c:pt idx="7">
                    <c:v>2.756532607817215E-2</c:v>
                  </c:pt>
                  <c:pt idx="8">
                    <c:v>1.2569675872212742E-2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'Nitrate content CeBER'!$W$64:$W$73</c:f>
              <c:numCache>
                <c:formatCode>0</c:formatCode>
                <c:ptCount val="10"/>
                <c:pt idx="0">
                  <c:v>0</c:v>
                </c:pt>
                <c:pt idx="1">
                  <c:v>45</c:v>
                </c:pt>
                <c:pt idx="2">
                  <c:v>95.628052805280532</c:v>
                </c:pt>
                <c:pt idx="3">
                  <c:v>140.21138613861388</c:v>
                </c:pt>
                <c:pt idx="4">
                  <c:v>188.87805280528053</c:v>
                </c:pt>
                <c:pt idx="5">
                  <c:v>237.4447194719472</c:v>
                </c:pt>
                <c:pt idx="6">
                  <c:v>285.74471947194718</c:v>
                </c:pt>
                <c:pt idx="7">
                  <c:v>333.24471947194718</c:v>
                </c:pt>
                <c:pt idx="8">
                  <c:v>430.01138613861383</c:v>
                </c:pt>
              </c:numCache>
            </c:numRef>
          </c:xVal>
          <c:yVal>
            <c:numRef>
              <c:f>'Nitrate content CeBER'!$X$64:$X$73</c:f>
              <c:numCache>
                <c:formatCode>0.000</c:formatCode>
                <c:ptCount val="10"/>
                <c:pt idx="0">
                  <c:v>1.5185297447619046</c:v>
                </c:pt>
                <c:pt idx="1">
                  <c:v>1.3330280148148148</c:v>
                </c:pt>
                <c:pt idx="2">
                  <c:v>1.1346617416666669</c:v>
                </c:pt>
                <c:pt idx="3">
                  <c:v>1.0451661858730157</c:v>
                </c:pt>
                <c:pt idx="4">
                  <c:v>0.85372432285714284</c:v>
                </c:pt>
                <c:pt idx="5">
                  <c:v>0.67065521293650798</c:v>
                </c:pt>
                <c:pt idx="6">
                  <c:v>0.54045659809523805</c:v>
                </c:pt>
                <c:pt idx="7">
                  <c:v>0.44546365238095237</c:v>
                </c:pt>
                <c:pt idx="8">
                  <c:v>0.35984469333333324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0BB-0547-98D6-07C85D5135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9963248"/>
        <c:axId val="1531741264"/>
      </c:scatterChart>
      <c:valAx>
        <c:axId val="1519963248"/>
        <c:scaling>
          <c:orientation val="minMax"/>
          <c:max val="4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Time</a:t>
                </a:r>
                <a:r>
                  <a:rPr lang="en-GB" baseline="0"/>
                  <a:t> (h)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0.47704046657315508"/>
              <c:y val="0.8193472004047049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31741264"/>
        <c:crosses val="autoZero"/>
        <c:crossBetween val="midCat"/>
      </c:valAx>
      <c:valAx>
        <c:axId val="153174126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Nitrate</a:t>
                </a:r>
                <a:r>
                  <a:rPr lang="en-GB" baseline="0"/>
                  <a:t> concentration (g.L</a:t>
                </a:r>
                <a:r>
                  <a:rPr lang="en-GB" baseline="30000"/>
                  <a:t>-1</a:t>
                </a:r>
                <a:r>
                  <a:rPr lang="en-GB" baseline="0"/>
                  <a:t>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199632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203827</xdr:colOff>
      <xdr:row>20</xdr:row>
      <xdr:rowOff>177548</xdr:rowOff>
    </xdr:from>
    <xdr:to>
      <xdr:col>0</xdr:col>
      <xdr:colOff>5219700</xdr:colOff>
      <xdr:row>37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C9FB2C9-5F7E-B049-A09F-D37D70985149}"/>
            </a:ext>
            <a:ext uri="{147F2762-F138-4A5C-976F-8EAC2B608ADB}">
              <a16:predDERef xmlns:a16="http://schemas.microsoft.com/office/drawing/2014/main" pred="{29EC78D6-A5B2-4B98-A606-CBBBEAC7F9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209550</xdr:colOff>
      <xdr:row>1</xdr:row>
      <xdr:rowOff>107950</xdr:rowOff>
    </xdr:from>
    <xdr:to>
      <xdr:col>0</xdr:col>
      <xdr:colOff>5143500</xdr:colOff>
      <xdr:row>17</xdr:row>
      <xdr:rowOff>88900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868619B-19DC-E24A-B1D6-B6EE3E8FFB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203827</xdr:colOff>
      <xdr:row>20</xdr:row>
      <xdr:rowOff>177548</xdr:rowOff>
    </xdr:from>
    <xdr:to>
      <xdr:col>0</xdr:col>
      <xdr:colOff>5219700</xdr:colOff>
      <xdr:row>37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78B2FB2-8244-B145-8C2C-47C2474135D7}"/>
            </a:ext>
            <a:ext uri="{147F2762-F138-4A5C-976F-8EAC2B608ADB}">
              <a16:predDERef xmlns:a16="http://schemas.microsoft.com/office/drawing/2014/main" pred="{29EC78D6-A5B2-4B98-A606-CBBBEAC7F9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209550</xdr:colOff>
      <xdr:row>1</xdr:row>
      <xdr:rowOff>107950</xdr:rowOff>
    </xdr:from>
    <xdr:to>
      <xdr:col>0</xdr:col>
      <xdr:colOff>5143500</xdr:colOff>
      <xdr:row>17</xdr:row>
      <xdr:rowOff>88900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AF9A56D-6104-5447-A1DF-E7EFD873B3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143434</xdr:colOff>
      <xdr:row>1</xdr:row>
      <xdr:rowOff>145301</xdr:rowOff>
    </xdr:from>
    <xdr:to>
      <xdr:col>0</xdr:col>
      <xdr:colOff>6007100</xdr:colOff>
      <xdr:row>20</xdr:row>
      <xdr:rowOff>63500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434FAD7-3EF5-4D46-BB32-F78D962B00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133350</xdr:colOff>
      <xdr:row>22</xdr:row>
      <xdr:rowOff>50800</xdr:rowOff>
    </xdr:from>
    <xdr:to>
      <xdr:col>0</xdr:col>
      <xdr:colOff>6007100</xdr:colOff>
      <xdr:row>45</xdr:row>
      <xdr:rowOff>25400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F67813C-BA0A-194D-B99E-7D27CB4C68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143434</xdr:colOff>
      <xdr:row>1</xdr:row>
      <xdr:rowOff>145301</xdr:rowOff>
    </xdr:from>
    <xdr:to>
      <xdr:col>0</xdr:col>
      <xdr:colOff>6007100</xdr:colOff>
      <xdr:row>20</xdr:row>
      <xdr:rowOff>63500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DADEA68-CDF7-3644-B789-A842ED6E0D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133350</xdr:colOff>
      <xdr:row>22</xdr:row>
      <xdr:rowOff>50800</xdr:rowOff>
    </xdr:from>
    <xdr:to>
      <xdr:col>0</xdr:col>
      <xdr:colOff>6007100</xdr:colOff>
      <xdr:row>45</xdr:row>
      <xdr:rowOff>25400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2169B5D-F218-1F46-9A99-C5B25DD2C2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224117</xdr:colOff>
      <xdr:row>2</xdr:row>
      <xdr:rowOff>256987</xdr:rowOff>
    </xdr:from>
    <xdr:to>
      <xdr:col>0</xdr:col>
      <xdr:colOff>5154705</xdr:colOff>
      <xdr:row>20</xdr:row>
      <xdr:rowOff>44825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1A6EB30-5803-4B4D-B3A4-43CCE2B6CB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224117</xdr:colOff>
      <xdr:row>2</xdr:row>
      <xdr:rowOff>256987</xdr:rowOff>
    </xdr:from>
    <xdr:to>
      <xdr:col>0</xdr:col>
      <xdr:colOff>5154705</xdr:colOff>
      <xdr:row>20</xdr:row>
      <xdr:rowOff>44825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13BFC12-B5E3-9642-A366-E378515F4B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28EC06-4A9B-0B41-B29F-241FBBCDBDEE}">
  <dimension ref="A1:F19"/>
  <sheetViews>
    <sheetView tabSelected="1" workbookViewId="0">
      <selection sqref="A1:C2"/>
    </sheetView>
  </sheetViews>
  <sheetFormatPr baseColWidth="10" defaultColWidth="41.1640625" defaultRowHeight="14" x14ac:dyDescent="0.15"/>
  <cols>
    <col min="1" max="1" width="31" style="20" customWidth="1"/>
    <col min="2" max="2" width="9.5" style="21" customWidth="1"/>
    <col min="3" max="3" width="56.1640625" style="20" customWidth="1"/>
    <col min="4" max="4" width="41.1640625" style="1"/>
    <col min="5" max="16384" width="41.1640625" style="3"/>
  </cols>
  <sheetData>
    <row r="1" spans="1:6" s="2" customFormat="1" ht="18" customHeight="1" x14ac:dyDescent="0.2">
      <c r="A1" s="180" t="s">
        <v>112</v>
      </c>
      <c r="B1" s="180"/>
      <c r="C1" s="180"/>
      <c r="D1" s="1"/>
    </row>
    <row r="2" spans="1:6" ht="18" customHeight="1" x14ac:dyDescent="0.15">
      <c r="A2" s="180"/>
      <c r="B2" s="180"/>
      <c r="C2" s="180"/>
    </row>
    <row r="3" spans="1:6" ht="16" x14ac:dyDescent="0.15">
      <c r="A3" s="181" t="s">
        <v>43</v>
      </c>
      <c r="B3" s="181"/>
      <c r="C3" s="181"/>
    </row>
    <row r="4" spans="1:6" s="4" customFormat="1" x14ac:dyDescent="0.15">
      <c r="A4" s="182" t="s">
        <v>44</v>
      </c>
      <c r="B4" s="182"/>
      <c r="C4" s="182"/>
      <c r="D4" s="1"/>
    </row>
    <row r="5" spans="1:6" s="5" customFormat="1" ht="13" x14ac:dyDescent="0.15">
      <c r="A5" s="183" t="s">
        <v>45</v>
      </c>
      <c r="B5" s="183"/>
      <c r="C5" s="183"/>
      <c r="D5" s="1"/>
    </row>
    <row r="6" spans="1:6" ht="60" customHeight="1" x14ac:dyDescent="0.15">
      <c r="A6" s="184" t="s">
        <v>46</v>
      </c>
      <c r="B6" s="184"/>
      <c r="C6" s="184"/>
    </row>
    <row r="7" spans="1:6" ht="17" customHeight="1" x14ac:dyDescent="0.15">
      <c r="A7" s="185" t="s">
        <v>61</v>
      </c>
      <c r="B7" s="185"/>
      <c r="C7" s="185"/>
    </row>
    <row r="8" spans="1:6" ht="30" customHeight="1" x14ac:dyDescent="0.15">
      <c r="A8" s="178" t="s">
        <v>47</v>
      </c>
      <c r="B8" s="178"/>
      <c r="C8" s="178"/>
    </row>
    <row r="9" spans="1:6" x14ac:dyDescent="0.15">
      <c r="A9" s="6" t="s">
        <v>48</v>
      </c>
      <c r="B9" s="7"/>
      <c r="C9" s="8">
        <v>44481</v>
      </c>
    </row>
    <row r="10" spans="1:6" ht="15" thickBot="1" x14ac:dyDescent="0.2">
      <c r="A10" s="9" t="s">
        <v>49</v>
      </c>
      <c r="B10" s="10"/>
      <c r="C10" s="11">
        <v>44499</v>
      </c>
    </row>
    <row r="11" spans="1:6" s="5" customFormat="1" thickBot="1" x14ac:dyDescent="0.2">
      <c r="A11" s="12"/>
      <c r="B11" s="13"/>
      <c r="C11" s="12"/>
      <c r="D11" s="1"/>
    </row>
    <row r="12" spans="1:6" ht="18" thickBot="1" x14ac:dyDescent="0.2">
      <c r="A12" s="14" t="s">
        <v>50</v>
      </c>
      <c r="B12" s="15" t="s">
        <v>51</v>
      </c>
      <c r="C12" s="16" t="s">
        <v>52</v>
      </c>
    </row>
    <row r="13" spans="1:6" ht="15" x14ac:dyDescent="0.15">
      <c r="A13" s="17" t="s">
        <v>53</v>
      </c>
      <c r="B13" s="18">
        <v>1</v>
      </c>
      <c r="C13" s="19" t="s">
        <v>54</v>
      </c>
    </row>
    <row r="14" spans="1:6" ht="45" x14ac:dyDescent="0.15">
      <c r="A14" s="17" t="s">
        <v>55</v>
      </c>
      <c r="B14" s="18">
        <v>2</v>
      </c>
      <c r="C14" s="19" t="s">
        <v>62</v>
      </c>
      <c r="D14" s="179"/>
      <c r="E14" s="179"/>
      <c r="F14" s="179"/>
    </row>
    <row r="15" spans="1:6" ht="45" x14ac:dyDescent="0.15">
      <c r="A15" s="17" t="s">
        <v>56</v>
      </c>
      <c r="B15" s="18">
        <v>3</v>
      </c>
      <c r="C15" s="19" t="s">
        <v>63</v>
      </c>
    </row>
    <row r="16" spans="1:6" ht="45" x14ac:dyDescent="0.15">
      <c r="A16" s="17" t="s">
        <v>57</v>
      </c>
      <c r="B16" s="18">
        <v>4</v>
      </c>
      <c r="C16" s="19" t="s">
        <v>64</v>
      </c>
    </row>
    <row r="17" spans="1:3" ht="45" x14ac:dyDescent="0.15">
      <c r="A17" s="17" t="s">
        <v>58</v>
      </c>
      <c r="B17" s="18">
        <v>5</v>
      </c>
      <c r="C17" s="19" t="s">
        <v>65</v>
      </c>
    </row>
    <row r="18" spans="1:3" ht="45" x14ac:dyDescent="0.15">
      <c r="A18" s="17" t="s">
        <v>59</v>
      </c>
      <c r="B18" s="18">
        <v>6</v>
      </c>
      <c r="C18" s="19" t="s">
        <v>66</v>
      </c>
    </row>
    <row r="19" spans="1:3" ht="45" x14ac:dyDescent="0.15">
      <c r="A19" s="17" t="s">
        <v>60</v>
      </c>
      <c r="B19" s="18">
        <v>7</v>
      </c>
      <c r="C19" s="19" t="s">
        <v>67</v>
      </c>
    </row>
  </sheetData>
  <mergeCells count="8">
    <mergeCell ref="A8:C8"/>
    <mergeCell ref="D14:F14"/>
    <mergeCell ref="A1:C2"/>
    <mergeCell ref="A3:C3"/>
    <mergeCell ref="A4:C4"/>
    <mergeCell ref="A5:C5"/>
    <mergeCell ref="A6:C6"/>
    <mergeCell ref="A7:C7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0A1B6D-25D7-0145-9AED-9C4805A029F0}">
  <dimension ref="A1:AD95"/>
  <sheetViews>
    <sheetView zoomScaleNormal="100" workbookViewId="0">
      <selection sqref="A1:AB1"/>
    </sheetView>
  </sheetViews>
  <sheetFormatPr baseColWidth="10" defaultColWidth="8.83203125" defaultRowHeight="14" x14ac:dyDescent="0.15"/>
  <cols>
    <col min="1" max="1" width="74.5" style="3" customWidth="1"/>
    <col min="2" max="2" width="12" style="3" bestFit="1" customWidth="1"/>
    <col min="3" max="3" width="12" style="3" customWidth="1"/>
    <col min="4" max="11" width="8.83203125" style="3"/>
    <col min="12" max="12" width="13.33203125" style="3" customWidth="1"/>
    <col min="13" max="13" width="10.33203125" style="3" customWidth="1"/>
    <col min="14" max="16" width="8.83203125" style="3"/>
    <col min="17" max="17" width="13.1640625" style="3" customWidth="1"/>
    <col min="18" max="18" width="10.5" style="3" customWidth="1"/>
    <col min="19" max="19" width="8.5" style="3" customWidth="1"/>
    <col min="20" max="20" width="9.1640625" style="3" bestFit="1" customWidth="1"/>
    <col min="21" max="21" width="9.33203125" style="3" bestFit="1" customWidth="1"/>
    <col min="22" max="26" width="9" style="3" bestFit="1" customWidth="1"/>
    <col min="27" max="27" width="10.33203125" style="3" customWidth="1"/>
    <col min="28" max="28" width="8.83203125" style="3" customWidth="1"/>
    <col min="29" max="29" width="12.1640625" style="3" customWidth="1"/>
    <col min="30" max="16384" width="8.83203125" style="3"/>
  </cols>
  <sheetData>
    <row r="1" spans="1:30" ht="17" customHeight="1" thickBot="1" x14ac:dyDescent="0.2">
      <c r="A1" s="207" t="s">
        <v>68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08"/>
      <c r="O1" s="208"/>
      <c r="P1" s="208"/>
      <c r="Q1" s="208"/>
      <c r="R1" s="208"/>
      <c r="S1" s="208"/>
      <c r="T1" s="208"/>
      <c r="U1" s="208"/>
      <c r="V1" s="208"/>
      <c r="W1" s="208"/>
      <c r="X1" s="208"/>
      <c r="Y1" s="208"/>
      <c r="Z1" s="208"/>
      <c r="AA1" s="208"/>
      <c r="AB1" s="209"/>
    </row>
    <row r="2" spans="1:30" ht="15" customHeight="1" thickBot="1" x14ac:dyDescent="0.2">
      <c r="A2" s="22"/>
      <c r="B2" s="210" t="s">
        <v>69</v>
      </c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211"/>
      <c r="P2" s="211"/>
      <c r="Q2" s="211"/>
      <c r="R2" s="211"/>
      <c r="S2" s="211"/>
      <c r="T2" s="211"/>
      <c r="U2" s="211"/>
      <c r="V2" s="211"/>
      <c r="W2" s="211"/>
      <c r="X2" s="211"/>
      <c r="Y2" s="211"/>
      <c r="Z2" s="211"/>
      <c r="AA2" s="211"/>
      <c r="AB2" s="212"/>
    </row>
    <row r="3" spans="1:30" ht="45" customHeight="1" x14ac:dyDescent="0.15">
      <c r="A3" s="22"/>
      <c r="B3" s="23" t="s">
        <v>0</v>
      </c>
      <c r="C3" s="24" t="s">
        <v>1</v>
      </c>
      <c r="D3" s="25" t="s">
        <v>2</v>
      </c>
      <c r="E3" s="26" t="s">
        <v>3</v>
      </c>
      <c r="F3" s="201" t="s">
        <v>70</v>
      </c>
      <c r="G3" s="202"/>
      <c r="H3" s="203"/>
      <c r="I3" s="204" t="s">
        <v>10</v>
      </c>
      <c r="J3" s="202"/>
      <c r="K3" s="203"/>
      <c r="L3" s="27" t="s">
        <v>4</v>
      </c>
      <c r="M3" s="28" t="s">
        <v>71</v>
      </c>
      <c r="N3" s="204" t="s">
        <v>72</v>
      </c>
      <c r="O3" s="202"/>
      <c r="P3" s="203"/>
      <c r="Q3" s="28" t="s">
        <v>5</v>
      </c>
      <c r="R3" s="28" t="s">
        <v>71</v>
      </c>
      <c r="S3" s="204" t="s">
        <v>6</v>
      </c>
      <c r="T3" s="202"/>
      <c r="U3" s="203"/>
      <c r="V3" s="27" t="s">
        <v>73</v>
      </c>
      <c r="W3" s="27" t="s">
        <v>71</v>
      </c>
      <c r="X3" s="204" t="s">
        <v>74</v>
      </c>
      <c r="Y3" s="202"/>
      <c r="Z3" s="203"/>
      <c r="AA3" s="27" t="s">
        <v>75</v>
      </c>
      <c r="AB3" s="29" t="s">
        <v>71</v>
      </c>
    </row>
    <row r="4" spans="1:30" ht="15" customHeight="1" x14ac:dyDescent="0.15">
      <c r="A4" s="22"/>
      <c r="B4" s="30"/>
      <c r="C4" s="31"/>
      <c r="D4" s="32"/>
      <c r="E4" s="33"/>
      <c r="F4" s="188" t="s">
        <v>13</v>
      </c>
      <c r="G4" s="189"/>
      <c r="H4" s="190"/>
      <c r="I4" s="191" t="s">
        <v>7</v>
      </c>
      <c r="J4" s="189"/>
      <c r="K4" s="190"/>
      <c r="L4" s="35" t="s">
        <v>7</v>
      </c>
      <c r="M4" s="36"/>
      <c r="N4" s="191" t="s">
        <v>7</v>
      </c>
      <c r="O4" s="189"/>
      <c r="P4" s="190"/>
      <c r="Q4" s="34" t="s">
        <v>7</v>
      </c>
      <c r="R4" s="34"/>
      <c r="S4" s="195" t="s">
        <v>76</v>
      </c>
      <c r="T4" s="196"/>
      <c r="U4" s="197"/>
      <c r="V4" s="35" t="s">
        <v>76</v>
      </c>
      <c r="W4" s="32"/>
      <c r="X4" s="195" t="s">
        <v>77</v>
      </c>
      <c r="Y4" s="196"/>
      <c r="Z4" s="197"/>
      <c r="AA4" s="37" t="s">
        <v>77</v>
      </c>
      <c r="AB4" s="38"/>
      <c r="AD4" s="137"/>
    </row>
    <row r="5" spans="1:30" s="5" customFormat="1" ht="13" x14ac:dyDescent="0.15">
      <c r="A5" s="46"/>
      <c r="B5" s="186" t="s">
        <v>24</v>
      </c>
      <c r="C5" s="39">
        <v>0.47916666666666669</v>
      </c>
      <c r="D5" s="5">
        <v>0</v>
      </c>
      <c r="E5" s="192">
        <v>1</v>
      </c>
      <c r="F5" s="41">
        <v>9.5000000000000001E-2</v>
      </c>
      <c r="G5" s="42">
        <v>0.10100000000000001</v>
      </c>
      <c r="H5" s="42">
        <v>0.106</v>
      </c>
      <c r="I5" s="42">
        <f t="shared" ref="I5:K24" si="0">1.2334*F5</f>
        <v>0.117173</v>
      </c>
      <c r="J5" s="42">
        <f t="shared" si="0"/>
        <v>0.12457340000000001</v>
      </c>
      <c r="K5" s="42">
        <f t="shared" si="0"/>
        <v>0.13074040000000001</v>
      </c>
      <c r="L5" s="43">
        <f t="shared" ref="L5:L27" si="1">AVERAGE(I5:K5)</f>
        <v>0.12416226666666667</v>
      </c>
      <c r="M5" s="42">
        <f t="shared" ref="M5:M27" si="2">STDEV(I5:K5)/SQRT(3)</f>
        <v>3.9219620367588722E-3</v>
      </c>
      <c r="N5" s="42">
        <f t="shared" ref="N5:P27" si="3">LN(I5)</f>
        <v>-2.1441038038063409</v>
      </c>
      <c r="O5" s="42">
        <f t="shared" si="3"/>
        <v>-2.082860178565622</v>
      </c>
      <c r="P5" s="42">
        <f t="shared" si="3"/>
        <v>-2.0345416012948143</v>
      </c>
      <c r="Q5" s="43">
        <f t="shared" ref="Q5:Q27" si="4">AVERAGE(N5:P5)</f>
        <v>-2.0871685278889256</v>
      </c>
      <c r="R5" s="42">
        <f>STDEV(N5:P5)/SQRT(3)</f>
        <v>3.1701159075617935E-2</v>
      </c>
      <c r="AB5" s="45"/>
      <c r="AD5" s="40"/>
    </row>
    <row r="6" spans="1:30" s="5" customFormat="1" ht="13" x14ac:dyDescent="0.15">
      <c r="A6" s="46"/>
      <c r="B6" s="186"/>
      <c r="C6" s="39">
        <v>0.68055555555555547</v>
      </c>
      <c r="D6" s="40">
        <f>4+50/60</f>
        <v>4.833333333333333</v>
      </c>
      <c r="E6" s="192"/>
      <c r="F6" s="41">
        <v>0.111</v>
      </c>
      <c r="G6" s="42">
        <v>0.109</v>
      </c>
      <c r="H6" s="42">
        <v>0.11</v>
      </c>
      <c r="I6" s="42">
        <f t="shared" si="0"/>
        <v>0.13690740000000001</v>
      </c>
      <c r="J6" s="42">
        <f t="shared" si="0"/>
        <v>0.13444059999999999</v>
      </c>
      <c r="K6" s="42">
        <f t="shared" si="0"/>
        <v>0.13567400000000002</v>
      </c>
      <c r="L6" s="43">
        <f t="shared" si="1"/>
        <v>0.13567400000000002</v>
      </c>
      <c r="M6" s="42">
        <f t="shared" si="2"/>
        <v>7.1210382201848991E-4</v>
      </c>
      <c r="N6" s="42">
        <f t="shared" si="3"/>
        <v>-1.9884504940945475</v>
      </c>
      <c r="O6" s="42">
        <f t="shared" si="3"/>
        <v>-2.0066328131777382</v>
      </c>
      <c r="P6" s="42">
        <f t="shared" si="3"/>
        <v>-1.9975003296144653</v>
      </c>
      <c r="Q6" s="43">
        <f t="shared" si="4"/>
        <v>-1.9975278789622504</v>
      </c>
      <c r="R6" s="42">
        <f t="shared" ref="R6:R27" si="5">STDEV(N6:P6)/SQRT(3)</f>
        <v>5.2488014833757535E-3</v>
      </c>
      <c r="S6" s="42">
        <f>(N6-N5)/(D6-D5)</f>
        <v>3.2204133043819319E-2</v>
      </c>
      <c r="T6" s="42">
        <f>(O6-O5)/(D6-D5)</f>
        <v>1.5771179045769058E-2</v>
      </c>
      <c r="U6" s="42">
        <f>(P6-P5)/(D6-D5)</f>
        <v>7.6637113821411704E-3</v>
      </c>
      <c r="V6" s="43">
        <f>AVERAGE(S6:U6)</f>
        <v>1.8546341157243181E-2</v>
      </c>
      <c r="W6" s="42">
        <f>STDEV(S6:U6)/SQRT(3)</f>
        <v>7.218823020224318E-3</v>
      </c>
      <c r="X6" s="42">
        <f>(I6/D6)</f>
        <v>2.8325668965517244E-2</v>
      </c>
      <c r="Y6" s="42">
        <f>J6/D6</f>
        <v>2.7815296551724138E-2</v>
      </c>
      <c r="Z6" s="42">
        <f>K6/D6</f>
        <v>2.8070482758620695E-2</v>
      </c>
      <c r="AA6" s="43">
        <f>AVERAGE(X6:Z6)</f>
        <v>2.8070482758620691E-2</v>
      </c>
      <c r="AB6" s="146">
        <f>STDEV(X6:Z6)/SQRT(3)</f>
        <v>1.473318252452044E-4</v>
      </c>
      <c r="AD6" s="40"/>
    </row>
    <row r="7" spans="1:30" s="5" customFormat="1" ht="13" x14ac:dyDescent="0.15">
      <c r="A7" s="46"/>
      <c r="B7" s="186"/>
      <c r="C7" s="39">
        <v>0.90625</v>
      </c>
      <c r="D7" s="40">
        <f>10+15/60</f>
        <v>10.25</v>
      </c>
      <c r="E7" s="192"/>
      <c r="F7" s="41">
        <v>0.14699999999999999</v>
      </c>
      <c r="G7" s="42">
        <v>0.161</v>
      </c>
      <c r="H7" s="42">
        <v>0.155</v>
      </c>
      <c r="I7" s="42">
        <f t="shared" si="0"/>
        <v>0.18130979999999999</v>
      </c>
      <c r="J7" s="42">
        <f t="shared" si="0"/>
        <v>0.19857740000000002</v>
      </c>
      <c r="K7" s="42">
        <f t="shared" si="0"/>
        <v>0.19117700000000001</v>
      </c>
      <c r="L7" s="43">
        <f t="shared" si="1"/>
        <v>0.19035473333333333</v>
      </c>
      <c r="M7" s="42">
        <f t="shared" si="2"/>
        <v>5.0016528699132236E-3</v>
      </c>
      <c r="N7" s="42">
        <f t="shared" si="3"/>
        <v>-1.7075481086281454</v>
      </c>
      <c r="O7" s="42">
        <f t="shared" si="3"/>
        <v>-1.6165763304224186</v>
      </c>
      <c r="P7" s="42">
        <f t="shared" si="3"/>
        <v>-1.6545555784876349</v>
      </c>
      <c r="Q7" s="43">
        <f t="shared" si="4"/>
        <v>-1.6595600058460664</v>
      </c>
      <c r="R7" s="42">
        <f t="shared" si="5"/>
        <v>2.6380228248743122E-2</v>
      </c>
      <c r="S7" s="42">
        <f t="shared" ref="S7:S26" si="6">(N7-N6)/(D7-D6)</f>
        <v>5.1858901932258852E-2</v>
      </c>
      <c r="T7" s="42">
        <f t="shared" ref="T7:T24" si="7">(O7-O6)/(D7-D6)</f>
        <v>7.2010427585597475E-2</v>
      </c>
      <c r="U7" s="42">
        <f t="shared" ref="U7:U26" si="8">(P7-P6)/(D7-D6)</f>
        <v>6.3312877131107156E-2</v>
      </c>
      <c r="V7" s="43">
        <f t="shared" ref="V7:V27" si="9">AVERAGE(S7:U7)</f>
        <v>6.2394068882987826E-2</v>
      </c>
      <c r="W7" s="42">
        <f t="shared" ref="W7:W27" si="10">STDEV(S7:U7)/SQRT(3)</f>
        <v>5.8353564011949374E-3</v>
      </c>
      <c r="X7" s="42">
        <f t="shared" ref="X7:X27" si="11">(I7/D7)</f>
        <v>1.7688760975609754E-2</v>
      </c>
      <c r="Y7" s="42">
        <f t="shared" ref="Y7:Y27" si="12">J7/D7</f>
        <v>1.9373404878048783E-2</v>
      </c>
      <c r="Z7" s="42">
        <f t="shared" ref="Z7:Z27" si="13">K7/D7</f>
        <v>1.8651414634146341E-2</v>
      </c>
      <c r="AA7" s="43">
        <f t="shared" ref="AA7:AA27" si="14">AVERAGE(X7:Z7)</f>
        <v>1.8571193495934959E-2</v>
      </c>
      <c r="AB7" s="146">
        <f t="shared" ref="AB7:AB27" si="15">STDEV(X7:Z7)/SQRT(3)</f>
        <v>4.8796613365007131E-4</v>
      </c>
      <c r="AD7" s="40"/>
    </row>
    <row r="8" spans="1:30" s="5" customFormat="1" ht="13" x14ac:dyDescent="0.15">
      <c r="A8" s="46"/>
      <c r="B8" s="187" t="s">
        <v>25</v>
      </c>
      <c r="C8" s="39">
        <v>0.39583333333333331</v>
      </c>
      <c r="D8" s="40">
        <f>11+45/60+D7</f>
        <v>22</v>
      </c>
      <c r="E8" s="192">
        <v>2</v>
      </c>
      <c r="F8" s="41">
        <v>0.20499999999999999</v>
      </c>
      <c r="G8" s="42">
        <v>0.182</v>
      </c>
      <c r="H8" s="42">
        <v>0.19</v>
      </c>
      <c r="I8" s="42">
        <f t="shared" si="0"/>
        <v>0.25284699999999999</v>
      </c>
      <c r="J8" s="42">
        <f t="shared" si="0"/>
        <v>0.22447880000000001</v>
      </c>
      <c r="K8" s="42">
        <f t="shared" si="0"/>
        <v>0.234346</v>
      </c>
      <c r="L8" s="43">
        <f t="shared" si="1"/>
        <v>0.23722393333333333</v>
      </c>
      <c r="M8" s="42">
        <f t="shared" si="2"/>
        <v>8.3146570988292135E-3</v>
      </c>
      <c r="N8" s="42">
        <f t="shared" si="3"/>
        <v>-1.3749707162684734</v>
      </c>
      <c r="O8" s="42">
        <f t="shared" si="3"/>
        <v>-1.4939740083300863</v>
      </c>
      <c r="P8" s="42">
        <f t="shared" si="3"/>
        <v>-1.4509566232463955</v>
      </c>
      <c r="Q8" s="43">
        <f t="shared" si="4"/>
        <v>-1.4399671159483185</v>
      </c>
      <c r="R8" s="42">
        <f t="shared" si="5"/>
        <v>3.4789954648654212E-2</v>
      </c>
      <c r="S8" s="42">
        <f t="shared" si="6"/>
        <v>2.8304458924227404E-2</v>
      </c>
      <c r="T8" s="42">
        <f t="shared" si="7"/>
        <v>1.0434240178070828E-2</v>
      </c>
      <c r="U8" s="42">
        <f t="shared" si="8"/>
        <v>1.7327570658828884E-2</v>
      </c>
      <c r="V8" s="43">
        <f t="shared" si="9"/>
        <v>1.8688756587042374E-2</v>
      </c>
      <c r="W8" s="42">
        <f t="shared" si="10"/>
        <v>5.2033899161106562E-3</v>
      </c>
      <c r="X8" s="42">
        <f t="shared" si="11"/>
        <v>1.1493045454545454E-2</v>
      </c>
      <c r="Y8" s="42">
        <f t="shared" si="12"/>
        <v>1.0203581818181819E-2</v>
      </c>
      <c r="Z8" s="42">
        <f t="shared" si="13"/>
        <v>1.065209090909091E-2</v>
      </c>
      <c r="AA8" s="43">
        <f t="shared" si="14"/>
        <v>1.0782906060606062E-2</v>
      </c>
      <c r="AB8" s="146">
        <f t="shared" si="15"/>
        <v>3.779389590376913E-4</v>
      </c>
      <c r="AD8" s="40"/>
    </row>
    <row r="9" spans="1:30" s="5" customFormat="1" ht="13" x14ac:dyDescent="0.15">
      <c r="A9" s="46"/>
      <c r="B9" s="187"/>
      <c r="C9" s="39">
        <v>0.52777777777777779</v>
      </c>
      <c r="D9" s="40">
        <f>D8+3+10/60</f>
        <v>25.166666666666668</v>
      </c>
      <c r="E9" s="192"/>
      <c r="F9" s="41">
        <v>0.217</v>
      </c>
      <c r="G9" s="42">
        <v>0.214</v>
      </c>
      <c r="H9" s="42">
        <v>0.21099999999999999</v>
      </c>
      <c r="I9" s="42">
        <f t="shared" si="0"/>
        <v>0.26764779999999999</v>
      </c>
      <c r="J9" s="42">
        <f t="shared" si="0"/>
        <v>0.2639476</v>
      </c>
      <c r="K9" s="42">
        <f t="shared" si="0"/>
        <v>0.26024740000000002</v>
      </c>
      <c r="L9" s="43">
        <f t="shared" si="1"/>
        <v>0.2639476</v>
      </c>
      <c r="M9" s="42">
        <f t="shared" si="2"/>
        <v>2.1363114660554457E-3</v>
      </c>
      <c r="N9" s="42">
        <f t="shared" si="3"/>
        <v>-1.3180833418664222</v>
      </c>
      <c r="O9" s="42">
        <f t="shared" si="3"/>
        <v>-1.3320046803850301</v>
      </c>
      <c r="P9" s="42">
        <f t="shared" si="3"/>
        <v>-1.346122561930815</v>
      </c>
      <c r="Q9" s="43">
        <f t="shared" si="4"/>
        <v>-1.3320701947274225</v>
      </c>
      <c r="R9" s="42">
        <f t="shared" si="5"/>
        <v>8.0942919095631227E-3</v>
      </c>
      <c r="S9" s="42">
        <f t="shared" si="6"/>
        <v>1.7964434021700396E-2</v>
      </c>
      <c r="T9" s="42">
        <f t="shared" si="7"/>
        <v>5.1148208824754585E-2</v>
      </c>
      <c r="U9" s="42">
        <f t="shared" si="8"/>
        <v>3.3105493047025404E-2</v>
      </c>
      <c r="V9" s="43">
        <f t="shared" si="9"/>
        <v>3.4072711964493463E-2</v>
      </c>
      <c r="W9" s="42">
        <f t="shared" si="10"/>
        <v>9.5915303240356169E-3</v>
      </c>
      <c r="X9" s="42">
        <f t="shared" si="11"/>
        <v>1.06350119205298E-2</v>
      </c>
      <c r="Y9" s="42">
        <f t="shared" si="12"/>
        <v>1.0487984105960265E-2</v>
      </c>
      <c r="Z9" s="42">
        <f t="shared" si="13"/>
        <v>1.0340956291390729E-2</v>
      </c>
      <c r="AA9" s="43">
        <f t="shared" si="14"/>
        <v>1.0487984105960265E-2</v>
      </c>
      <c r="AB9" s="146">
        <f t="shared" si="15"/>
        <v>8.4886548320083525E-5</v>
      </c>
      <c r="AD9" s="40"/>
    </row>
    <row r="10" spans="1:30" s="5" customFormat="1" ht="13" x14ac:dyDescent="0.15">
      <c r="A10" s="46"/>
      <c r="B10" s="187"/>
      <c r="C10" s="39">
        <v>0.69305555555555554</v>
      </c>
      <c r="D10" s="40">
        <f>3+58/60+D9</f>
        <v>29.133333333333333</v>
      </c>
      <c r="E10" s="192"/>
      <c r="F10" s="41">
        <v>0.23499999999999999</v>
      </c>
      <c r="G10" s="42">
        <v>0.249</v>
      </c>
      <c r="H10" s="42">
        <v>0.221</v>
      </c>
      <c r="I10" s="42">
        <f t="shared" si="0"/>
        <v>0.28984900000000002</v>
      </c>
      <c r="J10" s="42">
        <f t="shared" si="0"/>
        <v>0.30711660000000002</v>
      </c>
      <c r="K10" s="42">
        <f t="shared" si="0"/>
        <v>0.27258140000000003</v>
      </c>
      <c r="L10" s="43">
        <f t="shared" si="1"/>
        <v>0.28984900000000002</v>
      </c>
      <c r="M10" s="42">
        <f t="shared" si="2"/>
        <v>9.9694535082587785E-3</v>
      </c>
      <c r="N10" s="42">
        <f t="shared" si="3"/>
        <v>-1.2383951812627225</v>
      </c>
      <c r="O10" s="42">
        <f t="shared" si="3"/>
        <v>-1.1805277989421741</v>
      </c>
      <c r="P10" s="42">
        <f t="shared" si="3"/>
        <v>-1.2998179938891288</v>
      </c>
      <c r="Q10" s="43">
        <f t="shared" si="4"/>
        <v>-1.2395803246980084</v>
      </c>
      <c r="R10" s="42">
        <f t="shared" si="5"/>
        <v>3.4441211149543245E-2</v>
      </c>
      <c r="S10" s="42">
        <f t="shared" si="6"/>
        <v>2.0089452253033536E-2</v>
      </c>
      <c r="T10" s="42">
        <f t="shared" si="7"/>
        <v>3.8187449103241018E-2</v>
      </c>
      <c r="U10" s="42">
        <f t="shared" si="8"/>
        <v>1.1673420514710826E-2</v>
      </c>
      <c r="V10" s="43">
        <f t="shared" si="9"/>
        <v>2.3316773956995124E-2</v>
      </c>
      <c r="W10" s="42">
        <f t="shared" si="10"/>
        <v>7.8221934697371483E-3</v>
      </c>
      <c r="X10" s="42">
        <f t="shared" si="11"/>
        <v>9.9490503432494281E-3</v>
      </c>
      <c r="Y10" s="42">
        <f t="shared" si="12"/>
        <v>1.0541759725400458E-2</v>
      </c>
      <c r="Z10" s="42">
        <f t="shared" si="13"/>
        <v>9.3563409610984E-3</v>
      </c>
      <c r="AA10" s="43">
        <f t="shared" si="14"/>
        <v>9.9490503432494281E-3</v>
      </c>
      <c r="AB10" s="146">
        <f t="shared" si="15"/>
        <v>3.4220092133611338E-4</v>
      </c>
      <c r="AD10" s="40"/>
    </row>
    <row r="11" spans="1:30" s="5" customFormat="1" ht="13" x14ac:dyDescent="0.15">
      <c r="A11" s="46"/>
      <c r="B11" s="44" t="s">
        <v>26</v>
      </c>
      <c r="C11" s="39">
        <v>0.41666666666666669</v>
      </c>
      <c r="D11" s="40">
        <f>5+22/60+D10+12</f>
        <v>46.5</v>
      </c>
      <c r="E11" s="45">
        <v>3</v>
      </c>
      <c r="F11" s="41">
        <v>0.32100000000000001</v>
      </c>
      <c r="G11" s="42">
        <v>0.34</v>
      </c>
      <c r="H11" s="42">
        <v>0.317</v>
      </c>
      <c r="I11" s="42">
        <f t="shared" si="0"/>
        <v>0.39592140000000003</v>
      </c>
      <c r="J11" s="42">
        <f t="shared" si="0"/>
        <v>0.41935600000000006</v>
      </c>
      <c r="K11" s="42">
        <f t="shared" si="0"/>
        <v>0.3909878</v>
      </c>
      <c r="L11" s="43">
        <f t="shared" si="1"/>
        <v>0.40208840000000001</v>
      </c>
      <c r="M11" s="42">
        <f t="shared" si="2"/>
        <v>8.7504782642626837E-3</v>
      </c>
      <c r="N11" s="42">
        <f t="shared" si="3"/>
        <v>-0.92653957227686567</v>
      </c>
      <c r="O11" s="42">
        <f t="shared" si="3"/>
        <v>-0.86903507779667444</v>
      </c>
      <c r="P11" s="42">
        <f t="shared" si="3"/>
        <v>-0.93907892152960104</v>
      </c>
      <c r="Q11" s="43">
        <f t="shared" si="4"/>
        <v>-0.91155119053438038</v>
      </c>
      <c r="R11" s="42">
        <f t="shared" si="5"/>
        <v>2.1564041841798505E-2</v>
      </c>
      <c r="S11" s="42">
        <f t="shared" si="6"/>
        <v>1.7957136793811335E-2</v>
      </c>
      <c r="T11" s="42">
        <f t="shared" si="7"/>
        <v>1.7936241140815719E-2</v>
      </c>
      <c r="U11" s="42">
        <f t="shared" si="8"/>
        <v>2.0771923552372038E-2</v>
      </c>
      <c r="V11" s="43">
        <f t="shared" si="9"/>
        <v>1.8888433828999698E-2</v>
      </c>
      <c r="W11" s="42">
        <f t="shared" si="10"/>
        <v>9.4176417972077655E-4</v>
      </c>
      <c r="X11" s="42">
        <f t="shared" si="11"/>
        <v>8.5144387096774202E-3</v>
      </c>
      <c r="Y11" s="42">
        <f t="shared" si="12"/>
        <v>9.0184086021505398E-3</v>
      </c>
      <c r="Z11" s="42">
        <f t="shared" si="13"/>
        <v>8.4083397849462373E-3</v>
      </c>
      <c r="AA11" s="43">
        <f t="shared" si="14"/>
        <v>8.6470623655913997E-3</v>
      </c>
      <c r="AB11" s="146">
        <f t="shared" si="15"/>
        <v>1.8818232826371369E-4</v>
      </c>
      <c r="AD11" s="40"/>
    </row>
    <row r="12" spans="1:30" s="5" customFormat="1" ht="13" x14ac:dyDescent="0.15">
      <c r="A12" s="46"/>
      <c r="B12" s="44" t="s">
        <v>27</v>
      </c>
      <c r="C12" s="39">
        <v>0.42499999999999999</v>
      </c>
      <c r="D12" s="40">
        <f>12+12/60+12+D11</f>
        <v>70.7</v>
      </c>
      <c r="E12" s="45">
        <v>4</v>
      </c>
      <c r="F12" s="41">
        <v>0.49299999999999999</v>
      </c>
      <c r="G12" s="42">
        <v>0.48599999999999999</v>
      </c>
      <c r="H12" s="42">
        <v>0.49199999999999999</v>
      </c>
      <c r="I12" s="42">
        <f t="shared" si="0"/>
        <v>0.6080662</v>
      </c>
      <c r="J12" s="42">
        <f t="shared" si="0"/>
        <v>0.59943239999999998</v>
      </c>
      <c r="K12" s="42">
        <f t="shared" si="0"/>
        <v>0.60683280000000006</v>
      </c>
      <c r="L12" s="43">
        <f t="shared" si="1"/>
        <v>0.60477713333333338</v>
      </c>
      <c r="M12" s="42">
        <f t="shared" si="2"/>
        <v>2.6959815586247117E-3</v>
      </c>
      <c r="N12" s="42">
        <f t="shared" si="3"/>
        <v>-0.49747152136419154</v>
      </c>
      <c r="O12" s="42">
        <f t="shared" si="3"/>
        <v>-0.51177207150638793</v>
      </c>
      <c r="P12" s="42">
        <f t="shared" si="3"/>
        <v>-0.49950197891457343</v>
      </c>
      <c r="Q12" s="43">
        <f t="shared" si="4"/>
        <v>-0.50291519059505096</v>
      </c>
      <c r="R12" s="42">
        <f t="shared" si="5"/>
        <v>4.4670625722869053E-3</v>
      </c>
      <c r="S12" s="42">
        <f t="shared" si="6"/>
        <v>1.7730084748457609E-2</v>
      </c>
      <c r="T12" s="42">
        <f t="shared" si="7"/>
        <v>1.4762934144226714E-2</v>
      </c>
      <c r="U12" s="42">
        <f t="shared" si="8"/>
        <v>1.8164336471695353E-2</v>
      </c>
      <c r="V12" s="43">
        <f t="shared" si="9"/>
        <v>1.6885785121459891E-2</v>
      </c>
      <c r="W12" s="42">
        <f t="shared" si="10"/>
        <v>1.068802420693153E-3</v>
      </c>
      <c r="X12" s="42">
        <f t="shared" si="11"/>
        <v>8.6006534653465336E-3</v>
      </c>
      <c r="Y12" s="42">
        <f t="shared" si="12"/>
        <v>8.4785346534653454E-3</v>
      </c>
      <c r="Z12" s="42">
        <f t="shared" si="13"/>
        <v>8.5832079207920804E-3</v>
      </c>
      <c r="AA12" s="43">
        <f t="shared" si="14"/>
        <v>8.5541320132013193E-3</v>
      </c>
      <c r="AB12" s="146">
        <f t="shared" si="15"/>
        <v>3.8132695312938018E-5</v>
      </c>
      <c r="AD12" s="40"/>
    </row>
    <row r="13" spans="1:30" s="5" customFormat="1" ht="13" x14ac:dyDescent="0.15">
      <c r="A13" s="46"/>
      <c r="B13" s="44" t="s">
        <v>28</v>
      </c>
      <c r="C13" s="39">
        <v>0.53611111111111109</v>
      </c>
      <c r="D13" s="40">
        <f>13+40/60+13+D12</f>
        <v>97.366666666666674</v>
      </c>
      <c r="E13" s="45">
        <v>5</v>
      </c>
      <c r="F13" s="41">
        <v>0.70099999999999996</v>
      </c>
      <c r="G13" s="42">
        <v>0.71099999999999997</v>
      </c>
      <c r="H13" s="42">
        <v>0.71899999999999997</v>
      </c>
      <c r="I13" s="42">
        <f t="shared" si="0"/>
        <v>0.86461339999999998</v>
      </c>
      <c r="J13" s="42">
        <f t="shared" si="0"/>
        <v>0.87694740000000004</v>
      </c>
      <c r="K13" s="42">
        <f t="shared" si="0"/>
        <v>0.88681460000000001</v>
      </c>
      <c r="L13" s="43">
        <f t="shared" si="1"/>
        <v>0.87612513333333331</v>
      </c>
      <c r="M13" s="42">
        <f t="shared" si="2"/>
        <v>6.4221079668421895E-3</v>
      </c>
      <c r="N13" s="42">
        <f t="shared" si="3"/>
        <v>-0.1454728083722916</v>
      </c>
      <c r="O13" s="42">
        <f t="shared" si="3"/>
        <v>-0.13130826560364073</v>
      </c>
      <c r="P13" s="42">
        <f t="shared" si="3"/>
        <v>-0.12011933768583496</v>
      </c>
      <c r="Q13" s="43">
        <f t="shared" si="4"/>
        <v>-0.13230013722058909</v>
      </c>
      <c r="R13" s="42">
        <f t="shared" si="5"/>
        <v>7.3356998289332686E-3</v>
      </c>
      <c r="S13" s="42">
        <f t="shared" si="6"/>
        <v>1.3199951737196245E-2</v>
      </c>
      <c r="T13" s="42">
        <f t="shared" si="7"/>
        <v>1.4267392721353018E-2</v>
      </c>
      <c r="U13" s="42">
        <f t="shared" si="8"/>
        <v>1.4226849046077688E-2</v>
      </c>
      <c r="V13" s="43">
        <f t="shared" si="9"/>
        <v>1.3898064501542316E-2</v>
      </c>
      <c r="W13" s="42">
        <f t="shared" si="10"/>
        <v>3.4925254530611215E-4</v>
      </c>
      <c r="X13" s="42">
        <f t="shared" si="11"/>
        <v>8.8799732968161578E-3</v>
      </c>
      <c r="Y13" s="42">
        <f t="shared" si="12"/>
        <v>9.0066490927764465E-3</v>
      </c>
      <c r="Z13" s="42">
        <f t="shared" si="13"/>
        <v>9.107989729544675E-3</v>
      </c>
      <c r="AA13" s="43">
        <f t="shared" si="14"/>
        <v>8.998204039712427E-3</v>
      </c>
      <c r="AB13" s="146">
        <f t="shared" si="15"/>
        <v>6.5957972956270163E-5</v>
      </c>
      <c r="AD13" s="40"/>
    </row>
    <row r="14" spans="1:30" s="5" customFormat="1" ht="13" x14ac:dyDescent="0.15">
      <c r="A14" s="46"/>
      <c r="B14" s="44" t="s">
        <v>29</v>
      </c>
      <c r="C14" s="39">
        <v>0.5395833333333333</v>
      </c>
      <c r="D14" s="40">
        <f>11+5/60+13+D13</f>
        <v>121.45000000000002</v>
      </c>
      <c r="E14" s="45">
        <v>6</v>
      </c>
      <c r="F14" s="41">
        <v>0.84899999999999998</v>
      </c>
      <c r="G14" s="42">
        <v>0.82499999999999996</v>
      </c>
      <c r="H14" s="42">
        <v>0.84199999999999997</v>
      </c>
      <c r="I14" s="42">
        <f t="shared" si="0"/>
        <v>1.0471566000000001</v>
      </c>
      <c r="J14" s="42">
        <f t="shared" si="0"/>
        <v>1.017555</v>
      </c>
      <c r="K14" s="42">
        <f t="shared" si="0"/>
        <v>1.0385228</v>
      </c>
      <c r="L14" s="43">
        <f t="shared" si="1"/>
        <v>1.0344114666666666</v>
      </c>
      <c r="M14" s="42">
        <f t="shared" si="2"/>
        <v>8.7890268132737488E-3</v>
      </c>
      <c r="N14" s="42">
        <f t="shared" si="3"/>
        <v>4.6078490904465752E-2</v>
      </c>
      <c r="O14" s="42">
        <f t="shared" si="3"/>
        <v>1.7402690927799308E-2</v>
      </c>
      <c r="P14" s="42">
        <f t="shared" si="3"/>
        <v>3.7799318835445031E-2</v>
      </c>
      <c r="Q14" s="43">
        <f t="shared" si="4"/>
        <v>3.3760166889236699E-2</v>
      </c>
      <c r="R14" s="42">
        <f t="shared" si="5"/>
        <v>8.5207870804064594E-3</v>
      </c>
      <c r="S14" s="42">
        <f t="shared" si="6"/>
        <v>7.9536871672009936E-3</v>
      </c>
      <c r="T14" s="42">
        <f t="shared" si="7"/>
        <v>6.1748494061497567E-3</v>
      </c>
      <c r="U14" s="42">
        <f t="shared" si="8"/>
        <v>6.5571760493265026E-3</v>
      </c>
      <c r="V14" s="43">
        <f t="shared" si="9"/>
        <v>6.895237540892417E-3</v>
      </c>
      <c r="W14" s="42">
        <f t="shared" si="10"/>
        <v>5.4061080396630159E-4</v>
      </c>
      <c r="X14" s="42">
        <f t="shared" si="11"/>
        <v>8.6221210374639763E-3</v>
      </c>
      <c r="Y14" s="42">
        <f t="shared" si="12"/>
        <v>8.3783861671469732E-3</v>
      </c>
      <c r="Z14" s="42">
        <f t="shared" si="13"/>
        <v>8.5510317002881822E-3</v>
      </c>
      <c r="AA14" s="43">
        <f t="shared" si="14"/>
        <v>8.5171796349663778E-3</v>
      </c>
      <c r="AB14" s="146">
        <f t="shared" si="15"/>
        <v>7.2367450088709081E-5</v>
      </c>
      <c r="AD14" s="40"/>
    </row>
    <row r="15" spans="1:30" s="5" customFormat="1" ht="13" x14ac:dyDescent="0.15">
      <c r="A15" s="46"/>
      <c r="B15" s="44" t="s">
        <v>30</v>
      </c>
      <c r="C15" s="39">
        <v>0.38958333333333334</v>
      </c>
      <c r="D15" s="40">
        <f>8+24/60+12+D14</f>
        <v>141.85000000000002</v>
      </c>
      <c r="E15" s="45">
        <v>7</v>
      </c>
      <c r="F15" s="41">
        <v>0.92100000000000004</v>
      </c>
      <c r="G15" s="42">
        <v>0.89500000000000002</v>
      </c>
      <c r="H15" s="42">
        <v>0.92900000000000005</v>
      </c>
      <c r="I15" s="42">
        <f t="shared" si="0"/>
        <v>1.1359614</v>
      </c>
      <c r="J15" s="42">
        <f t="shared" si="0"/>
        <v>1.103893</v>
      </c>
      <c r="K15" s="42">
        <f t="shared" si="0"/>
        <v>1.1458286000000002</v>
      </c>
      <c r="L15" s="43">
        <f t="shared" si="1"/>
        <v>1.1285610000000001</v>
      </c>
      <c r="M15" s="42">
        <f t="shared" si="2"/>
        <v>1.2658634430827617E-2</v>
      </c>
      <c r="N15" s="42">
        <f t="shared" si="3"/>
        <v>0.12747934084842519</v>
      </c>
      <c r="O15" s="42">
        <f t="shared" si="3"/>
        <v>9.8843022867973723E-2</v>
      </c>
      <c r="P15" s="42">
        <f t="shared" si="3"/>
        <v>0.13612804340695703</v>
      </c>
      <c r="Q15" s="43">
        <f t="shared" si="4"/>
        <v>0.12081680237445198</v>
      </c>
      <c r="R15" s="42">
        <f t="shared" si="5"/>
        <v>1.1266990922394745E-2</v>
      </c>
      <c r="S15" s="42">
        <f t="shared" si="6"/>
        <v>3.9902377423509513E-3</v>
      </c>
      <c r="T15" s="42">
        <f t="shared" si="7"/>
        <v>3.9921731343222746E-3</v>
      </c>
      <c r="U15" s="42">
        <f t="shared" si="8"/>
        <v>4.8200355182113708E-3</v>
      </c>
      <c r="V15" s="43">
        <f t="shared" si="9"/>
        <v>4.2674821316281983E-3</v>
      </c>
      <c r="W15" s="42">
        <f t="shared" si="10"/>
        <v>2.7627725820506227E-4</v>
      </c>
      <c r="X15" s="42">
        <f t="shared" si="11"/>
        <v>8.008187522030313E-3</v>
      </c>
      <c r="Y15" s="42">
        <f t="shared" si="12"/>
        <v>7.7821149101163188E-3</v>
      </c>
      <c r="Z15" s="42">
        <f t="shared" si="13"/>
        <v>8.0777483256961585E-3</v>
      </c>
      <c r="AA15" s="43">
        <f t="shared" si="14"/>
        <v>7.9560169192809307E-3</v>
      </c>
      <c r="AB15" s="146">
        <f t="shared" si="15"/>
        <v>8.923958005518252E-5</v>
      </c>
      <c r="AD15" s="40"/>
    </row>
    <row r="16" spans="1:30" s="5" customFormat="1" ht="13" x14ac:dyDescent="0.15">
      <c r="A16" s="46"/>
      <c r="B16" s="44" t="s">
        <v>31</v>
      </c>
      <c r="C16" s="39">
        <v>0.42291666666666666</v>
      </c>
      <c r="D16" s="40">
        <f>24+48/60+D15</f>
        <v>166.65000000000003</v>
      </c>
      <c r="E16" s="45">
        <v>8</v>
      </c>
      <c r="F16" s="41">
        <v>1.2410000000000001</v>
      </c>
      <c r="G16" s="42">
        <v>1.1990000000000001</v>
      </c>
      <c r="H16" s="42">
        <v>1.321</v>
      </c>
      <c r="I16" s="42">
        <f t="shared" si="0"/>
        <v>1.5306494000000002</v>
      </c>
      <c r="J16" s="42">
        <f t="shared" si="0"/>
        <v>1.4788466000000002</v>
      </c>
      <c r="K16" s="42">
        <f t="shared" si="0"/>
        <v>1.6293214</v>
      </c>
      <c r="L16" s="43">
        <f t="shared" si="1"/>
        <v>1.546272466666667</v>
      </c>
      <c r="M16" s="42">
        <f t="shared" si="2"/>
        <v>4.4135120247611265E-2</v>
      </c>
      <c r="N16" s="42">
        <f t="shared" si="3"/>
        <v>0.42569208979772566</v>
      </c>
      <c r="O16" s="42">
        <f t="shared" si="3"/>
        <v>0.39126245962063272</v>
      </c>
      <c r="P16" s="42">
        <f t="shared" si="3"/>
        <v>0.48816360911544365</v>
      </c>
      <c r="Q16" s="43">
        <f t="shared" si="4"/>
        <v>0.43503938617793397</v>
      </c>
      <c r="R16" s="42">
        <f t="shared" si="5"/>
        <v>2.8360695546057618E-2</v>
      </c>
      <c r="S16" s="42">
        <f t="shared" si="6"/>
        <v>1.2024707618923401E-2</v>
      </c>
      <c r="T16" s="42">
        <f t="shared" si="7"/>
        <v>1.179110632067173E-2</v>
      </c>
      <c r="U16" s="42">
        <f t="shared" si="8"/>
        <v>1.4194982488245422E-2</v>
      </c>
      <c r="V16" s="43">
        <f t="shared" si="9"/>
        <v>1.2670265475946851E-2</v>
      </c>
      <c r="W16" s="42">
        <f t="shared" si="10"/>
        <v>7.6533519177998666E-4</v>
      </c>
      <c r="X16" s="42">
        <f t="shared" si="11"/>
        <v>9.1848148814881476E-3</v>
      </c>
      <c r="Y16" s="42">
        <f t="shared" si="12"/>
        <v>8.8739669966996695E-3</v>
      </c>
      <c r="Z16" s="42">
        <f t="shared" si="13"/>
        <v>9.7769060906090586E-3</v>
      </c>
      <c r="AA16" s="43">
        <f t="shared" si="14"/>
        <v>9.2785626562656241E-3</v>
      </c>
      <c r="AB16" s="146">
        <f t="shared" si="15"/>
        <v>2.6483720520618806E-4</v>
      </c>
      <c r="AD16" s="40"/>
    </row>
    <row r="17" spans="1:30" s="5" customFormat="1" ht="13" x14ac:dyDescent="0.15">
      <c r="A17" s="46"/>
      <c r="B17" s="44" t="s">
        <v>32</v>
      </c>
      <c r="C17" s="39">
        <v>0.41805555555555557</v>
      </c>
      <c r="D17" s="40">
        <f>11+53/60+12+D16</f>
        <v>190.53333333333336</v>
      </c>
      <c r="E17" s="45">
        <v>9</v>
      </c>
      <c r="F17" s="41">
        <f>2*0.787</f>
        <v>1.5740000000000001</v>
      </c>
      <c r="G17" s="42">
        <f>2*0.76</f>
        <v>1.52</v>
      </c>
      <c r="H17" s="42">
        <f>2*0.783</f>
        <v>1.5660000000000001</v>
      </c>
      <c r="I17" s="42">
        <f t="shared" si="0"/>
        <v>1.9413716000000001</v>
      </c>
      <c r="J17" s="42">
        <f t="shared" si="0"/>
        <v>1.874768</v>
      </c>
      <c r="K17" s="42">
        <f t="shared" si="0"/>
        <v>1.9315044000000001</v>
      </c>
      <c r="L17" s="43">
        <f t="shared" si="1"/>
        <v>1.9158813333333333</v>
      </c>
      <c r="M17" s="42">
        <f t="shared" si="2"/>
        <v>2.0753072401400698E-2</v>
      </c>
      <c r="N17" s="42">
        <f t="shared" si="3"/>
        <v>0.66339473357046697</v>
      </c>
      <c r="O17" s="42">
        <f t="shared" si="3"/>
        <v>0.62848491843344045</v>
      </c>
      <c r="P17" s="42">
        <f t="shared" si="3"/>
        <v>0.65829918114386676</v>
      </c>
      <c r="Q17" s="43">
        <f t="shared" si="4"/>
        <v>0.65005961104925813</v>
      </c>
      <c r="R17" s="42">
        <f t="shared" si="5"/>
        <v>1.088717417780082E-2</v>
      </c>
      <c r="S17" s="42">
        <f t="shared" si="6"/>
        <v>9.9526577992773788E-3</v>
      </c>
      <c r="T17" s="42">
        <f t="shared" si="7"/>
        <v>9.9325523578286598E-3</v>
      </c>
      <c r="U17" s="42">
        <f t="shared" si="8"/>
        <v>7.1236108316157639E-3</v>
      </c>
      <c r="V17" s="43">
        <f t="shared" si="9"/>
        <v>9.0029403295739333E-3</v>
      </c>
      <c r="W17" s="42">
        <f t="shared" si="10"/>
        <v>9.396826731430392E-4</v>
      </c>
      <c r="X17" s="42">
        <f t="shared" si="11"/>
        <v>1.0189144156752972E-2</v>
      </c>
      <c r="Y17" s="42">
        <f t="shared" si="12"/>
        <v>9.83958012596221E-3</v>
      </c>
      <c r="Z17" s="42">
        <f t="shared" si="13"/>
        <v>1.0137356892932119E-2</v>
      </c>
      <c r="AA17" s="43">
        <f t="shared" si="14"/>
        <v>1.0055360391882434E-2</v>
      </c>
      <c r="AB17" s="146">
        <f t="shared" si="15"/>
        <v>1.0892095382120706E-4</v>
      </c>
      <c r="AD17" s="40"/>
    </row>
    <row r="18" spans="1:30" s="5" customFormat="1" ht="13" x14ac:dyDescent="0.15">
      <c r="A18" s="46"/>
      <c r="B18" s="44" t="s">
        <v>33</v>
      </c>
      <c r="C18" s="39">
        <v>0.4458333333333333</v>
      </c>
      <c r="D18" s="40">
        <f>40/60+24+D17</f>
        <v>215.20000000000002</v>
      </c>
      <c r="E18" s="45">
        <v>10</v>
      </c>
      <c r="F18" s="41">
        <f>2*0.944</f>
        <v>1.8879999999999999</v>
      </c>
      <c r="G18" s="42">
        <f>2*0.884</f>
        <v>1.768</v>
      </c>
      <c r="H18" s="42">
        <f>2*0.92</f>
        <v>1.84</v>
      </c>
      <c r="I18" s="42">
        <f t="shared" si="0"/>
        <v>2.3286592000000002</v>
      </c>
      <c r="J18" s="42">
        <f t="shared" si="0"/>
        <v>2.1806512000000002</v>
      </c>
      <c r="K18" s="42">
        <f t="shared" si="0"/>
        <v>2.2694560000000004</v>
      </c>
      <c r="L18" s="43">
        <f t="shared" si="1"/>
        <v>2.2595888</v>
      </c>
      <c r="M18" s="42">
        <f t="shared" si="2"/>
        <v>4.3010127655704521E-2</v>
      </c>
      <c r="N18" s="42">
        <f t="shared" si="3"/>
        <v>0.84529265129856435</v>
      </c>
      <c r="O18" s="42">
        <f t="shared" si="3"/>
        <v>0.77962354779070719</v>
      </c>
      <c r="P18" s="42">
        <f t="shared" si="3"/>
        <v>0.81954015519614976</v>
      </c>
      <c r="Q18" s="43">
        <f t="shared" si="4"/>
        <v>0.81481878476180702</v>
      </c>
      <c r="R18" s="42">
        <f t="shared" si="5"/>
        <v>1.910345774081338E-2</v>
      </c>
      <c r="S18" s="42">
        <f t="shared" si="6"/>
        <v>7.3742399078958422E-3</v>
      </c>
      <c r="T18" s="42">
        <f t="shared" si="7"/>
        <v>6.1272417307000051E-3</v>
      </c>
      <c r="U18" s="42">
        <f t="shared" si="8"/>
        <v>6.5367962453628265E-3</v>
      </c>
      <c r="V18" s="43">
        <f t="shared" si="9"/>
        <v>6.6794259613195579E-3</v>
      </c>
      <c r="W18" s="42">
        <f t="shared" si="10"/>
        <v>3.6697345062363773E-4</v>
      </c>
      <c r="X18" s="42">
        <f t="shared" si="11"/>
        <v>1.0820907063197025E-2</v>
      </c>
      <c r="Y18" s="42">
        <f t="shared" si="12"/>
        <v>1.0133137546468402E-2</v>
      </c>
      <c r="Z18" s="42">
        <f t="shared" si="13"/>
        <v>1.0545799256505577E-2</v>
      </c>
      <c r="AA18" s="43">
        <f t="shared" si="14"/>
        <v>1.0499947955390334E-2</v>
      </c>
      <c r="AB18" s="146">
        <f t="shared" si="15"/>
        <v>1.9986118799119167E-4</v>
      </c>
      <c r="AD18" s="40"/>
    </row>
    <row r="19" spans="1:30" s="5" customFormat="1" ht="13" x14ac:dyDescent="0.15">
      <c r="A19" s="46"/>
      <c r="B19" s="44" t="s">
        <v>34</v>
      </c>
      <c r="C19" s="39">
        <v>0.43472222222222223</v>
      </c>
      <c r="D19" s="40">
        <f>12+11+44/60+D18</f>
        <v>238.93333333333334</v>
      </c>
      <c r="E19" s="45">
        <v>11</v>
      </c>
      <c r="F19" s="41">
        <f>2*0.999</f>
        <v>1.998</v>
      </c>
      <c r="G19" s="42">
        <f>2*0.979</f>
        <v>1.958</v>
      </c>
      <c r="H19" s="42">
        <f>2*1.096</f>
        <v>2.1920000000000002</v>
      </c>
      <c r="I19" s="42">
        <f t="shared" si="0"/>
        <v>2.4643332</v>
      </c>
      <c r="J19" s="42">
        <f t="shared" si="0"/>
        <v>2.4149972000000002</v>
      </c>
      <c r="K19" s="42">
        <f t="shared" si="0"/>
        <v>2.7036128000000001</v>
      </c>
      <c r="L19" s="43">
        <f t="shared" si="1"/>
        <v>2.5276477333333336</v>
      </c>
      <c r="M19" s="42">
        <f t="shared" si="2"/>
        <v>8.9127789791312834E-2</v>
      </c>
      <c r="N19" s="42">
        <f t="shared" si="3"/>
        <v>0.90192126380161719</v>
      </c>
      <c r="O19" s="42">
        <f t="shared" si="3"/>
        <v>0.88169812768357414</v>
      </c>
      <c r="P19" s="42">
        <f t="shared" si="3"/>
        <v>0.99458895266102454</v>
      </c>
      <c r="Q19" s="43">
        <f t="shared" si="4"/>
        <v>0.92606944804873859</v>
      </c>
      <c r="R19" s="42">
        <f t="shared" si="5"/>
        <v>3.4753588269640243E-2</v>
      </c>
      <c r="S19" s="42">
        <f t="shared" si="6"/>
        <v>2.3860370436679583E-3</v>
      </c>
      <c r="T19" s="42">
        <f t="shared" si="7"/>
        <v>4.3008952202050702E-3</v>
      </c>
      <c r="U19" s="42">
        <f t="shared" si="8"/>
        <v>7.3756515785761891E-3</v>
      </c>
      <c r="V19" s="43">
        <f t="shared" si="9"/>
        <v>4.6875279474830724E-3</v>
      </c>
      <c r="W19" s="42">
        <f t="shared" si="10"/>
        <v>1.4532924632357713E-3</v>
      </c>
      <c r="X19" s="42">
        <f t="shared" si="11"/>
        <v>1.0313894531249999E-2</v>
      </c>
      <c r="Y19" s="42">
        <f t="shared" si="12"/>
        <v>1.010741015625E-2</v>
      </c>
      <c r="Z19" s="42">
        <f t="shared" si="13"/>
        <v>1.131534375E-2</v>
      </c>
      <c r="AA19" s="43">
        <f t="shared" si="14"/>
        <v>1.0578882812500001E-2</v>
      </c>
      <c r="AB19" s="146">
        <f t="shared" si="15"/>
        <v>3.730236737917669E-4</v>
      </c>
      <c r="AD19" s="40"/>
    </row>
    <row r="20" spans="1:30" s="5" customFormat="1" ht="13" x14ac:dyDescent="0.15">
      <c r="A20" s="46"/>
      <c r="B20" s="44" t="s">
        <v>35</v>
      </c>
      <c r="C20" s="39">
        <v>0.49236111111111108</v>
      </c>
      <c r="D20" s="40">
        <f>1+23/60+24+D19</f>
        <v>264.31666666666666</v>
      </c>
      <c r="E20" s="45">
        <v>12</v>
      </c>
      <c r="F20" s="41">
        <f>4*0.582</f>
        <v>2.3279999999999998</v>
      </c>
      <c r="G20" s="42">
        <f>4*0.542</f>
        <v>2.1680000000000001</v>
      </c>
      <c r="H20" s="42">
        <f>4*0.634</f>
        <v>2.536</v>
      </c>
      <c r="I20" s="42">
        <f t="shared" si="0"/>
        <v>2.8713552</v>
      </c>
      <c r="J20" s="42">
        <f t="shared" si="0"/>
        <v>2.6740112000000003</v>
      </c>
      <c r="K20" s="42">
        <f t="shared" si="0"/>
        <v>3.1279024</v>
      </c>
      <c r="L20" s="43">
        <f t="shared" si="1"/>
        <v>2.8910896000000004</v>
      </c>
      <c r="M20" s="42">
        <f t="shared" si="2"/>
        <v>0.13139811042131966</v>
      </c>
      <c r="N20" s="42">
        <f t="shared" si="3"/>
        <v>1.0547841134444467</v>
      </c>
      <c r="O20" s="42">
        <f t="shared" si="3"/>
        <v>0.98357966715265521</v>
      </c>
      <c r="P20" s="42">
        <f t="shared" si="3"/>
        <v>1.1403626201502348</v>
      </c>
      <c r="Q20" s="43">
        <f t="shared" si="4"/>
        <v>1.0595754669157789</v>
      </c>
      <c r="R20" s="42">
        <f t="shared" si="5"/>
        <v>4.5322699936954883E-2</v>
      </c>
      <c r="S20" s="42">
        <f t="shared" si="6"/>
        <v>6.0221739846157392E-3</v>
      </c>
      <c r="T20" s="42">
        <f t="shared" si="7"/>
        <v>4.0137179042316912E-3</v>
      </c>
      <c r="U20" s="42">
        <f t="shared" si="8"/>
        <v>5.7428890672046092E-3</v>
      </c>
      <c r="V20" s="43">
        <f t="shared" si="9"/>
        <v>5.2595936520173471E-3</v>
      </c>
      <c r="W20" s="42">
        <f t="shared" si="10"/>
        <v>6.2813342543966073E-4</v>
      </c>
      <c r="X20" s="42">
        <f t="shared" si="11"/>
        <v>1.0863314963112429E-2</v>
      </c>
      <c r="Y20" s="42">
        <f t="shared" si="12"/>
        <v>1.0116695378018792E-2</v>
      </c>
      <c r="Z20" s="42">
        <f t="shared" si="13"/>
        <v>1.1833920423734157E-2</v>
      </c>
      <c r="AA20" s="43">
        <f t="shared" si="14"/>
        <v>1.0937976921621793E-2</v>
      </c>
      <c r="AB20" s="146">
        <f t="shared" si="15"/>
        <v>4.9712381772363807E-4</v>
      </c>
      <c r="AD20" s="147"/>
    </row>
    <row r="21" spans="1:30" s="5" customFormat="1" ht="13" x14ac:dyDescent="0.15">
      <c r="A21" s="46"/>
      <c r="B21" s="46" t="s">
        <v>36</v>
      </c>
      <c r="C21" s="39">
        <v>0.4548611111111111</v>
      </c>
      <c r="D21" s="40">
        <f>11+6/60+12+D20</f>
        <v>287.41666666666669</v>
      </c>
      <c r="E21" s="45">
        <v>13</v>
      </c>
      <c r="F21" s="41">
        <f>4*0.612</f>
        <v>2.448</v>
      </c>
      <c r="G21" s="42">
        <f>4*0.553</f>
        <v>2.2120000000000002</v>
      </c>
      <c r="H21" s="42">
        <f>4*0.648</f>
        <v>2.5920000000000001</v>
      </c>
      <c r="I21" s="42">
        <f t="shared" si="0"/>
        <v>3.0193631999999999</v>
      </c>
      <c r="J21" s="42">
        <f t="shared" si="0"/>
        <v>2.7282808000000003</v>
      </c>
      <c r="K21" s="42">
        <f t="shared" si="0"/>
        <v>3.1969728000000002</v>
      </c>
      <c r="L21" s="43">
        <f t="shared" si="1"/>
        <v>2.9815389333333333</v>
      </c>
      <c r="M21" s="42">
        <f t="shared" si="2"/>
        <v>0.13661509686909093</v>
      </c>
      <c r="N21" s="42">
        <f t="shared" si="3"/>
        <v>1.105045948225335</v>
      </c>
      <c r="O21" s="42">
        <f t="shared" si="3"/>
        <v>1.0036716672353438</v>
      </c>
      <c r="P21" s="42">
        <f t="shared" si="3"/>
        <v>1.1622043620652838</v>
      </c>
      <c r="Q21" s="43">
        <f t="shared" si="4"/>
        <v>1.0903073258419875</v>
      </c>
      <c r="R21" s="42">
        <f t="shared" si="5"/>
        <v>4.6353978882903164E-2</v>
      </c>
      <c r="S21" s="42">
        <f t="shared" si="6"/>
        <v>2.1758370035016559E-3</v>
      </c>
      <c r="T21" s="42">
        <f t="shared" si="7"/>
        <v>8.6978355336314345E-4</v>
      </c>
      <c r="U21" s="42">
        <f t="shared" si="8"/>
        <v>9.4552995303242118E-4</v>
      </c>
      <c r="V21" s="43">
        <f t="shared" si="9"/>
        <v>1.3303835032990735E-3</v>
      </c>
      <c r="W21" s="42">
        <f t="shared" si="10"/>
        <v>4.2329189889850756E-4</v>
      </c>
      <c r="X21" s="42">
        <f t="shared" si="11"/>
        <v>1.0505177848651782E-2</v>
      </c>
      <c r="Y21" s="42">
        <f t="shared" si="12"/>
        <v>9.4924237750072492E-3</v>
      </c>
      <c r="Z21" s="42">
        <f t="shared" si="13"/>
        <v>1.112312948680777E-2</v>
      </c>
      <c r="AA21" s="43">
        <f t="shared" si="14"/>
        <v>1.0373577036822268E-2</v>
      </c>
      <c r="AB21" s="146">
        <f t="shared" si="15"/>
        <v>4.7532071975328811E-4</v>
      </c>
      <c r="AD21" s="40"/>
    </row>
    <row r="22" spans="1:30" s="5" customFormat="1" ht="13" x14ac:dyDescent="0.15">
      <c r="A22" s="46"/>
      <c r="B22" s="46" t="s">
        <v>37</v>
      </c>
      <c r="C22" s="39">
        <v>0.48333333333333334</v>
      </c>
      <c r="D22" s="40">
        <f>41/60+24+D21</f>
        <v>312.10000000000002</v>
      </c>
      <c r="E22" s="45">
        <v>14</v>
      </c>
      <c r="F22" s="41">
        <f>4*0.627</f>
        <v>2.508</v>
      </c>
      <c r="G22" s="42">
        <f>4*0.574</f>
        <v>2.2959999999999998</v>
      </c>
      <c r="H22" s="42">
        <f>4*0.661</f>
        <v>2.6440000000000001</v>
      </c>
      <c r="I22" s="42">
        <f t="shared" si="0"/>
        <v>3.0933672000000003</v>
      </c>
      <c r="J22" s="42">
        <f t="shared" si="0"/>
        <v>2.8318863999999997</v>
      </c>
      <c r="K22" s="42">
        <f t="shared" si="0"/>
        <v>3.2611096000000002</v>
      </c>
      <c r="L22" s="43">
        <f t="shared" si="1"/>
        <v>3.0621210666666663</v>
      </c>
      <c r="M22" s="42">
        <f t="shared" si="2"/>
        <v>0.12488712168831159</v>
      </c>
      <c r="N22" s="42">
        <f t="shared" si="3"/>
        <v>1.1292602063459298</v>
      </c>
      <c r="O22" s="42">
        <f t="shared" si="3"/>
        <v>1.0409430620325753</v>
      </c>
      <c r="P22" s="42">
        <f t="shared" si="3"/>
        <v>1.1820675055646952</v>
      </c>
      <c r="Q22" s="43">
        <f t="shared" si="4"/>
        <v>1.1174235913143999</v>
      </c>
      <c r="R22" s="42">
        <f t="shared" si="5"/>
        <v>4.1166759374184833E-2</v>
      </c>
      <c r="S22" s="42">
        <f t="shared" si="6"/>
        <v>9.809962776743356E-4</v>
      </c>
      <c r="T22" s="42">
        <f t="shared" si="7"/>
        <v>1.5099822335137637E-3</v>
      </c>
      <c r="U22" s="42">
        <f t="shared" si="8"/>
        <v>8.0471884535090175E-4</v>
      </c>
      <c r="V22" s="43">
        <f t="shared" si="9"/>
        <v>1.0985657855130003E-3</v>
      </c>
      <c r="W22" s="42">
        <f t="shared" si="10"/>
        <v>2.1190882752637538E-4</v>
      </c>
      <c r="X22" s="42">
        <f t="shared" si="11"/>
        <v>9.9114617109900671E-3</v>
      </c>
      <c r="Y22" s="42">
        <f t="shared" si="12"/>
        <v>9.0736507529637928E-3</v>
      </c>
      <c r="Z22" s="42">
        <f t="shared" si="13"/>
        <v>1.0448925344440883E-2</v>
      </c>
      <c r="AA22" s="43">
        <f t="shared" si="14"/>
        <v>9.8113459361315811E-3</v>
      </c>
      <c r="AB22" s="146">
        <f t="shared" si="15"/>
        <v>4.0015098266040194E-4</v>
      </c>
      <c r="AD22" s="40"/>
    </row>
    <row r="23" spans="1:30" s="5" customFormat="1" ht="13" x14ac:dyDescent="0.15">
      <c r="A23" s="46"/>
      <c r="B23" s="46" t="s">
        <v>38</v>
      </c>
      <c r="C23" s="39">
        <v>0.43472222222222223</v>
      </c>
      <c r="D23" s="40">
        <f>10+50/60+12+D22</f>
        <v>334.93333333333334</v>
      </c>
      <c r="E23" s="45">
        <v>15</v>
      </c>
      <c r="F23" s="41">
        <f>4*0.637</f>
        <v>2.548</v>
      </c>
      <c r="G23" s="42">
        <f>4*0.577</f>
        <v>2.3079999999999998</v>
      </c>
      <c r="H23" s="42">
        <f>4*0.696</f>
        <v>2.7839999999999998</v>
      </c>
      <c r="I23" s="42">
        <f t="shared" si="0"/>
        <v>3.1427032000000001</v>
      </c>
      <c r="J23" s="42">
        <f t="shared" si="0"/>
        <v>2.8466871999999999</v>
      </c>
      <c r="K23" s="42">
        <f t="shared" si="0"/>
        <v>3.4337855999999998</v>
      </c>
      <c r="L23" s="43">
        <f t="shared" si="1"/>
        <v>3.1410586666666664</v>
      </c>
      <c r="M23" s="42">
        <f t="shared" si="2"/>
        <v>0.16948270431723836</v>
      </c>
      <c r="N23" s="42">
        <f t="shared" si="3"/>
        <v>1.1450833212851723</v>
      </c>
      <c r="O23" s="42">
        <f t="shared" si="3"/>
        <v>1.0461559322211085</v>
      </c>
      <c r="P23" s="42">
        <f t="shared" si="3"/>
        <v>1.2336633260474286</v>
      </c>
      <c r="Q23" s="43">
        <f t="shared" si="4"/>
        <v>1.1416341931845697</v>
      </c>
      <c r="R23" s="42">
        <f t="shared" si="5"/>
        <v>5.4156187853206736E-2</v>
      </c>
      <c r="S23" s="42">
        <f t="shared" si="6"/>
        <v>6.9298313602521907E-4</v>
      </c>
      <c r="T23" s="42">
        <f t="shared" si="7"/>
        <v>2.2830088416933851E-4</v>
      </c>
      <c r="U23" s="42">
        <f t="shared" si="8"/>
        <v>2.2596709700467188E-3</v>
      </c>
      <c r="V23" s="43">
        <f t="shared" si="9"/>
        <v>1.0603183300804254E-3</v>
      </c>
      <c r="W23" s="42">
        <f t="shared" si="10"/>
        <v>6.1449639680067854E-4</v>
      </c>
      <c r="X23" s="42">
        <f t="shared" si="11"/>
        <v>9.3830708598726109E-3</v>
      </c>
      <c r="Y23" s="42">
        <f t="shared" si="12"/>
        <v>8.4992651273885344E-3</v>
      </c>
      <c r="Z23" s="42">
        <f t="shared" si="13"/>
        <v>1.0252146496815285E-2</v>
      </c>
      <c r="AA23" s="43">
        <f t="shared" si="14"/>
        <v>9.378160828025478E-3</v>
      </c>
      <c r="AB23" s="146">
        <f t="shared" si="15"/>
        <v>5.0601922069239136E-4</v>
      </c>
      <c r="AD23" s="40"/>
    </row>
    <row r="24" spans="1:30" s="5" customFormat="1" ht="13" x14ac:dyDescent="0.15">
      <c r="A24" s="46"/>
      <c r="B24" s="46" t="s">
        <v>39</v>
      </c>
      <c r="C24" s="39">
        <v>0.4284722222222222</v>
      </c>
      <c r="D24" s="40">
        <f>11+51/60+12+D23</f>
        <v>358.78333333333336</v>
      </c>
      <c r="E24" s="45">
        <v>16</v>
      </c>
      <c r="F24" s="41">
        <f>4*0.65</f>
        <v>2.6</v>
      </c>
      <c r="G24" s="42">
        <f>4*0.621</f>
        <v>2.484</v>
      </c>
      <c r="H24" s="42">
        <f>4*0.698</f>
        <v>2.7919999999999998</v>
      </c>
      <c r="I24" s="42">
        <f t="shared" si="0"/>
        <v>3.2068400000000001</v>
      </c>
      <c r="J24" s="42">
        <f t="shared" si="0"/>
        <v>3.0637656</v>
      </c>
      <c r="K24" s="42">
        <f t="shared" si="0"/>
        <v>3.4436527999999997</v>
      </c>
      <c r="L24" s="43">
        <f t="shared" si="1"/>
        <v>3.2380861333333328</v>
      </c>
      <c r="M24" s="42">
        <f t="shared" si="2"/>
        <v>0.1107712535169862</v>
      </c>
      <c r="N24" s="42">
        <f t="shared" si="3"/>
        <v>1.1652860286026918</v>
      </c>
      <c r="O24" s="42">
        <f t="shared" si="3"/>
        <v>1.1196447476464877</v>
      </c>
      <c r="P24" s="42">
        <f t="shared" si="3"/>
        <v>1.2365327684753813</v>
      </c>
      <c r="Q24" s="43">
        <f t="shared" si="4"/>
        <v>1.1738211815748538</v>
      </c>
      <c r="R24" s="42">
        <f t="shared" si="5"/>
        <v>3.4011463658192354E-2</v>
      </c>
      <c r="S24" s="42">
        <f t="shared" si="6"/>
        <v>8.4707368207628841E-4</v>
      </c>
      <c r="T24" s="42">
        <f t="shared" si="7"/>
        <v>3.0812920513785804E-3</v>
      </c>
      <c r="U24" s="42">
        <f t="shared" si="8"/>
        <v>1.2031205148648746E-4</v>
      </c>
      <c r="V24" s="43">
        <f t="shared" si="9"/>
        <v>1.3495592616471189E-3</v>
      </c>
      <c r="W24" s="42">
        <f t="shared" si="10"/>
        <v>8.9092077055102936E-4</v>
      </c>
      <c r="X24" s="42">
        <f t="shared" si="11"/>
        <v>8.9380963441259807E-3</v>
      </c>
      <c r="Y24" s="42">
        <f t="shared" si="12"/>
        <v>8.5393197380034362E-3</v>
      </c>
      <c r="Z24" s="42">
        <f t="shared" si="13"/>
        <v>9.5981403818460528E-3</v>
      </c>
      <c r="AA24" s="43">
        <f t="shared" si="14"/>
        <v>9.0251854879918238E-3</v>
      </c>
      <c r="AB24" s="146">
        <f t="shared" si="15"/>
        <v>3.0874135787704643E-4</v>
      </c>
      <c r="AD24" s="40"/>
    </row>
    <row r="25" spans="1:30" s="5" customFormat="1" ht="13" x14ac:dyDescent="0.15">
      <c r="A25" s="46"/>
      <c r="B25" s="46" t="s">
        <v>40</v>
      </c>
      <c r="C25" s="39">
        <v>0.4284722222222222</v>
      </c>
      <c r="D25" s="40">
        <f>24+D24</f>
        <v>382.78333333333336</v>
      </c>
      <c r="E25" s="45">
        <v>17</v>
      </c>
      <c r="F25" s="41">
        <f>4*0.678</f>
        <v>2.7120000000000002</v>
      </c>
      <c r="G25" s="42">
        <f>4*0.637</f>
        <v>2.548</v>
      </c>
      <c r="H25" s="42">
        <f>4*0.739</f>
        <v>2.956</v>
      </c>
      <c r="I25" s="42">
        <f t="shared" ref="I25:K27" si="16">1.2334*F25</f>
        <v>3.3449808000000005</v>
      </c>
      <c r="J25" s="42">
        <f t="shared" si="16"/>
        <v>3.1427032000000001</v>
      </c>
      <c r="K25" s="42">
        <f t="shared" si="16"/>
        <v>3.6459304000000001</v>
      </c>
      <c r="L25" s="43">
        <f t="shared" si="1"/>
        <v>3.3778714666666669</v>
      </c>
      <c r="M25" s="42">
        <f t="shared" si="2"/>
        <v>0.14619707095822557</v>
      </c>
      <c r="N25" s="42">
        <f t="shared" si="3"/>
        <v>1.2074609536534047</v>
      </c>
      <c r="O25" s="42">
        <f>LN(J25)</f>
        <v>1.1450833212851723</v>
      </c>
      <c r="P25" s="42">
        <f t="shared" si="3"/>
        <v>1.2936115866612108</v>
      </c>
      <c r="Q25" s="43">
        <f t="shared" si="4"/>
        <v>1.2153852871999291</v>
      </c>
      <c r="R25" s="42">
        <f t="shared" si="5"/>
        <v>4.3059097763117601E-2</v>
      </c>
      <c r="S25" s="42">
        <f t="shared" si="6"/>
        <v>1.7572885437797021E-3</v>
      </c>
      <c r="T25" s="42">
        <f>(O25-O24)/(D25-D24)</f>
        <v>1.0599405682785261E-3</v>
      </c>
      <c r="U25" s="42">
        <f t="shared" si="8"/>
        <v>2.3782840910762291E-3</v>
      </c>
      <c r="V25" s="43">
        <f t="shared" si="9"/>
        <v>1.7318377343781526E-3</v>
      </c>
      <c r="W25" s="42">
        <f t="shared" si="10"/>
        <v>3.8078568723104596E-4</v>
      </c>
      <c r="X25" s="42">
        <f t="shared" si="11"/>
        <v>8.7385748247485531E-3</v>
      </c>
      <c r="Y25" s="42">
        <f t="shared" si="12"/>
        <v>8.210135934166413E-3</v>
      </c>
      <c r="Z25" s="42">
        <f t="shared" si="13"/>
        <v>9.5247887839073446E-3</v>
      </c>
      <c r="AA25" s="43">
        <f t="shared" si="14"/>
        <v>8.8244998476074369E-3</v>
      </c>
      <c r="AB25" s="146">
        <f t="shared" si="15"/>
        <v>3.8193165226165925E-4</v>
      </c>
      <c r="AD25" s="40"/>
    </row>
    <row r="26" spans="1:30" s="5" customFormat="1" ht="13" x14ac:dyDescent="0.15">
      <c r="A26" s="46"/>
      <c r="B26" s="46" t="s">
        <v>41</v>
      </c>
      <c r="C26" s="39">
        <v>0.4291666666666667</v>
      </c>
      <c r="D26" s="40">
        <v>406.8</v>
      </c>
      <c r="E26" s="45">
        <v>18</v>
      </c>
      <c r="F26" s="41">
        <f>4*0.66</f>
        <v>2.64</v>
      </c>
      <c r="G26" s="42">
        <f>4*0.609</f>
        <v>2.4359999999999999</v>
      </c>
      <c r="H26" s="42">
        <f>4*0.745</f>
        <v>2.98</v>
      </c>
      <c r="I26" s="42">
        <f t="shared" si="16"/>
        <v>3.2561760000000004</v>
      </c>
      <c r="J26" s="42">
        <f t="shared" si="16"/>
        <v>3.0045624000000002</v>
      </c>
      <c r="K26" s="42">
        <f t="shared" si="16"/>
        <v>3.675532</v>
      </c>
      <c r="L26" s="43">
        <f t="shared" si="1"/>
        <v>3.3120901333333337</v>
      </c>
      <c r="M26" s="42">
        <f t="shared" si="2"/>
        <v>0.19569946666666663</v>
      </c>
      <c r="N26" s="42">
        <f t="shared" si="3"/>
        <v>1.1805535007334802</v>
      </c>
      <c r="O26" s="42">
        <f t="shared" ref="O26" si="17">LN(J26)</f>
        <v>1.100131933422906</v>
      </c>
      <c r="P26" s="42">
        <f t="shared" ref="P26" si="18">LN(K26)</f>
        <v>1.3016978840925684</v>
      </c>
      <c r="Q26" s="43">
        <f t="shared" si="4"/>
        <v>1.1941277727496515</v>
      </c>
      <c r="R26" s="42">
        <f t="shared" si="5"/>
        <v>5.8581577772419055E-2</v>
      </c>
      <c r="S26" s="42">
        <f t="shared" si="6"/>
        <v>-1.1203658398303048E-3</v>
      </c>
      <c r="T26" s="42">
        <f>(O26-O25)/(D26-D25)</f>
        <v>-1.8716747201498805E-3</v>
      </c>
      <c r="U26" s="42">
        <f t="shared" si="8"/>
        <v>3.3669524349858097E-4</v>
      </c>
      <c r="V26" s="43">
        <f t="shared" si="9"/>
        <v>-8.851151054938681E-4</v>
      </c>
      <c r="W26" s="42">
        <f t="shared" si="10"/>
        <v>6.4826220391920404E-4</v>
      </c>
      <c r="X26" s="42">
        <f t="shared" si="11"/>
        <v>8.0043657817109159E-3</v>
      </c>
      <c r="Y26" s="42">
        <f t="shared" si="12"/>
        <v>7.3858466076696166E-3</v>
      </c>
      <c r="Z26" s="42">
        <f t="shared" si="13"/>
        <v>9.0352310717797448E-3</v>
      </c>
      <c r="AA26" s="43">
        <f t="shared" si="14"/>
        <v>8.1418144870534243E-3</v>
      </c>
      <c r="AB26" s="146">
        <f t="shared" si="15"/>
        <v>4.8107046869878736E-4</v>
      </c>
      <c r="AD26" s="40"/>
    </row>
    <row r="27" spans="1:30" s="5" customFormat="1" thickBot="1" x14ac:dyDescent="0.2">
      <c r="A27" s="136"/>
      <c r="B27" s="46" t="s">
        <v>42</v>
      </c>
      <c r="C27" s="39">
        <v>0.4597222222222222</v>
      </c>
      <c r="D27" s="40">
        <v>431.53333333333336</v>
      </c>
      <c r="E27" s="45">
        <v>19</v>
      </c>
      <c r="F27" s="42">
        <f>4*0.66</f>
        <v>2.64</v>
      </c>
      <c r="G27" s="42">
        <f>4*0.609</f>
        <v>2.4359999999999999</v>
      </c>
      <c r="H27" s="42">
        <f>4*0.749</f>
        <v>2.996</v>
      </c>
      <c r="I27" s="51">
        <f t="shared" si="16"/>
        <v>3.2561760000000004</v>
      </c>
      <c r="J27" s="51">
        <f t="shared" si="16"/>
        <v>3.0045624000000002</v>
      </c>
      <c r="K27" s="51">
        <f t="shared" si="16"/>
        <v>3.6952664</v>
      </c>
      <c r="L27" s="52">
        <f t="shared" si="1"/>
        <v>3.3186682666666667</v>
      </c>
      <c r="M27" s="51">
        <f t="shared" si="2"/>
        <v>0.201822501593895</v>
      </c>
      <c r="N27" s="51">
        <f t="shared" si="3"/>
        <v>1.1805535007334802</v>
      </c>
      <c r="O27" s="51">
        <f t="shared" si="3"/>
        <v>1.100131933422906</v>
      </c>
      <c r="P27" s="51">
        <f t="shared" si="3"/>
        <v>1.3070526492302283</v>
      </c>
      <c r="Q27" s="52">
        <f t="shared" si="4"/>
        <v>1.1959126944622049</v>
      </c>
      <c r="R27" s="51">
        <f t="shared" si="5"/>
        <v>6.0224508525879038E-2</v>
      </c>
      <c r="S27" s="51">
        <f>(N27-N26)/(D27-D26)</f>
        <v>0</v>
      </c>
      <c r="T27" s="51">
        <f t="shared" ref="T27:U27" si="19">(O27-O26)/(E27-E26)</f>
        <v>0</v>
      </c>
      <c r="U27" s="51" t="e">
        <f t="shared" si="19"/>
        <v>#DIV/0!</v>
      </c>
      <c r="V27" s="52" t="e">
        <f t="shared" si="9"/>
        <v>#DIV/0!</v>
      </c>
      <c r="W27" s="51" t="e">
        <f t="shared" si="10"/>
        <v>#DIV/0!</v>
      </c>
      <c r="X27" s="51">
        <f t="shared" si="11"/>
        <v>7.5455955507492669E-3</v>
      </c>
      <c r="Y27" s="51">
        <f t="shared" si="12"/>
        <v>6.9625268036459138E-3</v>
      </c>
      <c r="Z27" s="51">
        <f t="shared" si="13"/>
        <v>8.5631076780472732E-3</v>
      </c>
      <c r="AA27" s="52">
        <f t="shared" si="14"/>
        <v>7.6904100108141525E-3</v>
      </c>
      <c r="AB27" s="148">
        <f t="shared" si="15"/>
        <v>4.6768693401953124E-4</v>
      </c>
    </row>
    <row r="28" spans="1:30" ht="15" thickBot="1" x14ac:dyDescent="0.2">
      <c r="B28" s="198" t="s">
        <v>78</v>
      </c>
      <c r="C28" s="199"/>
      <c r="D28" s="199"/>
      <c r="E28" s="199"/>
      <c r="F28" s="199"/>
      <c r="G28" s="199"/>
      <c r="H28" s="199"/>
      <c r="I28" s="199"/>
      <c r="J28" s="199"/>
      <c r="K28" s="199"/>
      <c r="L28" s="199"/>
      <c r="M28" s="199"/>
      <c r="N28" s="199"/>
      <c r="O28" s="199"/>
      <c r="P28" s="199"/>
      <c r="Q28" s="199"/>
      <c r="R28" s="199"/>
      <c r="S28" s="199"/>
      <c r="T28" s="199"/>
      <c r="U28" s="199"/>
      <c r="V28" s="199"/>
      <c r="W28" s="199"/>
      <c r="X28" s="199"/>
      <c r="Y28" s="199"/>
      <c r="Z28" s="199"/>
      <c r="AA28" s="199"/>
      <c r="AB28" s="200"/>
    </row>
    <row r="29" spans="1:30" ht="60" x14ac:dyDescent="0.15">
      <c r="B29" s="23" t="s">
        <v>0</v>
      </c>
      <c r="C29" s="24" t="s">
        <v>1</v>
      </c>
      <c r="D29" s="25" t="s">
        <v>2</v>
      </c>
      <c r="E29" s="26" t="s">
        <v>3</v>
      </c>
      <c r="F29" s="201" t="s">
        <v>70</v>
      </c>
      <c r="G29" s="202"/>
      <c r="H29" s="203"/>
      <c r="I29" s="204" t="s">
        <v>10</v>
      </c>
      <c r="J29" s="202"/>
      <c r="K29" s="203"/>
      <c r="L29" s="27" t="s">
        <v>4</v>
      </c>
      <c r="M29" s="28" t="s">
        <v>79</v>
      </c>
      <c r="N29" s="204" t="s">
        <v>72</v>
      </c>
      <c r="O29" s="202"/>
      <c r="P29" s="203"/>
      <c r="Q29" s="28" t="s">
        <v>5</v>
      </c>
      <c r="R29" s="28" t="s">
        <v>71</v>
      </c>
      <c r="S29" s="205" t="s">
        <v>6</v>
      </c>
      <c r="T29" s="206"/>
      <c r="U29" s="206"/>
      <c r="V29" s="27" t="s">
        <v>73</v>
      </c>
      <c r="W29" s="27" t="s">
        <v>71</v>
      </c>
      <c r="X29" s="204" t="s">
        <v>74</v>
      </c>
      <c r="Y29" s="202"/>
      <c r="Z29" s="203"/>
      <c r="AA29" s="27" t="s">
        <v>75</v>
      </c>
      <c r="AB29" s="29" t="s">
        <v>71</v>
      </c>
    </row>
    <row r="30" spans="1:30" ht="15" customHeight="1" x14ac:dyDescent="0.15">
      <c r="B30" s="30"/>
      <c r="C30" s="31"/>
      <c r="D30" s="32"/>
      <c r="E30" s="33"/>
      <c r="F30" s="188" t="s">
        <v>13</v>
      </c>
      <c r="G30" s="189"/>
      <c r="H30" s="190"/>
      <c r="I30" s="191" t="s">
        <v>7</v>
      </c>
      <c r="J30" s="189"/>
      <c r="K30" s="190"/>
      <c r="L30" s="35" t="s">
        <v>7</v>
      </c>
      <c r="M30" s="35"/>
      <c r="N30" s="191" t="s">
        <v>7</v>
      </c>
      <c r="O30" s="189"/>
      <c r="P30" s="190"/>
      <c r="Q30" s="34"/>
      <c r="R30" s="34"/>
      <c r="S30" s="193" t="s">
        <v>76</v>
      </c>
      <c r="T30" s="194"/>
      <c r="U30" s="194"/>
      <c r="V30" s="35" t="s">
        <v>76</v>
      </c>
      <c r="W30" s="32"/>
      <c r="X30" s="195" t="s">
        <v>77</v>
      </c>
      <c r="Y30" s="196"/>
      <c r="Z30" s="197"/>
      <c r="AA30" s="37" t="s">
        <v>77</v>
      </c>
      <c r="AB30" s="38"/>
    </row>
    <row r="31" spans="1:30" s="5" customFormat="1" ht="13" x14ac:dyDescent="0.15">
      <c r="B31" s="186" t="s">
        <v>24</v>
      </c>
      <c r="C31" s="39">
        <v>0.52083333333333337</v>
      </c>
      <c r="D31" s="5">
        <v>0</v>
      </c>
      <c r="E31" s="192">
        <v>1</v>
      </c>
      <c r="F31" s="41">
        <v>0.107</v>
      </c>
      <c r="G31" s="42">
        <v>9.6000000000000002E-2</v>
      </c>
      <c r="H31" s="42">
        <v>0.11</v>
      </c>
      <c r="I31" s="42">
        <f t="shared" ref="I31:K50" si="20">1.2334*F31</f>
        <v>0.1319738</v>
      </c>
      <c r="J31" s="42">
        <f t="shared" si="20"/>
        <v>0.11840640000000001</v>
      </c>
      <c r="K31" s="42">
        <f t="shared" si="20"/>
        <v>0.13567400000000002</v>
      </c>
      <c r="L31" s="43">
        <f t="shared" ref="L31:L53" si="21">AVERAGE(I31:K31)</f>
        <v>0.12868473333333333</v>
      </c>
      <c r="M31" s="42">
        <f>STDEV(I31:K31)/SQRT(3)</f>
        <v>5.2489990186489642E-3</v>
      </c>
      <c r="N31" s="42">
        <f t="shared" ref="N31:P53" si="22">LN(I31)</f>
        <v>-2.0251518609449755</v>
      </c>
      <c r="O31" s="42">
        <f t="shared" si="22"/>
        <v>-2.1336325039390451</v>
      </c>
      <c r="P31" s="42">
        <f t="shared" si="22"/>
        <v>-1.9975003296144653</v>
      </c>
      <c r="Q31" s="43">
        <f t="shared" ref="Q31:Q53" si="23">AVERAGE(N31:P31)</f>
        <v>-2.0520948981661618</v>
      </c>
      <c r="R31" s="42">
        <f>STDEV(N31:P31)/SQRT(3)</f>
        <v>4.1542900166017652E-2</v>
      </c>
      <c r="S31" s="42"/>
      <c r="T31" s="42"/>
      <c r="U31" s="149"/>
      <c r="V31" s="150"/>
      <c r="W31" s="149"/>
      <c r="X31" s="149"/>
      <c r="Y31" s="149"/>
      <c r="Z31" s="149"/>
      <c r="AA31" s="150"/>
      <c r="AB31" s="151"/>
      <c r="AC31" s="113"/>
    </row>
    <row r="32" spans="1:30" s="5" customFormat="1" ht="13" x14ac:dyDescent="0.15">
      <c r="B32" s="186"/>
      <c r="C32" s="39">
        <v>0.69444444444444453</v>
      </c>
      <c r="D32" s="40">
        <f>10/60+4</f>
        <v>4.166666666666667</v>
      </c>
      <c r="E32" s="192"/>
      <c r="F32" s="41">
        <v>0.13500000000000001</v>
      </c>
      <c r="G32" s="42">
        <v>0.12</v>
      </c>
      <c r="H32" s="42">
        <v>0.11700000000000001</v>
      </c>
      <c r="I32" s="42">
        <f t="shared" si="20"/>
        <v>0.16650900000000002</v>
      </c>
      <c r="J32" s="42">
        <f t="shared" si="20"/>
        <v>0.148008</v>
      </c>
      <c r="K32" s="42">
        <f t="shared" si="20"/>
        <v>0.14430780000000001</v>
      </c>
      <c r="L32" s="43">
        <f t="shared" si="21"/>
        <v>0.15294160000000001</v>
      </c>
      <c r="M32" s="42">
        <f t="shared" ref="M32:M52" si="24">STDEV(I32:K32)/SQRT(3)</f>
        <v>6.8672805651145523E-3</v>
      </c>
      <c r="N32" s="42">
        <f t="shared" si="22"/>
        <v>-1.7927059169684521</v>
      </c>
      <c r="O32" s="42">
        <f t="shared" si="22"/>
        <v>-1.9104889526248356</v>
      </c>
      <c r="P32" s="42">
        <f t="shared" si="22"/>
        <v>-1.9358067606091254</v>
      </c>
      <c r="Q32" s="43">
        <f t="shared" si="23"/>
        <v>-1.8796672100674712</v>
      </c>
      <c r="R32" s="42">
        <f t="shared" ref="R32:R53" si="25">STDEV(N32:P32)/SQRT(3)</f>
        <v>4.4090617759989313E-2</v>
      </c>
      <c r="S32" s="42">
        <f>(N32-N31)/(D32-D31)</f>
        <v>5.5787026554365612E-2</v>
      </c>
      <c r="T32" s="42">
        <f>(O32-O31)/(D32-D31)</f>
        <v>5.355445231541027E-2</v>
      </c>
      <c r="U32" s="42">
        <f>(P32-P31)/(D32-D31)</f>
        <v>1.4806456561281588E-2</v>
      </c>
      <c r="V32" s="43">
        <f>AVERAGE(S32:U32)</f>
        <v>4.1382645143685823E-2</v>
      </c>
      <c r="W32" s="42">
        <f>STDEV(S32:U32)/SQRT(3)</f>
        <v>1.3303714351121982E-2</v>
      </c>
      <c r="X32" s="42">
        <f>I32/D32</f>
        <v>3.9962160000000004E-2</v>
      </c>
      <c r="Y32" s="42">
        <f>J32/D32</f>
        <v>3.5521919999999998E-2</v>
      </c>
      <c r="Z32" s="42">
        <f>K32/D32</f>
        <v>3.4633872000000003E-2</v>
      </c>
      <c r="AA32" s="43">
        <f>AVERAGE(X32:Z32)</f>
        <v>3.6705984000000004E-2</v>
      </c>
      <c r="AB32" s="146">
        <f>STDEV(X32:Z32)/SQRT(3)</f>
        <v>1.6481473356274926E-3</v>
      </c>
    </row>
    <row r="33" spans="2:28" s="5" customFormat="1" ht="13" x14ac:dyDescent="0.15">
      <c r="B33" s="186"/>
      <c r="C33" s="39">
        <v>0.91666666666666663</v>
      </c>
      <c r="D33" s="40">
        <f>9+30/60</f>
        <v>9.5</v>
      </c>
      <c r="E33" s="192"/>
      <c r="F33" s="41">
        <v>0.16200000000000001</v>
      </c>
      <c r="G33" s="42">
        <v>0.151</v>
      </c>
      <c r="H33" s="42">
        <v>0.16600000000000001</v>
      </c>
      <c r="I33" s="42">
        <f t="shared" si="20"/>
        <v>0.19981080000000001</v>
      </c>
      <c r="J33" s="42">
        <f t="shared" si="20"/>
        <v>0.1862434</v>
      </c>
      <c r="K33" s="42">
        <f t="shared" si="20"/>
        <v>0.20474440000000002</v>
      </c>
      <c r="L33" s="43">
        <f t="shared" si="21"/>
        <v>0.19693286666666668</v>
      </c>
      <c r="M33" s="42">
        <f t="shared" si="24"/>
        <v>5.5312332998869096E-3</v>
      </c>
      <c r="N33" s="42">
        <f t="shared" si="22"/>
        <v>-1.6103843601744976</v>
      </c>
      <c r="O33" s="42">
        <f t="shared" si="22"/>
        <v>-1.6807008585919574</v>
      </c>
      <c r="P33" s="42">
        <f t="shared" si="22"/>
        <v>-1.5859929070503382</v>
      </c>
      <c r="Q33" s="43">
        <f t="shared" si="23"/>
        <v>-1.6256927086055979</v>
      </c>
      <c r="R33" s="42">
        <f t="shared" si="25"/>
        <v>2.8391067668478619E-2</v>
      </c>
      <c r="S33" s="42">
        <f t="shared" ref="S33:S53" si="26">(N33-N32)/(D33-D32)</f>
        <v>3.418529189886646E-2</v>
      </c>
      <c r="T33" s="42">
        <f t="shared" ref="T33:T53" si="27">(O33-O32)/(D33-D32)</f>
        <v>4.3085267631164673E-2</v>
      </c>
      <c r="U33" s="42">
        <f t="shared" ref="U33:U53" si="28">(P33-P32)/(D33-D32)</f>
        <v>6.5590097542272588E-2</v>
      </c>
      <c r="V33" s="43">
        <f t="shared" ref="V33:V53" si="29">AVERAGE(S33:U33)</f>
        <v>4.762021902410124E-2</v>
      </c>
      <c r="W33" s="42">
        <f t="shared" ref="W33:W52" si="30">STDEV(S33:U33)/SQRT(3)</f>
        <v>9.3450484656715689E-3</v>
      </c>
      <c r="X33" s="42">
        <f t="shared" ref="X33:X53" si="31">I33/D33</f>
        <v>2.1032715789473685E-2</v>
      </c>
      <c r="Y33" s="42">
        <f t="shared" ref="Y33:Y53" si="32">J33/D33</f>
        <v>1.9604568421052633E-2</v>
      </c>
      <c r="Z33" s="42">
        <f t="shared" ref="Z33:Z53" si="33">K33/D33</f>
        <v>2.155204210526316E-2</v>
      </c>
      <c r="AA33" s="43">
        <f t="shared" ref="AA33:AA53" si="34">AVERAGE(X33:Z33)</f>
        <v>2.0729775438596491E-2</v>
      </c>
      <c r="AB33" s="146">
        <f t="shared" ref="AB33:AB53" si="35">STDEV(X33:Z33)/SQRT(3)</f>
        <v>5.8223508419862156E-4</v>
      </c>
    </row>
    <row r="34" spans="2:28" s="5" customFormat="1" ht="15" customHeight="1" x14ac:dyDescent="0.15">
      <c r="B34" s="187" t="s">
        <v>25</v>
      </c>
      <c r="C34" s="39">
        <v>0.40625</v>
      </c>
      <c r="D34" s="40">
        <f>11+45/60+D33</f>
        <v>21.25</v>
      </c>
      <c r="E34" s="192">
        <v>2</v>
      </c>
      <c r="F34" s="41">
        <v>0.20799999999999999</v>
      </c>
      <c r="G34" s="42">
        <v>0.218</v>
      </c>
      <c r="H34" s="42">
        <v>0.20899999999999999</v>
      </c>
      <c r="I34" s="42">
        <f t="shared" si="20"/>
        <v>0.25654719999999998</v>
      </c>
      <c r="J34" s="42">
        <f t="shared" si="20"/>
        <v>0.26888119999999999</v>
      </c>
      <c r="K34" s="42">
        <f t="shared" si="20"/>
        <v>0.25778060000000003</v>
      </c>
      <c r="L34" s="43">
        <f t="shared" si="21"/>
        <v>0.2610696666666667</v>
      </c>
      <c r="M34" s="42">
        <f t="shared" si="24"/>
        <v>3.9219620367588661E-3</v>
      </c>
      <c r="N34" s="42">
        <f t="shared" si="22"/>
        <v>-1.3604426157055638</v>
      </c>
      <c r="O34" s="42">
        <f t="shared" si="22"/>
        <v>-1.3134856326177926</v>
      </c>
      <c r="P34" s="42">
        <f t="shared" si="22"/>
        <v>-1.3556464434420705</v>
      </c>
      <c r="Q34" s="43">
        <f t="shared" si="23"/>
        <v>-1.3431915639218091</v>
      </c>
      <c r="R34" s="42">
        <f t="shared" si="25"/>
        <v>1.491735659195333E-2</v>
      </c>
      <c r="S34" s="42">
        <f t="shared" si="26"/>
        <v>2.1271637827143301E-2</v>
      </c>
      <c r="T34" s="42">
        <f t="shared" si="27"/>
        <v>3.1252359657375724E-2</v>
      </c>
      <c r="U34" s="42">
        <f t="shared" si="28"/>
        <v>1.9603954349639807E-2</v>
      </c>
      <c r="V34" s="43">
        <f t="shared" si="29"/>
        <v>2.4042650611386277E-2</v>
      </c>
      <c r="W34" s="42">
        <f t="shared" si="30"/>
        <v>3.6368585547214127E-3</v>
      </c>
      <c r="X34" s="42">
        <f t="shared" si="31"/>
        <v>1.2072809411764704E-2</v>
      </c>
      <c r="Y34" s="42">
        <f t="shared" si="32"/>
        <v>1.265323294117647E-2</v>
      </c>
      <c r="Z34" s="42">
        <f t="shared" si="33"/>
        <v>1.2130851764705883E-2</v>
      </c>
      <c r="AA34" s="43">
        <f t="shared" si="34"/>
        <v>1.2285631372549019E-2</v>
      </c>
      <c r="AB34" s="146">
        <f t="shared" si="35"/>
        <v>1.8456291937688808E-4</v>
      </c>
    </row>
    <row r="35" spans="2:28" s="5" customFormat="1" ht="13" x14ac:dyDescent="0.15">
      <c r="B35" s="187"/>
      <c r="C35" s="39">
        <v>0.53819444444444442</v>
      </c>
      <c r="D35" s="40">
        <f>D34+3+10/60</f>
        <v>24.416666666666668</v>
      </c>
      <c r="E35" s="192"/>
      <c r="F35" s="41">
        <v>0.215</v>
      </c>
      <c r="G35" s="42">
        <v>0.23699999999999999</v>
      </c>
      <c r="H35" s="42">
        <v>0.21199999999999999</v>
      </c>
      <c r="I35" s="42">
        <f t="shared" si="20"/>
        <v>0.265181</v>
      </c>
      <c r="J35" s="42">
        <f t="shared" si="20"/>
        <v>0.29231580000000001</v>
      </c>
      <c r="K35" s="42">
        <f t="shared" si="20"/>
        <v>0.26148080000000001</v>
      </c>
      <c r="L35" s="43">
        <f t="shared" si="21"/>
        <v>0.27299253333333334</v>
      </c>
      <c r="M35" s="42">
        <f t="shared" si="24"/>
        <v>9.7204997473266681E-3</v>
      </c>
      <c r="N35" s="42">
        <f t="shared" si="22"/>
        <v>-1.3273426672792188</v>
      </c>
      <c r="O35" s="42">
        <f t="shared" si="22"/>
        <v>-1.2299205542717504</v>
      </c>
      <c r="P35" s="42">
        <f t="shared" si="22"/>
        <v>-1.3413944207348691</v>
      </c>
      <c r="Q35" s="43">
        <f t="shared" si="23"/>
        <v>-1.2995525474286129</v>
      </c>
      <c r="R35" s="42">
        <f t="shared" si="25"/>
        <v>3.5051503995513954E-2</v>
      </c>
      <c r="S35" s="42">
        <f t="shared" si="26"/>
        <v>1.0452615292529997E-2</v>
      </c>
      <c r="T35" s="42">
        <f t="shared" si="27"/>
        <v>2.6388972109276477E-2</v>
      </c>
      <c r="U35" s="42">
        <f t="shared" si="28"/>
        <v>4.5006387496425403E-3</v>
      </c>
      <c r="V35" s="43">
        <f t="shared" si="29"/>
        <v>1.3780742050483005E-2</v>
      </c>
      <c r="W35" s="42">
        <f t="shared" si="30"/>
        <v>6.5340672658349662E-3</v>
      </c>
      <c r="X35" s="42">
        <f t="shared" si="31"/>
        <v>1.0860655290102389E-2</v>
      </c>
      <c r="Y35" s="42">
        <f t="shared" si="32"/>
        <v>1.1971978156996587E-2</v>
      </c>
      <c r="Z35" s="42">
        <f t="shared" si="33"/>
        <v>1.0709111262798636E-2</v>
      </c>
      <c r="AA35" s="43">
        <f t="shared" si="34"/>
        <v>1.118058156996587E-2</v>
      </c>
      <c r="AB35" s="146">
        <f t="shared" si="35"/>
        <v>3.981092046686689E-4</v>
      </c>
    </row>
    <row r="36" spans="2:28" s="5" customFormat="1" ht="15" customHeight="1" x14ac:dyDescent="0.15">
      <c r="B36" s="187"/>
      <c r="C36" s="39">
        <v>0.70277777777777783</v>
      </c>
      <c r="D36" s="40">
        <f>3+57/60+D35</f>
        <v>28.366666666666667</v>
      </c>
      <c r="E36" s="192"/>
      <c r="F36" s="41">
        <v>0.26200000000000001</v>
      </c>
      <c r="G36" s="42">
        <v>0.27200000000000002</v>
      </c>
      <c r="H36" s="42">
        <v>0.251</v>
      </c>
      <c r="I36" s="42">
        <f t="shared" si="20"/>
        <v>0.32315080000000002</v>
      </c>
      <c r="J36" s="42">
        <f t="shared" si="20"/>
        <v>0.33548480000000003</v>
      </c>
      <c r="K36" s="42">
        <f t="shared" si="20"/>
        <v>0.30958340000000001</v>
      </c>
      <c r="L36" s="43">
        <f t="shared" si="21"/>
        <v>0.32273966666666665</v>
      </c>
      <c r="M36" s="42">
        <f t="shared" si="24"/>
        <v>7.4799154062358568E-3</v>
      </c>
      <c r="N36" s="42">
        <f t="shared" si="22"/>
        <v>-1.1296361916457847</v>
      </c>
      <c r="O36" s="42">
        <f t="shared" si="22"/>
        <v>-1.0921786291108844</v>
      </c>
      <c r="P36" s="42">
        <f t="shared" si="22"/>
        <v>-1.1725277562750978</v>
      </c>
      <c r="Q36" s="43">
        <f t="shared" si="23"/>
        <v>-1.1314475256772556</v>
      </c>
      <c r="R36" s="42">
        <f t="shared" si="25"/>
        <v>2.3212469761193063E-2</v>
      </c>
      <c r="S36" s="42">
        <f t="shared" si="26"/>
        <v>5.0052272312261815E-2</v>
      </c>
      <c r="T36" s="42">
        <f t="shared" si="27"/>
        <v>3.4871373458447104E-2</v>
      </c>
      <c r="U36" s="42">
        <f t="shared" si="28"/>
        <v>4.2751054293613019E-2</v>
      </c>
      <c r="V36" s="43">
        <f t="shared" si="29"/>
        <v>4.2558233354773982E-2</v>
      </c>
      <c r="W36" s="42">
        <f t="shared" si="30"/>
        <v>4.3834083937152359E-3</v>
      </c>
      <c r="X36" s="42">
        <f t="shared" si="31"/>
        <v>1.139192009400705E-2</v>
      </c>
      <c r="Y36" s="42">
        <f t="shared" si="32"/>
        <v>1.1826726204465336E-2</v>
      </c>
      <c r="Z36" s="42">
        <f t="shared" si="33"/>
        <v>1.0913633372502937E-2</v>
      </c>
      <c r="AA36" s="43">
        <f t="shared" si="34"/>
        <v>1.1377426556991775E-2</v>
      </c>
      <c r="AB36" s="146">
        <f t="shared" si="35"/>
        <v>2.6368679457940781E-4</v>
      </c>
    </row>
    <row r="37" spans="2:28" s="5" customFormat="1" ht="13" x14ac:dyDescent="0.15">
      <c r="B37" s="44" t="s">
        <v>26</v>
      </c>
      <c r="C37" s="39">
        <v>0.42638888888888887</v>
      </c>
      <c r="D37" s="40">
        <f>5+22/60+12+D36</f>
        <v>45.733333333333334</v>
      </c>
      <c r="E37" s="45">
        <v>3</v>
      </c>
      <c r="F37" s="41">
        <v>0.373</v>
      </c>
      <c r="G37" s="42">
        <v>0.33200000000000002</v>
      </c>
      <c r="H37" s="42">
        <v>0.33</v>
      </c>
      <c r="I37" s="42">
        <f t="shared" si="20"/>
        <v>0.46005820000000003</v>
      </c>
      <c r="J37" s="42">
        <f t="shared" si="20"/>
        <v>0.40948880000000004</v>
      </c>
      <c r="K37" s="42">
        <f t="shared" si="20"/>
        <v>0.40702200000000005</v>
      </c>
      <c r="L37" s="43">
        <f t="shared" si="21"/>
        <v>0.42552300000000004</v>
      </c>
      <c r="M37" s="42">
        <f t="shared" si="24"/>
        <v>1.728227709572246E-2</v>
      </c>
      <c r="N37" s="42">
        <f t="shared" si="22"/>
        <v>-0.77640227576306609</v>
      </c>
      <c r="O37" s="42">
        <f t="shared" si="22"/>
        <v>-0.89284572649039307</v>
      </c>
      <c r="P37" s="42">
        <f t="shared" si="22"/>
        <v>-0.89888804094635566</v>
      </c>
      <c r="Q37" s="43">
        <f t="shared" si="23"/>
        <v>-0.85604534773327157</v>
      </c>
      <c r="R37" s="42">
        <f t="shared" si="25"/>
        <v>3.9859718913688148E-2</v>
      </c>
      <c r="S37" s="42">
        <f t="shared" si="26"/>
        <v>2.0339764830098958E-2</v>
      </c>
      <c r="T37" s="42">
        <f t="shared" si="27"/>
        <v>1.1477902262216389E-2</v>
      </c>
      <c r="U37" s="42">
        <f t="shared" si="28"/>
        <v>1.5756605489179006E-2</v>
      </c>
      <c r="V37" s="43">
        <f t="shared" si="29"/>
        <v>1.5858090860498119E-2</v>
      </c>
      <c r="W37" s="42">
        <f t="shared" si="30"/>
        <v>2.5587025685851928E-3</v>
      </c>
      <c r="X37" s="42">
        <f t="shared" si="31"/>
        <v>1.0059581632653062E-2</v>
      </c>
      <c r="Y37" s="42">
        <f t="shared" si="32"/>
        <v>8.9538367346938784E-3</v>
      </c>
      <c r="Z37" s="42">
        <f t="shared" si="33"/>
        <v>8.8998979591836738E-3</v>
      </c>
      <c r="AA37" s="43">
        <f t="shared" si="34"/>
        <v>9.3044387755102046E-3</v>
      </c>
      <c r="AB37" s="146">
        <f t="shared" si="35"/>
        <v>3.7789235632046202E-4</v>
      </c>
    </row>
    <row r="38" spans="2:28" s="5" customFormat="1" ht="13" x14ac:dyDescent="0.15">
      <c r="B38" s="44" t="s">
        <v>27</v>
      </c>
      <c r="C38" s="39">
        <v>0.43958333333333338</v>
      </c>
      <c r="D38" s="40">
        <f>12+19/60+12+D37</f>
        <v>70.05</v>
      </c>
      <c r="E38" s="45">
        <v>4</v>
      </c>
      <c r="F38" s="41">
        <v>0.52300000000000002</v>
      </c>
      <c r="G38" s="42">
        <v>0.53400000000000003</v>
      </c>
      <c r="H38" s="42">
        <v>0.495</v>
      </c>
      <c r="I38" s="42">
        <f t="shared" si="20"/>
        <v>0.64506820000000009</v>
      </c>
      <c r="J38" s="42">
        <f t="shared" si="20"/>
        <v>0.6586356000000001</v>
      </c>
      <c r="K38" s="42">
        <f t="shared" si="20"/>
        <v>0.61053299999999999</v>
      </c>
      <c r="L38" s="43">
        <f t="shared" si="21"/>
        <v>0.63807893333333332</v>
      </c>
      <c r="M38" s="42">
        <f t="shared" si="24"/>
        <v>1.43190132119656E-2</v>
      </c>
      <c r="N38" s="42">
        <f t="shared" si="22"/>
        <v>-0.43839923134195863</v>
      </c>
      <c r="O38" s="42">
        <f t="shared" si="22"/>
        <v>-0.41758485644668669</v>
      </c>
      <c r="P38" s="42">
        <f t="shared" si="22"/>
        <v>-0.49342293283819139</v>
      </c>
      <c r="Q38" s="43">
        <f t="shared" si="23"/>
        <v>-0.44980234020894555</v>
      </c>
      <c r="R38" s="42">
        <f t="shared" si="25"/>
        <v>2.2622824953021769E-2</v>
      </c>
      <c r="S38" s="42">
        <f t="shared" si="26"/>
        <v>1.3900056658852947E-2</v>
      </c>
      <c r="T38" s="42">
        <f t="shared" si="27"/>
        <v>1.9544655382194919E-2</v>
      </c>
      <c r="U38" s="42">
        <f t="shared" si="28"/>
        <v>1.6674370449958779E-2</v>
      </c>
      <c r="V38" s="43">
        <f t="shared" si="29"/>
        <v>1.670636083033555E-2</v>
      </c>
      <c r="W38" s="42">
        <f t="shared" si="30"/>
        <v>1.6295338009398011E-3</v>
      </c>
      <c r="X38" s="42">
        <f t="shared" si="31"/>
        <v>9.2086823697359044E-3</v>
      </c>
      <c r="Y38" s="42">
        <f t="shared" si="32"/>
        <v>9.4023640256959331E-3</v>
      </c>
      <c r="Z38" s="42">
        <f t="shared" si="33"/>
        <v>8.7156745182012853E-3</v>
      </c>
      <c r="AA38" s="43">
        <f t="shared" si="34"/>
        <v>9.1089069712110421E-3</v>
      </c>
      <c r="AB38" s="146">
        <f t="shared" si="35"/>
        <v>2.0441132351128608E-4</v>
      </c>
    </row>
    <row r="39" spans="2:28" s="5" customFormat="1" ht="13" x14ac:dyDescent="0.15">
      <c r="B39" s="44" t="s">
        <v>28</v>
      </c>
      <c r="C39" s="39">
        <v>0.54583333333333328</v>
      </c>
      <c r="D39" s="40">
        <f>12+33/60+14+D38</f>
        <v>96.6</v>
      </c>
      <c r="E39" s="45">
        <v>5</v>
      </c>
      <c r="F39" s="41">
        <v>0.78900000000000003</v>
      </c>
      <c r="G39" s="42">
        <v>0.75800000000000001</v>
      </c>
      <c r="H39" s="42">
        <v>0.71199999999999997</v>
      </c>
      <c r="I39" s="42">
        <f t="shared" si="20"/>
        <v>0.97315260000000003</v>
      </c>
      <c r="J39" s="42">
        <f t="shared" si="20"/>
        <v>0.9349172</v>
      </c>
      <c r="K39" s="42">
        <f t="shared" si="20"/>
        <v>0.87818079999999998</v>
      </c>
      <c r="L39" s="43">
        <f t="shared" si="21"/>
        <v>0.92875019999999997</v>
      </c>
      <c r="M39" s="42">
        <f t="shared" si="24"/>
        <v>2.7588854123600969E-2</v>
      </c>
      <c r="N39" s="42">
        <f t="shared" si="22"/>
        <v>-2.7214374561007386E-2</v>
      </c>
      <c r="O39" s="42">
        <f t="shared" si="22"/>
        <v>-6.729730976451001E-2</v>
      </c>
      <c r="P39" s="42">
        <f t="shared" si="22"/>
        <v>-0.12990278399490593</v>
      </c>
      <c r="Q39" s="43">
        <f t="shared" si="23"/>
        <v>-7.4804822773474444E-2</v>
      </c>
      <c r="R39" s="42">
        <f t="shared" si="25"/>
        <v>2.9880313595525423E-2</v>
      </c>
      <c r="S39" s="42">
        <f t="shared" si="26"/>
        <v>1.5487188579320198E-2</v>
      </c>
      <c r="T39" s="42">
        <f t="shared" si="27"/>
        <v>1.3193504583132832E-2</v>
      </c>
      <c r="U39" s="42">
        <f t="shared" si="28"/>
        <v>1.3691907677713199E-2</v>
      </c>
      <c r="V39" s="43">
        <f t="shared" si="29"/>
        <v>1.4124200280055411E-2</v>
      </c>
      <c r="W39" s="42">
        <f t="shared" si="30"/>
        <v>6.9651614939912729E-4</v>
      </c>
      <c r="X39" s="42">
        <f t="shared" si="31"/>
        <v>1.007404347826087E-2</v>
      </c>
      <c r="Y39" s="42">
        <f t="shared" si="32"/>
        <v>9.6782318840579716E-3</v>
      </c>
      <c r="Z39" s="42">
        <f t="shared" si="33"/>
        <v>9.0908985507246378E-3</v>
      </c>
      <c r="AA39" s="43">
        <f t="shared" si="34"/>
        <v>9.6143913043478264E-3</v>
      </c>
      <c r="AB39" s="146">
        <f t="shared" si="35"/>
        <v>2.8559890397102436E-4</v>
      </c>
    </row>
    <row r="40" spans="2:28" s="5" customFormat="1" ht="13" x14ac:dyDescent="0.15">
      <c r="B40" s="44" t="s">
        <v>29</v>
      </c>
      <c r="C40" s="39">
        <v>0.54999999999999993</v>
      </c>
      <c r="D40" s="40">
        <f>24+6/60+D39</f>
        <v>120.69999999999999</v>
      </c>
      <c r="E40" s="45">
        <v>6</v>
      </c>
      <c r="F40" s="41">
        <v>1.0149999999999999</v>
      </c>
      <c r="G40" s="42">
        <v>1.04</v>
      </c>
      <c r="H40" s="42">
        <v>0.88100000000000001</v>
      </c>
      <c r="I40" s="42">
        <f t="shared" si="20"/>
        <v>1.2519009999999999</v>
      </c>
      <c r="J40" s="42">
        <f t="shared" si="20"/>
        <v>1.2827360000000001</v>
      </c>
      <c r="K40" s="42">
        <f t="shared" si="20"/>
        <v>1.0866254</v>
      </c>
      <c r="L40" s="43">
        <f t="shared" si="21"/>
        <v>1.2070874666666667</v>
      </c>
      <c r="M40" s="42">
        <f t="shared" si="24"/>
        <v>6.0885223810744488E-2</v>
      </c>
      <c r="N40" s="42">
        <f t="shared" si="22"/>
        <v>0.22466319606900598</v>
      </c>
      <c r="O40" s="42">
        <f t="shared" si="22"/>
        <v>0.24899529672853676</v>
      </c>
      <c r="P40" s="42">
        <f t="shared" si="22"/>
        <v>8.3076930529297807E-2</v>
      </c>
      <c r="Q40" s="43">
        <f t="shared" si="23"/>
        <v>0.18557847444228018</v>
      </c>
      <c r="R40" s="42">
        <f t="shared" si="25"/>
        <v>5.1729867771707974E-2</v>
      </c>
      <c r="S40" s="42">
        <f t="shared" si="26"/>
        <v>1.0451351478423793E-2</v>
      </c>
      <c r="T40" s="42">
        <f t="shared" si="27"/>
        <v>1.3124174543279953E-2</v>
      </c>
      <c r="U40" s="42">
        <f t="shared" si="28"/>
        <v>8.8373325528715262E-3</v>
      </c>
      <c r="V40" s="43">
        <f t="shared" si="29"/>
        <v>1.0804286191525091E-2</v>
      </c>
      <c r="W40" s="42">
        <f t="shared" si="30"/>
        <v>1.2500234326425167E-3</v>
      </c>
      <c r="X40" s="42">
        <f t="shared" si="31"/>
        <v>1.0372004971002486E-2</v>
      </c>
      <c r="Y40" s="42">
        <f t="shared" si="32"/>
        <v>1.0627473073736538E-2</v>
      </c>
      <c r="Z40" s="42">
        <f t="shared" si="33"/>
        <v>9.0026959403479712E-3</v>
      </c>
      <c r="AA40" s="43">
        <f t="shared" si="34"/>
        <v>1.0000724661695664E-2</v>
      </c>
      <c r="AB40" s="146">
        <f t="shared" si="35"/>
        <v>5.0443433148918354E-4</v>
      </c>
    </row>
    <row r="41" spans="2:28" s="5" customFormat="1" ht="13" x14ac:dyDescent="0.15">
      <c r="B41" s="44" t="s">
        <v>30</v>
      </c>
      <c r="C41" s="39">
        <v>0.40138888888888885</v>
      </c>
      <c r="D41" s="40">
        <f>8+26/60+12+D40</f>
        <v>141.13333333333333</v>
      </c>
      <c r="E41" s="45">
        <v>7</v>
      </c>
      <c r="F41" s="41">
        <v>1.171</v>
      </c>
      <c r="G41" s="42">
        <v>1.1519999999999999</v>
      </c>
      <c r="H41" s="42">
        <v>1.0449999999999999</v>
      </c>
      <c r="I41" s="42">
        <f t="shared" si="20"/>
        <v>1.4443114000000001</v>
      </c>
      <c r="J41" s="42">
        <f t="shared" si="20"/>
        <v>1.4208768000000001</v>
      </c>
      <c r="K41" s="42">
        <f t="shared" si="20"/>
        <v>1.2889029999999999</v>
      </c>
      <c r="L41" s="43">
        <f t="shared" si="21"/>
        <v>1.3846970666666667</v>
      </c>
      <c r="M41" s="42">
        <f t="shared" si="24"/>
        <v>4.8372418193613029E-2</v>
      </c>
      <c r="N41" s="42">
        <f t="shared" si="22"/>
        <v>0.36763266819083579</v>
      </c>
      <c r="O41" s="42">
        <f t="shared" si="22"/>
        <v>0.35127414584895494</v>
      </c>
      <c r="P41" s="42">
        <f t="shared" si="22"/>
        <v>0.25379146899202965</v>
      </c>
      <c r="Q41" s="43">
        <f t="shared" si="23"/>
        <v>0.32423276101060677</v>
      </c>
      <c r="R41" s="42">
        <f t="shared" si="25"/>
        <v>3.5535813058740644E-2</v>
      </c>
      <c r="S41" s="42">
        <f t="shared" si="26"/>
        <v>6.9968746552282112E-3</v>
      </c>
      <c r="T41" s="42">
        <f t="shared" si="27"/>
        <v>5.0054901690253584E-3</v>
      </c>
      <c r="U41" s="42">
        <f t="shared" si="28"/>
        <v>8.3547082445056334E-3</v>
      </c>
      <c r="V41" s="43">
        <f t="shared" si="29"/>
        <v>6.7856910229197346E-3</v>
      </c>
      <c r="W41" s="42">
        <f t="shared" si="30"/>
        <v>9.725849276022464E-4</v>
      </c>
      <c r="X41" s="42">
        <f t="shared" si="31"/>
        <v>1.0233666036844592E-2</v>
      </c>
      <c r="Y41" s="42">
        <f t="shared" si="32"/>
        <v>1.0067620217288617E-2</v>
      </c>
      <c r="Z41" s="42">
        <f t="shared" si="33"/>
        <v>9.1325200755786491E-3</v>
      </c>
      <c r="AA41" s="43">
        <f t="shared" si="34"/>
        <v>9.81126877657062E-3</v>
      </c>
      <c r="AB41" s="146">
        <f t="shared" si="35"/>
        <v>3.4274268913755084E-4</v>
      </c>
    </row>
    <row r="42" spans="2:28" s="5" customFormat="1" ht="13" x14ac:dyDescent="0.15">
      <c r="B42" s="44" t="s">
        <v>31</v>
      </c>
      <c r="C42" s="39">
        <v>0.43402777777777773</v>
      </c>
      <c r="D42" s="40">
        <f>24+47/60+D41</f>
        <v>165.91666666666666</v>
      </c>
      <c r="E42" s="45">
        <v>8</v>
      </c>
      <c r="F42" s="41">
        <v>1.361</v>
      </c>
      <c r="G42" s="42">
        <v>1.2969999999999999</v>
      </c>
      <c r="H42" s="42">
        <f>2*0.672</f>
        <v>1.3440000000000001</v>
      </c>
      <c r="I42" s="42">
        <f t="shared" si="20"/>
        <v>1.6786574000000001</v>
      </c>
      <c r="J42" s="42">
        <f t="shared" si="20"/>
        <v>1.5997197999999999</v>
      </c>
      <c r="K42" s="42">
        <f t="shared" si="20"/>
        <v>1.6576896000000001</v>
      </c>
      <c r="L42" s="43">
        <f t="shared" si="21"/>
        <v>1.6453556</v>
      </c>
      <c r="M42" s="42">
        <f t="shared" si="24"/>
        <v>2.3607074084124362E-2</v>
      </c>
      <c r="N42" s="42">
        <f t="shared" si="22"/>
        <v>0.51799430724458451</v>
      </c>
      <c r="O42" s="42">
        <f t="shared" si="22"/>
        <v>0.46982848890956214</v>
      </c>
      <c r="P42" s="42">
        <f t="shared" si="22"/>
        <v>0.50542482567621327</v>
      </c>
      <c r="Q42" s="43">
        <f t="shared" si="23"/>
        <v>0.49774920727678662</v>
      </c>
      <c r="R42" s="42">
        <f t="shared" si="25"/>
        <v>1.4424202488997522E-2</v>
      </c>
      <c r="S42" s="42">
        <f t="shared" si="26"/>
        <v>6.0670466329690144E-3</v>
      </c>
      <c r="T42" s="42">
        <f t="shared" si="27"/>
        <v>4.7836318652565114E-3</v>
      </c>
      <c r="U42" s="42">
        <f t="shared" si="28"/>
        <v>1.0153329792233368E-2</v>
      </c>
      <c r="V42" s="43">
        <f t="shared" si="29"/>
        <v>7.0013360968196317E-3</v>
      </c>
      <c r="W42" s="42">
        <f t="shared" si="30"/>
        <v>1.6189591881248476E-3</v>
      </c>
      <c r="X42" s="42">
        <f t="shared" si="31"/>
        <v>1.011747302862883E-2</v>
      </c>
      <c r="Y42" s="42">
        <f t="shared" si="32"/>
        <v>9.6417064791562025E-3</v>
      </c>
      <c r="Z42" s="42">
        <f t="shared" si="33"/>
        <v>9.991097538925164E-3</v>
      </c>
      <c r="AA42" s="43">
        <f t="shared" si="34"/>
        <v>9.916759015570065E-3</v>
      </c>
      <c r="AB42" s="146">
        <f t="shared" si="35"/>
        <v>1.4228271673003134E-4</v>
      </c>
    </row>
    <row r="43" spans="2:28" s="5" customFormat="1" ht="13" x14ac:dyDescent="0.15">
      <c r="B43" s="44" t="s">
        <v>32</v>
      </c>
      <c r="C43" s="39">
        <v>0.4291666666666667</v>
      </c>
      <c r="D43" s="40">
        <f>11+53/60+12+D42</f>
        <v>189.79999999999998</v>
      </c>
      <c r="E43" s="45">
        <v>9</v>
      </c>
      <c r="F43" s="41">
        <f>2*0.823</f>
        <v>1.6459999999999999</v>
      </c>
      <c r="G43" s="42">
        <f>2*0.834</f>
        <v>1.6679999999999999</v>
      </c>
      <c r="H43" s="42">
        <f>2*0.764</f>
        <v>1.528</v>
      </c>
      <c r="I43" s="42">
        <f t="shared" si="20"/>
        <v>2.0301763999999998</v>
      </c>
      <c r="J43" s="42">
        <f t="shared" si="20"/>
        <v>2.0573112</v>
      </c>
      <c r="K43" s="42">
        <f t="shared" si="20"/>
        <v>1.8846352000000002</v>
      </c>
      <c r="L43" s="43">
        <f t="shared" si="21"/>
        <v>1.9907075999999997</v>
      </c>
      <c r="M43" s="42">
        <f t="shared" si="24"/>
        <v>5.361153443703439E-2</v>
      </c>
      <c r="N43" s="42">
        <f t="shared" si="22"/>
        <v>0.70812268583013338</v>
      </c>
      <c r="O43" s="42">
        <f t="shared" si="22"/>
        <v>0.72139988751181039</v>
      </c>
      <c r="P43" s="42">
        <f t="shared" si="22"/>
        <v>0.63373427431958418</v>
      </c>
      <c r="Q43" s="43">
        <f t="shared" si="23"/>
        <v>0.68775228255384258</v>
      </c>
      <c r="R43" s="42">
        <f t="shared" si="25"/>
        <v>2.7279601239273359E-2</v>
      </c>
      <c r="S43" s="42">
        <f t="shared" si="26"/>
        <v>7.9607136881597595E-3</v>
      </c>
      <c r="T43" s="42">
        <f t="shared" si="27"/>
        <v>1.0533345370645429E-2</v>
      </c>
      <c r="U43" s="42">
        <f t="shared" si="28"/>
        <v>5.3723425810204162E-3</v>
      </c>
      <c r="V43" s="43">
        <f t="shared" si="29"/>
        <v>7.9554672132752021E-3</v>
      </c>
      <c r="W43" s="42">
        <f t="shared" si="30"/>
        <v>1.4898554843511195E-3</v>
      </c>
      <c r="X43" s="42">
        <f t="shared" si="31"/>
        <v>1.0696398314014753E-2</v>
      </c>
      <c r="Y43" s="42">
        <f t="shared" si="32"/>
        <v>1.0839363540569021E-2</v>
      </c>
      <c r="Z43" s="42">
        <f t="shared" si="33"/>
        <v>9.9295848261327733E-3</v>
      </c>
      <c r="AA43" s="43">
        <f t="shared" si="34"/>
        <v>1.0488448893572181E-2</v>
      </c>
      <c r="AB43" s="146">
        <f t="shared" si="35"/>
        <v>2.824633005112456E-4</v>
      </c>
    </row>
    <row r="44" spans="2:28" s="5" customFormat="1" ht="13" x14ac:dyDescent="0.15">
      <c r="B44" s="44" t="s">
        <v>33</v>
      </c>
      <c r="C44" s="39">
        <v>0.45833333333333331</v>
      </c>
      <c r="D44" s="40">
        <f>42/60+24+D43</f>
        <v>214.49999999999997</v>
      </c>
      <c r="E44" s="45">
        <v>10</v>
      </c>
      <c r="F44" s="41">
        <f>2*1.017</f>
        <v>2.0339999999999998</v>
      </c>
      <c r="G44" s="42">
        <f>4*0.481</f>
        <v>1.9239999999999999</v>
      </c>
      <c r="H44" s="42">
        <f>4*0.437</f>
        <v>1.748</v>
      </c>
      <c r="I44" s="42">
        <f t="shared" si="20"/>
        <v>2.5087356000000001</v>
      </c>
      <c r="J44" s="42">
        <f t="shared" si="20"/>
        <v>2.3730616000000002</v>
      </c>
      <c r="K44" s="42">
        <f t="shared" si="20"/>
        <v>2.1559832000000001</v>
      </c>
      <c r="L44" s="43">
        <f t="shared" si="21"/>
        <v>2.3459268000000004</v>
      </c>
      <c r="M44" s="42">
        <f t="shared" si="24"/>
        <v>0.10273069478774752</v>
      </c>
      <c r="N44" s="42">
        <f t="shared" si="22"/>
        <v>0.91977888120162365</v>
      </c>
      <c r="O44" s="42">
        <f t="shared" si="22"/>
        <v>0.8641809358187702</v>
      </c>
      <c r="P44" s="42">
        <f t="shared" si="22"/>
        <v>0.76824686080859916</v>
      </c>
      <c r="Q44" s="43">
        <f t="shared" si="23"/>
        <v>0.85073555927633093</v>
      </c>
      <c r="R44" s="42">
        <f t="shared" si="25"/>
        <v>4.4257097034916253E-2</v>
      </c>
      <c r="S44" s="42">
        <f t="shared" si="26"/>
        <v>8.5690767356878701E-3</v>
      </c>
      <c r="T44" s="42">
        <f t="shared" si="27"/>
        <v>5.7806092431967561E-3</v>
      </c>
      <c r="U44" s="42">
        <f t="shared" si="28"/>
        <v>5.445853704008706E-3</v>
      </c>
      <c r="V44" s="43">
        <f t="shared" si="29"/>
        <v>6.5985132276311113E-3</v>
      </c>
      <c r="W44" s="42">
        <f t="shared" si="30"/>
        <v>9.9000938080033574E-4</v>
      </c>
      <c r="X44" s="42">
        <f t="shared" si="31"/>
        <v>1.1695737062937065E-2</v>
      </c>
      <c r="Y44" s="42">
        <f t="shared" si="32"/>
        <v>1.1063224242424246E-2</v>
      </c>
      <c r="Z44" s="42">
        <f t="shared" si="33"/>
        <v>1.0051203729603731E-2</v>
      </c>
      <c r="AA44" s="43">
        <f t="shared" si="34"/>
        <v>1.093672167832168E-2</v>
      </c>
      <c r="AB44" s="146">
        <f t="shared" si="35"/>
        <v>4.7893097803145695E-4</v>
      </c>
    </row>
    <row r="45" spans="2:28" s="5" customFormat="1" ht="13" x14ac:dyDescent="0.15">
      <c r="B45" s="44" t="s">
        <v>34</v>
      </c>
      <c r="C45" s="39">
        <v>0.46458333333333335</v>
      </c>
      <c r="D45" s="40">
        <f>24+9/60+D44</f>
        <v>238.64999999999998</v>
      </c>
      <c r="E45" s="45">
        <v>11</v>
      </c>
      <c r="F45" s="41">
        <f>4*0.533</f>
        <v>2.1320000000000001</v>
      </c>
      <c r="G45" s="42">
        <f>4*0.53</f>
        <v>2.12</v>
      </c>
      <c r="H45" s="42">
        <f>4*0.519</f>
        <v>2.0760000000000001</v>
      </c>
      <c r="I45" s="42">
        <f t="shared" si="20"/>
        <v>2.6296088000000002</v>
      </c>
      <c r="J45" s="42">
        <f t="shared" si="20"/>
        <v>2.614808</v>
      </c>
      <c r="K45" s="42">
        <f t="shared" si="20"/>
        <v>2.5605384</v>
      </c>
      <c r="L45" s="43">
        <f t="shared" si="21"/>
        <v>2.6016517333333335</v>
      </c>
      <c r="M45" s="42">
        <f t="shared" si="24"/>
        <v>2.0995996074595902E-2</v>
      </c>
      <c r="N45" s="42">
        <f t="shared" si="22"/>
        <v>0.96683508987885358</v>
      </c>
      <c r="O45" s="42">
        <f t="shared" si="22"/>
        <v>0.96119067225917643</v>
      </c>
      <c r="P45" s="42">
        <f t="shared" si="22"/>
        <v>0.94021754887889764</v>
      </c>
      <c r="Q45" s="43">
        <f t="shared" si="23"/>
        <v>0.95608110367230914</v>
      </c>
      <c r="R45" s="42">
        <f t="shared" si="25"/>
        <v>8.0974098858628673E-3</v>
      </c>
      <c r="S45" s="42">
        <f t="shared" si="26"/>
        <v>1.9484972537155245E-3</v>
      </c>
      <c r="T45" s="42">
        <f t="shared" si="27"/>
        <v>4.0169663122321406E-3</v>
      </c>
      <c r="U45" s="42">
        <f t="shared" si="28"/>
        <v>7.1209394646086308E-3</v>
      </c>
      <c r="V45" s="43">
        <f t="shared" si="29"/>
        <v>4.3621343435187657E-3</v>
      </c>
      <c r="W45" s="42">
        <f t="shared" si="30"/>
        <v>1.5030962858517409E-3</v>
      </c>
      <c r="X45" s="42">
        <f t="shared" si="31"/>
        <v>1.1018683427613663E-2</v>
      </c>
      <c r="Y45" s="42">
        <f t="shared" si="32"/>
        <v>1.0956664571548294E-2</v>
      </c>
      <c r="Z45" s="42">
        <f t="shared" si="33"/>
        <v>1.0729262099308612E-2</v>
      </c>
      <c r="AA45" s="43">
        <f t="shared" si="34"/>
        <v>1.090153669949019E-2</v>
      </c>
      <c r="AB45" s="146">
        <f t="shared" si="35"/>
        <v>8.7978194320536337E-5</v>
      </c>
    </row>
    <row r="46" spans="2:28" s="5" customFormat="1" ht="13" x14ac:dyDescent="0.15">
      <c r="B46" s="44" t="s">
        <v>35</v>
      </c>
      <c r="C46" s="39">
        <v>0.4993055555555555</v>
      </c>
      <c r="D46" s="40">
        <f>50/60+24+D45</f>
        <v>263.48333333333329</v>
      </c>
      <c r="E46" s="45">
        <v>12</v>
      </c>
      <c r="F46" s="41">
        <f>2*1.291</f>
        <v>2.5819999999999999</v>
      </c>
      <c r="G46" s="42">
        <f>4*0.575</f>
        <v>2.2999999999999998</v>
      </c>
      <c r="H46" s="42">
        <f>4*0.578</f>
        <v>2.3119999999999998</v>
      </c>
      <c r="I46" s="42">
        <f t="shared" si="20"/>
        <v>3.1846388000000001</v>
      </c>
      <c r="J46" s="42">
        <f t="shared" si="20"/>
        <v>2.8368199999999999</v>
      </c>
      <c r="K46" s="42">
        <f t="shared" si="20"/>
        <v>2.8516208000000001</v>
      </c>
      <c r="L46" s="43">
        <f t="shared" si="21"/>
        <v>2.9576932</v>
      </c>
      <c r="M46" s="42">
        <f t="shared" si="24"/>
        <v>0.11355321063959403</v>
      </c>
      <c r="N46" s="42">
        <f t="shared" si="22"/>
        <v>1.1583388759997062</v>
      </c>
      <c r="O46" s="42">
        <f t="shared" si="22"/>
        <v>1.0426837065103594</v>
      </c>
      <c r="P46" s="42">
        <f t="shared" si="22"/>
        <v>1.0478875343853864</v>
      </c>
      <c r="Q46" s="43">
        <f t="shared" si="23"/>
        <v>1.0829700389651506</v>
      </c>
      <c r="R46" s="42">
        <f t="shared" si="25"/>
        <v>3.7714348079098806E-2</v>
      </c>
      <c r="S46" s="42">
        <f t="shared" si="26"/>
        <v>7.7115618572155473E-3</v>
      </c>
      <c r="T46" s="42">
        <f t="shared" si="27"/>
        <v>3.2815986946785097E-3</v>
      </c>
      <c r="U46" s="42">
        <f t="shared" si="28"/>
        <v>4.3357041143552554E-3</v>
      </c>
      <c r="V46" s="43">
        <f t="shared" si="29"/>
        <v>5.1096215554164376E-3</v>
      </c>
      <c r="W46" s="42">
        <f t="shared" si="30"/>
        <v>1.3360831510479691E-3</v>
      </c>
      <c r="X46" s="42">
        <f t="shared" si="31"/>
        <v>1.2086680245429821E-2</v>
      </c>
      <c r="Y46" s="42">
        <f t="shared" si="32"/>
        <v>1.0766601303055222E-2</v>
      </c>
      <c r="Z46" s="42">
        <f t="shared" si="33"/>
        <v>1.0822774875071163E-2</v>
      </c>
      <c r="AA46" s="43">
        <f t="shared" si="34"/>
        <v>1.1225352141185403E-2</v>
      </c>
      <c r="AB46" s="146">
        <f t="shared" si="35"/>
        <v>4.3096923514299764E-4</v>
      </c>
    </row>
    <row r="47" spans="2:28" s="5" customFormat="1" ht="13" x14ac:dyDescent="0.15">
      <c r="B47" s="46" t="s">
        <v>36</v>
      </c>
      <c r="C47" s="39">
        <v>0.46597222222222223</v>
      </c>
      <c r="D47" s="40">
        <f>11+12/60+12+D46</f>
        <v>286.68333333333328</v>
      </c>
      <c r="E47" s="45">
        <v>13</v>
      </c>
      <c r="F47" s="41">
        <f>4*0.658</f>
        <v>2.6320000000000001</v>
      </c>
      <c r="G47" s="42">
        <f>4*0.633</f>
        <v>2.532</v>
      </c>
      <c r="H47" s="42">
        <f>4*0.584</f>
        <v>2.3359999999999999</v>
      </c>
      <c r="I47" s="42">
        <f t="shared" si="20"/>
        <v>3.2463088000000004</v>
      </c>
      <c r="J47" s="42">
        <f t="shared" si="20"/>
        <v>3.1229688000000002</v>
      </c>
      <c r="K47" s="42">
        <f t="shared" si="20"/>
        <v>2.8812224</v>
      </c>
      <c r="L47" s="43">
        <f t="shared" si="21"/>
        <v>3.0835000000000004</v>
      </c>
      <c r="M47" s="42">
        <f t="shared" si="24"/>
        <v>0.10722306887406909</v>
      </c>
      <c r="N47" s="42">
        <f t="shared" si="22"/>
        <v>1.1775185970383264</v>
      </c>
      <c r="O47" s="42">
        <f t="shared" si="22"/>
        <v>1.1387840878571851</v>
      </c>
      <c r="P47" s="42">
        <f t="shared" si="22"/>
        <v>1.058214648541236</v>
      </c>
      <c r="Q47" s="43">
        <f t="shared" si="23"/>
        <v>1.1248391111455824</v>
      </c>
      <c r="R47" s="42">
        <f t="shared" si="25"/>
        <v>3.5138795337748142E-2</v>
      </c>
      <c r="S47" s="42">
        <f t="shared" si="26"/>
        <v>8.2671211373362978E-4</v>
      </c>
      <c r="T47" s="42">
        <f t="shared" si="27"/>
        <v>4.1422578166735256E-3</v>
      </c>
      <c r="U47" s="42">
        <f t="shared" si="28"/>
        <v>4.4513423085558803E-4</v>
      </c>
      <c r="V47" s="43">
        <f t="shared" si="29"/>
        <v>1.8047013870875811E-3</v>
      </c>
      <c r="W47" s="42">
        <f t="shared" si="30"/>
        <v>1.1739574050051624E-3</v>
      </c>
      <c r="X47" s="42">
        <f t="shared" si="31"/>
        <v>1.1323674670077324E-2</v>
      </c>
      <c r="Y47" s="42">
        <f t="shared" si="32"/>
        <v>1.0893443869542472E-2</v>
      </c>
      <c r="Z47" s="42">
        <f t="shared" si="33"/>
        <v>1.0050191500494158E-2</v>
      </c>
      <c r="AA47" s="43">
        <f t="shared" si="34"/>
        <v>1.0755770013371318E-2</v>
      </c>
      <c r="AB47" s="146">
        <f t="shared" si="35"/>
        <v>3.7401221629231724E-4</v>
      </c>
    </row>
    <row r="48" spans="2:28" s="5" customFormat="1" ht="13" x14ac:dyDescent="0.15">
      <c r="B48" s="46" t="s">
        <v>37</v>
      </c>
      <c r="C48" s="39">
        <v>0.49374999999999997</v>
      </c>
      <c r="D48" s="40">
        <f>24+40/60+D47</f>
        <v>311.34999999999997</v>
      </c>
      <c r="E48" s="45">
        <v>14</v>
      </c>
      <c r="F48" s="41">
        <f>4*0.606</f>
        <v>2.4239999999999999</v>
      </c>
      <c r="G48" s="42">
        <f>4*0.694</f>
        <v>2.7759999999999998</v>
      </c>
      <c r="H48" s="42">
        <f>2*1.244</f>
        <v>2.488</v>
      </c>
      <c r="I48" s="42">
        <f t="shared" si="20"/>
        <v>2.9897616</v>
      </c>
      <c r="J48" s="42">
        <f t="shared" si="20"/>
        <v>3.4239183999999998</v>
      </c>
      <c r="K48" s="42">
        <f t="shared" si="20"/>
        <v>3.0686992000000002</v>
      </c>
      <c r="L48" s="43">
        <f t="shared" si="21"/>
        <v>3.1607930666666668</v>
      </c>
      <c r="M48" s="42">
        <f t="shared" si="24"/>
        <v>0.1335215238014372</v>
      </c>
      <c r="N48" s="42">
        <f t="shared" si="22"/>
        <v>1.0951936517823233</v>
      </c>
      <c r="O48" s="42">
        <f t="shared" si="22"/>
        <v>1.2307856262198134</v>
      </c>
      <c r="P48" s="42">
        <f t="shared" si="22"/>
        <v>1.1212537584521884</v>
      </c>
      <c r="Q48" s="43">
        <f t="shared" si="23"/>
        <v>1.1490776788181083</v>
      </c>
      <c r="R48" s="42">
        <f t="shared" si="25"/>
        <v>4.154083850606545E-2</v>
      </c>
      <c r="S48" s="42">
        <f t="shared" si="26"/>
        <v>-3.3374977806487714E-3</v>
      </c>
      <c r="T48" s="42">
        <f t="shared" si="27"/>
        <v>3.7297920957822237E-3</v>
      </c>
      <c r="U48" s="42">
        <f t="shared" si="28"/>
        <v>2.5556395909845549E-3</v>
      </c>
      <c r="V48" s="43">
        <f t="shared" si="29"/>
        <v>9.8264463537266916E-4</v>
      </c>
      <c r="W48" s="42">
        <f t="shared" si="30"/>
        <v>2.1865026409894363E-3</v>
      </c>
      <c r="X48" s="42">
        <f t="shared" si="31"/>
        <v>9.6025745945077894E-3</v>
      </c>
      <c r="Y48" s="42">
        <f t="shared" si="32"/>
        <v>1.0997007868957765E-2</v>
      </c>
      <c r="Z48" s="42">
        <f t="shared" si="33"/>
        <v>9.8561079171350582E-3</v>
      </c>
      <c r="AA48" s="43">
        <f t="shared" si="34"/>
        <v>1.0151896793533538E-2</v>
      </c>
      <c r="AB48" s="146">
        <f t="shared" si="35"/>
        <v>4.2884703324694778E-4</v>
      </c>
    </row>
    <row r="49" spans="2:28" s="5" customFormat="1" ht="13" x14ac:dyDescent="0.15">
      <c r="B49" s="46" t="s">
        <v>38</v>
      </c>
      <c r="C49" s="39">
        <v>0.4465277777777778</v>
      </c>
      <c r="D49" s="40">
        <f>10+52/60+12+D48</f>
        <v>334.21666666666664</v>
      </c>
      <c r="E49" s="45">
        <v>15</v>
      </c>
      <c r="F49" s="41">
        <f>4*0.643</f>
        <v>2.5720000000000001</v>
      </c>
      <c r="G49" s="42">
        <f>4*0.701</f>
        <v>2.8039999999999998</v>
      </c>
      <c r="H49" s="42">
        <f>4*0.683</f>
        <v>2.7320000000000002</v>
      </c>
      <c r="I49" s="42">
        <f t="shared" si="20"/>
        <v>3.1723048</v>
      </c>
      <c r="J49" s="42">
        <f t="shared" si="20"/>
        <v>3.4584535999999999</v>
      </c>
      <c r="K49" s="42">
        <f t="shared" si="20"/>
        <v>3.3696488000000002</v>
      </c>
      <c r="L49" s="43">
        <f t="shared" si="21"/>
        <v>3.3334690666666664</v>
      </c>
      <c r="M49" s="42">
        <f t="shared" si="24"/>
        <v>8.4561641744180377E-2</v>
      </c>
      <c r="N49" s="42">
        <f t="shared" si="22"/>
        <v>1.1544583899506284</v>
      </c>
      <c r="O49" s="42">
        <f t="shared" si="22"/>
        <v>1.240821552747599</v>
      </c>
      <c r="P49" s="42">
        <f t="shared" si="22"/>
        <v>1.214808525283799</v>
      </c>
      <c r="Q49" s="43">
        <f t="shared" si="23"/>
        <v>1.2033628226606756</v>
      </c>
      <c r="R49" s="42">
        <f t="shared" si="25"/>
        <v>2.5579301876561197E-2</v>
      </c>
      <c r="S49" s="42">
        <f t="shared" si="26"/>
        <v>2.5917523980308358E-3</v>
      </c>
      <c r="T49" s="42">
        <f t="shared" si="27"/>
        <v>4.3888891520928359E-4</v>
      </c>
      <c r="U49" s="42">
        <f t="shared" si="28"/>
        <v>4.0913163337439008E-3</v>
      </c>
      <c r="V49" s="43">
        <f t="shared" si="29"/>
        <v>2.3739858823280066E-3</v>
      </c>
      <c r="W49" s="42">
        <f t="shared" si="30"/>
        <v>1.0599722014337412E-3</v>
      </c>
      <c r="X49" s="42">
        <f t="shared" si="31"/>
        <v>9.4917612327332576E-3</v>
      </c>
      <c r="Y49" s="42">
        <f t="shared" si="32"/>
        <v>1.0347938762279959E-2</v>
      </c>
      <c r="Z49" s="42">
        <f t="shared" si="33"/>
        <v>1.0082228494489604E-2</v>
      </c>
      <c r="AA49" s="43">
        <f t="shared" si="34"/>
        <v>9.9739761631676069E-3</v>
      </c>
      <c r="AB49" s="146">
        <f t="shared" si="35"/>
        <v>2.5301443697455867E-4</v>
      </c>
    </row>
    <row r="50" spans="2:28" s="5" customFormat="1" ht="13" x14ac:dyDescent="0.15">
      <c r="B50" s="46" t="s">
        <v>39</v>
      </c>
      <c r="C50" s="39">
        <v>0.44097222222222227</v>
      </c>
      <c r="D50" s="40">
        <f>11+52/60+12+D49</f>
        <v>358.08333333333331</v>
      </c>
      <c r="E50" s="45">
        <v>16</v>
      </c>
      <c r="F50" s="41">
        <f>4*0.646</f>
        <v>2.5840000000000001</v>
      </c>
      <c r="G50" s="42">
        <f>4*0.742</f>
        <v>2.968</v>
      </c>
      <c r="H50" s="42">
        <f>4*0.663</f>
        <v>2.6520000000000001</v>
      </c>
      <c r="I50" s="42">
        <f t="shared" si="20"/>
        <v>3.1871056000000002</v>
      </c>
      <c r="J50" s="42">
        <f t="shared" si="20"/>
        <v>3.6607312000000003</v>
      </c>
      <c r="K50" s="42">
        <f t="shared" si="20"/>
        <v>3.2709768000000001</v>
      </c>
      <c r="L50" s="43">
        <f t="shared" si="21"/>
        <v>3.3729378666666672</v>
      </c>
      <c r="M50" s="42">
        <f t="shared" si="24"/>
        <v>0.14591932312148082</v>
      </c>
      <c r="N50" s="42">
        <f t="shared" si="22"/>
        <v>1.1591131694956109</v>
      </c>
      <c r="O50" s="42">
        <f t="shared" si="22"/>
        <v>1.2976629088803895</v>
      </c>
      <c r="P50" s="42">
        <f t="shared" si="22"/>
        <v>1.1850886558988716</v>
      </c>
      <c r="Q50" s="43">
        <f t="shared" si="23"/>
        <v>1.2139549114249573</v>
      </c>
      <c r="R50" s="42">
        <f t="shared" si="25"/>
        <v>4.2520399425728481E-2</v>
      </c>
      <c r="S50" s="42">
        <f t="shared" si="26"/>
        <v>1.9503266249926675E-4</v>
      </c>
      <c r="T50" s="42">
        <f t="shared" si="27"/>
        <v>2.3816210670163612E-3</v>
      </c>
      <c r="U50" s="42">
        <f t="shared" si="28"/>
        <v>-1.245245923949473E-3</v>
      </c>
      <c r="V50" s="43">
        <f t="shared" si="29"/>
        <v>4.4380260185538501E-4</v>
      </c>
      <c r="W50" s="42">
        <f t="shared" si="30"/>
        <v>1.0543490732176617E-3</v>
      </c>
      <c r="X50" s="42">
        <f t="shared" si="31"/>
        <v>8.9004578077728665E-3</v>
      </c>
      <c r="Y50" s="42">
        <f t="shared" si="32"/>
        <v>1.0223126460321155E-2</v>
      </c>
      <c r="Z50" s="42">
        <f t="shared" si="33"/>
        <v>9.1346803816616251E-3</v>
      </c>
      <c r="AA50" s="43">
        <f t="shared" si="34"/>
        <v>9.4194215499185489E-3</v>
      </c>
      <c r="AB50" s="146">
        <f t="shared" si="35"/>
        <v>4.0750101872417239E-4</v>
      </c>
    </row>
    <row r="51" spans="2:28" s="5" customFormat="1" ht="13" x14ac:dyDescent="0.15">
      <c r="B51" s="46" t="s">
        <v>40</v>
      </c>
      <c r="C51" s="39">
        <v>0.44097222222222227</v>
      </c>
      <c r="D51" s="40">
        <f>24+D50</f>
        <v>382.08333333333331</v>
      </c>
      <c r="E51" s="45">
        <v>17</v>
      </c>
      <c r="F51" s="41">
        <f>4*0.656</f>
        <v>2.6240000000000001</v>
      </c>
      <c r="G51" s="42">
        <f>4*0.749</f>
        <v>2.996</v>
      </c>
      <c r="H51" s="42">
        <f>4*0.67</f>
        <v>2.68</v>
      </c>
      <c r="I51" s="42">
        <f t="shared" ref="I51:K53" si="36">1.2334*F51</f>
        <v>3.2364416000000005</v>
      </c>
      <c r="J51" s="42">
        <f t="shared" si="36"/>
        <v>3.6952664</v>
      </c>
      <c r="K51" s="42">
        <f t="shared" si="36"/>
        <v>3.3055120000000002</v>
      </c>
      <c r="L51" s="43">
        <f t="shared" si="21"/>
        <v>3.412406666666667</v>
      </c>
      <c r="M51" s="42">
        <f t="shared" si="24"/>
        <v>0.14282845374211822</v>
      </c>
      <c r="N51" s="42">
        <f t="shared" si="22"/>
        <v>1.1744744546570982</v>
      </c>
      <c r="O51" s="42">
        <f t="shared" si="22"/>
        <v>1.3070526492302283</v>
      </c>
      <c r="P51" s="42">
        <f t="shared" si="22"/>
        <v>1.1955913780980207</v>
      </c>
      <c r="Q51" s="43">
        <f t="shared" si="23"/>
        <v>1.2257061606617825</v>
      </c>
      <c r="R51" s="42">
        <f t="shared" si="25"/>
        <v>4.1127523289214624E-2</v>
      </c>
      <c r="S51" s="42">
        <f t="shared" si="26"/>
        <v>6.4005354839530293E-4</v>
      </c>
      <c r="T51" s="42">
        <f t="shared" si="27"/>
        <v>3.9123918124328583E-4</v>
      </c>
      <c r="U51" s="42">
        <f t="shared" si="28"/>
        <v>4.3761342496454841E-4</v>
      </c>
      <c r="V51" s="43">
        <f t="shared" si="29"/>
        <v>4.8963538486771244E-4</v>
      </c>
      <c r="W51" s="42">
        <f t="shared" si="30"/>
        <v>7.6391231083677605E-5</v>
      </c>
      <c r="X51" s="42">
        <f t="shared" si="31"/>
        <v>8.470512366412216E-3</v>
      </c>
      <c r="Y51" s="42">
        <f t="shared" si="32"/>
        <v>9.6713624427480927E-3</v>
      </c>
      <c r="Z51" s="42">
        <f t="shared" si="33"/>
        <v>8.6512854961832072E-3</v>
      </c>
      <c r="AA51" s="43">
        <f t="shared" si="34"/>
        <v>8.9310534351145065E-3</v>
      </c>
      <c r="AB51" s="146">
        <f t="shared" si="35"/>
        <v>3.7381492800554403E-4</v>
      </c>
    </row>
    <row r="52" spans="2:28" s="5" customFormat="1" ht="13" x14ac:dyDescent="0.15">
      <c r="B52" s="46" t="s">
        <v>41</v>
      </c>
      <c r="C52" s="39">
        <v>0.44305555555555554</v>
      </c>
      <c r="D52" s="40">
        <v>406.13333333333333</v>
      </c>
      <c r="E52" s="45">
        <v>18</v>
      </c>
      <c r="F52" s="41">
        <f>4*0.654</f>
        <v>2.6160000000000001</v>
      </c>
      <c r="G52" s="42">
        <f>4*0.751</f>
        <v>3.004</v>
      </c>
      <c r="H52" s="42">
        <f>4*0.668</f>
        <v>2.6720000000000002</v>
      </c>
      <c r="I52" s="42">
        <f t="shared" si="36"/>
        <v>3.2265744000000001</v>
      </c>
      <c r="J52" s="42">
        <f t="shared" si="36"/>
        <v>3.7051336000000004</v>
      </c>
      <c r="K52" s="42">
        <f t="shared" si="36"/>
        <v>3.2956448000000003</v>
      </c>
      <c r="L52" s="43">
        <f t="shared" si="21"/>
        <v>3.4091176000000001</v>
      </c>
      <c r="M52" s="42">
        <f t="shared" si="24"/>
        <v>0.14934499682618552</v>
      </c>
      <c r="N52" s="42">
        <f t="shared" si="22"/>
        <v>1.1714210171702077</v>
      </c>
      <c r="O52" s="42">
        <f t="shared" ref="O52" si="37">LN(J52)</f>
        <v>1.3097193174771438</v>
      </c>
      <c r="P52" s="42">
        <f t="shared" ref="P52" si="38">LN(K52)</f>
        <v>1.1926018392496547</v>
      </c>
      <c r="Q52" s="43">
        <f t="shared" si="23"/>
        <v>1.2245807246323352</v>
      </c>
      <c r="R52" s="42">
        <f t="shared" si="25"/>
        <v>4.3006169323659596E-2</v>
      </c>
      <c r="S52" s="42">
        <f t="shared" si="26"/>
        <v>-1.2696205766696313E-4</v>
      </c>
      <c r="T52" s="42">
        <f t="shared" si="27"/>
        <v>1.1088017658691952E-4</v>
      </c>
      <c r="U52" s="42">
        <f t="shared" si="28"/>
        <v>-1.2430514962021025E-4</v>
      </c>
      <c r="V52" s="43">
        <f t="shared" si="29"/>
        <v>-4.6795676900084624E-5</v>
      </c>
      <c r="W52" s="42">
        <f t="shared" si="30"/>
        <v>7.8841657495120401E-5</v>
      </c>
      <c r="X52" s="42">
        <f t="shared" si="31"/>
        <v>7.9446185160866722E-3</v>
      </c>
      <c r="Y52" s="42">
        <f t="shared" si="32"/>
        <v>9.1229487852921877E-3</v>
      </c>
      <c r="Z52" s="42">
        <f t="shared" si="33"/>
        <v>8.1146868023637565E-3</v>
      </c>
      <c r="AA52" s="43">
        <f t="shared" si="34"/>
        <v>8.394084701247537E-3</v>
      </c>
      <c r="AB52" s="146">
        <f t="shared" si="35"/>
        <v>3.6772405653197343E-4</v>
      </c>
    </row>
    <row r="53" spans="2:28" s="5" customFormat="1" thickBot="1" x14ac:dyDescent="0.2">
      <c r="B53" s="46" t="s">
        <v>42</v>
      </c>
      <c r="C53" s="39">
        <v>0.47638888888888892</v>
      </c>
      <c r="D53" s="40">
        <v>430.93333333333334</v>
      </c>
      <c r="E53" s="45">
        <v>19</v>
      </c>
      <c r="F53" s="42">
        <f>4*0.66</f>
        <v>2.64</v>
      </c>
      <c r="G53" s="42">
        <f>4*0.749</f>
        <v>2.996</v>
      </c>
      <c r="H53" s="42">
        <f>4*0.668</f>
        <v>2.6720000000000002</v>
      </c>
      <c r="I53" s="51">
        <f t="shared" si="36"/>
        <v>3.2561760000000004</v>
      </c>
      <c r="J53" s="51">
        <f t="shared" si="36"/>
        <v>3.6952664</v>
      </c>
      <c r="K53" s="51">
        <f t="shared" si="36"/>
        <v>3.2956448000000003</v>
      </c>
      <c r="L53" s="52">
        <f t="shared" si="21"/>
        <v>3.4156957333333335</v>
      </c>
      <c r="M53" s="42">
        <f>STDEV(I53:K53)/SQRT(3)</f>
        <v>0.14024890348792182</v>
      </c>
      <c r="N53" s="51">
        <f t="shared" si="22"/>
        <v>1.1805535007334802</v>
      </c>
      <c r="O53" s="51">
        <f t="shared" si="22"/>
        <v>1.3070526492302283</v>
      </c>
      <c r="P53" s="51">
        <f t="shared" si="22"/>
        <v>1.1926018392496547</v>
      </c>
      <c r="Q53" s="52">
        <f t="shared" si="23"/>
        <v>1.2267359964044544</v>
      </c>
      <c r="R53" s="42">
        <f t="shared" si="25"/>
        <v>4.0308659764794995E-2</v>
      </c>
      <c r="S53" s="42">
        <f t="shared" si="26"/>
        <v>3.6824530497066326E-4</v>
      </c>
      <c r="T53" s="42">
        <f t="shared" si="27"/>
        <v>-1.0752694544013768E-4</v>
      </c>
      <c r="U53" s="42">
        <f t="shared" si="28"/>
        <v>0</v>
      </c>
      <c r="V53" s="43">
        <f t="shared" si="29"/>
        <v>8.6906119843508528E-5</v>
      </c>
      <c r="W53" s="42">
        <f>STDEV(S53:U53)/SQRT(3)</f>
        <v>1.4405359397915091E-4</v>
      </c>
      <c r="X53" s="42">
        <f t="shared" si="31"/>
        <v>7.5561014851485159E-3</v>
      </c>
      <c r="Y53" s="42">
        <f t="shared" si="32"/>
        <v>8.5750303217821781E-3</v>
      </c>
      <c r="Z53" s="42">
        <f t="shared" si="33"/>
        <v>7.6476905940594062E-3</v>
      </c>
      <c r="AA53" s="43">
        <f t="shared" si="34"/>
        <v>7.9262741336633673E-3</v>
      </c>
      <c r="AB53" s="146">
        <f t="shared" si="35"/>
        <v>3.2545382925724438E-4</v>
      </c>
    </row>
    <row r="54" spans="2:28" ht="15" thickBot="1" x14ac:dyDescent="0.2">
      <c r="B54" s="198" t="s">
        <v>80</v>
      </c>
      <c r="C54" s="199"/>
      <c r="D54" s="199"/>
      <c r="E54" s="199"/>
      <c r="F54" s="199"/>
      <c r="G54" s="199"/>
      <c r="H54" s="199"/>
      <c r="I54" s="199"/>
      <c r="J54" s="199"/>
      <c r="K54" s="199"/>
      <c r="L54" s="199"/>
      <c r="M54" s="199"/>
      <c r="N54" s="199"/>
      <c r="O54" s="199"/>
      <c r="P54" s="199"/>
      <c r="Q54" s="199"/>
      <c r="R54" s="199"/>
      <c r="S54" s="199"/>
      <c r="T54" s="199"/>
      <c r="U54" s="199"/>
      <c r="V54" s="199"/>
      <c r="W54" s="199"/>
      <c r="X54" s="199"/>
      <c r="Y54" s="199"/>
      <c r="Z54" s="199"/>
      <c r="AA54" s="199"/>
      <c r="AB54" s="200"/>
    </row>
    <row r="55" spans="2:28" ht="60" x14ac:dyDescent="0.15">
      <c r="B55" s="23" t="s">
        <v>0</v>
      </c>
      <c r="C55" s="24" t="s">
        <v>1</v>
      </c>
      <c r="D55" s="25" t="s">
        <v>2</v>
      </c>
      <c r="E55" s="26" t="s">
        <v>3</v>
      </c>
      <c r="F55" s="201" t="s">
        <v>70</v>
      </c>
      <c r="G55" s="202"/>
      <c r="H55" s="203"/>
      <c r="I55" s="204" t="s">
        <v>10</v>
      </c>
      <c r="J55" s="202"/>
      <c r="K55" s="203"/>
      <c r="L55" s="27" t="s">
        <v>4</v>
      </c>
      <c r="M55" s="28" t="s">
        <v>79</v>
      </c>
      <c r="N55" s="204" t="s">
        <v>72</v>
      </c>
      <c r="O55" s="202"/>
      <c r="P55" s="203"/>
      <c r="Q55" s="28" t="s">
        <v>5</v>
      </c>
      <c r="R55" s="28" t="s">
        <v>71</v>
      </c>
      <c r="S55" s="205" t="s">
        <v>6</v>
      </c>
      <c r="T55" s="206"/>
      <c r="U55" s="206"/>
      <c r="V55" s="27" t="s">
        <v>73</v>
      </c>
      <c r="W55" s="27" t="s">
        <v>71</v>
      </c>
      <c r="X55" s="204" t="s">
        <v>74</v>
      </c>
      <c r="Y55" s="202"/>
      <c r="Z55" s="203"/>
      <c r="AA55" s="27" t="s">
        <v>75</v>
      </c>
      <c r="AB55" s="29" t="s">
        <v>71</v>
      </c>
    </row>
    <row r="56" spans="2:28" x14ac:dyDescent="0.15">
      <c r="B56" s="30"/>
      <c r="C56" s="31"/>
      <c r="D56" s="32"/>
      <c r="E56" s="33"/>
      <c r="F56" s="188" t="s">
        <v>13</v>
      </c>
      <c r="G56" s="189"/>
      <c r="H56" s="190"/>
      <c r="I56" s="191" t="s">
        <v>7</v>
      </c>
      <c r="J56" s="189"/>
      <c r="K56" s="190"/>
      <c r="L56" s="35" t="s">
        <v>7</v>
      </c>
      <c r="M56" s="35"/>
      <c r="N56" s="191" t="s">
        <v>7</v>
      </c>
      <c r="O56" s="189"/>
      <c r="P56" s="190"/>
      <c r="Q56" s="34"/>
      <c r="R56" s="34"/>
      <c r="S56" s="193" t="s">
        <v>76</v>
      </c>
      <c r="T56" s="194"/>
      <c r="U56" s="194"/>
      <c r="V56" s="35" t="s">
        <v>76</v>
      </c>
      <c r="W56" s="32"/>
      <c r="X56" s="195" t="s">
        <v>77</v>
      </c>
      <c r="Y56" s="196"/>
      <c r="Z56" s="197"/>
      <c r="AA56" s="37" t="s">
        <v>77</v>
      </c>
      <c r="AB56" s="38"/>
    </row>
    <row r="57" spans="2:28" s="5" customFormat="1" ht="13" x14ac:dyDescent="0.15">
      <c r="B57" s="186" t="s">
        <v>24</v>
      </c>
      <c r="C57" s="39">
        <v>0.5625</v>
      </c>
      <c r="D57" s="5">
        <v>0</v>
      </c>
      <c r="E57" s="192">
        <v>1</v>
      </c>
      <c r="F57" s="41">
        <v>0.113</v>
      </c>
      <c r="G57" s="42">
        <v>0.109</v>
      </c>
      <c r="H57" s="42">
        <v>0.106</v>
      </c>
      <c r="I57" s="42">
        <f t="shared" ref="I57:K76" si="39">1.2334*F57</f>
        <v>0.1393742</v>
      </c>
      <c r="J57" s="42">
        <f t="shared" si="39"/>
        <v>0.13444059999999999</v>
      </c>
      <c r="K57" s="42">
        <f t="shared" si="39"/>
        <v>0.13074040000000001</v>
      </c>
      <c r="L57" s="43">
        <f t="shared" ref="L57:L78" si="40">AVERAGE(I57:K57)</f>
        <v>0.13485173333333333</v>
      </c>
      <c r="M57" s="53">
        <f t="shared" ref="M57:M78" si="41">STDEV(I57:K57)/SQRT(3)</f>
        <v>2.5008264349566083E-3</v>
      </c>
      <c r="N57" s="42">
        <f t="shared" ref="N57:P76" si="42">LN(I57)</f>
        <v>-1.9705928766945411</v>
      </c>
      <c r="O57" s="42">
        <f t="shared" si="42"/>
        <v>-2.0066328131777382</v>
      </c>
      <c r="P57" s="42">
        <f t="shared" si="42"/>
        <v>-2.0345416012948143</v>
      </c>
      <c r="Q57" s="43">
        <f t="shared" ref="Q57:Q78" si="43">AVERAGE(N57:P57)</f>
        <v>-2.0039224303890308</v>
      </c>
      <c r="R57" s="42">
        <f>STDEV(N57:P57)/SQRT(3)</f>
        <v>1.851008261863776E-2</v>
      </c>
      <c r="S57" s="42"/>
      <c r="V57" s="152"/>
      <c r="AA57" s="152"/>
      <c r="AB57" s="45"/>
    </row>
    <row r="58" spans="2:28" s="5" customFormat="1" ht="13" x14ac:dyDescent="0.15">
      <c r="B58" s="186"/>
      <c r="C58" s="39">
        <v>0.70138888888888884</v>
      </c>
      <c r="D58" s="40">
        <f>3+20/60</f>
        <v>3.3333333333333335</v>
      </c>
      <c r="E58" s="192"/>
      <c r="F58" s="41">
        <v>0.14499999999999999</v>
      </c>
      <c r="G58" s="42">
        <v>0.14000000000000001</v>
      </c>
      <c r="H58" s="42">
        <v>0.14899999999999999</v>
      </c>
      <c r="I58" s="42">
        <f t="shared" si="39"/>
        <v>0.178843</v>
      </c>
      <c r="J58" s="42">
        <f t="shared" si="39"/>
        <v>0.17267600000000002</v>
      </c>
      <c r="K58" s="42">
        <f t="shared" si="39"/>
        <v>0.18377660000000001</v>
      </c>
      <c r="L58" s="43">
        <f t="shared" si="40"/>
        <v>0.17843186666666666</v>
      </c>
      <c r="M58" s="53">
        <f t="shared" si="41"/>
        <v>3.2110539834210856E-3</v>
      </c>
      <c r="N58" s="42">
        <f t="shared" si="42"/>
        <v>-1.7212469529863073</v>
      </c>
      <c r="O58" s="42">
        <f t="shared" si="42"/>
        <v>-1.7563382727975771</v>
      </c>
      <c r="P58" s="42">
        <f t="shared" si="42"/>
        <v>-1.6940343894614225</v>
      </c>
      <c r="Q58" s="43">
        <f t="shared" si="43"/>
        <v>-1.7238732050817689</v>
      </c>
      <c r="R58" s="42">
        <f t="shared" ref="R58:R78" si="44">STDEV(N58:P58)/SQRT(3)</f>
        <v>1.8033453817308361E-2</v>
      </c>
      <c r="S58" s="42">
        <f>(N58-N57)/(D58-D57)</f>
        <v>7.4803777112470146E-2</v>
      </c>
      <c r="T58" s="42">
        <f>(O58-O57)/(D58-D57)</f>
        <v>7.5088362114048318E-2</v>
      </c>
      <c r="U58" s="42">
        <f>(P58-P57)/(D58-D57)</f>
        <v>0.10215216355001755</v>
      </c>
      <c r="V58" s="43">
        <f>AVERAGE(S58:U58)</f>
        <v>8.4014767592178671E-2</v>
      </c>
      <c r="W58" s="42">
        <f>STDEV(S58:U58)/SQRT(3)</f>
        <v>9.0690700782817373E-3</v>
      </c>
      <c r="X58" s="42">
        <f>I58/D58</f>
        <v>5.3652899999999996E-2</v>
      </c>
      <c r="Y58" s="42">
        <f>J58/D58</f>
        <v>5.1802800000000003E-2</v>
      </c>
      <c r="Z58" s="42">
        <f>K58/D58</f>
        <v>5.5132979999999998E-2</v>
      </c>
      <c r="AA58" s="43">
        <f>AVERAGE(X58:Z58)</f>
        <v>5.3529559999999997E-2</v>
      </c>
      <c r="AB58" s="163">
        <f>STDEV(X58:Z58)/SQRT(3)</f>
        <v>9.6331619502632536E-4</v>
      </c>
    </row>
    <row r="59" spans="2:28" s="5" customFormat="1" ht="13" x14ac:dyDescent="0.15">
      <c r="B59" s="187" t="s">
        <v>25</v>
      </c>
      <c r="C59" s="39">
        <v>0.41666666666666669</v>
      </c>
      <c r="D59" s="40">
        <f>8+30/60+12</f>
        <v>20.5</v>
      </c>
      <c r="E59" s="192">
        <v>2</v>
      </c>
      <c r="F59" s="41">
        <v>0.20599999999999999</v>
      </c>
      <c r="G59" s="42">
        <v>0.21</v>
      </c>
      <c r="H59" s="42">
        <v>0.20100000000000001</v>
      </c>
      <c r="I59" s="42">
        <f t="shared" si="39"/>
        <v>0.25408039999999998</v>
      </c>
      <c r="J59" s="42">
        <f t="shared" si="39"/>
        <v>0.25901400000000002</v>
      </c>
      <c r="K59" s="42">
        <f t="shared" si="39"/>
        <v>0.24791340000000003</v>
      </c>
      <c r="L59" s="43">
        <f t="shared" si="40"/>
        <v>0.25366926666666667</v>
      </c>
      <c r="M59" s="53">
        <f t="shared" si="41"/>
        <v>3.2110539834210852E-3</v>
      </c>
      <c r="N59" s="42">
        <f t="shared" si="42"/>
        <v>-1.3701045266173006</v>
      </c>
      <c r="O59" s="42">
        <f t="shared" si="42"/>
        <v>-1.350873164689413</v>
      </c>
      <c r="P59" s="42">
        <f t="shared" si="42"/>
        <v>-1.3946757873478057</v>
      </c>
      <c r="Q59" s="43">
        <f t="shared" si="43"/>
        <v>-1.3718844928848399</v>
      </c>
      <c r="R59" s="42">
        <f t="shared" si="44"/>
        <v>1.2676009465042857E-2</v>
      </c>
      <c r="S59" s="42">
        <f t="shared" ref="S59:S78" si="45">(N59-N58)/(D59-D58)</f>
        <v>2.0454898623437277E-2</v>
      </c>
      <c r="T59" s="42">
        <f t="shared" ref="T59:T78" si="46">(O59-O58)/(D59-D58)</f>
        <v>2.3619326685912472E-2</v>
      </c>
      <c r="U59" s="42">
        <f t="shared" ref="U59:U78" si="47">(P59-P58)/(D59-D58)</f>
        <v>1.7438365171666994E-2</v>
      </c>
      <c r="V59" s="43">
        <f t="shared" ref="V59:V78" si="48">AVERAGE(S59:U59)</f>
        <v>2.0504196827005581E-2</v>
      </c>
      <c r="W59" s="42">
        <f t="shared" ref="W59:W78" si="49">STDEV(S59:U59)/SQRT(3)</f>
        <v>1.7844601466365333E-3</v>
      </c>
      <c r="X59" s="42">
        <f t="shared" ref="X59:X78" si="50">I59/D59</f>
        <v>1.2394165853658537E-2</v>
      </c>
      <c r="Y59" s="42">
        <f t="shared" ref="Y59:Y78" si="51">J59/D59</f>
        <v>1.2634829268292683E-2</v>
      </c>
      <c r="Z59" s="42">
        <f t="shared" ref="Z59:Z78" si="52">K59/D59</f>
        <v>1.2093336585365856E-2</v>
      </c>
      <c r="AA59" s="43">
        <f t="shared" ref="AA59:AA78" si="53">AVERAGE(X59:Z59)</f>
        <v>1.2374110569105692E-2</v>
      </c>
      <c r="AB59" s="146">
        <f t="shared" ref="AB59:AB78" si="54">STDEV(X59:Z59)/SQRT(3)</f>
        <v>1.566367796790769E-4</v>
      </c>
    </row>
    <row r="60" spans="2:28" s="5" customFormat="1" ht="13" x14ac:dyDescent="0.15">
      <c r="B60" s="187"/>
      <c r="C60" s="39">
        <v>0.54861111111111105</v>
      </c>
      <c r="D60" s="40">
        <f>3+10/60+D59</f>
        <v>23.666666666666668</v>
      </c>
      <c r="E60" s="192"/>
      <c r="F60" s="41">
        <v>0.22700000000000001</v>
      </c>
      <c r="G60" s="42">
        <v>0.222</v>
      </c>
      <c r="H60" s="42">
        <v>0.216</v>
      </c>
      <c r="I60" s="42">
        <f t="shared" si="39"/>
        <v>0.2799818</v>
      </c>
      <c r="J60" s="42">
        <f t="shared" si="39"/>
        <v>0.27381480000000002</v>
      </c>
      <c r="K60" s="42">
        <f t="shared" si="39"/>
        <v>0.2664144</v>
      </c>
      <c r="L60" s="43">
        <f t="shared" si="40"/>
        <v>0.27340366666666666</v>
      </c>
      <c r="M60" s="53">
        <f t="shared" si="41"/>
        <v>3.9219620367588722E-3</v>
      </c>
      <c r="N60" s="42">
        <f t="shared" si="42"/>
        <v>-1.273030677925479</v>
      </c>
      <c r="O60" s="42">
        <f t="shared" si="42"/>
        <v>-1.2953033135346022</v>
      </c>
      <c r="P60" s="42">
        <f t="shared" si="42"/>
        <v>-1.3227022877227166</v>
      </c>
      <c r="Q60" s="43">
        <f t="shared" si="43"/>
        <v>-1.2970120930609326</v>
      </c>
      <c r="R60" s="42">
        <f t="shared" si="44"/>
        <v>1.4364390584177975E-2</v>
      </c>
      <c r="S60" s="42">
        <f t="shared" si="45"/>
        <v>3.0654899586891042E-2</v>
      </c>
      <c r="T60" s="42">
        <f t="shared" si="46"/>
        <v>1.7548374048887625E-2</v>
      </c>
      <c r="U60" s="42">
        <f t="shared" si="47"/>
        <v>2.2728473565817614E-2</v>
      </c>
      <c r="V60" s="43">
        <f t="shared" si="48"/>
        <v>2.3643915733865428E-2</v>
      </c>
      <c r="W60" s="42">
        <f t="shared" si="49"/>
        <v>3.8111143904753114E-3</v>
      </c>
      <c r="X60" s="42">
        <f t="shared" si="50"/>
        <v>1.1830216901408451E-2</v>
      </c>
      <c r="Y60" s="42">
        <f t="shared" si="51"/>
        <v>1.1569639436619719E-2</v>
      </c>
      <c r="Z60" s="42">
        <f t="shared" si="52"/>
        <v>1.1256946478873238E-2</v>
      </c>
      <c r="AA60" s="43">
        <f t="shared" si="53"/>
        <v>1.1552267605633803E-2</v>
      </c>
      <c r="AB60" s="146">
        <f t="shared" si="54"/>
        <v>1.6571670577854414E-4</v>
      </c>
    </row>
    <row r="61" spans="2:28" s="5" customFormat="1" ht="13" x14ac:dyDescent="0.15">
      <c r="B61" s="187"/>
      <c r="C61" s="39">
        <v>0.71250000000000002</v>
      </c>
      <c r="D61" s="40">
        <f>3+56/60+D60</f>
        <v>27.6</v>
      </c>
      <c r="E61" s="192"/>
      <c r="F61" s="41">
        <v>0.25600000000000001</v>
      </c>
      <c r="G61" s="42">
        <v>0.26600000000000001</v>
      </c>
      <c r="H61" s="42">
        <v>0.255</v>
      </c>
      <c r="I61" s="42">
        <f t="shared" si="39"/>
        <v>0.31575040000000004</v>
      </c>
      <c r="J61" s="42">
        <f t="shared" si="39"/>
        <v>0.32808440000000005</v>
      </c>
      <c r="K61" s="42">
        <f t="shared" si="39"/>
        <v>0.31451699999999999</v>
      </c>
      <c r="L61" s="43">
        <f t="shared" si="40"/>
        <v>0.31945059999999997</v>
      </c>
      <c r="M61" s="53">
        <f t="shared" si="41"/>
        <v>4.3315584462562031E-3</v>
      </c>
      <c r="N61" s="42">
        <f t="shared" si="42"/>
        <v>-1.1528032509273189</v>
      </c>
      <c r="O61" s="42">
        <f t="shared" si="42"/>
        <v>-1.1144843866251823</v>
      </c>
      <c r="P61" s="42">
        <f t="shared" si="42"/>
        <v>-1.1567171502484555</v>
      </c>
      <c r="Q61" s="43">
        <f t="shared" si="43"/>
        <v>-1.1413349292669854</v>
      </c>
      <c r="R61" s="42">
        <f t="shared" si="44"/>
        <v>1.3472730261451198E-2</v>
      </c>
      <c r="S61" s="42">
        <f t="shared" si="45"/>
        <v>3.0566294999532208E-2</v>
      </c>
      <c r="T61" s="42">
        <f t="shared" si="46"/>
        <v>4.5970913621038931E-2</v>
      </c>
      <c r="U61" s="42">
        <f t="shared" si="47"/>
        <v>4.2199611222269777E-2</v>
      </c>
      <c r="V61" s="43">
        <f t="shared" si="48"/>
        <v>3.9578939947613641E-2</v>
      </c>
      <c r="W61" s="42">
        <f t="shared" si="49"/>
        <v>4.6359647383571647E-3</v>
      </c>
      <c r="X61" s="42">
        <f t="shared" si="50"/>
        <v>1.1440231884057971E-2</v>
      </c>
      <c r="Y61" s="42">
        <f t="shared" si="51"/>
        <v>1.1887115942028986E-2</v>
      </c>
      <c r="Z61" s="42">
        <f t="shared" si="52"/>
        <v>1.1395543478260869E-2</v>
      </c>
      <c r="AA61" s="43">
        <f t="shared" si="53"/>
        <v>1.1574297101449277E-2</v>
      </c>
      <c r="AB61" s="146">
        <f t="shared" si="54"/>
        <v>1.5694052341507959E-4</v>
      </c>
    </row>
    <row r="62" spans="2:28" s="5" customFormat="1" ht="13" x14ac:dyDescent="0.15">
      <c r="B62" s="44" t="s">
        <v>26</v>
      </c>
      <c r="C62" s="39">
        <v>0.4375</v>
      </c>
      <c r="D62" s="40">
        <f>5+24/60+12+D61</f>
        <v>45</v>
      </c>
      <c r="E62" s="45">
        <v>3</v>
      </c>
      <c r="F62" s="41">
        <v>0.38900000000000001</v>
      </c>
      <c r="G62" s="42">
        <v>0.38100000000000001</v>
      </c>
      <c r="H62" s="42">
        <v>0.38900000000000001</v>
      </c>
      <c r="I62" s="42">
        <f t="shared" si="39"/>
        <v>0.47979260000000001</v>
      </c>
      <c r="J62" s="42">
        <f t="shared" si="39"/>
        <v>0.46992540000000005</v>
      </c>
      <c r="K62" s="42">
        <f t="shared" si="39"/>
        <v>0.47979260000000001</v>
      </c>
      <c r="L62" s="43">
        <f t="shared" si="40"/>
        <v>0.47650353333333334</v>
      </c>
      <c r="M62" s="53">
        <f t="shared" si="41"/>
        <v>3.2890666666666553E-3</v>
      </c>
      <c r="N62" s="42">
        <f t="shared" si="42"/>
        <v>-0.73440135178843535</v>
      </c>
      <c r="O62" s="42">
        <f t="shared" si="42"/>
        <v>-0.75518132028018059</v>
      </c>
      <c r="P62" s="42">
        <f t="shared" si="42"/>
        <v>-0.73440135178843535</v>
      </c>
      <c r="Q62" s="43">
        <f t="shared" si="43"/>
        <v>-0.74132800795235043</v>
      </c>
      <c r="R62" s="42">
        <f t="shared" si="44"/>
        <v>6.9266561639150792E-3</v>
      </c>
      <c r="S62" s="42">
        <f t="shared" si="45"/>
        <v>2.4046086157407106E-2</v>
      </c>
      <c r="T62" s="42">
        <f t="shared" si="46"/>
        <v>2.0649601514080563E-2</v>
      </c>
      <c r="U62" s="42">
        <f t="shared" si="47"/>
        <v>2.4271022900001157E-2</v>
      </c>
      <c r="V62" s="43">
        <f t="shared" si="48"/>
        <v>2.298890352382961E-2</v>
      </c>
      <c r="W62" s="42">
        <f t="shared" si="49"/>
        <v>1.171452026924157E-3</v>
      </c>
      <c r="X62" s="42">
        <f t="shared" si="50"/>
        <v>1.0662057777777779E-2</v>
      </c>
      <c r="Y62" s="42">
        <f t="shared" si="51"/>
        <v>1.0442786666666667E-2</v>
      </c>
      <c r="Z62" s="42">
        <f t="shared" si="52"/>
        <v>1.0662057777777779E-2</v>
      </c>
      <c r="AA62" s="43">
        <f t="shared" si="53"/>
        <v>1.0588967407407409E-2</v>
      </c>
      <c r="AB62" s="146">
        <f t="shared" si="54"/>
        <v>7.3090370370370556E-5</v>
      </c>
    </row>
    <row r="63" spans="2:28" s="5" customFormat="1" ht="13" x14ac:dyDescent="0.15">
      <c r="B63" s="44" t="s">
        <v>27</v>
      </c>
      <c r="C63" s="39">
        <v>0.44930555555555557</v>
      </c>
      <c r="D63" s="40">
        <f>24+17/60+D62</f>
        <v>69.283333333333331</v>
      </c>
      <c r="E63" s="45">
        <v>4</v>
      </c>
      <c r="F63" s="41">
        <v>0.71199999999999997</v>
      </c>
      <c r="G63" s="42">
        <v>0.68700000000000006</v>
      </c>
      <c r="H63" s="42">
        <v>0.626</v>
      </c>
      <c r="I63" s="42">
        <f t="shared" si="39"/>
        <v>0.87818079999999998</v>
      </c>
      <c r="J63" s="42">
        <f t="shared" si="39"/>
        <v>0.84734580000000015</v>
      </c>
      <c r="K63" s="42">
        <f t="shared" si="39"/>
        <v>0.77210840000000003</v>
      </c>
      <c r="L63" s="43">
        <f t="shared" si="40"/>
        <v>0.83254500000000009</v>
      </c>
      <c r="M63" s="53">
        <f t="shared" si="41"/>
        <v>3.150204369518482E-2</v>
      </c>
      <c r="N63" s="42">
        <f t="shared" si="42"/>
        <v>-0.12990278399490593</v>
      </c>
      <c r="O63" s="42">
        <f t="shared" si="42"/>
        <v>-0.16564640318453214</v>
      </c>
      <c r="P63" s="42">
        <f t="shared" si="42"/>
        <v>-0.25863032430678312</v>
      </c>
      <c r="Q63" s="43">
        <f t="shared" si="43"/>
        <v>-0.18472650382874037</v>
      </c>
      <c r="R63" s="42">
        <f t="shared" si="44"/>
        <v>3.8365490522653034E-2</v>
      </c>
      <c r="S63" s="42">
        <f t="shared" si="45"/>
        <v>2.4893558042286729E-2</v>
      </c>
      <c r="T63" s="42">
        <f t="shared" si="46"/>
        <v>2.4277347306615585E-2</v>
      </c>
      <c r="U63" s="42">
        <f t="shared" si="47"/>
        <v>1.9592492552435919E-2</v>
      </c>
      <c r="V63" s="43">
        <f t="shared" si="48"/>
        <v>2.2921132633779411E-2</v>
      </c>
      <c r="W63" s="42">
        <f t="shared" si="49"/>
        <v>1.6737993220050703E-3</v>
      </c>
      <c r="X63" s="42">
        <f t="shared" si="50"/>
        <v>1.2675210007216744E-2</v>
      </c>
      <c r="Y63" s="42">
        <f t="shared" si="51"/>
        <v>1.2230153476064471E-2</v>
      </c>
      <c r="Z63" s="42">
        <f t="shared" si="52"/>
        <v>1.1144215540052923E-2</v>
      </c>
      <c r="AA63" s="43">
        <f t="shared" si="53"/>
        <v>1.201652634111138E-2</v>
      </c>
      <c r="AB63" s="146">
        <f t="shared" si="54"/>
        <v>4.5468429677918934E-4</v>
      </c>
    </row>
    <row r="64" spans="2:28" s="5" customFormat="1" ht="13" x14ac:dyDescent="0.15">
      <c r="B64" s="44" t="s">
        <v>28</v>
      </c>
      <c r="C64" s="39">
        <v>0.55763888888888891</v>
      </c>
      <c r="D64" s="40">
        <f>12+36/60+14+D63</f>
        <v>95.883333333333326</v>
      </c>
      <c r="E64" s="45">
        <v>5</v>
      </c>
      <c r="F64" s="41">
        <v>0.96399999999999997</v>
      </c>
      <c r="G64" s="42">
        <v>0.90800000000000003</v>
      </c>
      <c r="H64" s="42">
        <v>0.95499999999999996</v>
      </c>
      <c r="I64" s="42">
        <f t="shared" si="39"/>
        <v>1.1889976</v>
      </c>
      <c r="J64" s="42">
        <f t="shared" si="39"/>
        <v>1.1199272</v>
      </c>
      <c r="K64" s="42">
        <f t="shared" si="39"/>
        <v>1.177897</v>
      </c>
      <c r="L64" s="43">
        <f t="shared" si="40"/>
        <v>1.1622739333333332</v>
      </c>
      <c r="M64" s="53">
        <f t="shared" si="41"/>
        <v>2.1414482623474954E-2</v>
      </c>
      <c r="N64" s="42">
        <f t="shared" si="42"/>
        <v>0.17311059920366395</v>
      </c>
      <c r="O64" s="42">
        <f t="shared" si="42"/>
        <v>0.11326368319441164</v>
      </c>
      <c r="P64" s="42">
        <f t="shared" si="42"/>
        <v>0.16373064507384855</v>
      </c>
      <c r="Q64" s="43">
        <f t="shared" si="43"/>
        <v>0.15003497582397471</v>
      </c>
      <c r="R64" s="42">
        <f t="shared" si="44"/>
        <v>1.8583970297957303E-2</v>
      </c>
      <c r="S64" s="42">
        <f t="shared" si="45"/>
        <v>1.1391480571374809E-2</v>
      </c>
      <c r="T64" s="42">
        <f t="shared" si="46"/>
        <v>1.0485341593193377E-2</v>
      </c>
      <c r="U64" s="42">
        <f t="shared" si="47"/>
        <v>1.5878231931602697E-2</v>
      </c>
      <c r="V64" s="43">
        <f t="shared" si="48"/>
        <v>1.2585018032056963E-2</v>
      </c>
      <c r="W64" s="42">
        <f t="shared" si="49"/>
        <v>1.6672547598838286E-3</v>
      </c>
      <c r="X64" s="42">
        <f t="shared" si="50"/>
        <v>1.2400461672171043E-2</v>
      </c>
      <c r="Y64" s="42">
        <f t="shared" si="51"/>
        <v>1.1680102902833306E-2</v>
      </c>
      <c r="Z64" s="42">
        <f t="shared" si="52"/>
        <v>1.2284689727098905E-2</v>
      </c>
      <c r="AA64" s="43">
        <f t="shared" si="53"/>
        <v>1.2121751434034418E-2</v>
      </c>
      <c r="AB64" s="146">
        <f t="shared" si="54"/>
        <v>2.2333894618607625E-4</v>
      </c>
    </row>
    <row r="65" spans="1:28" s="5" customFormat="1" ht="13" x14ac:dyDescent="0.15">
      <c r="B65" s="44" t="s">
        <v>29</v>
      </c>
      <c r="C65" s="39">
        <v>0.5625</v>
      </c>
      <c r="D65" s="40">
        <f>24+7/60+D64</f>
        <v>120</v>
      </c>
      <c r="E65" s="45">
        <v>6</v>
      </c>
      <c r="F65" s="41">
        <v>1.2250000000000001</v>
      </c>
      <c r="G65" s="42">
        <v>1.169</v>
      </c>
      <c r="H65" s="42">
        <v>1.2569999999999999</v>
      </c>
      <c r="I65" s="42">
        <f t="shared" si="39"/>
        <v>1.5109150000000002</v>
      </c>
      <c r="J65" s="42">
        <f t="shared" si="39"/>
        <v>1.4418446</v>
      </c>
      <c r="K65" s="42">
        <f t="shared" si="39"/>
        <v>1.5503837999999999</v>
      </c>
      <c r="L65" s="43">
        <f t="shared" si="40"/>
        <v>1.5010478</v>
      </c>
      <c r="M65" s="53">
        <f t="shared" si="41"/>
        <v>3.1718610262956533E-2</v>
      </c>
      <c r="N65" s="42">
        <f t="shared" si="42"/>
        <v>0.41271542757194585</v>
      </c>
      <c r="O65" s="42">
        <f t="shared" si="42"/>
        <v>0.36592326606518677</v>
      </c>
      <c r="P65" s="42">
        <f t="shared" si="42"/>
        <v>0.43850251318336569</v>
      </c>
      <c r="Q65" s="43">
        <f t="shared" si="43"/>
        <v>0.40571373560683277</v>
      </c>
      <c r="R65" s="42">
        <f t="shared" si="44"/>
        <v>2.1242289156626282E-2</v>
      </c>
      <c r="S65" s="42">
        <f t="shared" si="45"/>
        <v>9.9352382184498336E-3</v>
      </c>
      <c r="T65" s="42">
        <f t="shared" si="46"/>
        <v>1.0476554922077748E-2</v>
      </c>
      <c r="U65" s="42">
        <f t="shared" si="47"/>
        <v>1.1393443045315151E-2</v>
      </c>
      <c r="V65" s="43">
        <f t="shared" si="48"/>
        <v>1.060174539528091E-2</v>
      </c>
      <c r="W65" s="42">
        <f t="shared" si="49"/>
        <v>4.2557600974402963E-4</v>
      </c>
      <c r="X65" s="42">
        <f t="shared" si="50"/>
        <v>1.2590958333333336E-2</v>
      </c>
      <c r="Y65" s="42">
        <f t="shared" si="51"/>
        <v>1.2015371666666667E-2</v>
      </c>
      <c r="Z65" s="42">
        <f t="shared" si="52"/>
        <v>1.2919864999999999E-2</v>
      </c>
      <c r="AA65" s="43">
        <f t="shared" si="53"/>
        <v>1.2508731666666667E-2</v>
      </c>
      <c r="AB65" s="146">
        <f t="shared" si="54"/>
        <v>2.6432175219130461E-4</v>
      </c>
    </row>
    <row r="66" spans="1:28" s="5" customFormat="1" ht="13" x14ac:dyDescent="0.15">
      <c r="B66" s="44" t="s">
        <v>30</v>
      </c>
      <c r="C66" s="39">
        <v>0.4152777777777778</v>
      </c>
      <c r="D66" s="40">
        <f>8+28/60+12+D65</f>
        <v>140.46666666666667</v>
      </c>
      <c r="E66" s="45">
        <v>7</v>
      </c>
      <c r="F66" s="41">
        <v>1.52</v>
      </c>
      <c r="G66" s="42">
        <v>1.38</v>
      </c>
      <c r="H66" s="42">
        <v>1.46</v>
      </c>
      <c r="I66" s="42">
        <f t="shared" si="39"/>
        <v>1.874768</v>
      </c>
      <c r="J66" s="42">
        <f t="shared" si="39"/>
        <v>1.7020919999999999</v>
      </c>
      <c r="K66" s="42">
        <f t="shared" si="39"/>
        <v>1.800764</v>
      </c>
      <c r="L66" s="43">
        <f t="shared" si="40"/>
        <v>1.7925413333333333</v>
      </c>
      <c r="M66" s="53">
        <f t="shared" si="41"/>
        <v>5.001652869913218E-2</v>
      </c>
      <c r="N66" s="42">
        <f t="shared" si="42"/>
        <v>0.62848491843344045</v>
      </c>
      <c r="O66" s="42">
        <f t="shared" si="42"/>
        <v>0.53185808274436863</v>
      </c>
      <c r="P66" s="42">
        <f t="shared" si="42"/>
        <v>0.58821101929550046</v>
      </c>
      <c r="Q66" s="43">
        <f t="shared" si="43"/>
        <v>0.58285134015776985</v>
      </c>
      <c r="R66" s="42">
        <f t="shared" si="44"/>
        <v>2.8022199319856451E-2</v>
      </c>
      <c r="S66" s="42">
        <f t="shared" si="45"/>
        <v>1.0542483266848269E-2</v>
      </c>
      <c r="T66" s="42">
        <f t="shared" si="46"/>
        <v>8.1075643328590487E-3</v>
      </c>
      <c r="U66" s="42">
        <f t="shared" si="47"/>
        <v>7.3147478556417631E-3</v>
      </c>
      <c r="V66" s="43">
        <f t="shared" si="48"/>
        <v>8.6549318184496928E-3</v>
      </c>
      <c r="W66" s="42">
        <f t="shared" si="49"/>
        <v>9.7112947032488542E-4</v>
      </c>
      <c r="X66" s="42">
        <f t="shared" si="50"/>
        <v>1.3346710963455148E-2</v>
      </c>
      <c r="Y66" s="42">
        <f t="shared" si="51"/>
        <v>1.2117408637873753E-2</v>
      </c>
      <c r="Z66" s="42">
        <f t="shared" si="52"/>
        <v>1.2819867109634552E-2</v>
      </c>
      <c r="AA66" s="43">
        <f t="shared" si="53"/>
        <v>1.2761328903654485E-2</v>
      </c>
      <c r="AB66" s="146">
        <f t="shared" si="54"/>
        <v>3.5607400592642727E-4</v>
      </c>
    </row>
    <row r="67" spans="1:28" s="5" customFormat="1" ht="13" x14ac:dyDescent="0.15">
      <c r="B67" s="44" t="s">
        <v>31</v>
      </c>
      <c r="C67" s="39">
        <v>0.44930555555555557</v>
      </c>
      <c r="D67" s="40">
        <f>24+49/60+D66</f>
        <v>165.28333333333333</v>
      </c>
      <c r="E67" s="45">
        <v>8</v>
      </c>
      <c r="F67" s="41">
        <v>1.7729999999999999</v>
      </c>
      <c r="G67" s="42">
        <f>2*0.864</f>
        <v>1.728</v>
      </c>
      <c r="H67" s="42">
        <f>2*0.902</f>
        <v>1.804</v>
      </c>
      <c r="I67" s="42">
        <f t="shared" si="39"/>
        <v>2.1868181999999998</v>
      </c>
      <c r="J67" s="42">
        <f t="shared" si="39"/>
        <v>2.1313152</v>
      </c>
      <c r="K67" s="42">
        <f t="shared" si="39"/>
        <v>2.2250536000000003</v>
      </c>
      <c r="L67" s="43">
        <f t="shared" si="40"/>
        <v>2.1810623333333332</v>
      </c>
      <c r="M67" s="53">
        <f t="shared" si="41"/>
        <v>2.7212554758501619E-2</v>
      </c>
      <c r="N67" s="42">
        <f t="shared" si="42"/>
        <v>0.78244761066732615</v>
      </c>
      <c r="O67" s="42">
        <f t="shared" si="42"/>
        <v>0.75673925395711927</v>
      </c>
      <c r="P67" s="42">
        <f t="shared" si="42"/>
        <v>0.7997810052156874</v>
      </c>
      <c r="Q67" s="43">
        <f t="shared" si="43"/>
        <v>0.7796559566133775</v>
      </c>
      <c r="R67" s="42">
        <f t="shared" si="44"/>
        <v>1.2503240741487896E-2</v>
      </c>
      <c r="S67" s="42">
        <f t="shared" si="45"/>
        <v>6.2040037166105734E-3</v>
      </c>
      <c r="T67" s="42">
        <f t="shared" si="46"/>
        <v>9.0616993101175561E-3</v>
      </c>
      <c r="U67" s="42">
        <f t="shared" si="47"/>
        <v>8.525318438691214E-3</v>
      </c>
      <c r="V67" s="43">
        <f t="shared" si="48"/>
        <v>7.9303404884731154E-3</v>
      </c>
      <c r="W67" s="42">
        <f t="shared" si="49"/>
        <v>8.7694642504955889E-4</v>
      </c>
      <c r="X67" s="42">
        <f t="shared" si="50"/>
        <v>1.3230724210950891E-2</v>
      </c>
      <c r="Y67" s="42">
        <f t="shared" si="51"/>
        <v>1.2894919027931833E-2</v>
      </c>
      <c r="Z67" s="42">
        <f t="shared" si="52"/>
        <v>1.3462056670364023E-2</v>
      </c>
      <c r="AA67" s="43">
        <f t="shared" si="53"/>
        <v>1.3195899969748915E-2</v>
      </c>
      <c r="AB67" s="146">
        <f t="shared" si="54"/>
        <v>1.6464185595544E-4</v>
      </c>
    </row>
    <row r="68" spans="1:28" s="5" customFormat="1" ht="13" x14ac:dyDescent="0.15">
      <c r="A68" s="45"/>
      <c r="B68" s="44" t="s">
        <v>32</v>
      </c>
      <c r="C68" s="39">
        <v>0.44305555555555554</v>
      </c>
      <c r="D68" s="40">
        <f>11+51/60+12+D67</f>
        <v>189.13333333333333</v>
      </c>
      <c r="E68" s="45">
        <v>9</v>
      </c>
      <c r="F68" s="41">
        <v>1.9239999999999999</v>
      </c>
      <c r="G68" s="42">
        <f>2*0.998</f>
        <v>1.996</v>
      </c>
      <c r="H68" s="42">
        <f>2*1.076</f>
        <v>2.1520000000000001</v>
      </c>
      <c r="I68" s="42">
        <f t="shared" si="39"/>
        <v>2.3730616000000002</v>
      </c>
      <c r="J68" s="42">
        <f t="shared" si="39"/>
        <v>2.4618663999999999</v>
      </c>
      <c r="K68" s="42">
        <f t="shared" si="39"/>
        <v>2.6542768000000003</v>
      </c>
      <c r="L68" s="43">
        <f t="shared" si="40"/>
        <v>2.4964016</v>
      </c>
      <c r="M68" s="53">
        <f t="shared" si="41"/>
        <v>8.2995998311243963E-2</v>
      </c>
      <c r="N68" s="42">
        <f t="shared" si="42"/>
        <v>0.8641809358187702</v>
      </c>
      <c r="O68" s="42">
        <f t="shared" si="42"/>
        <v>0.90091976146452757</v>
      </c>
      <c r="P68" s="42">
        <f t="shared" si="42"/>
        <v>0.97617222587479346</v>
      </c>
      <c r="Q68" s="43">
        <f t="shared" si="43"/>
        <v>0.91375764105269708</v>
      </c>
      <c r="R68" s="42">
        <f t="shared" si="44"/>
        <v>3.2960181160218857E-2</v>
      </c>
      <c r="S68" s="42">
        <f t="shared" si="45"/>
        <v>3.4269738008991225E-3</v>
      </c>
      <c r="T68" s="42">
        <f t="shared" si="46"/>
        <v>6.0453042980045425E-3</v>
      </c>
      <c r="U68" s="42">
        <f t="shared" si="47"/>
        <v>7.3958583085579083E-3</v>
      </c>
      <c r="V68" s="43">
        <f t="shared" si="48"/>
        <v>5.6227121358205243E-3</v>
      </c>
      <c r="W68" s="42">
        <f t="shared" si="49"/>
        <v>1.1650392211477981E-3</v>
      </c>
      <c r="X68" s="42">
        <f t="shared" si="50"/>
        <v>1.254702996122665E-2</v>
      </c>
      <c r="Y68" s="42">
        <f t="shared" si="51"/>
        <v>1.3016565385971096E-2</v>
      </c>
      <c r="Z68" s="42">
        <f t="shared" si="52"/>
        <v>1.4033892139584069E-2</v>
      </c>
      <c r="AA68" s="43">
        <f t="shared" si="53"/>
        <v>1.3199162495593936E-2</v>
      </c>
      <c r="AB68" s="146">
        <f t="shared" si="54"/>
        <v>4.388226911063301E-4</v>
      </c>
    </row>
    <row r="69" spans="1:28" s="5" customFormat="1" ht="13" x14ac:dyDescent="0.15">
      <c r="B69" s="44" t="s">
        <v>33</v>
      </c>
      <c r="C69" s="39">
        <v>0.47222222222222227</v>
      </c>
      <c r="D69" s="40">
        <f>42/60+24+D68</f>
        <v>213.83333333333331</v>
      </c>
      <c r="E69" s="45">
        <v>10</v>
      </c>
      <c r="F69" s="41">
        <f>2*1.132</f>
        <v>2.2639999999999998</v>
      </c>
      <c r="G69" s="42">
        <f>2*1.113</f>
        <v>2.226</v>
      </c>
      <c r="H69" s="42">
        <f>2*1.165</f>
        <v>2.33</v>
      </c>
      <c r="I69" s="42">
        <f t="shared" si="39"/>
        <v>2.7924175999999998</v>
      </c>
      <c r="J69" s="42">
        <f t="shared" si="39"/>
        <v>2.7455484000000001</v>
      </c>
      <c r="K69" s="42">
        <f t="shared" si="39"/>
        <v>2.8738220000000001</v>
      </c>
      <c r="L69" s="43">
        <f t="shared" si="40"/>
        <v>2.8039293333333331</v>
      </c>
      <c r="M69" s="53">
        <f t="shared" si="41"/>
        <v>3.7474076005924131E-2</v>
      </c>
      <c r="N69" s="42">
        <f t="shared" si="42"/>
        <v>1.0269077439161918</v>
      </c>
      <c r="O69" s="42">
        <f t="shared" si="42"/>
        <v>1.0099808364286085</v>
      </c>
      <c r="P69" s="42">
        <f t="shared" si="42"/>
        <v>1.0556428511528646</v>
      </c>
      <c r="Q69" s="43">
        <f t="shared" si="43"/>
        <v>1.0308438104992215</v>
      </c>
      <c r="R69" s="42">
        <f t="shared" si="44"/>
        <v>1.3327594960320474E-2</v>
      </c>
      <c r="S69" s="42">
        <f t="shared" si="45"/>
        <v>6.588129882486706E-3</v>
      </c>
      <c r="T69" s="42">
        <f t="shared" si="46"/>
        <v>4.4154281361976095E-3</v>
      </c>
      <c r="U69" s="42">
        <f t="shared" si="47"/>
        <v>3.217434221784258E-3</v>
      </c>
      <c r="V69" s="43">
        <f t="shared" si="48"/>
        <v>4.7403307468228571E-3</v>
      </c>
      <c r="W69" s="42">
        <f t="shared" si="49"/>
        <v>9.865036896472485E-4</v>
      </c>
      <c r="X69" s="42">
        <f t="shared" si="50"/>
        <v>1.3058850818394389E-2</v>
      </c>
      <c r="Y69" s="42">
        <f t="shared" si="51"/>
        <v>1.2839665159781763E-2</v>
      </c>
      <c r="Z69" s="42">
        <f t="shared" si="52"/>
        <v>1.3439541699142635E-2</v>
      </c>
      <c r="AA69" s="43">
        <f t="shared" si="53"/>
        <v>1.3112685892439595E-2</v>
      </c>
      <c r="AB69" s="146">
        <f t="shared" si="54"/>
        <v>1.7524899145404888E-4</v>
      </c>
    </row>
    <row r="70" spans="1:28" s="5" customFormat="1" ht="15" customHeight="1" x14ac:dyDescent="0.15">
      <c r="B70" s="44" t="s">
        <v>34</v>
      </c>
      <c r="C70" s="39">
        <v>0.46666666666666662</v>
      </c>
      <c r="D70" s="40">
        <f>11+52/60+12+D69</f>
        <v>237.7</v>
      </c>
      <c r="E70" s="45">
        <v>11</v>
      </c>
      <c r="F70" s="41">
        <f>2*1.376</f>
        <v>2.7519999999999998</v>
      </c>
      <c r="G70" s="42">
        <f>4*0.679</f>
        <v>2.7160000000000002</v>
      </c>
      <c r="H70" s="42">
        <f>4*0.661</f>
        <v>2.6440000000000001</v>
      </c>
      <c r="I70" s="42">
        <f t="shared" si="39"/>
        <v>3.3943167999999999</v>
      </c>
      <c r="J70" s="42">
        <f t="shared" si="39"/>
        <v>3.3499144000000003</v>
      </c>
      <c r="K70" s="42">
        <f t="shared" si="39"/>
        <v>3.2611096000000002</v>
      </c>
      <c r="L70" s="43">
        <f t="shared" si="40"/>
        <v>3.3351135999999997</v>
      </c>
      <c r="M70" s="53">
        <f t="shared" si="41"/>
        <v>3.915923600480474E-2</v>
      </c>
      <c r="N70" s="42">
        <f t="shared" si="42"/>
        <v>1.2221025036463526</v>
      </c>
      <c r="O70" s="42">
        <f t="shared" si="42"/>
        <v>1.2089347932717052</v>
      </c>
      <c r="P70" s="42">
        <f t="shared" si="42"/>
        <v>1.1820675055646952</v>
      </c>
      <c r="Q70" s="43">
        <f t="shared" si="43"/>
        <v>1.2043682674942511</v>
      </c>
      <c r="R70" s="42">
        <f t="shared" si="44"/>
        <v>1.1780494275237264E-2</v>
      </c>
      <c r="S70" s="42">
        <f t="shared" si="45"/>
        <v>8.1785513853419329E-3</v>
      </c>
      <c r="T70" s="42">
        <f t="shared" si="46"/>
        <v>8.3360596442638244E-3</v>
      </c>
      <c r="U70" s="42">
        <f t="shared" si="47"/>
        <v>5.2971223915571465E-3</v>
      </c>
      <c r="V70" s="43">
        <f t="shared" si="48"/>
        <v>7.2705778070543013E-3</v>
      </c>
      <c r="W70" s="42">
        <f t="shared" si="49"/>
        <v>9.8777475850577692E-4</v>
      </c>
      <c r="X70" s="42">
        <f t="shared" si="50"/>
        <v>1.4279835086243165E-2</v>
      </c>
      <c r="Y70" s="42">
        <f t="shared" si="51"/>
        <v>1.4093034917963822E-2</v>
      </c>
      <c r="Z70" s="42">
        <f t="shared" si="52"/>
        <v>1.3719434581405133E-2</v>
      </c>
      <c r="AA70" s="43">
        <f t="shared" si="53"/>
        <v>1.4030768195204039E-2</v>
      </c>
      <c r="AB70" s="146">
        <f t="shared" si="54"/>
        <v>1.647422633773868E-4</v>
      </c>
    </row>
    <row r="71" spans="1:28" s="5" customFormat="1" ht="13" x14ac:dyDescent="0.15">
      <c r="B71" s="44" t="s">
        <v>35</v>
      </c>
      <c r="C71" s="39">
        <v>0.50694444444444442</v>
      </c>
      <c r="D71" s="40">
        <f>58/60+24+D70</f>
        <v>262.66666666666663</v>
      </c>
      <c r="E71" s="45">
        <v>12</v>
      </c>
      <c r="F71" s="41">
        <f>4*0.803</f>
        <v>3.2120000000000002</v>
      </c>
      <c r="G71" s="42">
        <f>2*1.496</f>
        <v>2.992</v>
      </c>
      <c r="H71" s="42">
        <f>4*0.765</f>
        <v>3.06</v>
      </c>
      <c r="I71" s="42">
        <f t="shared" si="39"/>
        <v>3.9616808000000003</v>
      </c>
      <c r="J71" s="42">
        <f t="shared" si="39"/>
        <v>3.6903328000000002</v>
      </c>
      <c r="K71" s="42">
        <f t="shared" si="39"/>
        <v>3.7742040000000001</v>
      </c>
      <c r="L71" s="43">
        <f t="shared" si="40"/>
        <v>3.8087392000000002</v>
      </c>
      <c r="M71" s="53">
        <f t="shared" si="41"/>
        <v>8.0212102796855686E-2</v>
      </c>
      <c r="N71" s="42">
        <f t="shared" si="42"/>
        <v>1.3766683796597707</v>
      </c>
      <c r="O71" s="42">
        <f t="shared" si="42"/>
        <v>1.3057166436874863</v>
      </c>
      <c r="P71" s="42">
        <f t="shared" si="42"/>
        <v>1.3281894995395449</v>
      </c>
      <c r="Q71" s="43">
        <f t="shared" si="43"/>
        <v>1.3368581742956007</v>
      </c>
      <c r="R71" s="42">
        <f t="shared" si="44"/>
        <v>2.0935588924841982E-2</v>
      </c>
      <c r="S71" s="42">
        <f t="shared" si="45"/>
        <v>6.1908895599499967E-3</v>
      </c>
      <c r="T71" s="42">
        <f t="shared" si="46"/>
        <v>3.8764426067736143E-3</v>
      </c>
      <c r="U71" s="42">
        <f t="shared" si="47"/>
        <v>5.8526833367763629E-3</v>
      </c>
      <c r="V71" s="43">
        <f t="shared" si="48"/>
        <v>5.3066718344999915E-3</v>
      </c>
      <c r="W71" s="42">
        <f t="shared" si="49"/>
        <v>7.2174847771007574E-4</v>
      </c>
      <c r="X71" s="42">
        <f t="shared" si="50"/>
        <v>1.5082541116751273E-2</v>
      </c>
      <c r="Y71" s="42">
        <f t="shared" si="51"/>
        <v>1.4049490355329953E-2</v>
      </c>
      <c r="Z71" s="42">
        <f t="shared" si="52"/>
        <v>1.4368796954314724E-2</v>
      </c>
      <c r="AA71" s="43">
        <f t="shared" si="53"/>
        <v>1.4500276142131984E-2</v>
      </c>
      <c r="AB71" s="146">
        <f t="shared" si="54"/>
        <v>3.0537602587635423E-4</v>
      </c>
    </row>
    <row r="72" spans="1:28" s="5" customFormat="1" ht="13" x14ac:dyDescent="0.15">
      <c r="B72" s="44" t="s">
        <v>36</v>
      </c>
      <c r="C72" s="39">
        <v>0.47916666666666669</v>
      </c>
      <c r="D72" s="40">
        <f>11+20/60+12+D71</f>
        <v>285.99999999999994</v>
      </c>
      <c r="E72" s="45">
        <v>13</v>
      </c>
      <c r="F72" s="41">
        <f>4*0.748</f>
        <v>2.992</v>
      </c>
      <c r="G72" s="42">
        <f>4*0.797</f>
        <v>3.1880000000000002</v>
      </c>
      <c r="H72" s="42">
        <f>4*0.861</f>
        <v>3.444</v>
      </c>
      <c r="I72" s="42">
        <f t="shared" si="39"/>
        <v>3.6903328000000002</v>
      </c>
      <c r="J72" s="42">
        <f t="shared" si="39"/>
        <v>3.9320792000000004</v>
      </c>
      <c r="K72" s="42">
        <f t="shared" si="39"/>
        <v>4.2478296000000002</v>
      </c>
      <c r="L72" s="43">
        <f t="shared" si="40"/>
        <v>3.9567472000000001</v>
      </c>
      <c r="M72" s="53">
        <f t="shared" si="41"/>
        <v>0.16140740706935766</v>
      </c>
      <c r="N72" s="42">
        <f t="shared" si="42"/>
        <v>1.3057166436874863</v>
      </c>
      <c r="O72" s="42">
        <f t="shared" si="42"/>
        <v>1.3691683445032241</v>
      </c>
      <c r="P72" s="42">
        <f t="shared" si="42"/>
        <v>1.4464081701407399</v>
      </c>
      <c r="Q72" s="43">
        <f t="shared" si="43"/>
        <v>1.3737643861104833</v>
      </c>
      <c r="R72" s="42">
        <f t="shared" si="44"/>
        <v>4.0679106442080643E-2</v>
      </c>
      <c r="S72" s="42">
        <f t="shared" si="45"/>
        <v>-3.0407886845264785E-3</v>
      </c>
      <c r="T72" s="42">
        <f t="shared" si="46"/>
        <v>2.7193586063887654E-3</v>
      </c>
      <c r="U72" s="42">
        <f t="shared" si="47"/>
        <v>5.0665144543369303E-3</v>
      </c>
      <c r="V72" s="43">
        <f t="shared" si="48"/>
        <v>1.581694792066406E-3</v>
      </c>
      <c r="W72" s="42">
        <f t="shared" si="49"/>
        <v>2.4085126988918561E-3</v>
      </c>
      <c r="X72" s="42">
        <f t="shared" si="50"/>
        <v>1.2903261538461542E-2</v>
      </c>
      <c r="Y72" s="42">
        <f t="shared" si="51"/>
        <v>1.3748528671328676E-2</v>
      </c>
      <c r="Z72" s="42">
        <f t="shared" si="52"/>
        <v>1.4852551048951052E-2</v>
      </c>
      <c r="AA72" s="43">
        <f t="shared" si="53"/>
        <v>1.3834780419580424E-2</v>
      </c>
      <c r="AB72" s="146">
        <f t="shared" si="54"/>
        <v>5.6436156317957208E-4</v>
      </c>
    </row>
    <row r="73" spans="1:28" s="5" customFormat="1" ht="13" x14ac:dyDescent="0.15">
      <c r="B73" s="46" t="s">
        <v>37</v>
      </c>
      <c r="C73" s="39">
        <v>0.50486111111111109</v>
      </c>
      <c r="D73" s="40">
        <f>37/60+24+D72</f>
        <v>310.61666666666662</v>
      </c>
      <c r="E73" s="45">
        <v>14</v>
      </c>
      <c r="F73" s="41">
        <f>2*1.519</f>
        <v>3.0379999999999998</v>
      </c>
      <c r="G73" s="42">
        <f>4*0.885</f>
        <v>3.54</v>
      </c>
      <c r="H73" s="42">
        <f>4*0.791</f>
        <v>3.1640000000000001</v>
      </c>
      <c r="I73" s="42">
        <f t="shared" si="39"/>
        <v>3.7470691999999999</v>
      </c>
      <c r="J73" s="42">
        <f t="shared" si="39"/>
        <v>4.3662359999999998</v>
      </c>
      <c r="K73" s="42">
        <f t="shared" si="39"/>
        <v>3.9024776000000005</v>
      </c>
      <c r="L73" s="43">
        <f t="shared" si="40"/>
        <v>4.0052609333333331</v>
      </c>
      <c r="M73" s="53">
        <f t="shared" si="41"/>
        <v>0.18597956138950078</v>
      </c>
      <c r="N73" s="42">
        <f t="shared" si="42"/>
        <v>1.3209739877488365</v>
      </c>
      <c r="O73" s="42">
        <f t="shared" si="42"/>
        <v>1.4739013107209384</v>
      </c>
      <c r="P73" s="42">
        <f t="shared" si="42"/>
        <v>1.3616116334806629</v>
      </c>
      <c r="Q73" s="43">
        <f t="shared" si="43"/>
        <v>1.3854956439834794</v>
      </c>
      <c r="R73" s="42">
        <f t="shared" si="44"/>
        <v>4.5733015047947516E-2</v>
      </c>
      <c r="S73" s="42">
        <f t="shared" si="45"/>
        <v>6.1979732138186118E-4</v>
      </c>
      <c r="T73" s="42">
        <f t="shared" si="46"/>
        <v>4.2545551611799983E-3</v>
      </c>
      <c r="U73" s="42">
        <f t="shared" si="47"/>
        <v>-3.4446798914046129E-3</v>
      </c>
      <c r="V73" s="43">
        <f t="shared" si="48"/>
        <v>4.765575303857489E-4</v>
      </c>
      <c r="W73" s="42">
        <f t="shared" si="49"/>
        <v>2.223731348209607E-3</v>
      </c>
      <c r="X73" s="42">
        <f t="shared" si="50"/>
        <v>1.2063323067017226E-2</v>
      </c>
      <c r="Y73" s="42">
        <f t="shared" si="51"/>
        <v>1.4056670064924615E-2</v>
      </c>
      <c r="Z73" s="42">
        <f t="shared" si="52"/>
        <v>1.2563645221870477E-2</v>
      </c>
      <c r="AA73" s="43">
        <f t="shared" si="53"/>
        <v>1.2894546117937439E-2</v>
      </c>
      <c r="AB73" s="146">
        <f t="shared" si="54"/>
        <v>5.9874302105328368E-4</v>
      </c>
    </row>
    <row r="74" spans="1:28" s="5" customFormat="1" ht="13" x14ac:dyDescent="0.15">
      <c r="B74" s="46" t="s">
        <v>38</v>
      </c>
      <c r="C74" s="39">
        <v>0.45833333333333331</v>
      </c>
      <c r="D74" s="40">
        <f>10+53/60+12+D73</f>
        <v>333.49999999999994</v>
      </c>
      <c r="E74" s="45">
        <v>15</v>
      </c>
      <c r="F74" s="41">
        <f>4*0.833</f>
        <v>3.3319999999999999</v>
      </c>
      <c r="G74" s="42">
        <f>4*0.917</f>
        <v>3.6680000000000001</v>
      </c>
      <c r="H74" s="42">
        <f>4*0.753</f>
        <v>3.012</v>
      </c>
      <c r="I74" s="42">
        <f t="shared" si="39"/>
        <v>4.1096887999999998</v>
      </c>
      <c r="J74" s="42">
        <f t="shared" si="39"/>
        <v>4.5241112000000001</v>
      </c>
      <c r="K74" s="42">
        <f t="shared" si="39"/>
        <v>3.7150008000000003</v>
      </c>
      <c r="L74" s="43">
        <f t="shared" si="40"/>
        <v>4.1162669333333337</v>
      </c>
      <c r="M74" s="53">
        <f t="shared" si="41"/>
        <v>0.23359321032202773</v>
      </c>
      <c r="N74" s="42">
        <f t="shared" si="42"/>
        <v>1.4133473078798515</v>
      </c>
      <c r="O74" s="42">
        <f t="shared" si="42"/>
        <v>1.5094211379694737</v>
      </c>
      <c r="P74" s="42">
        <f t="shared" si="42"/>
        <v>1.3123788935129026</v>
      </c>
      <c r="Q74" s="43">
        <f t="shared" si="43"/>
        <v>1.4117157797874091</v>
      </c>
      <c r="R74" s="42">
        <f t="shared" si="44"/>
        <v>5.6887045795617673E-2</v>
      </c>
      <c r="S74" s="42">
        <f t="shared" si="45"/>
        <v>4.0367073618797567E-3</v>
      </c>
      <c r="T74" s="42">
        <f t="shared" si="46"/>
        <v>1.5522138637378872E-3</v>
      </c>
      <c r="U74" s="42">
        <f t="shared" si="47"/>
        <v>-2.1514671508125428E-3</v>
      </c>
      <c r="V74" s="43">
        <f t="shared" si="48"/>
        <v>1.1458180249350337E-3</v>
      </c>
      <c r="W74" s="42">
        <f t="shared" si="49"/>
        <v>1.797891740644289E-3</v>
      </c>
      <c r="X74" s="42">
        <f t="shared" si="50"/>
        <v>1.2322904947526239E-2</v>
      </c>
      <c r="Y74" s="42">
        <f t="shared" si="51"/>
        <v>1.3565550824587708E-2</v>
      </c>
      <c r="Z74" s="42">
        <f t="shared" si="52"/>
        <v>1.1139432683658173E-2</v>
      </c>
      <c r="AA74" s="43">
        <f t="shared" si="53"/>
        <v>1.2342629485257375E-2</v>
      </c>
      <c r="AB74" s="146">
        <f t="shared" si="54"/>
        <v>7.0042941625795445E-4</v>
      </c>
    </row>
    <row r="75" spans="1:28" s="5" customFormat="1" ht="13" x14ac:dyDescent="0.15">
      <c r="B75" s="46" t="s">
        <v>39</v>
      </c>
      <c r="C75" s="39">
        <v>0.45416666666666666</v>
      </c>
      <c r="D75" s="40">
        <f>11+54/60+12+D74</f>
        <v>357.39999999999992</v>
      </c>
      <c r="E75" s="45">
        <v>16</v>
      </c>
      <c r="F75" s="41">
        <f>8*0.459</f>
        <v>3.6720000000000002</v>
      </c>
      <c r="G75" s="42">
        <f>8*0.459</f>
        <v>3.6720000000000002</v>
      </c>
      <c r="H75" s="42">
        <f>4*0.812</f>
        <v>3.2480000000000002</v>
      </c>
      <c r="I75" s="42">
        <f t="shared" si="39"/>
        <v>4.5290448000000003</v>
      </c>
      <c r="J75" s="42">
        <f t="shared" si="39"/>
        <v>4.5290448000000003</v>
      </c>
      <c r="K75" s="42">
        <f t="shared" si="39"/>
        <v>4.0060832000000008</v>
      </c>
      <c r="L75" s="43">
        <f t="shared" si="40"/>
        <v>4.3547242666666675</v>
      </c>
      <c r="M75" s="53">
        <f t="shared" si="41"/>
        <v>0.17432053333333317</v>
      </c>
      <c r="N75" s="42">
        <f t="shared" si="42"/>
        <v>1.5105110563334996</v>
      </c>
      <c r="O75" s="42">
        <f t="shared" si="42"/>
        <v>1.5105110563334996</v>
      </c>
      <c r="P75" s="42">
        <f t="shared" si="42"/>
        <v>1.3878140058746871</v>
      </c>
      <c r="Q75" s="43">
        <f t="shared" si="43"/>
        <v>1.4696120395138952</v>
      </c>
      <c r="R75" s="42">
        <f t="shared" si="44"/>
        <v>4.089901681960418E-2</v>
      </c>
      <c r="S75" s="42">
        <f t="shared" si="45"/>
        <v>4.0654288055919727E-3</v>
      </c>
      <c r="T75" s="42">
        <f t="shared" si="46"/>
        <v>4.5603278829532783E-5</v>
      </c>
      <c r="U75" s="42">
        <f t="shared" si="47"/>
        <v>3.1562808519575119E-3</v>
      </c>
      <c r="V75" s="43">
        <f t="shared" si="48"/>
        <v>2.4224376454596726E-3</v>
      </c>
      <c r="W75" s="42">
        <f t="shared" si="49"/>
        <v>1.2170515882239075E-3</v>
      </c>
      <c r="X75" s="42">
        <f t="shared" si="50"/>
        <v>1.2672201454952438E-2</v>
      </c>
      <c r="Y75" s="42">
        <f t="shared" si="51"/>
        <v>1.2672201454952438E-2</v>
      </c>
      <c r="Z75" s="42">
        <f t="shared" si="52"/>
        <v>1.1208962506994968E-2</v>
      </c>
      <c r="AA75" s="43">
        <f t="shared" si="53"/>
        <v>1.2184455138966615E-2</v>
      </c>
      <c r="AB75" s="146">
        <f t="shared" si="54"/>
        <v>4.8774631598582334E-4</v>
      </c>
    </row>
    <row r="76" spans="1:28" s="5" customFormat="1" ht="13" x14ac:dyDescent="0.15">
      <c r="B76" s="46" t="s">
        <v>40</v>
      </c>
      <c r="C76" s="39">
        <v>0.45416666666666666</v>
      </c>
      <c r="D76" s="40">
        <f>24+D75</f>
        <v>381.39999999999992</v>
      </c>
      <c r="E76" s="45">
        <v>17</v>
      </c>
      <c r="F76" s="41">
        <f>8*0.466</f>
        <v>3.7280000000000002</v>
      </c>
      <c r="G76" s="42">
        <f>8*0.461</f>
        <v>3.6880000000000002</v>
      </c>
      <c r="H76" s="42">
        <f>4*0.82</f>
        <v>3.28</v>
      </c>
      <c r="I76" s="42">
        <f t="shared" si="39"/>
        <v>4.5981152000000005</v>
      </c>
      <c r="J76" s="42">
        <f t="shared" si="39"/>
        <v>4.5487792000000002</v>
      </c>
      <c r="K76" s="42">
        <f t="shared" si="39"/>
        <v>4.0455519999999998</v>
      </c>
      <c r="L76" s="43">
        <f t="shared" si="40"/>
        <v>4.3974821333333338</v>
      </c>
      <c r="M76" s="53">
        <f t="shared" si="41"/>
        <v>0.1765404809904455</v>
      </c>
      <c r="N76" s="42">
        <f t="shared" si="42"/>
        <v>1.5256464803986003</v>
      </c>
      <c r="O76" s="42">
        <f t="shared" si="42"/>
        <v>1.5148588892696029</v>
      </c>
      <c r="P76" s="42">
        <f t="shared" si="42"/>
        <v>1.3976180059713077</v>
      </c>
      <c r="Q76" s="43">
        <f t="shared" si="43"/>
        <v>1.4793744585465036</v>
      </c>
      <c r="R76" s="42">
        <f t="shared" si="44"/>
        <v>4.0996671343951012E-2</v>
      </c>
      <c r="S76" s="42">
        <f t="shared" si="45"/>
        <v>6.3064266937919633E-4</v>
      </c>
      <c r="T76" s="42">
        <f t="shared" si="46"/>
        <v>1.8115970567097092E-4</v>
      </c>
      <c r="U76" s="42">
        <f t="shared" si="47"/>
        <v>4.0850000402585979E-4</v>
      </c>
      <c r="V76" s="43">
        <f t="shared" si="48"/>
        <v>4.06767459692009E-4</v>
      </c>
      <c r="W76" s="42">
        <f t="shared" si="49"/>
        <v>1.2975744673349071E-4</v>
      </c>
      <c r="X76" s="42">
        <f t="shared" si="50"/>
        <v>1.2055886733088625E-2</v>
      </c>
      <c r="Y76" s="42">
        <f t="shared" si="51"/>
        <v>1.1926531725222867E-2</v>
      </c>
      <c r="Z76" s="42">
        <f t="shared" si="52"/>
        <v>1.0607110644992136E-2</v>
      </c>
      <c r="AA76" s="43">
        <f t="shared" si="53"/>
        <v>1.1529843034434542E-2</v>
      </c>
      <c r="AB76" s="146">
        <f t="shared" si="54"/>
        <v>4.6287488461050236E-4</v>
      </c>
    </row>
    <row r="77" spans="1:28" s="5" customFormat="1" ht="13" x14ac:dyDescent="0.15">
      <c r="B77" s="46" t="s">
        <v>41</v>
      </c>
      <c r="C77" s="39">
        <v>0.45833333333333331</v>
      </c>
      <c r="D77" s="40">
        <v>405.49999999999994</v>
      </c>
      <c r="E77" s="45">
        <v>18</v>
      </c>
      <c r="F77" s="41">
        <f>8*0.465</f>
        <v>3.72</v>
      </c>
      <c r="G77" s="42">
        <f>8*0.462</f>
        <v>3.6960000000000002</v>
      </c>
      <c r="H77" s="42">
        <f>4*0.83</f>
        <v>3.32</v>
      </c>
      <c r="I77" s="42">
        <f t="shared" ref="I77:I78" si="55">1.2334*F77</f>
        <v>4.5882480000000001</v>
      </c>
      <c r="J77" s="42">
        <f t="shared" ref="J77:J78" si="56">1.2334*G77</f>
        <v>4.5586464000000007</v>
      </c>
      <c r="K77" s="42">
        <f t="shared" ref="K77:K78" si="57">1.2334*H77</f>
        <v>4.0948880000000001</v>
      </c>
      <c r="L77" s="43">
        <f t="shared" si="40"/>
        <v>4.4139274666666672</v>
      </c>
      <c r="M77" s="53">
        <f t="shared" si="41"/>
        <v>0.15974844772209154</v>
      </c>
      <c r="N77" s="42">
        <f t="shared" ref="N77:N78" si="58">LN(I77)</f>
        <v>1.5234982518603106</v>
      </c>
      <c r="O77" s="42">
        <f t="shared" ref="O77:O78" si="59">LN(J77)</f>
        <v>1.5170257373546931</v>
      </c>
      <c r="P77" s="42">
        <f t="shared" ref="P77:P78" si="60">LN(K77)</f>
        <v>1.4097393665036526</v>
      </c>
      <c r="Q77" s="43">
        <f t="shared" si="43"/>
        <v>1.4834211185728854</v>
      </c>
      <c r="R77" s="42">
        <f t="shared" si="44"/>
        <v>3.688822667645366E-2</v>
      </c>
      <c r="S77" s="42">
        <f t="shared" si="45"/>
        <v>-8.9138113621977711E-5</v>
      </c>
      <c r="T77" s="42">
        <f t="shared" si="46"/>
        <v>8.9910708924907261E-5</v>
      </c>
      <c r="U77" s="42">
        <f t="shared" si="47"/>
        <v>5.0296101793962256E-4</v>
      </c>
      <c r="V77" s="43">
        <f t="shared" si="48"/>
        <v>1.6791120441418404E-4</v>
      </c>
      <c r="W77" s="42">
        <f t="shared" si="49"/>
        <v>1.7531723947502504E-4</v>
      </c>
      <c r="X77" s="42">
        <f t="shared" si="50"/>
        <v>1.1315038224414304E-2</v>
      </c>
      <c r="Y77" s="42">
        <f t="shared" si="51"/>
        <v>1.1242037977805182E-2</v>
      </c>
      <c r="Z77" s="42">
        <f t="shared" si="52"/>
        <v>1.0098367447595563E-2</v>
      </c>
      <c r="AA77" s="43">
        <f t="shared" si="53"/>
        <v>1.0885147883271683E-2</v>
      </c>
      <c r="AB77" s="146">
        <f t="shared" si="54"/>
        <v>3.9395424838986777E-4</v>
      </c>
    </row>
    <row r="78" spans="1:28" s="5" customFormat="1" thickBot="1" x14ac:dyDescent="0.2">
      <c r="A78" s="49"/>
      <c r="B78" s="138" t="s">
        <v>42</v>
      </c>
      <c r="C78" s="47">
        <v>0.49027777777777781</v>
      </c>
      <c r="D78" s="48">
        <v>430.26666666666659</v>
      </c>
      <c r="E78" s="49">
        <v>19</v>
      </c>
      <c r="F78" s="50">
        <f>8*0.467</f>
        <v>3.7360000000000002</v>
      </c>
      <c r="G78" s="51">
        <f>8*0.46</f>
        <v>3.68</v>
      </c>
      <c r="H78" s="51">
        <f>4*0.81</f>
        <v>3.24</v>
      </c>
      <c r="I78" s="51">
        <f t="shared" si="55"/>
        <v>4.6079824</v>
      </c>
      <c r="J78" s="51">
        <f t="shared" si="56"/>
        <v>4.5389120000000007</v>
      </c>
      <c r="K78" s="51">
        <f t="shared" si="57"/>
        <v>3.9962160000000004</v>
      </c>
      <c r="L78" s="52">
        <f t="shared" si="40"/>
        <v>4.3810368000000004</v>
      </c>
      <c r="M78" s="54">
        <f t="shared" si="41"/>
        <v>0.19344074555577304</v>
      </c>
      <c r="N78" s="51">
        <f t="shared" si="58"/>
        <v>1.5277901039418516</v>
      </c>
      <c r="O78" s="51">
        <f t="shared" si="59"/>
        <v>1.512687335756095</v>
      </c>
      <c r="P78" s="51">
        <f t="shared" si="60"/>
        <v>1.3853479133794935</v>
      </c>
      <c r="Q78" s="52">
        <f t="shared" si="43"/>
        <v>1.4752751176924799</v>
      </c>
      <c r="R78" s="51">
        <f t="shared" si="44"/>
        <v>4.5174476416004333E-2</v>
      </c>
      <c r="S78" s="51">
        <f t="shared" si="45"/>
        <v>1.7329147031793789E-4</v>
      </c>
      <c r="T78" s="51">
        <f t="shared" si="46"/>
        <v>-1.7517099321392098E-4</v>
      </c>
      <c r="U78" s="51">
        <f t="shared" si="47"/>
        <v>-9.8485005884895631E-4</v>
      </c>
      <c r="V78" s="52">
        <f t="shared" si="48"/>
        <v>-3.2890986058164642E-4</v>
      </c>
      <c r="W78" s="51">
        <f t="shared" si="49"/>
        <v>3.4304988942323987E-4</v>
      </c>
      <c r="X78" s="51">
        <f t="shared" si="50"/>
        <v>1.0709596529284167E-2</v>
      </c>
      <c r="Y78" s="51">
        <f t="shared" si="51"/>
        <v>1.0549067245119309E-2</v>
      </c>
      <c r="Z78" s="51">
        <f t="shared" si="52"/>
        <v>9.2877657266811301E-3</v>
      </c>
      <c r="AA78" s="52">
        <f t="shared" si="53"/>
        <v>1.0182143167028201E-2</v>
      </c>
      <c r="AB78" s="148">
        <f t="shared" si="54"/>
        <v>4.4958338756377386E-4</v>
      </c>
    </row>
    <row r="95" spans="1:4" x14ac:dyDescent="0.15">
      <c r="A95" s="55" t="s">
        <v>69</v>
      </c>
      <c r="B95" s="55" t="s">
        <v>78</v>
      </c>
      <c r="C95" s="55" t="s">
        <v>80</v>
      </c>
      <c r="D95" s="55"/>
    </row>
  </sheetData>
  <mergeCells count="46">
    <mergeCell ref="B57:B58"/>
    <mergeCell ref="B59:B61"/>
    <mergeCell ref="E57:E58"/>
    <mergeCell ref="E59:E61"/>
    <mergeCell ref="A1:AB1"/>
    <mergeCell ref="B2:AB2"/>
    <mergeCell ref="F3:H3"/>
    <mergeCell ref="I3:K3"/>
    <mergeCell ref="N3:P3"/>
    <mergeCell ref="S3:U3"/>
    <mergeCell ref="X3:Z3"/>
    <mergeCell ref="F4:H4"/>
    <mergeCell ref="I4:K4"/>
    <mergeCell ref="N4:P4"/>
    <mergeCell ref="S4:U4"/>
    <mergeCell ref="X4:Z4"/>
    <mergeCell ref="S30:U30"/>
    <mergeCell ref="X30:Z30"/>
    <mergeCell ref="B28:AB28"/>
    <mergeCell ref="F29:H29"/>
    <mergeCell ref="I29:K29"/>
    <mergeCell ref="N29:P29"/>
    <mergeCell ref="S29:U29"/>
    <mergeCell ref="X29:Z29"/>
    <mergeCell ref="S56:U56"/>
    <mergeCell ref="X56:Z56"/>
    <mergeCell ref="B54:AB54"/>
    <mergeCell ref="F55:H55"/>
    <mergeCell ref="I55:K55"/>
    <mergeCell ref="N55:P55"/>
    <mergeCell ref="S55:U55"/>
    <mergeCell ref="X55:Z55"/>
    <mergeCell ref="B5:B7"/>
    <mergeCell ref="B8:B10"/>
    <mergeCell ref="F56:H56"/>
    <mergeCell ref="I56:K56"/>
    <mergeCell ref="N56:P56"/>
    <mergeCell ref="F30:H30"/>
    <mergeCell ref="I30:K30"/>
    <mergeCell ref="N30:P30"/>
    <mergeCell ref="E5:E7"/>
    <mergeCell ref="E8:E10"/>
    <mergeCell ref="B34:B36"/>
    <mergeCell ref="B31:B33"/>
    <mergeCell ref="E34:E36"/>
    <mergeCell ref="E31:E33"/>
  </mergeCells>
  <pageMargins left="0.7" right="0.7" top="0.75" bottom="0.75" header="0.3" footer="0.3"/>
  <pageSetup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7EB3C0-32BD-A346-B8EE-C3AE3B0FED7D}">
  <dimension ref="A1:AD95"/>
  <sheetViews>
    <sheetView zoomScaleNormal="100" workbookViewId="0">
      <selection sqref="A1:AB1"/>
    </sheetView>
  </sheetViews>
  <sheetFormatPr baseColWidth="10" defaultColWidth="8.83203125" defaultRowHeight="14" x14ac:dyDescent="0.15"/>
  <cols>
    <col min="1" max="1" width="74.5" style="3" customWidth="1"/>
    <col min="2" max="2" width="12" style="3" bestFit="1" customWidth="1"/>
    <col min="3" max="3" width="12" style="3" customWidth="1"/>
    <col min="4" max="11" width="8.83203125" style="3"/>
    <col min="12" max="12" width="13.33203125" style="3" customWidth="1"/>
    <col min="13" max="13" width="10.33203125" style="3" customWidth="1"/>
    <col min="14" max="16" width="8.83203125" style="3"/>
    <col min="17" max="17" width="13.1640625" style="3" customWidth="1"/>
    <col min="18" max="18" width="10.5" style="3" customWidth="1"/>
    <col min="19" max="19" width="8.5" style="3" customWidth="1"/>
    <col min="20" max="20" width="9.1640625" style="3" bestFit="1" customWidth="1"/>
    <col min="21" max="21" width="9.33203125" style="3" bestFit="1" customWidth="1"/>
    <col min="22" max="26" width="9" style="3" bestFit="1" customWidth="1"/>
    <col min="27" max="27" width="10.33203125" style="3" customWidth="1"/>
    <col min="28" max="28" width="8.83203125" style="3" customWidth="1"/>
    <col min="29" max="29" width="12.1640625" style="3" customWidth="1"/>
    <col min="30" max="16384" width="8.83203125" style="3"/>
  </cols>
  <sheetData>
    <row r="1" spans="1:28" ht="17" customHeight="1" thickBot="1" x14ac:dyDescent="0.2">
      <c r="A1" s="207" t="s">
        <v>81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08"/>
      <c r="O1" s="208"/>
      <c r="P1" s="208"/>
      <c r="Q1" s="208"/>
      <c r="R1" s="208"/>
      <c r="S1" s="208"/>
      <c r="T1" s="208"/>
      <c r="U1" s="208"/>
      <c r="V1" s="208"/>
      <c r="W1" s="208"/>
      <c r="X1" s="208"/>
      <c r="Y1" s="208"/>
      <c r="Z1" s="208"/>
      <c r="AA1" s="208"/>
      <c r="AB1" s="209"/>
    </row>
    <row r="2" spans="1:28" ht="15" customHeight="1" thickBot="1" x14ac:dyDescent="0.2">
      <c r="A2" s="22"/>
      <c r="B2" s="210" t="s">
        <v>69</v>
      </c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211"/>
      <c r="P2" s="211"/>
      <c r="Q2" s="211"/>
      <c r="R2" s="211"/>
      <c r="S2" s="211"/>
      <c r="T2" s="211"/>
      <c r="U2" s="211"/>
      <c r="V2" s="211"/>
      <c r="W2" s="211"/>
      <c r="X2" s="211"/>
      <c r="Y2" s="211"/>
      <c r="Z2" s="211"/>
      <c r="AA2" s="211"/>
      <c r="AB2" s="212"/>
    </row>
    <row r="3" spans="1:28" ht="45" customHeight="1" x14ac:dyDescent="0.15">
      <c r="A3" s="22"/>
      <c r="B3" s="23" t="s">
        <v>0</v>
      </c>
      <c r="C3" s="24" t="s">
        <v>1</v>
      </c>
      <c r="D3" s="25" t="s">
        <v>2</v>
      </c>
      <c r="E3" s="26" t="s">
        <v>3</v>
      </c>
      <c r="F3" s="201" t="s">
        <v>70</v>
      </c>
      <c r="G3" s="202"/>
      <c r="H3" s="203"/>
      <c r="I3" s="204" t="s">
        <v>10</v>
      </c>
      <c r="J3" s="202"/>
      <c r="K3" s="203"/>
      <c r="L3" s="27" t="s">
        <v>4</v>
      </c>
      <c r="M3" s="28" t="s">
        <v>71</v>
      </c>
      <c r="N3" s="204" t="s">
        <v>72</v>
      </c>
      <c r="O3" s="202"/>
      <c r="P3" s="203"/>
      <c r="Q3" s="28" t="s">
        <v>5</v>
      </c>
      <c r="R3" s="28" t="s">
        <v>71</v>
      </c>
      <c r="S3" s="204" t="s">
        <v>6</v>
      </c>
      <c r="T3" s="202"/>
      <c r="U3" s="203"/>
      <c r="V3" s="27" t="s">
        <v>73</v>
      </c>
      <c r="W3" s="27" t="s">
        <v>71</v>
      </c>
      <c r="X3" s="204" t="s">
        <v>74</v>
      </c>
      <c r="Y3" s="202"/>
      <c r="Z3" s="203"/>
      <c r="AA3" s="27" t="s">
        <v>75</v>
      </c>
      <c r="AB3" s="29" t="s">
        <v>71</v>
      </c>
    </row>
    <row r="4" spans="1:28" ht="15" customHeight="1" x14ac:dyDescent="0.15">
      <c r="A4" s="22"/>
      <c r="B4" s="30"/>
      <c r="C4" s="31"/>
      <c r="D4" s="32"/>
      <c r="E4" s="33"/>
      <c r="F4" s="188" t="s">
        <v>13</v>
      </c>
      <c r="G4" s="189"/>
      <c r="H4" s="190"/>
      <c r="I4" s="191" t="s">
        <v>7</v>
      </c>
      <c r="J4" s="189"/>
      <c r="K4" s="190"/>
      <c r="L4" s="35" t="s">
        <v>7</v>
      </c>
      <c r="M4" s="36"/>
      <c r="N4" s="191" t="s">
        <v>7</v>
      </c>
      <c r="O4" s="189"/>
      <c r="P4" s="190"/>
      <c r="Q4" s="34" t="s">
        <v>7</v>
      </c>
      <c r="R4" s="34"/>
      <c r="S4" s="195" t="s">
        <v>76</v>
      </c>
      <c r="T4" s="196"/>
      <c r="U4" s="197"/>
      <c r="V4" s="35" t="s">
        <v>76</v>
      </c>
      <c r="W4" s="32"/>
      <c r="X4" s="195" t="s">
        <v>77</v>
      </c>
      <c r="Y4" s="196"/>
      <c r="Z4" s="197"/>
      <c r="AA4" s="37" t="s">
        <v>77</v>
      </c>
      <c r="AB4" s="38"/>
    </row>
    <row r="5" spans="1:28" s="5" customFormat="1" ht="13" x14ac:dyDescent="0.15">
      <c r="A5" s="46"/>
      <c r="B5" s="187" t="s">
        <v>24</v>
      </c>
      <c r="C5" s="39">
        <v>0.47916666666666669</v>
      </c>
      <c r="D5" s="5">
        <v>0</v>
      </c>
      <c r="E5" s="192">
        <v>1</v>
      </c>
      <c r="F5" s="41">
        <v>0.10299999999999999</v>
      </c>
      <c r="G5" s="42">
        <v>0.104</v>
      </c>
      <c r="H5" s="42">
        <v>9.4E-2</v>
      </c>
      <c r="I5" s="42">
        <f>1.2596*F5</f>
        <v>0.12973879999999999</v>
      </c>
      <c r="J5" s="42">
        <f>1.2596*G5</f>
        <v>0.13099839999999999</v>
      </c>
      <c r="K5" s="42">
        <f t="shared" ref="J5:K20" si="0">1.2596*H5</f>
        <v>0.1184024</v>
      </c>
      <c r="L5" s="43">
        <f t="shared" ref="L5:L27" si="1">AVERAGE(I5:K5)</f>
        <v>0.12637986666666667</v>
      </c>
      <c r="M5" s="42">
        <f t="shared" ref="M5:M27" si="2">STDEV(I5:K5)/SQRT(3)</f>
        <v>4.0052727270159438E-3</v>
      </c>
      <c r="N5" s="42">
        <f t="shared" ref="N5:P27" si="3">LN(I5)</f>
        <v>-2.0422320805077687</v>
      </c>
      <c r="O5" s="42">
        <f t="shared" si="3"/>
        <v>-2.0325701695960321</v>
      </c>
      <c r="P5" s="42">
        <f t="shared" si="3"/>
        <v>-2.1336662864674008</v>
      </c>
      <c r="Q5" s="43">
        <f t="shared" ref="Q5:Q27" si="4">AVERAGE(N5:P5)</f>
        <v>-2.0694895121904007</v>
      </c>
      <c r="R5" s="42">
        <f>STDEV(N5:P5)/SQRT(3)</f>
        <v>3.220937698904551E-2</v>
      </c>
      <c r="AB5" s="45"/>
    </row>
    <row r="6" spans="1:28" s="5" customFormat="1" ht="13" x14ac:dyDescent="0.15">
      <c r="A6" s="46"/>
      <c r="B6" s="187"/>
      <c r="C6" s="39">
        <v>0.6875</v>
      </c>
      <c r="D6" s="40">
        <f>4+50/60</f>
        <v>4.833333333333333</v>
      </c>
      <c r="E6" s="192"/>
      <c r="F6" s="41">
        <v>0.121</v>
      </c>
      <c r="G6" s="42">
        <v>0.14000000000000001</v>
      </c>
      <c r="H6" s="42">
        <v>0.13</v>
      </c>
      <c r="I6" s="42">
        <f t="shared" ref="I6:K25" si="5">1.2596*F6</f>
        <v>0.15241160000000001</v>
      </c>
      <c r="J6" s="42">
        <f t="shared" si="0"/>
        <v>0.17634400000000003</v>
      </c>
      <c r="K6" s="42">
        <f t="shared" si="0"/>
        <v>0.163748</v>
      </c>
      <c r="L6" s="43">
        <f t="shared" si="1"/>
        <v>0.16416786666666669</v>
      </c>
      <c r="M6" s="42">
        <f t="shared" si="2"/>
        <v>6.9118776622404034E-3</v>
      </c>
      <c r="N6" s="42">
        <f t="shared" si="3"/>
        <v>-1.8811705231406635</v>
      </c>
      <c r="O6" s="42">
        <f t="shared" si="3"/>
        <v>-1.7353186461281001</v>
      </c>
      <c r="P6" s="42">
        <f t="shared" si="3"/>
        <v>-1.8094266182818222</v>
      </c>
      <c r="Q6" s="43">
        <f t="shared" si="4"/>
        <v>-1.8086385958501952</v>
      </c>
      <c r="R6" s="42">
        <f t="shared" ref="R6:R27" si="6">STDEV(N6:P6)/SQRT(3)</f>
        <v>4.2105653783217525E-2</v>
      </c>
      <c r="S6" s="42">
        <f>(N6-N5)/(D6-D5)</f>
        <v>3.3323080834573506E-2</v>
      </c>
      <c r="T6" s="42">
        <f>(O6-O5)/(D6-D5)</f>
        <v>6.1500315200261807E-2</v>
      </c>
      <c r="U6" s="42">
        <f>(P6-P5)/(D6-D5)</f>
        <v>6.708406927977488E-2</v>
      </c>
      <c r="V6" s="43">
        <f>AVERAGE(S6:U6)</f>
        <v>5.3969155104870069E-2</v>
      </c>
      <c r="W6" s="42">
        <f>STDEV(S6:U6)/SQRT(3)</f>
        <v>1.0448123667052547E-2</v>
      </c>
      <c r="X6" s="42">
        <f>(I6/D6)</f>
        <v>3.1533434482758624E-2</v>
      </c>
      <c r="Y6" s="42">
        <f>J6/D6</f>
        <v>3.648496551724139E-2</v>
      </c>
      <c r="Z6" s="42">
        <f>K6/D6</f>
        <v>3.3878896551724144E-2</v>
      </c>
      <c r="AA6" s="43">
        <f>AVERAGE(X6:Z6)</f>
        <v>3.3965765517241384E-2</v>
      </c>
      <c r="AB6" s="146">
        <f>STDEV(X6:Z6)/SQRT(3)</f>
        <v>1.430043654256636E-3</v>
      </c>
    </row>
    <row r="7" spans="1:28" s="5" customFormat="1" ht="13" x14ac:dyDescent="0.15">
      <c r="A7" s="46"/>
      <c r="B7" s="187"/>
      <c r="C7" s="39">
        <v>0.90625</v>
      </c>
      <c r="D7" s="40">
        <f>10+15/60</f>
        <v>10.25</v>
      </c>
      <c r="E7" s="192"/>
      <c r="F7" s="41">
        <v>0.13300000000000001</v>
      </c>
      <c r="G7" s="42">
        <v>0.15</v>
      </c>
      <c r="H7" s="42">
        <v>0.13400000000000001</v>
      </c>
      <c r="I7" s="42">
        <f t="shared" si="5"/>
        <v>0.1675268</v>
      </c>
      <c r="J7" s="42">
        <f t="shared" si="0"/>
        <v>0.18894</v>
      </c>
      <c r="K7" s="42">
        <f t="shared" si="0"/>
        <v>0.16878640000000003</v>
      </c>
      <c r="L7" s="43">
        <f t="shared" si="1"/>
        <v>0.1750844</v>
      </c>
      <c r="M7" s="42">
        <f t="shared" si="2"/>
        <v>6.9373358613615673E-3</v>
      </c>
      <c r="N7" s="42">
        <f t="shared" si="3"/>
        <v>-1.7866119405156506</v>
      </c>
      <c r="O7" s="42">
        <f t="shared" si="3"/>
        <v>-1.6663257746411488</v>
      </c>
      <c r="P7" s="42">
        <f t="shared" si="3"/>
        <v>-1.779121268786493</v>
      </c>
      <c r="Q7" s="43">
        <f t="shared" si="4"/>
        <v>-1.7440196613144308</v>
      </c>
      <c r="R7" s="42">
        <f t="shared" si="6"/>
        <v>3.8907079735094878E-2</v>
      </c>
      <c r="S7" s="42">
        <f t="shared" ref="S7:S27" si="7">(N7-N6)/(D7-D6)</f>
        <v>1.7456969100002367E-2</v>
      </c>
      <c r="T7" s="42">
        <f t="shared" ref="T7:T27" si="8">(O7-O6)/(D7-D6)</f>
        <v>1.27371455052833E-2</v>
      </c>
      <c r="U7" s="42">
        <f t="shared" ref="U7:U27" si="9">(P7-P6)/(D7-D6)</f>
        <v>5.5948337529838424E-3</v>
      </c>
      <c r="V7" s="43">
        <f t="shared" ref="V7:V27" si="10">AVERAGE(S7:U7)</f>
        <v>1.1929649452756505E-2</v>
      </c>
      <c r="W7" s="42">
        <f t="shared" ref="W7:W27" si="11">STDEV(S7:U7)/SQRT(3)</f>
        <v>3.4480236442480726E-3</v>
      </c>
      <c r="X7" s="42">
        <f t="shared" ref="X7:X27" si="12">(I7/D7)</f>
        <v>1.6344078048780488E-2</v>
      </c>
      <c r="Y7" s="42">
        <f t="shared" ref="Y7:Y27" si="13">J7/D7</f>
        <v>1.8433170731707318E-2</v>
      </c>
      <c r="Z7" s="42">
        <f t="shared" ref="Z7:Z27" si="14">K7/D7</f>
        <v>1.646696585365854E-2</v>
      </c>
      <c r="AA7" s="43">
        <f t="shared" ref="AA7:AA27" si="15">AVERAGE(X7:Z7)</f>
        <v>1.7081404878048784E-2</v>
      </c>
      <c r="AB7" s="146">
        <f t="shared" ref="AB7:AB27" si="16">STDEV(X7:Z7)/SQRT(3)</f>
        <v>6.7681325476698275E-4</v>
      </c>
    </row>
    <row r="8" spans="1:28" s="5" customFormat="1" ht="13" x14ac:dyDescent="0.15">
      <c r="A8" s="46"/>
      <c r="B8" s="187" t="s">
        <v>25</v>
      </c>
      <c r="C8" s="39">
        <v>0.39583333333333331</v>
      </c>
      <c r="D8" s="40">
        <f>11+45/60+D7</f>
        <v>22</v>
      </c>
      <c r="E8" s="192">
        <v>2</v>
      </c>
      <c r="F8" s="41">
        <v>0.183</v>
      </c>
      <c r="G8" s="42">
        <v>0.20200000000000001</v>
      </c>
      <c r="H8" s="42">
        <v>0.219</v>
      </c>
      <c r="I8" s="42">
        <f t="shared" si="5"/>
        <v>0.23050680000000001</v>
      </c>
      <c r="J8" s="42">
        <f t="shared" si="0"/>
        <v>0.25443920000000003</v>
      </c>
      <c r="K8" s="42">
        <f t="shared" si="0"/>
        <v>0.2758524</v>
      </c>
      <c r="L8" s="43">
        <f t="shared" si="1"/>
        <v>0.25359946666666672</v>
      </c>
      <c r="M8" s="42">
        <f t="shared" si="2"/>
        <v>1.3096879067082269E-2</v>
      </c>
      <c r="N8" s="42">
        <f t="shared" si="3"/>
        <v>-1.4674749158959834</v>
      </c>
      <c r="O8" s="42">
        <f t="shared" si="3"/>
        <v>-1.3686933713361997</v>
      </c>
      <c r="P8" s="42">
        <f t="shared" si="3"/>
        <v>-1.2878893389209036</v>
      </c>
      <c r="Q8" s="43">
        <f t="shared" si="4"/>
        <v>-1.3746858753843625</v>
      </c>
      <c r="R8" s="42">
        <f t="shared" si="6"/>
        <v>5.19284040545041E-2</v>
      </c>
      <c r="S8" s="42">
        <f t="shared" si="7"/>
        <v>2.7160597839971677E-2</v>
      </c>
      <c r="T8" s="42">
        <f t="shared" si="8"/>
        <v>2.5330417302548862E-2</v>
      </c>
      <c r="U8" s="42">
        <f t="shared" si="9"/>
        <v>4.1806972754518244E-2</v>
      </c>
      <c r="V8" s="43">
        <f t="shared" si="10"/>
        <v>3.1432662632346259E-2</v>
      </c>
      <c r="W8" s="42">
        <f t="shared" si="11"/>
        <v>5.2139915318669501E-3</v>
      </c>
      <c r="X8" s="42">
        <f t="shared" si="12"/>
        <v>1.0477581818181819E-2</v>
      </c>
      <c r="Y8" s="42">
        <f t="shared" si="13"/>
        <v>1.1565418181818183E-2</v>
      </c>
      <c r="Z8" s="42">
        <f t="shared" si="14"/>
        <v>1.2538745454545454E-2</v>
      </c>
      <c r="AA8" s="43">
        <f t="shared" si="15"/>
        <v>1.1527248484848485E-2</v>
      </c>
      <c r="AB8" s="146">
        <f t="shared" si="16"/>
        <v>5.9531268486737567E-4</v>
      </c>
    </row>
    <row r="9" spans="1:28" s="5" customFormat="1" ht="13" x14ac:dyDescent="0.15">
      <c r="A9" s="46"/>
      <c r="B9" s="187"/>
      <c r="C9" s="39">
        <v>0.52777777777777779</v>
      </c>
      <c r="D9" s="40">
        <f>D8+10/60+3</f>
        <v>25.166666666666668</v>
      </c>
      <c r="E9" s="192"/>
      <c r="F9" s="41">
        <v>0.20799999999999999</v>
      </c>
      <c r="G9" s="42">
        <v>0.21299999999999999</v>
      </c>
      <c r="H9" s="42">
        <v>0.21</v>
      </c>
      <c r="I9" s="42">
        <f t="shared" si="5"/>
        <v>0.26199679999999997</v>
      </c>
      <c r="J9" s="42">
        <f t="shared" si="0"/>
        <v>0.2682948</v>
      </c>
      <c r="K9" s="42">
        <f t="shared" si="0"/>
        <v>0.26451600000000003</v>
      </c>
      <c r="L9" s="43">
        <f t="shared" si="1"/>
        <v>0.26493586666666663</v>
      </c>
      <c r="M9" s="42">
        <f t="shared" si="2"/>
        <v>1.8301563697612835E-3</v>
      </c>
      <c r="N9" s="42">
        <f t="shared" si="3"/>
        <v>-1.3394229890360867</v>
      </c>
      <c r="O9" s="42">
        <f t="shared" si="3"/>
        <v>-1.3156689030279793</v>
      </c>
      <c r="P9" s="42">
        <f t="shared" si="3"/>
        <v>-1.3298535380199357</v>
      </c>
      <c r="Q9" s="43">
        <f t="shared" si="4"/>
        <v>-1.3283151433613338</v>
      </c>
      <c r="R9" s="42">
        <f t="shared" si="6"/>
        <v>6.9002208687923231E-3</v>
      </c>
      <c r="S9" s="42">
        <f t="shared" si="7"/>
        <v>4.0437450587335798E-2</v>
      </c>
      <c r="T9" s="42">
        <f t="shared" si="8"/>
        <v>1.6744568939438011E-2</v>
      </c>
      <c r="U9" s="42">
        <f t="shared" si="9"/>
        <v>-1.3251852347062745E-2</v>
      </c>
      <c r="V9" s="43">
        <f t="shared" si="10"/>
        <v>1.4643389059903686E-2</v>
      </c>
      <c r="W9" s="42">
        <f t="shared" si="11"/>
        <v>1.553433326602748E-2</v>
      </c>
      <c r="X9" s="42">
        <f t="shared" si="12"/>
        <v>1.0410468874172183E-2</v>
      </c>
      <c r="Y9" s="42">
        <f t="shared" si="13"/>
        <v>1.0660720529801325E-2</v>
      </c>
      <c r="Z9" s="42">
        <f t="shared" si="14"/>
        <v>1.0510569536423842E-2</v>
      </c>
      <c r="AA9" s="43">
        <f t="shared" si="15"/>
        <v>1.052725298013245E-2</v>
      </c>
      <c r="AB9" s="146">
        <f t="shared" si="16"/>
        <v>7.2721445156077809E-5</v>
      </c>
    </row>
    <row r="10" spans="1:28" s="5" customFormat="1" ht="13" x14ac:dyDescent="0.15">
      <c r="A10" s="46"/>
      <c r="B10" s="187"/>
      <c r="C10" s="39">
        <v>0.69305555555555554</v>
      </c>
      <c r="D10" s="40">
        <f>3+58/60+D9</f>
        <v>29.133333333333333</v>
      </c>
      <c r="E10" s="192"/>
      <c r="F10" s="41">
        <v>0.26</v>
      </c>
      <c r="G10" s="42">
        <v>0.22800000000000001</v>
      </c>
      <c r="H10" s="42">
        <v>0.22600000000000001</v>
      </c>
      <c r="I10" s="42">
        <f t="shared" si="5"/>
        <v>0.32749600000000001</v>
      </c>
      <c r="J10" s="42">
        <f t="shared" si="0"/>
        <v>0.28718880000000002</v>
      </c>
      <c r="K10" s="42">
        <f t="shared" si="0"/>
        <v>0.28466960000000002</v>
      </c>
      <c r="L10" s="43">
        <f t="shared" si="1"/>
        <v>0.29978480000000002</v>
      </c>
      <c r="M10" s="42">
        <f t="shared" si="2"/>
        <v>1.3874671722723143E-2</v>
      </c>
      <c r="N10" s="42">
        <f t="shared" si="3"/>
        <v>-1.1162794377218768</v>
      </c>
      <c r="O10" s="42">
        <f t="shared" si="3"/>
        <v>-1.2476154397829637</v>
      </c>
      <c r="P10" s="42">
        <f t="shared" si="3"/>
        <v>-1.2564260694651186</v>
      </c>
      <c r="Q10" s="43">
        <f t="shared" si="4"/>
        <v>-1.2067736489899863</v>
      </c>
      <c r="R10" s="42">
        <f t="shared" si="6"/>
        <v>4.5318533749548716E-2</v>
      </c>
      <c r="S10" s="42">
        <f t="shared" si="7"/>
        <v>5.6254676801901687E-2</v>
      </c>
      <c r="T10" s="42">
        <f t="shared" si="8"/>
        <v>1.7156335271852681E-2</v>
      </c>
      <c r="U10" s="42">
        <f t="shared" si="9"/>
        <v>1.851112652642448E-2</v>
      </c>
      <c r="V10" s="43">
        <f t="shared" si="10"/>
        <v>3.0640712866726278E-2</v>
      </c>
      <c r="W10" s="42">
        <f t="shared" si="11"/>
        <v>1.2812952121326509E-2</v>
      </c>
      <c r="X10" s="42">
        <f t="shared" si="12"/>
        <v>1.1241281464530893E-2</v>
      </c>
      <c r="Y10" s="42">
        <f t="shared" si="13"/>
        <v>9.8577391304347835E-3</v>
      </c>
      <c r="Z10" s="42">
        <f t="shared" si="14"/>
        <v>9.7712677345537773E-3</v>
      </c>
      <c r="AA10" s="43">
        <f t="shared" si="15"/>
        <v>1.0290096109839818E-2</v>
      </c>
      <c r="AB10" s="146">
        <f t="shared" si="16"/>
        <v>4.7624731313695014E-4</v>
      </c>
    </row>
    <row r="11" spans="1:28" s="5" customFormat="1" ht="13" x14ac:dyDescent="0.15">
      <c r="A11" s="46"/>
      <c r="B11" s="44" t="s">
        <v>26</v>
      </c>
      <c r="C11" s="39">
        <v>0.41666666666666669</v>
      </c>
      <c r="D11" s="40">
        <f>5+22/60+12+D10</f>
        <v>46.5</v>
      </c>
      <c r="E11" s="45">
        <v>3</v>
      </c>
      <c r="F11" s="41">
        <v>0.316</v>
      </c>
      <c r="G11" s="42">
        <v>0.29499999999999998</v>
      </c>
      <c r="H11" s="42">
        <v>0.35299999999999998</v>
      </c>
      <c r="I11" s="42">
        <f t="shared" si="5"/>
        <v>0.39803360000000004</v>
      </c>
      <c r="J11" s="42">
        <f t="shared" si="0"/>
        <v>0.37158200000000002</v>
      </c>
      <c r="K11" s="42">
        <f t="shared" si="0"/>
        <v>0.4446388</v>
      </c>
      <c r="L11" s="43">
        <f t="shared" si="1"/>
        <v>0.40475146666666673</v>
      </c>
      <c r="M11" s="42">
        <f t="shared" si="2"/>
        <v>2.1355493485075702E-2</v>
      </c>
      <c r="N11" s="42">
        <f t="shared" si="3"/>
        <v>-0.92121885515049229</v>
      </c>
      <c r="O11" s="42">
        <f t="shared" si="3"/>
        <v>-0.98998571239758459</v>
      </c>
      <c r="P11" s="42">
        <f t="shared" si="3"/>
        <v>-0.81049301180410771</v>
      </c>
      <c r="Q11" s="43">
        <f t="shared" si="4"/>
        <v>-0.90723252645072827</v>
      </c>
      <c r="R11" s="42">
        <f t="shared" si="6"/>
        <v>5.2284862163785889E-2</v>
      </c>
      <c r="S11" s="42">
        <f t="shared" si="7"/>
        <v>1.1231895349599874E-2</v>
      </c>
      <c r="T11" s="42">
        <f t="shared" si="8"/>
        <v>1.4834725185338531E-2</v>
      </c>
      <c r="U11" s="42">
        <f t="shared" si="9"/>
        <v>2.5677527312534216E-2</v>
      </c>
      <c r="V11" s="43">
        <f t="shared" si="10"/>
        <v>1.7248049282490876E-2</v>
      </c>
      <c r="W11" s="42">
        <f t="shared" si="11"/>
        <v>4.3411661490341405E-3</v>
      </c>
      <c r="X11" s="42">
        <f t="shared" si="12"/>
        <v>8.5598623655913988E-3</v>
      </c>
      <c r="Y11" s="42">
        <f t="shared" si="13"/>
        <v>7.991010752688172E-3</v>
      </c>
      <c r="Z11" s="42">
        <f t="shared" si="14"/>
        <v>9.5621247311827966E-3</v>
      </c>
      <c r="AA11" s="43">
        <f t="shared" si="15"/>
        <v>8.7043326164874552E-3</v>
      </c>
      <c r="AB11" s="146">
        <f t="shared" si="16"/>
        <v>4.5925792441023057E-4</v>
      </c>
    </row>
    <row r="12" spans="1:28" s="5" customFormat="1" ht="13" x14ac:dyDescent="0.15">
      <c r="A12" s="46"/>
      <c r="B12" s="44" t="s">
        <v>27</v>
      </c>
      <c r="C12" s="39">
        <v>0.42499999999999999</v>
      </c>
      <c r="D12" s="40">
        <f>24+12/60+D11</f>
        <v>70.7</v>
      </c>
      <c r="E12" s="45">
        <v>4</v>
      </c>
      <c r="F12" s="41">
        <v>0.42</v>
      </c>
      <c r="G12" s="42">
        <v>0.36</v>
      </c>
      <c r="H12" s="42">
        <v>0.43</v>
      </c>
      <c r="I12" s="42">
        <f t="shared" si="5"/>
        <v>0.52903200000000006</v>
      </c>
      <c r="J12" s="42">
        <f t="shared" si="0"/>
        <v>0.45345600000000003</v>
      </c>
      <c r="K12" s="42">
        <f t="shared" si="0"/>
        <v>0.541628</v>
      </c>
      <c r="L12" s="43">
        <f t="shared" si="1"/>
        <v>0.50803866666666664</v>
      </c>
      <c r="M12" s="42">
        <f t="shared" si="2"/>
        <v>2.7532498550702666E-2</v>
      </c>
      <c r="N12" s="42">
        <f t="shared" si="3"/>
        <v>-0.63670635745999038</v>
      </c>
      <c r="O12" s="42">
        <f t="shared" si="3"/>
        <v>-0.79085703728724877</v>
      </c>
      <c r="P12" s="42">
        <f t="shared" si="3"/>
        <v>-0.61317586004979641</v>
      </c>
      <c r="Q12" s="43">
        <f t="shared" si="4"/>
        <v>-0.68024641826567844</v>
      </c>
      <c r="R12" s="42">
        <f t="shared" si="6"/>
        <v>5.5720890329523105E-2</v>
      </c>
      <c r="S12" s="42">
        <f t="shared" si="7"/>
        <v>1.1756714780599252E-2</v>
      </c>
      <c r="T12" s="42">
        <f t="shared" si="8"/>
        <v>8.2284576491874293E-3</v>
      </c>
      <c r="U12" s="42">
        <f t="shared" si="9"/>
        <v>8.1536013121616228E-3</v>
      </c>
      <c r="V12" s="43">
        <f t="shared" si="10"/>
        <v>9.3795912473161012E-3</v>
      </c>
      <c r="W12" s="42">
        <f t="shared" si="11"/>
        <v>1.1887581877972012E-3</v>
      </c>
      <c r="X12" s="42">
        <f t="shared" si="12"/>
        <v>7.4827722772277229E-3</v>
      </c>
      <c r="Y12" s="42">
        <f t="shared" si="13"/>
        <v>6.4138048090523342E-3</v>
      </c>
      <c r="Z12" s="42">
        <f t="shared" si="14"/>
        <v>7.6609335219236206E-3</v>
      </c>
      <c r="AA12" s="43">
        <f t="shared" si="15"/>
        <v>7.1858368694012256E-3</v>
      </c>
      <c r="AB12" s="146">
        <f t="shared" si="16"/>
        <v>3.8942713650215921E-4</v>
      </c>
    </row>
    <row r="13" spans="1:28" s="5" customFormat="1" ht="13" x14ac:dyDescent="0.15">
      <c r="A13" s="46"/>
      <c r="B13" s="44" t="s">
        <v>28</v>
      </c>
      <c r="C13" s="39">
        <v>0.53611111111111109</v>
      </c>
      <c r="D13" s="40">
        <f>13+40/60+13+D12</f>
        <v>97.366666666666674</v>
      </c>
      <c r="E13" s="45">
        <v>5</v>
      </c>
      <c r="F13" s="41">
        <v>0.60899999999999999</v>
      </c>
      <c r="G13" s="42">
        <v>0.57899999999999996</v>
      </c>
      <c r="H13" s="42">
        <v>0.61199999999999999</v>
      </c>
      <c r="I13" s="42">
        <f t="shared" si="5"/>
        <v>0.76709640000000001</v>
      </c>
      <c r="J13" s="42">
        <f t="shared" si="0"/>
        <v>0.72930839999999997</v>
      </c>
      <c r="K13" s="42">
        <f t="shared" si="0"/>
        <v>0.77087519999999998</v>
      </c>
      <c r="L13" s="43">
        <f t="shared" si="1"/>
        <v>0.75575999999999999</v>
      </c>
      <c r="M13" s="42">
        <f t="shared" si="2"/>
        <v>1.3270709467093321E-2</v>
      </c>
      <c r="N13" s="42">
        <f t="shared" si="3"/>
        <v>-0.26514280102750748</v>
      </c>
      <c r="O13" s="42">
        <f t="shared" si="3"/>
        <v>-0.31565859116440931</v>
      </c>
      <c r="P13" s="42">
        <f t="shared" si="3"/>
        <v>-0.26022878622507845</v>
      </c>
      <c r="Q13" s="43">
        <f t="shared" si="4"/>
        <v>-0.28034339280566511</v>
      </c>
      <c r="R13" s="42">
        <f t="shared" si="6"/>
        <v>1.7714488530651131E-2</v>
      </c>
      <c r="S13" s="42">
        <f t="shared" si="7"/>
        <v>1.3933633366218107E-2</v>
      </c>
      <c r="T13" s="42">
        <f t="shared" si="8"/>
        <v>1.7819941729606475E-2</v>
      </c>
      <c r="U13" s="42">
        <f t="shared" si="9"/>
        <v>1.3235515268426921E-2</v>
      </c>
      <c r="V13" s="43">
        <f t="shared" si="10"/>
        <v>1.4996363454750502E-2</v>
      </c>
      <c r="W13" s="42">
        <f t="shared" si="11"/>
        <v>1.4261005019860832E-3</v>
      </c>
      <c r="X13" s="42">
        <f t="shared" si="12"/>
        <v>7.8784293050325228E-3</v>
      </c>
      <c r="Y13" s="42">
        <f t="shared" si="13"/>
        <v>7.4903293392673733E-3</v>
      </c>
      <c r="Z13" s="42">
        <f t="shared" si="14"/>
        <v>7.9172393016090376E-3</v>
      </c>
      <c r="AA13" s="43">
        <f t="shared" si="15"/>
        <v>7.7619993153029776E-3</v>
      </c>
      <c r="AB13" s="146">
        <f t="shared" si="16"/>
        <v>1.3629622869318721E-4</v>
      </c>
    </row>
    <row r="14" spans="1:28" s="5" customFormat="1" ht="13" x14ac:dyDescent="0.15">
      <c r="A14" s="46"/>
      <c r="B14" s="44" t="s">
        <v>29</v>
      </c>
      <c r="C14" s="39">
        <v>0.5395833333333333</v>
      </c>
      <c r="D14" s="40">
        <f>11+5/60+13+D13</f>
        <v>121.45000000000002</v>
      </c>
      <c r="E14" s="45">
        <v>6</v>
      </c>
      <c r="F14" s="41">
        <v>0.77</v>
      </c>
      <c r="G14" s="42">
        <v>0.65</v>
      </c>
      <c r="H14" s="42">
        <v>0.78</v>
      </c>
      <c r="I14" s="42">
        <f t="shared" si="5"/>
        <v>0.96989200000000009</v>
      </c>
      <c r="J14" s="42">
        <f t="shared" si="0"/>
        <v>0.81874000000000002</v>
      </c>
      <c r="K14" s="42">
        <f t="shared" si="0"/>
        <v>0.98248800000000003</v>
      </c>
      <c r="L14" s="43">
        <f t="shared" si="1"/>
        <v>0.92370666666666679</v>
      </c>
      <c r="M14" s="42">
        <f t="shared" si="2"/>
        <v>5.26091425430135E-2</v>
      </c>
      <c r="N14" s="42">
        <f t="shared" si="3"/>
        <v>-3.05705538896749E-2</v>
      </c>
      <c r="O14" s="42">
        <f t="shared" si="3"/>
        <v>-0.19998870584772169</v>
      </c>
      <c r="P14" s="42">
        <f t="shared" si="3"/>
        <v>-1.7667149053767074E-2</v>
      </c>
      <c r="Q14" s="43">
        <f t="shared" si="4"/>
        <v>-8.2742136263721219E-2</v>
      </c>
      <c r="R14" s="42">
        <f t="shared" si="6"/>
        <v>5.8741504416955859E-2</v>
      </c>
      <c r="S14" s="42">
        <f t="shared" si="7"/>
        <v>9.7400241026089612E-3</v>
      </c>
      <c r="T14" s="42">
        <f t="shared" si="8"/>
        <v>4.802901812457616E-3</v>
      </c>
      <c r="U14" s="42">
        <f t="shared" si="9"/>
        <v>1.0071763481161714E-2</v>
      </c>
      <c r="V14" s="43">
        <f t="shared" si="10"/>
        <v>8.2048964654094295E-3</v>
      </c>
      <c r="W14" s="42">
        <f t="shared" si="11"/>
        <v>1.7036909410507548E-3</v>
      </c>
      <c r="X14" s="42">
        <f t="shared" si="12"/>
        <v>7.9859365994236313E-3</v>
      </c>
      <c r="Y14" s="42">
        <f t="shared" si="13"/>
        <v>6.741375051461506E-3</v>
      </c>
      <c r="Z14" s="42">
        <f t="shared" si="14"/>
        <v>8.0896500617538072E-3</v>
      </c>
      <c r="AA14" s="43">
        <f t="shared" si="15"/>
        <v>7.6056539042129818E-3</v>
      </c>
      <c r="AB14" s="146">
        <f t="shared" si="16"/>
        <v>4.3317531941550842E-4</v>
      </c>
    </row>
    <row r="15" spans="1:28" s="5" customFormat="1" ht="13" x14ac:dyDescent="0.15">
      <c r="A15" s="46"/>
      <c r="B15" s="44" t="s">
        <v>30</v>
      </c>
      <c r="C15" s="39">
        <v>0.38958333333333334</v>
      </c>
      <c r="D15" s="40">
        <f>8+24/60+12+D14</f>
        <v>141.85000000000002</v>
      </c>
      <c r="E15" s="45">
        <v>7</v>
      </c>
      <c r="F15" s="41">
        <v>0.94899999999999995</v>
      </c>
      <c r="G15" s="42">
        <v>0.90300000000000002</v>
      </c>
      <c r="H15" s="42">
        <v>0.96399999999999997</v>
      </c>
      <c r="I15" s="42">
        <f t="shared" si="5"/>
        <v>1.1953604</v>
      </c>
      <c r="J15" s="42">
        <f t="shared" si="0"/>
        <v>1.1374188000000001</v>
      </c>
      <c r="K15" s="42">
        <f t="shared" si="0"/>
        <v>1.2142544</v>
      </c>
      <c r="L15" s="43">
        <f t="shared" si="1"/>
        <v>1.1823445333333333</v>
      </c>
      <c r="M15" s="42">
        <f t="shared" si="2"/>
        <v>2.3115557139823453E-2</v>
      </c>
      <c r="N15" s="42">
        <f t="shared" si="3"/>
        <v>0.17844772987252333</v>
      </c>
      <c r="O15" s="42">
        <f t="shared" si="3"/>
        <v>0.12876148467958096</v>
      </c>
      <c r="P15" s="42">
        <f t="shared" si="3"/>
        <v>0.19413022587314105</v>
      </c>
      <c r="Q15" s="43">
        <f t="shared" si="4"/>
        <v>0.16711314680841513</v>
      </c>
      <c r="R15" s="42">
        <f t="shared" si="6"/>
        <v>1.9702983371692184E-2</v>
      </c>
      <c r="S15" s="42">
        <f t="shared" si="7"/>
        <v>1.0245994302068538E-2</v>
      </c>
      <c r="T15" s="42">
        <f t="shared" si="8"/>
        <v>1.6115205418005027E-2</v>
      </c>
      <c r="U15" s="42">
        <f t="shared" si="9"/>
        <v>1.0382224261122943E-2</v>
      </c>
      <c r="V15" s="43">
        <f t="shared" si="10"/>
        <v>1.2247807993732171E-2</v>
      </c>
      <c r="W15" s="42">
        <f t="shared" si="11"/>
        <v>1.9340985650848858E-3</v>
      </c>
      <c r="X15" s="42">
        <f t="shared" si="12"/>
        <v>8.4269326753612962E-3</v>
      </c>
      <c r="Y15" s="42">
        <f t="shared" si="13"/>
        <v>8.0184617553753952E-3</v>
      </c>
      <c r="Z15" s="42">
        <f t="shared" si="14"/>
        <v>8.5601297144871323E-3</v>
      </c>
      <c r="AA15" s="43">
        <f t="shared" si="15"/>
        <v>8.3351747150746079E-3</v>
      </c>
      <c r="AB15" s="146">
        <f t="shared" si="16"/>
        <v>1.6295775213128987E-4</v>
      </c>
    </row>
    <row r="16" spans="1:28" s="5" customFormat="1" ht="13" x14ac:dyDescent="0.15">
      <c r="A16" s="46"/>
      <c r="B16" s="44" t="s">
        <v>31</v>
      </c>
      <c r="C16" s="39">
        <v>0.42291666666666666</v>
      </c>
      <c r="D16" s="40">
        <f>24+48/60+D15</f>
        <v>166.65000000000003</v>
      </c>
      <c r="E16" s="45">
        <v>8</v>
      </c>
      <c r="F16" s="41">
        <f>2*0.523</f>
        <v>1.046</v>
      </c>
      <c r="G16" s="42">
        <f>2*0.51</f>
        <v>1.02</v>
      </c>
      <c r="H16" s="42">
        <f>2*0.549</f>
        <v>1.0980000000000001</v>
      </c>
      <c r="I16" s="42">
        <f t="shared" si="5"/>
        <v>1.3175416000000002</v>
      </c>
      <c r="J16" s="42">
        <f t="shared" si="0"/>
        <v>1.2847920000000002</v>
      </c>
      <c r="K16" s="42">
        <f t="shared" si="0"/>
        <v>1.3830408000000001</v>
      </c>
      <c r="L16" s="43">
        <f t="shared" si="1"/>
        <v>1.3284581333333334</v>
      </c>
      <c r="M16" s="42">
        <f t="shared" si="2"/>
        <v>2.8882432378946946E-2</v>
      </c>
      <c r="N16" s="42">
        <f t="shared" si="3"/>
        <v>0.27576757588746387</v>
      </c>
      <c r="O16" s="42">
        <f t="shared" si="3"/>
        <v>0.25059683754091239</v>
      </c>
      <c r="P16" s="42">
        <f t="shared" si="3"/>
        <v>0.32428455333207146</v>
      </c>
      <c r="Q16" s="43">
        <f t="shared" si="4"/>
        <v>0.28354965558681594</v>
      </c>
      <c r="R16" s="42">
        <f t="shared" si="6"/>
        <v>2.1624757709355156E-2</v>
      </c>
      <c r="S16" s="42">
        <f t="shared" si="7"/>
        <v>3.9241873393121166E-3</v>
      </c>
      <c r="T16" s="42">
        <f t="shared" si="8"/>
        <v>4.912715841182717E-3</v>
      </c>
      <c r="U16" s="42">
        <f t="shared" si="9"/>
        <v>5.2481583652794492E-3</v>
      </c>
      <c r="V16" s="43">
        <f t="shared" si="10"/>
        <v>4.6950205152580943E-3</v>
      </c>
      <c r="W16" s="42">
        <f t="shared" si="11"/>
        <v>3.9739495911805372E-4</v>
      </c>
      <c r="X16" s="42">
        <f t="shared" si="12"/>
        <v>7.9060402040204009E-3</v>
      </c>
      <c r="Y16" s="42">
        <f t="shared" si="13"/>
        <v>7.7095229522952287E-3</v>
      </c>
      <c r="Z16" s="42">
        <f t="shared" si="14"/>
        <v>8.2990747074707452E-3</v>
      </c>
      <c r="AA16" s="43">
        <f t="shared" si="15"/>
        <v>7.9715459545954583E-3</v>
      </c>
      <c r="AB16" s="146">
        <f t="shared" si="16"/>
        <v>1.7331192546622814E-4</v>
      </c>
    </row>
    <row r="17" spans="1:30" s="5" customFormat="1" ht="13" x14ac:dyDescent="0.15">
      <c r="A17" s="46"/>
      <c r="B17" s="44" t="s">
        <v>32</v>
      </c>
      <c r="C17" s="39">
        <v>0.41805555555555557</v>
      </c>
      <c r="D17" s="40">
        <f>11+53/60+12+D16</f>
        <v>190.53333333333336</v>
      </c>
      <c r="E17" s="45">
        <v>9</v>
      </c>
      <c r="F17" s="41">
        <f>2*0.672</f>
        <v>1.3440000000000001</v>
      </c>
      <c r="G17" s="42">
        <f>2*0.619</f>
        <v>1.238</v>
      </c>
      <c r="H17" s="42">
        <f>2*0.671</f>
        <v>1.3420000000000001</v>
      </c>
      <c r="I17" s="42">
        <f t="shared" si="5"/>
        <v>1.6929024000000001</v>
      </c>
      <c r="J17" s="42">
        <f t="shared" si="0"/>
        <v>1.5593848000000001</v>
      </c>
      <c r="K17" s="42">
        <f t="shared" si="0"/>
        <v>1.6903832000000001</v>
      </c>
      <c r="L17" s="43">
        <f t="shared" si="1"/>
        <v>1.6475568000000003</v>
      </c>
      <c r="M17" s="42">
        <f t="shared" si="2"/>
        <v>4.409199768725991E-2</v>
      </c>
      <c r="N17" s="42">
        <f t="shared" si="3"/>
        <v>0.52644445234569037</v>
      </c>
      <c r="O17" s="42">
        <f t="shared" si="3"/>
        <v>0.44429138450713695</v>
      </c>
      <c r="P17" s="42">
        <f t="shared" si="3"/>
        <v>0.52495524879422262</v>
      </c>
      <c r="Q17" s="43">
        <f t="shared" si="4"/>
        <v>0.49856369521568333</v>
      </c>
      <c r="R17" s="42">
        <f t="shared" si="6"/>
        <v>2.7139560387241433E-2</v>
      </c>
      <c r="S17" s="42">
        <f t="shared" si="7"/>
        <v>1.0495891547448427E-2</v>
      </c>
      <c r="T17" s="42">
        <f t="shared" si="8"/>
        <v>8.1100298799535783E-3</v>
      </c>
      <c r="U17" s="42">
        <f t="shared" si="9"/>
        <v>8.4021226292596458E-3</v>
      </c>
      <c r="V17" s="43">
        <f t="shared" si="10"/>
        <v>9.0026813522205516E-3</v>
      </c>
      <c r="W17" s="42">
        <f t="shared" si="11"/>
        <v>7.5135146212201073E-4</v>
      </c>
      <c r="X17" s="42">
        <f t="shared" si="12"/>
        <v>8.8850720783764867E-3</v>
      </c>
      <c r="Y17" s="42">
        <f t="shared" si="13"/>
        <v>8.1843149055283414E-3</v>
      </c>
      <c r="Z17" s="42">
        <f t="shared" si="14"/>
        <v>8.8718502449265206E-3</v>
      </c>
      <c r="AA17" s="43">
        <f t="shared" si="15"/>
        <v>8.6470790762771168E-3</v>
      </c>
      <c r="AB17" s="146">
        <f t="shared" si="16"/>
        <v>2.3141356378897761E-4</v>
      </c>
    </row>
    <row r="18" spans="1:30" s="5" customFormat="1" ht="13" x14ac:dyDescent="0.15">
      <c r="A18" s="46"/>
      <c r="B18" s="44" t="s">
        <v>33</v>
      </c>
      <c r="C18" s="39">
        <v>0.4458333333333333</v>
      </c>
      <c r="D18" s="40">
        <f>40/60+24+D17</f>
        <v>215.20000000000002</v>
      </c>
      <c r="E18" s="45">
        <v>10</v>
      </c>
      <c r="F18" s="41">
        <f>2*0.789</f>
        <v>1.5780000000000001</v>
      </c>
      <c r="G18" s="42">
        <f>2*0.78</f>
        <v>1.56</v>
      </c>
      <c r="H18" s="42">
        <f>2*0.809</f>
        <v>1.6180000000000001</v>
      </c>
      <c r="I18" s="42">
        <f t="shared" si="5"/>
        <v>1.9876488000000001</v>
      </c>
      <c r="J18" s="42">
        <f t="shared" si="0"/>
        <v>1.9649760000000001</v>
      </c>
      <c r="K18" s="42">
        <f t="shared" si="0"/>
        <v>2.0380328000000003</v>
      </c>
      <c r="L18" s="43">
        <f t="shared" si="1"/>
        <v>1.9968858666666669</v>
      </c>
      <c r="M18" s="42">
        <f t="shared" si="2"/>
        <v>2.1589477043329416E-2</v>
      </c>
      <c r="N18" s="42">
        <f t="shared" si="3"/>
        <v>0.6869524326684151</v>
      </c>
      <c r="O18" s="42">
        <f t="shared" si="3"/>
        <v>0.67548003150617819</v>
      </c>
      <c r="P18" s="42">
        <f t="shared" si="3"/>
        <v>0.71198502888103266</v>
      </c>
      <c r="Q18" s="43">
        <f t="shared" si="4"/>
        <v>0.69147249768520869</v>
      </c>
      <c r="R18" s="42">
        <f t="shared" si="6"/>
        <v>1.0777707689973836E-2</v>
      </c>
      <c r="S18" s="42">
        <f t="shared" si="7"/>
        <v>6.5070802833537078E-3</v>
      </c>
      <c r="T18" s="42">
        <f t="shared" si="8"/>
        <v>9.3725127161773513E-3</v>
      </c>
      <c r="U18" s="42">
        <f t="shared" si="9"/>
        <v>7.5822883818977074E-3</v>
      </c>
      <c r="V18" s="43">
        <f t="shared" si="10"/>
        <v>7.8206271271429231E-3</v>
      </c>
      <c r="W18" s="42">
        <f t="shared" si="11"/>
        <v>8.357192062096782E-4</v>
      </c>
      <c r="X18" s="42">
        <f t="shared" si="12"/>
        <v>9.2362862453531595E-3</v>
      </c>
      <c r="Y18" s="42">
        <f t="shared" si="13"/>
        <v>9.1309293680297398E-3</v>
      </c>
      <c r="Z18" s="42">
        <f t="shared" si="14"/>
        <v>9.4704126394052051E-3</v>
      </c>
      <c r="AA18" s="43">
        <f t="shared" si="15"/>
        <v>9.2792094175960359E-3</v>
      </c>
      <c r="AB18" s="146">
        <f t="shared" si="16"/>
        <v>1.0032284871435587E-4</v>
      </c>
    </row>
    <row r="19" spans="1:30" s="5" customFormat="1" ht="13" x14ac:dyDescent="0.15">
      <c r="A19" s="46"/>
      <c r="B19" s="44" t="s">
        <v>34</v>
      </c>
      <c r="C19" s="39">
        <v>0.43472222222222223</v>
      </c>
      <c r="D19" s="40">
        <f>12+11+44/60+D18</f>
        <v>238.93333333333334</v>
      </c>
      <c r="E19" s="45">
        <v>11</v>
      </c>
      <c r="F19" s="41">
        <f>2*0.929</f>
        <v>1.8580000000000001</v>
      </c>
      <c r="G19" s="42">
        <f>2*0.925</f>
        <v>1.85</v>
      </c>
      <c r="H19" s="42">
        <f>2*0.94</f>
        <v>1.88</v>
      </c>
      <c r="I19" s="42">
        <f t="shared" si="5"/>
        <v>2.3403368000000002</v>
      </c>
      <c r="J19" s="42">
        <f t="shared" si="0"/>
        <v>2.33026</v>
      </c>
      <c r="K19" s="42">
        <f t="shared" si="0"/>
        <v>2.3680479999999999</v>
      </c>
      <c r="L19" s="43">
        <f t="shared" si="1"/>
        <v>2.3462149333333335</v>
      </c>
      <c r="M19" s="42">
        <f t="shared" si="2"/>
        <v>1.1297456566462657E-2</v>
      </c>
      <c r="N19" s="42">
        <f t="shared" si="3"/>
        <v>0.85029485063637944</v>
      </c>
      <c r="O19" s="42">
        <f t="shared" si="3"/>
        <v>0.84597984933496595</v>
      </c>
      <c r="P19" s="42">
        <f t="shared" si="3"/>
        <v>0.86206598708659032</v>
      </c>
      <c r="Q19" s="43">
        <f t="shared" si="4"/>
        <v>0.85278022901931194</v>
      </c>
      <c r="R19" s="42">
        <f t="shared" si="6"/>
        <v>4.8070707026497163E-3</v>
      </c>
      <c r="S19" s="42">
        <f t="shared" si="7"/>
        <v>6.882405251459175E-3</v>
      </c>
      <c r="T19" s="42">
        <f t="shared" si="8"/>
        <v>7.183981088291623E-3</v>
      </c>
      <c r="U19" s="42">
        <f t="shared" si="9"/>
        <v>6.3236358794476581E-3</v>
      </c>
      <c r="V19" s="43">
        <f t="shared" si="10"/>
        <v>6.796674073066152E-3</v>
      </c>
      <c r="W19" s="42">
        <f t="shared" si="11"/>
        <v>2.5203230335725063E-4</v>
      </c>
      <c r="X19" s="42">
        <f t="shared" si="12"/>
        <v>9.7949363839285718E-3</v>
      </c>
      <c r="Y19" s="42">
        <f t="shared" si="13"/>
        <v>9.752762276785714E-3</v>
      </c>
      <c r="Z19" s="42">
        <f t="shared" si="14"/>
        <v>9.9109151785714278E-3</v>
      </c>
      <c r="AA19" s="43">
        <f t="shared" si="15"/>
        <v>9.8195379464285706E-3</v>
      </c>
      <c r="AB19" s="146">
        <f t="shared" si="16"/>
        <v>4.7282881835083605E-5</v>
      </c>
    </row>
    <row r="20" spans="1:30" s="5" customFormat="1" ht="13" x14ac:dyDescent="0.15">
      <c r="A20" s="46"/>
      <c r="B20" s="44" t="s">
        <v>35</v>
      </c>
      <c r="C20" s="39">
        <v>0.49236111111111108</v>
      </c>
      <c r="D20" s="40">
        <f>1+23/60+24+D19</f>
        <v>264.31666666666666</v>
      </c>
      <c r="E20" s="45">
        <v>12</v>
      </c>
      <c r="F20" s="41">
        <f>2*1.018</f>
        <v>2.036</v>
      </c>
      <c r="G20" s="42">
        <f>2*0.976</f>
        <v>1.952</v>
      </c>
      <c r="H20" s="42">
        <f>2*1.029</f>
        <v>2.0579999999999998</v>
      </c>
      <c r="I20" s="42">
        <f t="shared" si="5"/>
        <v>2.5645456000000002</v>
      </c>
      <c r="J20" s="42">
        <f t="shared" si="0"/>
        <v>2.4587392000000001</v>
      </c>
      <c r="K20" s="42">
        <f t="shared" si="0"/>
        <v>2.5922567999999999</v>
      </c>
      <c r="L20" s="43">
        <f t="shared" si="1"/>
        <v>2.5385138666666669</v>
      </c>
      <c r="M20" s="42">
        <f t="shared" si="2"/>
        <v>4.0681591794050717E-2</v>
      </c>
      <c r="N20" s="42">
        <f t="shared" si="3"/>
        <v>0.94178130893300893</v>
      </c>
      <c r="O20" s="42">
        <f t="shared" si="3"/>
        <v>0.89964869823563332</v>
      </c>
      <c r="P20" s="42">
        <f t="shared" si="3"/>
        <v>0.95252884765659041</v>
      </c>
      <c r="Q20" s="43">
        <f t="shared" si="4"/>
        <v>0.93131961827507759</v>
      </c>
      <c r="R20" s="42">
        <f t="shared" si="6"/>
        <v>1.6136529772149213E-2</v>
      </c>
      <c r="S20" s="42">
        <f t="shared" si="7"/>
        <v>3.6041940235047743E-3</v>
      </c>
      <c r="T20" s="42">
        <f t="shared" si="8"/>
        <v>2.1143341654891942E-3</v>
      </c>
      <c r="U20" s="42">
        <f t="shared" si="9"/>
        <v>3.5638684400525322E-3</v>
      </c>
      <c r="V20" s="43">
        <f t="shared" si="10"/>
        <v>3.0941322096821669E-3</v>
      </c>
      <c r="W20" s="42">
        <f t="shared" si="11"/>
        <v>4.9003730936989951E-4</v>
      </c>
      <c r="X20" s="42">
        <f t="shared" si="12"/>
        <v>9.7025497194022335E-3</v>
      </c>
      <c r="Y20" s="42">
        <f t="shared" si="13"/>
        <v>9.3022480610378978E-3</v>
      </c>
      <c r="Z20" s="42">
        <f t="shared" si="14"/>
        <v>9.8073906299262249E-3</v>
      </c>
      <c r="AA20" s="43">
        <f t="shared" si="15"/>
        <v>9.6040628034554532E-3</v>
      </c>
      <c r="AB20" s="146">
        <f t="shared" si="16"/>
        <v>1.5391232156145037E-4</v>
      </c>
      <c r="AD20" s="153"/>
    </row>
    <row r="21" spans="1:30" s="5" customFormat="1" ht="13" x14ac:dyDescent="0.15">
      <c r="A21" s="46"/>
      <c r="B21" s="44" t="s">
        <v>36</v>
      </c>
      <c r="C21" s="39">
        <v>0.4548611111111111</v>
      </c>
      <c r="D21" s="40">
        <f>11+6/60+12+D20</f>
        <v>287.41666666666669</v>
      </c>
      <c r="E21" s="45">
        <v>13</v>
      </c>
      <c r="F21" s="41">
        <f>4*0.529</f>
        <v>2.1160000000000001</v>
      </c>
      <c r="G21" s="42">
        <f>4*0.525</f>
        <v>2.1</v>
      </c>
      <c r="H21" s="42">
        <f>4*0.55</f>
        <v>2.2000000000000002</v>
      </c>
      <c r="I21" s="42">
        <f t="shared" si="5"/>
        <v>2.6653136000000002</v>
      </c>
      <c r="J21" s="42">
        <f t="shared" si="5"/>
        <v>2.6451600000000002</v>
      </c>
      <c r="K21" s="42">
        <f t="shared" si="5"/>
        <v>2.7711200000000002</v>
      </c>
      <c r="L21" s="43">
        <f t="shared" si="1"/>
        <v>2.6938645333333331</v>
      </c>
      <c r="M21" s="42">
        <f t="shared" si="2"/>
        <v>3.9063398237793479E-2</v>
      </c>
      <c r="N21" s="42">
        <f t="shared" si="3"/>
        <v>0.98032172424078556</v>
      </c>
      <c r="O21" s="42">
        <f t="shared" si="3"/>
        <v>0.9727315549741099</v>
      </c>
      <c r="P21" s="42">
        <f t="shared" si="3"/>
        <v>1.0192515706090028</v>
      </c>
      <c r="Q21" s="43">
        <f t="shared" si="4"/>
        <v>0.99076828327463273</v>
      </c>
      <c r="R21" s="42">
        <f t="shared" si="6"/>
        <v>1.4409208981335651E-2</v>
      </c>
      <c r="S21" s="42">
        <f t="shared" si="7"/>
        <v>1.6684162470898959E-3</v>
      </c>
      <c r="T21" s="42">
        <f t="shared" si="8"/>
        <v>3.1637600319686801E-3</v>
      </c>
      <c r="U21" s="42">
        <f t="shared" si="9"/>
        <v>2.8884295650394966E-3</v>
      </c>
      <c r="V21" s="43">
        <f t="shared" si="10"/>
        <v>2.5735352813660243E-3</v>
      </c>
      <c r="W21" s="42">
        <f t="shared" si="11"/>
        <v>4.5948596865104748E-4</v>
      </c>
      <c r="X21" s="42">
        <f t="shared" si="12"/>
        <v>9.2733439257755863E-3</v>
      </c>
      <c r="Y21" s="42">
        <f t="shared" si="13"/>
        <v>9.2032241229341831E-3</v>
      </c>
      <c r="Z21" s="42">
        <f t="shared" si="14"/>
        <v>9.641472890692955E-3</v>
      </c>
      <c r="AA21" s="43">
        <f t="shared" si="15"/>
        <v>9.372680313134242E-3</v>
      </c>
      <c r="AB21" s="146">
        <f t="shared" si="16"/>
        <v>1.3591208432981239E-4</v>
      </c>
    </row>
    <row r="22" spans="1:30" s="5" customFormat="1" ht="13" x14ac:dyDescent="0.15">
      <c r="A22" s="46"/>
      <c r="B22" s="44" t="s">
        <v>37</v>
      </c>
      <c r="C22" s="39">
        <v>0.48333333333333334</v>
      </c>
      <c r="D22" s="40">
        <f>41/60+24+D21</f>
        <v>312.10000000000002</v>
      </c>
      <c r="E22" s="45">
        <v>14</v>
      </c>
      <c r="F22" s="41">
        <f>4*0.537</f>
        <v>2.1480000000000001</v>
      </c>
      <c r="G22" s="42">
        <f>4*0.539</f>
        <v>2.1560000000000001</v>
      </c>
      <c r="H22" s="42">
        <f>4*0.587</f>
        <v>2.3479999999999999</v>
      </c>
      <c r="I22" s="42">
        <f t="shared" si="5"/>
        <v>2.7056208000000002</v>
      </c>
      <c r="J22" s="42">
        <f t="shared" si="5"/>
        <v>2.7156976000000004</v>
      </c>
      <c r="K22" s="42">
        <f t="shared" si="5"/>
        <v>2.9575407999999999</v>
      </c>
      <c r="L22" s="43">
        <f t="shared" si="1"/>
        <v>2.7929530666666671</v>
      </c>
      <c r="M22" s="42">
        <f t="shared" si="2"/>
        <v>8.2345262861954746E-2</v>
      </c>
      <c r="N22" s="42">
        <f t="shared" si="3"/>
        <v>0.99533138689135081</v>
      </c>
      <c r="O22" s="42">
        <f t="shared" si="3"/>
        <v>0.99904886329148335</v>
      </c>
      <c r="P22" s="42">
        <f t="shared" si="3"/>
        <v>1.0843581122105825</v>
      </c>
      <c r="Q22" s="43">
        <f t="shared" si="4"/>
        <v>1.0262461207978055</v>
      </c>
      <c r="R22" s="42">
        <f t="shared" si="6"/>
        <v>2.9075806478728351E-2</v>
      </c>
      <c r="S22" s="42">
        <f t="shared" si="7"/>
        <v>6.0808896626192758E-4</v>
      </c>
      <c r="T22" s="42">
        <f t="shared" si="8"/>
        <v>1.0661975010414627E-3</v>
      </c>
      <c r="U22" s="42">
        <f t="shared" si="9"/>
        <v>2.6376721783219316E-3</v>
      </c>
      <c r="V22" s="43">
        <f t="shared" si="10"/>
        <v>1.4373195485417739E-3</v>
      </c>
      <c r="W22" s="42">
        <f t="shared" si="11"/>
        <v>6.14573208081448E-4</v>
      </c>
      <c r="X22" s="42">
        <f t="shared" si="12"/>
        <v>8.669082986222364E-3</v>
      </c>
      <c r="Y22" s="42">
        <f t="shared" si="13"/>
        <v>8.7013700736943301E-3</v>
      </c>
      <c r="Z22" s="42">
        <f t="shared" si="14"/>
        <v>9.4762601730214672E-3</v>
      </c>
      <c r="AA22" s="43">
        <f t="shared" si="15"/>
        <v>8.9489044109793883E-3</v>
      </c>
      <c r="AB22" s="146">
        <f t="shared" si="16"/>
        <v>2.6384255963458767E-4</v>
      </c>
    </row>
    <row r="23" spans="1:30" s="5" customFormat="1" ht="13" x14ac:dyDescent="0.15">
      <c r="A23" s="46"/>
      <c r="B23" s="46" t="s">
        <v>38</v>
      </c>
      <c r="C23" s="39">
        <v>0.43472222222222223</v>
      </c>
      <c r="D23" s="40">
        <f>10+50/60+12+D22</f>
        <v>334.93333333333334</v>
      </c>
      <c r="E23" s="45">
        <v>15</v>
      </c>
      <c r="F23" s="41">
        <f>4*0.577</f>
        <v>2.3079999999999998</v>
      </c>
      <c r="G23" s="42">
        <f>4*0.567</f>
        <v>2.2679999999999998</v>
      </c>
      <c r="H23" s="42">
        <f>4*0.604</f>
        <v>2.4159999999999999</v>
      </c>
      <c r="I23" s="42">
        <f t="shared" si="5"/>
        <v>2.9071568000000001</v>
      </c>
      <c r="J23" s="42">
        <f t="shared" si="5"/>
        <v>2.8567727999999999</v>
      </c>
      <c r="K23" s="42">
        <f t="shared" si="5"/>
        <v>3.0431935999999999</v>
      </c>
      <c r="L23" s="43">
        <f t="shared" si="1"/>
        <v>2.935707733333333</v>
      </c>
      <c r="M23" s="42">
        <f t="shared" si="2"/>
        <v>5.5676283142864748E-2</v>
      </c>
      <c r="N23" s="42">
        <f t="shared" si="3"/>
        <v>1.0671755588905858</v>
      </c>
      <c r="O23" s="42">
        <f t="shared" si="3"/>
        <v>1.0496925961102381</v>
      </c>
      <c r="P23" s="42">
        <f t="shared" si="3"/>
        <v>1.1129074903173011</v>
      </c>
      <c r="Q23" s="43">
        <f t="shared" si="4"/>
        <v>1.0765918817727085</v>
      </c>
      <c r="R23" s="42">
        <f t="shared" si="6"/>
        <v>1.8846140762039571E-2</v>
      </c>
      <c r="S23" s="42">
        <f t="shared" si="7"/>
        <v>3.1464600875577391E-3</v>
      </c>
      <c r="T23" s="42">
        <f t="shared" si="8"/>
        <v>2.2179737000914521E-3</v>
      </c>
      <c r="U23" s="42">
        <f t="shared" si="9"/>
        <v>1.2503377273015428E-3</v>
      </c>
      <c r="V23" s="43">
        <f t="shared" si="10"/>
        <v>2.2049238383169112E-3</v>
      </c>
      <c r="W23" s="42">
        <f t="shared" si="11"/>
        <v>5.4740226690406667E-4</v>
      </c>
      <c r="X23" s="42">
        <f t="shared" si="12"/>
        <v>8.6798073248407649E-3</v>
      </c>
      <c r="Y23" s="42">
        <f t="shared" si="13"/>
        <v>8.5293773885350317E-3</v>
      </c>
      <c r="Z23" s="42">
        <f t="shared" si="14"/>
        <v>9.0859681528662421E-3</v>
      </c>
      <c r="AA23" s="43">
        <f t="shared" si="15"/>
        <v>8.7650509554140135E-3</v>
      </c>
      <c r="AB23" s="146">
        <f t="shared" si="16"/>
        <v>1.6623094091221556E-4</v>
      </c>
    </row>
    <row r="24" spans="1:30" s="5" customFormat="1" ht="13" x14ac:dyDescent="0.15">
      <c r="A24" s="46"/>
      <c r="B24" s="46" t="s">
        <v>39</v>
      </c>
      <c r="C24" s="39">
        <v>0.4284722222222222</v>
      </c>
      <c r="D24" s="40">
        <f>11+51/60+12+D23</f>
        <v>358.78333333333336</v>
      </c>
      <c r="E24" s="45">
        <v>16</v>
      </c>
      <c r="F24" s="41">
        <f>4*0.597</f>
        <v>2.3879999999999999</v>
      </c>
      <c r="G24" s="42">
        <f>4*0.577</f>
        <v>2.3079999999999998</v>
      </c>
      <c r="H24" s="42">
        <f>4*0.624</f>
        <v>2.496</v>
      </c>
      <c r="I24" s="42">
        <f t="shared" si="5"/>
        <v>3.0079248000000001</v>
      </c>
      <c r="J24" s="42">
        <f t="shared" si="5"/>
        <v>2.9071568000000001</v>
      </c>
      <c r="K24" s="42">
        <f t="shared" si="5"/>
        <v>3.1439615999999999</v>
      </c>
      <c r="L24" s="43">
        <f t="shared" si="1"/>
        <v>3.0196810666666671</v>
      </c>
      <c r="M24" s="42">
        <f t="shared" si="2"/>
        <v>6.8611917527043154E-2</v>
      </c>
      <c r="N24" s="42">
        <f t="shared" si="3"/>
        <v>1.1012504057750883</v>
      </c>
      <c r="O24" s="42">
        <f t="shared" si="3"/>
        <v>1.0671755588905858</v>
      </c>
      <c r="P24" s="42">
        <f t="shared" si="3"/>
        <v>1.1454836607519137</v>
      </c>
      <c r="Q24" s="43">
        <f t="shared" si="4"/>
        <v>1.1046365418058626</v>
      </c>
      <c r="R24" s="42">
        <f t="shared" si="6"/>
        <v>2.2668915149716997E-2</v>
      </c>
      <c r="S24" s="42">
        <f t="shared" si="7"/>
        <v>1.4287147540671878E-3</v>
      </c>
      <c r="T24" s="42">
        <f t="shared" si="8"/>
        <v>7.3303827171268966E-4</v>
      </c>
      <c r="U24" s="42">
        <f t="shared" si="9"/>
        <v>1.3658771670697087E-3</v>
      </c>
      <c r="V24" s="43">
        <f t="shared" si="10"/>
        <v>1.1758767309498622E-3</v>
      </c>
      <c r="W24" s="42">
        <f t="shared" si="11"/>
        <v>2.2216102742498968E-4</v>
      </c>
      <c r="X24" s="42">
        <f t="shared" si="12"/>
        <v>8.3836804013564352E-3</v>
      </c>
      <c r="Y24" s="42">
        <f t="shared" si="13"/>
        <v>8.1028200864031209E-3</v>
      </c>
      <c r="Z24" s="42">
        <f t="shared" si="14"/>
        <v>8.7628418265434105E-3</v>
      </c>
      <c r="AA24" s="43">
        <f t="shared" si="15"/>
        <v>8.4164474381009883E-3</v>
      </c>
      <c r="AB24" s="146">
        <f t="shared" si="16"/>
        <v>1.9123496314500842E-4</v>
      </c>
    </row>
    <row r="25" spans="1:30" s="5" customFormat="1" ht="13" x14ac:dyDescent="0.15">
      <c r="A25" s="46"/>
      <c r="B25" s="44" t="s">
        <v>40</v>
      </c>
      <c r="C25" s="39">
        <v>0.4284722222222222</v>
      </c>
      <c r="D25" s="40">
        <v>382.78333333333336</v>
      </c>
      <c r="E25" s="45">
        <v>17</v>
      </c>
      <c r="F25" s="41">
        <f>4*0.627</f>
        <v>2.508</v>
      </c>
      <c r="G25" s="42">
        <f>4*0.61</f>
        <v>2.44</v>
      </c>
      <c r="H25" s="42">
        <f>4*0.65</f>
        <v>2.6</v>
      </c>
      <c r="I25" s="42">
        <f t="shared" si="5"/>
        <v>3.1590768000000002</v>
      </c>
      <c r="J25" s="42">
        <f t="shared" ref="J25" si="17">1.2596*G25</f>
        <v>3.0734240000000002</v>
      </c>
      <c r="K25" s="42">
        <f t="shared" ref="K25" si="18">1.2596*H25</f>
        <v>3.2749600000000001</v>
      </c>
      <c r="L25" s="43">
        <f t="shared" si="1"/>
        <v>3.1691536</v>
      </c>
      <c r="M25" s="42">
        <f t="shared" si="2"/>
        <v>5.839619350517062E-2</v>
      </c>
      <c r="N25" s="42">
        <f t="shared" si="3"/>
        <v>1.1502798330154069</v>
      </c>
      <c r="O25" s="42">
        <f t="shared" ref="O25" si="19">LN(J25)</f>
        <v>1.122792249549843</v>
      </c>
      <c r="P25" s="42">
        <f t="shared" ref="P25" si="20">LN(K25)</f>
        <v>1.1863056552721689</v>
      </c>
      <c r="Q25" s="43">
        <f t="shared" si="4"/>
        <v>1.1531259126124729</v>
      </c>
      <c r="R25" s="42">
        <f t="shared" si="6"/>
        <v>1.8389882212934569E-2</v>
      </c>
      <c r="S25" s="42">
        <f t="shared" si="7"/>
        <v>2.0428928016799444E-3</v>
      </c>
      <c r="T25" s="42">
        <f t="shared" si="8"/>
        <v>2.3173621108023845E-3</v>
      </c>
      <c r="U25" s="42">
        <f t="shared" si="9"/>
        <v>1.700916438343969E-3</v>
      </c>
      <c r="V25" s="43">
        <f t="shared" si="10"/>
        <v>2.0203904502754323E-3</v>
      </c>
      <c r="W25" s="42">
        <f t="shared" si="11"/>
        <v>1.7830786450894991E-4</v>
      </c>
      <c r="X25" s="42">
        <f t="shared" si="12"/>
        <v>8.2529110462837979E-3</v>
      </c>
      <c r="Y25" s="42">
        <f t="shared" si="13"/>
        <v>8.0291479078678108E-3</v>
      </c>
      <c r="Z25" s="42">
        <f t="shared" si="14"/>
        <v>8.5556494100230765E-3</v>
      </c>
      <c r="AA25" s="43">
        <f t="shared" si="15"/>
        <v>8.2792361213915606E-3</v>
      </c>
      <c r="AB25" s="146">
        <f t="shared" si="16"/>
        <v>1.5255678191797951E-4</v>
      </c>
    </row>
    <row r="26" spans="1:30" s="5" customFormat="1" ht="13" x14ac:dyDescent="0.15">
      <c r="A26" s="46"/>
      <c r="B26" s="46" t="s">
        <v>41</v>
      </c>
      <c r="C26" s="39">
        <v>0.4291666666666667</v>
      </c>
      <c r="D26" s="40">
        <v>406.8</v>
      </c>
      <c r="E26" s="45">
        <v>18</v>
      </c>
      <c r="F26" s="41">
        <f>4*0.637</f>
        <v>2.548</v>
      </c>
      <c r="G26" s="42">
        <f>4*0.629</f>
        <v>2.516</v>
      </c>
      <c r="H26" s="42">
        <f>4*0.636</f>
        <v>2.544</v>
      </c>
      <c r="I26" s="42">
        <f t="shared" ref="I26:K27" si="21">1.2596*F26</f>
        <v>3.2094608</v>
      </c>
      <c r="J26" s="42">
        <f t="shared" si="21"/>
        <v>3.1691536</v>
      </c>
      <c r="K26" s="42">
        <f t="shared" si="21"/>
        <v>3.2044224000000003</v>
      </c>
      <c r="L26" s="43">
        <f t="shared" si="1"/>
        <v>3.1943456000000001</v>
      </c>
      <c r="M26" s="42">
        <f t="shared" si="2"/>
        <v>1.2679695272889422E-2</v>
      </c>
      <c r="N26" s="42">
        <f t="shared" si="3"/>
        <v>1.1661029479546494</v>
      </c>
      <c r="O26" s="42">
        <f t="shared" si="3"/>
        <v>1.1534645490829267</v>
      </c>
      <c r="P26" s="42">
        <f t="shared" si="3"/>
        <v>1.1645318557226083</v>
      </c>
      <c r="Q26" s="43">
        <f t="shared" si="4"/>
        <v>1.1613664509200614</v>
      </c>
      <c r="R26" s="42">
        <f t="shared" si="6"/>
        <v>3.9768967040134957E-3</v>
      </c>
      <c r="S26" s="42">
        <f>(N26-N25)/(D26-D25)</f>
        <v>6.5883892876790419E-4</v>
      </c>
      <c r="T26" s="42">
        <f>(O26-O25)/(D26-D25)</f>
        <v>1.2771255877758662E-3</v>
      </c>
      <c r="U26" s="42">
        <f>(P26-P25)/(D26-D25)</f>
        <v>-9.0661205619266966E-4</v>
      </c>
      <c r="V26" s="43">
        <f t="shared" si="10"/>
        <v>3.431174867837003E-4</v>
      </c>
      <c r="W26" s="42">
        <f t="shared" si="11"/>
        <v>6.4985576505297243E-4</v>
      </c>
      <c r="X26" s="42">
        <f t="shared" si="12"/>
        <v>7.8895299901671576E-3</v>
      </c>
      <c r="Y26" s="42">
        <f t="shared" si="13"/>
        <v>7.7904464110127823E-3</v>
      </c>
      <c r="Z26" s="42">
        <f t="shared" si="14"/>
        <v>7.8771445427728622E-3</v>
      </c>
      <c r="AA26" s="43">
        <f t="shared" si="15"/>
        <v>7.852373647984268E-3</v>
      </c>
      <c r="AB26" s="146">
        <f t="shared" si="16"/>
        <v>3.116935907789927E-5</v>
      </c>
    </row>
    <row r="27" spans="1:30" s="5" customFormat="1" thickBot="1" x14ac:dyDescent="0.2">
      <c r="A27" s="136"/>
      <c r="B27" s="44" t="s">
        <v>42</v>
      </c>
      <c r="C27" s="39">
        <v>0.4597222222222222</v>
      </c>
      <c r="D27" s="40">
        <v>431.53333333333336</v>
      </c>
      <c r="E27" s="45">
        <v>19</v>
      </c>
      <c r="F27" s="41">
        <f>4*0.639</f>
        <v>2.556</v>
      </c>
      <c r="G27" s="42">
        <f>4*0.635</f>
        <v>2.54</v>
      </c>
      <c r="H27" s="42">
        <f>4*0.638</f>
        <v>2.552</v>
      </c>
      <c r="I27" s="42">
        <f t="shared" si="21"/>
        <v>3.2195376000000002</v>
      </c>
      <c r="J27" s="42">
        <f t="shared" si="21"/>
        <v>3.1993840000000002</v>
      </c>
      <c r="K27" s="42">
        <f t="shared" si="21"/>
        <v>3.2144992000000001</v>
      </c>
      <c r="L27" s="52">
        <f t="shared" si="1"/>
        <v>3.2111402666666673</v>
      </c>
      <c r="M27" s="51">
        <f t="shared" si="2"/>
        <v>6.0554031820992419E-3</v>
      </c>
      <c r="N27" s="51">
        <f t="shared" si="3"/>
        <v>1.169237746760021</v>
      </c>
      <c r="O27" s="51">
        <f t="shared" si="3"/>
        <v>1.1629582912751779</v>
      </c>
      <c r="P27" s="51">
        <f t="shared" si="3"/>
        <v>1.167671575727276</v>
      </c>
      <c r="Q27" s="52">
        <f t="shared" si="4"/>
        <v>1.1666225379208248</v>
      </c>
      <c r="R27" s="51">
        <f t="shared" si="6"/>
        <v>1.8870833346776345E-3</v>
      </c>
      <c r="S27" s="51">
        <f t="shared" si="7"/>
        <v>1.2674388700963321E-4</v>
      </c>
      <c r="T27" s="51">
        <f t="shared" si="8"/>
        <v>3.8384402394546556E-4</v>
      </c>
      <c r="U27" s="51">
        <f t="shared" si="9"/>
        <v>1.2694285733157678E-4</v>
      </c>
      <c r="V27" s="52">
        <f t="shared" si="10"/>
        <v>2.1251025609555848E-4</v>
      </c>
      <c r="W27" s="51">
        <f t="shared" si="11"/>
        <v>8.5666903180344644E-5</v>
      </c>
      <c r="X27" s="51">
        <f t="shared" si="12"/>
        <v>7.4606927236211956E-3</v>
      </c>
      <c r="Y27" s="51">
        <f t="shared" si="13"/>
        <v>7.4139904217518926E-3</v>
      </c>
      <c r="Z27" s="51">
        <f t="shared" si="14"/>
        <v>7.4490171481538699E-3</v>
      </c>
      <c r="AA27" s="52">
        <f t="shared" si="15"/>
        <v>7.4412334311756527E-3</v>
      </c>
      <c r="AB27" s="148">
        <f t="shared" si="16"/>
        <v>1.4032295339330813E-5</v>
      </c>
    </row>
    <row r="28" spans="1:30" ht="15" thickBot="1" x14ac:dyDescent="0.2">
      <c r="B28" s="198" t="s">
        <v>78</v>
      </c>
      <c r="C28" s="199"/>
      <c r="D28" s="199"/>
      <c r="E28" s="199"/>
      <c r="F28" s="199"/>
      <c r="G28" s="199"/>
      <c r="H28" s="199"/>
      <c r="I28" s="199"/>
      <c r="J28" s="199"/>
      <c r="K28" s="199"/>
      <c r="L28" s="199"/>
      <c r="M28" s="199"/>
      <c r="N28" s="199"/>
      <c r="O28" s="199"/>
      <c r="P28" s="199"/>
      <c r="Q28" s="199"/>
      <c r="R28" s="199"/>
      <c r="S28" s="199"/>
      <c r="T28" s="199"/>
      <c r="U28" s="199"/>
      <c r="V28" s="199"/>
      <c r="W28" s="199"/>
      <c r="X28" s="199"/>
      <c r="Y28" s="199"/>
      <c r="Z28" s="199"/>
      <c r="AA28" s="199"/>
      <c r="AB28" s="200"/>
    </row>
    <row r="29" spans="1:30" ht="60" x14ac:dyDescent="0.15">
      <c r="B29" s="23" t="s">
        <v>0</v>
      </c>
      <c r="C29" s="24" t="s">
        <v>1</v>
      </c>
      <c r="D29" s="25" t="s">
        <v>2</v>
      </c>
      <c r="E29" s="26" t="s">
        <v>3</v>
      </c>
      <c r="F29" s="201" t="s">
        <v>70</v>
      </c>
      <c r="G29" s="202"/>
      <c r="H29" s="203"/>
      <c r="I29" s="204" t="s">
        <v>10</v>
      </c>
      <c r="J29" s="202"/>
      <c r="K29" s="203"/>
      <c r="L29" s="27" t="s">
        <v>4</v>
      </c>
      <c r="M29" s="28" t="s">
        <v>79</v>
      </c>
      <c r="N29" s="204" t="s">
        <v>72</v>
      </c>
      <c r="O29" s="202"/>
      <c r="P29" s="203"/>
      <c r="Q29" s="28" t="s">
        <v>5</v>
      </c>
      <c r="R29" s="28" t="s">
        <v>71</v>
      </c>
      <c r="S29" s="205" t="s">
        <v>6</v>
      </c>
      <c r="T29" s="206"/>
      <c r="U29" s="206"/>
      <c r="V29" s="27" t="s">
        <v>73</v>
      </c>
      <c r="W29" s="27" t="s">
        <v>71</v>
      </c>
      <c r="X29" s="204" t="s">
        <v>74</v>
      </c>
      <c r="Y29" s="202"/>
      <c r="Z29" s="203"/>
      <c r="AA29" s="27" t="s">
        <v>75</v>
      </c>
      <c r="AB29" s="29" t="s">
        <v>71</v>
      </c>
    </row>
    <row r="30" spans="1:30" ht="15" customHeight="1" x14ac:dyDescent="0.15">
      <c r="B30" s="30"/>
      <c r="C30" s="31"/>
      <c r="D30" s="32"/>
      <c r="E30" s="33"/>
      <c r="F30" s="188" t="s">
        <v>13</v>
      </c>
      <c r="G30" s="189"/>
      <c r="H30" s="190"/>
      <c r="I30" s="191" t="s">
        <v>7</v>
      </c>
      <c r="J30" s="189"/>
      <c r="K30" s="190"/>
      <c r="L30" s="35" t="s">
        <v>7</v>
      </c>
      <c r="M30" s="35"/>
      <c r="N30" s="191" t="s">
        <v>7</v>
      </c>
      <c r="O30" s="189"/>
      <c r="P30" s="190"/>
      <c r="Q30" s="34"/>
      <c r="R30" s="34"/>
      <c r="S30" s="193" t="s">
        <v>76</v>
      </c>
      <c r="T30" s="194"/>
      <c r="U30" s="194"/>
      <c r="V30" s="35" t="s">
        <v>76</v>
      </c>
      <c r="W30" s="32"/>
      <c r="X30" s="195" t="s">
        <v>77</v>
      </c>
      <c r="Y30" s="196"/>
      <c r="Z30" s="197"/>
      <c r="AA30" s="37" t="s">
        <v>77</v>
      </c>
      <c r="AB30" s="38"/>
    </row>
    <row r="31" spans="1:30" s="5" customFormat="1" ht="13" x14ac:dyDescent="0.15">
      <c r="B31" s="187" t="s">
        <v>24</v>
      </c>
      <c r="C31" s="39">
        <v>0.52083333333333337</v>
      </c>
      <c r="D31" s="5">
        <v>0</v>
      </c>
      <c r="E31" s="192">
        <v>1</v>
      </c>
      <c r="F31" s="41">
        <v>0.12</v>
      </c>
      <c r="G31" s="42">
        <v>9.7000000000000003E-2</v>
      </c>
      <c r="H31" s="42">
        <v>0.09</v>
      </c>
      <c r="I31" s="42">
        <f>1.2596*F31</f>
        <v>0.15115200000000001</v>
      </c>
      <c r="J31" s="42">
        <f>1.2596*G31</f>
        <v>0.1221812</v>
      </c>
      <c r="K31" s="42">
        <f t="shared" ref="J31:K46" si="22">1.2596*H31</f>
        <v>0.11336400000000001</v>
      </c>
      <c r="L31" s="43">
        <f t="shared" ref="L31:L53" si="23">AVERAGE(I31:K31)</f>
        <v>0.12889906666666667</v>
      </c>
      <c r="M31" s="42">
        <f>STDEV(I31:K31)/SQRT(3)</f>
        <v>1.1413888256758861E-2</v>
      </c>
      <c r="N31" s="42">
        <f t="shared" ref="N31:P53" si="24">LN(I31)</f>
        <v>-1.8894693259553585</v>
      </c>
      <c r="O31" s="42">
        <f t="shared" si="24"/>
        <v>-2.1022500902340218</v>
      </c>
      <c r="P31" s="42">
        <f t="shared" si="24"/>
        <v>-2.1771513984071396</v>
      </c>
      <c r="Q31" s="43">
        <f t="shared" ref="Q31:Q53" si="25">AVERAGE(N31:P31)</f>
        <v>-2.0562902715321734</v>
      </c>
      <c r="R31" s="42">
        <f>STDEV(N31:P31)/SQRT(3)</f>
        <v>8.6167419217606123E-2</v>
      </c>
      <c r="S31" s="42"/>
      <c r="T31" s="42"/>
      <c r="U31" s="149"/>
      <c r="V31" s="150"/>
      <c r="W31" s="149"/>
      <c r="X31" s="149"/>
      <c r="Y31" s="149"/>
      <c r="Z31" s="149"/>
      <c r="AA31" s="150"/>
      <c r="AB31" s="151"/>
      <c r="AC31" s="113"/>
    </row>
    <row r="32" spans="1:30" s="5" customFormat="1" ht="13" x14ac:dyDescent="0.15">
      <c r="B32" s="187"/>
      <c r="C32" s="39">
        <v>0.69444444444444453</v>
      </c>
      <c r="D32" s="40">
        <f>4+10/60</f>
        <v>4.166666666666667</v>
      </c>
      <c r="E32" s="192"/>
      <c r="F32" s="41">
        <v>0.13</v>
      </c>
      <c r="G32" s="42">
        <v>0.13400000000000001</v>
      </c>
      <c r="H32" s="42">
        <v>0.13200000000000001</v>
      </c>
      <c r="I32" s="42">
        <f t="shared" ref="I32:K50" si="26">1.2596*F32</f>
        <v>0.163748</v>
      </c>
      <c r="J32" s="42">
        <f t="shared" si="22"/>
        <v>0.16878640000000003</v>
      </c>
      <c r="K32" s="42">
        <f t="shared" si="22"/>
        <v>0.1662672</v>
      </c>
      <c r="L32" s="43">
        <f t="shared" si="23"/>
        <v>0.1662672</v>
      </c>
      <c r="M32" s="42">
        <f t="shared" ref="M32:M52" si="27">STDEV(I32:K32)/SQRT(3)</f>
        <v>1.4544607981425129E-3</v>
      </c>
      <c r="N32" s="42">
        <f t="shared" si="24"/>
        <v>-1.8094266182818222</v>
      </c>
      <c r="O32" s="42">
        <f t="shared" si="24"/>
        <v>-1.779121268786493</v>
      </c>
      <c r="P32" s="42">
        <f t="shared" si="24"/>
        <v>-1.7941591461510336</v>
      </c>
      <c r="Q32" s="43">
        <f t="shared" si="25"/>
        <v>-1.794235677739783</v>
      </c>
      <c r="R32" s="42">
        <f t="shared" ref="R32:R53" si="28">STDEV(N32:P32)/SQRT(3)</f>
        <v>8.7484845320312307E-3</v>
      </c>
      <c r="S32" s="42">
        <f>(N32-N31)/(D32-D31)</f>
        <v>1.9210249841648732E-2</v>
      </c>
      <c r="T32" s="42">
        <f>(O32-O31)/(D32-D31)</f>
        <v>7.7550917147406889E-2</v>
      </c>
      <c r="U32" s="42">
        <f>(P32-P31)/(D32-D31)</f>
        <v>9.1918140541465437E-2</v>
      </c>
      <c r="V32" s="43">
        <f>AVERAGE(S32:U32)</f>
        <v>6.2893102510173687E-2</v>
      </c>
      <c r="W32" s="42">
        <f>STDEV(S32:U32)/SQRT(3)</f>
        <v>2.2231719006551118E-2</v>
      </c>
      <c r="X32" s="42">
        <f>I32/D32</f>
        <v>3.9299519999999998E-2</v>
      </c>
      <c r="Y32" s="42">
        <f>J32/D32</f>
        <v>4.0508736000000004E-2</v>
      </c>
      <c r="Z32" s="42">
        <f>K32/D32</f>
        <v>3.9904127999999997E-2</v>
      </c>
      <c r="AA32" s="43">
        <f>AVERAGE(X32:Z32)</f>
        <v>3.9904127999999997E-2</v>
      </c>
      <c r="AB32" s="146">
        <f>STDEV(X32:Z32)/SQRT(3)</f>
        <v>3.4907059155420302E-4</v>
      </c>
    </row>
    <row r="33" spans="2:28" s="5" customFormat="1" ht="13" x14ac:dyDescent="0.15">
      <c r="B33" s="187"/>
      <c r="C33" s="39">
        <v>0.91666666666666663</v>
      </c>
      <c r="D33" s="5">
        <f>9+30/60</f>
        <v>9.5</v>
      </c>
      <c r="E33" s="192"/>
      <c r="F33" s="41">
        <v>0.17100000000000001</v>
      </c>
      <c r="G33" s="42">
        <v>0.152</v>
      </c>
      <c r="H33" s="42">
        <v>0.15</v>
      </c>
      <c r="I33" s="42">
        <f t="shared" si="26"/>
        <v>0.21539160000000002</v>
      </c>
      <c r="J33" s="42">
        <f t="shared" si="22"/>
        <v>0.1914592</v>
      </c>
      <c r="K33" s="42">
        <f t="shared" si="22"/>
        <v>0.18894</v>
      </c>
      <c r="L33" s="43">
        <f t="shared" si="23"/>
        <v>0.19859693333333336</v>
      </c>
      <c r="M33" s="42">
        <f t="shared" si="27"/>
        <v>8.4287645099649436E-3</v>
      </c>
      <c r="N33" s="42">
        <f t="shared" si="24"/>
        <v>-1.5352975122347445</v>
      </c>
      <c r="O33" s="42">
        <f t="shared" si="24"/>
        <v>-1.6530805478911281</v>
      </c>
      <c r="P33" s="42">
        <f t="shared" si="24"/>
        <v>-1.6663257746411488</v>
      </c>
      <c r="Q33" s="43">
        <f t="shared" si="25"/>
        <v>-1.6182346115890072</v>
      </c>
      <c r="R33" s="42">
        <f t="shared" si="28"/>
        <v>4.1644450790347363E-2</v>
      </c>
      <c r="S33" s="42">
        <f t="shared" ref="S33:S53" si="29">(N33-N32)/(D33-D32)</f>
        <v>5.1399207383827056E-2</v>
      </c>
      <c r="T33" s="42">
        <f t="shared" ref="T33:T53" si="30">(O33-O32)/(D33-D32)</f>
        <v>2.3632635167880917E-2</v>
      </c>
      <c r="U33" s="42">
        <f t="shared" ref="U33:U53" si="31">(P33-P32)/(D33-D32)</f>
        <v>2.3968757158103385E-2</v>
      </c>
      <c r="V33" s="43">
        <f t="shared" ref="V33:V53" si="32">AVERAGE(S33:U33)</f>
        <v>3.3000199903270452E-2</v>
      </c>
      <c r="W33" s="42">
        <f t="shared" ref="W33:W53" si="33">STDEV(S33:U33)/SQRT(3)</f>
        <v>9.2000154293396218E-3</v>
      </c>
      <c r="X33" s="42">
        <f t="shared" ref="X33:X53" si="34">I33/D33</f>
        <v>2.2672800000000003E-2</v>
      </c>
      <c r="Y33" s="42">
        <f t="shared" ref="Y33:Y53" si="35">J33/D33</f>
        <v>2.0153600000000001E-2</v>
      </c>
      <c r="Z33" s="42">
        <f t="shared" ref="Z33:Z53" si="36">K33/D33</f>
        <v>1.988842105263158E-2</v>
      </c>
      <c r="AA33" s="43">
        <f t="shared" ref="AA33:AA53" si="37">AVERAGE(X33:Z33)</f>
        <v>2.0904940350877196E-2</v>
      </c>
      <c r="AB33" s="146">
        <f t="shared" ref="AB33:AB53" si="38">STDEV(X33:Z33)/SQRT(3)</f>
        <v>8.8723836946999425E-4</v>
      </c>
    </row>
    <row r="34" spans="2:28" s="5" customFormat="1" ht="15" customHeight="1" x14ac:dyDescent="0.15">
      <c r="B34" s="187" t="s">
        <v>25</v>
      </c>
      <c r="C34" s="39">
        <v>0.40625</v>
      </c>
      <c r="D34" s="40">
        <f>11+45/60+D33</f>
        <v>21.25</v>
      </c>
      <c r="E34" s="192">
        <v>2</v>
      </c>
      <c r="F34" s="41">
        <v>0.224</v>
      </c>
      <c r="G34" s="42">
        <v>0.20599999999999999</v>
      </c>
      <c r="H34" s="42">
        <v>0.20699999999999999</v>
      </c>
      <c r="I34" s="42">
        <f t="shared" si="26"/>
        <v>0.28215040000000002</v>
      </c>
      <c r="J34" s="42">
        <f t="shared" si="22"/>
        <v>0.25947759999999997</v>
      </c>
      <c r="K34" s="42">
        <f t="shared" si="22"/>
        <v>0.2607372</v>
      </c>
      <c r="L34" s="43">
        <f t="shared" si="23"/>
        <v>0.26745506666666669</v>
      </c>
      <c r="M34" s="42">
        <f t="shared" si="27"/>
        <v>7.3566583078037524E-3</v>
      </c>
      <c r="N34" s="42">
        <f t="shared" si="24"/>
        <v>-1.2653150168823646</v>
      </c>
      <c r="O34" s="42">
        <f t="shared" si="24"/>
        <v>-1.3490848999478235</v>
      </c>
      <c r="P34" s="42">
        <f t="shared" si="24"/>
        <v>-1.3442422754720353</v>
      </c>
      <c r="Q34" s="43">
        <f t="shared" si="25"/>
        <v>-1.3195473974340746</v>
      </c>
      <c r="R34" s="42">
        <f t="shared" si="28"/>
        <v>2.7152201127364047E-2</v>
      </c>
      <c r="S34" s="42">
        <f t="shared" si="29"/>
        <v>2.2977233647011059E-2</v>
      </c>
      <c r="T34" s="42">
        <f t="shared" si="30"/>
        <v>2.5871970037728051E-2</v>
      </c>
      <c r="U34" s="42">
        <f t="shared" si="31"/>
        <v>2.7411361631413913E-2</v>
      </c>
      <c r="V34" s="43">
        <f t="shared" si="32"/>
        <v>2.5420188438717673E-2</v>
      </c>
      <c r="W34" s="42">
        <f t="shared" si="33"/>
        <v>1.2998016137625783E-3</v>
      </c>
      <c r="X34" s="42">
        <f t="shared" si="34"/>
        <v>1.3277665882352942E-2</v>
      </c>
      <c r="Y34" s="42">
        <f t="shared" si="35"/>
        <v>1.2210710588235293E-2</v>
      </c>
      <c r="Z34" s="42">
        <f t="shared" si="36"/>
        <v>1.2269985882352941E-2</v>
      </c>
      <c r="AA34" s="43">
        <f t="shared" si="37"/>
        <v>1.2586120784313726E-2</v>
      </c>
      <c r="AB34" s="146">
        <f t="shared" si="38"/>
        <v>3.4619568507311742E-4</v>
      </c>
    </row>
    <row r="35" spans="2:28" s="5" customFormat="1" ht="13" x14ac:dyDescent="0.15">
      <c r="B35" s="187"/>
      <c r="C35" s="39">
        <v>0.53819444444444442</v>
      </c>
      <c r="D35" s="40">
        <f>D34+3+10/60</f>
        <v>24.416666666666668</v>
      </c>
      <c r="E35" s="192"/>
      <c r="F35" s="41">
        <v>0.219</v>
      </c>
      <c r="G35" s="42">
        <v>0.22</v>
      </c>
      <c r="H35" s="42">
        <v>0.224</v>
      </c>
      <c r="I35" s="42">
        <f t="shared" si="26"/>
        <v>0.2758524</v>
      </c>
      <c r="J35" s="42">
        <f t="shared" si="22"/>
        <v>0.27711200000000002</v>
      </c>
      <c r="K35" s="42">
        <f t="shared" si="22"/>
        <v>0.28215040000000002</v>
      </c>
      <c r="L35" s="43">
        <f t="shared" si="23"/>
        <v>0.2783716</v>
      </c>
      <c r="M35" s="42">
        <f t="shared" si="27"/>
        <v>1.9240707817887977E-3</v>
      </c>
      <c r="N35" s="42">
        <f t="shared" si="24"/>
        <v>-1.2878893389209036</v>
      </c>
      <c r="O35" s="42">
        <f t="shared" si="24"/>
        <v>-1.2833335223850428</v>
      </c>
      <c r="P35" s="42">
        <f t="shared" si="24"/>
        <v>-1.2653150168823646</v>
      </c>
      <c r="Q35" s="43">
        <f t="shared" si="25"/>
        <v>-1.2788459593961037</v>
      </c>
      <c r="R35" s="42">
        <f t="shared" si="28"/>
        <v>6.8921131268450545E-3</v>
      </c>
      <c r="S35" s="42">
        <f t="shared" si="29"/>
        <v>-7.1287332753281153E-3</v>
      </c>
      <c r="T35" s="42">
        <f t="shared" si="30"/>
        <v>2.0763592914562323E-2</v>
      </c>
      <c r="U35" s="42">
        <f t="shared" si="31"/>
        <v>2.4924397449369702E-2</v>
      </c>
      <c r="V35" s="43">
        <f t="shared" si="32"/>
        <v>1.2853085696201303E-2</v>
      </c>
      <c r="W35" s="42">
        <f t="shared" si="33"/>
        <v>1.0062850667222289E-2</v>
      </c>
      <c r="X35" s="42">
        <f t="shared" si="34"/>
        <v>1.1297709215017064E-2</v>
      </c>
      <c r="Y35" s="42">
        <f t="shared" si="35"/>
        <v>1.1349296928327646E-2</v>
      </c>
      <c r="Z35" s="42">
        <f t="shared" si="36"/>
        <v>1.1555647781569965E-2</v>
      </c>
      <c r="AA35" s="43">
        <f t="shared" si="37"/>
        <v>1.1400884641638223E-2</v>
      </c>
      <c r="AB35" s="146">
        <f t="shared" si="38"/>
        <v>7.8801533725138135E-5</v>
      </c>
    </row>
    <row r="36" spans="2:28" s="5" customFormat="1" ht="15" customHeight="1" x14ac:dyDescent="0.15">
      <c r="B36" s="187"/>
      <c r="C36" s="39">
        <v>0.70277777777777783</v>
      </c>
      <c r="D36" s="40">
        <f>3+57/60+D35</f>
        <v>28.366666666666667</v>
      </c>
      <c r="E36" s="192"/>
      <c r="F36" s="41">
        <v>0.245</v>
      </c>
      <c r="G36" s="42">
        <v>0.245</v>
      </c>
      <c r="H36" s="42">
        <v>0.25600000000000001</v>
      </c>
      <c r="I36" s="42">
        <f t="shared" si="26"/>
        <v>0.30860199999999999</v>
      </c>
      <c r="J36" s="42">
        <f t="shared" si="22"/>
        <v>0.30860199999999999</v>
      </c>
      <c r="K36" s="42">
        <f t="shared" si="22"/>
        <v>0.32245760000000001</v>
      </c>
      <c r="L36" s="43">
        <f t="shared" si="23"/>
        <v>0.31322053333333333</v>
      </c>
      <c r="M36" s="42">
        <f t="shared" si="27"/>
        <v>4.6185333333333412E-3</v>
      </c>
      <c r="N36" s="42">
        <f t="shared" si="24"/>
        <v>-1.1757028581926776</v>
      </c>
      <c r="O36" s="42">
        <f t="shared" si="24"/>
        <v>-1.1757028581926776</v>
      </c>
      <c r="P36" s="42">
        <f t="shared" si="24"/>
        <v>-1.1317836242578421</v>
      </c>
      <c r="Q36" s="43">
        <f t="shared" si="25"/>
        <v>-1.1610631135477325</v>
      </c>
      <c r="R36" s="42">
        <f t="shared" si="28"/>
        <v>1.4639744644945182E-2</v>
      </c>
      <c r="S36" s="42">
        <f t="shared" si="29"/>
        <v>2.8401640690690136E-2</v>
      </c>
      <c r="T36" s="42">
        <f t="shared" si="30"/>
        <v>2.7248269415788669E-2</v>
      </c>
      <c r="U36" s="42">
        <f t="shared" si="31"/>
        <v>3.3805415854309503E-2</v>
      </c>
      <c r="V36" s="43">
        <f t="shared" si="32"/>
        <v>2.9818441986929439E-2</v>
      </c>
      <c r="W36" s="42">
        <f t="shared" si="33"/>
        <v>2.0211000955602239E-3</v>
      </c>
      <c r="X36" s="42">
        <f t="shared" si="34"/>
        <v>1.0879036427732079E-2</v>
      </c>
      <c r="Y36" s="42">
        <f t="shared" si="35"/>
        <v>1.0879036427732079E-2</v>
      </c>
      <c r="Z36" s="42">
        <f t="shared" si="36"/>
        <v>1.1367482961222091E-2</v>
      </c>
      <c r="AA36" s="43">
        <f t="shared" si="37"/>
        <v>1.1041851938895416E-2</v>
      </c>
      <c r="AB36" s="146">
        <f t="shared" si="38"/>
        <v>1.6281551116333753E-4</v>
      </c>
    </row>
    <row r="37" spans="2:28" s="5" customFormat="1" ht="13" x14ac:dyDescent="0.15">
      <c r="B37" s="44" t="s">
        <v>26</v>
      </c>
      <c r="C37" s="39">
        <v>0.42638888888888887</v>
      </c>
      <c r="D37" s="40">
        <f>5+22/60+12+D36</f>
        <v>45.733333333333334</v>
      </c>
      <c r="E37" s="45">
        <v>3</v>
      </c>
      <c r="F37" s="41">
        <v>0.36699999999999999</v>
      </c>
      <c r="G37" s="42">
        <v>0.32200000000000001</v>
      </c>
      <c r="H37" s="42">
        <v>0.32800000000000001</v>
      </c>
      <c r="I37" s="42">
        <f t="shared" si="26"/>
        <v>0.4622732</v>
      </c>
      <c r="J37" s="42">
        <f t="shared" si="22"/>
        <v>0.40559120000000004</v>
      </c>
      <c r="K37" s="42">
        <f t="shared" si="22"/>
        <v>0.41314880000000004</v>
      </c>
      <c r="L37" s="43">
        <f t="shared" si="23"/>
        <v>0.42700440000000001</v>
      </c>
      <c r="M37" s="42">
        <f t="shared" si="27"/>
        <v>1.7768844639987135E-2</v>
      </c>
      <c r="N37" s="42">
        <f t="shared" si="24"/>
        <v>-0.77159922068283426</v>
      </c>
      <c r="O37" s="42">
        <f t="shared" si="24"/>
        <v>-0.90240952319299617</v>
      </c>
      <c r="P37" s="42">
        <f t="shared" si="24"/>
        <v>-0.88394746035326066</v>
      </c>
      <c r="Q37" s="43">
        <f t="shared" si="25"/>
        <v>-0.85265206807636373</v>
      </c>
      <c r="R37" s="42">
        <f t="shared" si="28"/>
        <v>4.0875359301269606E-2</v>
      </c>
      <c r="S37" s="42">
        <f t="shared" si="29"/>
        <v>2.3268923465058159E-2</v>
      </c>
      <c r="T37" s="42">
        <f t="shared" si="30"/>
        <v>1.5736660364664957E-2</v>
      </c>
      <c r="U37" s="42">
        <f t="shared" si="31"/>
        <v>1.4270796386060349E-2</v>
      </c>
      <c r="V37" s="43">
        <f t="shared" si="32"/>
        <v>1.7758793405261156E-2</v>
      </c>
      <c r="W37" s="42">
        <f t="shared" si="33"/>
        <v>2.7873726731967182E-3</v>
      </c>
      <c r="X37" s="42">
        <f t="shared" si="34"/>
        <v>1.0108014577259475E-2</v>
      </c>
      <c r="Y37" s="42">
        <f t="shared" si="35"/>
        <v>8.8686122448979592E-3</v>
      </c>
      <c r="Z37" s="42">
        <f t="shared" si="36"/>
        <v>9.0338658892128287E-3</v>
      </c>
      <c r="AA37" s="43">
        <f t="shared" si="37"/>
        <v>9.3368309037900887E-3</v>
      </c>
      <c r="AB37" s="146">
        <f t="shared" si="38"/>
        <v>3.8853158833791117E-4</v>
      </c>
    </row>
    <row r="38" spans="2:28" s="5" customFormat="1" ht="13" x14ac:dyDescent="0.15">
      <c r="B38" s="44" t="s">
        <v>27</v>
      </c>
      <c r="C38" s="39">
        <v>0.43958333333333338</v>
      </c>
      <c r="D38" s="40">
        <f>24+19/60+D37</f>
        <v>70.05</v>
      </c>
      <c r="E38" s="45">
        <v>4</v>
      </c>
      <c r="F38" s="41">
        <v>0.48</v>
      </c>
      <c r="G38" s="42">
        <v>0.48799999999999999</v>
      </c>
      <c r="H38" s="42">
        <v>0.48499999999999999</v>
      </c>
      <c r="I38" s="42">
        <f t="shared" si="26"/>
        <v>0.60460800000000003</v>
      </c>
      <c r="J38" s="42">
        <f t="shared" si="22"/>
        <v>0.61468480000000003</v>
      </c>
      <c r="K38" s="42">
        <f t="shared" si="22"/>
        <v>0.61090600000000006</v>
      </c>
      <c r="L38" s="43">
        <f t="shared" si="23"/>
        <v>0.61006626666666675</v>
      </c>
      <c r="M38" s="42">
        <f t="shared" si="27"/>
        <v>2.9390666666666673E-3</v>
      </c>
      <c r="N38" s="42">
        <f t="shared" si="24"/>
        <v>-0.50317496483546786</v>
      </c>
      <c r="O38" s="42">
        <f t="shared" si="24"/>
        <v>-0.48664566288425731</v>
      </c>
      <c r="P38" s="42">
        <f t="shared" si="24"/>
        <v>-0.4928121777999212</v>
      </c>
      <c r="Q38" s="43">
        <f t="shared" si="25"/>
        <v>-0.49421093517321552</v>
      </c>
      <c r="R38" s="42">
        <f t="shared" si="28"/>
        <v>4.822580477662073E-3</v>
      </c>
      <c r="S38" s="42">
        <f t="shared" si="29"/>
        <v>1.103869455163947E-2</v>
      </c>
      <c r="T38" s="42">
        <f t="shared" si="30"/>
        <v>1.7097896928392278E-2</v>
      </c>
      <c r="U38" s="42">
        <f t="shared" si="31"/>
        <v>1.6085069878821363E-2</v>
      </c>
      <c r="V38" s="43">
        <f t="shared" si="32"/>
        <v>1.4740553786284369E-2</v>
      </c>
      <c r="W38" s="42">
        <f t="shared" si="33"/>
        <v>1.8738797544959964E-3</v>
      </c>
      <c r="X38" s="42">
        <f t="shared" si="34"/>
        <v>8.6310920770877944E-3</v>
      </c>
      <c r="Y38" s="42">
        <f t="shared" si="35"/>
        <v>8.7749436117059258E-3</v>
      </c>
      <c r="Z38" s="42">
        <f t="shared" si="36"/>
        <v>8.7209992862241261E-3</v>
      </c>
      <c r="AA38" s="43">
        <f t="shared" si="37"/>
        <v>8.7090116583392815E-3</v>
      </c>
      <c r="AB38" s="146">
        <f t="shared" si="38"/>
        <v>4.195669759695497E-5</v>
      </c>
    </row>
    <row r="39" spans="2:28" s="5" customFormat="1" ht="13" x14ac:dyDescent="0.15">
      <c r="B39" s="44" t="s">
        <v>28</v>
      </c>
      <c r="C39" s="39">
        <v>0.54583333333333328</v>
      </c>
      <c r="D39" s="40">
        <f>12+33/60+14+D38</f>
        <v>96.6</v>
      </c>
      <c r="E39" s="45">
        <v>5</v>
      </c>
      <c r="F39" s="41">
        <v>0.70099999999999996</v>
      </c>
      <c r="G39" s="42">
        <v>0.69399999999999995</v>
      </c>
      <c r="H39" s="42">
        <v>0.73699999999999999</v>
      </c>
      <c r="I39" s="42">
        <f t="shared" si="26"/>
        <v>0.88297959999999998</v>
      </c>
      <c r="J39" s="42">
        <f t="shared" si="22"/>
        <v>0.87416240000000001</v>
      </c>
      <c r="K39" s="42">
        <f t="shared" si="22"/>
        <v>0.92832520000000007</v>
      </c>
      <c r="L39" s="43">
        <f t="shared" si="23"/>
        <v>0.89515573333333343</v>
      </c>
      <c r="M39" s="42">
        <f t="shared" si="27"/>
        <v>1.6778914279270633E-2</v>
      </c>
      <c r="N39" s="42">
        <f t="shared" si="24"/>
        <v>-0.12445318170281446</v>
      </c>
      <c r="O39" s="42">
        <f t="shared" si="24"/>
        <v>-0.13448910823060001</v>
      </c>
      <c r="P39" s="42">
        <f t="shared" si="24"/>
        <v>-7.437317654806784E-2</v>
      </c>
      <c r="Q39" s="43">
        <f t="shared" si="25"/>
        <v>-0.11110515549382743</v>
      </c>
      <c r="R39" s="42">
        <f t="shared" si="28"/>
        <v>1.8593087095939494E-2</v>
      </c>
      <c r="S39" s="42">
        <f t="shared" si="29"/>
        <v>1.4264473940966232E-2</v>
      </c>
      <c r="T39" s="42">
        <f t="shared" si="30"/>
        <v>1.3263900363602914E-2</v>
      </c>
      <c r="U39" s="42">
        <f t="shared" si="31"/>
        <v>1.576041435976849E-2</v>
      </c>
      <c r="V39" s="43">
        <f t="shared" si="32"/>
        <v>1.4429596221445878E-2</v>
      </c>
      <c r="W39" s="42">
        <f t="shared" si="33"/>
        <v>7.253951931868478E-4</v>
      </c>
      <c r="X39" s="42">
        <f t="shared" si="34"/>
        <v>9.1405755693581784E-3</v>
      </c>
      <c r="Y39" s="42">
        <f t="shared" si="35"/>
        <v>9.0493002070393385E-3</v>
      </c>
      <c r="Z39" s="42">
        <f t="shared" si="36"/>
        <v>9.6099917184265023E-3</v>
      </c>
      <c r="AA39" s="43">
        <f t="shared" si="37"/>
        <v>9.2666224982746737E-3</v>
      </c>
      <c r="AB39" s="146">
        <f t="shared" si="38"/>
        <v>1.7369476479576218E-4</v>
      </c>
    </row>
    <row r="40" spans="2:28" s="5" customFormat="1" ht="13" x14ac:dyDescent="0.15">
      <c r="B40" s="44" t="s">
        <v>29</v>
      </c>
      <c r="C40" s="39">
        <v>0.54999999999999993</v>
      </c>
      <c r="D40" s="40">
        <f>24+6/60+D39</f>
        <v>120.69999999999999</v>
      </c>
      <c r="E40" s="45">
        <v>6</v>
      </c>
      <c r="F40" s="41">
        <v>0.94899999999999995</v>
      </c>
      <c r="G40" s="42">
        <v>0.91500000000000004</v>
      </c>
      <c r="H40" s="42">
        <v>0.96899999999999997</v>
      </c>
      <c r="I40" s="42">
        <f t="shared" si="26"/>
        <v>1.1953604</v>
      </c>
      <c r="J40" s="42">
        <f t="shared" si="22"/>
        <v>1.1525340000000002</v>
      </c>
      <c r="K40" s="42">
        <f t="shared" si="22"/>
        <v>1.2205524000000001</v>
      </c>
      <c r="L40" s="43">
        <f t="shared" si="23"/>
        <v>1.1894822666666667</v>
      </c>
      <c r="M40" s="42">
        <f t="shared" si="27"/>
        <v>1.985396705323926E-2</v>
      </c>
      <c r="N40" s="42">
        <f t="shared" si="24"/>
        <v>0.17844772987252333</v>
      </c>
      <c r="O40" s="42">
        <f t="shared" si="24"/>
        <v>0.14196299653811695</v>
      </c>
      <c r="P40" s="42">
        <f t="shared" si="24"/>
        <v>0.1993035431533618</v>
      </c>
      <c r="Q40" s="43">
        <f t="shared" si="25"/>
        <v>0.17323808985466735</v>
      </c>
      <c r="R40" s="42">
        <f t="shared" si="28"/>
        <v>1.67564896221386E-2</v>
      </c>
      <c r="S40" s="42">
        <f t="shared" si="29"/>
        <v>1.2568502554993272E-2</v>
      </c>
      <c r="T40" s="42">
        <f t="shared" si="30"/>
        <v>1.1471041691648009E-2</v>
      </c>
      <c r="U40" s="42">
        <f t="shared" si="31"/>
        <v>1.1355880485536502E-2</v>
      </c>
      <c r="V40" s="43">
        <f t="shared" si="32"/>
        <v>1.1798474910725928E-2</v>
      </c>
      <c r="W40" s="42">
        <f t="shared" si="33"/>
        <v>3.8644639798649145E-4</v>
      </c>
      <c r="X40" s="42">
        <f t="shared" si="34"/>
        <v>9.9035658657829345E-3</v>
      </c>
      <c r="Y40" s="42">
        <f t="shared" si="35"/>
        <v>9.548748964374484E-3</v>
      </c>
      <c r="Z40" s="42">
        <f t="shared" si="36"/>
        <v>1.0112281690140846E-2</v>
      </c>
      <c r="AA40" s="43">
        <f t="shared" si="37"/>
        <v>9.85486550676609E-3</v>
      </c>
      <c r="AB40" s="146">
        <f t="shared" si="38"/>
        <v>1.6449019928118695E-4</v>
      </c>
    </row>
    <row r="41" spans="2:28" s="5" customFormat="1" ht="13" x14ac:dyDescent="0.15">
      <c r="B41" s="44" t="s">
        <v>30</v>
      </c>
      <c r="C41" s="39">
        <v>0.40138888888888885</v>
      </c>
      <c r="D41" s="40">
        <f>8+26/60+12+D40</f>
        <v>141.13333333333333</v>
      </c>
      <c r="E41" s="45">
        <v>7</v>
      </c>
      <c r="F41" s="41">
        <v>1.0209999999999999</v>
      </c>
      <c r="G41" s="42">
        <v>1.0309999999999999</v>
      </c>
      <c r="H41" s="42">
        <v>1.1080000000000001</v>
      </c>
      <c r="I41" s="42">
        <f t="shared" si="26"/>
        <v>1.2860516</v>
      </c>
      <c r="J41" s="42">
        <f t="shared" si="22"/>
        <v>1.2986476</v>
      </c>
      <c r="K41" s="42">
        <f t="shared" si="22"/>
        <v>1.3956368000000001</v>
      </c>
      <c r="L41" s="43">
        <f t="shared" si="23"/>
        <v>1.3267786666666668</v>
      </c>
      <c r="M41" s="42">
        <f t="shared" si="27"/>
        <v>3.4620546397639576E-2</v>
      </c>
      <c r="N41" s="42">
        <f t="shared" si="24"/>
        <v>0.25157674942726099</v>
      </c>
      <c r="O41" s="42">
        <f t="shared" si="24"/>
        <v>0.26132341527955544</v>
      </c>
      <c r="P41" s="42">
        <f t="shared" si="24"/>
        <v>0.33335079856982469</v>
      </c>
      <c r="Q41" s="43">
        <f t="shared" si="25"/>
        <v>0.282083654425547</v>
      </c>
      <c r="R41" s="42">
        <f t="shared" si="28"/>
        <v>2.5787525571754621E-2</v>
      </c>
      <c r="S41" s="42">
        <f t="shared" si="29"/>
        <v>3.5789079716837349E-3</v>
      </c>
      <c r="T41" s="42">
        <f t="shared" si="30"/>
        <v>5.8414560558615889E-3</v>
      </c>
      <c r="U41" s="42">
        <f t="shared" si="31"/>
        <v>6.5602245717681666E-3</v>
      </c>
      <c r="V41" s="43">
        <f t="shared" si="32"/>
        <v>5.3268628664378303E-3</v>
      </c>
      <c r="W41" s="42">
        <f t="shared" si="33"/>
        <v>8.9826996321368344E-4</v>
      </c>
      <c r="X41" s="42">
        <f t="shared" si="34"/>
        <v>9.1123164855928199E-3</v>
      </c>
      <c r="Y41" s="42">
        <f t="shared" si="35"/>
        <v>9.2015654227680689E-3</v>
      </c>
      <c r="Z41" s="42">
        <f t="shared" si="36"/>
        <v>9.8887822390174782E-3</v>
      </c>
      <c r="AA41" s="43">
        <f t="shared" si="37"/>
        <v>9.4008880491261229E-3</v>
      </c>
      <c r="AB41" s="146">
        <f t="shared" si="38"/>
        <v>2.4530382426291594E-4</v>
      </c>
    </row>
    <row r="42" spans="2:28" s="5" customFormat="1" ht="13" x14ac:dyDescent="0.15">
      <c r="B42" s="44" t="s">
        <v>31</v>
      </c>
      <c r="C42" s="39">
        <v>0.43402777777777773</v>
      </c>
      <c r="D42" s="40">
        <f>24+47/60+D41</f>
        <v>165.91666666666666</v>
      </c>
      <c r="E42" s="45">
        <v>8</v>
      </c>
      <c r="F42" s="41">
        <f>2*0.582</f>
        <v>1.1639999999999999</v>
      </c>
      <c r="G42" s="42">
        <v>1.2350000000000001</v>
      </c>
      <c r="H42" s="42">
        <v>1.2330000000000001</v>
      </c>
      <c r="I42" s="42">
        <f t="shared" si="26"/>
        <v>1.4661743999999999</v>
      </c>
      <c r="J42" s="42">
        <f t="shared" si="22"/>
        <v>1.5556060000000003</v>
      </c>
      <c r="K42" s="42">
        <f t="shared" si="22"/>
        <v>1.5530868000000002</v>
      </c>
      <c r="L42" s="43">
        <f t="shared" si="23"/>
        <v>1.5249557333333332</v>
      </c>
      <c r="M42" s="42">
        <f t="shared" si="27"/>
        <v>2.9399662432831632E-2</v>
      </c>
      <c r="N42" s="42">
        <f t="shared" si="24"/>
        <v>0.38265655955397854</v>
      </c>
      <c r="O42" s="42">
        <f t="shared" si="24"/>
        <v>0.4418651803246732</v>
      </c>
      <c r="P42" s="42">
        <f t="shared" si="24"/>
        <v>0.44024443442693989</v>
      </c>
      <c r="Q42" s="43">
        <f t="shared" si="25"/>
        <v>0.42158872476853054</v>
      </c>
      <c r="R42" s="42">
        <f t="shared" si="28"/>
        <v>1.9471704432638789E-2</v>
      </c>
      <c r="S42" s="42">
        <f t="shared" si="29"/>
        <v>5.289030670883022E-3</v>
      </c>
      <c r="T42" s="42">
        <f t="shared" si="30"/>
        <v>7.2848055835286257E-3</v>
      </c>
      <c r="U42" s="42">
        <f t="shared" si="31"/>
        <v>4.3131258583906608E-3</v>
      </c>
      <c r="V42" s="43">
        <f t="shared" si="32"/>
        <v>5.6289873709341022E-3</v>
      </c>
      <c r="W42" s="42">
        <f t="shared" si="33"/>
        <v>8.7452806618412357E-4</v>
      </c>
      <c r="X42" s="42">
        <f t="shared" si="34"/>
        <v>8.8368120542440982E-3</v>
      </c>
      <c r="Y42" s="42">
        <f t="shared" si="35"/>
        <v>9.3758272225012585E-3</v>
      </c>
      <c r="Z42" s="42">
        <f t="shared" si="36"/>
        <v>9.3606436966348593E-3</v>
      </c>
      <c r="AA42" s="43">
        <f t="shared" si="37"/>
        <v>9.191094324460072E-3</v>
      </c>
      <c r="AB42" s="146">
        <f t="shared" si="38"/>
        <v>1.7719535368858867E-4</v>
      </c>
    </row>
    <row r="43" spans="2:28" s="5" customFormat="1" ht="13" x14ac:dyDescent="0.15">
      <c r="B43" s="44" t="s">
        <v>32</v>
      </c>
      <c r="C43" s="39">
        <v>0.4291666666666667</v>
      </c>
      <c r="D43" s="40">
        <f>11+53/60+12+D42</f>
        <v>189.79999999999998</v>
      </c>
      <c r="E43" s="45">
        <v>9</v>
      </c>
      <c r="F43" s="41">
        <f>2*0.722</f>
        <v>1.444</v>
      </c>
      <c r="G43" s="42">
        <f>2*0.713</f>
        <v>1.4259999999999999</v>
      </c>
      <c r="H43" s="42">
        <v>1.4279999999999999</v>
      </c>
      <c r="I43" s="42">
        <f t="shared" si="26"/>
        <v>1.8188624</v>
      </c>
      <c r="J43" s="42">
        <f t="shared" si="22"/>
        <v>1.7961895999999999</v>
      </c>
      <c r="K43" s="42">
        <f t="shared" si="22"/>
        <v>1.7987088</v>
      </c>
      <c r="L43" s="43">
        <f t="shared" si="23"/>
        <v>1.8045869333333335</v>
      </c>
      <c r="M43" s="42">
        <f t="shared" si="27"/>
        <v>7.1746847450679836E-3</v>
      </c>
      <c r="N43" s="42">
        <f t="shared" si="24"/>
        <v>0.59821125071536696</v>
      </c>
      <c r="O43" s="42">
        <f t="shared" si="24"/>
        <v>0.58566753223683665</v>
      </c>
      <c r="P43" s="42">
        <f t="shared" si="24"/>
        <v>0.58706907416212517</v>
      </c>
      <c r="Q43" s="43">
        <f t="shared" si="25"/>
        <v>0.59031595237144285</v>
      </c>
      <c r="R43" s="42">
        <f t="shared" si="28"/>
        <v>3.9683280231000125E-3</v>
      </c>
      <c r="S43" s="42">
        <f t="shared" si="29"/>
        <v>9.025318541300285E-3</v>
      </c>
      <c r="T43" s="42">
        <f t="shared" si="30"/>
        <v>6.021033576224571E-3</v>
      </c>
      <c r="U43" s="42">
        <f t="shared" si="31"/>
        <v>6.1475773790028746E-3</v>
      </c>
      <c r="V43" s="43">
        <f t="shared" si="32"/>
        <v>7.0646431655092441E-3</v>
      </c>
      <c r="W43" s="42">
        <f t="shared" si="33"/>
        <v>9.8101805631197999E-4</v>
      </c>
      <c r="X43" s="42">
        <f t="shared" si="34"/>
        <v>9.5830474183350896E-3</v>
      </c>
      <c r="Y43" s="42">
        <f t="shared" si="35"/>
        <v>9.4635911485774511E-3</v>
      </c>
      <c r="Z43" s="42">
        <f t="shared" si="36"/>
        <v>9.4768640674394115E-3</v>
      </c>
      <c r="AA43" s="43">
        <f t="shared" si="37"/>
        <v>9.5078342114506501E-3</v>
      </c>
      <c r="AB43" s="146">
        <f t="shared" si="38"/>
        <v>3.7801289489293437E-5</v>
      </c>
    </row>
    <row r="44" spans="2:28" s="5" customFormat="1" ht="13" x14ac:dyDescent="0.15">
      <c r="B44" s="44" t="s">
        <v>33</v>
      </c>
      <c r="C44" s="39">
        <v>0.45833333333333331</v>
      </c>
      <c r="D44" s="40">
        <f>42/60+24+D43</f>
        <v>214.49999999999997</v>
      </c>
      <c r="E44" s="45">
        <v>10</v>
      </c>
      <c r="F44" s="41">
        <f>2*0.871</f>
        <v>1.742</v>
      </c>
      <c r="G44" s="42">
        <f>2*0.863</f>
        <v>1.726</v>
      </c>
      <c r="H44" s="42">
        <f>2*0.863</f>
        <v>1.726</v>
      </c>
      <c r="I44" s="42">
        <f t="shared" si="26"/>
        <v>2.1942232000000002</v>
      </c>
      <c r="J44" s="42">
        <f t="shared" si="22"/>
        <v>2.1740696000000002</v>
      </c>
      <c r="K44" s="42">
        <f t="shared" si="22"/>
        <v>2.1740696000000002</v>
      </c>
      <c r="L44" s="43">
        <f t="shared" si="23"/>
        <v>2.1807874666666671</v>
      </c>
      <c r="M44" s="42">
        <f t="shared" si="27"/>
        <v>6.7178666666666657E-3</v>
      </c>
      <c r="N44" s="42">
        <f t="shared" si="24"/>
        <v>0.78582808867504361</v>
      </c>
      <c r="O44" s="42">
        <f t="shared" si="24"/>
        <v>0.77660080290596878</v>
      </c>
      <c r="P44" s="42">
        <f t="shared" si="24"/>
        <v>0.77660080290596878</v>
      </c>
      <c r="Q44" s="43">
        <f t="shared" si="25"/>
        <v>0.77967656482899361</v>
      </c>
      <c r="R44" s="42">
        <f t="shared" si="28"/>
        <v>3.0757619230249444E-3</v>
      </c>
      <c r="S44" s="42">
        <f t="shared" si="29"/>
        <v>7.5958233991771963E-3</v>
      </c>
      <c r="T44" s="42">
        <f t="shared" si="30"/>
        <v>7.7300919299243811E-3</v>
      </c>
      <c r="U44" s="42">
        <f t="shared" si="31"/>
        <v>7.6733493418560204E-3</v>
      </c>
      <c r="V44" s="43">
        <f t="shared" si="32"/>
        <v>7.6664215569858668E-3</v>
      </c>
      <c r="W44" s="42">
        <f t="shared" si="33"/>
        <v>3.8914458494057981E-5</v>
      </c>
      <c r="X44" s="42">
        <f t="shared" si="34"/>
        <v>1.022947878787879E-2</v>
      </c>
      <c r="Y44" s="42">
        <f t="shared" si="35"/>
        <v>1.0135522610722612E-2</v>
      </c>
      <c r="Z44" s="42">
        <f t="shared" si="36"/>
        <v>1.0135522610722612E-2</v>
      </c>
      <c r="AA44" s="43">
        <f t="shared" si="37"/>
        <v>1.0166841336441338E-2</v>
      </c>
      <c r="AB44" s="146">
        <f t="shared" si="38"/>
        <v>3.1318725718725945E-5</v>
      </c>
    </row>
    <row r="45" spans="2:28" s="5" customFormat="1" ht="13" x14ac:dyDescent="0.15">
      <c r="B45" s="44" t="s">
        <v>34</v>
      </c>
      <c r="C45" s="39">
        <v>0.46458333333333335</v>
      </c>
      <c r="D45" s="40">
        <f>24+9/60+D44</f>
        <v>238.64999999999998</v>
      </c>
      <c r="E45" s="45">
        <v>11</v>
      </c>
      <c r="F45" s="41">
        <f>4*0.483</f>
        <v>1.9319999999999999</v>
      </c>
      <c r="G45" s="42">
        <f>2*0.96</f>
        <v>1.92</v>
      </c>
      <c r="H45" s="42">
        <f>4*0.498</f>
        <v>1.992</v>
      </c>
      <c r="I45" s="42">
        <f t="shared" si="26"/>
        <v>2.4335472</v>
      </c>
      <c r="J45" s="42">
        <f t="shared" si="22"/>
        <v>2.4184320000000001</v>
      </c>
      <c r="K45" s="42">
        <f t="shared" si="22"/>
        <v>2.5091231999999999</v>
      </c>
      <c r="L45" s="43">
        <f t="shared" si="23"/>
        <v>2.4537008</v>
      </c>
      <c r="M45" s="42">
        <f t="shared" si="27"/>
        <v>2.8052623965682717E-2</v>
      </c>
      <c r="N45" s="42">
        <f t="shared" si="24"/>
        <v>0.88934994603505879</v>
      </c>
      <c r="O45" s="42">
        <f t="shared" si="24"/>
        <v>0.88311939628442282</v>
      </c>
      <c r="P45" s="42">
        <f t="shared" si="24"/>
        <v>0.91993336940713899</v>
      </c>
      <c r="Q45" s="43">
        <f t="shared" si="25"/>
        <v>0.89746757057554027</v>
      </c>
      <c r="R45" s="42">
        <f t="shared" si="28"/>
        <v>1.1375983846173287E-2</v>
      </c>
      <c r="S45" s="42">
        <f t="shared" si="29"/>
        <v>4.2866193523815798E-3</v>
      </c>
      <c r="T45" s="42">
        <f t="shared" si="30"/>
        <v>4.410707800350063E-3</v>
      </c>
      <c r="U45" s="42">
        <f t="shared" si="31"/>
        <v>5.9350959213735066E-3</v>
      </c>
      <c r="V45" s="43">
        <f t="shared" si="32"/>
        <v>4.8774743580350501E-3</v>
      </c>
      <c r="W45" s="42">
        <f t="shared" si="33"/>
        <v>5.3002264547805501E-4</v>
      </c>
      <c r="X45" s="42">
        <f t="shared" si="34"/>
        <v>1.019713890634821E-2</v>
      </c>
      <c r="Y45" s="42">
        <f t="shared" si="35"/>
        <v>1.0133802639849154E-2</v>
      </c>
      <c r="Z45" s="42">
        <f t="shared" si="36"/>
        <v>1.0513820238843495E-2</v>
      </c>
      <c r="AA45" s="43">
        <f t="shared" si="37"/>
        <v>1.0281587261680285E-2</v>
      </c>
      <c r="AB45" s="146">
        <f t="shared" si="38"/>
        <v>1.1754713582938492E-4</v>
      </c>
    </row>
    <row r="46" spans="2:28" s="5" customFormat="1" ht="13" x14ac:dyDescent="0.15">
      <c r="B46" s="44" t="s">
        <v>35</v>
      </c>
      <c r="C46" s="39">
        <v>0.4993055555555555</v>
      </c>
      <c r="D46" s="40">
        <f>50/60+24+D45</f>
        <v>263.48333333333329</v>
      </c>
      <c r="E46" s="45">
        <v>12</v>
      </c>
      <c r="F46" s="41">
        <f>4*0.541</f>
        <v>2.1640000000000001</v>
      </c>
      <c r="G46" s="42">
        <f>4*0.532</f>
        <v>2.1280000000000001</v>
      </c>
      <c r="H46" s="42">
        <f>2*1.054</f>
        <v>2.1080000000000001</v>
      </c>
      <c r="I46" s="42">
        <f t="shared" si="26"/>
        <v>2.7257744000000002</v>
      </c>
      <c r="J46" s="42">
        <f t="shared" si="22"/>
        <v>2.6804288000000001</v>
      </c>
      <c r="K46" s="42">
        <f t="shared" si="22"/>
        <v>2.6552368000000004</v>
      </c>
      <c r="L46" s="43">
        <f t="shared" si="23"/>
        <v>2.687146666666667</v>
      </c>
      <c r="M46" s="42">
        <f t="shared" si="27"/>
        <v>2.0637631912385414E-2</v>
      </c>
      <c r="N46" s="42">
        <f t="shared" si="24"/>
        <v>1.0027525712289678</v>
      </c>
      <c r="O46" s="42">
        <f t="shared" si="24"/>
        <v>0.9859767817241305</v>
      </c>
      <c r="P46" s="42">
        <f t="shared" si="24"/>
        <v>0.97653384092384854</v>
      </c>
      <c r="Q46" s="43">
        <f t="shared" si="25"/>
        <v>0.98842106462564894</v>
      </c>
      <c r="R46" s="42">
        <f t="shared" si="28"/>
        <v>7.6667321130569474E-3</v>
      </c>
      <c r="S46" s="42">
        <f t="shared" si="29"/>
        <v>4.5665486655265394E-3</v>
      </c>
      <c r="T46" s="42">
        <f t="shared" si="30"/>
        <v>4.1419081385117218E-3</v>
      </c>
      <c r="U46" s="42">
        <f t="shared" si="31"/>
        <v>2.279213618122534E-3</v>
      </c>
      <c r="V46" s="43">
        <f t="shared" si="32"/>
        <v>3.662556807386932E-3</v>
      </c>
      <c r="W46" s="42">
        <f t="shared" si="33"/>
        <v>7.024501592661224E-4</v>
      </c>
      <c r="X46" s="42">
        <f t="shared" si="34"/>
        <v>1.0345149218799421E-2</v>
      </c>
      <c r="Y46" s="42">
        <f t="shared" si="35"/>
        <v>1.0173048769688154E-2</v>
      </c>
      <c r="Z46" s="42">
        <f t="shared" si="36"/>
        <v>1.0077437409070786E-2</v>
      </c>
      <c r="AA46" s="43">
        <f t="shared" si="37"/>
        <v>1.0198545132519454E-2</v>
      </c>
      <c r="AB46" s="146">
        <f t="shared" si="38"/>
        <v>7.8326137943141727E-5</v>
      </c>
    </row>
    <row r="47" spans="2:28" s="5" customFormat="1" ht="13" x14ac:dyDescent="0.15">
      <c r="B47" s="44" t="s">
        <v>36</v>
      </c>
      <c r="C47" s="39">
        <v>0.46597222222222223</v>
      </c>
      <c r="D47" s="40">
        <f>11+12/60+12+D46</f>
        <v>286.68333333333328</v>
      </c>
      <c r="E47" s="45">
        <v>13</v>
      </c>
      <c r="F47" s="41">
        <f>4*0.562</f>
        <v>2.2480000000000002</v>
      </c>
      <c r="G47" s="42">
        <f>4*0.58</f>
        <v>2.3199999999999998</v>
      </c>
      <c r="H47" s="42">
        <f>4*0.603</f>
        <v>2.4119999999999999</v>
      </c>
      <c r="I47" s="42">
        <f t="shared" si="26"/>
        <v>2.8315808000000002</v>
      </c>
      <c r="J47" s="42">
        <f t="shared" si="26"/>
        <v>2.922272</v>
      </c>
      <c r="K47" s="42">
        <f t="shared" si="26"/>
        <v>3.0381551999999998</v>
      </c>
      <c r="L47" s="43">
        <f t="shared" si="23"/>
        <v>2.9306693333333338</v>
      </c>
      <c r="M47" s="42">
        <f t="shared" si="27"/>
        <v>5.9780521044827784E-2</v>
      </c>
      <c r="N47" s="42">
        <f t="shared" si="24"/>
        <v>1.0408351422761772</v>
      </c>
      <c r="O47" s="42">
        <f t="shared" si="24"/>
        <v>1.0723613959229512</v>
      </c>
      <c r="P47" s="42">
        <f t="shared" si="24"/>
        <v>1.1112504891096715</v>
      </c>
      <c r="Q47" s="43">
        <f t="shared" si="25"/>
        <v>1.0748156757695999</v>
      </c>
      <c r="R47" s="42">
        <f t="shared" si="28"/>
        <v>2.0364166932748746E-2</v>
      </c>
      <c r="S47" s="42">
        <f t="shared" si="29"/>
        <v>1.6414901313452366E-3</v>
      </c>
      <c r="T47" s="42">
        <f t="shared" si="30"/>
        <v>3.7234747499491701E-3</v>
      </c>
      <c r="U47" s="42">
        <f t="shared" si="31"/>
        <v>5.8067520769751304E-3</v>
      </c>
      <c r="V47" s="43">
        <f t="shared" si="32"/>
        <v>3.7239056527565129E-3</v>
      </c>
      <c r="W47" s="42">
        <f t="shared" si="33"/>
        <v>1.2024075720800122E-3</v>
      </c>
      <c r="X47" s="42">
        <f t="shared" si="34"/>
        <v>9.8770331957444366E-3</v>
      </c>
      <c r="Y47" s="42">
        <f t="shared" si="35"/>
        <v>1.0193379454682868E-2</v>
      </c>
      <c r="Z47" s="42">
        <f t="shared" si="36"/>
        <v>1.0597599674437535E-2</v>
      </c>
      <c r="AA47" s="43">
        <f t="shared" si="37"/>
        <v>1.0222670774954945E-2</v>
      </c>
      <c r="AB47" s="146">
        <f t="shared" si="38"/>
        <v>2.0852457779720179E-4</v>
      </c>
    </row>
    <row r="48" spans="2:28" s="5" customFormat="1" ht="13" x14ac:dyDescent="0.15">
      <c r="B48" s="44" t="s">
        <v>37</v>
      </c>
      <c r="C48" s="39">
        <v>0.49374999999999997</v>
      </c>
      <c r="D48" s="40">
        <f>40/60+24+D47</f>
        <v>311.34999999999997</v>
      </c>
      <c r="E48" s="45">
        <v>14</v>
      </c>
      <c r="F48" s="41">
        <f>4*0.61</f>
        <v>2.44</v>
      </c>
      <c r="G48" s="42">
        <f>4*0.636</f>
        <v>2.544</v>
      </c>
      <c r="H48" s="42">
        <f>2*1.218</f>
        <v>2.4359999999999999</v>
      </c>
      <c r="I48" s="42">
        <f t="shared" si="26"/>
        <v>3.0734240000000002</v>
      </c>
      <c r="J48" s="42">
        <f t="shared" si="26"/>
        <v>3.2044224000000003</v>
      </c>
      <c r="K48" s="42">
        <f t="shared" si="26"/>
        <v>3.0683856</v>
      </c>
      <c r="L48" s="43">
        <f t="shared" si="23"/>
        <v>3.115410666666667</v>
      </c>
      <c r="M48" s="42">
        <f t="shared" si="27"/>
        <v>4.4529626362282131E-2</v>
      </c>
      <c r="N48" s="42">
        <f t="shared" si="24"/>
        <v>1.122792249549843</v>
      </c>
      <c r="O48" s="42">
        <f t="shared" si="24"/>
        <v>1.1645318557226083</v>
      </c>
      <c r="P48" s="42">
        <f t="shared" si="24"/>
        <v>1.1211515600923831</v>
      </c>
      <c r="Q48" s="43">
        <f t="shared" si="25"/>
        <v>1.1361585551216116</v>
      </c>
      <c r="R48" s="42">
        <f t="shared" si="28"/>
        <v>1.4194554187197402E-2</v>
      </c>
      <c r="S48" s="42">
        <f t="shared" si="29"/>
        <v>3.3225854300134752E-3</v>
      </c>
      <c r="T48" s="42">
        <f t="shared" si="30"/>
        <v>3.7366402621482578E-3</v>
      </c>
      <c r="U48" s="42">
        <f t="shared" si="31"/>
        <v>4.0139476956939076E-4</v>
      </c>
      <c r="V48" s="43">
        <f t="shared" si="32"/>
        <v>2.4868734872437082E-3</v>
      </c>
      <c r="W48" s="42">
        <f t="shared" si="33"/>
        <v>1.0495676034138893E-3</v>
      </c>
      <c r="X48" s="42">
        <f t="shared" si="34"/>
        <v>9.8712831218885511E-3</v>
      </c>
      <c r="Y48" s="42">
        <f t="shared" si="35"/>
        <v>1.0292026336919868E-2</v>
      </c>
      <c r="Z48" s="42">
        <f t="shared" si="36"/>
        <v>9.8551006905411923E-3</v>
      </c>
      <c r="AA48" s="43">
        <f t="shared" si="37"/>
        <v>1.000613671644987E-2</v>
      </c>
      <c r="AB48" s="146">
        <f t="shared" si="38"/>
        <v>1.430211220885892E-4</v>
      </c>
    </row>
    <row r="49" spans="2:28" s="5" customFormat="1" ht="13" x14ac:dyDescent="0.15">
      <c r="B49" s="46" t="s">
        <v>38</v>
      </c>
      <c r="C49" s="39">
        <v>0.4465277777777778</v>
      </c>
      <c r="D49" s="40">
        <f>10+52/60+12+D48</f>
        <v>334.21666666666664</v>
      </c>
      <c r="E49" s="45">
        <v>15</v>
      </c>
      <c r="F49" s="41">
        <f>4*0.673</f>
        <v>2.6920000000000002</v>
      </c>
      <c r="G49" s="42">
        <f>2*1.302</f>
        <v>2.6040000000000001</v>
      </c>
      <c r="H49" s="42">
        <f>2*1.313</f>
        <v>2.6259999999999999</v>
      </c>
      <c r="I49" s="42">
        <f t="shared" si="26"/>
        <v>3.3908432000000004</v>
      </c>
      <c r="J49" s="42">
        <f t="shared" si="26"/>
        <v>3.2799984000000002</v>
      </c>
      <c r="K49" s="42">
        <f t="shared" si="26"/>
        <v>3.3077095999999999</v>
      </c>
      <c r="L49" s="43">
        <f t="shared" si="23"/>
        <v>3.3261837333333339</v>
      </c>
      <c r="M49" s="42">
        <f t="shared" si="27"/>
        <v>3.330471750154599E-2</v>
      </c>
      <c r="N49" s="42">
        <f t="shared" si="24"/>
        <v>1.2210786220272141</v>
      </c>
      <c r="O49" s="42">
        <f t="shared" si="24"/>
        <v>1.1878429345910555</v>
      </c>
      <c r="P49" s="42">
        <f t="shared" si="24"/>
        <v>1.196255986125337</v>
      </c>
      <c r="Q49" s="43">
        <f t="shared" si="25"/>
        <v>1.2017258475812023</v>
      </c>
      <c r="R49" s="42">
        <f t="shared" si="28"/>
        <v>9.976510213133595E-3</v>
      </c>
      <c r="S49" s="42">
        <f t="shared" si="29"/>
        <v>4.2982378634418813E-3</v>
      </c>
      <c r="T49" s="42">
        <f t="shared" si="30"/>
        <v>1.0194349359379234E-3</v>
      </c>
      <c r="U49" s="42">
        <f t="shared" si="31"/>
        <v>3.2844501180592056E-3</v>
      </c>
      <c r="V49" s="43">
        <f t="shared" si="32"/>
        <v>2.8673743058130036E-3</v>
      </c>
      <c r="W49" s="42">
        <f t="shared" si="33"/>
        <v>9.6920952915640712E-4</v>
      </c>
      <c r="X49" s="42">
        <f t="shared" si="34"/>
        <v>1.0145643644342494E-2</v>
      </c>
      <c r="Y49" s="42">
        <f t="shared" si="35"/>
        <v>9.8139881314516543E-3</v>
      </c>
      <c r="Z49" s="42">
        <f t="shared" si="36"/>
        <v>9.8969020096743628E-3</v>
      </c>
      <c r="AA49" s="43">
        <f t="shared" si="37"/>
        <v>9.9521779284895053E-3</v>
      </c>
      <c r="AB49" s="146">
        <f t="shared" si="38"/>
        <v>9.9650079793185903E-5</v>
      </c>
    </row>
    <row r="50" spans="2:28" s="5" customFormat="1" ht="13" x14ac:dyDescent="0.15">
      <c r="B50" s="46" t="s">
        <v>39</v>
      </c>
      <c r="C50" s="39">
        <v>0.44097222222222227</v>
      </c>
      <c r="D50" s="40">
        <f>11+52/60+12+D49</f>
        <v>358.08333333333331</v>
      </c>
      <c r="E50" s="45">
        <v>16</v>
      </c>
      <c r="F50" s="41">
        <f>4*0.723</f>
        <v>2.8919999999999999</v>
      </c>
      <c r="G50" s="42">
        <f>8*0.345</f>
        <v>2.76</v>
      </c>
      <c r="H50" s="42">
        <f>4*0.628</f>
        <v>2.512</v>
      </c>
      <c r="I50" s="42">
        <f t="shared" si="26"/>
        <v>3.6427632000000001</v>
      </c>
      <c r="J50" s="42">
        <f t="shared" si="26"/>
        <v>3.476496</v>
      </c>
      <c r="K50" s="42">
        <f t="shared" si="26"/>
        <v>3.1641152000000003</v>
      </c>
      <c r="L50" s="43">
        <f t="shared" si="23"/>
        <v>3.4277914666666667</v>
      </c>
      <c r="M50" s="42">
        <f t="shared" si="27"/>
        <v>0.14030333287964958</v>
      </c>
      <c r="N50" s="42">
        <f t="shared" si="24"/>
        <v>1.2927425145412508</v>
      </c>
      <c r="O50" s="42">
        <f t="shared" si="24"/>
        <v>1.2460248899737911</v>
      </c>
      <c r="P50" s="42">
        <f t="shared" si="24"/>
        <v>1.1518734588506849</v>
      </c>
      <c r="Q50" s="43">
        <f t="shared" si="25"/>
        <v>1.2302136211219088</v>
      </c>
      <c r="R50" s="42">
        <f t="shared" si="28"/>
        <v>4.142672197112153E-2</v>
      </c>
      <c r="S50" s="42">
        <f t="shared" si="29"/>
        <v>3.0026770606439951E-3</v>
      </c>
      <c r="T50" s="42">
        <f t="shared" si="30"/>
        <v>2.4377914266509332E-3</v>
      </c>
      <c r="U50" s="42">
        <f t="shared" si="31"/>
        <v>-1.859603098099947E-3</v>
      </c>
      <c r="V50" s="43">
        <f t="shared" si="32"/>
        <v>1.1936217963983272E-3</v>
      </c>
      <c r="W50" s="42">
        <f t="shared" si="33"/>
        <v>1.5352970002750755E-3</v>
      </c>
      <c r="X50" s="42">
        <f t="shared" si="34"/>
        <v>1.0172948196416105E-2</v>
      </c>
      <c r="Y50" s="42">
        <f t="shared" si="35"/>
        <v>9.7086227600651619E-3</v>
      </c>
      <c r="Z50" s="42">
        <f t="shared" si="36"/>
        <v>8.83625375843612E-3</v>
      </c>
      <c r="AA50" s="43">
        <f t="shared" si="37"/>
        <v>9.572608238305795E-3</v>
      </c>
      <c r="AB50" s="146">
        <f t="shared" si="38"/>
        <v>3.9181754585892352E-4</v>
      </c>
    </row>
    <row r="51" spans="2:28" s="5" customFormat="1" ht="13" x14ac:dyDescent="0.15">
      <c r="B51" s="46" t="s">
        <v>40</v>
      </c>
      <c r="C51" s="39">
        <v>0.44097222222222227</v>
      </c>
      <c r="D51" s="40">
        <f>24+D50</f>
        <v>382.08333333333331</v>
      </c>
      <c r="E51" s="45">
        <v>17</v>
      </c>
      <c r="F51" s="41">
        <f>4*0.725</f>
        <v>2.9</v>
      </c>
      <c r="G51" s="42">
        <f>8*0.35</f>
        <v>2.8</v>
      </c>
      <c r="H51" s="42">
        <f>4*0.63</f>
        <v>2.52</v>
      </c>
      <c r="I51" s="42">
        <f t="shared" ref="I51:K53" si="39">1.2596*F51</f>
        <v>3.6528399999999999</v>
      </c>
      <c r="J51" s="42">
        <f t="shared" ref="J51:J52" si="40">1.2596*G51</f>
        <v>3.5268799999999998</v>
      </c>
      <c r="K51" s="42">
        <f t="shared" ref="K51:K52" si="41">1.2596*H51</f>
        <v>3.1741920000000001</v>
      </c>
      <c r="L51" s="43">
        <f t="shared" si="23"/>
        <v>3.4513039999999999</v>
      </c>
      <c r="M51" s="42">
        <f t="shared" si="27"/>
        <v>0.14324777579192396</v>
      </c>
      <c r="N51" s="42">
        <f t="shared" si="24"/>
        <v>1.2955049472371609</v>
      </c>
      <c r="O51" s="42">
        <f t="shared" ref="O51:O52" si="42">LN(J51)</f>
        <v>1.2604136274258908</v>
      </c>
      <c r="P51" s="42">
        <f t="shared" ref="P51:P52" si="43">LN(K51)</f>
        <v>1.1550531117680645</v>
      </c>
      <c r="Q51" s="43">
        <f t="shared" si="25"/>
        <v>1.2369905621437054</v>
      </c>
      <c r="R51" s="42">
        <f t="shared" si="28"/>
        <v>4.2202525643495456E-2</v>
      </c>
      <c r="S51" s="42">
        <f t="shared" si="29"/>
        <v>1.1510136232958934E-4</v>
      </c>
      <c r="T51" s="42">
        <f t="shared" si="30"/>
        <v>5.9953072717081979E-4</v>
      </c>
      <c r="U51" s="42">
        <f t="shared" si="31"/>
        <v>1.3248553822414744E-4</v>
      </c>
      <c r="V51" s="43">
        <f t="shared" si="32"/>
        <v>2.8237254257485221E-4</v>
      </c>
      <c r="W51" s="42">
        <f t="shared" si="33"/>
        <v>1.5865847801177708E-4</v>
      </c>
      <c r="X51" s="42">
        <f t="shared" si="34"/>
        <v>9.5603227917121052E-3</v>
      </c>
      <c r="Y51" s="42">
        <f t="shared" si="35"/>
        <v>9.2306564885496177E-3</v>
      </c>
      <c r="Z51" s="42">
        <f t="shared" si="36"/>
        <v>8.3075908396946577E-3</v>
      </c>
      <c r="AA51" s="43">
        <f t="shared" si="37"/>
        <v>9.0328567066521263E-3</v>
      </c>
      <c r="AB51" s="146">
        <f t="shared" si="38"/>
        <v>3.7491239029511164E-4</v>
      </c>
    </row>
    <row r="52" spans="2:28" s="5" customFormat="1" ht="13" x14ac:dyDescent="0.15">
      <c r="B52" s="46" t="s">
        <v>41</v>
      </c>
      <c r="C52" s="39">
        <v>0.44305555555555554</v>
      </c>
      <c r="D52" s="40">
        <v>406.13333333333333</v>
      </c>
      <c r="E52" s="45">
        <v>18</v>
      </c>
      <c r="F52" s="41">
        <f>4*0.727</f>
        <v>2.9079999999999999</v>
      </c>
      <c r="G52" s="42">
        <f>8*0.353</f>
        <v>2.8239999999999998</v>
      </c>
      <c r="H52" s="42">
        <f>4*0.62</f>
        <v>2.48</v>
      </c>
      <c r="I52" s="42">
        <f t="shared" si="39"/>
        <v>3.6629168000000001</v>
      </c>
      <c r="J52" s="42">
        <f t="shared" si="40"/>
        <v>3.5571104</v>
      </c>
      <c r="K52" s="42">
        <f t="shared" si="41"/>
        <v>3.1238079999999999</v>
      </c>
      <c r="L52" s="43">
        <f t="shared" si="23"/>
        <v>3.4479450666666671</v>
      </c>
      <c r="M52" s="42">
        <f t="shared" si="27"/>
        <v>0.16492157435247154</v>
      </c>
      <c r="N52" s="42">
        <f t="shared" si="24"/>
        <v>1.2982597699160054</v>
      </c>
      <c r="O52" s="42">
        <f t="shared" si="42"/>
        <v>1.2689485298757281</v>
      </c>
      <c r="P52" s="42">
        <f t="shared" si="43"/>
        <v>1.1390527704216233</v>
      </c>
      <c r="Q52" s="43">
        <f t="shared" si="25"/>
        <v>1.2354203567377857</v>
      </c>
      <c r="R52" s="42">
        <f t="shared" si="28"/>
        <v>4.892109622469272E-2</v>
      </c>
      <c r="S52" s="42">
        <f t="shared" si="29"/>
        <v>1.1454564153199687E-4</v>
      </c>
      <c r="T52" s="42">
        <f t="shared" si="30"/>
        <v>3.5488159874583539E-4</v>
      </c>
      <c r="U52" s="42">
        <f t="shared" si="31"/>
        <v>-6.6529485847988026E-4</v>
      </c>
      <c r="V52" s="43">
        <f t="shared" si="32"/>
        <v>-6.5289206067349333E-5</v>
      </c>
      <c r="W52" s="42">
        <f t="shared" si="33"/>
        <v>3.0792067716524721E-4</v>
      </c>
      <c r="X52" s="42">
        <f t="shared" si="34"/>
        <v>9.019000656598818E-3</v>
      </c>
      <c r="Y52" s="42">
        <f t="shared" si="35"/>
        <v>8.7584793171372292E-3</v>
      </c>
      <c r="Z52" s="42">
        <f t="shared" si="36"/>
        <v>7.6915824031516741E-3</v>
      </c>
      <c r="AA52" s="43">
        <f t="shared" si="37"/>
        <v>8.4896874589625738E-3</v>
      </c>
      <c r="AB52" s="146">
        <f t="shared" si="38"/>
        <v>4.0607741551002501E-4</v>
      </c>
    </row>
    <row r="53" spans="2:28" s="5" customFormat="1" thickBot="1" x14ac:dyDescent="0.2">
      <c r="B53" s="44" t="s">
        <v>42</v>
      </c>
      <c r="C53" s="39">
        <v>0.47638888888888892</v>
      </c>
      <c r="D53" s="40">
        <v>430.93333333333334</v>
      </c>
      <c r="E53" s="45">
        <v>19</v>
      </c>
      <c r="F53" s="41">
        <f>4*0.724</f>
        <v>2.8959999999999999</v>
      </c>
      <c r="G53" s="42">
        <f>8*0.354</f>
        <v>2.8319999999999999</v>
      </c>
      <c r="H53" s="42">
        <f>4*0.61</f>
        <v>2.44</v>
      </c>
      <c r="I53" s="42">
        <f t="shared" si="39"/>
        <v>3.6478016000000002</v>
      </c>
      <c r="J53" s="42">
        <f t="shared" si="39"/>
        <v>3.5671871999999998</v>
      </c>
      <c r="K53" s="42">
        <f t="shared" si="39"/>
        <v>3.0734240000000002</v>
      </c>
      <c r="L53" s="52">
        <f t="shared" si="23"/>
        <v>3.4294709333333331</v>
      </c>
      <c r="M53" s="42">
        <f>STDEV(I53:K53)/SQRT(3)</f>
        <v>0.17953805021396191</v>
      </c>
      <c r="N53" s="51">
        <f t="shared" si="24"/>
        <v>1.2941246847682024</v>
      </c>
      <c r="O53" s="51">
        <f t="shared" si="24"/>
        <v>1.2717773860762058</v>
      </c>
      <c r="P53" s="51">
        <f t="shared" si="24"/>
        <v>1.122792249549843</v>
      </c>
      <c r="Q53" s="52">
        <f t="shared" si="25"/>
        <v>1.2295647734647503</v>
      </c>
      <c r="R53" s="42">
        <f t="shared" si="28"/>
        <v>5.377462021275134E-2</v>
      </c>
      <c r="S53" s="42">
        <f t="shared" si="29"/>
        <v>-1.6673730434689632E-4</v>
      </c>
      <c r="T53" s="42">
        <f t="shared" si="30"/>
        <v>1.1406678227732578E-4</v>
      </c>
      <c r="U53" s="42">
        <f t="shared" si="31"/>
        <v>-6.5566616418468978E-4</v>
      </c>
      <c r="V53" s="43">
        <f t="shared" si="32"/>
        <v>-2.3611222875142009E-4</v>
      </c>
      <c r="W53" s="42">
        <f t="shared" si="33"/>
        <v>2.2489394709460583E-4</v>
      </c>
      <c r="X53" s="42">
        <f t="shared" si="34"/>
        <v>8.4648861386138613E-3</v>
      </c>
      <c r="Y53" s="42">
        <f t="shared" si="35"/>
        <v>8.2778168316831671E-3</v>
      </c>
      <c r="Z53" s="42">
        <f t="shared" si="36"/>
        <v>7.1320173267326739E-3</v>
      </c>
      <c r="AA53" s="43">
        <f t="shared" si="37"/>
        <v>7.9582400990099011E-3</v>
      </c>
      <c r="AB53" s="146">
        <f t="shared" si="38"/>
        <v>4.1662604474155732E-4</v>
      </c>
    </row>
    <row r="54" spans="2:28" ht="15" thickBot="1" x14ac:dyDescent="0.2">
      <c r="B54" s="198" t="s">
        <v>80</v>
      </c>
      <c r="C54" s="199"/>
      <c r="D54" s="199"/>
      <c r="E54" s="199"/>
      <c r="F54" s="199"/>
      <c r="G54" s="199"/>
      <c r="H54" s="199"/>
      <c r="I54" s="199"/>
      <c r="J54" s="199"/>
      <c r="K54" s="199"/>
      <c r="L54" s="199"/>
      <c r="M54" s="199"/>
      <c r="N54" s="199"/>
      <c r="O54" s="199"/>
      <c r="P54" s="199"/>
      <c r="Q54" s="199"/>
      <c r="R54" s="199"/>
      <c r="S54" s="199"/>
      <c r="T54" s="199"/>
      <c r="U54" s="199"/>
      <c r="V54" s="199"/>
      <c r="W54" s="199"/>
      <c r="X54" s="199"/>
      <c r="Y54" s="199"/>
      <c r="Z54" s="199"/>
      <c r="AA54" s="199"/>
      <c r="AB54" s="200"/>
    </row>
    <row r="55" spans="2:28" ht="60" x14ac:dyDescent="0.15">
      <c r="B55" s="23" t="s">
        <v>0</v>
      </c>
      <c r="C55" s="24" t="s">
        <v>1</v>
      </c>
      <c r="D55" s="25" t="s">
        <v>2</v>
      </c>
      <c r="E55" s="26" t="s">
        <v>3</v>
      </c>
      <c r="F55" s="201" t="s">
        <v>70</v>
      </c>
      <c r="G55" s="202"/>
      <c r="H55" s="203"/>
      <c r="I55" s="204" t="s">
        <v>10</v>
      </c>
      <c r="J55" s="202"/>
      <c r="K55" s="203"/>
      <c r="L55" s="27" t="s">
        <v>4</v>
      </c>
      <c r="M55" s="28" t="s">
        <v>79</v>
      </c>
      <c r="N55" s="204" t="s">
        <v>72</v>
      </c>
      <c r="O55" s="202"/>
      <c r="P55" s="203"/>
      <c r="Q55" s="28" t="s">
        <v>5</v>
      </c>
      <c r="R55" s="28" t="s">
        <v>71</v>
      </c>
      <c r="S55" s="205" t="s">
        <v>6</v>
      </c>
      <c r="T55" s="206"/>
      <c r="U55" s="206"/>
      <c r="V55" s="27" t="s">
        <v>73</v>
      </c>
      <c r="W55" s="27" t="s">
        <v>71</v>
      </c>
      <c r="X55" s="204" t="s">
        <v>74</v>
      </c>
      <c r="Y55" s="202"/>
      <c r="Z55" s="203"/>
      <c r="AA55" s="27" t="s">
        <v>75</v>
      </c>
      <c r="AB55" s="29" t="s">
        <v>71</v>
      </c>
    </row>
    <row r="56" spans="2:28" x14ac:dyDescent="0.15">
      <c r="B56" s="30"/>
      <c r="C56" s="31"/>
      <c r="D56" s="32"/>
      <c r="E56" s="33"/>
      <c r="F56" s="188" t="s">
        <v>13</v>
      </c>
      <c r="G56" s="189"/>
      <c r="H56" s="190"/>
      <c r="I56" s="191" t="s">
        <v>7</v>
      </c>
      <c r="J56" s="189"/>
      <c r="K56" s="190"/>
      <c r="L56" s="35" t="s">
        <v>7</v>
      </c>
      <c r="M56" s="35"/>
      <c r="N56" s="191" t="s">
        <v>7</v>
      </c>
      <c r="O56" s="189"/>
      <c r="P56" s="190"/>
      <c r="Q56" s="34"/>
      <c r="R56" s="34"/>
      <c r="S56" s="193" t="s">
        <v>76</v>
      </c>
      <c r="T56" s="194"/>
      <c r="U56" s="194"/>
      <c r="V56" s="35" t="s">
        <v>76</v>
      </c>
      <c r="W56" s="32"/>
      <c r="X56" s="195" t="s">
        <v>77</v>
      </c>
      <c r="Y56" s="196"/>
      <c r="Z56" s="197"/>
      <c r="AA56" s="37" t="s">
        <v>77</v>
      </c>
      <c r="AB56" s="38"/>
    </row>
    <row r="57" spans="2:28" s="5" customFormat="1" ht="13" x14ac:dyDescent="0.15">
      <c r="B57" s="187" t="s">
        <v>24</v>
      </c>
      <c r="C57" s="39">
        <v>0.5625</v>
      </c>
      <c r="D57" s="5">
        <v>0</v>
      </c>
      <c r="E57" s="192">
        <v>1</v>
      </c>
      <c r="F57" s="41">
        <v>9.9000000000000005E-2</v>
      </c>
      <c r="G57" s="42">
        <v>9.6000000000000002E-2</v>
      </c>
      <c r="H57" s="42">
        <v>0.10199999999999999</v>
      </c>
      <c r="I57" s="42">
        <f>1.2596*F57</f>
        <v>0.12470040000000002</v>
      </c>
      <c r="J57" s="42">
        <f>1.2596*G57</f>
        <v>0.1209216</v>
      </c>
      <c r="K57" s="42">
        <f t="shared" ref="J57:K72" si="44">1.2596*H57</f>
        <v>0.12847919999999999</v>
      </c>
      <c r="L57" s="43">
        <f t="shared" ref="L57:L78" si="45">AVERAGE(I57:K57)</f>
        <v>0.1247004</v>
      </c>
      <c r="M57" s="53">
        <f t="shared" ref="M57:M78" si="46">STDEV(I57:K57)/SQRT(3)</f>
        <v>2.1816911972137531E-3</v>
      </c>
      <c r="N57" s="42">
        <f t="shared" ref="N57:P76" si="47">LN(I57)</f>
        <v>-2.0818412186028143</v>
      </c>
      <c r="O57" s="42">
        <f t="shared" si="47"/>
        <v>-2.112612877269568</v>
      </c>
      <c r="P57" s="42">
        <f t="shared" si="47"/>
        <v>-2.0519882554531335</v>
      </c>
      <c r="Q57" s="43">
        <f t="shared" ref="Q57:Q78" si="48">AVERAGE(N57:P57)</f>
        <v>-2.0821474504418389</v>
      </c>
      <c r="R57" s="42">
        <f>STDEV(N57:P57)/SQRT(3)</f>
        <v>1.7501490660806134E-2</v>
      </c>
      <c r="S57" s="42"/>
      <c r="V57" s="152"/>
      <c r="AA57" s="152"/>
      <c r="AB57" s="45"/>
    </row>
    <row r="58" spans="2:28" s="5" customFormat="1" ht="13" x14ac:dyDescent="0.15">
      <c r="B58" s="187"/>
      <c r="C58" s="39">
        <v>0.70138888888888884</v>
      </c>
      <c r="D58" s="40">
        <f>3+20/60</f>
        <v>3.3333333333333335</v>
      </c>
      <c r="E58" s="192"/>
      <c r="F58" s="41">
        <v>0.13400000000000001</v>
      </c>
      <c r="G58" s="42">
        <v>0.13500000000000001</v>
      </c>
      <c r="H58" s="42">
        <v>0.13900000000000001</v>
      </c>
      <c r="I58" s="42">
        <f t="shared" ref="I58:K76" si="49">1.2596*F58</f>
        <v>0.16878640000000003</v>
      </c>
      <c r="J58" s="42">
        <f t="shared" si="44"/>
        <v>0.17004600000000003</v>
      </c>
      <c r="K58" s="42">
        <f t="shared" si="44"/>
        <v>0.17508440000000003</v>
      </c>
      <c r="L58" s="43">
        <f t="shared" si="45"/>
        <v>0.17130560000000003</v>
      </c>
      <c r="M58" s="53">
        <f t="shared" si="46"/>
        <v>1.9240707817887914E-3</v>
      </c>
      <c r="N58" s="42">
        <f t="shared" si="47"/>
        <v>-1.779121268786493</v>
      </c>
      <c r="O58" s="42">
        <f t="shared" si="47"/>
        <v>-1.771686290298975</v>
      </c>
      <c r="P58" s="42">
        <f t="shared" si="47"/>
        <v>-1.7424871356067126</v>
      </c>
      <c r="Q58" s="43">
        <f t="shared" si="48"/>
        <v>-1.7644315648973936</v>
      </c>
      <c r="R58" s="42">
        <f t="shared" ref="R58:R78" si="50">STDEV(N58:P58)/SQRT(3)</f>
        <v>1.1180164115487964E-2</v>
      </c>
      <c r="S58" s="42">
        <f>(N58-N57)/(D58-D57)</f>
        <v>9.08159849448964E-2</v>
      </c>
      <c r="T58" s="42">
        <f>(O58-O57)/(D58-D57)</f>
        <v>0.10227797609117792</v>
      </c>
      <c r="U58" s="42">
        <f>(P58-P57)/(D58-D57)</f>
        <v>9.2850335953926236E-2</v>
      </c>
      <c r="V58" s="43">
        <f>AVERAGE(S58:U58)</f>
        <v>9.5314765663333523E-2</v>
      </c>
      <c r="W58" s="42">
        <f>STDEV(S58:U58)/SQRT(3)</f>
        <v>3.5307870040457898E-3</v>
      </c>
      <c r="X58" s="42">
        <f>I58/D58</f>
        <v>5.0635920000000008E-2</v>
      </c>
      <c r="Y58" s="42">
        <f>J58/D58</f>
        <v>5.1013800000000005E-2</v>
      </c>
      <c r="Z58" s="42">
        <f>K58/D58</f>
        <v>5.2525320000000007E-2</v>
      </c>
      <c r="AA58" s="43">
        <f>AVERAGE(X58:Z58)</f>
        <v>5.1391680000000002E-2</v>
      </c>
      <c r="AB58" s="146">
        <f>STDEV(X58:Z58)/SQRT(3)</f>
        <v>5.7722123453663777E-4</v>
      </c>
    </row>
    <row r="59" spans="2:28" s="5" customFormat="1" ht="13" x14ac:dyDescent="0.15">
      <c r="B59" s="187" t="s">
        <v>25</v>
      </c>
      <c r="C59" s="39">
        <v>0.41666666666666669</v>
      </c>
      <c r="D59" s="40">
        <f>8+12+30/60</f>
        <v>20.5</v>
      </c>
      <c r="E59" s="192">
        <v>2</v>
      </c>
      <c r="F59" s="41">
        <v>0.19600000000000001</v>
      </c>
      <c r="G59" s="42">
        <v>0.20699999999999999</v>
      </c>
      <c r="H59" s="42">
        <v>0.2</v>
      </c>
      <c r="I59" s="42">
        <f t="shared" si="49"/>
        <v>0.24688160000000001</v>
      </c>
      <c r="J59" s="42">
        <f t="shared" si="44"/>
        <v>0.2607372</v>
      </c>
      <c r="K59" s="42">
        <f t="shared" si="44"/>
        <v>0.25192000000000003</v>
      </c>
      <c r="L59" s="43">
        <f t="shared" si="45"/>
        <v>0.2531796</v>
      </c>
      <c r="M59" s="53">
        <f t="shared" si="46"/>
        <v>4.0490474995155722E-3</v>
      </c>
      <c r="N59" s="42">
        <f t="shared" si="47"/>
        <v>-1.3988464095068873</v>
      </c>
      <c r="O59" s="42">
        <f t="shared" si="47"/>
        <v>-1.3442422754720353</v>
      </c>
      <c r="P59" s="42">
        <f t="shared" si="47"/>
        <v>-1.3786437021893678</v>
      </c>
      <c r="Q59" s="43">
        <f t="shared" si="48"/>
        <v>-1.3739107957227634</v>
      </c>
      <c r="R59" s="42">
        <f t="shared" si="50"/>
        <v>1.5939501938478075E-2</v>
      </c>
      <c r="S59" s="42">
        <f t="shared" ref="S59:S77" si="51">(N59-N58)/(D59-D58)</f>
        <v>2.2151933550268291E-2</v>
      </c>
      <c r="T59" s="42">
        <f t="shared" ref="T59:T77" si="52">(O59-O58)/(D59-D58)</f>
        <v>2.4899651349142113E-2</v>
      </c>
      <c r="U59" s="42">
        <f t="shared" ref="U59:U77" si="53">(P59-P58)/(D59-D58)</f>
        <v>2.1194763111689989E-2</v>
      </c>
      <c r="V59" s="43">
        <f t="shared" ref="V59:V78" si="54">AVERAGE(S59:U59)</f>
        <v>2.2748782670366795E-2</v>
      </c>
      <c r="W59" s="42">
        <f t="shared" ref="W59:W78" si="55">STDEV(S59:U59)/SQRT(3)</f>
        <v>1.1103634340648033E-3</v>
      </c>
      <c r="X59" s="42">
        <f t="shared" ref="X59:X78" si="56">I59/D59</f>
        <v>1.2043004878048781E-2</v>
      </c>
      <c r="Y59" s="42">
        <f t="shared" ref="Y59:Y78" si="57">J59/D59</f>
        <v>1.271888780487805E-2</v>
      </c>
      <c r="Z59" s="42">
        <f t="shared" ref="Z59:Z78" si="58">K59/D59</f>
        <v>1.2288780487804879E-2</v>
      </c>
      <c r="AA59" s="43">
        <f t="shared" ref="AA59:AA78" si="59">AVERAGE(X59:Z59)</f>
        <v>1.2350224390243905E-2</v>
      </c>
      <c r="AB59" s="146">
        <f t="shared" ref="AB59:AB78" si="60">STDEV(X59:Z59)/SQRT(3)</f>
        <v>1.9751451217149159E-4</v>
      </c>
    </row>
    <row r="60" spans="2:28" s="5" customFormat="1" ht="13" x14ac:dyDescent="0.15">
      <c r="B60" s="187"/>
      <c r="C60" s="39">
        <v>0.54861111111111105</v>
      </c>
      <c r="D60" s="40">
        <f>3+10/60+D59</f>
        <v>23.666666666666668</v>
      </c>
      <c r="E60" s="192"/>
      <c r="F60" s="41">
        <v>0.23400000000000001</v>
      </c>
      <c r="G60" s="42">
        <v>0.22500000000000001</v>
      </c>
      <c r="H60" s="42">
        <v>0.23499999999999999</v>
      </c>
      <c r="I60" s="42">
        <f t="shared" si="49"/>
        <v>0.29474640000000002</v>
      </c>
      <c r="J60" s="42">
        <f t="shared" si="44"/>
        <v>0.28341</v>
      </c>
      <c r="K60" s="42">
        <f t="shared" si="44"/>
        <v>0.29600599999999999</v>
      </c>
      <c r="L60" s="43">
        <f t="shared" si="45"/>
        <v>0.29138746666666665</v>
      </c>
      <c r="M60" s="53">
        <f t="shared" si="46"/>
        <v>4.0052727270159516E-3</v>
      </c>
      <c r="N60" s="42">
        <f t="shared" si="47"/>
        <v>-1.2216399533797031</v>
      </c>
      <c r="O60" s="42">
        <f t="shared" si="47"/>
        <v>-1.2608606665329845</v>
      </c>
      <c r="P60" s="42">
        <f t="shared" si="47"/>
        <v>-1.2173755545932456</v>
      </c>
      <c r="Q60" s="43">
        <f t="shared" si="48"/>
        <v>-1.2332920581686444</v>
      </c>
      <c r="R60" s="42">
        <f t="shared" si="50"/>
        <v>1.3839164228284104E-2</v>
      </c>
      <c r="S60" s="42">
        <f t="shared" si="51"/>
        <v>5.5959933513847628E-2</v>
      </c>
      <c r="T60" s="42">
        <f t="shared" si="52"/>
        <v>2.6331034401805533E-2</v>
      </c>
      <c r="U60" s="42">
        <f t="shared" si="53"/>
        <v>5.0926783451406984E-2</v>
      </c>
      <c r="V60" s="43">
        <f t="shared" si="54"/>
        <v>4.4405917122353387E-2</v>
      </c>
      <c r="W60" s="42">
        <f t="shared" si="55"/>
        <v>9.1534909353195269E-3</v>
      </c>
      <c r="X60" s="42">
        <f t="shared" si="56"/>
        <v>1.2454073239436619E-2</v>
      </c>
      <c r="Y60" s="42">
        <f t="shared" si="57"/>
        <v>1.1975070422535211E-2</v>
      </c>
      <c r="Z60" s="42">
        <f t="shared" si="58"/>
        <v>1.2507295774647886E-2</v>
      </c>
      <c r="AA60" s="43">
        <f t="shared" si="59"/>
        <v>1.2312146478873237E-2</v>
      </c>
      <c r="AB60" s="146">
        <f t="shared" si="60"/>
        <v>1.692368757894061E-4</v>
      </c>
    </row>
    <row r="61" spans="2:28" s="5" customFormat="1" ht="13" x14ac:dyDescent="0.15">
      <c r="B61" s="187"/>
      <c r="C61" s="39">
        <v>0.71250000000000002</v>
      </c>
      <c r="D61" s="40">
        <f>3+56/60+D60</f>
        <v>27.6</v>
      </c>
      <c r="E61" s="192"/>
      <c r="F61" s="41">
        <v>0.26</v>
      </c>
      <c r="G61" s="42">
        <v>0.23799999999999999</v>
      </c>
      <c r="H61" s="42">
        <v>0.23899999999999999</v>
      </c>
      <c r="I61" s="42">
        <f t="shared" si="49"/>
        <v>0.32749600000000001</v>
      </c>
      <c r="J61" s="42">
        <f t="shared" si="44"/>
        <v>0.29978480000000002</v>
      </c>
      <c r="K61" s="42">
        <f t="shared" si="44"/>
        <v>0.30104439999999999</v>
      </c>
      <c r="L61" s="43">
        <f t="shared" si="45"/>
        <v>0.30944173333333336</v>
      </c>
      <c r="M61" s="53">
        <f t="shared" si="46"/>
        <v>9.0344536210614952E-3</v>
      </c>
      <c r="N61" s="42">
        <f t="shared" si="47"/>
        <v>-1.1162794377218768</v>
      </c>
      <c r="O61" s="42">
        <f t="shared" si="47"/>
        <v>-1.2046903950659298</v>
      </c>
      <c r="P61" s="42">
        <f t="shared" si="47"/>
        <v>-1.2004975168058938</v>
      </c>
      <c r="Q61" s="43">
        <f t="shared" si="48"/>
        <v>-1.1738224498645666</v>
      </c>
      <c r="R61" s="42">
        <f t="shared" si="50"/>
        <v>2.8796954363648705E-2</v>
      </c>
      <c r="S61" s="42">
        <f t="shared" si="51"/>
        <v>2.6786571777413472E-2</v>
      </c>
      <c r="T61" s="42">
        <f t="shared" si="52"/>
        <v>1.4280577491624067E-2</v>
      </c>
      <c r="U61" s="42">
        <f t="shared" si="53"/>
        <v>4.2910265561064056E-3</v>
      </c>
      <c r="V61" s="43">
        <f t="shared" si="54"/>
        <v>1.5119391941714648E-2</v>
      </c>
      <c r="W61" s="42">
        <f t="shared" si="55"/>
        <v>6.5074341067794242E-3</v>
      </c>
      <c r="X61" s="42">
        <f t="shared" si="56"/>
        <v>1.1865797101449275E-2</v>
      </c>
      <c r="Y61" s="42">
        <f t="shared" si="57"/>
        <v>1.0861768115942029E-2</v>
      </c>
      <c r="Z61" s="42">
        <f t="shared" si="58"/>
        <v>1.0907405797101448E-2</v>
      </c>
      <c r="AA61" s="43">
        <f t="shared" si="59"/>
        <v>1.1211657004830919E-2</v>
      </c>
      <c r="AB61" s="146">
        <f t="shared" si="60"/>
        <v>3.2733527612541658E-4</v>
      </c>
    </row>
    <row r="62" spans="2:28" s="5" customFormat="1" ht="13" x14ac:dyDescent="0.15">
      <c r="B62" s="44" t="s">
        <v>26</v>
      </c>
      <c r="C62" s="39">
        <v>0.4375</v>
      </c>
      <c r="D62" s="5">
        <f>5+24/60+12+D61</f>
        <v>45</v>
      </c>
      <c r="E62" s="45">
        <v>3</v>
      </c>
      <c r="F62" s="41">
        <v>0.38600000000000001</v>
      </c>
      <c r="G62" s="42">
        <v>0.377</v>
      </c>
      <c r="H62" s="42">
        <v>0.373</v>
      </c>
      <c r="I62" s="42">
        <f t="shared" si="49"/>
        <v>0.48620560000000002</v>
      </c>
      <c r="J62" s="42">
        <f t="shared" si="44"/>
        <v>0.47486920000000005</v>
      </c>
      <c r="K62" s="42">
        <f t="shared" si="44"/>
        <v>0.46983079999999999</v>
      </c>
      <c r="L62" s="43">
        <f t="shared" si="45"/>
        <v>0.47696853333333333</v>
      </c>
      <c r="M62" s="53">
        <f t="shared" si="46"/>
        <v>4.8421386147491155E-3</v>
      </c>
      <c r="N62" s="42">
        <f t="shared" si="47"/>
        <v>-0.72112369927257358</v>
      </c>
      <c r="O62" s="42">
        <f t="shared" si="47"/>
        <v>-0.7447158812893937</v>
      </c>
      <c r="P62" s="42">
        <f t="shared" si="47"/>
        <v>-0.75538264909358899</v>
      </c>
      <c r="Q62" s="43">
        <f t="shared" si="48"/>
        <v>-0.7404074098851855</v>
      </c>
      <c r="R62" s="42">
        <f t="shared" si="50"/>
        <v>1.0121612274243881E-2</v>
      </c>
      <c r="S62" s="42">
        <f t="shared" si="51"/>
        <v>2.2710099910879494E-2</v>
      </c>
      <c r="T62" s="42">
        <f t="shared" si="52"/>
        <v>2.6435316883708971E-2</v>
      </c>
      <c r="U62" s="42">
        <f t="shared" si="53"/>
        <v>2.5581314236339359E-2</v>
      </c>
      <c r="V62" s="43">
        <f t="shared" si="54"/>
        <v>2.4908910343642607E-2</v>
      </c>
      <c r="W62" s="42">
        <f t="shared" si="55"/>
        <v>1.1267069450171313E-3</v>
      </c>
      <c r="X62" s="42">
        <f t="shared" si="56"/>
        <v>1.080456888888889E-2</v>
      </c>
      <c r="Y62" s="42">
        <f t="shared" si="57"/>
        <v>1.0552648888888889E-2</v>
      </c>
      <c r="Z62" s="42">
        <f t="shared" si="58"/>
        <v>1.0440684444444443E-2</v>
      </c>
      <c r="AA62" s="43">
        <f t="shared" si="59"/>
        <v>1.059930074074074E-2</v>
      </c>
      <c r="AB62" s="146">
        <f t="shared" si="60"/>
        <v>1.0760308032775864E-4</v>
      </c>
    </row>
    <row r="63" spans="2:28" s="5" customFormat="1" ht="13" x14ac:dyDescent="0.15">
      <c r="B63" s="44" t="s">
        <v>27</v>
      </c>
      <c r="C63" s="39">
        <v>0.44930555555555557</v>
      </c>
      <c r="D63" s="40">
        <f>24+17/606+D62</f>
        <v>69.028052805280524</v>
      </c>
      <c r="E63" s="45">
        <v>4</v>
      </c>
      <c r="F63" s="41">
        <v>0.65200000000000002</v>
      </c>
      <c r="G63" s="42">
        <v>0.56799999999999995</v>
      </c>
      <c r="H63" s="42">
        <v>0.622</v>
      </c>
      <c r="I63" s="42">
        <f t="shared" si="49"/>
        <v>0.82125920000000008</v>
      </c>
      <c r="J63" s="42">
        <f t="shared" si="44"/>
        <v>0.7154528</v>
      </c>
      <c r="K63" s="42">
        <f t="shared" si="44"/>
        <v>0.78347120000000003</v>
      </c>
      <c r="L63" s="43">
        <f t="shared" si="45"/>
        <v>0.77339440000000004</v>
      </c>
      <c r="M63" s="53">
        <f t="shared" si="46"/>
        <v>3.0956447868578228E-2</v>
      </c>
      <c r="N63" s="42">
        <f t="shared" si="47"/>
        <v>-0.19691650681075148</v>
      </c>
      <c r="O63" s="42">
        <f t="shared" si="47"/>
        <v>-0.33483965001625315</v>
      </c>
      <c r="P63" s="42">
        <f t="shared" si="47"/>
        <v>-0.24402097599822503</v>
      </c>
      <c r="Q63" s="43">
        <f t="shared" si="48"/>
        <v>-0.25859237760840986</v>
      </c>
      <c r="R63" s="42">
        <f t="shared" si="50"/>
        <v>4.0476094453332598E-2</v>
      </c>
      <c r="S63" s="42">
        <f t="shared" si="51"/>
        <v>2.1816465808108254E-2</v>
      </c>
      <c r="T63" s="42">
        <f t="shared" si="52"/>
        <v>1.7058237494095407E-2</v>
      </c>
      <c r="U63" s="42">
        <f t="shared" si="53"/>
        <v>2.1281860716694637E-2</v>
      </c>
      <c r="V63" s="43">
        <f t="shared" si="54"/>
        <v>2.0052188006299432E-2</v>
      </c>
      <c r="W63" s="42">
        <f t="shared" si="55"/>
        <v>1.5049092334851297E-3</v>
      </c>
      <c r="X63" s="42">
        <f t="shared" si="56"/>
        <v>1.1897470182400614E-2</v>
      </c>
      <c r="Y63" s="42">
        <f t="shared" si="57"/>
        <v>1.0364667275465565E-2</v>
      </c>
      <c r="Z63" s="42">
        <f t="shared" si="58"/>
        <v>1.1350040572780953E-2</v>
      </c>
      <c r="AA63" s="43">
        <f t="shared" si="59"/>
        <v>1.1204059343549044E-2</v>
      </c>
      <c r="AB63" s="146">
        <f t="shared" si="60"/>
        <v>4.4846184428673486E-4</v>
      </c>
    </row>
    <row r="64" spans="2:28" s="5" customFormat="1" ht="13" x14ac:dyDescent="0.15">
      <c r="B64" s="44" t="s">
        <v>28</v>
      </c>
      <c r="C64" s="39">
        <v>0.55763888888888891</v>
      </c>
      <c r="D64" s="40">
        <f>12+36/60+14+D63</f>
        <v>95.628052805280532</v>
      </c>
      <c r="E64" s="45">
        <v>5</v>
      </c>
      <c r="F64" s="41">
        <v>0.87</v>
      </c>
      <c r="G64" s="42">
        <v>0.88800000000000001</v>
      </c>
      <c r="H64" s="42">
        <v>0.84399999999999997</v>
      </c>
      <c r="I64" s="42">
        <f t="shared" si="49"/>
        <v>1.095852</v>
      </c>
      <c r="J64" s="42">
        <f t="shared" si="44"/>
        <v>1.1185248000000001</v>
      </c>
      <c r="K64" s="42">
        <f t="shared" si="44"/>
        <v>1.0631024</v>
      </c>
      <c r="L64" s="43">
        <f t="shared" si="45"/>
        <v>1.0924930666666668</v>
      </c>
      <c r="M64" s="53">
        <f t="shared" si="46"/>
        <v>1.6086976412544984E-2</v>
      </c>
      <c r="N64" s="42">
        <f t="shared" si="47"/>
        <v>9.1532142911224926E-2</v>
      </c>
      <c r="O64" s="42">
        <f t="shared" si="47"/>
        <v>0.11201067425476563</v>
      </c>
      <c r="P64" s="42">
        <f t="shared" si="47"/>
        <v>6.1191425858552598E-2</v>
      </c>
      <c r="Q64" s="43">
        <f t="shared" si="48"/>
        <v>8.8244747674847704E-2</v>
      </c>
      <c r="R64" s="42">
        <f t="shared" si="50"/>
        <v>1.4762048496839469E-2</v>
      </c>
      <c r="S64" s="42">
        <f t="shared" si="51"/>
        <v>1.0843934200074299E-2</v>
      </c>
      <c r="T64" s="42">
        <f t="shared" si="52"/>
        <v>1.6798884371090925E-2</v>
      </c>
      <c r="U64" s="42">
        <f t="shared" si="53"/>
        <v>1.1474150445743516E-2</v>
      </c>
      <c r="V64" s="43">
        <f t="shared" si="54"/>
        <v>1.3038989672302914E-2</v>
      </c>
      <c r="W64" s="42">
        <f t="shared" si="55"/>
        <v>1.8887296646650275E-3</v>
      </c>
      <c r="X64" s="42">
        <f t="shared" si="56"/>
        <v>1.1459524353501085E-2</v>
      </c>
      <c r="Y64" s="42">
        <f t="shared" si="57"/>
        <v>1.1696617960814901E-2</v>
      </c>
      <c r="Z64" s="42">
        <f t="shared" si="58"/>
        <v>1.1117055809603352E-2</v>
      </c>
      <c r="AA64" s="43">
        <f t="shared" si="59"/>
        <v>1.1424399374639779E-2</v>
      </c>
      <c r="AB64" s="146">
        <f t="shared" si="60"/>
        <v>1.6822444816796099E-4</v>
      </c>
    </row>
    <row r="65" spans="1:28" s="5" customFormat="1" ht="13" x14ac:dyDescent="0.15">
      <c r="B65" s="44" t="s">
        <v>29</v>
      </c>
      <c r="C65" s="39">
        <v>0.5625</v>
      </c>
      <c r="D65" s="40">
        <f>24+7/60+D64</f>
        <v>119.74471947194721</v>
      </c>
      <c r="E65" s="45">
        <v>6</v>
      </c>
      <c r="F65" s="41">
        <v>1.163</v>
      </c>
      <c r="G65" s="42">
        <v>1.0980000000000001</v>
      </c>
      <c r="H65" s="42">
        <v>1.087</v>
      </c>
      <c r="I65" s="42">
        <f t="shared" si="49"/>
        <v>1.4649148000000001</v>
      </c>
      <c r="J65" s="42">
        <f t="shared" si="44"/>
        <v>1.3830408000000001</v>
      </c>
      <c r="K65" s="42">
        <f t="shared" si="44"/>
        <v>1.3691852</v>
      </c>
      <c r="L65" s="43">
        <f t="shared" si="45"/>
        <v>1.4057136000000001</v>
      </c>
      <c r="M65" s="53">
        <f t="shared" si="46"/>
        <v>2.9869610944458825E-2</v>
      </c>
      <c r="N65" s="42">
        <f t="shared" si="47"/>
        <v>0.38179708378125993</v>
      </c>
      <c r="O65" s="42">
        <f t="shared" si="47"/>
        <v>0.32428455333207146</v>
      </c>
      <c r="P65" s="42">
        <f t="shared" si="47"/>
        <v>0.31421581838380491</v>
      </c>
      <c r="Q65" s="43">
        <f t="shared" si="48"/>
        <v>0.34009915183237877</v>
      </c>
      <c r="R65" s="42">
        <f t="shared" si="50"/>
        <v>2.105059779416216E-2</v>
      </c>
      <c r="S65" s="42">
        <f t="shared" si="51"/>
        <v>1.2035864859849409E-2</v>
      </c>
      <c r="T65" s="42">
        <f t="shared" si="52"/>
        <v>8.8019576673381787E-3</v>
      </c>
      <c r="U65" s="42">
        <f t="shared" si="53"/>
        <v>1.0491681790957247E-2</v>
      </c>
      <c r="V65" s="43">
        <f t="shared" si="54"/>
        <v>1.0443168106048279E-2</v>
      </c>
      <c r="W65" s="42">
        <f t="shared" si="55"/>
        <v>9.3386367949887866E-4</v>
      </c>
      <c r="X65" s="42">
        <f t="shared" si="56"/>
        <v>1.2233648435271404E-2</v>
      </c>
      <c r="Y65" s="42">
        <f t="shared" si="57"/>
        <v>1.1549910560557181E-2</v>
      </c>
      <c r="Z65" s="42">
        <f t="shared" si="58"/>
        <v>1.143420107406708E-2</v>
      </c>
      <c r="AA65" s="43">
        <f t="shared" si="59"/>
        <v>1.1739253356631887E-2</v>
      </c>
      <c r="AB65" s="146">
        <f t="shared" si="60"/>
        <v>2.4944407633320693E-4</v>
      </c>
    </row>
    <row r="66" spans="1:28" s="5" customFormat="1" ht="13" x14ac:dyDescent="0.15">
      <c r="B66" s="44" t="s">
        <v>30</v>
      </c>
      <c r="C66" s="39">
        <v>0.4152777777777778</v>
      </c>
      <c r="D66" s="40">
        <f>8+28/60+12+D65</f>
        <v>140.21138613861388</v>
      </c>
      <c r="E66" s="45">
        <v>7</v>
      </c>
      <c r="F66" s="41">
        <v>1.3640000000000001</v>
      </c>
      <c r="G66" s="42">
        <v>1.2729999999999999</v>
      </c>
      <c r="H66" s="42">
        <v>1.3480000000000001</v>
      </c>
      <c r="I66" s="42">
        <f t="shared" si="49"/>
        <v>1.7180944000000002</v>
      </c>
      <c r="J66" s="42">
        <f t="shared" si="44"/>
        <v>1.6034708</v>
      </c>
      <c r="K66" s="42">
        <f t="shared" si="44"/>
        <v>1.6979408000000002</v>
      </c>
      <c r="L66" s="43">
        <f t="shared" si="45"/>
        <v>1.673168666666667</v>
      </c>
      <c r="M66" s="53">
        <f t="shared" si="46"/>
        <v>3.5331224913445203E-2</v>
      </c>
      <c r="N66" s="42">
        <f t="shared" si="47"/>
        <v>0.54121576966600304</v>
      </c>
      <c r="O66" s="42">
        <f t="shared" si="47"/>
        <v>0.47217052982000196</v>
      </c>
      <c r="P66" s="42">
        <f t="shared" si="47"/>
        <v>0.52941622273484801</v>
      </c>
      <c r="Q66" s="43">
        <f t="shared" si="48"/>
        <v>0.51426750740695104</v>
      </c>
      <c r="R66" s="42">
        <f t="shared" si="50"/>
        <v>2.132231982698099E-2</v>
      </c>
      <c r="S66" s="42">
        <f t="shared" si="51"/>
        <v>7.7891866067464057E-3</v>
      </c>
      <c r="T66" s="42">
        <f t="shared" si="52"/>
        <v>7.2256991769347146E-3</v>
      </c>
      <c r="U66" s="42">
        <f t="shared" si="53"/>
        <v>1.0514677737021649E-2</v>
      </c>
      <c r="V66" s="43">
        <f t="shared" si="54"/>
        <v>8.509854506900923E-3</v>
      </c>
      <c r="W66" s="42">
        <f t="shared" si="55"/>
        <v>1.0155239466916773E-3</v>
      </c>
      <c r="X66" s="42">
        <f t="shared" si="56"/>
        <v>1.2253601132660375E-2</v>
      </c>
      <c r="Y66" s="42">
        <f t="shared" si="57"/>
        <v>1.1436095485246815E-2</v>
      </c>
      <c r="Z66" s="42">
        <f t="shared" si="58"/>
        <v>1.2109863875972278E-2</v>
      </c>
      <c r="AA66" s="43">
        <f t="shared" si="59"/>
        <v>1.1933186831293156E-2</v>
      </c>
      <c r="AB66" s="146">
        <f t="shared" si="60"/>
        <v>2.5198541920494607E-4</v>
      </c>
    </row>
    <row r="67" spans="1:28" s="5" customFormat="1" ht="13" x14ac:dyDescent="0.15">
      <c r="B67" s="44" t="s">
        <v>31</v>
      </c>
      <c r="C67" s="39">
        <v>0.44930555555555557</v>
      </c>
      <c r="D67" s="40">
        <f>24+49/60+D66</f>
        <v>165.02805280528054</v>
      </c>
      <c r="E67" s="45">
        <v>8</v>
      </c>
      <c r="F67" s="41">
        <f>2*0.906</f>
        <v>1.8120000000000001</v>
      </c>
      <c r="G67" s="42">
        <f>2*0.853</f>
        <v>1.706</v>
      </c>
      <c r="H67" s="42">
        <f>2*0.882</f>
        <v>1.764</v>
      </c>
      <c r="I67" s="42">
        <f t="shared" si="49"/>
        <v>2.2823952000000003</v>
      </c>
      <c r="J67" s="42">
        <f t="shared" si="44"/>
        <v>2.1488776000000001</v>
      </c>
      <c r="K67" s="42">
        <f t="shared" si="44"/>
        <v>2.2219344000000003</v>
      </c>
      <c r="L67" s="43">
        <f t="shared" si="45"/>
        <v>2.2177357333333334</v>
      </c>
      <c r="M67" s="53">
        <f t="shared" si="46"/>
        <v>3.8600341012195519E-2</v>
      </c>
      <c r="N67" s="42">
        <f t="shared" si="47"/>
        <v>0.82522541786552028</v>
      </c>
      <c r="O67" s="42">
        <f t="shared" si="47"/>
        <v>0.76494565931421998</v>
      </c>
      <c r="P67" s="42">
        <f t="shared" si="47"/>
        <v>0.79837816782933224</v>
      </c>
      <c r="Q67" s="43">
        <f t="shared" si="48"/>
        <v>0.79618308166969076</v>
      </c>
      <c r="R67" s="42">
        <f t="shared" si="50"/>
        <v>1.7435845502746655E-2</v>
      </c>
      <c r="S67" s="42">
        <f t="shared" si="51"/>
        <v>1.1444310874392906E-2</v>
      </c>
      <c r="T67" s="42">
        <f t="shared" si="52"/>
        <v>1.1797520328846933E-2</v>
      </c>
      <c r="U67" s="42">
        <f t="shared" si="53"/>
        <v>1.0837956148871092E-2</v>
      </c>
      <c r="V67" s="43">
        <f t="shared" si="54"/>
        <v>1.1359929117370311E-2</v>
      </c>
      <c r="W67" s="42">
        <f t="shared" si="55"/>
        <v>2.8019699294237169E-4</v>
      </c>
      <c r="X67" s="42">
        <f t="shared" si="56"/>
        <v>1.383034678772486E-2</v>
      </c>
      <c r="Y67" s="42">
        <f t="shared" si="57"/>
        <v>1.3021286765926385E-2</v>
      </c>
      <c r="Z67" s="42">
        <f t="shared" si="58"/>
        <v>1.3463979985401024E-2</v>
      </c>
      <c r="AA67" s="43">
        <f t="shared" si="59"/>
        <v>1.3438537846350756E-2</v>
      </c>
      <c r="AB67" s="146">
        <f t="shared" si="60"/>
        <v>2.3390169341536561E-4</v>
      </c>
    </row>
    <row r="68" spans="1:28" s="5" customFormat="1" ht="13" x14ac:dyDescent="0.15">
      <c r="A68" s="45"/>
      <c r="B68" s="44" t="s">
        <v>32</v>
      </c>
      <c r="C68" s="39">
        <v>0.44305555555555554</v>
      </c>
      <c r="D68" s="40">
        <f>11+51/60+12+D67</f>
        <v>188.87805280528053</v>
      </c>
      <c r="E68" s="45">
        <v>9</v>
      </c>
      <c r="F68" s="41">
        <f>2*1.015</f>
        <v>2.0299999999999998</v>
      </c>
      <c r="G68" s="42">
        <f>2*0.966</f>
        <v>1.9319999999999999</v>
      </c>
      <c r="H68" s="42">
        <f>2*1.019</f>
        <v>2.0379999999999998</v>
      </c>
      <c r="I68" s="42">
        <f t="shared" si="49"/>
        <v>2.556988</v>
      </c>
      <c r="J68" s="42">
        <f t="shared" si="44"/>
        <v>2.4335472</v>
      </c>
      <c r="K68" s="42">
        <f t="shared" si="44"/>
        <v>2.5670647999999998</v>
      </c>
      <c r="L68" s="43">
        <f t="shared" si="45"/>
        <v>2.5192000000000001</v>
      </c>
      <c r="M68" s="53">
        <f t="shared" si="46"/>
        <v>4.2925078471836603E-2</v>
      </c>
      <c r="N68" s="42">
        <f t="shared" si="47"/>
        <v>0.93883000329842847</v>
      </c>
      <c r="O68" s="42">
        <f t="shared" si="47"/>
        <v>0.88934994603505879</v>
      </c>
      <c r="P68" s="42">
        <f t="shared" si="47"/>
        <v>0.94276314504526548</v>
      </c>
      <c r="Q68" s="43">
        <f t="shared" si="48"/>
        <v>0.92364769812625092</v>
      </c>
      <c r="R68" s="42">
        <f t="shared" si="50"/>
        <v>1.7186421480166969E-2</v>
      </c>
      <c r="S68" s="42">
        <f t="shared" si="51"/>
        <v>4.7632949867047469E-3</v>
      </c>
      <c r="T68" s="42">
        <f t="shared" si="52"/>
        <v>5.2161126507689242E-3</v>
      </c>
      <c r="U68" s="42">
        <f t="shared" si="53"/>
        <v>6.0538774514018144E-3</v>
      </c>
      <c r="V68" s="43">
        <f t="shared" si="54"/>
        <v>5.3444283629584949E-3</v>
      </c>
      <c r="W68" s="42">
        <f t="shared" si="55"/>
        <v>3.7804297200271072E-4</v>
      </c>
      <c r="X68" s="42">
        <f t="shared" si="56"/>
        <v>1.353777192226811E-2</v>
      </c>
      <c r="Y68" s="42">
        <f t="shared" si="57"/>
        <v>1.288422431222758E-2</v>
      </c>
      <c r="Z68" s="42">
        <f t="shared" si="58"/>
        <v>1.3591122747577539E-2</v>
      </c>
      <c r="AA68" s="43">
        <f t="shared" si="59"/>
        <v>1.3337706327357743E-2</v>
      </c>
      <c r="AB68" s="146">
        <f t="shared" si="60"/>
        <v>2.2726345297560427E-4</v>
      </c>
    </row>
    <row r="69" spans="1:28" s="5" customFormat="1" ht="13" x14ac:dyDescent="0.15">
      <c r="B69" s="44" t="s">
        <v>33</v>
      </c>
      <c r="C69" s="39">
        <v>0.47222222222222227</v>
      </c>
      <c r="D69" s="40">
        <f>42/60+24+D68</f>
        <v>213.57805280528052</v>
      </c>
      <c r="E69" s="45">
        <v>10</v>
      </c>
      <c r="F69" s="41">
        <f>2*1.126</f>
        <v>2.2519999999999998</v>
      </c>
      <c r="G69" s="42">
        <f>2*1.11</f>
        <v>2.2200000000000002</v>
      </c>
      <c r="H69" s="42">
        <f>2*1.136</f>
        <v>2.2719999999999998</v>
      </c>
      <c r="I69" s="42">
        <f t="shared" si="49"/>
        <v>2.8366191999999999</v>
      </c>
      <c r="J69" s="42">
        <f t="shared" si="44"/>
        <v>2.7963120000000004</v>
      </c>
      <c r="K69" s="42">
        <f t="shared" si="44"/>
        <v>2.8618112</v>
      </c>
      <c r="L69" s="43">
        <f t="shared" si="45"/>
        <v>2.8315807999999998</v>
      </c>
      <c r="M69" s="53">
        <f t="shared" si="46"/>
        <v>1.9075074539653285E-2</v>
      </c>
      <c r="N69" s="42">
        <f t="shared" si="47"/>
        <v>1.0426129205221764</v>
      </c>
      <c r="O69" s="42">
        <f t="shared" si="47"/>
        <v>1.0283014061289206</v>
      </c>
      <c r="P69" s="42">
        <f t="shared" si="47"/>
        <v>1.0514547111036374</v>
      </c>
      <c r="Q69" s="43">
        <f t="shared" si="48"/>
        <v>1.0407896792515781</v>
      </c>
      <c r="R69" s="42">
        <f t="shared" si="50"/>
        <v>6.7456662473317107E-3</v>
      </c>
      <c r="S69" s="42">
        <f t="shared" si="51"/>
        <v>4.2017375394229929E-3</v>
      </c>
      <c r="T69" s="42">
        <f t="shared" si="52"/>
        <v>5.6255651859863113E-3</v>
      </c>
      <c r="U69" s="42">
        <f t="shared" si="53"/>
        <v>4.4004682614725496E-3</v>
      </c>
      <c r="V69" s="43">
        <f t="shared" si="54"/>
        <v>4.7425903289606179E-3</v>
      </c>
      <c r="W69" s="42">
        <f t="shared" si="55"/>
        <v>4.4519917773817538E-4</v>
      </c>
      <c r="X69" s="42">
        <f t="shared" si="56"/>
        <v>1.3281417087298528E-2</v>
      </c>
      <c r="Y69" s="42">
        <f t="shared" si="57"/>
        <v>1.3092693576288958E-2</v>
      </c>
      <c r="Z69" s="42">
        <f t="shared" si="58"/>
        <v>1.3399369281679509E-2</v>
      </c>
      <c r="AA69" s="43">
        <f t="shared" si="59"/>
        <v>1.3257826648422332E-2</v>
      </c>
      <c r="AB69" s="146">
        <f t="shared" si="60"/>
        <v>8.9311960143414616E-5</v>
      </c>
    </row>
    <row r="70" spans="1:28" s="5" customFormat="1" ht="15" customHeight="1" x14ac:dyDescent="0.15">
      <c r="B70" s="44" t="s">
        <v>34</v>
      </c>
      <c r="C70" s="39">
        <v>0.46666666666666662</v>
      </c>
      <c r="D70" s="40">
        <f>11+52/60+12+D69</f>
        <v>237.4447194719472</v>
      </c>
      <c r="E70" s="45">
        <v>11</v>
      </c>
      <c r="F70" s="41">
        <f>4*0.636</f>
        <v>2.544</v>
      </c>
      <c r="G70" s="42">
        <f>2*1.253</f>
        <v>2.5059999999999998</v>
      </c>
      <c r="H70" s="42">
        <f>2*1.236</f>
        <v>2.472</v>
      </c>
      <c r="I70" s="42">
        <f t="shared" si="49"/>
        <v>3.2044224000000003</v>
      </c>
      <c r="J70" s="42">
        <f t="shared" si="44"/>
        <v>3.1565575999999997</v>
      </c>
      <c r="K70" s="42">
        <f t="shared" si="44"/>
        <v>3.1137312000000001</v>
      </c>
      <c r="L70" s="43">
        <f t="shared" si="45"/>
        <v>3.1582370666666666</v>
      </c>
      <c r="M70" s="53">
        <f t="shared" si="46"/>
        <v>2.6193758134164601E-2</v>
      </c>
      <c r="N70" s="42">
        <f t="shared" si="47"/>
        <v>1.1645318557226083</v>
      </c>
      <c r="O70" s="42">
        <f t="shared" si="47"/>
        <v>1.149482066718609</v>
      </c>
      <c r="P70" s="42">
        <f t="shared" si="47"/>
        <v>1.1358217498401768</v>
      </c>
      <c r="Q70" s="43">
        <f t="shared" si="48"/>
        <v>1.1499452240937982</v>
      </c>
      <c r="R70" s="42">
        <f t="shared" si="50"/>
        <v>8.291128411556355E-3</v>
      </c>
      <c r="S70" s="42">
        <f t="shared" si="51"/>
        <v>5.1083352737611139E-3</v>
      </c>
      <c r="T70" s="42">
        <f t="shared" si="52"/>
        <v>5.0774019800148736E-3</v>
      </c>
      <c r="U70" s="42">
        <f t="shared" si="53"/>
        <v>3.5349317906371242E-3</v>
      </c>
      <c r="V70" s="43">
        <f t="shared" si="54"/>
        <v>4.573556348137703E-3</v>
      </c>
      <c r="W70" s="42">
        <f t="shared" si="55"/>
        <v>5.1938904678091224E-4</v>
      </c>
      <c r="X70" s="42">
        <f t="shared" si="56"/>
        <v>1.3495446043720443E-2</v>
      </c>
      <c r="Y70" s="42">
        <f t="shared" si="57"/>
        <v>1.3293863123256063E-2</v>
      </c>
      <c r="Z70" s="42">
        <f t="shared" si="58"/>
        <v>1.3113499457577411E-2</v>
      </c>
      <c r="AA70" s="43">
        <f t="shared" si="59"/>
        <v>1.3300936208184641E-2</v>
      </c>
      <c r="AB70" s="146">
        <f t="shared" si="60"/>
        <v>1.1031518490879429E-4</v>
      </c>
    </row>
    <row r="71" spans="1:28" s="5" customFormat="1" ht="13" x14ac:dyDescent="0.15">
      <c r="B71" s="44" t="s">
        <v>35</v>
      </c>
      <c r="C71" s="39">
        <v>0.50694444444444442</v>
      </c>
      <c r="D71" s="40">
        <f>58/60+24+D70</f>
        <v>262.41138613861386</v>
      </c>
      <c r="E71" s="45">
        <v>12</v>
      </c>
      <c r="F71" s="41">
        <f>4*0.673</f>
        <v>2.6920000000000002</v>
      </c>
      <c r="G71" s="42">
        <f>2*1.211</f>
        <v>2.4220000000000002</v>
      </c>
      <c r="H71" s="42">
        <f>2*1.251</f>
        <v>2.5019999999999998</v>
      </c>
      <c r="I71" s="42">
        <f t="shared" si="49"/>
        <v>3.3908432000000004</v>
      </c>
      <c r="J71" s="42">
        <f t="shared" si="44"/>
        <v>3.0507512000000001</v>
      </c>
      <c r="K71" s="42">
        <f t="shared" si="44"/>
        <v>3.1515192000000001</v>
      </c>
      <c r="L71" s="43">
        <f t="shared" si="45"/>
        <v>3.1977045333333334</v>
      </c>
      <c r="M71" s="53">
        <f t="shared" si="46"/>
        <v>0.10085543428976843</v>
      </c>
      <c r="N71" s="42">
        <f t="shared" si="47"/>
        <v>1.2210786220272141</v>
      </c>
      <c r="O71" s="42">
        <f t="shared" si="47"/>
        <v>1.1153878553756331</v>
      </c>
      <c r="P71" s="42">
        <f t="shared" si="47"/>
        <v>1.1478846222894519</v>
      </c>
      <c r="Q71" s="43">
        <f t="shared" si="48"/>
        <v>1.1614503665640996</v>
      </c>
      <c r="R71" s="42">
        <f t="shared" si="50"/>
        <v>3.1255168117414807E-2</v>
      </c>
      <c r="S71" s="42">
        <f t="shared" si="51"/>
        <v>2.2648905061924867E-3</v>
      </c>
      <c r="T71" s="42">
        <f t="shared" si="52"/>
        <v>-1.3655892393715295E-3</v>
      </c>
      <c r="U71" s="42">
        <f t="shared" si="53"/>
        <v>4.831591101178263E-4</v>
      </c>
      <c r="V71" s="43">
        <f t="shared" si="54"/>
        <v>4.6082012564626116E-4</v>
      </c>
      <c r="W71" s="42">
        <f t="shared" si="55"/>
        <v>1.0480887475794623E-3</v>
      </c>
      <c r="X71" s="42">
        <f t="shared" si="56"/>
        <v>1.2921860022525286E-2</v>
      </c>
      <c r="Y71" s="42">
        <f t="shared" si="57"/>
        <v>1.162583394300009E-2</v>
      </c>
      <c r="Z71" s="42">
        <f t="shared" si="58"/>
        <v>1.2009841670266813E-2</v>
      </c>
      <c r="AA71" s="43">
        <f t="shared" si="59"/>
        <v>1.2185845211930731E-2</v>
      </c>
      <c r="AB71" s="146">
        <f t="shared" si="60"/>
        <v>3.8434092275437096E-4</v>
      </c>
    </row>
    <row r="72" spans="1:28" s="5" customFormat="1" ht="13" x14ac:dyDescent="0.15">
      <c r="B72" s="44" t="s">
        <v>36</v>
      </c>
      <c r="C72" s="39">
        <v>0.47916666666666669</v>
      </c>
      <c r="D72" s="40">
        <f>11+20/60+12+D71</f>
        <v>285.74471947194718</v>
      </c>
      <c r="E72" s="45">
        <v>13</v>
      </c>
      <c r="F72" s="41">
        <f>4*0.668</f>
        <v>2.6720000000000002</v>
      </c>
      <c r="G72" s="42">
        <f>2*1.404</f>
        <v>2.8079999999999998</v>
      </c>
      <c r="H72" s="42">
        <f>2*1.31</f>
        <v>2.62</v>
      </c>
      <c r="I72" s="42">
        <f t="shared" si="49"/>
        <v>3.3656512000000003</v>
      </c>
      <c r="J72" s="42">
        <f t="shared" si="44"/>
        <v>3.5369568</v>
      </c>
      <c r="K72" s="42">
        <f t="shared" si="44"/>
        <v>3.3001520000000002</v>
      </c>
      <c r="L72" s="43">
        <f t="shared" si="45"/>
        <v>3.4009200000000006</v>
      </c>
      <c r="M72" s="53">
        <f t="shared" si="46"/>
        <v>7.0597555471937731E-2</v>
      </c>
      <c r="N72" s="42">
        <f t="shared" si="47"/>
        <v>1.213621465919132</v>
      </c>
      <c r="O72" s="42">
        <f t="shared" si="47"/>
        <v>1.2632666964082973</v>
      </c>
      <c r="P72" s="42">
        <f t="shared" si="47"/>
        <v>1.1939685280177381</v>
      </c>
      <c r="Q72" s="43">
        <f t="shared" si="48"/>
        <v>1.2236188967817225</v>
      </c>
      <c r="R72" s="42">
        <f t="shared" si="50"/>
        <v>2.061973571978053E-2</v>
      </c>
      <c r="S72" s="42">
        <f t="shared" si="51"/>
        <v>-3.1959240463208868E-4</v>
      </c>
      <c r="T72" s="42">
        <f t="shared" si="52"/>
        <v>6.3376646156856108E-3</v>
      </c>
      <c r="U72" s="42">
        <f t="shared" si="53"/>
        <v>1.9750245312122692E-3</v>
      </c>
      <c r="V72" s="43">
        <f t="shared" si="54"/>
        <v>2.6643655807552639E-3</v>
      </c>
      <c r="W72" s="42">
        <f t="shared" si="55"/>
        <v>1.9524481274015195E-3</v>
      </c>
      <c r="X72" s="42">
        <f t="shared" si="56"/>
        <v>1.1778524573331341E-2</v>
      </c>
      <c r="Y72" s="42">
        <f t="shared" si="57"/>
        <v>1.2378030315087725E-2</v>
      </c>
      <c r="Z72" s="42">
        <f t="shared" si="58"/>
        <v>1.1549301789718604E-2</v>
      </c>
      <c r="AA72" s="43">
        <f t="shared" si="59"/>
        <v>1.1901952226045889E-2</v>
      </c>
      <c r="AB72" s="146">
        <f t="shared" si="60"/>
        <v>2.4706512723105136E-4</v>
      </c>
    </row>
    <row r="73" spans="1:28" s="5" customFormat="1" ht="13" x14ac:dyDescent="0.15">
      <c r="B73" s="44" t="s">
        <v>37</v>
      </c>
      <c r="C73" s="39">
        <v>0.50486111111111109</v>
      </c>
      <c r="D73" s="40">
        <f>37/60+24+D72</f>
        <v>310.36138613861385</v>
      </c>
      <c r="E73" s="45">
        <v>14</v>
      </c>
      <c r="F73" s="41">
        <f>4*0.692</f>
        <v>2.7679999999999998</v>
      </c>
      <c r="G73" s="42">
        <f>2*1.475</f>
        <v>2.95</v>
      </c>
      <c r="H73" s="42">
        <f>4*0.719</f>
        <v>2.8759999999999999</v>
      </c>
      <c r="I73" s="42">
        <f t="shared" si="49"/>
        <v>3.4865727999999998</v>
      </c>
      <c r="J73" s="42">
        <f t="shared" si="49"/>
        <v>3.7158200000000003</v>
      </c>
      <c r="K73" s="42">
        <f t="shared" si="49"/>
        <v>3.6226096000000001</v>
      </c>
      <c r="L73" s="43">
        <f t="shared" si="45"/>
        <v>3.6083341333333334</v>
      </c>
      <c r="M73" s="53">
        <f t="shared" si="46"/>
        <v>6.6561779294059834E-2</v>
      </c>
      <c r="N73" s="42">
        <f t="shared" si="47"/>
        <v>1.2489192480001556</v>
      </c>
      <c r="O73" s="42">
        <f t="shared" si="47"/>
        <v>1.3125993805964611</v>
      </c>
      <c r="P73" s="42">
        <f t="shared" si="47"/>
        <v>1.2871946501035327</v>
      </c>
      <c r="Q73" s="43">
        <f t="shared" si="48"/>
        <v>1.2829044262333833</v>
      </c>
      <c r="R73" s="42">
        <f t="shared" si="50"/>
        <v>1.8507605081089975E-2</v>
      </c>
      <c r="S73" s="42">
        <f t="shared" si="51"/>
        <v>1.4338977148689353E-3</v>
      </c>
      <c r="T73" s="42">
        <f t="shared" si="52"/>
        <v>2.0040359182734117E-3</v>
      </c>
      <c r="U73" s="42">
        <f t="shared" si="53"/>
        <v>3.7871139642164354E-3</v>
      </c>
      <c r="V73" s="43">
        <f t="shared" si="54"/>
        <v>2.4083491991195942E-3</v>
      </c>
      <c r="W73" s="42">
        <f t="shared" si="55"/>
        <v>7.0875679910900613E-4</v>
      </c>
      <c r="X73" s="42">
        <f t="shared" si="56"/>
        <v>1.123391296635988E-2</v>
      </c>
      <c r="Y73" s="42">
        <f t="shared" si="57"/>
        <v>1.1972558977876319E-2</v>
      </c>
      <c r="Z73" s="42">
        <f t="shared" si="58"/>
        <v>1.1672230379787218E-2</v>
      </c>
      <c r="AA73" s="43">
        <f t="shared" si="59"/>
        <v>1.1626234108007805E-2</v>
      </c>
      <c r="AB73" s="146">
        <f t="shared" si="60"/>
        <v>2.1446540151851242E-4</v>
      </c>
    </row>
    <row r="74" spans="1:28" s="5" customFormat="1" ht="13" x14ac:dyDescent="0.15">
      <c r="B74" s="46" t="s">
        <v>38</v>
      </c>
      <c r="C74" s="39">
        <v>0.45833333333333331</v>
      </c>
      <c r="D74" s="40">
        <f>10+53/60+12+D73</f>
        <v>333.24471947194718</v>
      </c>
      <c r="E74" s="45">
        <v>15</v>
      </c>
      <c r="F74" s="41">
        <f>4*0.715</f>
        <v>2.86</v>
      </c>
      <c r="G74" s="42">
        <f>2*1.627</f>
        <v>3.254</v>
      </c>
      <c r="H74" s="42">
        <f>4*0.753</f>
        <v>3.012</v>
      </c>
      <c r="I74" s="42">
        <f t="shared" si="49"/>
        <v>3.6024560000000001</v>
      </c>
      <c r="J74" s="42">
        <f t="shared" si="49"/>
        <v>4.0987384000000002</v>
      </c>
      <c r="K74" s="42">
        <f t="shared" si="49"/>
        <v>3.7939152000000003</v>
      </c>
      <c r="L74" s="43">
        <f t="shared" si="45"/>
        <v>3.8317032000000002</v>
      </c>
      <c r="M74" s="53">
        <f t="shared" si="46"/>
        <v>0.14450490746619421</v>
      </c>
      <c r="N74" s="42">
        <f t="shared" si="47"/>
        <v>1.2816158350764937</v>
      </c>
      <c r="O74" s="42">
        <f t="shared" si="47"/>
        <v>1.4106792190415787</v>
      </c>
      <c r="P74" s="42">
        <f t="shared" si="47"/>
        <v>1.3333985201823797</v>
      </c>
      <c r="Q74" s="43">
        <f t="shared" si="48"/>
        <v>1.3418978581001506</v>
      </c>
      <c r="R74" s="42">
        <f t="shared" si="50"/>
        <v>3.7498970336575399E-2</v>
      </c>
      <c r="S74" s="42">
        <f t="shared" si="51"/>
        <v>1.4288384738385168E-3</v>
      </c>
      <c r="T74" s="42">
        <f t="shared" si="52"/>
        <v>4.2860817965819789E-3</v>
      </c>
      <c r="U74" s="42">
        <f t="shared" si="53"/>
        <v>2.0191057572693507E-3</v>
      </c>
      <c r="V74" s="43">
        <f t="shared" si="54"/>
        <v>2.5780086758966157E-3</v>
      </c>
      <c r="W74" s="42">
        <f t="shared" si="55"/>
        <v>8.7086914548591078E-4</v>
      </c>
      <c r="X74" s="42">
        <f t="shared" si="56"/>
        <v>1.0810241811808388E-2</v>
      </c>
      <c r="Y74" s="42">
        <f t="shared" si="57"/>
        <v>1.2299484914554019E-2</v>
      </c>
      <c r="Z74" s="42">
        <f t="shared" si="58"/>
        <v>1.138477214586254E-2</v>
      </c>
      <c r="AA74" s="43">
        <f t="shared" si="59"/>
        <v>1.1498166290741648E-2</v>
      </c>
      <c r="AB74" s="146">
        <f t="shared" si="60"/>
        <v>4.3362999928453082E-4</v>
      </c>
    </row>
    <row r="75" spans="1:28" s="5" customFormat="1" ht="13" x14ac:dyDescent="0.15">
      <c r="B75" s="46" t="s">
        <v>39</v>
      </c>
      <c r="C75" s="39">
        <v>0.45416666666666666</v>
      </c>
      <c r="D75" s="40">
        <f>11+54/60+12+D74</f>
        <v>357.14471947194716</v>
      </c>
      <c r="E75" s="45">
        <v>16</v>
      </c>
      <c r="F75" s="41">
        <f>8*0.368</f>
        <v>2.944</v>
      </c>
      <c r="G75" s="42">
        <f>8*0.431</f>
        <v>3.448</v>
      </c>
      <c r="H75" s="42">
        <f>8*0.403</f>
        <v>3.2240000000000002</v>
      </c>
      <c r="I75" s="42">
        <f t="shared" si="49"/>
        <v>3.7082624000000002</v>
      </c>
      <c r="J75" s="42">
        <f t="shared" si="49"/>
        <v>4.3431008000000002</v>
      </c>
      <c r="K75" s="42">
        <f t="shared" si="49"/>
        <v>4.0609504000000003</v>
      </c>
      <c r="L75" s="43">
        <f t="shared" si="45"/>
        <v>4.037437866666667</v>
      </c>
      <c r="M75" s="53">
        <f t="shared" si="46"/>
        <v>0.18363875584641109</v>
      </c>
      <c r="N75" s="42">
        <f t="shared" si="47"/>
        <v>1.3105634111113624</v>
      </c>
      <c r="O75" s="42">
        <f t="shared" si="47"/>
        <v>1.4685885630461792</v>
      </c>
      <c r="P75" s="42">
        <f t="shared" si="47"/>
        <v>1.4014170348891144</v>
      </c>
      <c r="Q75" s="43">
        <f t="shared" si="48"/>
        <v>1.3935230030155521</v>
      </c>
      <c r="R75" s="42">
        <f t="shared" si="50"/>
        <v>4.5788368120521249E-2</v>
      </c>
      <c r="S75" s="42">
        <f t="shared" si="51"/>
        <v>1.2111956499945096E-3</v>
      </c>
      <c r="T75" s="42">
        <f t="shared" si="52"/>
        <v>2.4229851047950055E-3</v>
      </c>
      <c r="U75" s="42">
        <f t="shared" si="53"/>
        <v>2.8459629584407851E-3</v>
      </c>
      <c r="V75" s="43">
        <f t="shared" si="54"/>
        <v>2.1600479044101002E-3</v>
      </c>
      <c r="W75" s="42">
        <f t="shared" si="55"/>
        <v>4.8988706749646528E-4</v>
      </c>
      <c r="X75" s="42">
        <f t="shared" si="56"/>
        <v>1.0383080577203592E-2</v>
      </c>
      <c r="Y75" s="42">
        <f t="shared" si="57"/>
        <v>1.2160618828192251E-2</v>
      </c>
      <c r="Z75" s="42">
        <f t="shared" si="58"/>
        <v>1.1370601827752848E-2</v>
      </c>
      <c r="AA75" s="43">
        <f t="shared" si="59"/>
        <v>1.130476707771623E-2</v>
      </c>
      <c r="AB75" s="146">
        <f t="shared" si="60"/>
        <v>5.141858351368836E-4</v>
      </c>
    </row>
    <row r="76" spans="1:28" s="5" customFormat="1" ht="13" x14ac:dyDescent="0.15">
      <c r="B76" s="46" t="s">
        <v>40</v>
      </c>
      <c r="C76" s="39">
        <v>0.45416666666666666</v>
      </c>
      <c r="D76" s="40">
        <f>24+D75</f>
        <v>381.14471947194716</v>
      </c>
      <c r="E76" s="45">
        <v>17</v>
      </c>
      <c r="F76" s="41">
        <f>8*0.375</f>
        <v>3</v>
      </c>
      <c r="G76" s="42">
        <f>8*0.435</f>
        <v>3.48</v>
      </c>
      <c r="H76" s="42">
        <f>8*0.402</f>
        <v>3.2160000000000002</v>
      </c>
      <c r="I76" s="42">
        <f t="shared" si="49"/>
        <v>3.7788000000000004</v>
      </c>
      <c r="J76" s="42">
        <f t="shared" si="49"/>
        <v>4.3834080000000002</v>
      </c>
      <c r="K76" s="42">
        <f t="shared" si="49"/>
        <v>4.0508736000000001</v>
      </c>
      <c r="L76" s="43">
        <f t="shared" si="45"/>
        <v>4.0710271999999996</v>
      </c>
      <c r="M76" s="53">
        <f t="shared" si="46"/>
        <v>0.17482594592977321</v>
      </c>
      <c r="N76" s="42">
        <f t="shared" si="47"/>
        <v>1.3294064989128422</v>
      </c>
      <c r="O76" s="42">
        <f t="shared" si="47"/>
        <v>1.4778265040311156</v>
      </c>
      <c r="P76" s="42">
        <f t="shared" si="47"/>
        <v>1.3989325615614525</v>
      </c>
      <c r="Q76" s="43">
        <f t="shared" si="48"/>
        <v>1.4020551881684702</v>
      </c>
      <c r="R76" s="42">
        <f t="shared" si="50"/>
        <v>4.287360329123354E-2</v>
      </c>
      <c r="S76" s="42">
        <f t="shared" si="51"/>
        <v>7.8512865839499202E-4</v>
      </c>
      <c r="T76" s="42">
        <f t="shared" si="52"/>
        <v>3.8491420770568147E-4</v>
      </c>
      <c r="U76" s="42">
        <f t="shared" si="53"/>
        <v>-1.0351972198591186E-4</v>
      </c>
      <c r="V76" s="43">
        <f t="shared" si="54"/>
        <v>3.5550771470492054E-4</v>
      </c>
      <c r="W76" s="42">
        <f t="shared" si="55"/>
        <v>2.5695170905662006E-4</v>
      </c>
      <c r="X76" s="42">
        <f t="shared" si="56"/>
        <v>9.9143443604185252E-3</v>
      </c>
      <c r="Y76" s="42">
        <f t="shared" si="57"/>
        <v>1.150063945808549E-2</v>
      </c>
      <c r="Z76" s="42">
        <f t="shared" si="58"/>
        <v>1.0628177154368659E-2</v>
      </c>
      <c r="AA76" s="43">
        <f t="shared" si="59"/>
        <v>1.0681053657624224E-2</v>
      </c>
      <c r="AB76" s="146">
        <f t="shared" si="60"/>
        <v>4.5868652246313171E-4</v>
      </c>
    </row>
    <row r="77" spans="1:28" s="5" customFormat="1" ht="13" x14ac:dyDescent="0.15">
      <c r="B77" s="46" t="s">
        <v>41</v>
      </c>
      <c r="C77" s="39">
        <v>0.45833333333333331</v>
      </c>
      <c r="D77" s="40">
        <v>405.24471947194718</v>
      </c>
      <c r="E77" s="45">
        <v>18</v>
      </c>
      <c r="F77" s="41">
        <f>8*0.377</f>
        <v>3.016</v>
      </c>
      <c r="G77" s="42">
        <f>8*0.433</f>
        <v>3.464</v>
      </c>
      <c r="H77" s="42">
        <f>8*0.401</f>
        <v>3.2080000000000002</v>
      </c>
      <c r="I77" s="42">
        <f t="shared" ref="I77:K78" si="61">1.2596*F77</f>
        <v>3.7989536000000004</v>
      </c>
      <c r="J77" s="42">
        <f t="shared" si="61"/>
        <v>4.3632543999999998</v>
      </c>
      <c r="K77" s="42">
        <f t="shared" si="61"/>
        <v>4.0407968000000007</v>
      </c>
      <c r="L77" s="43">
        <f t="shared" si="45"/>
        <v>4.0676682666666668</v>
      </c>
      <c r="M77" s="53">
        <f t="shared" si="46"/>
        <v>0.16345275057415742</v>
      </c>
      <c r="N77" s="42">
        <f t="shared" ref="N77:P78" si="62">LN(I77)</f>
        <v>1.3347256603904423</v>
      </c>
      <c r="O77" s="42">
        <f t="shared" si="62"/>
        <v>1.4732182009449213</v>
      </c>
      <c r="P77" s="42">
        <f t="shared" si="62"/>
        <v>1.3964419002490007</v>
      </c>
      <c r="Q77" s="43">
        <f t="shared" si="48"/>
        <v>1.4014619205281216</v>
      </c>
      <c r="R77" s="42">
        <f t="shared" si="50"/>
        <v>4.0058067851601764E-2</v>
      </c>
      <c r="S77" s="42">
        <f t="shared" si="51"/>
        <v>2.2071209450622519E-4</v>
      </c>
      <c r="T77" s="42">
        <f t="shared" si="52"/>
        <v>-1.9121589569270976E-4</v>
      </c>
      <c r="U77" s="42">
        <f t="shared" si="53"/>
        <v>-1.0334694242538545E-4</v>
      </c>
      <c r="V77" s="43">
        <f t="shared" si="54"/>
        <v>-2.4616914537290007E-5</v>
      </c>
      <c r="W77" s="42">
        <f t="shared" si="55"/>
        <v>1.2525970387662413E-4</v>
      </c>
      <c r="X77" s="42">
        <f t="shared" si="56"/>
        <v>9.3744678646281061E-3</v>
      </c>
      <c r="Y77" s="42">
        <f t="shared" si="57"/>
        <v>1.0766961764944216E-2</v>
      </c>
      <c r="Z77" s="42">
        <f t="shared" si="58"/>
        <v>9.9712509647635825E-3</v>
      </c>
      <c r="AA77" s="43">
        <f t="shared" si="59"/>
        <v>1.0037560198111967E-2</v>
      </c>
      <c r="AB77" s="146">
        <f t="shared" si="60"/>
        <v>4.0334332002436461E-4</v>
      </c>
    </row>
    <row r="78" spans="1:28" s="5" customFormat="1" thickBot="1" x14ac:dyDescent="0.2">
      <c r="A78" s="49"/>
      <c r="B78" s="56" t="s">
        <v>42</v>
      </c>
      <c r="C78" s="47">
        <v>0.49027777777777781</v>
      </c>
      <c r="D78" s="48">
        <v>430.01138613861383</v>
      </c>
      <c r="E78" s="49">
        <v>19</v>
      </c>
      <c r="F78" s="50">
        <f>8*0.379</f>
        <v>3.032</v>
      </c>
      <c r="G78" s="51">
        <f>8*0.436</f>
        <v>3.488</v>
      </c>
      <c r="H78" s="51">
        <f>8*0.403</f>
        <v>3.2240000000000002</v>
      </c>
      <c r="I78" s="51">
        <f t="shared" si="61"/>
        <v>3.8191072000000004</v>
      </c>
      <c r="J78" s="51">
        <f t="shared" si="61"/>
        <v>4.3934848000000004</v>
      </c>
      <c r="K78" s="51">
        <f t="shared" si="61"/>
        <v>4.0609504000000003</v>
      </c>
      <c r="L78" s="52">
        <f t="shared" si="45"/>
        <v>4.0911808000000001</v>
      </c>
      <c r="M78" s="54">
        <f t="shared" si="46"/>
        <v>0.16649606067267783</v>
      </c>
      <c r="N78" s="51">
        <f t="shared" si="62"/>
        <v>1.3400166780248579</v>
      </c>
      <c r="O78" s="51">
        <f t="shared" si="62"/>
        <v>1.4801227162914659</v>
      </c>
      <c r="P78" s="51">
        <f t="shared" si="62"/>
        <v>1.4014170348891144</v>
      </c>
      <c r="Q78" s="52">
        <f t="shared" si="48"/>
        <v>1.4071854764018126</v>
      </c>
      <c r="R78" s="51">
        <f t="shared" si="50"/>
        <v>4.0547838733217823E-2</v>
      </c>
      <c r="S78" s="51">
        <f>(N78-N77)/(D78-D77)</f>
        <v>2.1363462857667469E-4</v>
      </c>
      <c r="T78" s="51">
        <f>(O78-O77)/(D78-D77)</f>
        <v>2.7878258465186711E-4</v>
      </c>
      <c r="U78" s="51">
        <f>(P78-P77)/(D78-D77)</f>
        <v>2.0088026810687805E-4</v>
      </c>
      <c r="V78" s="52">
        <f t="shared" si="54"/>
        <v>2.3109916044513994E-4</v>
      </c>
      <c r="W78" s="51">
        <f t="shared" si="55"/>
        <v>2.4124331671622863E-5</v>
      </c>
      <c r="X78" s="51">
        <f t="shared" si="56"/>
        <v>8.8814094768386292E-3</v>
      </c>
      <c r="Y78" s="51">
        <f t="shared" si="57"/>
        <v>1.0217135968078214E-2</v>
      </c>
      <c r="Z78" s="51">
        <f t="shared" si="58"/>
        <v>9.4438206310447706E-3</v>
      </c>
      <c r="AA78" s="52">
        <f t="shared" si="59"/>
        <v>9.5141220253205372E-3</v>
      </c>
      <c r="AB78" s="148">
        <f t="shared" si="60"/>
        <v>3.8718988854636536E-4</v>
      </c>
    </row>
    <row r="79" spans="1:28" s="5" customFormat="1" ht="13" x14ac:dyDescent="0.15"/>
    <row r="95" spans="1:4" x14ac:dyDescent="0.15">
      <c r="A95" s="55" t="s">
        <v>69</v>
      </c>
      <c r="B95" s="55" t="s">
        <v>78</v>
      </c>
      <c r="C95" s="55" t="s">
        <v>80</v>
      </c>
      <c r="D95" s="55"/>
    </row>
  </sheetData>
  <mergeCells count="46">
    <mergeCell ref="F29:H29"/>
    <mergeCell ref="I29:K29"/>
    <mergeCell ref="N29:P29"/>
    <mergeCell ref="S29:U29"/>
    <mergeCell ref="X29:Z29"/>
    <mergeCell ref="B8:B10"/>
    <mergeCell ref="B5:B7"/>
    <mergeCell ref="E8:E10"/>
    <mergeCell ref="E5:E7"/>
    <mergeCell ref="B28:AB28"/>
    <mergeCell ref="B59:B61"/>
    <mergeCell ref="B57:B58"/>
    <mergeCell ref="E59:E61"/>
    <mergeCell ref="E57:E58"/>
    <mergeCell ref="B34:B36"/>
    <mergeCell ref="E34:E36"/>
    <mergeCell ref="A1:AB1"/>
    <mergeCell ref="B2:AB2"/>
    <mergeCell ref="F3:H3"/>
    <mergeCell ref="I3:K3"/>
    <mergeCell ref="N3:P3"/>
    <mergeCell ref="S3:U3"/>
    <mergeCell ref="X3:Z3"/>
    <mergeCell ref="F4:H4"/>
    <mergeCell ref="I4:K4"/>
    <mergeCell ref="N4:P4"/>
    <mergeCell ref="S4:U4"/>
    <mergeCell ref="X4:Z4"/>
    <mergeCell ref="S30:U30"/>
    <mergeCell ref="X30:Z30"/>
    <mergeCell ref="B54:AB54"/>
    <mergeCell ref="F55:H55"/>
    <mergeCell ref="I55:K55"/>
    <mergeCell ref="N55:P55"/>
    <mergeCell ref="S55:U55"/>
    <mergeCell ref="X55:Z55"/>
    <mergeCell ref="B31:B33"/>
    <mergeCell ref="E31:E33"/>
    <mergeCell ref="F30:H30"/>
    <mergeCell ref="I30:K30"/>
    <mergeCell ref="N30:P30"/>
    <mergeCell ref="F56:H56"/>
    <mergeCell ref="I56:K56"/>
    <mergeCell ref="N56:P56"/>
    <mergeCell ref="S56:U56"/>
    <mergeCell ref="X56:Z56"/>
  </mergeCells>
  <pageMargins left="0.7" right="0.7" top="0.75" bottom="0.75" header="0.3" footer="0.3"/>
  <pageSetup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1C637A-3EDB-CB41-9D15-F64AC7C5673D}">
  <dimension ref="A1:AH163"/>
  <sheetViews>
    <sheetView zoomScaleNormal="100" workbookViewId="0">
      <selection sqref="A1:AB1"/>
    </sheetView>
  </sheetViews>
  <sheetFormatPr baseColWidth="10" defaultColWidth="9.1640625" defaultRowHeight="13" x14ac:dyDescent="0.2"/>
  <cols>
    <col min="1" max="1" width="85.6640625" style="57" customWidth="1"/>
    <col min="2" max="2" width="10.1640625" style="57" bestFit="1" customWidth="1"/>
    <col min="3" max="3" width="8.5" style="57" customWidth="1"/>
    <col min="4" max="4" width="9.33203125" style="57" customWidth="1"/>
    <col min="5" max="5" width="9.6640625" style="57" customWidth="1"/>
    <col min="6" max="7" width="10" style="57" bestFit="1" customWidth="1"/>
    <col min="8" max="11" width="9.1640625" style="57" bestFit="1" customWidth="1"/>
    <col min="12" max="13" width="5.6640625" style="57" bestFit="1" customWidth="1"/>
    <col min="14" max="14" width="7.6640625" style="57" bestFit="1" customWidth="1"/>
    <col min="15" max="15" width="9.1640625" style="57"/>
    <col min="16" max="16" width="11.6640625" style="57" bestFit="1" customWidth="1"/>
    <col min="17" max="17" width="9.1640625" style="57" bestFit="1" customWidth="1"/>
    <col min="18" max="18" width="11.6640625" style="57" bestFit="1" customWidth="1"/>
    <col min="19" max="19" width="9.1640625" style="57"/>
    <col min="20" max="21" width="9.5" style="57" bestFit="1" customWidth="1"/>
    <col min="22" max="23" width="9" style="57" bestFit="1" customWidth="1"/>
    <col min="24" max="25" width="8.33203125" style="57" bestFit="1" customWidth="1"/>
    <col min="26" max="27" width="10.5" style="57" bestFit="1" customWidth="1"/>
    <col min="28" max="28" width="8.33203125" style="57" bestFit="1" customWidth="1"/>
    <col min="29" max="30" width="9.1640625" style="57"/>
    <col min="31" max="31" width="11.83203125" style="57" customWidth="1"/>
    <col min="32" max="16384" width="9.1640625" style="57"/>
  </cols>
  <sheetData>
    <row r="1" spans="1:34" ht="17" thickBot="1" x14ac:dyDescent="0.25">
      <c r="A1" s="236" t="s">
        <v>82</v>
      </c>
      <c r="B1" s="237"/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7"/>
      <c r="O1" s="237"/>
      <c r="P1" s="237"/>
      <c r="Q1" s="237"/>
      <c r="R1" s="237"/>
      <c r="S1" s="237"/>
      <c r="T1" s="237"/>
      <c r="U1" s="237"/>
      <c r="V1" s="237"/>
      <c r="W1" s="237"/>
      <c r="X1" s="237"/>
      <c r="Y1" s="237"/>
      <c r="Z1" s="237"/>
      <c r="AA1" s="237"/>
      <c r="AB1" s="238"/>
    </row>
    <row r="2" spans="1:34" ht="15" thickBot="1" x14ac:dyDescent="0.25">
      <c r="A2" s="58"/>
      <c r="B2" s="239" t="s">
        <v>69</v>
      </c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  <c r="Q2" s="240"/>
      <c r="R2" s="240"/>
      <c r="S2" s="240"/>
      <c r="T2" s="240"/>
      <c r="U2" s="240"/>
      <c r="V2" s="240"/>
      <c r="W2" s="240"/>
      <c r="X2" s="240"/>
      <c r="Y2" s="240"/>
      <c r="Z2" s="240"/>
      <c r="AA2" s="240"/>
      <c r="AB2" s="241"/>
    </row>
    <row r="3" spans="1:34" ht="47" customHeight="1" x14ac:dyDescent="0.2">
      <c r="A3" s="59"/>
      <c r="B3" s="60" t="s">
        <v>0</v>
      </c>
      <c r="C3" s="61" t="s">
        <v>1</v>
      </c>
      <c r="D3" s="62" t="s">
        <v>2</v>
      </c>
      <c r="E3" s="139"/>
      <c r="F3" s="61" t="s">
        <v>8</v>
      </c>
      <c r="G3" s="61" t="s">
        <v>9</v>
      </c>
      <c r="H3" s="213" t="s">
        <v>108</v>
      </c>
      <c r="I3" s="214"/>
      <c r="J3" s="215" t="s">
        <v>111</v>
      </c>
      <c r="K3" s="216"/>
      <c r="L3" s="217" t="s">
        <v>84</v>
      </c>
      <c r="M3" s="218"/>
      <c r="N3" s="63" t="s">
        <v>85</v>
      </c>
      <c r="O3" s="64" t="s">
        <v>86</v>
      </c>
      <c r="P3" s="63" t="s">
        <v>10</v>
      </c>
      <c r="Q3" s="63" t="s">
        <v>11</v>
      </c>
      <c r="R3" s="63" t="s">
        <v>87</v>
      </c>
      <c r="S3" s="63" t="s">
        <v>88</v>
      </c>
      <c r="T3" s="63" t="s">
        <v>89</v>
      </c>
      <c r="U3" s="65" t="s">
        <v>71</v>
      </c>
      <c r="V3" s="64" t="s">
        <v>90</v>
      </c>
      <c r="W3" s="63" t="s">
        <v>91</v>
      </c>
      <c r="X3" s="63" t="s">
        <v>89</v>
      </c>
      <c r="Y3" s="66" t="s">
        <v>71</v>
      </c>
      <c r="Z3" s="66" t="s">
        <v>92</v>
      </c>
      <c r="AA3" s="63" t="s">
        <v>93</v>
      </c>
      <c r="AB3" s="67" t="s">
        <v>71</v>
      </c>
      <c r="AD3" s="222" t="s">
        <v>113</v>
      </c>
      <c r="AE3" s="222"/>
      <c r="AF3" s="222"/>
      <c r="AG3" s="222"/>
      <c r="AH3" s="222"/>
    </row>
    <row r="4" spans="1:34" ht="37" customHeight="1" x14ac:dyDescent="0.2">
      <c r="A4" s="59"/>
      <c r="B4" s="68"/>
      <c r="C4" s="69"/>
      <c r="D4" s="72"/>
      <c r="E4" s="140"/>
      <c r="F4" s="69" t="s">
        <v>13</v>
      </c>
      <c r="G4" s="69" t="s">
        <v>13</v>
      </c>
      <c r="H4" s="71" t="s">
        <v>109</v>
      </c>
      <c r="I4" s="69" t="s">
        <v>110</v>
      </c>
      <c r="J4" s="72" t="s">
        <v>109</v>
      </c>
      <c r="K4" s="73" t="s">
        <v>110</v>
      </c>
      <c r="L4" s="221" t="s">
        <v>14</v>
      </c>
      <c r="M4" s="220"/>
      <c r="N4" s="74" t="s">
        <v>14</v>
      </c>
      <c r="O4" s="74" t="s">
        <v>13</v>
      </c>
      <c r="P4" s="74" t="s">
        <v>15</v>
      </c>
      <c r="Q4" s="74" t="s">
        <v>16</v>
      </c>
      <c r="R4" s="75" t="s">
        <v>94</v>
      </c>
      <c r="S4" s="75" t="s">
        <v>94</v>
      </c>
      <c r="T4" s="74"/>
      <c r="U4" s="72"/>
      <c r="V4" s="75" t="s">
        <v>95</v>
      </c>
      <c r="W4" s="75" t="s">
        <v>95</v>
      </c>
      <c r="X4" s="74"/>
      <c r="Y4" s="74"/>
      <c r="Z4" s="75" t="s">
        <v>96</v>
      </c>
      <c r="AA4" s="75" t="s">
        <v>96</v>
      </c>
      <c r="AB4" s="70"/>
      <c r="AD4" s="57" t="s">
        <v>2</v>
      </c>
      <c r="AE4" s="76" t="str">
        <f>S3</f>
        <v>Average specific CPC conc.</v>
      </c>
      <c r="AF4" s="57" t="s">
        <v>12</v>
      </c>
      <c r="AG4" s="76" t="str">
        <f>W3</f>
        <v>Average total CPC</v>
      </c>
      <c r="AH4" s="57" t="s">
        <v>12</v>
      </c>
    </row>
    <row r="5" spans="1:34" x14ac:dyDescent="0.2">
      <c r="A5" s="59"/>
      <c r="B5" s="226" t="s">
        <v>24</v>
      </c>
      <c r="C5" s="228">
        <v>0.47916666666666669</v>
      </c>
      <c r="D5" s="242">
        <v>0</v>
      </c>
      <c r="E5" s="105" t="s">
        <v>105</v>
      </c>
      <c r="F5" s="232">
        <f>(0.0464+0.0514+0.0491)/3</f>
        <v>4.8966666666666665E-2</v>
      </c>
      <c r="G5" s="234">
        <f>(0.0457+0.0502+0.0487)/3</f>
        <v>4.82E-2</v>
      </c>
      <c r="H5" s="77">
        <f>0.2237-F5</f>
        <v>0.17473333333333335</v>
      </c>
      <c r="I5" s="78">
        <f>0.2294-F5</f>
        <v>0.18043333333333333</v>
      </c>
      <c r="J5" s="78">
        <f>0.1842-G5</f>
        <v>0.13600000000000001</v>
      </c>
      <c r="K5" s="78">
        <f>0.1893-G5</f>
        <v>0.1411</v>
      </c>
      <c r="L5" s="78">
        <f>(H5-(0.605*J5))/6.17</f>
        <v>1.4984332793084821E-2</v>
      </c>
      <c r="M5" s="78">
        <f>(I5-(0.605*K5))/6.17</f>
        <v>1.5408076715289034E-2</v>
      </c>
      <c r="N5" s="78">
        <f>AVERAGE(L5:M5)</f>
        <v>1.5196204754186928E-2</v>
      </c>
      <c r="O5" s="78">
        <v>9.5000000000000001E-2</v>
      </c>
      <c r="P5" s="78">
        <f>1.2334*O5</f>
        <v>0.117173</v>
      </c>
      <c r="Q5" s="79">
        <f>P5*1/1000</f>
        <v>1.17173E-4</v>
      </c>
      <c r="R5" s="80">
        <f>(N5*0.5)/Q5</f>
        <v>64.845163792797521</v>
      </c>
      <c r="S5" s="81"/>
      <c r="V5" s="82">
        <f>R5*P5</f>
        <v>7.5981023770934639</v>
      </c>
      <c r="W5" s="81"/>
      <c r="AA5" s="81"/>
      <c r="AB5" s="83"/>
      <c r="AD5" s="84">
        <f>D5</f>
        <v>0</v>
      </c>
      <c r="AE5" s="82">
        <f>S7</f>
        <v>62.490254959091921</v>
      </c>
      <c r="AF5" s="82">
        <f>U7</f>
        <v>3.1858858028536945</v>
      </c>
      <c r="AG5" s="82">
        <f>W7</f>
        <v>8.151917882225824</v>
      </c>
      <c r="AH5" s="82">
        <f>Y7</f>
        <v>0.47447005707477174</v>
      </c>
    </row>
    <row r="6" spans="1:34" ht="15" customHeight="1" x14ac:dyDescent="0.2">
      <c r="A6" s="59"/>
      <c r="B6" s="226"/>
      <c r="C6" s="228"/>
      <c r="D6" s="242"/>
      <c r="E6" s="105" t="s">
        <v>106</v>
      </c>
      <c r="F6" s="232"/>
      <c r="G6" s="234"/>
      <c r="H6" s="77">
        <f>0.2422-F5</f>
        <v>0.19323333333333334</v>
      </c>
      <c r="I6" s="78">
        <f>0.2803-F5</f>
        <v>0.23133333333333334</v>
      </c>
      <c r="J6" s="78">
        <f>0.1963-G5</f>
        <v>0.14810000000000001</v>
      </c>
      <c r="K6" s="78">
        <f>0.2308-G5</f>
        <v>0.18260000000000001</v>
      </c>
      <c r="L6" s="78">
        <f t="shared" ref="L6:L55" si="0">(H6-(0.605*J6))/6.17</f>
        <v>1.67962452728255E-2</v>
      </c>
      <c r="M6" s="78">
        <f t="shared" ref="M6:M55" si="1">(I6-(0.605*K6))/6.17</f>
        <v>1.9588384656942192E-2</v>
      </c>
      <c r="N6" s="78">
        <f t="shared" ref="N6:N55" si="2">AVERAGE(L6:M6)</f>
        <v>1.8192314964883848E-2</v>
      </c>
      <c r="O6" s="78">
        <v>0.111</v>
      </c>
      <c r="P6" s="78">
        <f t="shared" ref="P6:P55" si="3">1.2334*O6</f>
        <v>0.13690740000000001</v>
      </c>
      <c r="Q6" s="79">
        <f>P6*1/1000</f>
        <v>1.3690740000000002E-4</v>
      </c>
      <c r="R6" s="80">
        <f t="shared" ref="R6:R55" si="4">(N6*0.5)/Q6</f>
        <v>66.440217858508177</v>
      </c>
      <c r="S6" s="81"/>
      <c r="V6" s="82">
        <f t="shared" ref="V6:V55" si="5">R6*P6</f>
        <v>9.0961574824419227</v>
      </c>
      <c r="W6" s="81"/>
      <c r="AA6" s="81"/>
      <c r="AB6" s="83"/>
      <c r="AD6" s="84">
        <f>D8</f>
        <v>22</v>
      </c>
      <c r="AE6" s="82">
        <f>S10</f>
        <v>25.735313721139729</v>
      </c>
      <c r="AF6" s="82">
        <f>U10</f>
        <v>1.6408938495978136</v>
      </c>
      <c r="AG6" s="82">
        <f>W10</f>
        <v>6.0777552674230142</v>
      </c>
      <c r="AH6" s="82">
        <f>Y10</f>
        <v>0.18359003521390591</v>
      </c>
    </row>
    <row r="7" spans="1:34" ht="15" customHeight="1" x14ac:dyDescent="0.2">
      <c r="A7" s="59"/>
      <c r="B7" s="227"/>
      <c r="C7" s="229"/>
      <c r="D7" s="243"/>
      <c r="E7" s="141" t="s">
        <v>107</v>
      </c>
      <c r="F7" s="233"/>
      <c r="G7" s="235"/>
      <c r="H7" s="85">
        <f>0.2154-F5</f>
        <v>0.16643333333333335</v>
      </c>
      <c r="I7" s="86">
        <f>0.2378-F5</f>
        <v>0.18883333333333335</v>
      </c>
      <c r="J7" s="86">
        <f>0.1731-G5</f>
        <v>0.12490000000000001</v>
      </c>
      <c r="K7" s="86">
        <f>0.1939-G5</f>
        <v>0.1457</v>
      </c>
      <c r="L7" s="78">
        <f t="shared" si="0"/>
        <v>1.4727525661804432E-2</v>
      </c>
      <c r="M7" s="78">
        <f t="shared" si="1"/>
        <v>1.6318449486763916E-2</v>
      </c>
      <c r="N7" s="86">
        <f t="shared" si="2"/>
        <v>1.5522987574284174E-2</v>
      </c>
      <c r="O7" s="86">
        <v>0.112</v>
      </c>
      <c r="P7" s="86">
        <f t="shared" si="3"/>
        <v>0.13814080000000001</v>
      </c>
      <c r="Q7" s="87">
        <f>P7*1/1000</f>
        <v>1.381408E-4</v>
      </c>
      <c r="R7" s="88">
        <f t="shared" si="4"/>
        <v>56.185383225970078</v>
      </c>
      <c r="S7" s="89">
        <f>AVERAGE(R5:R7)</f>
        <v>62.490254959091921</v>
      </c>
      <c r="T7" s="90">
        <f>STDEV(R5:R7)</f>
        <v>5.5181160776549625</v>
      </c>
      <c r="U7" s="90">
        <f>T7/SQRT(3)</f>
        <v>3.1858858028536945</v>
      </c>
      <c r="V7" s="90">
        <f t="shared" si="5"/>
        <v>7.7614937871420882</v>
      </c>
      <c r="W7" s="89">
        <f>AVERAGE(V5:V7)</f>
        <v>8.151917882225824</v>
      </c>
      <c r="X7" s="90">
        <f>STDEV(V5:V7)</f>
        <v>0.8218062455236097</v>
      </c>
      <c r="Y7" s="90">
        <f>X7/SQRT(3)</f>
        <v>0.47447005707477174</v>
      </c>
      <c r="Z7" s="91"/>
      <c r="AA7" s="92"/>
      <c r="AB7" s="93"/>
      <c r="AD7" s="84">
        <f>D11</f>
        <v>46.5</v>
      </c>
      <c r="AE7" s="82">
        <f>S13</f>
        <v>18.845190860995888</v>
      </c>
      <c r="AF7" s="82">
        <f>U13</f>
        <v>0.89252960842670115</v>
      </c>
      <c r="AG7" s="82">
        <f>W13</f>
        <v>8.5078133441383041</v>
      </c>
      <c r="AH7" s="82">
        <f>Y13</f>
        <v>0.74648981115309998</v>
      </c>
    </row>
    <row r="8" spans="1:34" x14ac:dyDescent="0.2">
      <c r="A8" s="59"/>
      <c r="B8" s="244" t="s">
        <v>25</v>
      </c>
      <c r="C8" s="245">
        <v>0.39583333333333331</v>
      </c>
      <c r="D8" s="248">
        <f>11+45/60+10+15/60</f>
        <v>22</v>
      </c>
      <c r="E8" s="105" t="s">
        <v>105</v>
      </c>
      <c r="F8" s="247">
        <f>(0.0471+0.0468+0.0517)/3</f>
        <v>4.8533333333333338E-2</v>
      </c>
      <c r="G8" s="249">
        <f>(0.0467+0.0458+0.0508)/3</f>
        <v>4.7766666666666659E-2</v>
      </c>
      <c r="H8" s="77">
        <f>0.1621-F8</f>
        <v>0.11356666666666665</v>
      </c>
      <c r="I8" s="78">
        <f>0.1584-F8</f>
        <v>0.10986666666666667</v>
      </c>
      <c r="J8" s="78">
        <f>0.1171-G8</f>
        <v>6.933333333333333E-2</v>
      </c>
      <c r="K8" s="78">
        <f>0.1144-G8</f>
        <v>6.663333333333335E-2</v>
      </c>
      <c r="L8" s="78">
        <f t="shared" si="0"/>
        <v>1.1607779578606156E-2</v>
      </c>
      <c r="M8" s="78">
        <f t="shared" si="1"/>
        <v>1.127285251215559E-2</v>
      </c>
      <c r="N8" s="78">
        <f t="shared" si="2"/>
        <v>1.1440316045380873E-2</v>
      </c>
      <c r="O8" s="78">
        <v>0.20499999999999999</v>
      </c>
      <c r="P8" s="78">
        <f t="shared" si="3"/>
        <v>0.25284699999999999</v>
      </c>
      <c r="Q8" s="79">
        <f>P8*1/1000</f>
        <v>2.52847E-4</v>
      </c>
      <c r="R8" s="80">
        <f t="shared" si="4"/>
        <v>22.62300135137232</v>
      </c>
      <c r="S8" s="94"/>
      <c r="T8" s="82"/>
      <c r="U8" s="82"/>
      <c r="V8" s="82">
        <f t="shared" si="5"/>
        <v>5.7201580226904367</v>
      </c>
      <c r="W8" s="94"/>
      <c r="X8" s="82"/>
      <c r="Y8" s="82"/>
      <c r="Z8" s="82">
        <f>(V8-$V$5)/(D8-$D$5)</f>
        <v>-8.5361107018319421E-2</v>
      </c>
      <c r="AA8" s="94"/>
      <c r="AB8" s="83"/>
      <c r="AD8" s="84">
        <f>D14</f>
        <v>70.7</v>
      </c>
      <c r="AE8" s="82">
        <f>S16</f>
        <v>28.759327340475</v>
      </c>
      <c r="AF8" s="82">
        <f>U16</f>
        <v>2.1108123510237973</v>
      </c>
      <c r="AG8" s="82">
        <f>W16</f>
        <v>20.407939016747704</v>
      </c>
      <c r="AH8" s="82">
        <f>Y16</f>
        <v>1.9611093050312669</v>
      </c>
    </row>
    <row r="9" spans="1:34" x14ac:dyDescent="0.2">
      <c r="A9" s="59"/>
      <c r="B9" s="226"/>
      <c r="C9" s="228"/>
      <c r="D9" s="242"/>
      <c r="E9" s="105" t="s">
        <v>106</v>
      </c>
      <c r="F9" s="232"/>
      <c r="G9" s="234"/>
      <c r="H9" s="77">
        <f>0.1631-F8</f>
        <v>0.11456666666666665</v>
      </c>
      <c r="I9" s="78">
        <f>0.1991-F8</f>
        <v>0.15056666666666665</v>
      </c>
      <c r="J9" s="78">
        <f>0.1203-G8</f>
        <v>7.2533333333333339E-2</v>
      </c>
      <c r="K9" s="78">
        <f>0.1553-G8</f>
        <v>0.10753333333333334</v>
      </c>
      <c r="L9" s="78">
        <f t="shared" si="0"/>
        <v>1.1456077795786059E-2</v>
      </c>
      <c r="M9" s="78">
        <f t="shared" si="1"/>
        <v>1.3858833063209074E-2</v>
      </c>
      <c r="N9" s="78">
        <f t="shared" si="2"/>
        <v>1.2657455429497567E-2</v>
      </c>
      <c r="O9" s="78">
        <v>0.182</v>
      </c>
      <c r="P9" s="78">
        <f t="shared" si="3"/>
        <v>0.22447880000000001</v>
      </c>
      <c r="Q9" s="79">
        <f>P9*1/1000</f>
        <v>2.2447880000000002E-4</v>
      </c>
      <c r="R9" s="80">
        <f t="shared" si="4"/>
        <v>28.192986218514992</v>
      </c>
      <c r="S9" s="81"/>
      <c r="T9" s="82"/>
      <c r="U9" s="82"/>
      <c r="V9" s="82">
        <f t="shared" si="5"/>
        <v>6.3287277147487835</v>
      </c>
      <c r="W9" s="94"/>
      <c r="X9" s="82"/>
      <c r="Y9" s="82"/>
      <c r="Z9" s="82">
        <f>(V9-$V$6)/(D8-$D$5)</f>
        <v>-0.12579226216786996</v>
      </c>
      <c r="AA9" s="94"/>
      <c r="AB9" s="83"/>
      <c r="AD9" s="84">
        <f>D17</f>
        <v>97.366666666666674</v>
      </c>
      <c r="AE9" s="82">
        <f>S19</f>
        <v>53.266672350159759</v>
      </c>
      <c r="AF9" s="82">
        <f>U19</f>
        <v>3.8888544613844322</v>
      </c>
      <c r="AG9" s="82">
        <f>W19</f>
        <v>52.291562236628856</v>
      </c>
      <c r="AH9" s="82">
        <f>Y19</f>
        <v>4.8565249747066597</v>
      </c>
    </row>
    <row r="10" spans="1:34" x14ac:dyDescent="0.2">
      <c r="A10" s="59"/>
      <c r="B10" s="227"/>
      <c r="C10" s="229"/>
      <c r="D10" s="243"/>
      <c r="E10" s="141" t="s">
        <v>107</v>
      </c>
      <c r="F10" s="233"/>
      <c r="G10" s="235"/>
      <c r="H10" s="85">
        <f>0.1653-F8</f>
        <v>0.11676666666666666</v>
      </c>
      <c r="I10" s="86">
        <f>0.1646-F8</f>
        <v>0.11606666666666665</v>
      </c>
      <c r="J10" s="86">
        <f>0.1135-G8</f>
        <v>6.5733333333333338E-2</v>
      </c>
      <c r="K10" s="86">
        <f>0.1146-G8</f>
        <v>6.6833333333333328E-2</v>
      </c>
      <c r="L10" s="78">
        <f t="shared" si="0"/>
        <v>1.2479416531604535E-2</v>
      </c>
      <c r="M10" s="78">
        <f t="shared" si="1"/>
        <v>1.2258103727714747E-2</v>
      </c>
      <c r="N10" s="86">
        <f t="shared" si="2"/>
        <v>1.236876012965964E-2</v>
      </c>
      <c r="O10" s="86">
        <v>0.19</v>
      </c>
      <c r="P10" s="86">
        <f t="shared" si="3"/>
        <v>0.234346</v>
      </c>
      <c r="Q10" s="87">
        <f t="shared" ref="Q10:Q13" si="6">P10*1/1000</f>
        <v>2.34346E-4</v>
      </c>
      <c r="R10" s="88">
        <f t="shared" si="4"/>
        <v>26.389953593531871</v>
      </c>
      <c r="S10" s="89">
        <f>AVERAGE(R8:R10)</f>
        <v>25.735313721139729</v>
      </c>
      <c r="T10" s="90">
        <f>STDEV(R8:R10)</f>
        <v>2.8421115173306966</v>
      </c>
      <c r="U10" s="90">
        <f>T10/SQRT(3)</f>
        <v>1.6408938495978136</v>
      </c>
      <c r="V10" s="90">
        <f t="shared" si="5"/>
        <v>6.1843800648298197</v>
      </c>
      <c r="W10" s="89">
        <f>AVERAGE(V8:V10)</f>
        <v>6.0777552674230142</v>
      </c>
      <c r="X10" s="90">
        <f>STDEV(V8:V10)</f>
        <v>0.31798726875384431</v>
      </c>
      <c r="Y10" s="90">
        <f>X10/SQRT(3)</f>
        <v>0.18359003521390591</v>
      </c>
      <c r="Z10" s="90">
        <f>(V10-$V$7)/(D8-$D$5)</f>
        <v>-7.1686987377830386E-2</v>
      </c>
      <c r="AA10" s="89">
        <f>AVERAGE(Z8:Z10)</f>
        <v>-9.4280118854673245E-2</v>
      </c>
      <c r="AB10" s="95">
        <f>STDEV(Z8:Z10)/SQRT(3)</f>
        <v>1.6243016644383844E-2</v>
      </c>
      <c r="AD10" s="84">
        <f>D20</f>
        <v>121.45000000000002</v>
      </c>
      <c r="AE10" s="82">
        <f>S22</f>
        <v>56.517813942902023</v>
      </c>
      <c r="AF10" s="82">
        <f>U22</f>
        <v>1.4574400260493234</v>
      </c>
      <c r="AG10" s="82">
        <f>W22</f>
        <v>75.311697190707733</v>
      </c>
      <c r="AH10" s="82">
        <f>Y22</f>
        <v>3.0358564052387065</v>
      </c>
    </row>
    <row r="11" spans="1:34" x14ac:dyDescent="0.2">
      <c r="A11" s="59"/>
      <c r="B11" s="244" t="s">
        <v>26</v>
      </c>
      <c r="C11" s="245">
        <v>0.41666666666666669</v>
      </c>
      <c r="D11" s="246">
        <f>10/60+3+D8+3+58/60+5+22/60+12</f>
        <v>46.5</v>
      </c>
      <c r="E11" s="105" t="s">
        <v>105</v>
      </c>
      <c r="F11" s="247">
        <f>(0.054+0.0571+0.0466)/3</f>
        <v>5.2566666666666671E-2</v>
      </c>
      <c r="G11" s="249">
        <f>(0.0516+0.0553+0.0451)/3</f>
        <v>5.0666666666666665E-2</v>
      </c>
      <c r="H11" s="96">
        <f>0.2604-F11</f>
        <v>0.20783333333333334</v>
      </c>
      <c r="I11" s="97">
        <f>0.25-F11</f>
        <v>0.19743333333333332</v>
      </c>
      <c r="J11" s="97">
        <f>0.1998-G11</f>
        <v>0.14913333333333334</v>
      </c>
      <c r="K11" s="97">
        <f>0.1893-G11</f>
        <v>0.13863333333333333</v>
      </c>
      <c r="L11" s="78">
        <f t="shared" si="0"/>
        <v>1.9061210156672073E-2</v>
      </c>
      <c r="M11" s="78">
        <f t="shared" si="1"/>
        <v>1.8405213398163152E-2</v>
      </c>
      <c r="N11" s="97">
        <f t="shared" si="2"/>
        <v>1.8733211777417613E-2</v>
      </c>
      <c r="O11" s="97">
        <v>0.39100000000000001</v>
      </c>
      <c r="P11" s="97">
        <f t="shared" si="3"/>
        <v>0.48225940000000006</v>
      </c>
      <c r="Q11" s="98">
        <f t="shared" si="6"/>
        <v>4.8225940000000005E-4</v>
      </c>
      <c r="R11" s="99">
        <f t="shared" si="4"/>
        <v>19.422339696662846</v>
      </c>
      <c r="S11" s="100"/>
      <c r="T11" s="101"/>
      <c r="U11" s="101"/>
      <c r="V11" s="82">
        <f t="shared" si="5"/>
        <v>9.3666058887088077</v>
      </c>
      <c r="W11" s="94"/>
      <c r="X11" s="82"/>
      <c r="Y11" s="82"/>
      <c r="Z11" s="82">
        <f t="shared" ref="Z11:Z53" si="7">(V11-$V$5)/(D11-$D$5)</f>
        <v>3.8032333583125674E-2</v>
      </c>
      <c r="AA11" s="94"/>
      <c r="AB11" s="102"/>
      <c r="AD11" s="84">
        <f>D23</f>
        <v>141.85000000000002</v>
      </c>
      <c r="AE11" s="82">
        <f>S25</f>
        <v>59.788918892233916</v>
      </c>
      <c r="AF11" s="82">
        <f>U25</f>
        <v>14.201964084385011</v>
      </c>
      <c r="AG11" s="82">
        <f>W25</f>
        <v>93.306276877363572</v>
      </c>
      <c r="AH11" s="82">
        <f>Y25</f>
        <v>20.586788508686826</v>
      </c>
    </row>
    <row r="12" spans="1:34" x14ac:dyDescent="0.2">
      <c r="A12" s="59"/>
      <c r="B12" s="226"/>
      <c r="C12" s="228"/>
      <c r="D12" s="230"/>
      <c r="E12" s="105" t="s">
        <v>106</v>
      </c>
      <c r="F12" s="232"/>
      <c r="G12" s="234"/>
      <c r="H12" s="77">
        <f>0.2424-F11</f>
        <v>0.18983333333333333</v>
      </c>
      <c r="I12" s="78">
        <f>0.2611-F11</f>
        <v>0.20853333333333332</v>
      </c>
      <c r="J12" s="78">
        <f>0.1841-G11</f>
        <v>0.13343333333333335</v>
      </c>
      <c r="K12" s="78">
        <f>0.203-G11</f>
        <v>0.15233333333333335</v>
      </c>
      <c r="L12" s="78">
        <f t="shared" si="0"/>
        <v>1.7683333333333332E-2</v>
      </c>
      <c r="M12" s="78">
        <f t="shared" si="1"/>
        <v>1.8860886007563478E-2</v>
      </c>
      <c r="N12" s="78">
        <f t="shared" si="2"/>
        <v>1.8272109670448407E-2</v>
      </c>
      <c r="O12" s="78">
        <v>0.37</v>
      </c>
      <c r="P12" s="78">
        <f t="shared" si="3"/>
        <v>0.45635800000000004</v>
      </c>
      <c r="Q12" s="79">
        <f t="shared" si="6"/>
        <v>4.5635800000000002E-4</v>
      </c>
      <c r="R12" s="80">
        <f t="shared" si="4"/>
        <v>20.019490915518524</v>
      </c>
      <c r="S12" s="81"/>
      <c r="T12" s="82"/>
      <c r="U12" s="82"/>
      <c r="V12" s="82">
        <f t="shared" si="5"/>
        <v>9.1360548352242041</v>
      </c>
      <c r="W12" s="94"/>
      <c r="X12" s="82"/>
      <c r="Y12" s="82"/>
      <c r="Z12" s="82">
        <f>(V12-$V$6)/(D11-$D$5)</f>
        <v>8.5800758671573029E-4</v>
      </c>
      <c r="AA12" s="94"/>
      <c r="AB12" s="102"/>
      <c r="AD12" s="84">
        <f>D26</f>
        <v>166.65000000000003</v>
      </c>
      <c r="AE12" s="82">
        <f>S28</f>
        <v>43.170193296727255</v>
      </c>
      <c r="AF12" s="82">
        <f>U28</f>
        <v>0.86698119770226922</v>
      </c>
      <c r="AG12" s="82">
        <f>W28</f>
        <v>79.765207995678011</v>
      </c>
      <c r="AH12" s="82">
        <f>Y28</f>
        <v>0.79572456514079426</v>
      </c>
    </row>
    <row r="13" spans="1:34" x14ac:dyDescent="0.2">
      <c r="A13" s="59"/>
      <c r="B13" s="227"/>
      <c r="C13" s="229"/>
      <c r="D13" s="231"/>
      <c r="E13" s="141" t="s">
        <v>107</v>
      </c>
      <c r="F13" s="233"/>
      <c r="G13" s="235"/>
      <c r="H13" s="85">
        <f>0.2028-F11</f>
        <v>0.15023333333333333</v>
      </c>
      <c r="I13" s="86">
        <f>0.1886-F11</f>
        <v>0.13603333333333331</v>
      </c>
      <c r="J13" s="86">
        <f>0.1514-G11</f>
        <v>0.10073333333333334</v>
      </c>
      <c r="K13" s="86">
        <f>0.1367-G11</f>
        <v>8.6033333333333323E-2</v>
      </c>
      <c r="L13" s="78">
        <f t="shared" si="0"/>
        <v>1.4471582928146947E-2</v>
      </c>
      <c r="M13" s="78">
        <f t="shared" si="1"/>
        <v>1.3611534305780656E-2</v>
      </c>
      <c r="N13" s="86">
        <f t="shared" si="2"/>
        <v>1.4041558616963802E-2</v>
      </c>
      <c r="O13" s="86">
        <v>0.33300000000000002</v>
      </c>
      <c r="P13" s="86">
        <f t="shared" si="3"/>
        <v>0.41072220000000004</v>
      </c>
      <c r="Q13" s="87">
        <f t="shared" si="6"/>
        <v>4.1072220000000004E-4</v>
      </c>
      <c r="R13" s="88">
        <f t="shared" si="4"/>
        <v>17.093741970806303</v>
      </c>
      <c r="S13" s="89">
        <f>AVERAGE(R11:R13)</f>
        <v>18.845190860995888</v>
      </c>
      <c r="T13" s="90">
        <f>STDEV(R11:R13)</f>
        <v>1.5459066290546015</v>
      </c>
      <c r="U13" s="90">
        <f>T13/SQRT(3)</f>
        <v>0.89252960842670115</v>
      </c>
      <c r="V13" s="90">
        <f t="shared" si="5"/>
        <v>7.0207793084819006</v>
      </c>
      <c r="W13" s="89">
        <f>AVERAGE(V11:V13)</f>
        <v>8.5078133441383041</v>
      </c>
      <c r="X13" s="90">
        <f>STDEV(V11:V13)</f>
        <v>1.2929582802496655</v>
      </c>
      <c r="Y13" s="90">
        <f>X13/SQRT(3)</f>
        <v>0.74648981115309998</v>
      </c>
      <c r="Z13" s="90">
        <f>(V13-$V$7)/(D11-$D$5)</f>
        <v>-1.5929343627100807E-2</v>
      </c>
      <c r="AA13" s="89">
        <f>AVERAGE(Z11:Z13)</f>
        <v>7.6536658475802001E-3</v>
      </c>
      <c r="AB13" s="95">
        <f>STDEV(Z11:Z13)/SQRT(3)</f>
        <v>1.5943665202142309E-2</v>
      </c>
      <c r="AD13" s="84">
        <f>D29</f>
        <v>190.53333333333336</v>
      </c>
      <c r="AE13" s="82">
        <f>S31</f>
        <v>46.405969866813827</v>
      </c>
      <c r="AF13" s="82">
        <f>U31</f>
        <v>2.9989545105084932</v>
      </c>
      <c r="AG13" s="82">
        <f>W31</f>
        <v>107.42052944354403</v>
      </c>
      <c r="AH13" s="82">
        <f>Y31</f>
        <v>5.341029669882368</v>
      </c>
    </row>
    <row r="14" spans="1:34" x14ac:dyDescent="0.2">
      <c r="A14" s="59"/>
      <c r="B14" s="244" t="s">
        <v>27</v>
      </c>
      <c r="C14" s="245">
        <v>0.42499999999999999</v>
      </c>
      <c r="D14" s="246">
        <f>24+12/60+D11</f>
        <v>70.7</v>
      </c>
      <c r="E14" s="105" t="s">
        <v>105</v>
      </c>
      <c r="F14" s="247">
        <f>(0.0644+0.04333+0.0453)/3</f>
        <v>5.101E-2</v>
      </c>
      <c r="G14" s="249">
        <f>(0.0619+0.0427+0.0439)/3</f>
        <v>4.9499999999999995E-2</v>
      </c>
      <c r="H14" s="96">
        <f>0.3217-F14</f>
        <v>0.27068999999999999</v>
      </c>
      <c r="I14" s="97">
        <f>0.3184-F14</f>
        <v>0.26739000000000002</v>
      </c>
      <c r="J14" s="97">
        <f>0.2312-G14</f>
        <v>0.1817</v>
      </c>
      <c r="K14" s="97">
        <f>0.2284-G14</f>
        <v>0.1789</v>
      </c>
      <c r="L14" s="78">
        <f t="shared" si="0"/>
        <v>2.6055348460291734E-2</v>
      </c>
      <c r="M14" s="78">
        <f t="shared" si="1"/>
        <v>2.5795056726094005E-2</v>
      </c>
      <c r="N14" s="97">
        <f t="shared" si="2"/>
        <v>2.5925202593192871E-2</v>
      </c>
      <c r="O14" s="97">
        <v>0.59199999999999997</v>
      </c>
      <c r="P14" s="97">
        <f t="shared" si="3"/>
        <v>0.73017279999999996</v>
      </c>
      <c r="Q14" s="98">
        <f>O14*0.75/1000</f>
        <v>4.4399999999999995E-4</v>
      </c>
      <c r="R14" s="99">
        <f t="shared" si="4"/>
        <v>29.195047965307289</v>
      </c>
      <c r="S14" s="100"/>
      <c r="T14" s="101"/>
      <c r="U14" s="101"/>
      <c r="V14" s="82">
        <f t="shared" si="5"/>
        <v>21.317429918962723</v>
      </c>
      <c r="W14" s="94"/>
      <c r="X14" s="82"/>
      <c r="Y14" s="82"/>
      <c r="Z14" s="82">
        <f t="shared" si="7"/>
        <v>0.19404989451017338</v>
      </c>
      <c r="AA14" s="94"/>
      <c r="AB14" s="102"/>
      <c r="AD14" s="84">
        <f>D32</f>
        <v>215.20000000000002</v>
      </c>
      <c r="AE14" s="82">
        <f>S34</f>
        <v>43.204515305472562</v>
      </c>
      <c r="AF14" s="82">
        <f>U34</f>
        <v>5.6778104886878502</v>
      </c>
      <c r="AG14" s="82">
        <f>W34</f>
        <v>107.30544300378172</v>
      </c>
      <c r="AH14" s="82">
        <f>Y34</f>
        <v>15.596322656623874</v>
      </c>
    </row>
    <row r="15" spans="1:34" x14ac:dyDescent="0.2">
      <c r="A15" s="59"/>
      <c r="B15" s="226"/>
      <c r="C15" s="228"/>
      <c r="D15" s="230"/>
      <c r="E15" s="105" t="s">
        <v>106</v>
      </c>
      <c r="F15" s="232"/>
      <c r="G15" s="234"/>
      <c r="H15" s="77">
        <f>0.3285-F14</f>
        <v>0.27749000000000001</v>
      </c>
      <c r="I15" s="78">
        <f>0.3585-F14</f>
        <v>0.30748999999999999</v>
      </c>
      <c r="J15" s="78">
        <f>0.229-G14</f>
        <v>0.17950000000000002</v>
      </c>
      <c r="K15" s="78">
        <f>0.26-G14</f>
        <v>0.21050000000000002</v>
      </c>
      <c r="L15" s="78">
        <f t="shared" si="0"/>
        <v>2.7373176661264181E-2</v>
      </c>
      <c r="M15" s="78">
        <f t="shared" si="1"/>
        <v>2.919570502431118E-2</v>
      </c>
      <c r="N15" s="78">
        <f t="shared" si="2"/>
        <v>2.8284440842787681E-2</v>
      </c>
      <c r="O15" s="78">
        <v>0.58599999999999997</v>
      </c>
      <c r="P15" s="78">
        <f t="shared" si="3"/>
        <v>0.72277239999999998</v>
      </c>
      <c r="Q15" s="79">
        <f>O15*0.75/1000</f>
        <v>4.395E-4</v>
      </c>
      <c r="R15" s="80">
        <f t="shared" si="4"/>
        <v>32.177975930361413</v>
      </c>
      <c r="S15" s="81"/>
      <c r="T15" s="82"/>
      <c r="U15" s="82"/>
      <c r="V15" s="82">
        <f t="shared" si="5"/>
        <v>23.25735289032955</v>
      </c>
      <c r="W15" s="94"/>
      <c r="X15" s="82"/>
      <c r="Y15" s="82"/>
      <c r="Z15" s="82">
        <f>(V15-$V$6)/(D14-$D$5)</f>
        <v>0.20029979360519981</v>
      </c>
      <c r="AA15" s="94"/>
      <c r="AB15" s="102"/>
      <c r="AD15" s="84">
        <f>D35</f>
        <v>238.93333333333334</v>
      </c>
      <c r="AE15" s="82">
        <f>S37</f>
        <v>51.697861026397788</v>
      </c>
      <c r="AF15" s="82">
        <f>U37</f>
        <v>4.0009546339262414</v>
      </c>
      <c r="AG15" s="82">
        <f>W37</f>
        <v>156.60867999279674</v>
      </c>
      <c r="AH15" s="82">
        <f>Y37</f>
        <v>15.066973191303507</v>
      </c>
    </row>
    <row r="16" spans="1:34" x14ac:dyDescent="0.2">
      <c r="A16" s="59"/>
      <c r="B16" s="227"/>
      <c r="C16" s="229"/>
      <c r="D16" s="231"/>
      <c r="E16" s="141" t="s">
        <v>107</v>
      </c>
      <c r="F16" s="233"/>
      <c r="G16" s="235"/>
      <c r="H16" s="85">
        <f>0.2574-F14</f>
        <v>0.20639000000000002</v>
      </c>
      <c r="I16" s="86">
        <f>0.2715-F14</f>
        <v>0.22049000000000002</v>
      </c>
      <c r="J16" s="86">
        <f>0.1907-G14</f>
        <v>0.14120000000000002</v>
      </c>
      <c r="K16" s="86">
        <f>0.2009-G14</f>
        <v>0.15140000000000001</v>
      </c>
      <c r="L16" s="78">
        <f t="shared" si="0"/>
        <v>1.9605186385737439E-2</v>
      </c>
      <c r="M16" s="78">
        <f t="shared" si="1"/>
        <v>2.0890275526742306E-2</v>
      </c>
      <c r="N16" s="86">
        <f t="shared" si="2"/>
        <v>2.0247730956239871E-2</v>
      </c>
      <c r="O16" s="86">
        <v>0.54200000000000004</v>
      </c>
      <c r="P16" s="86">
        <f t="shared" si="3"/>
        <v>0.66850280000000006</v>
      </c>
      <c r="Q16" s="87">
        <f>O16*0.75/1000</f>
        <v>4.0650000000000001E-4</v>
      </c>
      <c r="R16" s="88">
        <f t="shared" si="4"/>
        <v>24.904958125756298</v>
      </c>
      <c r="S16" s="89">
        <f>AVERAGE(R14:R16)</f>
        <v>28.759327340475</v>
      </c>
      <c r="T16" s="90">
        <f>STDEV(R14:R16)</f>
        <v>3.6560342372171282</v>
      </c>
      <c r="U16" s="90">
        <f>T16/SQRT(3)</f>
        <v>2.1108123510237973</v>
      </c>
      <c r="V16" s="90">
        <f t="shared" si="5"/>
        <v>16.64903424095084</v>
      </c>
      <c r="W16" s="89">
        <f>AVERAGE(V14:V16)</f>
        <v>20.407939016747704</v>
      </c>
      <c r="X16" s="90">
        <f>STDEV(V14:V16)</f>
        <v>3.3967409555102455</v>
      </c>
      <c r="Y16" s="90">
        <f>X16/SQRT(3)</f>
        <v>1.9611093050312669</v>
      </c>
      <c r="Z16" s="90">
        <f>(V16-$V$7)/(D14-$D$5)</f>
        <v>0.12570778576815772</v>
      </c>
      <c r="AA16" s="89">
        <f>AVERAGE(Z14:Z16)</f>
        <v>0.17335249129451027</v>
      </c>
      <c r="AB16" s="95">
        <f>STDEV(Z14:Z16)/SQRT(3)</f>
        <v>2.3890575430450624E-2</v>
      </c>
      <c r="AD16" s="84">
        <f>D38</f>
        <v>264.31666666666666</v>
      </c>
      <c r="AE16" s="82">
        <f>S40</f>
        <v>56.051520695302436</v>
      </c>
      <c r="AF16" s="82">
        <f>U40</f>
        <v>6.7306828051058556</v>
      </c>
      <c r="AG16" s="82">
        <f>W40</f>
        <v>178.46663965424094</v>
      </c>
      <c r="AH16" s="82">
        <f>Y40</f>
        <v>18.255101738277453</v>
      </c>
    </row>
    <row r="17" spans="1:34" x14ac:dyDescent="0.2">
      <c r="A17" s="59"/>
      <c r="B17" s="244" t="s">
        <v>28</v>
      </c>
      <c r="C17" s="245">
        <v>0.53611111111111109</v>
      </c>
      <c r="D17" s="246">
        <f>13+40/60+D14+13</f>
        <v>97.366666666666674</v>
      </c>
      <c r="E17" s="105" t="s">
        <v>105</v>
      </c>
      <c r="F17" s="247">
        <f>(0.0497+0.0455)/2</f>
        <v>4.7600000000000003E-2</v>
      </c>
      <c r="G17" s="249">
        <f>(0.0476+0.0436)/2</f>
        <v>4.5600000000000002E-2</v>
      </c>
      <c r="H17" s="96">
        <f>0.5549-F17</f>
        <v>0.50729999999999997</v>
      </c>
      <c r="I17" s="97">
        <f>0.4921-F17</f>
        <v>0.44450000000000001</v>
      </c>
      <c r="J17" s="97">
        <f>0.3663-G17</f>
        <v>0.32069999999999999</v>
      </c>
      <c r="K17" s="97">
        <f>0.3074-G17</f>
        <v>0.26180000000000003</v>
      </c>
      <c r="L17" s="78">
        <f t="shared" si="0"/>
        <v>5.0774149108589947E-2</v>
      </c>
      <c r="M17" s="78">
        <f t="shared" si="1"/>
        <v>4.6371312803889793E-2</v>
      </c>
      <c r="N17" s="97">
        <f t="shared" si="2"/>
        <v>4.8572730956239873E-2</v>
      </c>
      <c r="O17" s="97">
        <v>0.83</v>
      </c>
      <c r="P17" s="97">
        <f t="shared" si="3"/>
        <v>1.023722</v>
      </c>
      <c r="Q17" s="98">
        <f>O17*0.5/1000</f>
        <v>4.15E-4</v>
      </c>
      <c r="R17" s="99">
        <f t="shared" si="4"/>
        <v>58.521362597879367</v>
      </c>
      <c r="S17" s="103"/>
      <c r="T17" s="104"/>
      <c r="U17" s="104"/>
      <c r="V17" s="82">
        <f t="shared" si="5"/>
        <v>59.909606361426263</v>
      </c>
      <c r="W17" s="94"/>
      <c r="X17" s="82"/>
      <c r="Y17" s="82"/>
      <c r="Z17" s="82">
        <f t="shared" si="7"/>
        <v>0.53726296457719414</v>
      </c>
      <c r="AA17" s="94"/>
      <c r="AB17" s="102"/>
      <c r="AD17" s="84">
        <f>D41</f>
        <v>287.41666666666669</v>
      </c>
      <c r="AE17" s="82">
        <f>S43</f>
        <v>57.308337255707436</v>
      </c>
      <c r="AF17" s="82">
        <f>U43</f>
        <v>12.659949923418505</v>
      </c>
      <c r="AG17" s="82">
        <f>W43</f>
        <v>200.95029713668285</v>
      </c>
      <c r="AH17" s="82">
        <f>Y43</f>
        <v>49.808061519931996</v>
      </c>
    </row>
    <row r="18" spans="1:34" ht="15" customHeight="1" x14ac:dyDescent="0.2">
      <c r="A18" s="59"/>
      <c r="B18" s="226"/>
      <c r="C18" s="228"/>
      <c r="D18" s="230"/>
      <c r="E18" s="105" t="s">
        <v>106</v>
      </c>
      <c r="F18" s="232"/>
      <c r="G18" s="234"/>
      <c r="H18" s="77">
        <f>0.5285-F17</f>
        <v>0.48089999999999999</v>
      </c>
      <c r="I18" s="78">
        <f>0.5383-F17</f>
        <v>0.49070000000000003</v>
      </c>
      <c r="J18" s="78">
        <f>0.3988-G17</f>
        <v>0.35319999999999996</v>
      </c>
      <c r="K18" s="78">
        <f>0.4103-G17</f>
        <v>0.36470000000000002</v>
      </c>
      <c r="L18" s="78">
        <f t="shared" si="0"/>
        <v>4.3308589951377645E-2</v>
      </c>
      <c r="M18" s="78">
        <f t="shared" si="1"/>
        <v>4.3769286871961105E-2</v>
      </c>
      <c r="N18" s="78">
        <f t="shared" si="2"/>
        <v>4.3538938411669378E-2</v>
      </c>
      <c r="O18" s="78">
        <v>0.78300000000000003</v>
      </c>
      <c r="P18" s="78">
        <f t="shared" si="3"/>
        <v>0.96575220000000006</v>
      </c>
      <c r="Q18" s="79">
        <f>O18*0.5/1000</f>
        <v>3.9150000000000003E-4</v>
      </c>
      <c r="R18" s="80">
        <f t="shared" si="4"/>
        <v>55.60528532780252</v>
      </c>
      <c r="S18" s="81"/>
      <c r="V18" s="82">
        <f t="shared" si="5"/>
        <v>53.700926636953007</v>
      </c>
      <c r="W18" s="94"/>
      <c r="X18" s="82"/>
      <c r="Y18" s="82"/>
      <c r="Z18" s="82">
        <f>(V18-$V$6)/(D17-$D$5)</f>
        <v>0.45811128881729968</v>
      </c>
      <c r="AA18" s="94"/>
      <c r="AB18" s="102"/>
      <c r="AD18" s="84">
        <f>D44</f>
        <v>334.93333333333334</v>
      </c>
      <c r="AE18" s="82">
        <f>S46</f>
        <v>59.521541606800383</v>
      </c>
      <c r="AF18" s="82">
        <f>U46</f>
        <v>2.5975882649356445</v>
      </c>
      <c r="AG18" s="82">
        <f>W46</f>
        <v>217.0095894111291</v>
      </c>
      <c r="AH18" s="82">
        <f>Y46</f>
        <v>1.9587919140495116</v>
      </c>
    </row>
    <row r="19" spans="1:34" ht="15" customHeight="1" x14ac:dyDescent="0.2">
      <c r="A19" s="59"/>
      <c r="B19" s="227"/>
      <c r="C19" s="229"/>
      <c r="D19" s="231"/>
      <c r="E19" s="141" t="s">
        <v>107</v>
      </c>
      <c r="F19" s="233"/>
      <c r="G19" s="235"/>
      <c r="H19" s="85">
        <f>0.4109-F17</f>
        <v>0.36329999999999996</v>
      </c>
      <c r="I19" s="86">
        <f>0.4303-F17</f>
        <v>0.38270000000000004</v>
      </c>
      <c r="J19" s="86">
        <f>0.2969-G17</f>
        <v>0.25129999999999997</v>
      </c>
      <c r="K19" s="86">
        <f>0.3119-G17</f>
        <v>0.26629999999999998</v>
      </c>
      <c r="L19" s="78">
        <f t="shared" si="0"/>
        <v>3.4240437601296594E-2</v>
      </c>
      <c r="M19" s="78">
        <f t="shared" si="1"/>
        <v>3.5913857374392226E-2</v>
      </c>
      <c r="N19" s="86">
        <f t="shared" si="2"/>
        <v>3.5077147487844407E-2</v>
      </c>
      <c r="O19" s="86">
        <v>0.76800000000000002</v>
      </c>
      <c r="P19" s="86">
        <f t="shared" si="3"/>
        <v>0.94725120000000007</v>
      </c>
      <c r="Q19" s="87">
        <f>O19*0.5/1000</f>
        <v>3.8400000000000001E-4</v>
      </c>
      <c r="R19" s="88">
        <f t="shared" si="4"/>
        <v>45.673369124797404</v>
      </c>
      <c r="S19" s="89">
        <f>AVERAGE(R17:R19)</f>
        <v>53.266672350159759</v>
      </c>
      <c r="T19" s="90">
        <f>STDEV(R17:R19)</f>
        <v>6.735693510358737</v>
      </c>
      <c r="U19" s="90">
        <f>T19/SQRT(3)</f>
        <v>3.8888544613844322</v>
      </c>
      <c r="V19" s="90">
        <f t="shared" si="5"/>
        <v>43.264153711507291</v>
      </c>
      <c r="W19" s="89">
        <f>AVERAGE(V17:V19)</f>
        <v>52.291562236628856</v>
      </c>
      <c r="X19" s="90">
        <f>STDEV(V17:V19)</f>
        <v>8.4117480044190902</v>
      </c>
      <c r="Y19" s="90">
        <f>X19/SQRT(3)</f>
        <v>4.8565249747066597</v>
      </c>
      <c r="Z19" s="90">
        <f>(V19-$V$7)/(D17-$D$5)</f>
        <v>0.36462848261929343</v>
      </c>
      <c r="AA19" s="89">
        <f>AVERAGE(Z17:Z19)</f>
        <v>0.45333424533792904</v>
      </c>
      <c r="AB19" s="95">
        <f>STDEV(Z17:Z19)/SQRT(3)</f>
        <v>4.9892488407645409E-2</v>
      </c>
      <c r="AD19" s="84">
        <f>D47</f>
        <v>358.78333333333336</v>
      </c>
      <c r="AE19" s="82">
        <f>S49</f>
        <v>56.760955057836917</v>
      </c>
      <c r="AF19" s="82">
        <f>U49</f>
        <v>3.6564385749590813</v>
      </c>
      <c r="AG19" s="82">
        <f>W49</f>
        <v>250.5213398163155</v>
      </c>
      <c r="AH19" s="82">
        <f>Y49</f>
        <v>13.831434535185641</v>
      </c>
    </row>
    <row r="20" spans="1:34" x14ac:dyDescent="0.2">
      <c r="A20" s="59"/>
      <c r="B20" s="244" t="s">
        <v>29</v>
      </c>
      <c r="C20" s="245">
        <v>0.5395833333333333</v>
      </c>
      <c r="D20" s="246">
        <f>11+5/60+13+D17</f>
        <v>121.45000000000002</v>
      </c>
      <c r="E20" s="105" t="s">
        <v>105</v>
      </c>
      <c r="F20" s="247">
        <f>0.0468</f>
        <v>4.6800000000000001E-2</v>
      </c>
      <c r="G20" s="249">
        <v>4.5199999999999997E-2</v>
      </c>
      <c r="H20" s="77">
        <f>0.3649-F20</f>
        <v>0.31809999999999999</v>
      </c>
      <c r="I20" s="78">
        <f>0.3626-F20</f>
        <v>0.31579999999999997</v>
      </c>
      <c r="J20" s="78">
        <f>0.2411-G20</f>
        <v>0.19590000000000002</v>
      </c>
      <c r="K20" s="78">
        <f>0.2416-G20</f>
        <v>0.19640000000000002</v>
      </c>
      <c r="L20" s="78">
        <f t="shared" si="0"/>
        <v>3.2346920583468393E-2</v>
      </c>
      <c r="M20" s="78">
        <f t="shared" si="1"/>
        <v>3.1925121555915717E-2</v>
      </c>
      <c r="N20" s="78">
        <f t="shared" si="2"/>
        <v>3.2136021069692058E-2</v>
      </c>
      <c r="O20" s="78">
        <v>1.147</v>
      </c>
      <c r="P20" s="78">
        <f t="shared" si="3"/>
        <v>1.4147098</v>
      </c>
      <c r="Q20" s="79">
        <f>O20*0.25/1000</f>
        <v>2.8675E-4</v>
      </c>
      <c r="R20" s="80">
        <f t="shared" si="4"/>
        <v>56.034910322043693</v>
      </c>
      <c r="S20" s="81"/>
      <c r="V20" s="82">
        <f t="shared" si="5"/>
        <v>79.273136774716363</v>
      </c>
      <c r="W20" s="94"/>
      <c r="X20" s="82"/>
      <c r="Y20" s="82"/>
      <c r="Z20" s="82">
        <f t="shared" si="7"/>
        <v>0.59016084312575445</v>
      </c>
      <c r="AA20" s="94"/>
      <c r="AB20" s="102"/>
      <c r="AD20" s="84">
        <f>D50</f>
        <v>406.8</v>
      </c>
      <c r="AE20" s="82">
        <f>S52</f>
        <v>62.516835293785249</v>
      </c>
      <c r="AF20" s="82">
        <f>U52</f>
        <v>8.5594853871841288</v>
      </c>
      <c r="AG20" s="82">
        <f>W52</f>
        <v>287.26863857374389</v>
      </c>
      <c r="AH20" s="82">
        <f>Y52</f>
        <v>35.429500078127013</v>
      </c>
    </row>
    <row r="21" spans="1:34" x14ac:dyDescent="0.2">
      <c r="A21" s="59"/>
      <c r="B21" s="226"/>
      <c r="C21" s="228"/>
      <c r="D21" s="230"/>
      <c r="E21" s="105" t="s">
        <v>106</v>
      </c>
      <c r="F21" s="232"/>
      <c r="G21" s="234"/>
      <c r="H21" s="77">
        <f>0.3487-F20</f>
        <v>0.3019</v>
      </c>
      <c r="I21" s="78">
        <f>0.3413-F20</f>
        <v>0.29449999999999998</v>
      </c>
      <c r="J21" s="78">
        <f>0.2229-G20</f>
        <v>0.1777</v>
      </c>
      <c r="K21" s="78">
        <f>0.214-G20</f>
        <v>0.16880000000000001</v>
      </c>
      <c r="L21" s="78">
        <f t="shared" si="0"/>
        <v>3.1505915721231764E-2</v>
      </c>
      <c r="M21" s="78">
        <f t="shared" si="1"/>
        <v>3.1179254457050241E-2</v>
      </c>
      <c r="N21" s="78">
        <f t="shared" si="2"/>
        <v>3.1342585089141006E-2</v>
      </c>
      <c r="O21" s="78">
        <v>1.0580000000000001</v>
      </c>
      <c r="P21" s="78">
        <f t="shared" si="3"/>
        <v>1.3049372000000001</v>
      </c>
      <c r="Q21" s="79">
        <f>O21*0.25/1000</f>
        <v>2.6450000000000003E-4</v>
      </c>
      <c r="R21" s="80">
        <f t="shared" si="4"/>
        <v>59.248743079661629</v>
      </c>
      <c r="S21" s="81"/>
      <c r="V21" s="82">
        <f t="shared" si="5"/>
        <v>77.315888897893032</v>
      </c>
      <c r="W21" s="94"/>
      <c r="X21" s="82"/>
      <c r="Y21" s="82"/>
      <c r="Z21" s="82">
        <f>(V21-$V$6)/(D20-$D$5)</f>
        <v>0.56171042746357425</v>
      </c>
      <c r="AA21" s="94"/>
      <c r="AB21" s="102"/>
      <c r="AD21" s="84">
        <f>D53</f>
        <v>431.53333333333336</v>
      </c>
      <c r="AE21" s="82">
        <f>S55</f>
        <v>64.707965241319485</v>
      </c>
      <c r="AF21" s="82">
        <f>U55</f>
        <v>6.79860355996008</v>
      </c>
      <c r="AG21" s="82">
        <f>W55</f>
        <v>300.0698271204754</v>
      </c>
      <c r="AH21" s="82">
        <f>Y55</f>
        <v>39.371701321979963</v>
      </c>
    </row>
    <row r="22" spans="1:34" x14ac:dyDescent="0.2">
      <c r="A22" s="59"/>
      <c r="B22" s="227"/>
      <c r="C22" s="229"/>
      <c r="D22" s="231"/>
      <c r="E22" s="141" t="s">
        <v>107</v>
      </c>
      <c r="F22" s="233"/>
      <c r="G22" s="235"/>
      <c r="H22" s="85">
        <f>0.3197-F20</f>
        <v>0.27289999999999998</v>
      </c>
      <c r="I22" s="86">
        <f>0.3242-F20</f>
        <v>0.27739999999999998</v>
      </c>
      <c r="J22" s="86">
        <f>0.2121-G20</f>
        <v>0.16690000000000002</v>
      </c>
      <c r="K22" s="86">
        <f>0.2145-G20</f>
        <v>0.16930000000000001</v>
      </c>
      <c r="L22" s="78">
        <f t="shared" si="0"/>
        <v>2.7864748784440837E-2</v>
      </c>
      <c r="M22" s="78">
        <f t="shared" si="1"/>
        <v>2.8358752025931924E-2</v>
      </c>
      <c r="N22" s="86">
        <f t="shared" si="2"/>
        <v>2.8111750405186382E-2</v>
      </c>
      <c r="O22" s="86">
        <v>1.036</v>
      </c>
      <c r="P22" s="86">
        <f t="shared" si="3"/>
        <v>1.2778024000000001</v>
      </c>
      <c r="Q22" s="87">
        <f>O22*0.25/1000</f>
        <v>2.5900000000000001E-4</v>
      </c>
      <c r="R22" s="88">
        <f t="shared" si="4"/>
        <v>54.269788427000734</v>
      </c>
      <c r="S22" s="89">
        <f>AVERAGE(R20:R22)</f>
        <v>56.517813942902023</v>
      </c>
      <c r="T22" s="90">
        <f>STDEV(R20:R22)</f>
        <v>2.5243601741019361</v>
      </c>
      <c r="U22" s="90">
        <f>T22/SQRT(3)</f>
        <v>1.4574400260493234</v>
      </c>
      <c r="V22" s="90">
        <f t="shared" si="5"/>
        <v>69.346065899513775</v>
      </c>
      <c r="W22" s="89">
        <f>AVERAGE(V20:V22)</f>
        <v>75.311697190707733</v>
      </c>
      <c r="X22" s="90">
        <f>STDEV(V20:V22)</f>
        <v>5.2582575383568502</v>
      </c>
      <c r="Y22" s="90">
        <f>X22/SQRT(3)</f>
        <v>3.0358564052387065</v>
      </c>
      <c r="Z22" s="90">
        <f>(V22-$V$7)/(D20-$D$5)</f>
        <v>0.50707758017597104</v>
      </c>
      <c r="AA22" s="89">
        <f>AVERAGE(Z20:Z22)</f>
        <v>0.55298295025509991</v>
      </c>
      <c r="AB22" s="95">
        <f>STDEV(Z20:Z22)/SQRT(3)</f>
        <v>2.4377816346110266E-2</v>
      </c>
      <c r="AD22" s="84"/>
      <c r="AE22" s="82"/>
      <c r="AF22" s="82"/>
      <c r="AG22" s="82"/>
      <c r="AH22" s="82"/>
    </row>
    <row r="23" spans="1:34" x14ac:dyDescent="0.2">
      <c r="A23" s="59"/>
      <c r="B23" s="244" t="s">
        <v>30</v>
      </c>
      <c r="C23" s="245">
        <v>0.38958333333333334</v>
      </c>
      <c r="D23" s="246">
        <f>8+24/60+12+D20</f>
        <v>141.85000000000002</v>
      </c>
      <c r="E23" s="105" t="s">
        <v>105</v>
      </c>
      <c r="F23" s="247">
        <v>4.4299999999999999E-2</v>
      </c>
      <c r="G23" s="249">
        <v>4.3999999999999997E-2</v>
      </c>
      <c r="H23" s="96">
        <f>0.2281-F23</f>
        <v>0.18379999999999999</v>
      </c>
      <c r="I23" s="97">
        <f>0.2269-F23</f>
        <v>0.18259999999999998</v>
      </c>
      <c r="J23" s="97">
        <f>0.1523-G23</f>
        <v>0.10829999999999999</v>
      </c>
      <c r="K23" s="97">
        <f>0.1521-G23</f>
        <v>0.10810000000000002</v>
      </c>
      <c r="L23" s="78">
        <f t="shared" si="0"/>
        <v>1.916993517017828E-2</v>
      </c>
      <c r="M23" s="78">
        <f t="shared" si="1"/>
        <v>1.8995056726093997E-2</v>
      </c>
      <c r="N23" s="97">
        <f t="shared" si="2"/>
        <v>1.9082495948136137E-2</v>
      </c>
      <c r="O23" s="97">
        <v>1.298</v>
      </c>
      <c r="P23" s="97">
        <f t="shared" si="3"/>
        <v>1.6009532000000002</v>
      </c>
      <c r="Q23" s="98">
        <f>O23*0.125/1000</f>
        <v>1.6225000000000001E-4</v>
      </c>
      <c r="R23" s="99">
        <f t="shared" si="4"/>
        <v>58.805842675303964</v>
      </c>
      <c r="S23" s="103"/>
      <c r="T23" s="104"/>
      <c r="U23" s="104"/>
      <c r="V23" s="82">
        <f t="shared" si="5"/>
        <v>94.145402009724449</v>
      </c>
      <c r="W23" s="94"/>
      <c r="X23" s="82"/>
      <c r="Y23" s="82"/>
      <c r="Z23" s="82">
        <f t="shared" si="7"/>
        <v>0.61013253177744775</v>
      </c>
      <c r="AA23" s="94"/>
      <c r="AB23" s="102"/>
      <c r="AC23" s="82"/>
      <c r="AD23" s="82"/>
      <c r="AE23" s="82"/>
    </row>
    <row r="24" spans="1:34" x14ac:dyDescent="0.2">
      <c r="A24" s="59"/>
      <c r="B24" s="226"/>
      <c r="C24" s="228"/>
      <c r="D24" s="230"/>
      <c r="E24" s="105" t="s">
        <v>106</v>
      </c>
      <c r="F24" s="232"/>
      <c r="G24" s="234"/>
      <c r="H24" s="77">
        <f>0.3365-F23</f>
        <v>0.29220000000000002</v>
      </c>
      <c r="I24" s="78">
        <f>0.311-F23</f>
        <v>0.26669999999999999</v>
      </c>
      <c r="J24" s="78">
        <f>0.2532-G23</f>
        <v>0.2092</v>
      </c>
      <c r="K24" s="78">
        <f>0.2272-G23</f>
        <v>0.18320000000000003</v>
      </c>
      <c r="L24" s="78">
        <f t="shared" si="0"/>
        <v>2.6845056726094007E-2</v>
      </c>
      <c r="M24" s="78">
        <f t="shared" si="1"/>
        <v>2.5261588330632086E-2</v>
      </c>
      <c r="N24" s="78">
        <f t="shared" si="2"/>
        <v>2.6053322528363045E-2</v>
      </c>
      <c r="O24" s="78">
        <v>1.228</v>
      </c>
      <c r="P24" s="78">
        <f t="shared" si="3"/>
        <v>1.5146151999999999</v>
      </c>
      <c r="Q24" s="79">
        <f>O24*0.125/1000</f>
        <v>1.5349999999999999E-4</v>
      </c>
      <c r="R24" s="80">
        <f t="shared" si="4"/>
        <v>84.864242763397542</v>
      </c>
      <c r="S24" s="81"/>
      <c r="V24" s="82">
        <f t="shared" si="5"/>
        <v>128.53667202593192</v>
      </c>
      <c r="W24" s="94"/>
      <c r="X24" s="82"/>
      <c r="Y24" s="82"/>
      <c r="Z24" s="82">
        <f>(V24-$V$7)/(D23-$D$5)</f>
        <v>0.85142882085858174</v>
      </c>
      <c r="AA24" s="94"/>
      <c r="AB24" s="102"/>
      <c r="AC24" s="82"/>
      <c r="AD24" s="82"/>
      <c r="AE24" s="82"/>
    </row>
    <row r="25" spans="1:34" x14ac:dyDescent="0.2">
      <c r="A25" s="59"/>
      <c r="B25" s="227"/>
      <c r="C25" s="229"/>
      <c r="D25" s="231"/>
      <c r="E25" s="141" t="s">
        <v>107</v>
      </c>
      <c r="F25" s="233"/>
      <c r="G25" s="235"/>
      <c r="H25" s="85">
        <f>0.1544-F23</f>
        <v>0.1101</v>
      </c>
      <c r="I25" s="86">
        <f>0.1522-F23</f>
        <v>0.1079</v>
      </c>
      <c r="J25" s="86">
        <f>0.108-G23</f>
        <v>6.4000000000000001E-2</v>
      </c>
      <c r="K25" s="86">
        <f>0.1037-G23</f>
        <v>5.9700000000000003E-2</v>
      </c>
      <c r="L25" s="78">
        <f t="shared" si="0"/>
        <v>1.1568881685575365E-2</v>
      </c>
      <c r="M25" s="78">
        <f t="shared" si="1"/>
        <v>1.1633954619124797E-2</v>
      </c>
      <c r="N25" s="86">
        <f t="shared" si="2"/>
        <v>1.1601418152350081E-2</v>
      </c>
      <c r="O25" s="86">
        <v>1.3</v>
      </c>
      <c r="P25" s="86">
        <f t="shared" si="3"/>
        <v>1.6034200000000001</v>
      </c>
      <c r="Q25" s="87">
        <f>O25*0.125/1000</f>
        <v>1.6249999999999999E-4</v>
      </c>
      <c r="R25" s="88">
        <f t="shared" si="4"/>
        <v>35.696671238000249</v>
      </c>
      <c r="S25" s="89">
        <f>AVERAGE(R23:R25)</f>
        <v>59.788918892233916</v>
      </c>
      <c r="T25" s="90">
        <f>STDEV(R23:R25)</f>
        <v>24.598523361423247</v>
      </c>
      <c r="U25" s="90">
        <f>T25/SQRT(3)</f>
        <v>14.201964084385011</v>
      </c>
      <c r="V25" s="90">
        <f t="shared" si="5"/>
        <v>57.236756596434361</v>
      </c>
      <c r="W25" s="89">
        <f>AVERAGE(V23:V25)</f>
        <v>93.306276877363572</v>
      </c>
      <c r="X25" s="90">
        <f>STDEV(V23:V25)</f>
        <v>35.657363661720701</v>
      </c>
      <c r="Y25" s="90">
        <f>X25/SQRT(3)</f>
        <v>20.586788508686826</v>
      </c>
      <c r="Z25" s="90">
        <f>(V25-$V$7)/(D23-$D$5)</f>
        <v>0.34878577940988559</v>
      </c>
      <c r="AA25" s="89">
        <f>AVERAGE(Z23:Z25)</f>
        <v>0.60344904401530497</v>
      </c>
      <c r="AB25" s="95">
        <f>STDEV(Z23:Z25)/SQRT(3)</f>
        <v>0.14513902362413192</v>
      </c>
    </row>
    <row r="26" spans="1:34" x14ac:dyDescent="0.2">
      <c r="A26" s="59"/>
      <c r="B26" s="244" t="s">
        <v>31</v>
      </c>
      <c r="C26" s="245">
        <v>0.42291666666666666</v>
      </c>
      <c r="D26" s="246">
        <f>24+48/60+D23</f>
        <v>166.65000000000003</v>
      </c>
      <c r="E26" s="105" t="s">
        <v>105</v>
      </c>
      <c r="F26" s="247">
        <v>4.9299999999999997E-2</v>
      </c>
      <c r="G26" s="249">
        <v>4.8399999999999999E-2</v>
      </c>
      <c r="H26" s="96">
        <f>0.2359-F26</f>
        <v>0.18659999999999999</v>
      </c>
      <c r="I26" s="97">
        <f>0.2268-F26</f>
        <v>0.17749999999999999</v>
      </c>
      <c r="J26" s="97">
        <f>0.1506-G26</f>
        <v>0.10220000000000001</v>
      </c>
      <c r="K26" s="97">
        <f>0.1451-G26</f>
        <v>9.6700000000000008E-2</v>
      </c>
      <c r="L26" s="78">
        <f t="shared" si="0"/>
        <v>2.022188006482982E-2</v>
      </c>
      <c r="M26" s="78">
        <f t="shared" si="1"/>
        <v>1.9286304700162075E-2</v>
      </c>
      <c r="N26" s="97">
        <f t="shared" si="2"/>
        <v>1.9754092382495946E-2</v>
      </c>
      <c r="O26" s="97">
        <v>1.4990000000000001</v>
      </c>
      <c r="P26" s="97">
        <f t="shared" si="3"/>
        <v>1.8488666000000002</v>
      </c>
      <c r="Q26" s="98">
        <f t="shared" ref="Q26:Q31" si="8">P26*0.125/1000</f>
        <v>2.3110832500000003E-4</v>
      </c>
      <c r="R26" s="99">
        <f t="shared" si="4"/>
        <v>42.737734312461363</v>
      </c>
      <c r="S26" s="103"/>
      <c r="T26" s="104"/>
      <c r="U26" s="104"/>
      <c r="V26" s="82">
        <f t="shared" si="5"/>
        <v>79.016369529983791</v>
      </c>
      <c r="W26" s="94"/>
      <c r="X26" s="82"/>
      <c r="Y26" s="82"/>
      <c r="Z26" s="82">
        <f t="shared" si="7"/>
        <v>0.42855245816315818</v>
      </c>
      <c r="AA26" s="94"/>
      <c r="AB26" s="102"/>
    </row>
    <row r="27" spans="1:34" x14ac:dyDescent="0.2">
      <c r="A27" s="59"/>
      <c r="B27" s="226"/>
      <c r="C27" s="228"/>
      <c r="D27" s="230"/>
      <c r="E27" s="105" t="s">
        <v>106</v>
      </c>
      <c r="F27" s="232"/>
      <c r="G27" s="234"/>
      <c r="H27" s="77">
        <f>0.2428-F26</f>
        <v>0.19350000000000001</v>
      </c>
      <c r="I27" s="78">
        <f>0.2299-F26</f>
        <v>0.18059999999999998</v>
      </c>
      <c r="J27" s="78">
        <f>0.1558-G26</f>
        <v>0.1074</v>
      </c>
      <c r="K27" s="78">
        <f>0.1445-G26</f>
        <v>9.6099999999999991E-2</v>
      </c>
      <c r="L27" s="78">
        <f t="shared" si="0"/>
        <v>2.0830307941653161E-2</v>
      </c>
      <c r="M27" s="78">
        <f t="shared" si="1"/>
        <v>1.9847568881685575E-2</v>
      </c>
      <c r="N27" s="78">
        <f t="shared" si="2"/>
        <v>2.0338938411669366E-2</v>
      </c>
      <c r="O27" s="78">
        <v>1.4710000000000001</v>
      </c>
      <c r="P27" s="78">
        <f t="shared" si="3"/>
        <v>1.8143314000000001</v>
      </c>
      <c r="Q27" s="79">
        <f t="shared" si="8"/>
        <v>2.2679142500000001E-4</v>
      </c>
      <c r="R27" s="80">
        <f t="shared" si="4"/>
        <v>44.840624842119503</v>
      </c>
      <c r="S27" s="81"/>
      <c r="V27" s="82">
        <f t="shared" si="5"/>
        <v>81.355753646677471</v>
      </c>
      <c r="W27" s="94"/>
      <c r="X27" s="82"/>
      <c r="Y27" s="82"/>
      <c r="Z27" s="82">
        <f>(V27-$V$6)/(D26-$D$5)</f>
        <v>0.43360093707912112</v>
      </c>
      <c r="AA27" s="94"/>
      <c r="AB27" s="102"/>
    </row>
    <row r="28" spans="1:34" x14ac:dyDescent="0.2">
      <c r="A28" s="59"/>
      <c r="B28" s="227"/>
      <c r="C28" s="229"/>
      <c r="D28" s="231"/>
      <c r="E28" s="141" t="s">
        <v>107</v>
      </c>
      <c r="F28" s="233"/>
      <c r="G28" s="235"/>
      <c r="H28" s="85">
        <f>0.2417-F26</f>
        <v>0.19240000000000002</v>
      </c>
      <c r="I28" s="86">
        <f>0.2457-F26</f>
        <v>0.19640000000000002</v>
      </c>
      <c r="J28" s="86">
        <f>0.168-G26</f>
        <v>0.11960000000000001</v>
      </c>
      <c r="K28" s="86">
        <f>0.169-G26</f>
        <v>0.12060000000000001</v>
      </c>
      <c r="L28" s="78">
        <f t="shared" si="0"/>
        <v>1.9455753646677475E-2</v>
      </c>
      <c r="M28" s="78">
        <f t="shared" si="1"/>
        <v>2.0005996758508917E-2</v>
      </c>
      <c r="N28" s="86">
        <f t="shared" si="2"/>
        <v>1.9730875202593194E-2</v>
      </c>
      <c r="O28" s="86">
        <v>1.526</v>
      </c>
      <c r="P28" s="86">
        <f t="shared" si="3"/>
        <v>1.8821684000000001</v>
      </c>
      <c r="Q28" s="87">
        <f t="shared" si="8"/>
        <v>2.3527105000000002E-4</v>
      </c>
      <c r="R28" s="88">
        <f t="shared" si="4"/>
        <v>41.9322207356009</v>
      </c>
      <c r="S28" s="89">
        <f>AVERAGE(R26:R28)</f>
        <v>43.170193296727255</v>
      </c>
      <c r="T28" s="90">
        <f>STDEV(R26:R28)</f>
        <v>1.5016554836272478</v>
      </c>
      <c r="U28" s="90">
        <f>T28/SQRT(3)</f>
        <v>0.86698119770226922</v>
      </c>
      <c r="V28" s="90">
        <f t="shared" si="5"/>
        <v>78.923500810372772</v>
      </c>
      <c r="W28" s="89">
        <f>AVERAGE(V26:V28)</f>
        <v>79.765207995678011</v>
      </c>
      <c r="X28" s="90">
        <f>STDEV(V26:V28)</f>
        <v>1.3782353756545063</v>
      </c>
      <c r="Y28" s="90">
        <f>X28/SQRT(3)</f>
        <v>0.79572456514079426</v>
      </c>
      <c r="Z28" s="90">
        <f>(V28-$V$7)/(D26-$D$5)</f>
        <v>0.42701474361374542</v>
      </c>
      <c r="AA28" s="89">
        <f>AVERAGE(Z26:Z28)</f>
        <v>0.42972271295200826</v>
      </c>
      <c r="AB28" s="95">
        <f>STDEV(Z26:Z28)/SQRT(3)</f>
        <v>1.9892719182286489E-3</v>
      </c>
    </row>
    <row r="29" spans="1:34" x14ac:dyDescent="0.2">
      <c r="A29" s="59"/>
      <c r="B29" s="244" t="s">
        <v>32</v>
      </c>
      <c r="C29" s="245">
        <v>0.41805555555555557</v>
      </c>
      <c r="D29" s="246">
        <f>11+53/60+12+D26</f>
        <v>190.53333333333336</v>
      </c>
      <c r="E29" s="105" t="s">
        <v>105</v>
      </c>
      <c r="F29" s="247">
        <f>(0.0533+0.0497+0.0487)/3</f>
        <v>5.0566666666666669E-2</v>
      </c>
      <c r="G29" s="249">
        <f>(0.0526+0.0486+0.048)/3</f>
        <v>4.9733333333333331E-2</v>
      </c>
      <c r="H29" s="96">
        <f>0.3173-F29</f>
        <v>0.26673333333333338</v>
      </c>
      <c r="I29" s="97">
        <f>0.3217-F29</f>
        <v>0.27113333333333334</v>
      </c>
      <c r="J29" s="97">
        <f>0.1987-G29</f>
        <v>0.14896666666666666</v>
      </c>
      <c r="K29" s="97">
        <f>0.205-G29</f>
        <v>0.15526666666666666</v>
      </c>
      <c r="L29" s="78">
        <f t="shared" si="0"/>
        <v>2.8623743922204223E-2</v>
      </c>
      <c r="M29" s="78">
        <f t="shared" si="1"/>
        <v>2.8719124797406806E-2</v>
      </c>
      <c r="N29" s="97">
        <f t="shared" si="2"/>
        <v>2.8671434359805514E-2</v>
      </c>
      <c r="O29" s="97">
        <v>1.85</v>
      </c>
      <c r="P29" s="97">
        <f t="shared" si="3"/>
        <v>2.28179</v>
      </c>
      <c r="Q29" s="98">
        <f t="shared" si="8"/>
        <v>2.8522375000000002E-4</v>
      </c>
      <c r="R29" s="99">
        <f t="shared" si="4"/>
        <v>50.261302503395164</v>
      </c>
      <c r="S29" s="103"/>
      <c r="T29" s="104"/>
      <c r="U29" s="104"/>
      <c r="V29" s="82">
        <f t="shared" si="5"/>
        <v>114.68573743922205</v>
      </c>
      <c r="W29" s="94"/>
      <c r="X29" s="82"/>
      <c r="Y29" s="82"/>
      <c r="Z29" s="82">
        <f t="shared" si="7"/>
        <v>0.56204147163468454</v>
      </c>
      <c r="AA29" s="94"/>
      <c r="AB29" s="102"/>
    </row>
    <row r="30" spans="1:34" x14ac:dyDescent="0.2">
      <c r="A30" s="59"/>
      <c r="B30" s="226"/>
      <c r="C30" s="228"/>
      <c r="D30" s="230"/>
      <c r="E30" s="105" t="s">
        <v>106</v>
      </c>
      <c r="F30" s="232"/>
      <c r="G30" s="234"/>
      <c r="H30" s="77">
        <f>0.3071-F29</f>
        <v>0.25653333333333334</v>
      </c>
      <c r="I30" s="78">
        <f>0.3117-F29</f>
        <v>0.26113333333333333</v>
      </c>
      <c r="J30" s="78">
        <f>0.1924-G29</f>
        <v>0.14266666666666666</v>
      </c>
      <c r="K30" s="78">
        <f>0.1989-G29</f>
        <v>0.14916666666666667</v>
      </c>
      <c r="L30" s="78">
        <f t="shared" si="0"/>
        <v>2.7588330632090763E-2</v>
      </c>
      <c r="M30" s="78">
        <f t="shared" si="1"/>
        <v>2.7696515397082656E-2</v>
      </c>
      <c r="N30" s="78">
        <f t="shared" si="2"/>
        <v>2.764242301458671E-2</v>
      </c>
      <c r="O30" s="78">
        <v>1.85</v>
      </c>
      <c r="P30" s="78">
        <f t="shared" si="3"/>
        <v>2.28179</v>
      </c>
      <c r="Q30" s="79">
        <f t="shared" si="8"/>
        <v>2.8522375000000002E-4</v>
      </c>
      <c r="R30" s="80">
        <f t="shared" si="4"/>
        <v>48.457435635333155</v>
      </c>
      <c r="S30" s="81"/>
      <c r="V30" s="82">
        <f t="shared" si="5"/>
        <v>110.56969205834685</v>
      </c>
      <c r="W30" s="94"/>
      <c r="X30" s="82"/>
      <c r="Y30" s="82"/>
      <c r="Z30" s="82">
        <f>(V30-$V$6)/(D29-$D$5)</f>
        <v>0.53257628363840925</v>
      </c>
      <c r="AA30" s="94"/>
      <c r="AB30" s="102"/>
    </row>
    <row r="31" spans="1:34" x14ac:dyDescent="0.2">
      <c r="A31" s="59"/>
      <c r="B31" s="227"/>
      <c r="C31" s="229"/>
      <c r="D31" s="231"/>
      <c r="E31" s="141" t="s">
        <v>107</v>
      </c>
      <c r="F31" s="233"/>
      <c r="G31" s="235"/>
      <c r="H31" s="85">
        <f>0.2782-F29</f>
        <v>0.22763333333333333</v>
      </c>
      <c r="I31" s="86">
        <f>0.2774-F29</f>
        <v>0.2268333333333333</v>
      </c>
      <c r="J31" s="86">
        <f>0.1803-G29</f>
        <v>0.13056666666666666</v>
      </c>
      <c r="K31" s="86">
        <f>0.1757-G29</f>
        <v>0.12596666666666667</v>
      </c>
      <c r="L31" s="78">
        <f t="shared" si="0"/>
        <v>2.4090842787682337E-2</v>
      </c>
      <c r="M31" s="78">
        <f t="shared" si="1"/>
        <v>2.4412236628849265E-2</v>
      </c>
      <c r="N31" s="86">
        <f t="shared" si="2"/>
        <v>2.4251539708265803E-2</v>
      </c>
      <c r="O31" s="86">
        <v>1.9419999999999999</v>
      </c>
      <c r="P31" s="86">
        <f t="shared" si="3"/>
        <v>2.3952628000000002</v>
      </c>
      <c r="Q31" s="87">
        <f t="shared" si="8"/>
        <v>2.9940785000000003E-4</v>
      </c>
      <c r="R31" s="88">
        <f t="shared" si="4"/>
        <v>40.499171461713175</v>
      </c>
      <c r="S31" s="89">
        <f>AVERAGE(R29:R31)</f>
        <v>46.405969866813827</v>
      </c>
      <c r="T31" s="90">
        <f>STDEV(R29:R31)</f>
        <v>5.1943415817885628</v>
      </c>
      <c r="U31" s="90">
        <f>T31/SQRT(3)</f>
        <v>2.9989545105084932</v>
      </c>
      <c r="V31" s="90">
        <f t="shared" si="5"/>
        <v>97.006158833063196</v>
      </c>
      <c r="W31" s="89">
        <f>AVERAGE(V29:V31)</f>
        <v>107.42052944354403</v>
      </c>
      <c r="X31" s="90">
        <f>STDEV(V29:V31)</f>
        <v>9.2509347529690888</v>
      </c>
      <c r="Y31" s="90">
        <f>X31/SQRT(3)</f>
        <v>5.341029669882368</v>
      </c>
      <c r="Z31" s="90">
        <f>(V31-$V$7)/(D29-$D$5)</f>
        <v>0.46839397329909604</v>
      </c>
      <c r="AA31" s="89">
        <f>AVERAGE(Z29:Z31)</f>
        <v>0.52100390952406328</v>
      </c>
      <c r="AB31" s="95">
        <f>STDEV(Z29:Z31)/SQRT(3)</f>
        <v>2.7645996504076929E-2</v>
      </c>
    </row>
    <row r="32" spans="1:34" x14ac:dyDescent="0.2">
      <c r="A32" s="59"/>
      <c r="B32" s="244" t="s">
        <v>33</v>
      </c>
      <c r="C32" s="245">
        <v>0.4458333333333333</v>
      </c>
      <c r="D32" s="246">
        <f>40/60+24+D29</f>
        <v>215.20000000000002</v>
      </c>
      <c r="E32" s="105" t="s">
        <v>105</v>
      </c>
      <c r="F32" s="247">
        <f>(0.0523+0.0363+0.0414)/3</f>
        <v>4.3333333333333335E-2</v>
      </c>
      <c r="G32" s="249">
        <f>(0.0511+0.0355+0.0401)/3</f>
        <v>4.2233333333333324E-2</v>
      </c>
      <c r="H32" s="96">
        <f>0.2993-F32</f>
        <v>0.25596666666666668</v>
      </c>
      <c r="I32" s="97">
        <f>0.3267-F32</f>
        <v>0.28336666666666666</v>
      </c>
      <c r="J32" s="97">
        <f>0.1943-G32</f>
        <v>0.15206666666666668</v>
      </c>
      <c r="K32" s="97">
        <f>0.2171-G32</f>
        <v>0.17486666666666667</v>
      </c>
      <c r="L32" s="78">
        <f t="shared" si="0"/>
        <v>2.6574770394381414E-2</v>
      </c>
      <c r="M32" s="78">
        <f t="shared" si="1"/>
        <v>2.8779956780118854E-2</v>
      </c>
      <c r="N32" s="97">
        <f t="shared" si="2"/>
        <v>2.7677363587250134E-2</v>
      </c>
      <c r="O32" s="97">
        <v>2.06</v>
      </c>
      <c r="P32" s="97">
        <f t="shared" si="3"/>
        <v>2.5408040000000001</v>
      </c>
      <c r="Q32" s="98">
        <f t="shared" ref="Q32:Q34" si="9">P32*0.1/1000</f>
        <v>2.5408040000000003E-4</v>
      </c>
      <c r="R32" s="99">
        <f t="shared" si="4"/>
        <v>54.465758844936744</v>
      </c>
      <c r="S32" s="103"/>
      <c r="T32" s="104"/>
      <c r="U32" s="104"/>
      <c r="V32" s="82">
        <f t="shared" si="5"/>
        <v>138.38681793625065</v>
      </c>
      <c r="W32" s="94"/>
      <c r="X32" s="82"/>
      <c r="Y32" s="82"/>
      <c r="Z32" s="82">
        <f t="shared" si="7"/>
        <v>0.60775425445705011</v>
      </c>
      <c r="AA32" s="94"/>
      <c r="AB32" s="102"/>
    </row>
    <row r="33" spans="1:28" x14ac:dyDescent="0.2">
      <c r="A33" s="59"/>
      <c r="B33" s="226"/>
      <c r="C33" s="228"/>
      <c r="D33" s="230"/>
      <c r="E33" s="105" t="s">
        <v>106</v>
      </c>
      <c r="F33" s="232"/>
      <c r="G33" s="234"/>
      <c r="H33" s="77">
        <f>0.2014-F32</f>
        <v>0.15806666666666666</v>
      </c>
      <c r="I33" s="78">
        <f>0.2131-F32</f>
        <v>0.16976666666666668</v>
      </c>
      <c r="J33" s="78">
        <f>0.1275-G32</f>
        <v>8.5266666666666685E-2</v>
      </c>
      <c r="K33" s="78">
        <f>0.1338-G32</f>
        <v>9.1566666666666685E-2</v>
      </c>
      <c r="L33" s="78">
        <f t="shared" si="0"/>
        <v>1.7257752566180441E-2</v>
      </c>
      <c r="M33" s="78">
        <f t="shared" si="1"/>
        <v>1.8536277687736358E-2</v>
      </c>
      <c r="N33" s="78">
        <f t="shared" si="2"/>
        <v>1.7897015126958397E-2</v>
      </c>
      <c r="O33" s="78">
        <v>1.8680000000000001</v>
      </c>
      <c r="P33" s="78">
        <f t="shared" si="3"/>
        <v>2.3039912</v>
      </c>
      <c r="Q33" s="79">
        <f t="shared" si="9"/>
        <v>2.3039912000000001E-4</v>
      </c>
      <c r="R33" s="80">
        <f t="shared" si="4"/>
        <v>38.839156866047048</v>
      </c>
      <c r="S33" s="81"/>
      <c r="V33" s="82">
        <f t="shared" si="5"/>
        <v>89.485075634791983</v>
      </c>
      <c r="W33" s="94"/>
      <c r="X33" s="82"/>
      <c r="Y33" s="82"/>
      <c r="Z33" s="82">
        <f>(V33-$V$6)/(D32-$D$5)</f>
        <v>0.37355445238080881</v>
      </c>
      <c r="AA33" s="94"/>
      <c r="AB33" s="102"/>
    </row>
    <row r="34" spans="1:28" x14ac:dyDescent="0.2">
      <c r="A34" s="59"/>
      <c r="B34" s="227"/>
      <c r="C34" s="229"/>
      <c r="D34" s="231"/>
      <c r="E34" s="141" t="s">
        <v>107</v>
      </c>
      <c r="F34" s="233"/>
      <c r="G34" s="235"/>
      <c r="H34" s="85">
        <f>0.2193-F32</f>
        <v>0.17596666666666666</v>
      </c>
      <c r="I34" s="86">
        <f>0.2243-F32</f>
        <v>0.18096666666666666</v>
      </c>
      <c r="J34" s="86">
        <f>0.1455-G32</f>
        <v>0.10326666666666667</v>
      </c>
      <c r="K34" s="86">
        <f>0.1453-G32</f>
        <v>0.1030666666666667</v>
      </c>
      <c r="L34" s="78">
        <f t="shared" si="0"/>
        <v>1.8393895191788221E-2</v>
      </c>
      <c r="M34" s="78">
        <f t="shared" si="1"/>
        <v>1.9223878984332792E-2</v>
      </c>
      <c r="N34" s="86">
        <f t="shared" si="2"/>
        <v>1.8808887088060507E-2</v>
      </c>
      <c r="O34" s="86">
        <v>2.1</v>
      </c>
      <c r="P34" s="86">
        <f t="shared" si="3"/>
        <v>2.5901400000000003</v>
      </c>
      <c r="Q34" s="87">
        <f t="shared" si="9"/>
        <v>2.5901400000000001E-4</v>
      </c>
      <c r="R34" s="88">
        <f t="shared" si="4"/>
        <v>36.308630205433886</v>
      </c>
      <c r="S34" s="89">
        <f>AVERAGE(R32:R34)</f>
        <v>43.204515305472562</v>
      </c>
      <c r="T34" s="90">
        <f>STDEV(R32:R34)</f>
        <v>9.834256242154833</v>
      </c>
      <c r="U34" s="90">
        <f>T34/SQRT(3)</f>
        <v>5.6778104886878502</v>
      </c>
      <c r="V34" s="90">
        <f t="shared" si="5"/>
        <v>94.044435440302536</v>
      </c>
      <c r="W34" s="89">
        <f>AVERAGE(V32:V34)</f>
        <v>107.30544300378172</v>
      </c>
      <c r="X34" s="90">
        <f>STDEV(V32:V34)</f>
        <v>27.013623252510158</v>
      </c>
      <c r="Y34" s="90">
        <f>X34/SQRT(3)</f>
        <v>15.596322656623874</v>
      </c>
      <c r="Z34" s="90">
        <f>(V34-$V$7)/(D32-$D$5)</f>
        <v>0.40094303742174925</v>
      </c>
      <c r="AA34" s="89">
        <f>AVERAGE(Z32:Z34)</f>
        <v>0.46075058141986941</v>
      </c>
      <c r="AB34" s="95">
        <f>STDEV(Z32:Z34)/SQRT(3)</f>
        <v>7.3925849251018652E-2</v>
      </c>
    </row>
    <row r="35" spans="1:28" x14ac:dyDescent="0.2">
      <c r="A35" s="59"/>
      <c r="B35" s="244" t="s">
        <v>34</v>
      </c>
      <c r="C35" s="245">
        <v>0.43472222222222223</v>
      </c>
      <c r="D35" s="246">
        <f>12+11+44/60+D32</f>
        <v>238.93333333333334</v>
      </c>
      <c r="E35" s="105" t="s">
        <v>105</v>
      </c>
      <c r="F35" s="247">
        <f>(0.0531+0.05)/2</f>
        <v>5.1549999999999999E-2</v>
      </c>
      <c r="G35" s="249">
        <f>(0.0524+0.0491)/2</f>
        <v>5.0750000000000003E-2</v>
      </c>
      <c r="H35" s="96">
        <f>0.3443-F35</f>
        <v>0.29275000000000001</v>
      </c>
      <c r="I35" s="97">
        <f>0.336-F35</f>
        <v>0.28445000000000004</v>
      </c>
      <c r="J35" s="97">
        <f>0.2435-G35</f>
        <v>0.19274999999999998</v>
      </c>
      <c r="K35" s="97">
        <f>0.241-G35</f>
        <v>0.19024999999999997</v>
      </c>
      <c r="L35" s="78">
        <f t="shared" si="0"/>
        <v>2.8547204213938415E-2</v>
      </c>
      <c r="M35" s="78">
        <f t="shared" si="1"/>
        <v>2.7447123176661273E-2</v>
      </c>
      <c r="N35" s="97">
        <f t="shared" si="2"/>
        <v>2.7997163695299844E-2</v>
      </c>
      <c r="O35" s="97">
        <v>2.536</v>
      </c>
      <c r="P35" s="97">
        <f t="shared" si="3"/>
        <v>3.1279024</v>
      </c>
      <c r="Q35" s="98">
        <f t="shared" ref="Q35:Q37" si="10">P35*0.075/1000</f>
        <v>2.3459267999999999E-4</v>
      </c>
      <c r="R35" s="99">
        <f t="shared" si="4"/>
        <v>59.671861234757721</v>
      </c>
      <c r="S35" s="103"/>
      <c r="T35" s="104"/>
      <c r="U35" s="104"/>
      <c r="V35" s="82">
        <f t="shared" si="5"/>
        <v>186.64775796866564</v>
      </c>
      <c r="W35" s="94"/>
      <c r="X35" s="82"/>
      <c r="Y35" s="82"/>
      <c r="Z35" s="82">
        <f t="shared" si="7"/>
        <v>0.7493707683799059</v>
      </c>
      <c r="AA35" s="94"/>
      <c r="AB35" s="102"/>
    </row>
    <row r="36" spans="1:28" x14ac:dyDescent="0.2">
      <c r="A36" s="59"/>
      <c r="B36" s="226"/>
      <c r="C36" s="228"/>
      <c r="D36" s="230"/>
      <c r="E36" s="105" t="s">
        <v>106</v>
      </c>
      <c r="F36" s="232"/>
      <c r="G36" s="234"/>
      <c r="H36" s="77">
        <f>0.2412-F35</f>
        <v>0.18964999999999999</v>
      </c>
      <c r="I36" s="78">
        <f>0.2571-F35</f>
        <v>0.20555000000000001</v>
      </c>
      <c r="J36" s="78">
        <f>0.153-G35</f>
        <v>0.10224999999999999</v>
      </c>
      <c r="K36" s="78">
        <f>0.1622-G35</f>
        <v>0.11145000000000001</v>
      </c>
      <c r="L36" s="78">
        <f t="shared" si="0"/>
        <v>2.0711304700162077E-2</v>
      </c>
      <c r="M36" s="78">
        <f t="shared" si="1"/>
        <v>2.2386183144246355E-2</v>
      </c>
      <c r="N36" s="78">
        <f t="shared" si="2"/>
        <v>2.1548743922204218E-2</v>
      </c>
      <c r="O36" s="78">
        <v>2.4119999999999999</v>
      </c>
      <c r="P36" s="78">
        <f t="shared" si="3"/>
        <v>2.9749607999999998</v>
      </c>
      <c r="Q36" s="79">
        <f t="shared" si="10"/>
        <v>2.2312205999999997E-4</v>
      </c>
      <c r="R36" s="80">
        <f t="shared" si="4"/>
        <v>48.2891380668595</v>
      </c>
      <c r="S36" s="81"/>
      <c r="V36" s="82">
        <f t="shared" si="5"/>
        <v>143.65829281469479</v>
      </c>
      <c r="W36" s="94"/>
      <c r="X36" s="82"/>
      <c r="Y36" s="82"/>
      <c r="Z36" s="82">
        <f>(V36-$V$6)/(D35-$D$5)</f>
        <v>0.56317857979458508</v>
      </c>
      <c r="AA36" s="94"/>
      <c r="AB36" s="102"/>
    </row>
    <row r="37" spans="1:28" x14ac:dyDescent="0.2">
      <c r="A37" s="59"/>
      <c r="B37" s="227"/>
      <c r="C37" s="229"/>
      <c r="D37" s="231"/>
      <c r="E37" s="141" t="s">
        <v>107</v>
      </c>
      <c r="F37" s="233"/>
      <c r="G37" s="235"/>
      <c r="H37" s="85">
        <f>0.245-F35</f>
        <v>0.19345000000000001</v>
      </c>
      <c r="I37" s="86">
        <f>0.265-F35</f>
        <v>0.21345000000000003</v>
      </c>
      <c r="J37" s="86">
        <f>0.1662-G35</f>
        <v>0.11544999999999998</v>
      </c>
      <c r="K37" s="86">
        <f>0.181-G35</f>
        <v>0.13024999999999998</v>
      </c>
      <c r="L37" s="78">
        <f t="shared" si="0"/>
        <v>2.0032860615883309E-2</v>
      </c>
      <c r="M37" s="78">
        <f t="shared" si="1"/>
        <v>2.1823136142625616E-2</v>
      </c>
      <c r="N37" s="86">
        <f t="shared" si="2"/>
        <v>2.0927998379254464E-2</v>
      </c>
      <c r="O37" s="86">
        <v>2.4</v>
      </c>
      <c r="P37" s="86">
        <f t="shared" si="3"/>
        <v>2.9601600000000001</v>
      </c>
      <c r="Q37" s="87">
        <f t="shared" si="10"/>
        <v>2.22012E-4</v>
      </c>
      <c r="R37" s="88">
        <f t="shared" si="4"/>
        <v>47.13258377757613</v>
      </c>
      <c r="S37" s="89">
        <f>AVERAGE(R35:R37)</f>
        <v>51.697861026397788</v>
      </c>
      <c r="T37" s="90">
        <f>STDEV(R35:R37)</f>
        <v>6.9298567047383877</v>
      </c>
      <c r="U37" s="90">
        <f>T37/SQRT(3)</f>
        <v>4.0009546339262414</v>
      </c>
      <c r="V37" s="90">
        <f t="shared" si="5"/>
        <v>139.51998919502975</v>
      </c>
      <c r="W37" s="89">
        <f>AVERAGE(V35:V37)</f>
        <v>156.60867999279674</v>
      </c>
      <c r="X37" s="90">
        <f>STDEV(V35:V37)</f>
        <v>26.096763083615862</v>
      </c>
      <c r="Y37" s="90">
        <f>X37/SQRT(3)</f>
        <v>15.066973191303507</v>
      </c>
      <c r="Z37" s="90">
        <f>(V37-$V$7)/(D35-$D$5)</f>
        <v>0.55144459573613702</v>
      </c>
      <c r="AA37" s="89">
        <f>AVERAGE(Z35:Z37)</f>
        <v>0.62133131463687608</v>
      </c>
      <c r="AB37" s="95">
        <f>STDEV(Z35:Z37)/SQRT(3)</f>
        <v>6.4109276191985809E-2</v>
      </c>
    </row>
    <row r="38" spans="1:28" x14ac:dyDescent="0.2">
      <c r="A38" s="59"/>
      <c r="B38" s="244" t="s">
        <v>35</v>
      </c>
      <c r="C38" s="245">
        <v>0.49236111111111108</v>
      </c>
      <c r="D38" s="246">
        <f>1+23/60+24+D35</f>
        <v>264.31666666666666</v>
      </c>
      <c r="E38" s="105" t="s">
        <v>105</v>
      </c>
      <c r="F38" s="247">
        <f>(0.0536+0.0321+0.0389)/3</f>
        <v>4.1533333333333332E-2</v>
      </c>
      <c r="G38" s="249">
        <f>(0.0523+0.0316+0.0377)/3</f>
        <v>4.0533333333333331E-2</v>
      </c>
      <c r="H38" s="96">
        <f>0.2603-F38</f>
        <v>0.21876666666666664</v>
      </c>
      <c r="I38" s="97">
        <f>0.2687-F38</f>
        <v>0.22716666666666666</v>
      </c>
      <c r="J38" s="97">
        <f>0.1885-G38</f>
        <v>0.14796666666666666</v>
      </c>
      <c r="K38" s="97">
        <f>0.2007-G38</f>
        <v>0.16016666666666665</v>
      </c>
      <c r="L38" s="78">
        <f t="shared" si="0"/>
        <v>2.0947622906537004E-2</v>
      </c>
      <c r="M38" s="78">
        <f t="shared" si="1"/>
        <v>2.1112776877363588E-2</v>
      </c>
      <c r="N38" s="97">
        <f t="shared" si="2"/>
        <v>2.1030199891950298E-2</v>
      </c>
      <c r="O38" s="97">
        <v>2.488</v>
      </c>
      <c r="P38" s="97">
        <f t="shared" si="3"/>
        <v>3.0686992000000002</v>
      </c>
      <c r="Q38" s="98">
        <f t="shared" ref="Q38:Q55" si="11">P38*0.05/1000</f>
        <v>1.5343496000000002E-4</v>
      </c>
      <c r="R38" s="99">
        <f t="shared" si="4"/>
        <v>68.531317412766597</v>
      </c>
      <c r="S38" s="103"/>
      <c r="T38" s="104"/>
      <c r="U38" s="104"/>
      <c r="V38" s="82">
        <f t="shared" si="5"/>
        <v>210.30199891950295</v>
      </c>
      <c r="W38" s="94"/>
      <c r="X38" s="82"/>
      <c r="Y38" s="82"/>
      <c r="Z38" s="82">
        <f t="shared" si="7"/>
        <v>0.76689789977580991</v>
      </c>
      <c r="AA38" s="94"/>
      <c r="AB38" s="102"/>
    </row>
    <row r="39" spans="1:28" x14ac:dyDescent="0.2">
      <c r="A39" s="59"/>
      <c r="B39" s="226"/>
      <c r="C39" s="228"/>
      <c r="D39" s="230"/>
      <c r="E39" s="105" t="s">
        <v>106</v>
      </c>
      <c r="F39" s="232"/>
      <c r="G39" s="234"/>
      <c r="H39" s="77">
        <f>0.2116-F38</f>
        <v>0.17006666666666667</v>
      </c>
      <c r="I39" s="78">
        <f>0.2201-F38</f>
        <v>0.17856666666666665</v>
      </c>
      <c r="J39" s="78">
        <f>0.1438-G38</f>
        <v>0.10326666666666667</v>
      </c>
      <c r="K39" s="78">
        <f>0.1504-G38</f>
        <v>0.10986666666666667</v>
      </c>
      <c r="L39" s="78">
        <f t="shared" si="0"/>
        <v>1.7437655321447868E-2</v>
      </c>
      <c r="M39" s="78">
        <f t="shared" si="1"/>
        <v>1.8168125337655317E-2</v>
      </c>
      <c r="N39" s="78">
        <f t="shared" si="2"/>
        <v>1.7802890329551593E-2</v>
      </c>
      <c r="O39" s="78">
        <v>2.6640000000000001</v>
      </c>
      <c r="P39" s="78">
        <f t="shared" si="3"/>
        <v>3.2857776000000003</v>
      </c>
      <c r="Q39" s="79">
        <f t="shared" si="11"/>
        <v>1.6428888000000002E-4</v>
      </c>
      <c r="R39" s="80">
        <f t="shared" si="4"/>
        <v>54.181665641495613</v>
      </c>
      <c r="S39" s="81"/>
      <c r="V39" s="82">
        <f t="shared" si="5"/>
        <v>178.02890329551593</v>
      </c>
      <c r="W39" s="94"/>
      <c r="X39" s="82"/>
      <c r="Y39" s="82"/>
      <c r="Z39" s="82">
        <f>(V39-$V$6)/(D38-$D$5)</f>
        <v>0.63913013107916261</v>
      </c>
      <c r="AA39" s="94"/>
      <c r="AB39" s="102"/>
    </row>
    <row r="40" spans="1:28" x14ac:dyDescent="0.2">
      <c r="A40" s="59"/>
      <c r="B40" s="227"/>
      <c r="C40" s="229"/>
      <c r="D40" s="231"/>
      <c r="E40" s="141" t="s">
        <v>107</v>
      </c>
      <c r="F40" s="233"/>
      <c r="G40" s="235"/>
      <c r="H40" s="85">
        <f>0.1801-F38</f>
        <v>0.13856666666666667</v>
      </c>
      <c r="I40" s="86">
        <f>0.1849-F38</f>
        <v>0.14336666666666667</v>
      </c>
      <c r="J40" s="86">
        <f>0.1227-G38</f>
        <v>8.2166666666666666E-2</v>
      </c>
      <c r="K40" s="86">
        <f>0.1244-G38</f>
        <v>8.3866666666666673E-2</v>
      </c>
      <c r="L40" s="78">
        <f t="shared" si="0"/>
        <v>1.4401269584008645E-2</v>
      </c>
      <c r="M40" s="78">
        <f t="shared" si="1"/>
        <v>1.5012533765532146E-2</v>
      </c>
      <c r="N40" s="86">
        <f t="shared" si="2"/>
        <v>1.4706901674770395E-2</v>
      </c>
      <c r="O40" s="86">
        <v>2.6240000000000001</v>
      </c>
      <c r="P40" s="86">
        <f t="shared" si="3"/>
        <v>3.2364416000000005</v>
      </c>
      <c r="Q40" s="87">
        <f t="shared" si="11"/>
        <v>1.6182208000000003E-4</v>
      </c>
      <c r="R40" s="88">
        <f t="shared" si="4"/>
        <v>45.441579031645105</v>
      </c>
      <c r="S40" s="89">
        <f>AVERAGE(R38:R40)</f>
        <v>56.051520695302436</v>
      </c>
      <c r="T40" s="90">
        <f>STDEV(R38:R40)</f>
        <v>11.657884588073554</v>
      </c>
      <c r="U40" s="90">
        <f>T40/SQRT(3)</f>
        <v>6.7306828051058556</v>
      </c>
      <c r="V40" s="90">
        <f t="shared" si="5"/>
        <v>147.06901674770396</v>
      </c>
      <c r="W40" s="89">
        <f>AVERAGE(V38:V40)</f>
        <v>178.46663965424094</v>
      </c>
      <c r="X40" s="90">
        <f>STDEV(V38:V40)</f>
        <v>31.618763708035477</v>
      </c>
      <c r="Y40" s="90">
        <f>X40/SQRT(3)</f>
        <v>18.255101738277453</v>
      </c>
      <c r="Z40" s="90">
        <f>(V40-$V$7)/(D38-$D$5)</f>
        <v>0.52704782001599804</v>
      </c>
      <c r="AA40" s="89">
        <f>AVERAGE(Z38:Z40)</f>
        <v>0.64435861695699015</v>
      </c>
      <c r="AB40" s="95">
        <f>STDEV(Z38:Z40)/SQRT(3)</f>
        <v>6.928808937719895E-2</v>
      </c>
    </row>
    <row r="41" spans="1:28" x14ac:dyDescent="0.2">
      <c r="A41" s="59"/>
      <c r="B41" s="244" t="s">
        <v>36</v>
      </c>
      <c r="C41" s="245">
        <v>0.4548611111111111</v>
      </c>
      <c r="D41" s="246">
        <f>11+6/60+12+D38</f>
        <v>287.41666666666669</v>
      </c>
      <c r="E41" s="105" t="s">
        <v>105</v>
      </c>
      <c r="F41" s="247">
        <f>(0.0517+0.0474)/2</f>
        <v>4.9549999999999997E-2</v>
      </c>
      <c r="G41" s="249">
        <f>(0.0508+0.0471)/2</f>
        <v>4.895E-2</v>
      </c>
      <c r="H41" s="96">
        <f>0.175-F41</f>
        <v>0.12545000000000001</v>
      </c>
      <c r="I41" s="97">
        <f>0.1762-F41</f>
        <v>0.12664999999999998</v>
      </c>
      <c r="J41" s="97">
        <f>0.117-G41</f>
        <v>6.8049999999999999E-2</v>
      </c>
      <c r="K41" s="97">
        <f>0.1159-G41</f>
        <v>6.695000000000001E-2</v>
      </c>
      <c r="L41" s="78">
        <f t="shared" si="0"/>
        <v>1.365960291734198E-2</v>
      </c>
      <c r="M41" s="78">
        <f t="shared" si="1"/>
        <v>1.396195299837925E-2</v>
      </c>
      <c r="N41" s="97">
        <f t="shared" si="2"/>
        <v>1.3810777957860615E-2</v>
      </c>
      <c r="O41" s="97">
        <v>2.6659999999999999</v>
      </c>
      <c r="P41" s="97">
        <f t="shared" si="3"/>
        <v>3.2882444</v>
      </c>
      <c r="Q41" s="98">
        <f t="shared" si="11"/>
        <v>1.6441222E-4</v>
      </c>
      <c r="R41" s="99">
        <f t="shared" si="4"/>
        <v>42.000460664847829</v>
      </c>
      <c r="S41" s="103"/>
      <c r="T41" s="104"/>
      <c r="U41" s="104"/>
      <c r="V41" s="82">
        <f t="shared" si="5"/>
        <v>138.10777957860614</v>
      </c>
      <c r="W41" s="94"/>
      <c r="X41" s="82"/>
      <c r="Y41" s="82"/>
      <c r="Z41" s="82">
        <f t="shared" si="7"/>
        <v>0.45407832021401917</v>
      </c>
      <c r="AA41" s="94"/>
      <c r="AB41" s="102"/>
    </row>
    <row r="42" spans="1:28" x14ac:dyDescent="0.2">
      <c r="A42" s="59"/>
      <c r="B42" s="226"/>
      <c r="C42" s="228"/>
      <c r="D42" s="230"/>
      <c r="E42" s="105" t="s">
        <v>106</v>
      </c>
      <c r="F42" s="232"/>
      <c r="G42" s="234"/>
      <c r="H42" s="77">
        <f>0.3869-F41</f>
        <v>0.33735000000000004</v>
      </c>
      <c r="I42" s="78">
        <f>0.3904-F41</f>
        <v>0.34085000000000004</v>
      </c>
      <c r="J42" s="78">
        <f>0.3048-G41</f>
        <v>0.25585000000000002</v>
      </c>
      <c r="K42" s="78">
        <f>0.3036-G41</f>
        <v>0.25464999999999999</v>
      </c>
      <c r="L42" s="78">
        <f t="shared" si="0"/>
        <v>2.9588452188006487E-2</v>
      </c>
      <c r="M42" s="78">
        <f t="shared" si="1"/>
        <v>3.0273379254457059E-2</v>
      </c>
      <c r="N42" s="78">
        <f t="shared" si="2"/>
        <v>2.9930915721231771E-2</v>
      </c>
      <c r="O42" s="78">
        <v>2.944</v>
      </c>
      <c r="P42" s="78">
        <f t="shared" si="3"/>
        <v>3.6311296</v>
      </c>
      <c r="Q42" s="79">
        <f t="shared" si="11"/>
        <v>1.8155648000000001E-4</v>
      </c>
      <c r="R42" s="80">
        <f t="shared" si="4"/>
        <v>82.428662753408105</v>
      </c>
      <c r="S42" s="81"/>
      <c r="V42" s="82">
        <f t="shared" si="5"/>
        <v>299.30915721231764</v>
      </c>
      <c r="W42" s="94"/>
      <c r="X42" s="82"/>
      <c r="Y42" s="82"/>
      <c r="Z42" s="82">
        <f>(V42-$V$6)/(D41-$D$5)</f>
        <v>1.0097291959288224</v>
      </c>
      <c r="AA42" s="94"/>
      <c r="AB42" s="102"/>
    </row>
    <row r="43" spans="1:28" x14ac:dyDescent="0.2">
      <c r="A43" s="59"/>
      <c r="B43" s="227"/>
      <c r="C43" s="229"/>
      <c r="D43" s="231"/>
      <c r="E43" s="141" t="s">
        <v>107</v>
      </c>
      <c r="F43" s="233"/>
      <c r="G43" s="235"/>
      <c r="H43" s="85">
        <f>0.2173-F41</f>
        <v>0.16775000000000001</v>
      </c>
      <c r="I43" s="86">
        <f>0.1966-F41</f>
        <v>0.14705000000000001</v>
      </c>
      <c r="J43" s="86">
        <f>0.1525-G41</f>
        <v>0.10355</v>
      </c>
      <c r="K43" s="86">
        <f>0.1283-G41</f>
        <v>7.9350000000000004E-2</v>
      </c>
      <c r="L43" s="78">
        <f t="shared" si="0"/>
        <v>1.7034400324149108E-2</v>
      </c>
      <c r="M43" s="78">
        <f t="shared" si="1"/>
        <v>1.6052390599675854E-2</v>
      </c>
      <c r="N43" s="86">
        <f t="shared" si="2"/>
        <v>1.6543395461912483E-2</v>
      </c>
      <c r="O43" s="86">
        <v>2.8239999999999998</v>
      </c>
      <c r="P43" s="86">
        <f t="shared" si="3"/>
        <v>3.4831216</v>
      </c>
      <c r="Q43" s="87">
        <f t="shared" si="11"/>
        <v>1.7415608000000002E-4</v>
      </c>
      <c r="R43" s="88">
        <f t="shared" si="4"/>
        <v>47.495888348866373</v>
      </c>
      <c r="S43" s="89">
        <f>AVERAGE(R41:R43)</f>
        <v>57.308337255707436</v>
      </c>
      <c r="T43" s="90">
        <f>STDEV(R41:R43)</f>
        <v>21.927676488638568</v>
      </c>
      <c r="U43" s="90">
        <f>T43/SQRT(3)</f>
        <v>12.659949923418505</v>
      </c>
      <c r="V43" s="90">
        <f t="shared" si="5"/>
        <v>165.43395461912479</v>
      </c>
      <c r="W43" s="89">
        <f>AVERAGE(V41:V43)</f>
        <v>200.95029713668285</v>
      </c>
      <c r="X43" s="90">
        <f>STDEV(V41:V43)</f>
        <v>86.270093179038525</v>
      </c>
      <c r="Y43" s="90">
        <f>X43/SQRT(3)</f>
        <v>49.808061519931996</v>
      </c>
      <c r="Z43" s="90">
        <f>(V43-$V$7)/(D41-$D$5)</f>
        <v>0.54858496085352049</v>
      </c>
      <c r="AA43" s="89">
        <f>AVERAGE(Z41:Z43)</f>
        <v>0.6707974923321206</v>
      </c>
      <c r="AB43" s="95">
        <f>STDEV(Z41:Z43)/SQRT(3)</f>
        <v>0.17164779934356184</v>
      </c>
    </row>
    <row r="44" spans="1:28" x14ac:dyDescent="0.2">
      <c r="A44" s="59"/>
      <c r="B44" s="244" t="s">
        <v>38</v>
      </c>
      <c r="C44" s="245">
        <v>0.43472222222222223</v>
      </c>
      <c r="D44" s="246">
        <f>11+31/60+12+24+D41</f>
        <v>334.93333333333334</v>
      </c>
      <c r="E44" s="105" t="s">
        <v>105</v>
      </c>
      <c r="F44" s="247">
        <f>0.0532</f>
        <v>5.3199999999999997E-2</v>
      </c>
      <c r="G44" s="249">
        <v>5.2499999999999998E-2</v>
      </c>
      <c r="H44" s="96">
        <f>0.2545-F44</f>
        <v>0.20130000000000001</v>
      </c>
      <c r="I44" s="97">
        <f>0.2489-F44</f>
        <v>0.19570000000000001</v>
      </c>
      <c r="J44" s="97">
        <f>0.156-G44</f>
        <v>0.10350000000000001</v>
      </c>
      <c r="K44" s="97">
        <f>0.1547-G44</f>
        <v>0.10220000000000001</v>
      </c>
      <c r="L44" s="78">
        <f t="shared" si="0"/>
        <v>2.2476904376012963E-2</v>
      </c>
      <c r="M44" s="78">
        <f t="shared" si="1"/>
        <v>2.1696758508914102E-2</v>
      </c>
      <c r="N44" s="97">
        <f t="shared" si="2"/>
        <v>2.2086831442463532E-2</v>
      </c>
      <c r="O44" s="97">
        <v>2.7679999999999998</v>
      </c>
      <c r="P44" s="97">
        <f t="shared" si="3"/>
        <v>3.4140511999999998</v>
      </c>
      <c r="Q44" s="98">
        <f t="shared" si="11"/>
        <v>1.7070255999999999E-4</v>
      </c>
      <c r="R44" s="99">
        <f t="shared" si="4"/>
        <v>64.693908054054759</v>
      </c>
      <c r="S44" s="103"/>
      <c r="T44" s="104"/>
      <c r="U44" s="104"/>
      <c r="V44" s="82">
        <f t="shared" si="5"/>
        <v>220.86831442463532</v>
      </c>
      <c r="W44" s="94"/>
      <c r="X44" s="82"/>
      <c r="Y44" s="82"/>
      <c r="Z44" s="82">
        <f t="shared" si="7"/>
        <v>0.63675421590627546</v>
      </c>
      <c r="AA44" s="94"/>
      <c r="AB44" s="102"/>
    </row>
    <row r="45" spans="1:28" x14ac:dyDescent="0.2">
      <c r="A45" s="59"/>
      <c r="B45" s="226"/>
      <c r="C45" s="228"/>
      <c r="D45" s="230"/>
      <c r="E45" s="105" t="s">
        <v>106</v>
      </c>
      <c r="F45" s="232"/>
      <c r="G45" s="234"/>
      <c r="H45" s="77">
        <f>0.2372-F44</f>
        <v>0.184</v>
      </c>
      <c r="I45" s="78">
        <f>0.2573-F44</f>
        <v>0.20409999999999998</v>
      </c>
      <c r="J45" s="78">
        <f>0.1483-G44</f>
        <v>9.5799999999999996E-2</v>
      </c>
      <c r="K45" s="78">
        <f>0.1583-G44</f>
        <v>0.10580000000000001</v>
      </c>
      <c r="L45" s="78">
        <f t="shared" si="0"/>
        <v>2.0428038897893033E-2</v>
      </c>
      <c r="M45" s="78">
        <f t="shared" si="1"/>
        <v>2.2705186385737434E-2</v>
      </c>
      <c r="N45" s="78">
        <f t="shared" si="2"/>
        <v>2.1566612641815232E-2</v>
      </c>
      <c r="O45" s="78">
        <v>3.0939999999999999</v>
      </c>
      <c r="P45" s="78">
        <f t="shared" si="3"/>
        <v>3.8161396000000001</v>
      </c>
      <c r="Q45" s="79">
        <f t="shared" si="11"/>
        <v>1.9080698E-4</v>
      </c>
      <c r="R45" s="80">
        <f t="shared" si="4"/>
        <v>56.514213059226741</v>
      </c>
      <c r="S45" s="81"/>
      <c r="V45" s="82">
        <f t="shared" si="5"/>
        <v>215.66612641815232</v>
      </c>
      <c r="W45" s="94"/>
      <c r="X45" s="82"/>
      <c r="Y45" s="82"/>
      <c r="Z45" s="82">
        <f>(V45-$V$6)/(D44-$D$5)</f>
        <v>0.61674950916314808</v>
      </c>
      <c r="AA45" s="94"/>
      <c r="AB45" s="102"/>
    </row>
    <row r="46" spans="1:28" x14ac:dyDescent="0.2">
      <c r="A46" s="59"/>
      <c r="B46" s="227"/>
      <c r="C46" s="229"/>
      <c r="D46" s="231"/>
      <c r="E46" s="141" t="s">
        <v>107</v>
      </c>
      <c r="F46" s="233"/>
      <c r="G46" s="235"/>
      <c r="H46" s="85">
        <f>0.2643-F44</f>
        <v>0.21109999999999998</v>
      </c>
      <c r="I46" s="86">
        <f>0.244-F44</f>
        <v>0.1908</v>
      </c>
      <c r="J46" s="86">
        <f>0.1798-G44</f>
        <v>0.1273</v>
      </c>
      <c r="K46" s="86">
        <f>0.152-G44</f>
        <v>9.9500000000000005E-2</v>
      </c>
      <c r="L46" s="78">
        <f t="shared" si="0"/>
        <v>2.1731523500810368E-2</v>
      </c>
      <c r="M46" s="78">
        <f t="shared" si="1"/>
        <v>2.1167341977309566E-2</v>
      </c>
      <c r="N46" s="86">
        <f t="shared" si="2"/>
        <v>2.1449432739059967E-2</v>
      </c>
      <c r="O46" s="86">
        <v>3.032</v>
      </c>
      <c r="P46" s="86">
        <f t="shared" si="3"/>
        <v>3.7396688</v>
      </c>
      <c r="Q46" s="87">
        <f t="shared" si="11"/>
        <v>1.8698344E-4</v>
      </c>
      <c r="R46" s="88">
        <f t="shared" si="4"/>
        <v>57.356503707119643</v>
      </c>
      <c r="S46" s="89">
        <f>AVERAGE(R44:R46)</f>
        <v>59.521541606800383</v>
      </c>
      <c r="T46" s="90">
        <f>STDEV(R44:R46)</f>
        <v>4.4991548520132216</v>
      </c>
      <c r="U46" s="90">
        <f>T46/SQRT(3)</f>
        <v>2.5975882649356445</v>
      </c>
      <c r="V46" s="90">
        <f t="shared" si="5"/>
        <v>214.49432739059966</v>
      </c>
      <c r="W46" s="89">
        <f>AVERAGE(V44:V46)</f>
        <v>217.0095894111291</v>
      </c>
      <c r="X46" s="90">
        <f>STDEV(V44:V46)</f>
        <v>3.3927271165888433</v>
      </c>
      <c r="Y46" s="90">
        <f>X46/SQRT(3)</f>
        <v>1.9587919140495116</v>
      </c>
      <c r="Z46" s="90">
        <f>(V46-$V$7)/(D44-$D$5)</f>
        <v>0.61723576911860345</v>
      </c>
      <c r="AA46" s="89">
        <f>AVERAGE(Z44:Z46)</f>
        <v>0.62357983139600892</v>
      </c>
      <c r="AB46" s="95">
        <f>STDEV(Z44:Z46)/SQRT(3)</f>
        <v>6.5886877197292104E-3</v>
      </c>
    </row>
    <row r="47" spans="1:28" x14ac:dyDescent="0.2">
      <c r="A47" s="59"/>
      <c r="B47" s="244" t="s">
        <v>39</v>
      </c>
      <c r="C47" s="245">
        <v>0.4284722222222222</v>
      </c>
      <c r="D47" s="246">
        <f>11+51/60+12+D44</f>
        <v>358.78333333333336</v>
      </c>
      <c r="E47" s="105" t="s">
        <v>105</v>
      </c>
      <c r="F47" s="247">
        <f>(0.0454+0.053+0.0393)/3</f>
        <v>4.5899999999999996E-2</v>
      </c>
      <c r="G47" s="249">
        <f>(0.0458+0.0534+0.0393)/3</f>
        <v>4.6166666666666668E-2</v>
      </c>
      <c r="H47" s="97">
        <f>0.3106-F47</f>
        <v>0.26469999999999999</v>
      </c>
      <c r="I47" s="97">
        <f>0.2919-F47</f>
        <v>0.246</v>
      </c>
      <c r="J47" s="97">
        <f>0.1978-G47</f>
        <v>0.15163333333333334</v>
      </c>
      <c r="K47" s="97">
        <f>0.1851-G47</f>
        <v>0.13893333333333333</v>
      </c>
      <c r="L47" s="78">
        <f t="shared" si="0"/>
        <v>2.8032712047541868E-2</v>
      </c>
      <c r="M47" s="78">
        <f t="shared" si="1"/>
        <v>2.6247217720151268E-2</v>
      </c>
      <c r="N47" s="97">
        <f t="shared" si="2"/>
        <v>2.7139964883846568E-2</v>
      </c>
      <c r="O47" s="97">
        <v>3.4359999999999999</v>
      </c>
      <c r="P47" s="97">
        <f t="shared" si="3"/>
        <v>4.2379623999999998</v>
      </c>
      <c r="Q47" s="98">
        <f t="shared" si="11"/>
        <v>2.1189812E-4</v>
      </c>
      <c r="R47" s="99">
        <f t="shared" si="4"/>
        <v>64.040126651068377</v>
      </c>
      <c r="S47" s="103"/>
      <c r="T47" s="104"/>
      <c r="U47" s="104"/>
      <c r="V47" s="82">
        <f t="shared" si="5"/>
        <v>271.39964883846568</v>
      </c>
      <c r="W47" s="94"/>
      <c r="X47" s="82"/>
      <c r="Y47" s="82"/>
      <c r="Z47" s="82">
        <f t="shared" si="7"/>
        <v>0.73526700365505326</v>
      </c>
      <c r="AA47" s="94"/>
      <c r="AB47" s="102"/>
    </row>
    <row r="48" spans="1:28" x14ac:dyDescent="0.2">
      <c r="A48" s="59"/>
      <c r="B48" s="226"/>
      <c r="C48" s="228"/>
      <c r="D48" s="230"/>
      <c r="E48" s="105" t="s">
        <v>106</v>
      </c>
      <c r="F48" s="232"/>
      <c r="G48" s="234"/>
      <c r="H48" s="78">
        <f>0.2722-F47</f>
        <v>0.2263</v>
      </c>
      <c r="I48" s="78">
        <f>0.2883-F47</f>
        <v>0.2424</v>
      </c>
      <c r="J48" s="78">
        <f>0.1685-G47</f>
        <v>0.12233333333333335</v>
      </c>
      <c r="K48" s="78">
        <f>0.1768-G47</f>
        <v>0.13063333333333335</v>
      </c>
      <c r="L48" s="78">
        <f t="shared" si="0"/>
        <v>2.468206374932469E-2</v>
      </c>
      <c r="M48" s="78">
        <f t="shared" si="1"/>
        <v>2.6477606699081575E-2</v>
      </c>
      <c r="N48" s="78">
        <f t="shared" si="2"/>
        <v>2.557983522420313E-2</v>
      </c>
      <c r="O48" s="78">
        <v>3.86</v>
      </c>
      <c r="P48" s="78">
        <f t="shared" si="3"/>
        <v>4.7609240000000002</v>
      </c>
      <c r="Q48" s="79">
        <f t="shared" si="11"/>
        <v>2.3804620000000002E-4</v>
      </c>
      <c r="R48" s="80">
        <f t="shared" si="4"/>
        <v>53.728719937984998</v>
      </c>
      <c r="S48" s="81"/>
      <c r="V48" s="82">
        <f t="shared" si="5"/>
        <v>255.79835224203129</v>
      </c>
      <c r="W48" s="94"/>
      <c r="X48" s="82"/>
      <c r="Y48" s="82"/>
      <c r="Z48" s="82">
        <f>(V48-$V$6)/(D47-$D$5)</f>
        <v>0.6876077338029154</v>
      </c>
      <c r="AA48" s="94"/>
      <c r="AB48" s="102"/>
    </row>
    <row r="49" spans="1:34" x14ac:dyDescent="0.2">
      <c r="A49" s="59"/>
      <c r="B49" s="227"/>
      <c r="C49" s="229"/>
      <c r="D49" s="231"/>
      <c r="E49" s="141" t="s">
        <v>107</v>
      </c>
      <c r="F49" s="233"/>
      <c r="G49" s="235"/>
      <c r="H49" s="86">
        <f>0.2621-F47</f>
        <v>0.2162</v>
      </c>
      <c r="I49" s="86">
        <f>0.2581-F47</f>
        <v>0.2122</v>
      </c>
      <c r="J49" s="86">
        <f>0.1782-G47</f>
        <v>0.13203333333333334</v>
      </c>
      <c r="K49" s="86">
        <f>0.1646-G47</f>
        <v>0.11843333333333333</v>
      </c>
      <c r="L49" s="78">
        <f t="shared" si="0"/>
        <v>2.2093976229065372E-2</v>
      </c>
      <c r="M49" s="78">
        <f t="shared" si="1"/>
        <v>2.2779227444624524E-2</v>
      </c>
      <c r="N49" s="86">
        <f t="shared" si="2"/>
        <v>2.2436601836844948E-2</v>
      </c>
      <c r="O49" s="86">
        <v>3.464</v>
      </c>
      <c r="P49" s="86">
        <f t="shared" si="3"/>
        <v>4.2724976000000003</v>
      </c>
      <c r="Q49" s="87">
        <f t="shared" si="11"/>
        <v>2.1362488000000002E-4</v>
      </c>
      <c r="R49" s="88">
        <f t="shared" si="4"/>
        <v>52.514018584457361</v>
      </c>
      <c r="S49" s="89">
        <f>AVERAGE(R47:R49)</f>
        <v>56.760955057836917</v>
      </c>
      <c r="T49" s="90">
        <f>STDEV(R47:R49)</f>
        <v>6.3331373865838714</v>
      </c>
      <c r="U49" s="90">
        <f>T49/SQRT(3)</f>
        <v>3.6564385749590813</v>
      </c>
      <c r="V49" s="90">
        <f t="shared" si="5"/>
        <v>224.36601836844949</v>
      </c>
      <c r="W49" s="89">
        <f>AVERAGE(V47:V49)</f>
        <v>250.5213398163155</v>
      </c>
      <c r="X49" s="90">
        <f>STDEV(V47:V49)</f>
        <v>23.956747356504348</v>
      </c>
      <c r="Y49" s="90">
        <f>X49/SQRT(3)</f>
        <v>13.831434535185641</v>
      </c>
      <c r="Z49" s="90">
        <f>(V49-$V$7)/(D47-$D$5)</f>
        <v>0.60371958354059752</v>
      </c>
      <c r="AA49" s="89">
        <f>AVERAGE(Z47:Z49)</f>
        <v>0.67553144033285539</v>
      </c>
      <c r="AB49" s="95">
        <f>STDEV(Z47:Z49)/SQRT(3)</f>
        <v>3.8451521784681642E-2</v>
      </c>
    </row>
    <row r="50" spans="1:34" x14ac:dyDescent="0.2">
      <c r="A50" s="59"/>
      <c r="B50" s="244" t="s">
        <v>41</v>
      </c>
      <c r="C50" s="245">
        <v>0.4291666666666667</v>
      </c>
      <c r="D50" s="246">
        <f>1/60+48+D47</f>
        <v>406.8</v>
      </c>
      <c r="E50" s="105" t="s">
        <v>105</v>
      </c>
      <c r="F50" s="247">
        <f>(0.0397+0.0628)/2</f>
        <v>5.1249999999999997E-2</v>
      </c>
      <c r="G50" s="249">
        <f>(0.0611+0.0382)/2</f>
        <v>4.965E-2</v>
      </c>
      <c r="H50" s="97">
        <f>0.3766-F50</f>
        <v>0.32534999999999997</v>
      </c>
      <c r="I50" s="97">
        <f>0.3599-F50</f>
        <v>0.30864999999999998</v>
      </c>
      <c r="J50" s="97">
        <f>0.2275-G50</f>
        <v>0.17785000000000001</v>
      </c>
      <c r="K50" s="97">
        <f>0.2182-G50</f>
        <v>0.16855000000000001</v>
      </c>
      <c r="L50" s="78">
        <f t="shared" si="0"/>
        <v>3.529185575364667E-2</v>
      </c>
      <c r="M50" s="78">
        <f t="shared" si="1"/>
        <v>3.3497123176661259E-2</v>
      </c>
      <c r="N50" s="97">
        <f t="shared" si="2"/>
        <v>3.4394489465153964E-2</v>
      </c>
      <c r="O50" s="97">
        <v>3.54</v>
      </c>
      <c r="P50" s="97">
        <f t="shared" si="3"/>
        <v>4.3662359999999998</v>
      </c>
      <c r="Q50" s="98">
        <f t="shared" si="11"/>
        <v>2.1831180000000001E-4</v>
      </c>
      <c r="R50" s="99">
        <f t="shared" si="4"/>
        <v>78.773775547528729</v>
      </c>
      <c r="S50" s="103"/>
      <c r="T50" s="104"/>
      <c r="U50" s="104"/>
      <c r="V50" s="82">
        <f t="shared" si="5"/>
        <v>343.94489465153964</v>
      </c>
      <c r="W50" s="94"/>
      <c r="X50" s="82"/>
      <c r="Y50" s="82"/>
      <c r="Z50" s="82">
        <f t="shared" si="7"/>
        <v>0.82681119044849105</v>
      </c>
      <c r="AA50" s="94"/>
      <c r="AB50" s="102"/>
    </row>
    <row r="51" spans="1:34" x14ac:dyDescent="0.2">
      <c r="A51" s="59"/>
      <c r="B51" s="226"/>
      <c r="C51" s="228"/>
      <c r="D51" s="230"/>
      <c r="E51" s="105" t="s">
        <v>106</v>
      </c>
      <c r="F51" s="232"/>
      <c r="G51" s="234"/>
      <c r="H51" s="78">
        <f>0.3147-F50</f>
        <v>0.26344999999999996</v>
      </c>
      <c r="I51" s="78">
        <f>0.3281-F50</f>
        <v>0.27684999999999998</v>
      </c>
      <c r="J51" s="78">
        <f>0.1919-G50</f>
        <v>0.14224999999999999</v>
      </c>
      <c r="K51" s="78">
        <f>0.1972-G50</f>
        <v>0.14754999999999999</v>
      </c>
      <c r="L51" s="78">
        <f t="shared" si="0"/>
        <v>2.8750202593192865E-2</v>
      </c>
      <c r="M51" s="78">
        <f t="shared" si="1"/>
        <v>3.0402309562398706E-2</v>
      </c>
      <c r="N51" s="78">
        <f t="shared" si="2"/>
        <v>2.9576256077795786E-2</v>
      </c>
      <c r="O51" s="78">
        <v>4.0620000000000003</v>
      </c>
      <c r="P51" s="78">
        <f t="shared" si="3"/>
        <v>5.0100708000000003</v>
      </c>
      <c r="Q51" s="79">
        <f t="shared" si="11"/>
        <v>2.5050354000000002E-4</v>
      </c>
      <c r="R51" s="80">
        <f t="shared" si="4"/>
        <v>59.03360902164453</v>
      </c>
      <c r="S51" s="81"/>
      <c r="V51" s="82">
        <f t="shared" si="5"/>
        <v>295.76256077795784</v>
      </c>
      <c r="W51" s="94"/>
      <c r="X51" s="82"/>
      <c r="Y51" s="82"/>
      <c r="Z51" s="82">
        <f>(V51-$V$6)/(D50-$D$5)</f>
        <v>0.70468634045112077</v>
      </c>
      <c r="AA51" s="94"/>
      <c r="AB51" s="102"/>
    </row>
    <row r="52" spans="1:34" x14ac:dyDescent="0.2">
      <c r="A52" s="59"/>
      <c r="B52" s="227"/>
      <c r="C52" s="229"/>
      <c r="D52" s="231"/>
      <c r="E52" s="141" t="s">
        <v>107</v>
      </c>
      <c r="F52" s="233"/>
      <c r="G52" s="235"/>
      <c r="H52" s="86">
        <f>0.2561-F50</f>
        <v>0.20485</v>
      </c>
      <c r="I52" s="86">
        <f>0.25-F50</f>
        <v>0.19875000000000001</v>
      </c>
      <c r="J52" s="86">
        <f>0.1618-G50</f>
        <v>0.11215</v>
      </c>
      <c r="K52" s="86">
        <f>0.1516-G50</f>
        <v>0.10195000000000001</v>
      </c>
      <c r="L52" s="78">
        <f t="shared" si="0"/>
        <v>2.220409238249595E-2</v>
      </c>
      <c r="M52" s="78">
        <f t="shared" si="1"/>
        <v>2.2215599675850892E-2</v>
      </c>
      <c r="N52" s="86">
        <f t="shared" si="2"/>
        <v>2.2209846029173419E-2</v>
      </c>
      <c r="O52" s="86">
        <v>3.62</v>
      </c>
      <c r="P52" s="86">
        <f t="shared" si="3"/>
        <v>4.4649080000000003</v>
      </c>
      <c r="Q52" s="87">
        <f t="shared" si="11"/>
        <v>2.2324540000000004E-4</v>
      </c>
      <c r="R52" s="88">
        <f t="shared" si="4"/>
        <v>49.743121312182502</v>
      </c>
      <c r="S52" s="89">
        <f>AVERAGE(R50:R52)</f>
        <v>62.516835293785249</v>
      </c>
      <c r="T52" s="90">
        <f>STDEV(R50:R52)</f>
        <v>14.825463577246273</v>
      </c>
      <c r="U52" s="90">
        <f>T52/SQRT(3)</f>
        <v>8.5594853871841288</v>
      </c>
      <c r="V52" s="90">
        <f t="shared" si="5"/>
        <v>222.09846029173417</v>
      </c>
      <c r="W52" s="89">
        <f>AVERAGE(V50:V52)</f>
        <v>287.26863857374389</v>
      </c>
      <c r="X52" s="90">
        <f>STDEV(V50:V52)</f>
        <v>61.365694222081487</v>
      </c>
      <c r="Y52" s="90">
        <f>X52/SQRT(3)</f>
        <v>35.429500078127013</v>
      </c>
      <c r="Z52" s="90">
        <f>(V52-$V$7)/(D50-$D$5)</f>
        <v>0.52688536505553607</v>
      </c>
      <c r="AA52" s="89">
        <f>AVERAGE(Z50:Z52)</f>
        <v>0.68612763198504922</v>
      </c>
      <c r="AB52" s="95">
        <f>STDEV(Z50:Z52)/SQRT(3)</f>
        <v>8.707696677720983E-2</v>
      </c>
    </row>
    <row r="53" spans="1:34" x14ac:dyDescent="0.2">
      <c r="A53" s="59"/>
      <c r="B53" s="244" t="s">
        <v>42</v>
      </c>
      <c r="C53" s="245">
        <v>0.4597222222222222</v>
      </c>
      <c r="D53" s="246">
        <f>44/60+24+D50</f>
        <v>431.53333333333336</v>
      </c>
      <c r="E53" s="105" t="s">
        <v>105</v>
      </c>
      <c r="F53" s="247">
        <f>(0.0536+0.0451)/2</f>
        <v>4.9350000000000005E-2</v>
      </c>
      <c r="G53" s="249">
        <f>(0.0525+0.0448)/2</f>
        <v>4.8649999999999999E-2</v>
      </c>
      <c r="H53" s="97">
        <f>0.3406-F53</f>
        <v>0.29125000000000001</v>
      </c>
      <c r="I53" s="97">
        <f>0.3212-F53</f>
        <v>0.27184999999999998</v>
      </c>
      <c r="J53" s="97">
        <f>0.2081-G53</f>
        <v>0.15945000000000001</v>
      </c>
      <c r="K53" s="97">
        <f>0.1949-G53</f>
        <v>0.14624999999999999</v>
      </c>
      <c r="L53" s="78">
        <f t="shared" si="0"/>
        <v>3.1569327390599679E-2</v>
      </c>
      <c r="M53" s="78">
        <f t="shared" si="1"/>
        <v>2.971940842787682E-2</v>
      </c>
      <c r="N53" s="97">
        <f t="shared" si="2"/>
        <v>3.0644367909238249E-2</v>
      </c>
      <c r="O53" s="97">
        <v>3.5680000000000001</v>
      </c>
      <c r="P53" s="97">
        <f t="shared" si="3"/>
        <v>4.4007712000000003</v>
      </c>
      <c r="Q53" s="98">
        <f t="shared" si="11"/>
        <v>2.2003856000000002E-4</v>
      </c>
      <c r="R53" s="99">
        <f t="shared" si="4"/>
        <v>69.634085746694225</v>
      </c>
      <c r="S53" s="103"/>
      <c r="T53" s="104"/>
      <c r="U53" s="104"/>
      <c r="V53" s="82">
        <f t="shared" si="5"/>
        <v>306.44367909238247</v>
      </c>
      <c r="W53" s="94"/>
      <c r="X53" s="82"/>
      <c r="Y53" s="82"/>
      <c r="Z53" s="82">
        <f t="shared" si="7"/>
        <v>0.69252026119717824</v>
      </c>
      <c r="AA53" s="94"/>
      <c r="AB53" s="102"/>
    </row>
    <row r="54" spans="1:34" ht="15" customHeight="1" x14ac:dyDescent="0.2">
      <c r="A54" s="59"/>
      <c r="B54" s="226"/>
      <c r="C54" s="228"/>
      <c r="D54" s="230"/>
      <c r="E54" s="105" t="s">
        <v>106</v>
      </c>
      <c r="F54" s="232"/>
      <c r="G54" s="234"/>
      <c r="H54" s="78">
        <f>0.3919-F53</f>
        <v>0.34255000000000002</v>
      </c>
      <c r="I54" s="78">
        <f>0.3738-F53</f>
        <v>0.32445000000000002</v>
      </c>
      <c r="J54" s="78">
        <f>0.2335-G53</f>
        <v>0.18485000000000001</v>
      </c>
      <c r="K54" s="78">
        <f>0.2221-G53</f>
        <v>0.17344999999999999</v>
      </c>
      <c r="L54" s="78">
        <f t="shared" si="0"/>
        <v>3.7393152350081039E-2</v>
      </c>
      <c r="M54" s="78">
        <f t="shared" si="1"/>
        <v>3.5577431118314427E-2</v>
      </c>
      <c r="N54" s="78">
        <f t="shared" si="2"/>
        <v>3.6485291734197733E-2</v>
      </c>
      <c r="O54" s="78">
        <v>4.04</v>
      </c>
      <c r="P54" s="78">
        <f t="shared" si="3"/>
        <v>4.9829360000000005</v>
      </c>
      <c r="Q54" s="79">
        <f t="shared" si="11"/>
        <v>2.491468E-4</v>
      </c>
      <c r="R54" s="80">
        <f t="shared" si="4"/>
        <v>73.220470289399131</v>
      </c>
      <c r="S54" s="81"/>
      <c r="V54" s="82">
        <f t="shared" si="5"/>
        <v>364.85291734197739</v>
      </c>
      <c r="W54" s="94"/>
      <c r="X54" s="82"/>
      <c r="Y54" s="82"/>
      <c r="Z54" s="82">
        <f>(V54-$V$6)/(D53-$D$5)</f>
        <v>0.82440157545080051</v>
      </c>
      <c r="AA54" s="94"/>
      <c r="AB54" s="102"/>
    </row>
    <row r="55" spans="1:34" ht="16" customHeight="1" thickBot="1" x14ac:dyDescent="0.25">
      <c r="A55" s="105"/>
      <c r="B55" s="252"/>
      <c r="C55" s="251"/>
      <c r="D55" s="250"/>
      <c r="E55" s="141" t="s">
        <v>107</v>
      </c>
      <c r="F55" s="254"/>
      <c r="G55" s="253"/>
      <c r="H55" s="78">
        <f>0.2731-F53</f>
        <v>0.22375</v>
      </c>
      <c r="I55" s="78">
        <f>0.2583-F53</f>
        <v>0.20894999999999997</v>
      </c>
      <c r="J55" s="78">
        <f>0.1829-G53</f>
        <v>0.13425000000000001</v>
      </c>
      <c r="K55" s="78">
        <f>0.1627-G53</f>
        <v>0.11405000000000001</v>
      </c>
      <c r="L55" s="78">
        <f t="shared" si="0"/>
        <v>2.3100283630470012E-2</v>
      </c>
      <c r="M55" s="78">
        <f t="shared" si="1"/>
        <v>2.2682293354943272E-2</v>
      </c>
      <c r="N55" s="106">
        <f t="shared" si="2"/>
        <v>2.2891288492706642E-2</v>
      </c>
      <c r="O55" s="106">
        <v>3.62</v>
      </c>
      <c r="P55" s="106">
        <f t="shared" si="3"/>
        <v>4.4649080000000003</v>
      </c>
      <c r="Q55" s="107">
        <f t="shared" si="11"/>
        <v>2.2324540000000004E-4</v>
      </c>
      <c r="R55" s="108">
        <f t="shared" si="4"/>
        <v>51.269339687865099</v>
      </c>
      <c r="S55" s="109">
        <f>AVERAGE(R53:R55)</f>
        <v>64.707965241319485</v>
      </c>
      <c r="T55" s="110">
        <f>STDEV(R53:R55)</f>
        <v>11.7755267863695</v>
      </c>
      <c r="U55" s="110">
        <f>T55/SQRT(3)</f>
        <v>6.79860355996008</v>
      </c>
      <c r="V55" s="110">
        <f t="shared" si="5"/>
        <v>228.91288492706639</v>
      </c>
      <c r="W55" s="109">
        <f>AVERAGE(V53:V55)</f>
        <v>300.0698271204754</v>
      </c>
      <c r="X55" s="110">
        <f>STDEV(V53:V55)</f>
        <v>68.193787070096022</v>
      </c>
      <c r="Y55" s="110">
        <f>X55/SQRT(3)</f>
        <v>39.371701321979963</v>
      </c>
      <c r="Z55" s="110">
        <f>(V55-$V$7)/(D53-$D$5)</f>
        <v>0.51247811943439892</v>
      </c>
      <c r="AA55" s="109">
        <f>AVERAGE(Z53:Z55)</f>
        <v>0.67646665202745926</v>
      </c>
      <c r="AB55" s="111">
        <f>STDEV(Z53:Z55)/SQRT(3)</f>
        <v>9.0401602822875043E-2</v>
      </c>
    </row>
    <row r="56" spans="1:34" ht="15" thickBot="1" x14ac:dyDescent="0.25">
      <c r="B56" s="223" t="s">
        <v>78</v>
      </c>
      <c r="C56" s="224"/>
      <c r="D56" s="224"/>
      <c r="E56" s="224"/>
      <c r="F56" s="224"/>
      <c r="G56" s="224"/>
      <c r="H56" s="224"/>
      <c r="I56" s="224"/>
      <c r="J56" s="224"/>
      <c r="K56" s="224"/>
      <c r="L56" s="224"/>
      <c r="M56" s="224"/>
      <c r="N56" s="224"/>
      <c r="O56" s="224"/>
      <c r="P56" s="224"/>
      <c r="Q56" s="224"/>
      <c r="R56" s="224"/>
      <c r="S56" s="224"/>
      <c r="T56" s="224"/>
      <c r="U56" s="224"/>
      <c r="V56" s="224"/>
      <c r="W56" s="224"/>
      <c r="X56" s="224"/>
      <c r="Y56" s="224"/>
      <c r="Z56" s="224"/>
      <c r="AA56" s="224"/>
      <c r="AB56" s="225"/>
      <c r="AD56" s="222" t="s">
        <v>113</v>
      </c>
      <c r="AE56" s="222"/>
      <c r="AF56" s="222"/>
      <c r="AG56" s="222"/>
      <c r="AH56" s="222"/>
    </row>
    <row r="57" spans="1:34" ht="45" customHeight="1" x14ac:dyDescent="0.2">
      <c r="B57" s="60" t="s">
        <v>0</v>
      </c>
      <c r="C57" s="61" t="s">
        <v>1</v>
      </c>
      <c r="D57" s="62" t="s">
        <v>2</v>
      </c>
      <c r="E57" s="139"/>
      <c r="F57" s="61" t="s">
        <v>8</v>
      </c>
      <c r="G57" s="61" t="s">
        <v>9</v>
      </c>
      <c r="H57" s="213" t="s">
        <v>108</v>
      </c>
      <c r="I57" s="214"/>
      <c r="J57" s="215" t="s">
        <v>111</v>
      </c>
      <c r="K57" s="216"/>
      <c r="L57" s="217" t="s">
        <v>84</v>
      </c>
      <c r="M57" s="218"/>
      <c r="N57" s="63" t="s">
        <v>85</v>
      </c>
      <c r="O57" s="64" t="s">
        <v>86</v>
      </c>
      <c r="P57" s="63" t="s">
        <v>10</v>
      </c>
      <c r="Q57" s="63" t="s">
        <v>11</v>
      </c>
      <c r="R57" s="63" t="s">
        <v>87</v>
      </c>
      <c r="S57" s="63" t="s">
        <v>88</v>
      </c>
      <c r="T57" s="63" t="s">
        <v>89</v>
      </c>
      <c r="U57" s="65" t="s">
        <v>71</v>
      </c>
      <c r="V57" s="64" t="s">
        <v>90</v>
      </c>
      <c r="W57" s="63" t="s">
        <v>91</v>
      </c>
      <c r="X57" s="63" t="s">
        <v>89</v>
      </c>
      <c r="Y57" s="66" t="s">
        <v>71</v>
      </c>
      <c r="Z57" s="66" t="s">
        <v>92</v>
      </c>
      <c r="AA57" s="63" t="s">
        <v>93</v>
      </c>
      <c r="AB57" s="67" t="s">
        <v>71</v>
      </c>
      <c r="AD57" s="57" t="s">
        <v>2</v>
      </c>
      <c r="AE57" s="76" t="str">
        <f>S57</f>
        <v>Average specific CPC conc.</v>
      </c>
      <c r="AF57" s="57" t="s">
        <v>12</v>
      </c>
      <c r="AG57" s="76" t="str">
        <f>W57</f>
        <v>Average total CPC</v>
      </c>
      <c r="AH57" s="57" t="s">
        <v>12</v>
      </c>
    </row>
    <row r="58" spans="1:34" ht="25" customHeight="1" x14ac:dyDescent="0.2">
      <c r="B58" s="68"/>
      <c r="C58" s="69"/>
      <c r="D58" s="72"/>
      <c r="E58" s="140"/>
      <c r="F58" s="69" t="s">
        <v>13</v>
      </c>
      <c r="G58" s="69" t="s">
        <v>13</v>
      </c>
      <c r="H58" s="71" t="s">
        <v>109</v>
      </c>
      <c r="I58" s="69" t="s">
        <v>110</v>
      </c>
      <c r="J58" s="72" t="s">
        <v>109</v>
      </c>
      <c r="K58" s="73" t="s">
        <v>110</v>
      </c>
      <c r="L58" s="221" t="s">
        <v>14</v>
      </c>
      <c r="M58" s="220"/>
      <c r="N58" s="74" t="s">
        <v>14</v>
      </c>
      <c r="O58" s="74" t="s">
        <v>13</v>
      </c>
      <c r="P58" s="74" t="s">
        <v>15</v>
      </c>
      <c r="Q58" s="74" t="s">
        <v>16</v>
      </c>
      <c r="R58" s="75" t="s">
        <v>94</v>
      </c>
      <c r="S58" s="75" t="s">
        <v>94</v>
      </c>
      <c r="T58" s="74"/>
      <c r="U58" s="72"/>
      <c r="V58" s="75" t="s">
        <v>95</v>
      </c>
      <c r="W58" s="75" t="s">
        <v>95</v>
      </c>
      <c r="X58" s="74"/>
      <c r="Y58" s="74"/>
      <c r="Z58" s="75" t="s">
        <v>96</v>
      </c>
      <c r="AA58" s="75" t="s">
        <v>96</v>
      </c>
      <c r="AB58" s="70"/>
      <c r="AD58" s="84">
        <f>D59</f>
        <v>0</v>
      </c>
      <c r="AE58" s="82">
        <f>S61</f>
        <v>49.724104539037789</v>
      </c>
      <c r="AF58" s="82">
        <f>U61</f>
        <v>1.7870714696504817</v>
      </c>
      <c r="AG58" s="82">
        <f>W61</f>
        <v>6.3842247433819557</v>
      </c>
      <c r="AH58" s="82">
        <f>Y61</f>
        <v>0.17324221605827209</v>
      </c>
    </row>
    <row r="59" spans="1:34" x14ac:dyDescent="0.2">
      <c r="B59" s="226" t="s">
        <v>24</v>
      </c>
      <c r="C59" s="228">
        <v>0.52083333333333337</v>
      </c>
      <c r="D59" s="242">
        <v>0</v>
      </c>
      <c r="E59" s="105" t="s">
        <v>105</v>
      </c>
      <c r="F59" s="232">
        <f>(0.0473+0.0516+0.049)/3</f>
        <v>4.9300000000000004E-2</v>
      </c>
      <c r="G59" s="234">
        <f>(0.0457+0.0502+0.0487)/3</f>
        <v>4.82E-2</v>
      </c>
      <c r="H59" s="77">
        <f>0.166-F59</f>
        <v>0.1167</v>
      </c>
      <c r="I59" s="78">
        <f>0.1782-F59</f>
        <v>0.12889999999999999</v>
      </c>
      <c r="J59" s="78">
        <f>0.1205-G59</f>
        <v>7.2300000000000003E-2</v>
      </c>
      <c r="K59" s="78">
        <f>0.1304-G59</f>
        <v>8.2199999999999995E-2</v>
      </c>
      <c r="L59" s="78">
        <f>(H59-(0.605*J59))/6.17</f>
        <v>1.1824716369529984E-2</v>
      </c>
      <c r="M59" s="78">
        <f>(I59-(0.605*K59))/6.17</f>
        <v>1.2831280388978929E-2</v>
      </c>
      <c r="N59" s="78">
        <f>AVERAGE(L59:M59)</f>
        <v>1.2327998379254457E-2</v>
      </c>
      <c r="O59" s="57">
        <f>'Growth curves CeBER'!F31</f>
        <v>0.107</v>
      </c>
      <c r="P59" s="78">
        <f>1.2334*O59</f>
        <v>0.1319738</v>
      </c>
      <c r="Q59" s="79">
        <f>P59*1/1000</f>
        <v>1.3197379999999999E-4</v>
      </c>
      <c r="R59" s="80">
        <f>(N59*0.5)/Q59</f>
        <v>46.706234037568279</v>
      </c>
      <c r="S59" s="81"/>
      <c r="V59" s="82">
        <f>R59*P59</f>
        <v>6.163999189627229</v>
      </c>
      <c r="W59" s="81"/>
      <c r="AA59" s="81"/>
      <c r="AB59" s="83"/>
      <c r="AD59" s="84">
        <f>D62</f>
        <v>21.25</v>
      </c>
      <c r="AE59" s="82">
        <f>S64</f>
        <v>26.146700296171019</v>
      </c>
      <c r="AF59" s="82">
        <f>U64</f>
        <v>1.6582225386907412</v>
      </c>
      <c r="AG59" s="82">
        <f>W64</f>
        <v>6.839066720691517</v>
      </c>
      <c r="AH59" s="82">
        <f>Y64</f>
        <v>0.54159784135366995</v>
      </c>
    </row>
    <row r="60" spans="1:34" ht="15" customHeight="1" x14ac:dyDescent="0.2">
      <c r="B60" s="226"/>
      <c r="C60" s="228"/>
      <c r="D60" s="242"/>
      <c r="E60" s="105" t="s">
        <v>106</v>
      </c>
      <c r="F60" s="232"/>
      <c r="G60" s="234"/>
      <c r="H60" s="77">
        <f>0.1714-F59</f>
        <v>0.12209999999999999</v>
      </c>
      <c r="I60" s="78">
        <f>0.1782-F59</f>
        <v>0.12889999999999999</v>
      </c>
      <c r="J60" s="78">
        <f>0.125-G59</f>
        <v>7.6800000000000007E-2</v>
      </c>
      <c r="K60" s="78">
        <f>0.1308-G59</f>
        <v>8.2600000000000007E-2</v>
      </c>
      <c r="L60" s="78">
        <f t="shared" ref="L60:L109" si="12">(H60-(0.605*J60))/6.17</f>
        <v>1.2258670988654779E-2</v>
      </c>
      <c r="M60" s="78">
        <f t="shared" ref="M60:M109" si="13">(I60-(0.605*K60))/6.17</f>
        <v>1.2792058346839543E-2</v>
      </c>
      <c r="N60" s="78">
        <f t="shared" ref="N60:N109" si="14">AVERAGE(L60:M60)</f>
        <v>1.252536466774716E-2</v>
      </c>
      <c r="O60" s="57">
        <f>'Growth curves CeBER'!G31</f>
        <v>9.6000000000000002E-2</v>
      </c>
      <c r="P60" s="78">
        <f t="shared" ref="P60:P109" si="15">1.2334*O60</f>
        <v>0.11840640000000001</v>
      </c>
      <c r="Q60" s="79">
        <f>P60*1/1000</f>
        <v>1.1840640000000001E-4</v>
      </c>
      <c r="R60" s="80">
        <f t="shared" ref="R60:R109" si="16">(N60*0.5)/Q60</f>
        <v>52.891417472987776</v>
      </c>
      <c r="S60" s="81"/>
      <c r="V60" s="82">
        <f t="shared" ref="V60:V109" si="17">R60*P60</f>
        <v>6.2626823338735802</v>
      </c>
      <c r="W60" s="81"/>
      <c r="AA60" s="81"/>
      <c r="AB60" s="83"/>
      <c r="AD60" s="84">
        <f>D65</f>
        <v>45.733333333333334</v>
      </c>
      <c r="AE60" s="82">
        <f>S67</f>
        <v>23.474696698901298</v>
      </c>
      <c r="AF60" s="82">
        <f>U67</f>
        <v>2.2073591900311476</v>
      </c>
      <c r="AG60" s="82">
        <f>W67</f>
        <v>9.9478997839005938</v>
      </c>
      <c r="AH60" s="82">
        <f>Y67</f>
        <v>0.7719905889920079</v>
      </c>
    </row>
    <row r="61" spans="1:34" ht="15" customHeight="1" x14ac:dyDescent="0.2">
      <c r="B61" s="227"/>
      <c r="C61" s="229"/>
      <c r="D61" s="243"/>
      <c r="E61" s="141" t="s">
        <v>107</v>
      </c>
      <c r="F61" s="233"/>
      <c r="G61" s="235"/>
      <c r="H61" s="85">
        <f>0.1627-F59</f>
        <v>0.1134</v>
      </c>
      <c r="I61" s="86">
        <f>0.1869-F59</f>
        <v>0.1376</v>
      </c>
      <c r="J61" s="86">
        <f>0.1075-G59</f>
        <v>5.9299999999999999E-2</v>
      </c>
      <c r="K61" s="86">
        <f>0.1294-G59</f>
        <v>8.1199999999999994E-2</v>
      </c>
      <c r="L61" s="78">
        <f t="shared" si="12"/>
        <v>1.2564586709886548E-2</v>
      </c>
      <c r="M61" s="78">
        <f t="shared" si="13"/>
        <v>1.4339384116693679E-2</v>
      </c>
      <c r="N61" s="86">
        <f t="shared" si="14"/>
        <v>1.3451985413290114E-2</v>
      </c>
      <c r="O61" s="91">
        <f>'Growth curves CeBER'!H31</f>
        <v>0.11</v>
      </c>
      <c r="P61" s="86">
        <f t="shared" si="15"/>
        <v>0.13567400000000002</v>
      </c>
      <c r="Q61" s="87">
        <f>P61*1/1000</f>
        <v>1.3567400000000002E-4</v>
      </c>
      <c r="R61" s="88">
        <f t="shared" si="16"/>
        <v>49.574662106557305</v>
      </c>
      <c r="S61" s="89">
        <f>AVERAGE(R59:R61)</f>
        <v>49.724104539037789</v>
      </c>
      <c r="T61" s="90">
        <f>STDEV(R59:R61)</f>
        <v>3.095298582191417</v>
      </c>
      <c r="U61" s="90">
        <f>T61/SQRT(3)</f>
        <v>1.7870714696504817</v>
      </c>
      <c r="V61" s="90">
        <f t="shared" si="17"/>
        <v>6.7259927066450569</v>
      </c>
      <c r="W61" s="89">
        <f>AVERAGE(V59:V61)</f>
        <v>6.3842247433819557</v>
      </c>
      <c r="X61" s="90">
        <f>STDEV(V59:V61)</f>
        <v>0.30006432022875207</v>
      </c>
      <c r="Y61" s="90">
        <f>X61/SQRT(3)</f>
        <v>0.17324221605827209</v>
      </c>
      <c r="Z61" s="91"/>
      <c r="AA61" s="92"/>
      <c r="AB61" s="93"/>
      <c r="AD61" s="84">
        <f>D68</f>
        <v>70.05</v>
      </c>
      <c r="AE61" s="82">
        <f>S70</f>
        <v>45.219636624438927</v>
      </c>
      <c r="AF61" s="82">
        <f>U70</f>
        <v>1.1229467165529847</v>
      </c>
      <c r="AG61" s="82">
        <f>W70</f>
        <v>28.883071757608505</v>
      </c>
      <c r="AH61" s="82">
        <f>Y70</f>
        <v>1.3327412034601087</v>
      </c>
    </row>
    <row r="62" spans="1:34" x14ac:dyDescent="0.2">
      <c r="B62" s="226" t="s">
        <v>25</v>
      </c>
      <c r="C62" s="228">
        <v>0.40625</v>
      </c>
      <c r="D62" s="230">
        <f>11+45/60+9+30/60</f>
        <v>21.25</v>
      </c>
      <c r="E62" s="105" t="s">
        <v>105</v>
      </c>
      <c r="F62" s="232">
        <f>(0.0471+0.0468+0.0517)/3</f>
        <v>4.8533333333333338E-2</v>
      </c>
      <c r="G62" s="234">
        <f>(0.0467+0.0458+0.0508)/3</f>
        <v>4.7766666666666659E-2</v>
      </c>
      <c r="H62" s="77">
        <f>0.167-F62</f>
        <v>0.11846666666666666</v>
      </c>
      <c r="I62" s="78">
        <f>0.1663-F62</f>
        <v>0.11776666666666666</v>
      </c>
      <c r="J62" s="78">
        <f>0.1148-G62</f>
        <v>6.7033333333333334E-2</v>
      </c>
      <c r="K62" s="78">
        <f>0.115-G62</f>
        <v>6.7233333333333339E-2</v>
      </c>
      <c r="L62" s="78">
        <f t="shared" si="12"/>
        <v>1.2627471636952999E-2</v>
      </c>
      <c r="M62" s="78">
        <f t="shared" si="13"/>
        <v>1.2494408427876823E-2</v>
      </c>
      <c r="N62" s="78">
        <f t="shared" si="14"/>
        <v>1.2560940032414911E-2</v>
      </c>
      <c r="O62" s="78">
        <f>'Growth curves CeBER'!F34</f>
        <v>0.20799999999999999</v>
      </c>
      <c r="P62" s="78">
        <f t="shared" si="15"/>
        <v>0.25654719999999998</v>
      </c>
      <c r="Q62" s="79">
        <f t="shared" ref="Q62:Q67" si="18">P62*1/1000</f>
        <v>2.565472E-4</v>
      </c>
      <c r="R62" s="80">
        <f t="shared" si="16"/>
        <v>24.480758379773608</v>
      </c>
      <c r="S62" s="94"/>
      <c r="T62" s="82"/>
      <c r="U62" s="82"/>
      <c r="V62" s="82">
        <f t="shared" si="17"/>
        <v>6.2804700162074552</v>
      </c>
      <c r="W62" s="94"/>
      <c r="X62" s="82"/>
      <c r="Y62" s="82"/>
      <c r="Z62" s="82">
        <f>(V62-$V$59)/(D62-$D$59)</f>
        <v>5.480980074363582E-3</v>
      </c>
      <c r="AA62" s="94"/>
      <c r="AB62" s="83"/>
      <c r="AD62" s="84">
        <f>D71</f>
        <v>96.6</v>
      </c>
      <c r="AE62" s="82">
        <f>S73</f>
        <v>58.530258942108439</v>
      </c>
      <c r="AF62" s="82">
        <f>U73</f>
        <v>4.3624922982957663</v>
      </c>
      <c r="AG62" s="82">
        <f>W73</f>
        <v>54.3937062938952</v>
      </c>
      <c r="AH62" s="82">
        <f>Y73</f>
        <v>4.5324488144609942</v>
      </c>
    </row>
    <row r="63" spans="1:34" x14ac:dyDescent="0.2">
      <c r="B63" s="226"/>
      <c r="C63" s="228"/>
      <c r="D63" s="230"/>
      <c r="E63" s="105" t="s">
        <v>106</v>
      </c>
      <c r="F63" s="232"/>
      <c r="G63" s="234"/>
      <c r="H63" s="77">
        <f>0.1977-F62</f>
        <v>0.14916666666666664</v>
      </c>
      <c r="I63" s="78">
        <f>0.2106-F62</f>
        <v>0.16206666666666666</v>
      </c>
      <c r="J63" s="78">
        <f>0.1369-G62</f>
        <v>8.9133333333333342E-2</v>
      </c>
      <c r="K63" s="78">
        <f>0.1499-G62</f>
        <v>0.10213333333333335</v>
      </c>
      <c r="L63" s="78">
        <f t="shared" si="12"/>
        <v>1.5436142625607774E-2</v>
      </c>
      <c r="M63" s="78">
        <f t="shared" si="13"/>
        <v>1.6252188006482982E-2</v>
      </c>
      <c r="N63" s="78">
        <f t="shared" si="14"/>
        <v>1.5844165316045378E-2</v>
      </c>
      <c r="O63" s="78">
        <f>'Growth curves CeBER'!G34</f>
        <v>0.218</v>
      </c>
      <c r="P63" s="78">
        <f t="shared" si="15"/>
        <v>0.26888119999999999</v>
      </c>
      <c r="Q63" s="79">
        <f t="shared" si="18"/>
        <v>2.6888119999999996E-4</v>
      </c>
      <c r="R63" s="80">
        <f t="shared" si="16"/>
        <v>29.463133376460274</v>
      </c>
      <c r="S63" s="81"/>
      <c r="T63" s="82"/>
      <c r="U63" s="82"/>
      <c r="V63" s="82">
        <f t="shared" si="17"/>
        <v>7.9220826580226902</v>
      </c>
      <c r="W63" s="94"/>
      <c r="X63" s="82"/>
      <c r="Y63" s="82"/>
      <c r="Z63" s="82">
        <f>(V63-$V$60)/(D62-$D$59)</f>
        <v>7.8089427018781646E-2</v>
      </c>
      <c r="AA63" s="94"/>
      <c r="AB63" s="83"/>
      <c r="AD63" s="84">
        <f>D74</f>
        <v>120.69999999999999</v>
      </c>
      <c r="AE63" s="82">
        <f>S76</f>
        <v>55.226444767459576</v>
      </c>
      <c r="AF63" s="82">
        <f>U76</f>
        <v>4.4127373299966521</v>
      </c>
      <c r="AG63" s="82">
        <f>W76</f>
        <v>67.195845229605609</v>
      </c>
      <c r="AH63" s="82">
        <f>Y76</f>
        <v>8.4096932184499043</v>
      </c>
    </row>
    <row r="64" spans="1:34" x14ac:dyDescent="0.2">
      <c r="B64" s="227"/>
      <c r="C64" s="229"/>
      <c r="D64" s="231"/>
      <c r="E64" s="141" t="s">
        <v>107</v>
      </c>
      <c r="F64" s="233"/>
      <c r="G64" s="235"/>
      <c r="H64" s="85">
        <f>0.1636-F62</f>
        <v>0.11506666666666665</v>
      </c>
      <c r="I64" s="86">
        <f>0.1677-F62</f>
        <v>0.11916666666666664</v>
      </c>
      <c r="J64" s="86">
        <f>0.1102-G62</f>
        <v>6.2433333333333348E-2</v>
      </c>
      <c r="K64" s="86">
        <f>0.1149-G62</f>
        <v>6.713333333333335E-2</v>
      </c>
      <c r="L64" s="78">
        <f t="shared" si="12"/>
        <v>1.2527471636952994E-2</v>
      </c>
      <c r="M64" s="78">
        <f t="shared" si="13"/>
        <v>1.273111831442463E-2</v>
      </c>
      <c r="N64" s="86">
        <f t="shared" si="14"/>
        <v>1.2629294975688812E-2</v>
      </c>
      <c r="O64" s="86">
        <f>'Growth curves CeBER'!H34</f>
        <v>0.20899999999999999</v>
      </c>
      <c r="P64" s="86">
        <f t="shared" si="15"/>
        <v>0.25778060000000003</v>
      </c>
      <c r="Q64" s="87">
        <f t="shared" si="18"/>
        <v>2.5778060000000003E-4</v>
      </c>
      <c r="R64" s="88">
        <f t="shared" si="16"/>
        <v>24.496209132279176</v>
      </c>
      <c r="S64" s="89">
        <f>AVERAGE(R62:R64)</f>
        <v>26.146700296171019</v>
      </c>
      <c r="T64" s="90">
        <f>STDEV(R62:R64)</f>
        <v>2.8721256872682122</v>
      </c>
      <c r="U64" s="90">
        <f>T64/SQRT(3)</f>
        <v>1.6582225386907412</v>
      </c>
      <c r="V64" s="90">
        <f t="shared" si="17"/>
        <v>6.3146474878444065</v>
      </c>
      <c r="W64" s="89">
        <f t="shared" ref="W64:W109" si="19">AVERAGE(V62:V64)</f>
        <v>6.839066720691517</v>
      </c>
      <c r="X64" s="90">
        <f t="shared" ref="X64:X109" si="20">STDEV(V62:V64)</f>
        <v>0.93807497849418464</v>
      </c>
      <c r="Y64" s="90">
        <f t="shared" ref="Y64:Y109" si="21">X64/SQRT(3)</f>
        <v>0.54159784135366995</v>
      </c>
      <c r="Z64" s="90">
        <f>(V64-$V$61)/(D62-$D$59)</f>
        <v>-1.9357422061207073E-2</v>
      </c>
      <c r="AA64" s="89">
        <f>AVERAGE(Z62:Z64)</f>
        <v>2.1404328343979383E-2</v>
      </c>
      <c r="AB64" s="95">
        <f>STDEV(Z62:Z64)/SQRT(3)</f>
        <v>2.923546284903053E-2</v>
      </c>
      <c r="AD64" s="84">
        <f>D77</f>
        <v>141.13333333333333</v>
      </c>
      <c r="AE64" s="82">
        <f>S79</f>
        <v>53.03895263991533</v>
      </c>
      <c r="AF64" s="82">
        <f>U79</f>
        <v>0.29221001662380441</v>
      </c>
      <c r="AG64" s="82">
        <f>W79</f>
        <v>73.442939600216093</v>
      </c>
      <c r="AH64" s="82">
        <f>Y79</f>
        <v>2.6058623352570374</v>
      </c>
    </row>
    <row r="65" spans="2:34" x14ac:dyDescent="0.2">
      <c r="B65" s="226" t="s">
        <v>26</v>
      </c>
      <c r="C65" s="228">
        <v>0.42638888888888887</v>
      </c>
      <c r="D65" s="230">
        <f>D62+3+10/60+3+57/60+5+22/60+12</f>
        <v>45.733333333333334</v>
      </c>
      <c r="E65" s="105" t="s">
        <v>105</v>
      </c>
      <c r="F65" s="232">
        <f>(0.054+0.0571+0.0466)/3</f>
        <v>5.2566666666666671E-2</v>
      </c>
      <c r="G65" s="234">
        <f>(0.0516+0.0553+0.0451)/3</f>
        <v>5.0666666666666665E-2</v>
      </c>
      <c r="H65" s="77">
        <f>0.2513-F65</f>
        <v>0.19873333333333335</v>
      </c>
      <c r="I65" s="78">
        <f>0.2373-F65</f>
        <v>0.18473333333333333</v>
      </c>
      <c r="J65" s="78">
        <f>0.1784-G65</f>
        <v>0.12773333333333334</v>
      </c>
      <c r="K65" s="78">
        <f>0.1637-G65</f>
        <v>0.11303333333333335</v>
      </c>
      <c r="L65" s="78">
        <f t="shared" si="12"/>
        <v>1.9684710967044845E-2</v>
      </c>
      <c r="M65" s="78">
        <f t="shared" si="13"/>
        <v>1.8857077255537546E-2</v>
      </c>
      <c r="N65" s="78">
        <f t="shared" si="14"/>
        <v>1.9270894111291195E-2</v>
      </c>
      <c r="O65" s="78">
        <f>'Growth curves CeBER'!F37</f>
        <v>0.373</v>
      </c>
      <c r="P65" s="78">
        <f t="shared" si="15"/>
        <v>0.46005820000000003</v>
      </c>
      <c r="Q65" s="79">
        <f t="shared" si="18"/>
        <v>4.6005820000000002E-4</v>
      </c>
      <c r="R65" s="80">
        <f t="shared" si="16"/>
        <v>20.943974165976385</v>
      </c>
      <c r="S65" s="94"/>
      <c r="T65" s="82"/>
      <c r="U65" s="82"/>
      <c r="V65" s="82">
        <f t="shared" si="17"/>
        <v>9.6354470556455976</v>
      </c>
      <c r="W65" s="94"/>
      <c r="X65" s="82"/>
      <c r="Y65" s="82"/>
      <c r="Z65" s="82">
        <f t="shared" ref="Z65:Z107" si="22">(V65-$V$59)/(D65-$D$59)</f>
        <v>7.590629444646578E-2</v>
      </c>
      <c r="AA65" s="94"/>
      <c r="AB65" s="102"/>
      <c r="AD65" s="84">
        <f>D80</f>
        <v>165.91666666666666</v>
      </c>
      <c r="AE65" s="82">
        <f>S82</f>
        <v>44.811307397102873</v>
      </c>
      <c r="AF65" s="82">
        <f>U82</f>
        <v>2.4000783661447387</v>
      </c>
      <c r="AG65" s="82">
        <f>W82</f>
        <v>73.707833603457587</v>
      </c>
      <c r="AH65" s="82">
        <f>Y82</f>
        <v>3.9131024107228582</v>
      </c>
    </row>
    <row r="66" spans="2:34" x14ac:dyDescent="0.2">
      <c r="B66" s="226"/>
      <c r="C66" s="228"/>
      <c r="D66" s="230"/>
      <c r="E66" s="105" t="s">
        <v>106</v>
      </c>
      <c r="F66" s="232"/>
      <c r="G66" s="234"/>
      <c r="H66" s="77">
        <f>0.3016-F65</f>
        <v>0.2490333333333333</v>
      </c>
      <c r="I66" s="78">
        <f>0.286-F65</f>
        <v>0.2334333333333333</v>
      </c>
      <c r="J66" s="78">
        <f>0.2237-G65</f>
        <v>0.17303333333333334</v>
      </c>
      <c r="K66" s="78">
        <f>0.2095-G65</f>
        <v>0.15883333333333333</v>
      </c>
      <c r="L66" s="78">
        <f t="shared" si="12"/>
        <v>2.3395164775796857E-2</v>
      </c>
      <c r="M66" s="78">
        <f t="shared" si="13"/>
        <v>2.2259184224743375E-2</v>
      </c>
      <c r="N66" s="78">
        <f t="shared" si="14"/>
        <v>2.2827174500270116E-2</v>
      </c>
      <c r="O66" s="78">
        <f>'Growth curves CeBER'!G37</f>
        <v>0.33200000000000002</v>
      </c>
      <c r="P66" s="78">
        <f t="shared" si="15"/>
        <v>0.40948880000000004</v>
      </c>
      <c r="Q66" s="79">
        <f t="shared" si="18"/>
        <v>4.0948880000000006E-4</v>
      </c>
      <c r="R66" s="80">
        <f t="shared" si="16"/>
        <v>27.872770269016041</v>
      </c>
      <c r="S66" s="81"/>
      <c r="T66" s="82"/>
      <c r="U66" s="82"/>
      <c r="V66" s="82">
        <f t="shared" si="17"/>
        <v>11.413587250135057</v>
      </c>
      <c r="W66" s="94"/>
      <c r="X66" s="82"/>
      <c r="Y66" s="82"/>
      <c r="Z66" s="82">
        <f>(V66-$V$60)/(D65-$D$59)</f>
        <v>0.11262911624478449</v>
      </c>
      <c r="AA66" s="94"/>
      <c r="AB66" s="102"/>
      <c r="AD66" s="84">
        <f>D83</f>
        <v>189.79999999999998</v>
      </c>
      <c r="AE66" s="82">
        <f>S85</f>
        <v>42.974702431473453</v>
      </c>
      <c r="AF66" s="82">
        <f>U85</f>
        <v>3.729682335920657</v>
      </c>
      <c r="AG66" s="82">
        <f>W85</f>
        <v>85.376661264181507</v>
      </c>
      <c r="AH66" s="82">
        <f>Y85</f>
        <v>6.9506719318056041</v>
      </c>
    </row>
    <row r="67" spans="2:34" x14ac:dyDescent="0.2">
      <c r="B67" s="227"/>
      <c r="C67" s="229"/>
      <c r="D67" s="231"/>
      <c r="E67" s="141" t="s">
        <v>107</v>
      </c>
      <c r="F67" s="233"/>
      <c r="G67" s="235"/>
      <c r="H67" s="85">
        <f>0.241-F65</f>
        <v>0.18843333333333331</v>
      </c>
      <c r="I67" s="86">
        <f>0.2136-F65</f>
        <v>0.16103333333333333</v>
      </c>
      <c r="J67" s="86">
        <f>0.1727-G65</f>
        <v>0.12203333333333333</v>
      </c>
      <c r="K67" s="86">
        <f>0.1475-G65</f>
        <v>9.6833333333333327E-2</v>
      </c>
      <c r="L67" s="78">
        <f t="shared" si="12"/>
        <v>1.8574257158292813E-2</v>
      </c>
      <c r="M67" s="78">
        <f t="shared" si="13"/>
        <v>1.6604403025391682E-2</v>
      </c>
      <c r="N67" s="86">
        <f t="shared" si="14"/>
        <v>1.7589330091842249E-2</v>
      </c>
      <c r="O67" s="86">
        <f>'Growth curves CeBER'!H37</f>
        <v>0.33</v>
      </c>
      <c r="P67" s="86">
        <f t="shared" si="15"/>
        <v>0.40702200000000005</v>
      </c>
      <c r="Q67" s="87">
        <f t="shared" si="18"/>
        <v>4.0702200000000005E-4</v>
      </c>
      <c r="R67" s="88">
        <f t="shared" si="16"/>
        <v>21.607345661711463</v>
      </c>
      <c r="S67" s="89">
        <f>AVERAGE(R65:R67)</f>
        <v>23.474696698901298</v>
      </c>
      <c r="T67" s="90">
        <f>STDEV(R65:R67)</f>
        <v>3.8232582676880318</v>
      </c>
      <c r="U67" s="90">
        <f>T67/SQRT(3)</f>
        <v>2.2073591900311476</v>
      </c>
      <c r="V67" s="90">
        <f t="shared" si="17"/>
        <v>8.7946650459211249</v>
      </c>
      <c r="W67" s="89">
        <f t="shared" si="19"/>
        <v>9.9478997839005938</v>
      </c>
      <c r="X67" s="90">
        <f t="shared" si="20"/>
        <v>1.3371269230991805</v>
      </c>
      <c r="Y67" s="90">
        <f t="shared" si="21"/>
        <v>0.7719905889920079</v>
      </c>
      <c r="Z67" s="90">
        <f>(V67-$V$61)/(D65-$D$59)</f>
        <v>4.5233360188252213E-2</v>
      </c>
      <c r="AA67" s="89">
        <f t="shared" ref="AA67:AA109" si="23">AVERAGE(Z65:Z67)</f>
        <v>7.7922923626500828E-2</v>
      </c>
      <c r="AB67" s="95">
        <f t="shared" ref="AB67:AB109" si="24">STDEV(Z65:Z67)/SQRT(3)</f>
        <v>1.9481590271717447E-2</v>
      </c>
      <c r="AD67" s="84">
        <f>D86</f>
        <v>214.49999999999997</v>
      </c>
      <c r="AE67" s="82">
        <f>S88</f>
        <v>44.51065305735532</v>
      </c>
      <c r="AF67" s="82">
        <f>U88</f>
        <v>2.9289968393574544</v>
      </c>
      <c r="AG67" s="82">
        <f>W88</f>
        <v>103.81962452728254</v>
      </c>
      <c r="AH67" s="82">
        <f>Y88</f>
        <v>2.1600967534950946</v>
      </c>
    </row>
    <row r="68" spans="2:34" x14ac:dyDescent="0.2">
      <c r="B68" s="226" t="s">
        <v>27</v>
      </c>
      <c r="C68" s="228">
        <v>0.43958333333333338</v>
      </c>
      <c r="D68" s="230">
        <f>12+19/60+12+D65</f>
        <v>70.05</v>
      </c>
      <c r="E68" s="105" t="s">
        <v>105</v>
      </c>
      <c r="F68" s="232">
        <f>(0.0644+0.04333+0.0453)/3</f>
        <v>5.101E-2</v>
      </c>
      <c r="G68" s="234">
        <f>(0.0619+0.0427+0.0439)/3</f>
        <v>4.9499999999999995E-2</v>
      </c>
      <c r="H68" s="77">
        <f>0.3854-F68</f>
        <v>0.33439000000000002</v>
      </c>
      <c r="I68" s="78">
        <f>0.3898-F68</f>
        <v>0.33878999999999998</v>
      </c>
      <c r="J68" s="78">
        <f>0.245-G68</f>
        <v>0.19550000000000001</v>
      </c>
      <c r="K68" s="78">
        <f>0.2493-G68</f>
        <v>0.19980000000000001</v>
      </c>
      <c r="L68" s="78">
        <f t="shared" si="12"/>
        <v>3.5026337115072935E-2</v>
      </c>
      <c r="M68" s="78">
        <f t="shared" si="13"/>
        <v>3.5317828200972443E-2</v>
      </c>
      <c r="N68" s="78">
        <f t="shared" si="14"/>
        <v>3.5172082658022685E-2</v>
      </c>
      <c r="O68" s="78">
        <f>'Growth curves CeBER'!F38</f>
        <v>0.52300000000000002</v>
      </c>
      <c r="P68" s="78">
        <f t="shared" si="15"/>
        <v>0.64506820000000009</v>
      </c>
      <c r="Q68" s="79">
        <f>O68*0.75/1000</f>
        <v>3.9224999999999997E-4</v>
      </c>
      <c r="R68" s="80">
        <f t="shared" si="16"/>
        <v>44.83375737160317</v>
      </c>
      <c r="S68" s="94"/>
      <c r="T68" s="82"/>
      <c r="U68" s="82"/>
      <c r="V68" s="82">
        <f t="shared" si="17"/>
        <v>28.920831166936793</v>
      </c>
      <c r="W68" s="94"/>
      <c r="X68" s="82"/>
      <c r="Y68" s="82"/>
      <c r="Z68" s="82">
        <f t="shared" si="22"/>
        <v>0.32486555285238494</v>
      </c>
      <c r="AA68" s="94"/>
      <c r="AB68" s="102"/>
      <c r="AD68" s="84">
        <f>D89</f>
        <v>238.64999999999998</v>
      </c>
      <c r="AE68" s="82">
        <f>S91</f>
        <v>47.220812116638349</v>
      </c>
      <c r="AF68" s="82">
        <f>U91</f>
        <v>3.6061070111376892</v>
      </c>
      <c r="AG68" s="82">
        <f>W91</f>
        <v>122.86880965244013</v>
      </c>
      <c r="AH68" s="82">
        <f>Y91</f>
        <v>9.614774563268897</v>
      </c>
    </row>
    <row r="69" spans="2:34" x14ac:dyDescent="0.2">
      <c r="B69" s="226"/>
      <c r="C69" s="228"/>
      <c r="D69" s="230"/>
      <c r="E69" s="105" t="s">
        <v>106</v>
      </c>
      <c r="F69" s="232"/>
      <c r="G69" s="234"/>
      <c r="H69" s="77">
        <f>0.4188-F68</f>
        <v>0.36779000000000001</v>
      </c>
      <c r="I69" s="78">
        <f>0.4133-F68</f>
        <v>0.36229</v>
      </c>
      <c r="J69" s="78">
        <f>0.2691-G68</f>
        <v>0.21960000000000002</v>
      </c>
      <c r="K69" s="78">
        <f>0.2634-G68</f>
        <v>0.21390000000000003</v>
      </c>
      <c r="L69" s="78">
        <f t="shared" si="12"/>
        <v>3.807649918962723E-2</v>
      </c>
      <c r="M69" s="78">
        <f t="shared" si="13"/>
        <v>3.7744003241491082E-2</v>
      </c>
      <c r="N69" s="78">
        <f t="shared" si="14"/>
        <v>3.791025121555916E-2</v>
      </c>
      <c r="O69" s="78">
        <f>'Growth curves CeBER'!G38</f>
        <v>0.53400000000000003</v>
      </c>
      <c r="P69" s="78">
        <f t="shared" si="15"/>
        <v>0.6586356000000001</v>
      </c>
      <c r="Q69" s="79">
        <f>O69*0.75/1000</f>
        <v>4.0050000000000003E-4</v>
      </c>
      <c r="R69" s="80">
        <f t="shared" si="16"/>
        <v>47.328653202945262</v>
      </c>
      <c r="S69" s="81"/>
      <c r="T69" s="82"/>
      <c r="U69" s="82"/>
      <c r="V69" s="82">
        <f t="shared" si="17"/>
        <v>31.172335899513779</v>
      </c>
      <c r="W69" s="94"/>
      <c r="X69" s="82"/>
      <c r="Y69" s="82"/>
      <c r="Z69" s="82">
        <f>(V69-$V$60)/(D68-$D$59)</f>
        <v>0.35559819508408563</v>
      </c>
      <c r="AA69" s="94"/>
      <c r="AB69" s="102"/>
      <c r="AD69" s="84">
        <f>D92</f>
        <v>263.48333333333329</v>
      </c>
      <c r="AE69" s="82">
        <f>S94</f>
        <v>43.690364403597897</v>
      </c>
      <c r="AF69" s="82">
        <f>U94</f>
        <v>4.3738224571774005</v>
      </c>
      <c r="AG69" s="82">
        <f>W94</f>
        <v>128.23838465694217</v>
      </c>
      <c r="AH69" s="82">
        <f>Y94</f>
        <v>8.5312176721494275</v>
      </c>
    </row>
    <row r="70" spans="2:34" x14ac:dyDescent="0.2">
      <c r="B70" s="227"/>
      <c r="C70" s="229"/>
      <c r="D70" s="231"/>
      <c r="E70" s="141" t="s">
        <v>107</v>
      </c>
      <c r="F70" s="233"/>
      <c r="G70" s="235"/>
      <c r="H70" s="85">
        <f>0.3574-F68</f>
        <v>0.30639</v>
      </c>
      <c r="I70" s="86">
        <f>0.3713-F68</f>
        <v>0.32029000000000002</v>
      </c>
      <c r="J70" s="86">
        <f>0.2322-G68</f>
        <v>0.1827</v>
      </c>
      <c r="K70" s="86">
        <f>0.2439-G68</f>
        <v>0.19440000000000002</v>
      </c>
      <c r="L70" s="78">
        <f t="shared" si="12"/>
        <v>3.1743354943273905E-2</v>
      </c>
      <c r="M70" s="78">
        <f t="shared" si="13"/>
        <v>3.284894651539709E-2</v>
      </c>
      <c r="N70" s="86">
        <f t="shared" si="14"/>
        <v>3.2296150729335497E-2</v>
      </c>
      <c r="O70" s="86">
        <f>'Growth curves CeBER'!H38</f>
        <v>0.495</v>
      </c>
      <c r="P70" s="86">
        <f t="shared" si="15"/>
        <v>0.61053299999999999</v>
      </c>
      <c r="Q70" s="87">
        <f>O70*0.75/1000</f>
        <v>3.7124999999999994E-4</v>
      </c>
      <c r="R70" s="88">
        <f t="shared" si="16"/>
        <v>43.496499298768356</v>
      </c>
      <c r="S70" s="89">
        <f>AVERAGE(R68:R70)</f>
        <v>45.219636624438927</v>
      </c>
      <c r="T70" s="90">
        <f>STDEV(R68:R70)</f>
        <v>1.9450007672624161</v>
      </c>
      <c r="U70" s="90">
        <f>T70/SQRT(3)</f>
        <v>1.1229467165529847</v>
      </c>
      <c r="V70" s="90">
        <f t="shared" si="17"/>
        <v>26.556048206374939</v>
      </c>
      <c r="W70" s="89">
        <f t="shared" si="19"/>
        <v>28.883071757608505</v>
      </c>
      <c r="X70" s="90">
        <f t="shared" si="20"/>
        <v>2.3083754777333985</v>
      </c>
      <c r="Y70" s="90">
        <f t="shared" si="21"/>
        <v>1.3327412034601087</v>
      </c>
      <c r="Z70" s="90">
        <f>(V70-$V$61)/(D68-$D$59)</f>
        <v>0.28308430406466639</v>
      </c>
      <c r="AA70" s="89">
        <f t="shared" si="23"/>
        <v>0.32118268400037903</v>
      </c>
      <c r="AB70" s="95">
        <f t="shared" si="24"/>
        <v>2.1013794992257345E-2</v>
      </c>
      <c r="AD70" s="84">
        <f>D95</f>
        <v>286.68333333333328</v>
      </c>
      <c r="AE70" s="82">
        <f>S97</f>
        <v>44.04297487625783</v>
      </c>
      <c r="AF70" s="82">
        <f>U97</f>
        <v>2.5284176293192848</v>
      </c>
      <c r="AG70" s="82">
        <f>W97</f>
        <v>135.47069151809831</v>
      </c>
      <c r="AH70" s="82">
        <f>Y97</f>
        <v>6.3789937739806337</v>
      </c>
    </row>
    <row r="71" spans="2:34" x14ac:dyDescent="0.2">
      <c r="B71" s="226" t="s">
        <v>28</v>
      </c>
      <c r="C71" s="228">
        <v>0.54583333333333328</v>
      </c>
      <c r="D71" s="230">
        <f>12+33/60+14+D68</f>
        <v>96.6</v>
      </c>
      <c r="E71" s="105" t="s">
        <v>105</v>
      </c>
      <c r="F71" s="232">
        <f>(0.0497+0.0455)/2</f>
        <v>4.7600000000000003E-2</v>
      </c>
      <c r="G71" s="234">
        <f>(0.0476+0.0436)/2</f>
        <v>4.5600000000000002E-2</v>
      </c>
      <c r="H71" s="77">
        <f>0.4443-F71</f>
        <v>0.39669999999999994</v>
      </c>
      <c r="I71" s="78">
        <f>0.4578-F71</f>
        <v>0.41020000000000001</v>
      </c>
      <c r="J71" s="78">
        <f>0.2657-G71</f>
        <v>0.22009999999999999</v>
      </c>
      <c r="K71" s="78">
        <f>0.284-G71</f>
        <v>0.23839999999999997</v>
      </c>
      <c r="L71" s="78">
        <f t="shared" si="12"/>
        <v>4.2713047001620735E-2</v>
      </c>
      <c r="M71" s="78">
        <f t="shared" si="13"/>
        <v>4.3106645056726102E-2</v>
      </c>
      <c r="N71" s="78">
        <f t="shared" si="14"/>
        <v>4.2909846029173415E-2</v>
      </c>
      <c r="O71" s="78">
        <f>'Growth curves CeBER'!F39</f>
        <v>0.78900000000000003</v>
      </c>
      <c r="P71" s="78">
        <f t="shared" si="15"/>
        <v>0.97315260000000003</v>
      </c>
      <c r="Q71" s="79">
        <f>O71*0.5/1000</f>
        <v>3.9449999999999999E-4</v>
      </c>
      <c r="R71" s="80">
        <f t="shared" si="16"/>
        <v>54.385102698572133</v>
      </c>
      <c r="S71" s="81"/>
      <c r="V71" s="82">
        <f t="shared" si="17"/>
        <v>52.925004092382487</v>
      </c>
      <c r="W71" s="94"/>
      <c r="X71" s="82"/>
      <c r="Y71" s="82"/>
      <c r="Z71" s="82">
        <f t="shared" si="22"/>
        <v>0.48406837373452655</v>
      </c>
      <c r="AA71" s="94"/>
      <c r="AB71" s="102"/>
      <c r="AD71" s="84">
        <f>D98</f>
        <v>334.21666666666658</v>
      </c>
      <c r="AE71" s="82">
        <f>S100</f>
        <v>46.433869497996234</v>
      </c>
      <c r="AF71" s="82">
        <f>U100</f>
        <v>5.5210103818790186</v>
      </c>
      <c r="AG71" s="82">
        <f>W100</f>
        <v>155.51769313884384</v>
      </c>
      <c r="AH71" s="82">
        <f>Y100</f>
        <v>21.174438195694037</v>
      </c>
    </row>
    <row r="72" spans="2:34" ht="15" customHeight="1" x14ac:dyDescent="0.2">
      <c r="B72" s="226"/>
      <c r="C72" s="228"/>
      <c r="D72" s="230"/>
      <c r="E72" s="105" t="s">
        <v>106</v>
      </c>
      <c r="F72" s="232"/>
      <c r="G72" s="234"/>
      <c r="H72" s="77">
        <f>0.5746-F71</f>
        <v>0.52700000000000002</v>
      </c>
      <c r="I72" s="78">
        <f>0.5812-F71</f>
        <v>0.53360000000000007</v>
      </c>
      <c r="J72" s="78">
        <f>0.4006-G71</f>
        <v>0.35499999999999998</v>
      </c>
      <c r="K72" s="78">
        <f>0.4039-G71</f>
        <v>0.35829999999999995</v>
      </c>
      <c r="L72" s="78">
        <f t="shared" si="12"/>
        <v>5.0603727714748789E-2</v>
      </c>
      <c r="M72" s="78">
        <f t="shared" si="13"/>
        <v>5.1349837925445715E-2</v>
      </c>
      <c r="N72" s="78">
        <f t="shared" si="14"/>
        <v>5.0976782820097252E-2</v>
      </c>
      <c r="O72" s="78">
        <f>'Growth curves CeBER'!G39</f>
        <v>0.75800000000000001</v>
      </c>
      <c r="P72" s="78">
        <f t="shared" si="15"/>
        <v>0.9349172</v>
      </c>
      <c r="Q72" s="79">
        <f>O72*0.5/1000</f>
        <v>3.79E-4</v>
      </c>
      <c r="R72" s="80">
        <f t="shared" si="16"/>
        <v>67.251692374798481</v>
      </c>
      <c r="S72" s="81"/>
      <c r="V72" s="82">
        <f t="shared" si="17"/>
        <v>62.87476393030795</v>
      </c>
      <c r="W72" s="94"/>
      <c r="X72" s="82"/>
      <c r="Y72" s="82"/>
      <c r="Z72" s="82">
        <f>(V72-$V$60)/(D71-$D$59)</f>
        <v>0.58604639333782993</v>
      </c>
      <c r="AA72" s="94"/>
      <c r="AB72" s="102"/>
      <c r="AD72" s="84">
        <f>D101</f>
        <v>358.08333333333326</v>
      </c>
      <c r="AE72" s="82">
        <f>S103</f>
        <v>57.527133149964008</v>
      </c>
      <c r="AF72" s="82">
        <f>U103</f>
        <v>1.4387693847699718</v>
      </c>
      <c r="AG72" s="82">
        <f>W103</f>
        <v>194.00067531064289</v>
      </c>
      <c r="AH72" s="82">
        <f>Y103</f>
        <v>9.3174943497623808</v>
      </c>
    </row>
    <row r="73" spans="2:34" ht="15" customHeight="1" x14ac:dyDescent="0.2">
      <c r="B73" s="227"/>
      <c r="C73" s="229"/>
      <c r="D73" s="231"/>
      <c r="E73" s="141" t="s">
        <v>107</v>
      </c>
      <c r="F73" s="233"/>
      <c r="G73" s="235"/>
      <c r="H73" s="85">
        <f>0.4192-F71</f>
        <v>0.37160000000000004</v>
      </c>
      <c r="I73" s="86">
        <f>0.4327-F71</f>
        <v>0.3851</v>
      </c>
      <c r="J73" s="86">
        <f>0.2742-G71</f>
        <v>0.2286</v>
      </c>
      <c r="K73" s="86">
        <f>0.2842-G71</f>
        <v>0.23860000000000001</v>
      </c>
      <c r="L73" s="78">
        <f t="shared" si="12"/>
        <v>3.7811507293354953E-2</v>
      </c>
      <c r="M73" s="78">
        <f t="shared" si="13"/>
        <v>3.9018962722852511E-2</v>
      </c>
      <c r="N73" s="86">
        <f t="shared" si="14"/>
        <v>3.8415235008103732E-2</v>
      </c>
      <c r="O73" s="86">
        <f>'Growth curves CeBER'!H39</f>
        <v>0.71199999999999997</v>
      </c>
      <c r="P73" s="86">
        <f t="shared" si="15"/>
        <v>0.87818079999999998</v>
      </c>
      <c r="Q73" s="87">
        <f>O73*0.5/1000</f>
        <v>3.5599999999999998E-4</v>
      </c>
      <c r="R73" s="88">
        <f t="shared" si="16"/>
        <v>53.953981752954682</v>
      </c>
      <c r="S73" s="89">
        <f>AVERAGE(R71:R73)</f>
        <v>58.530258942108439</v>
      </c>
      <c r="T73" s="90">
        <f>STDEV(R71:R73)</f>
        <v>7.5560583082761887</v>
      </c>
      <c r="U73" s="90">
        <f>T73/SQRT(3)</f>
        <v>4.3624922982957663</v>
      </c>
      <c r="V73" s="90">
        <f t="shared" si="17"/>
        <v>47.381350858995141</v>
      </c>
      <c r="W73" s="89">
        <f t="shared" si="19"/>
        <v>54.3937062938952</v>
      </c>
      <c r="X73" s="90">
        <f t="shared" si="20"/>
        <v>7.8504316293517649</v>
      </c>
      <c r="Y73" s="90">
        <f t="shared" si="21"/>
        <v>4.5324488144609942</v>
      </c>
      <c r="Z73" s="90">
        <f>(V73-$V$61)/(D71-$D$59)</f>
        <v>0.4208629208317814</v>
      </c>
      <c r="AA73" s="89">
        <f t="shared" si="23"/>
        <v>0.49699256263471264</v>
      </c>
      <c r="AB73" s="95">
        <f t="shared" si="24"/>
        <v>4.8120234452653017E-2</v>
      </c>
      <c r="AD73" s="84">
        <f>D104</f>
        <v>406.13333333333327</v>
      </c>
      <c r="AE73" s="82">
        <f>S106</f>
        <v>52.504262124582475</v>
      </c>
      <c r="AF73" s="82">
        <f>U106</f>
        <v>3.5834162545967199</v>
      </c>
      <c r="AG73" s="82">
        <f>W106</f>
        <v>178.35143165856292</v>
      </c>
      <c r="AH73" s="82">
        <f>Y106</f>
        <v>9.2651577464666577</v>
      </c>
    </row>
    <row r="74" spans="2:34" x14ac:dyDescent="0.2">
      <c r="B74" s="226" t="s">
        <v>29</v>
      </c>
      <c r="C74" s="228">
        <v>0.54999999999999993</v>
      </c>
      <c r="D74" s="230">
        <f>24+6/60+D71</f>
        <v>120.69999999999999</v>
      </c>
      <c r="E74" s="105" t="s">
        <v>105</v>
      </c>
      <c r="F74" s="232">
        <f>0.0468</f>
        <v>4.6800000000000001E-2</v>
      </c>
      <c r="G74" s="234">
        <v>4.5199999999999997E-2</v>
      </c>
      <c r="H74" s="77">
        <f>0.3454-F74</f>
        <v>0.29859999999999998</v>
      </c>
      <c r="I74" s="78">
        <f>0.3381-F74</f>
        <v>0.2913</v>
      </c>
      <c r="J74" s="78">
        <f>0.2274-G74</f>
        <v>0.1822</v>
      </c>
      <c r="K74" s="78">
        <f>0.2219-G74</f>
        <v>0.1767</v>
      </c>
      <c r="L74" s="78">
        <f t="shared" si="12"/>
        <v>3.0529821717990274E-2</v>
      </c>
      <c r="M74" s="78">
        <f t="shared" si="13"/>
        <v>2.9885980551053487E-2</v>
      </c>
      <c r="N74" s="78">
        <f t="shared" si="14"/>
        <v>3.0207901134521882E-2</v>
      </c>
      <c r="O74" s="78">
        <f>'Growth curves CeBER'!F40</f>
        <v>1.0149999999999999</v>
      </c>
      <c r="P74" s="78">
        <f t="shared" si="15"/>
        <v>1.2519009999999999</v>
      </c>
      <c r="Q74" s="79">
        <f>O74*0.25/1000</f>
        <v>2.5374999999999996E-4</v>
      </c>
      <c r="R74" s="80">
        <f t="shared" si="16"/>
        <v>59.522957900535737</v>
      </c>
      <c r="S74" s="81"/>
      <c r="V74" s="82">
        <f t="shared" si="17"/>
        <v>74.516850518638591</v>
      </c>
      <c r="W74" s="94"/>
      <c r="X74" s="82"/>
      <c r="Y74" s="82"/>
      <c r="Z74" s="82">
        <f t="shared" si="22"/>
        <v>0.56630365641268732</v>
      </c>
      <c r="AA74" s="94"/>
      <c r="AB74" s="102"/>
      <c r="AD74" s="84">
        <f>D107</f>
        <v>430.93333333333328</v>
      </c>
      <c r="AE74" s="82">
        <f>S109</f>
        <v>54.279376497751457</v>
      </c>
      <c r="AF74" s="82">
        <f>U109</f>
        <v>10.705134296067323</v>
      </c>
      <c r="AG74" s="82">
        <f>W109</f>
        <v>186.11304700162074</v>
      </c>
      <c r="AH74" s="82">
        <f>Y109</f>
        <v>37.711948173460755</v>
      </c>
    </row>
    <row r="75" spans="2:34" x14ac:dyDescent="0.2">
      <c r="B75" s="226"/>
      <c r="C75" s="228"/>
      <c r="D75" s="230"/>
      <c r="E75" s="105" t="s">
        <v>106</v>
      </c>
      <c r="F75" s="232"/>
      <c r="G75" s="234"/>
      <c r="H75" s="77">
        <f>0.348-F74</f>
        <v>0.30119999999999997</v>
      </c>
      <c r="I75" s="78">
        <f>0.3357-F74</f>
        <v>0.28889999999999999</v>
      </c>
      <c r="J75" s="78">
        <f>0.2213-G74</f>
        <v>0.17610000000000001</v>
      </c>
      <c r="K75" s="78">
        <f>0.2107-G74</f>
        <v>0.16550000000000001</v>
      </c>
      <c r="L75" s="78">
        <f t="shared" si="12"/>
        <v>3.1549351701782816E-2</v>
      </c>
      <c r="M75" s="78">
        <f t="shared" si="13"/>
        <v>3.0595218800648295E-2</v>
      </c>
      <c r="N75" s="78">
        <f t="shared" si="14"/>
        <v>3.1072285251215553E-2</v>
      </c>
      <c r="O75" s="78">
        <f>'Growth curves CeBER'!G40</f>
        <v>1.04</v>
      </c>
      <c r="P75" s="78">
        <f t="shared" si="15"/>
        <v>1.2827360000000001</v>
      </c>
      <c r="Q75" s="79">
        <f>O75*0.25/1000</f>
        <v>2.6000000000000003E-4</v>
      </c>
      <c r="R75" s="80">
        <f t="shared" si="16"/>
        <v>59.75439471387606</v>
      </c>
      <c r="S75" s="81"/>
      <c r="V75" s="82">
        <f t="shared" si="17"/>
        <v>76.649113257698531</v>
      </c>
      <c r="W75" s="94"/>
      <c r="X75" s="82"/>
      <c r="Y75" s="82"/>
      <c r="Z75" s="82">
        <f>(V75-$V$60)/(D74-$D$59)</f>
        <v>0.58315187177982564</v>
      </c>
      <c r="AA75" s="94"/>
      <c r="AB75" s="102"/>
    </row>
    <row r="76" spans="2:34" x14ac:dyDescent="0.2">
      <c r="B76" s="227"/>
      <c r="C76" s="229"/>
      <c r="D76" s="231"/>
      <c r="E76" s="141" t="s">
        <v>107</v>
      </c>
      <c r="F76" s="233"/>
      <c r="G76" s="235"/>
      <c r="H76" s="85">
        <f>0.253-F74</f>
        <v>0.20619999999999999</v>
      </c>
      <c r="I76" s="86">
        <f>0.2658-F74</f>
        <v>0.21899999999999997</v>
      </c>
      <c r="J76" s="86">
        <f>0.1816-G74</f>
        <v>0.13640000000000002</v>
      </c>
      <c r="K76" s="86">
        <f>0.1947-G74</f>
        <v>0.14950000000000002</v>
      </c>
      <c r="L76" s="78">
        <f t="shared" si="12"/>
        <v>2.0045056726093999E-2</v>
      </c>
      <c r="M76" s="78">
        <f t="shared" si="13"/>
        <v>2.0835089141004855E-2</v>
      </c>
      <c r="N76" s="86">
        <f t="shared" si="14"/>
        <v>2.0440072933549429E-2</v>
      </c>
      <c r="O76" s="86">
        <f>'Growth curves CeBER'!H40</f>
        <v>0.88100000000000001</v>
      </c>
      <c r="P76" s="86">
        <f t="shared" si="15"/>
        <v>1.0866254</v>
      </c>
      <c r="Q76" s="87">
        <f>O76*0.25/1000</f>
        <v>2.2025000000000001E-4</v>
      </c>
      <c r="R76" s="88">
        <f t="shared" si="16"/>
        <v>46.401981687966916</v>
      </c>
      <c r="S76" s="89">
        <f>AVERAGE(R74:R76)</f>
        <v>55.226444767459576</v>
      </c>
      <c r="T76" s="90">
        <f>STDEV(R74:R76)</f>
        <v>7.643085256010032</v>
      </c>
      <c r="U76" s="90">
        <f>T76/SQRT(3)</f>
        <v>4.4127373299966521</v>
      </c>
      <c r="V76" s="90">
        <f t="shared" si="17"/>
        <v>50.421571912479727</v>
      </c>
      <c r="W76" s="89">
        <f t="shared" si="19"/>
        <v>67.195845229605609</v>
      </c>
      <c r="X76" s="90">
        <f t="shared" si="20"/>
        <v>14.566015930422665</v>
      </c>
      <c r="Y76" s="90">
        <f t="shared" si="21"/>
        <v>8.4096932184499043</v>
      </c>
      <c r="Z76" s="90">
        <f>(V76-$V$61)/(D74-$D$59)</f>
        <v>0.36201805472936766</v>
      </c>
      <c r="AA76" s="89">
        <f t="shared" si="23"/>
        <v>0.50382452764062691</v>
      </c>
      <c r="AB76" s="95">
        <f t="shared" si="24"/>
        <v>7.1069853923008131E-2</v>
      </c>
      <c r="AD76" s="84"/>
      <c r="AE76" s="82"/>
      <c r="AF76" s="82"/>
      <c r="AG76" s="82"/>
      <c r="AH76" s="82"/>
    </row>
    <row r="77" spans="2:34" x14ac:dyDescent="0.2">
      <c r="B77" s="226" t="s">
        <v>30</v>
      </c>
      <c r="C77" s="228">
        <v>0.40138888888888885</v>
      </c>
      <c r="D77" s="230">
        <f>8+26/60+12+D74</f>
        <v>141.13333333333333</v>
      </c>
      <c r="E77" s="105" t="s">
        <v>105</v>
      </c>
      <c r="F77" s="232">
        <v>4.4299999999999999E-2</v>
      </c>
      <c r="G77" s="234">
        <v>4.3999999999999997E-2</v>
      </c>
      <c r="H77" s="77">
        <f>0.1914-F77</f>
        <v>0.14709999999999998</v>
      </c>
      <c r="I77" s="78">
        <f>0.1981-F77</f>
        <v>0.15379999999999999</v>
      </c>
      <c r="J77" s="78">
        <f>0.1297-G77</f>
        <v>8.5700000000000012E-2</v>
      </c>
      <c r="K77" s="78">
        <f>0.1362-G77</f>
        <v>9.219999999999999E-2</v>
      </c>
      <c r="L77" s="78">
        <f t="shared" si="12"/>
        <v>1.5437844408427872E-2</v>
      </c>
      <c r="M77" s="78">
        <f t="shared" si="13"/>
        <v>1.588638573743922E-2</v>
      </c>
      <c r="N77" s="78">
        <f t="shared" si="14"/>
        <v>1.5662115072933545E-2</v>
      </c>
      <c r="O77" s="78">
        <f>'Growth curves CeBER'!F41</f>
        <v>1.171</v>
      </c>
      <c r="P77" s="78">
        <f t="shared" si="15"/>
        <v>1.4443114000000001</v>
      </c>
      <c r="Q77" s="79">
        <f>O77*0.125/1000</f>
        <v>1.4637499999999999E-4</v>
      </c>
      <c r="R77" s="80">
        <f t="shared" si="16"/>
        <v>53.499966090293924</v>
      </c>
      <c r="S77" s="81"/>
      <c r="V77" s="82">
        <f t="shared" si="17"/>
        <v>77.270610923824947</v>
      </c>
      <c r="W77" s="94"/>
      <c r="X77" s="82"/>
      <c r="Y77" s="82"/>
      <c r="Z77" s="82">
        <f t="shared" si="22"/>
        <v>0.50382577988330923</v>
      </c>
      <c r="AA77" s="94"/>
      <c r="AB77" s="102"/>
      <c r="AE77" s="82"/>
      <c r="AF77" s="82"/>
      <c r="AG77" s="82"/>
      <c r="AH77" s="82"/>
    </row>
    <row r="78" spans="2:34" x14ac:dyDescent="0.2">
      <c r="B78" s="226"/>
      <c r="C78" s="228"/>
      <c r="D78" s="230"/>
      <c r="E78" s="105" t="s">
        <v>106</v>
      </c>
      <c r="F78" s="232"/>
      <c r="G78" s="234"/>
      <c r="H78" s="77">
        <f>0.1917-F77</f>
        <v>0.1474</v>
      </c>
      <c r="I78" s="78">
        <f>0.1813-F77</f>
        <v>0.13699999999999998</v>
      </c>
      <c r="J78" s="78">
        <f>0.13-G77</f>
        <v>8.6000000000000007E-2</v>
      </c>
      <c r="K78" s="78">
        <f>0.1197-G77</f>
        <v>7.5700000000000003E-2</v>
      </c>
      <c r="L78" s="78">
        <f t="shared" si="12"/>
        <v>1.5457050243111833E-2</v>
      </c>
      <c r="M78" s="78">
        <f t="shared" si="13"/>
        <v>1.4781442463533224E-2</v>
      </c>
      <c r="N78" s="78">
        <f t="shared" si="14"/>
        <v>1.5119246353322529E-2</v>
      </c>
      <c r="O78" s="78">
        <f>'Growth curves CeBER'!G41</f>
        <v>1.1519999999999999</v>
      </c>
      <c r="P78" s="78">
        <f t="shared" si="15"/>
        <v>1.4208768000000001</v>
      </c>
      <c r="Q78" s="79">
        <f>O78*0.125/1000</f>
        <v>1.4399999999999998E-4</v>
      </c>
      <c r="R78" s="80">
        <f t="shared" si="16"/>
        <v>52.49738317125879</v>
      </c>
      <c r="S78" s="81"/>
      <c r="V78" s="82">
        <f t="shared" si="17"/>
        <v>74.592313808752039</v>
      </c>
      <c r="W78" s="94"/>
      <c r="X78" s="82"/>
      <c r="Y78" s="82"/>
      <c r="Z78" s="82">
        <f>(V78-$V$60)/(D77-$D$59)</f>
        <v>0.48414949084703679</v>
      </c>
      <c r="AA78" s="94"/>
      <c r="AB78" s="102"/>
      <c r="AE78" s="82"/>
      <c r="AF78" s="82"/>
      <c r="AG78" s="82"/>
      <c r="AH78" s="82"/>
    </row>
    <row r="79" spans="2:34" x14ac:dyDescent="0.2">
      <c r="B79" s="227"/>
      <c r="C79" s="229"/>
      <c r="D79" s="231"/>
      <c r="E79" s="141" t="s">
        <v>107</v>
      </c>
      <c r="F79" s="233"/>
      <c r="G79" s="235"/>
      <c r="H79" s="85">
        <f>0.1811-F77</f>
        <v>0.1368</v>
      </c>
      <c r="I79" s="86">
        <f>0.177-F77</f>
        <v>0.13269999999999998</v>
      </c>
      <c r="J79" s="86">
        <f>0.1276-G77</f>
        <v>8.3599999999999994E-2</v>
      </c>
      <c r="K79" s="86">
        <f>0.1228-G77</f>
        <v>7.8800000000000009E-2</v>
      </c>
      <c r="L79" s="78">
        <f t="shared" si="12"/>
        <v>1.3974392220421395E-2</v>
      </c>
      <c r="M79" s="78">
        <f t="shared" si="13"/>
        <v>1.3780551053484601E-2</v>
      </c>
      <c r="N79" s="86">
        <f t="shared" si="14"/>
        <v>1.3877471636952998E-2</v>
      </c>
      <c r="O79" s="86">
        <f>'Growth curves CeBER'!H41</f>
        <v>1.0449999999999999</v>
      </c>
      <c r="P79" s="86">
        <f t="shared" si="15"/>
        <v>1.2889029999999999</v>
      </c>
      <c r="Q79" s="87">
        <f>O79*0.125/1000</f>
        <v>1.3062499999999999E-4</v>
      </c>
      <c r="R79" s="88">
        <f t="shared" si="16"/>
        <v>53.119508658193297</v>
      </c>
      <c r="S79" s="89">
        <f>AVERAGE(R77:R79)</f>
        <v>53.03895263991533</v>
      </c>
      <c r="T79" s="90">
        <f>STDEV(R77:R79)</f>
        <v>0.50612259527297543</v>
      </c>
      <c r="U79" s="90">
        <f>T79/SQRT(3)</f>
        <v>0.29221001662380441</v>
      </c>
      <c r="V79" s="90">
        <f t="shared" si="17"/>
        <v>68.465894068071307</v>
      </c>
      <c r="W79" s="89">
        <f t="shared" si="19"/>
        <v>73.442939600216093</v>
      </c>
      <c r="X79" s="90">
        <f t="shared" si="20"/>
        <v>4.5134859621952721</v>
      </c>
      <c r="Y79" s="90">
        <f t="shared" si="21"/>
        <v>2.6058623352570374</v>
      </c>
      <c r="Z79" s="90">
        <f>(V79-$V$61)/(D77-$D$59)</f>
        <v>0.43745796902285961</v>
      </c>
      <c r="AA79" s="89">
        <f t="shared" si="23"/>
        <v>0.47514441325106854</v>
      </c>
      <c r="AB79" s="95">
        <f t="shared" si="24"/>
        <v>1.9680702447525945E-2</v>
      </c>
    </row>
    <row r="80" spans="2:34" x14ac:dyDescent="0.2">
      <c r="B80" s="226" t="s">
        <v>31</v>
      </c>
      <c r="C80" s="228">
        <v>0.43402777777777773</v>
      </c>
      <c r="D80" s="230">
        <f>24+47/60+D77</f>
        <v>165.91666666666666</v>
      </c>
      <c r="E80" s="105" t="s">
        <v>105</v>
      </c>
      <c r="F80" s="232">
        <v>4.9299999999999997E-2</v>
      </c>
      <c r="G80" s="234">
        <v>4.8399999999999999E-2</v>
      </c>
      <c r="H80" s="77">
        <f>0.2535-F80</f>
        <v>0.20419999999999999</v>
      </c>
      <c r="I80" s="78">
        <f>0.232-F80</f>
        <v>0.18270000000000003</v>
      </c>
      <c r="J80" s="78">
        <f>0.1741-G80</f>
        <v>0.12570000000000001</v>
      </c>
      <c r="K80" s="78">
        <f>0.1559-G80</f>
        <v>0.10750000000000001</v>
      </c>
      <c r="L80" s="78">
        <f t="shared" si="12"/>
        <v>2.0770097244732572E-2</v>
      </c>
      <c r="M80" s="78">
        <f t="shared" si="13"/>
        <v>1.9070097244732579E-2</v>
      </c>
      <c r="N80" s="78">
        <f t="shared" si="14"/>
        <v>1.9920097244732576E-2</v>
      </c>
      <c r="O80" s="78">
        <f>'Growth curves CeBER'!F42</f>
        <v>1.361</v>
      </c>
      <c r="P80" s="78">
        <f t="shared" si="15"/>
        <v>1.6786574000000001</v>
      </c>
      <c r="Q80" s="79">
        <f t="shared" ref="Q80:Q85" si="25">P80*0.125/1000</f>
        <v>2.09832175E-4</v>
      </c>
      <c r="R80" s="80">
        <f t="shared" si="16"/>
        <v>47.466736797472969</v>
      </c>
      <c r="S80" s="81"/>
      <c r="V80" s="82">
        <f t="shared" si="17"/>
        <v>79.68038897893031</v>
      </c>
      <c r="W80" s="94"/>
      <c r="X80" s="82"/>
      <c r="Y80" s="82"/>
      <c r="Z80" s="82">
        <f t="shared" si="22"/>
        <v>0.44309225387827073</v>
      </c>
      <c r="AA80" s="94"/>
      <c r="AB80" s="102"/>
    </row>
    <row r="81" spans="2:28" x14ac:dyDescent="0.2">
      <c r="B81" s="226"/>
      <c r="C81" s="228"/>
      <c r="D81" s="230"/>
      <c r="E81" s="105" t="s">
        <v>106</v>
      </c>
      <c r="F81" s="232"/>
      <c r="G81" s="234"/>
      <c r="H81" s="77">
        <f>0.2374-F80</f>
        <v>0.18809999999999999</v>
      </c>
      <c r="I81" s="78">
        <f>0.2347-F80</f>
        <v>0.18540000000000001</v>
      </c>
      <c r="J81" s="78">
        <f>0.1675-G80</f>
        <v>0.11910000000000001</v>
      </c>
      <c r="K81" s="78">
        <f>0.1637-G80</f>
        <v>0.11530000000000001</v>
      </c>
      <c r="L81" s="78">
        <f t="shared" si="12"/>
        <v>1.8807860615883302E-2</v>
      </c>
      <c r="M81" s="78">
        <f t="shared" si="13"/>
        <v>1.8742868719611019E-2</v>
      </c>
      <c r="N81" s="78">
        <f t="shared" si="14"/>
        <v>1.8775364667747159E-2</v>
      </c>
      <c r="O81" s="78">
        <f>'Growth curves CeBER'!G42</f>
        <v>1.2969999999999999</v>
      </c>
      <c r="P81" s="78">
        <f t="shared" si="15"/>
        <v>1.5997197999999999</v>
      </c>
      <c r="Q81" s="79">
        <f t="shared" si="25"/>
        <v>1.9996497499999999E-4</v>
      </c>
      <c r="R81" s="80">
        <f t="shared" si="16"/>
        <v>46.946633198506788</v>
      </c>
      <c r="S81" s="81"/>
      <c r="V81" s="82">
        <f t="shared" si="17"/>
        <v>75.101458670988634</v>
      </c>
      <c r="W81" s="94"/>
      <c r="X81" s="82"/>
      <c r="Y81" s="82"/>
      <c r="Z81" s="82">
        <f>(V81-$V$60)/(D80-$D$59)</f>
        <v>0.41489970670285314</v>
      </c>
      <c r="AA81" s="94"/>
      <c r="AB81" s="102"/>
    </row>
    <row r="82" spans="2:28" x14ac:dyDescent="0.2">
      <c r="B82" s="227"/>
      <c r="C82" s="229"/>
      <c r="D82" s="231"/>
      <c r="E82" s="141" t="s">
        <v>107</v>
      </c>
      <c r="F82" s="233"/>
      <c r="G82" s="235"/>
      <c r="H82" s="85">
        <f>0.2054-F80</f>
        <v>0.15610000000000002</v>
      </c>
      <c r="I82" s="86">
        <f>0.2087-F80</f>
        <v>0.15939999999999999</v>
      </c>
      <c r="J82" s="86">
        <f>0.1386-G80</f>
        <v>9.0200000000000002E-2</v>
      </c>
      <c r="K82" s="86">
        <f>0.1414-G80</f>
        <v>9.2999999999999999E-2</v>
      </c>
      <c r="L82" s="78">
        <f t="shared" si="12"/>
        <v>1.6455267423014588E-2</v>
      </c>
      <c r="M82" s="78">
        <f t="shared" si="13"/>
        <v>1.6715559157212317E-2</v>
      </c>
      <c r="N82" s="86">
        <f t="shared" si="14"/>
        <v>1.6585413290113454E-2</v>
      </c>
      <c r="O82" s="86">
        <f>'Growth curves CeBER'!H42</f>
        <v>1.3440000000000001</v>
      </c>
      <c r="P82" s="86">
        <f t="shared" si="15"/>
        <v>1.6576896000000001</v>
      </c>
      <c r="Q82" s="87">
        <f t="shared" si="25"/>
        <v>2.0721120000000002E-4</v>
      </c>
      <c r="R82" s="88">
        <f t="shared" si="16"/>
        <v>40.020552195328854</v>
      </c>
      <c r="S82" s="89">
        <f>AVERAGE(R80:R82)</f>
        <v>44.811307397102873</v>
      </c>
      <c r="T82" s="90">
        <f>STDEV(R80:R82)</f>
        <v>4.1570576723095858</v>
      </c>
      <c r="U82" s="90">
        <f>T82/SQRT(3)</f>
        <v>2.4000783661447387</v>
      </c>
      <c r="V82" s="90">
        <f t="shared" si="17"/>
        <v>66.341653160453816</v>
      </c>
      <c r="W82" s="89">
        <f t="shared" si="19"/>
        <v>73.707833603457587</v>
      </c>
      <c r="X82" s="90">
        <f t="shared" si="20"/>
        <v>6.7776921905922469</v>
      </c>
      <c r="Y82" s="90">
        <f t="shared" si="21"/>
        <v>3.9131024107228582</v>
      </c>
      <c r="Z82" s="90">
        <f>(V82-$V$61)/(D80-$D$59)</f>
        <v>0.35931086160005282</v>
      </c>
      <c r="AA82" s="89">
        <f t="shared" si="23"/>
        <v>0.40576760739372558</v>
      </c>
      <c r="AB82" s="95">
        <f t="shared" si="24"/>
        <v>2.4612847941424036E-2</v>
      </c>
    </row>
    <row r="83" spans="2:28" x14ac:dyDescent="0.2">
      <c r="B83" s="226" t="s">
        <v>32</v>
      </c>
      <c r="C83" s="228">
        <v>0.4291666666666667</v>
      </c>
      <c r="D83" s="230">
        <f>11+53/60+12+D80</f>
        <v>189.79999999999998</v>
      </c>
      <c r="E83" s="105" t="s">
        <v>105</v>
      </c>
      <c r="F83" s="232">
        <f>(0.0533+0.0497+0.0487)/3</f>
        <v>5.0566666666666669E-2</v>
      </c>
      <c r="G83" s="234">
        <f>(0.0526+0.0486+0.048)/3</f>
        <v>4.9733333333333331E-2</v>
      </c>
      <c r="H83" s="77">
        <f>0.2963-F83</f>
        <v>0.24573333333333333</v>
      </c>
      <c r="I83" s="78">
        <f>0.2783-F83</f>
        <v>0.22773333333333332</v>
      </c>
      <c r="J83" s="78">
        <f>0.1999-G83</f>
        <v>0.15016666666666667</v>
      </c>
      <c r="K83" s="78">
        <f>0.1849-G83</f>
        <v>0.13516666666666668</v>
      </c>
      <c r="L83" s="78">
        <f t="shared" si="12"/>
        <v>2.5102512155591568E-2</v>
      </c>
      <c r="M83" s="78">
        <f t="shared" si="13"/>
        <v>2.3655996758508907E-2</v>
      </c>
      <c r="N83" s="78">
        <f t="shared" si="14"/>
        <v>2.4379254457050237E-2</v>
      </c>
      <c r="O83" s="78">
        <f>'Growth curves CeBER'!F43</f>
        <v>1.6459999999999999</v>
      </c>
      <c r="P83" s="78">
        <f t="shared" si="15"/>
        <v>2.0301763999999998</v>
      </c>
      <c r="Q83" s="79">
        <f t="shared" si="25"/>
        <v>2.5377204999999994E-4</v>
      </c>
      <c r="R83" s="80">
        <f t="shared" si="16"/>
        <v>48.03376584822923</v>
      </c>
      <c r="S83" s="81"/>
      <c r="V83" s="82">
        <f t="shared" si="17"/>
        <v>97.517017828200949</v>
      </c>
      <c r="W83" s="94"/>
      <c r="X83" s="82"/>
      <c r="Y83" s="82"/>
      <c r="Z83" s="82">
        <f t="shared" si="22"/>
        <v>0.48131200547193742</v>
      </c>
      <c r="AA83" s="94"/>
      <c r="AB83" s="102"/>
    </row>
    <row r="84" spans="2:28" x14ac:dyDescent="0.2">
      <c r="B84" s="226"/>
      <c r="C84" s="228"/>
      <c r="D84" s="230"/>
      <c r="E84" s="105" t="s">
        <v>106</v>
      </c>
      <c r="F84" s="232"/>
      <c r="G84" s="234"/>
      <c r="H84" s="77">
        <f>0.2266-F83</f>
        <v>0.17603333333333332</v>
      </c>
      <c r="I84" s="78">
        <f>0.2292-F83</f>
        <v>0.17863333333333331</v>
      </c>
      <c r="J84" s="78">
        <f>0.1537-G83</f>
        <v>0.10396666666666668</v>
      </c>
      <c r="K84" s="78">
        <f>0.1575-G83</f>
        <v>0.10776666666666668</v>
      </c>
      <c r="L84" s="78">
        <f t="shared" si="12"/>
        <v>1.8336061588330628E-2</v>
      </c>
      <c r="M84" s="78">
        <f t="shared" si="13"/>
        <v>1.8384846029173414E-2</v>
      </c>
      <c r="N84" s="78">
        <f t="shared" si="14"/>
        <v>1.8360453808752022E-2</v>
      </c>
      <c r="O84" s="78">
        <f>'Growth curves CeBER'!G43</f>
        <v>1.6679999999999999</v>
      </c>
      <c r="P84" s="78">
        <f t="shared" si="15"/>
        <v>2.0573112</v>
      </c>
      <c r="Q84" s="79">
        <f t="shared" si="25"/>
        <v>2.5716390000000001E-4</v>
      </c>
      <c r="R84" s="80">
        <f t="shared" si="16"/>
        <v>35.697961122754833</v>
      </c>
      <c r="S84" s="81"/>
      <c r="V84" s="82">
        <f t="shared" si="17"/>
        <v>73.441815235008093</v>
      </c>
      <c r="W84" s="94"/>
      <c r="X84" s="82"/>
      <c r="Y84" s="82"/>
      <c r="Z84" s="82">
        <f>(V84-$V$60)/(D83-$D$59)</f>
        <v>0.35394695943695742</v>
      </c>
      <c r="AA84" s="94"/>
      <c r="AB84" s="102"/>
    </row>
    <row r="85" spans="2:28" x14ac:dyDescent="0.2">
      <c r="B85" s="227"/>
      <c r="C85" s="229"/>
      <c r="D85" s="231"/>
      <c r="E85" s="141" t="s">
        <v>107</v>
      </c>
      <c r="F85" s="233"/>
      <c r="G85" s="235"/>
      <c r="H85" s="85">
        <f>0.2412-F83</f>
        <v>0.19063333333333332</v>
      </c>
      <c r="I85" s="86">
        <f>0.2768-F83</f>
        <v>0.22623333333333331</v>
      </c>
      <c r="J85" s="86">
        <f>0.1612-G83</f>
        <v>0.11146666666666669</v>
      </c>
      <c r="K85" s="86">
        <f>0.193-G83</f>
        <v>0.14326666666666668</v>
      </c>
      <c r="L85" s="78">
        <f t="shared" si="12"/>
        <v>1.9966936790923821E-2</v>
      </c>
      <c r="M85" s="78">
        <f t="shared" si="13"/>
        <v>2.261863857374392E-2</v>
      </c>
      <c r="N85" s="86">
        <f t="shared" si="14"/>
        <v>2.129278768233387E-2</v>
      </c>
      <c r="O85" s="86">
        <f>'Growth curves CeBER'!H43</f>
        <v>1.528</v>
      </c>
      <c r="P85" s="86">
        <f t="shared" si="15"/>
        <v>1.8846352000000002</v>
      </c>
      <c r="Q85" s="87">
        <f t="shared" si="25"/>
        <v>2.3557940000000003E-4</v>
      </c>
      <c r="R85" s="88">
        <f t="shared" si="16"/>
        <v>45.192380323436318</v>
      </c>
      <c r="S85" s="89">
        <f>AVERAGE(R83:R85)</f>
        <v>42.974702431473453</v>
      </c>
      <c r="T85" s="90">
        <f>STDEV(R83:R85)</f>
        <v>6.4599993019067501</v>
      </c>
      <c r="U85" s="90">
        <f>T85/SQRT(3)</f>
        <v>3.729682335920657</v>
      </c>
      <c r="V85" s="90">
        <f t="shared" si="17"/>
        <v>85.17115072933548</v>
      </c>
      <c r="W85" s="89">
        <f t="shared" si="19"/>
        <v>85.376661264181507</v>
      </c>
      <c r="X85" s="90">
        <f t="shared" si="20"/>
        <v>12.038916932630224</v>
      </c>
      <c r="Y85" s="90">
        <f t="shared" si="21"/>
        <v>6.9506719318056041</v>
      </c>
      <c r="Z85" s="90">
        <f>(V85-$V$61)/(D83-$D$59)</f>
        <v>0.41330430991933842</v>
      </c>
      <c r="AA85" s="89">
        <f t="shared" si="23"/>
        <v>0.41618775827607779</v>
      </c>
      <c r="AB85" s="95">
        <f t="shared" si="24"/>
        <v>3.6795377624970829E-2</v>
      </c>
    </row>
    <row r="86" spans="2:28" x14ac:dyDescent="0.2">
      <c r="B86" s="226" t="s">
        <v>33</v>
      </c>
      <c r="C86" s="228">
        <v>0.45833333333333331</v>
      </c>
      <c r="D86" s="230">
        <f>42/60+24+D83</f>
        <v>214.49999999999997</v>
      </c>
      <c r="E86" s="105" t="s">
        <v>105</v>
      </c>
      <c r="F86" s="232">
        <f>(0.0523+0.0363+0.0414)/3</f>
        <v>4.3333333333333335E-2</v>
      </c>
      <c r="G86" s="234">
        <f>(0.0511+0.0355+0.0401)/3</f>
        <v>4.2233333333333324E-2</v>
      </c>
      <c r="H86" s="77">
        <f>0.2565-F86</f>
        <v>0.21316666666666667</v>
      </c>
      <c r="I86" s="78">
        <f>0.2374-F86</f>
        <v>0.19406666666666667</v>
      </c>
      <c r="J86" s="78">
        <f>0.1808-G86</f>
        <v>0.13856666666666667</v>
      </c>
      <c r="K86" s="78">
        <f>0.1651-G86</f>
        <v>0.12286666666666668</v>
      </c>
      <c r="L86" s="78">
        <f t="shared" si="12"/>
        <v>2.0961723392760673E-2</v>
      </c>
      <c r="M86" s="78">
        <f t="shared" si="13"/>
        <v>1.9405564559697462E-2</v>
      </c>
      <c r="N86" s="78">
        <f t="shared" si="14"/>
        <v>2.0183643976229067E-2</v>
      </c>
      <c r="O86" s="78">
        <f>'Growth curves CeBER'!F44</f>
        <v>2.0339999999999998</v>
      </c>
      <c r="P86" s="78">
        <f t="shared" si="15"/>
        <v>2.5087356000000001</v>
      </c>
      <c r="Q86" s="79">
        <f t="shared" ref="Q86:Q88" si="26">P86*0.1/1000</f>
        <v>2.5087356000000002E-4</v>
      </c>
      <c r="R86" s="80">
        <f t="shared" si="16"/>
        <v>40.226726116991095</v>
      </c>
      <c r="S86" s="81"/>
      <c r="V86" s="82">
        <f t="shared" si="17"/>
        <v>100.91821988114533</v>
      </c>
      <c r="W86" s="94"/>
      <c r="X86" s="82"/>
      <c r="Y86" s="82"/>
      <c r="Z86" s="82">
        <f t="shared" si="22"/>
        <v>0.44174461860847603</v>
      </c>
      <c r="AA86" s="94"/>
      <c r="AB86" s="102"/>
    </row>
    <row r="87" spans="2:28" x14ac:dyDescent="0.2">
      <c r="B87" s="226"/>
      <c r="C87" s="228"/>
      <c r="D87" s="230"/>
      <c r="E87" s="105" t="s">
        <v>106</v>
      </c>
      <c r="F87" s="232"/>
      <c r="G87" s="234"/>
      <c r="H87" s="77">
        <f>0.2529-F86</f>
        <v>0.20956666666666668</v>
      </c>
      <c r="I87" s="78">
        <f>0.2256-F86</f>
        <v>0.18226666666666666</v>
      </c>
      <c r="J87" s="78">
        <f>0.1686-G86</f>
        <v>0.12636666666666668</v>
      </c>
      <c r="K87" s="78">
        <f>0.1454-G86</f>
        <v>0.10316666666666668</v>
      </c>
      <c r="L87" s="78">
        <f t="shared" si="12"/>
        <v>2.1574527282549976E-2</v>
      </c>
      <c r="M87" s="78">
        <f t="shared" si="13"/>
        <v>1.9424770394381414E-2</v>
      </c>
      <c r="N87" s="78">
        <f t="shared" si="14"/>
        <v>2.0499648838465695E-2</v>
      </c>
      <c r="O87" s="78">
        <f>'Growth curves CeBER'!G44</f>
        <v>1.9239999999999999</v>
      </c>
      <c r="P87" s="78">
        <f t="shared" si="15"/>
        <v>2.3730616000000002</v>
      </c>
      <c r="Q87" s="79">
        <f t="shared" si="26"/>
        <v>2.3730616000000005E-4</v>
      </c>
      <c r="R87" s="80">
        <f t="shared" si="16"/>
        <v>43.192407728618782</v>
      </c>
      <c r="S87" s="81"/>
      <c r="V87" s="82">
        <f t="shared" si="17"/>
        <v>102.49824419232846</v>
      </c>
      <c r="W87" s="94"/>
      <c r="X87" s="82"/>
      <c r="Y87" s="82"/>
      <c r="Z87" s="82">
        <f>(V87-$V$60)/(D86-$D$59)</f>
        <v>0.44865063803475469</v>
      </c>
      <c r="AA87" s="94"/>
      <c r="AB87" s="102"/>
    </row>
    <row r="88" spans="2:28" x14ac:dyDescent="0.2">
      <c r="B88" s="227"/>
      <c r="C88" s="229"/>
      <c r="D88" s="231"/>
      <c r="E88" s="141" t="s">
        <v>107</v>
      </c>
      <c r="F88" s="233"/>
      <c r="G88" s="235"/>
      <c r="H88" s="85">
        <f>0.2622-F86</f>
        <v>0.21886666666666665</v>
      </c>
      <c r="I88" s="86">
        <f>0.2756-F86</f>
        <v>0.23226666666666668</v>
      </c>
      <c r="J88" s="86">
        <f>0.1902-G86</f>
        <v>0.14796666666666669</v>
      </c>
      <c r="K88" s="86">
        <f>0.1992-G86</f>
        <v>0.15696666666666667</v>
      </c>
      <c r="L88" s="78">
        <f t="shared" si="12"/>
        <v>2.0963830361966498E-2</v>
      </c>
      <c r="M88" s="78">
        <f t="shared" si="13"/>
        <v>2.2253133441383039E-2</v>
      </c>
      <c r="N88" s="86">
        <f t="shared" si="14"/>
        <v>2.1608481901674768E-2</v>
      </c>
      <c r="O88" s="86">
        <f>'Growth curves CeBER'!H44</f>
        <v>1.748</v>
      </c>
      <c r="P88" s="86">
        <f t="shared" si="15"/>
        <v>2.1559832000000001</v>
      </c>
      <c r="Q88" s="87">
        <f t="shared" si="26"/>
        <v>2.1559832E-4</v>
      </c>
      <c r="R88" s="88">
        <f t="shared" si="16"/>
        <v>50.11282532645609</v>
      </c>
      <c r="S88" s="89">
        <f>AVERAGE(R86:R88)</f>
        <v>44.51065305735532</v>
      </c>
      <c r="T88" s="90">
        <f>STDEV(R86:R88)</f>
        <v>5.0731713409757679</v>
      </c>
      <c r="U88" s="90">
        <f>T88/SQRT(3)</f>
        <v>2.9289968393574544</v>
      </c>
      <c r="V88" s="90">
        <f t="shared" si="17"/>
        <v>108.04240950837385</v>
      </c>
      <c r="W88" s="89">
        <f t="shared" si="19"/>
        <v>103.81962452728254</v>
      </c>
      <c r="X88" s="90">
        <f t="shared" si="20"/>
        <v>3.7413973263180882</v>
      </c>
      <c r="Y88" s="90">
        <f t="shared" si="21"/>
        <v>2.1600967534950946</v>
      </c>
      <c r="Z88" s="90">
        <f>(V88-$V$61)/(D86-$D$59)</f>
        <v>0.47233760746726716</v>
      </c>
      <c r="AA88" s="89">
        <f t="shared" si="23"/>
        <v>0.45424428803683264</v>
      </c>
      <c r="AB88" s="95">
        <f t="shared" si="24"/>
        <v>9.2637183335102097E-3</v>
      </c>
    </row>
    <row r="89" spans="2:28" x14ac:dyDescent="0.2">
      <c r="B89" s="226" t="s">
        <v>34</v>
      </c>
      <c r="C89" s="228">
        <v>0.46458333333333335</v>
      </c>
      <c r="D89" s="230">
        <f>9/60+24+D86</f>
        <v>238.64999999999998</v>
      </c>
      <c r="E89" s="105" t="s">
        <v>105</v>
      </c>
      <c r="F89" s="232">
        <f>(0.0531+0.05)/2</f>
        <v>5.1549999999999999E-2</v>
      </c>
      <c r="G89" s="234">
        <f>(0.0524+0.0491)/2</f>
        <v>5.0750000000000003E-2</v>
      </c>
      <c r="H89" s="77">
        <f>0.2648-F89</f>
        <v>0.21325</v>
      </c>
      <c r="I89" s="78">
        <f>0.2523-F89</f>
        <v>0.20075000000000004</v>
      </c>
      <c r="J89" s="78">
        <f>0.182-G89</f>
        <v>0.13124999999999998</v>
      </c>
      <c r="K89" s="78">
        <f>0.1766-G89</f>
        <v>0.12585000000000002</v>
      </c>
      <c r="L89" s="78">
        <f t="shared" si="12"/>
        <v>2.1692666126418153E-2</v>
      </c>
      <c r="M89" s="78">
        <f t="shared" si="13"/>
        <v>2.0196231766612647E-2</v>
      </c>
      <c r="N89" s="78">
        <f t="shared" si="14"/>
        <v>2.0944448946515398E-2</v>
      </c>
      <c r="O89" s="78">
        <f>'Growth curves CeBER'!F45</f>
        <v>2.1320000000000001</v>
      </c>
      <c r="P89" s="78">
        <f t="shared" si="15"/>
        <v>2.6296088000000002</v>
      </c>
      <c r="Q89" s="79">
        <f t="shared" ref="Q89:Q91" si="27">P89*0.075/1000</f>
        <v>1.9722066000000003E-4</v>
      </c>
      <c r="R89" s="80">
        <f t="shared" si="16"/>
        <v>53.099023567093312</v>
      </c>
      <c r="S89" s="81"/>
      <c r="V89" s="82">
        <f t="shared" si="17"/>
        <v>139.62965964343599</v>
      </c>
      <c r="W89" s="94"/>
      <c r="X89" s="82"/>
      <c r="Y89" s="82"/>
      <c r="Z89" s="82">
        <f t="shared" si="22"/>
        <v>0.55925271507986085</v>
      </c>
      <c r="AA89" s="94"/>
      <c r="AB89" s="102"/>
    </row>
    <row r="90" spans="2:28" x14ac:dyDescent="0.2">
      <c r="B90" s="226"/>
      <c r="C90" s="228"/>
      <c r="D90" s="230"/>
      <c r="E90" s="105" t="s">
        <v>106</v>
      </c>
      <c r="F90" s="232"/>
      <c r="G90" s="234"/>
      <c r="H90" s="77">
        <f>0.206-F89</f>
        <v>0.15444999999999998</v>
      </c>
      <c r="I90" s="78">
        <f>0.197-F89</f>
        <v>0.14545000000000002</v>
      </c>
      <c r="J90" s="78">
        <f>0.1396-G89</f>
        <v>8.8849999999999998E-2</v>
      </c>
      <c r="K90" s="78">
        <f>0.1323-G89</f>
        <v>8.1549999999999997E-2</v>
      </c>
      <c r="L90" s="78">
        <f t="shared" si="12"/>
        <v>1.6320218800648295E-2</v>
      </c>
      <c r="M90" s="78">
        <f t="shared" si="13"/>
        <v>1.5577350081037281E-2</v>
      </c>
      <c r="N90" s="78">
        <f t="shared" si="14"/>
        <v>1.5948784440842786E-2</v>
      </c>
      <c r="O90" s="78">
        <f>'Growth curves CeBER'!G45</f>
        <v>2.12</v>
      </c>
      <c r="P90" s="78">
        <f t="shared" si="15"/>
        <v>2.614808</v>
      </c>
      <c r="Q90" s="79">
        <f t="shared" si="27"/>
        <v>1.9611060000000001E-4</v>
      </c>
      <c r="R90" s="80">
        <f t="shared" si="16"/>
        <v>40.662729196797081</v>
      </c>
      <c r="S90" s="81"/>
      <c r="V90" s="82">
        <f t="shared" si="17"/>
        <v>106.32522960561859</v>
      </c>
      <c r="W90" s="94"/>
      <c r="X90" s="82"/>
      <c r="Y90" s="82"/>
      <c r="Z90" s="82">
        <f>(V90-$V$60)/(D89-$D$59)</f>
        <v>0.41928576271420498</v>
      </c>
      <c r="AA90" s="94"/>
      <c r="AB90" s="102"/>
    </row>
    <row r="91" spans="2:28" x14ac:dyDescent="0.2">
      <c r="B91" s="227"/>
      <c r="C91" s="229"/>
      <c r="D91" s="231"/>
      <c r="E91" s="141" t="s">
        <v>107</v>
      </c>
      <c r="F91" s="233"/>
      <c r="G91" s="235"/>
      <c r="H91" s="85">
        <f>0.2175-F89</f>
        <v>0.16594999999999999</v>
      </c>
      <c r="I91" s="86">
        <f>0.2375-F89</f>
        <v>0.18595</v>
      </c>
      <c r="J91" s="86">
        <f>0.1459-G89</f>
        <v>9.5149999999999998E-2</v>
      </c>
      <c r="K91" s="86">
        <f>0.162-G89</f>
        <v>0.11125</v>
      </c>
      <c r="L91" s="78">
        <f t="shared" si="12"/>
        <v>1.7566329011345218E-2</v>
      </c>
      <c r="M91" s="78">
        <f t="shared" si="13"/>
        <v>1.9229132901134524E-2</v>
      </c>
      <c r="N91" s="86">
        <f t="shared" si="14"/>
        <v>1.8397730956239873E-2</v>
      </c>
      <c r="O91" s="86">
        <f>'Growth curves CeBER'!H45</f>
        <v>2.0760000000000001</v>
      </c>
      <c r="P91" s="86">
        <f t="shared" si="15"/>
        <v>2.5605384</v>
      </c>
      <c r="Q91" s="87">
        <f t="shared" si="27"/>
        <v>1.9204037999999998E-4</v>
      </c>
      <c r="R91" s="88">
        <f t="shared" si="16"/>
        <v>47.900683586024655</v>
      </c>
      <c r="S91" s="89">
        <f>AVERAGE(R89:R91)</f>
        <v>47.220812116638349</v>
      </c>
      <c r="T91" s="90">
        <f>STDEV(R89:R91)</f>
        <v>6.2459605608208246</v>
      </c>
      <c r="U91" s="90">
        <f>T91/SQRT(3)</f>
        <v>3.6061070111376892</v>
      </c>
      <c r="V91" s="90">
        <f t="shared" si="17"/>
        <v>122.65153970826583</v>
      </c>
      <c r="W91" s="89">
        <f t="shared" si="19"/>
        <v>122.86880965244013</v>
      </c>
      <c r="X91" s="90">
        <f t="shared" si="20"/>
        <v>16.653278046902592</v>
      </c>
      <c r="Y91" s="90">
        <f t="shared" si="21"/>
        <v>9.614774563268897</v>
      </c>
      <c r="Z91" s="90">
        <f>(V91-$V$61)/(D89-$D$59)</f>
        <v>0.48575548712181343</v>
      </c>
      <c r="AA91" s="89">
        <f t="shared" si="23"/>
        <v>0.48809798830529311</v>
      </c>
      <c r="AB91" s="95">
        <f t="shared" si="24"/>
        <v>4.0421951224874485E-2</v>
      </c>
    </row>
    <row r="92" spans="2:28" x14ac:dyDescent="0.2">
      <c r="B92" s="226" t="s">
        <v>35</v>
      </c>
      <c r="C92" s="228">
        <v>0.4993055555555555</v>
      </c>
      <c r="D92" s="230">
        <f>50/60+24+D89</f>
        <v>263.48333333333329</v>
      </c>
      <c r="E92" s="105" t="s">
        <v>105</v>
      </c>
      <c r="F92" s="232">
        <f>(0.0536+0.0321+0.0389)/3</f>
        <v>4.1533333333333332E-2</v>
      </c>
      <c r="G92" s="234">
        <f>(0.0523+0.0316+0.0377)/3</f>
        <v>4.0533333333333331E-2</v>
      </c>
      <c r="H92" s="77">
        <f>0.1472-F92</f>
        <v>0.10566666666666666</v>
      </c>
      <c r="I92" s="78">
        <f>0.1522-F92</f>
        <v>0.11066666666666666</v>
      </c>
      <c r="J92" s="78">
        <f>0.1021-G92</f>
        <v>6.1566666666666665E-2</v>
      </c>
      <c r="K92" s="78">
        <f>0.1093-G92</f>
        <v>6.876666666666667E-2</v>
      </c>
      <c r="L92" s="78">
        <f t="shared" si="12"/>
        <v>1.1088951917882223E-2</v>
      </c>
      <c r="M92" s="78">
        <f t="shared" si="13"/>
        <v>1.1193327930848188E-2</v>
      </c>
      <c r="N92" s="78">
        <f t="shared" si="14"/>
        <v>1.1141139924365205E-2</v>
      </c>
      <c r="O92" s="78">
        <f>'Growth curves CeBER'!F46</f>
        <v>2.5819999999999999</v>
      </c>
      <c r="P92" s="78">
        <f t="shared" si="15"/>
        <v>3.1846388000000001</v>
      </c>
      <c r="Q92" s="79">
        <f t="shared" ref="Q92:Q109" si="28">P92*0.05/1000</f>
        <v>1.5923194000000001E-4</v>
      </c>
      <c r="R92" s="80">
        <f t="shared" si="16"/>
        <v>34.983998575804591</v>
      </c>
      <c r="S92" s="81"/>
      <c r="V92" s="82">
        <f t="shared" si="17"/>
        <v>111.41139924365204</v>
      </c>
      <c r="W92" s="94"/>
      <c r="X92" s="82"/>
      <c r="Y92" s="82"/>
      <c r="Z92" s="82">
        <f t="shared" si="22"/>
        <v>0.39944613848070654</v>
      </c>
      <c r="AA92" s="94"/>
      <c r="AB92" s="102"/>
    </row>
    <row r="93" spans="2:28" x14ac:dyDescent="0.2">
      <c r="B93" s="226"/>
      <c r="C93" s="228"/>
      <c r="D93" s="230"/>
      <c r="E93" s="105" t="s">
        <v>106</v>
      </c>
      <c r="F93" s="232"/>
      <c r="G93" s="234"/>
      <c r="H93" s="77">
        <f>0.1861-F92</f>
        <v>0.14456666666666665</v>
      </c>
      <c r="I93" s="78">
        <f>0.1816-F92</f>
        <v>0.14006666666666667</v>
      </c>
      <c r="J93" s="78">
        <f>0.141-G92</f>
        <v>0.10046666666666665</v>
      </c>
      <c r="K93" s="78">
        <f>0.1368-G92</f>
        <v>9.6266666666666667E-2</v>
      </c>
      <c r="L93" s="78">
        <f t="shared" si="12"/>
        <v>1.3579308481901673E-2</v>
      </c>
      <c r="M93" s="78">
        <f t="shared" si="13"/>
        <v>1.3261804430037818E-2</v>
      </c>
      <c r="N93" s="78">
        <f t="shared" si="14"/>
        <v>1.3420556455969745E-2</v>
      </c>
      <c r="O93" s="78">
        <f>'Growth curves CeBER'!G46</f>
        <v>2.2999999999999998</v>
      </c>
      <c r="P93" s="78">
        <f t="shared" si="15"/>
        <v>2.8368199999999999</v>
      </c>
      <c r="Q93" s="79">
        <f t="shared" si="28"/>
        <v>1.41841E-4</v>
      </c>
      <c r="R93" s="80">
        <f t="shared" si="16"/>
        <v>47.308452619375728</v>
      </c>
      <c r="S93" s="81"/>
      <c r="V93" s="82">
        <f t="shared" si="17"/>
        <v>134.20556455969745</v>
      </c>
      <c r="W93" s="94"/>
      <c r="X93" s="82"/>
      <c r="Y93" s="82"/>
      <c r="Z93" s="82">
        <f>(V93-$V$60)/(D92-$D$59)</f>
        <v>0.48558244882974466</v>
      </c>
      <c r="AA93" s="94"/>
      <c r="AB93" s="102"/>
    </row>
    <row r="94" spans="2:28" x14ac:dyDescent="0.2">
      <c r="B94" s="227"/>
      <c r="C94" s="229"/>
      <c r="D94" s="231"/>
      <c r="E94" s="141" t="s">
        <v>107</v>
      </c>
      <c r="F94" s="233"/>
      <c r="G94" s="235"/>
      <c r="H94" s="85">
        <f>0.2051-F92</f>
        <v>0.16356666666666667</v>
      </c>
      <c r="I94" s="86">
        <f>0.1883-F92</f>
        <v>0.14676666666666666</v>
      </c>
      <c r="J94" s="86">
        <f>0.1643-G92</f>
        <v>0.12376666666666666</v>
      </c>
      <c r="K94" s="86">
        <f>0.146-G92</f>
        <v>0.10546666666666665</v>
      </c>
      <c r="L94" s="78">
        <f t="shared" si="12"/>
        <v>1.437404105888709E-2</v>
      </c>
      <c r="M94" s="78">
        <f t="shared" si="13"/>
        <v>1.344559697460832E-2</v>
      </c>
      <c r="N94" s="86">
        <f t="shared" si="14"/>
        <v>1.3909819016747704E-2</v>
      </c>
      <c r="O94" s="86">
        <f>'Growth curves CeBER'!H46</f>
        <v>2.3119999999999998</v>
      </c>
      <c r="P94" s="86">
        <f t="shared" si="15"/>
        <v>2.8516208000000001</v>
      </c>
      <c r="Q94" s="87">
        <f t="shared" si="28"/>
        <v>1.4258104000000003E-4</v>
      </c>
      <c r="R94" s="88">
        <f t="shared" si="16"/>
        <v>48.778642015613372</v>
      </c>
      <c r="S94" s="89">
        <f>AVERAGE(R92:R94)</f>
        <v>43.690364403597897</v>
      </c>
      <c r="T94" s="90">
        <f>STDEV(R92:R94)</f>
        <v>7.5756827191170073</v>
      </c>
      <c r="U94" s="90">
        <f>T94/SQRT(3)</f>
        <v>4.3738224571774005</v>
      </c>
      <c r="V94" s="90">
        <f t="shared" si="17"/>
        <v>139.09819016747701</v>
      </c>
      <c r="W94" s="89">
        <f t="shared" si="19"/>
        <v>128.23838465694217</v>
      </c>
      <c r="X94" s="90">
        <f t="shared" si="20"/>
        <v>14.776502458592294</v>
      </c>
      <c r="Y94" s="90">
        <f t="shared" si="21"/>
        <v>8.5312176721494275</v>
      </c>
      <c r="Z94" s="90">
        <f>(V94-$V$61)/(D92-$D$59)</f>
        <v>0.50239305760325881</v>
      </c>
      <c r="AA94" s="89">
        <f t="shared" si="23"/>
        <v>0.46247388163790332</v>
      </c>
      <c r="AB94" s="95">
        <f t="shared" si="24"/>
        <v>3.1885322890274632E-2</v>
      </c>
    </row>
    <row r="95" spans="2:28" x14ac:dyDescent="0.2">
      <c r="B95" s="226" t="s">
        <v>36</v>
      </c>
      <c r="C95" s="228">
        <v>0.46597222222222223</v>
      </c>
      <c r="D95" s="230">
        <f>11+12/60+12+D92</f>
        <v>286.68333333333328</v>
      </c>
      <c r="E95" s="105" t="s">
        <v>105</v>
      </c>
      <c r="F95" s="232">
        <f>(0.0517+0.0474)/2</f>
        <v>4.9549999999999997E-2</v>
      </c>
      <c r="G95" s="234">
        <f>(0.0508+0.0471)/2</f>
        <v>4.895E-2</v>
      </c>
      <c r="H95" s="77">
        <f>0.1726-F95</f>
        <v>0.12305000000000001</v>
      </c>
      <c r="I95" s="78">
        <f>0.1657-F95</f>
        <v>0.11614999999999999</v>
      </c>
      <c r="J95" s="78">
        <f>0.1199-G95</f>
        <v>7.0950000000000013E-2</v>
      </c>
      <c r="K95" s="78">
        <f>0.1146-G95</f>
        <v>6.5649999999999986E-2</v>
      </c>
      <c r="L95" s="78">
        <f t="shared" si="12"/>
        <v>1.2986264181523502E-2</v>
      </c>
      <c r="M95" s="78">
        <f t="shared" si="13"/>
        <v>1.2387641815235008E-2</v>
      </c>
      <c r="N95" s="78">
        <f t="shared" si="14"/>
        <v>1.2686952998379256E-2</v>
      </c>
      <c r="O95" s="78">
        <f>'Growth curves CeBER'!F47</f>
        <v>2.6320000000000001</v>
      </c>
      <c r="P95" s="78">
        <f t="shared" si="15"/>
        <v>3.2463088000000004</v>
      </c>
      <c r="Q95" s="79">
        <f t="shared" si="28"/>
        <v>1.6231544000000004E-4</v>
      </c>
      <c r="R95" s="80">
        <f t="shared" si="16"/>
        <v>39.081165040057968</v>
      </c>
      <c r="S95" s="81"/>
      <c r="V95" s="82">
        <f t="shared" si="17"/>
        <v>126.86952998379255</v>
      </c>
      <c r="W95" s="94"/>
      <c r="X95" s="82"/>
      <c r="Y95" s="82"/>
      <c r="Z95" s="82">
        <f t="shared" si="22"/>
        <v>0.42104132594906807</v>
      </c>
      <c r="AA95" s="94"/>
      <c r="AB95" s="102"/>
    </row>
    <row r="96" spans="2:28" x14ac:dyDescent="0.2">
      <c r="B96" s="226"/>
      <c r="C96" s="228"/>
      <c r="D96" s="230"/>
      <c r="E96" s="105" t="s">
        <v>106</v>
      </c>
      <c r="F96" s="232"/>
      <c r="G96" s="234"/>
      <c r="H96" s="77">
        <f>0.1843-F95</f>
        <v>0.13474999999999998</v>
      </c>
      <c r="I96" s="78">
        <f>0.2005-F95</f>
        <v>0.15095000000000003</v>
      </c>
      <c r="J96" s="78">
        <f>0.1244-G95</f>
        <v>7.5449999999999989E-2</v>
      </c>
      <c r="K96" s="78">
        <f>0.144-G95</f>
        <v>9.5049999999999996E-2</v>
      </c>
      <c r="L96" s="78">
        <f t="shared" si="12"/>
        <v>1.4441288492706643E-2</v>
      </c>
      <c r="M96" s="78">
        <f t="shared" si="13"/>
        <v>1.5145016207455436E-2</v>
      </c>
      <c r="N96" s="78">
        <f t="shared" si="14"/>
        <v>1.4793152350081039E-2</v>
      </c>
      <c r="O96" s="78">
        <f>'Growth curves CeBER'!G47</f>
        <v>2.532</v>
      </c>
      <c r="P96" s="78">
        <f t="shared" si="15"/>
        <v>3.1229688000000002</v>
      </c>
      <c r="Q96" s="79">
        <f t="shared" si="28"/>
        <v>1.5614844000000003E-4</v>
      </c>
      <c r="R96" s="80">
        <f t="shared" si="16"/>
        <v>47.368876532103158</v>
      </c>
      <c r="S96" s="81"/>
      <c r="V96" s="82">
        <f t="shared" si="17"/>
        <v>147.93152350081039</v>
      </c>
      <c r="W96" s="94"/>
      <c r="X96" s="82"/>
      <c r="Y96" s="82"/>
      <c r="Z96" s="82">
        <f>(V96-$V$60)/(D95-$D$59)</f>
        <v>0.49416490146015984</v>
      </c>
      <c r="AA96" s="94"/>
      <c r="AB96" s="102"/>
    </row>
    <row r="97" spans="2:34" x14ac:dyDescent="0.2">
      <c r="B97" s="227"/>
      <c r="C97" s="229"/>
      <c r="D97" s="231"/>
      <c r="E97" s="141" t="s">
        <v>107</v>
      </c>
      <c r="F97" s="233"/>
      <c r="G97" s="235"/>
      <c r="H97" s="85">
        <f>0.1668-F95</f>
        <v>0.11725000000000001</v>
      </c>
      <c r="I97" s="86">
        <f>0.1857-F95</f>
        <v>0.13614999999999999</v>
      </c>
      <c r="J97" s="86">
        <f>0.1154-G95</f>
        <v>6.6450000000000009E-2</v>
      </c>
      <c r="K97" s="86">
        <f>0.1329-G95</f>
        <v>8.3949999999999997E-2</v>
      </c>
      <c r="L97" s="78">
        <f t="shared" si="12"/>
        <v>1.2487479740680712E-2</v>
      </c>
      <c r="M97" s="78">
        <f t="shared" si="13"/>
        <v>1.3834724473257698E-2</v>
      </c>
      <c r="N97" s="86">
        <f t="shared" si="14"/>
        <v>1.3161102106969205E-2</v>
      </c>
      <c r="O97" s="86">
        <f>'Growth curves CeBER'!H47</f>
        <v>2.3359999999999999</v>
      </c>
      <c r="P97" s="86">
        <f t="shared" si="15"/>
        <v>2.8812224</v>
      </c>
      <c r="Q97" s="87">
        <f t="shared" si="28"/>
        <v>1.4406112000000002E-4</v>
      </c>
      <c r="R97" s="88">
        <f t="shared" si="16"/>
        <v>45.678883056612371</v>
      </c>
      <c r="S97" s="89">
        <f>AVERAGE(R95:R97)</f>
        <v>44.04297487625783</v>
      </c>
      <c r="T97" s="90">
        <f>STDEV(R95:R97)</f>
        <v>4.3793477967338532</v>
      </c>
      <c r="U97" s="90">
        <f>T97/SQRT(3)</f>
        <v>2.5284176293192848</v>
      </c>
      <c r="V97" s="90">
        <f t="shared" si="17"/>
        <v>131.61102106969201</v>
      </c>
      <c r="W97" s="89">
        <f t="shared" si="19"/>
        <v>135.47069151809831</v>
      </c>
      <c r="X97" s="90">
        <f t="shared" si="20"/>
        <v>11.048741317699996</v>
      </c>
      <c r="Y97" s="90">
        <f t="shared" si="21"/>
        <v>6.3789937739806337</v>
      </c>
      <c r="Z97" s="90">
        <f>(V97-$V$61)/(D95-$D$59)</f>
        <v>0.43562012102684838</v>
      </c>
      <c r="AA97" s="89">
        <f t="shared" si="23"/>
        <v>0.45027544947869208</v>
      </c>
      <c r="AB97" s="95">
        <f t="shared" si="24"/>
        <v>2.2344636290805527E-2</v>
      </c>
    </row>
    <row r="98" spans="2:34" x14ac:dyDescent="0.2">
      <c r="B98" s="226" t="s">
        <v>38</v>
      </c>
      <c r="C98" s="228">
        <v>0.4465277777777778</v>
      </c>
      <c r="D98" s="255">
        <f>11+32/60+12+24+D95</f>
        <v>334.21666666666658</v>
      </c>
      <c r="E98" s="105" t="s">
        <v>105</v>
      </c>
      <c r="F98" s="232">
        <f>0.0532</f>
        <v>5.3199999999999997E-2</v>
      </c>
      <c r="G98" s="234">
        <v>5.2499999999999998E-2</v>
      </c>
      <c r="H98" s="77">
        <f>0.1528-F98</f>
        <v>9.9599999999999994E-2</v>
      </c>
      <c r="I98" s="78">
        <f>0.152-F98</f>
        <v>9.8799999999999999E-2</v>
      </c>
      <c r="J98" s="78">
        <f>0.0996-G98</f>
        <v>4.7099999999999996E-2</v>
      </c>
      <c r="K98" s="78">
        <f>0.0997-G98</f>
        <v>4.7199999999999999E-2</v>
      </c>
      <c r="L98" s="78">
        <f t="shared" si="12"/>
        <v>1.15242301458671E-2</v>
      </c>
      <c r="M98" s="78">
        <f t="shared" si="13"/>
        <v>1.1384764991896272E-2</v>
      </c>
      <c r="N98" s="78">
        <f t="shared" si="14"/>
        <v>1.1454497568881686E-2</v>
      </c>
      <c r="O98" s="78">
        <f>'Growth curves CeBER'!F49</f>
        <v>2.5720000000000001</v>
      </c>
      <c r="P98" s="78">
        <f t="shared" si="15"/>
        <v>3.1723048</v>
      </c>
      <c r="Q98" s="79">
        <f t="shared" si="28"/>
        <v>1.5861524000000002E-4</v>
      </c>
      <c r="R98" s="80">
        <f t="shared" si="16"/>
        <v>36.10780896237236</v>
      </c>
      <c r="S98" s="81"/>
      <c r="V98" s="82">
        <f t="shared" si="17"/>
        <v>114.54497568881686</v>
      </c>
      <c r="W98" s="94"/>
      <c r="X98" s="82"/>
      <c r="Y98" s="82"/>
      <c r="Z98" s="82">
        <f t="shared" si="22"/>
        <v>0.32428357801582702</v>
      </c>
      <c r="AA98" s="94"/>
      <c r="AB98" s="102"/>
    </row>
    <row r="99" spans="2:34" x14ac:dyDescent="0.2">
      <c r="B99" s="226"/>
      <c r="C99" s="228"/>
      <c r="D99" s="255"/>
      <c r="E99" s="105" t="s">
        <v>106</v>
      </c>
      <c r="F99" s="232"/>
      <c r="G99" s="234"/>
      <c r="H99" s="77">
        <f>0.2079-F98</f>
        <v>0.1547</v>
      </c>
      <c r="I99" s="78">
        <f>0.2149-F98</f>
        <v>0.16170000000000001</v>
      </c>
      <c r="J99" s="78">
        <f>0.1401-G98</f>
        <v>8.7600000000000011E-2</v>
      </c>
      <c r="K99" s="78">
        <f>0.1478-G98</f>
        <v>9.5299999999999996E-2</v>
      </c>
      <c r="L99" s="78">
        <f t="shared" si="12"/>
        <v>1.6483306320907616E-2</v>
      </c>
      <c r="M99" s="78">
        <f t="shared" si="13"/>
        <v>1.6862803889789304E-2</v>
      </c>
      <c r="N99" s="78">
        <f t="shared" si="14"/>
        <v>1.6673055105348458E-2</v>
      </c>
      <c r="O99" s="78">
        <f>'Growth curves CeBER'!G49</f>
        <v>2.8039999999999998</v>
      </c>
      <c r="P99" s="78">
        <f t="shared" si="15"/>
        <v>3.4584535999999999</v>
      </c>
      <c r="Q99" s="79">
        <f t="shared" si="28"/>
        <v>1.7292267999999999E-4</v>
      </c>
      <c r="R99" s="80">
        <f t="shared" si="16"/>
        <v>48.209567146855633</v>
      </c>
      <c r="S99" s="81"/>
      <c r="V99" s="82">
        <f t="shared" si="17"/>
        <v>166.73055105348459</v>
      </c>
      <c r="W99" s="94"/>
      <c r="X99" s="82"/>
      <c r="Y99" s="82"/>
      <c r="Z99" s="82">
        <f>(V99-$V$60)/(D98-$D$59)</f>
        <v>0.48013125832427384</v>
      </c>
      <c r="AA99" s="94"/>
      <c r="AB99" s="102"/>
    </row>
    <row r="100" spans="2:34" x14ac:dyDescent="0.2">
      <c r="B100" s="227"/>
      <c r="C100" s="229"/>
      <c r="D100" s="256"/>
      <c r="E100" s="141" t="s">
        <v>107</v>
      </c>
      <c r="F100" s="233"/>
      <c r="G100" s="235"/>
      <c r="H100" s="85">
        <f>0.2629-F98</f>
        <v>0.20970000000000003</v>
      </c>
      <c r="I100" s="86">
        <f>0.2134-F98</f>
        <v>0.16020000000000001</v>
      </c>
      <c r="J100" s="86">
        <f>0.196-G98</f>
        <v>0.14350000000000002</v>
      </c>
      <c r="K100" s="86">
        <f>0.1425-G98</f>
        <v>0.09</v>
      </c>
      <c r="L100" s="78">
        <f t="shared" si="12"/>
        <v>1.9916126418152352E-2</v>
      </c>
      <c r="M100" s="78">
        <f t="shared" si="13"/>
        <v>1.713938411669368E-2</v>
      </c>
      <c r="N100" s="86">
        <f t="shared" si="14"/>
        <v>1.8527755267423014E-2</v>
      </c>
      <c r="O100" s="86">
        <f>'Growth curves CeBER'!H49</f>
        <v>2.7320000000000002</v>
      </c>
      <c r="P100" s="86">
        <f t="shared" si="15"/>
        <v>3.3696488000000002</v>
      </c>
      <c r="Q100" s="87">
        <f t="shared" si="28"/>
        <v>1.6848244000000002E-4</v>
      </c>
      <c r="R100" s="88">
        <f t="shared" si="16"/>
        <v>54.984232384760723</v>
      </c>
      <c r="S100" s="89">
        <f>AVERAGE(R98:R100)</f>
        <v>46.433869497996234</v>
      </c>
      <c r="T100" s="90">
        <f>STDEV(R98:R100)</f>
        <v>9.56267049052971</v>
      </c>
      <c r="U100" s="90">
        <f>T100/SQRT(3)</f>
        <v>5.5210103818790186</v>
      </c>
      <c r="V100" s="90">
        <f t="shared" si="17"/>
        <v>185.27755267423012</v>
      </c>
      <c r="W100" s="89">
        <f t="shared" si="19"/>
        <v>155.51769313884384</v>
      </c>
      <c r="X100" s="90">
        <f t="shared" si="20"/>
        <v>36.675202776669138</v>
      </c>
      <c r="Y100" s="90">
        <f t="shared" si="21"/>
        <v>21.174438195694037</v>
      </c>
      <c r="Z100" s="90">
        <f>(V100-$V$61)/(D98-$D$59)</f>
        <v>0.53423894669401617</v>
      </c>
      <c r="AA100" s="89">
        <f t="shared" si="23"/>
        <v>0.44621792767803897</v>
      </c>
      <c r="AB100" s="95">
        <f t="shared" si="24"/>
        <v>6.2936210313404586E-2</v>
      </c>
    </row>
    <row r="101" spans="2:34" x14ac:dyDescent="0.2">
      <c r="B101" s="226" t="s">
        <v>39</v>
      </c>
      <c r="C101" s="228">
        <v>0.44097222222222227</v>
      </c>
      <c r="D101" s="230">
        <f>11+52/60+12+D98</f>
        <v>358.08333333333326</v>
      </c>
      <c r="E101" s="105" t="s">
        <v>105</v>
      </c>
      <c r="F101" s="232">
        <f>(0.0454+0.053+0.0393)/3</f>
        <v>4.5899999999999996E-2</v>
      </c>
      <c r="G101" s="234">
        <f>(0.0458+0.0534+0.0393)/3</f>
        <v>4.6166666666666668E-2</v>
      </c>
      <c r="H101" s="78">
        <f>0.1715-F101</f>
        <v>0.12560000000000002</v>
      </c>
      <c r="I101" s="78">
        <f>0.3421-F101</f>
        <v>0.29620000000000002</v>
      </c>
      <c r="J101" s="78">
        <f>0.1156-G101</f>
        <v>6.9433333333333319E-2</v>
      </c>
      <c r="K101" s="78">
        <f>0.2846-G101</f>
        <v>0.23843333333333336</v>
      </c>
      <c r="L101" s="78">
        <f t="shared" si="12"/>
        <v>1.3548271204754192E-2</v>
      </c>
      <c r="M101" s="78">
        <f t="shared" si="13"/>
        <v>2.4626877363587252E-2</v>
      </c>
      <c r="N101" s="78">
        <f t="shared" si="14"/>
        <v>1.9087574284170721E-2</v>
      </c>
      <c r="O101" s="78">
        <f>'Growth curves CeBER'!F50</f>
        <v>2.5840000000000001</v>
      </c>
      <c r="P101" s="78">
        <f t="shared" si="15"/>
        <v>3.1871056000000002</v>
      </c>
      <c r="Q101" s="79">
        <f t="shared" si="28"/>
        <v>1.5935528000000001E-4</v>
      </c>
      <c r="R101" s="80">
        <f t="shared" si="16"/>
        <v>59.889996378440422</v>
      </c>
      <c r="S101" s="81"/>
      <c r="V101" s="82">
        <f t="shared" si="17"/>
        <v>190.87574284170719</v>
      </c>
      <c r="W101" s="94"/>
      <c r="X101" s="82"/>
      <c r="Y101" s="82"/>
      <c r="Z101" s="82">
        <f t="shared" si="22"/>
        <v>0.5158345179951036</v>
      </c>
      <c r="AA101" s="94"/>
      <c r="AB101" s="102"/>
    </row>
    <row r="102" spans="2:34" x14ac:dyDescent="0.2">
      <c r="B102" s="226"/>
      <c r="C102" s="228"/>
      <c r="D102" s="230"/>
      <c r="E102" s="105" t="s">
        <v>106</v>
      </c>
      <c r="F102" s="232"/>
      <c r="G102" s="234"/>
      <c r="H102" s="78">
        <f>0.2452-F101</f>
        <v>0.1993</v>
      </c>
      <c r="I102" s="78">
        <f>0.2603-F101</f>
        <v>0.21439999999999998</v>
      </c>
      <c r="J102" s="78">
        <f>0.1679-G101</f>
        <v>0.12173333333333333</v>
      </c>
      <c r="K102" s="78">
        <f>0.1769-G101</f>
        <v>0.13073333333333334</v>
      </c>
      <c r="L102" s="78">
        <f t="shared" si="12"/>
        <v>2.0364883846569422E-2</v>
      </c>
      <c r="M102" s="78">
        <f t="shared" si="13"/>
        <v>2.1929713668287408E-2</v>
      </c>
      <c r="N102" s="78">
        <f t="shared" si="14"/>
        <v>2.1147298757428414E-2</v>
      </c>
      <c r="O102" s="78">
        <f>'Growth curves CeBER'!G50</f>
        <v>2.968</v>
      </c>
      <c r="P102" s="78">
        <f t="shared" si="15"/>
        <v>3.6607312000000003</v>
      </c>
      <c r="Q102" s="79">
        <f t="shared" si="28"/>
        <v>1.8303656000000001E-4</v>
      </c>
      <c r="R102" s="80">
        <f t="shared" si="16"/>
        <v>57.767963835827146</v>
      </c>
      <c r="S102" s="81"/>
      <c r="V102" s="82">
        <f t="shared" si="17"/>
        <v>211.47298757428413</v>
      </c>
      <c r="W102" s="94"/>
      <c r="X102" s="82"/>
      <c r="Y102" s="82"/>
      <c r="Z102" s="82">
        <f>(V102-$V$60)/(D101-$D$59)</f>
        <v>0.57307974467882872</v>
      </c>
      <c r="AA102" s="94"/>
      <c r="AB102" s="102"/>
    </row>
    <row r="103" spans="2:34" x14ac:dyDescent="0.2">
      <c r="B103" s="227"/>
      <c r="C103" s="229"/>
      <c r="D103" s="231"/>
      <c r="E103" s="141" t="s">
        <v>107</v>
      </c>
      <c r="F103" s="233"/>
      <c r="G103" s="235"/>
      <c r="H103" s="86">
        <f>0.269-F101</f>
        <v>0.22310000000000002</v>
      </c>
      <c r="I103" s="86">
        <f>0.1979-F101</f>
        <v>0.152</v>
      </c>
      <c r="J103" s="86">
        <f>0.2073-G101</f>
        <v>0.16113333333333335</v>
      </c>
      <c r="K103" s="86">
        <f>0.1386-G101</f>
        <v>9.243333333333334E-2</v>
      </c>
      <c r="L103" s="78">
        <f t="shared" si="12"/>
        <v>2.0358887088060506E-2</v>
      </c>
      <c r="M103" s="78">
        <f t="shared" si="13"/>
        <v>1.5571772015126958E-2</v>
      </c>
      <c r="N103" s="86">
        <f t="shared" si="14"/>
        <v>1.7965329551593731E-2</v>
      </c>
      <c r="O103" s="86">
        <f>'Growth curves CeBER'!H50</f>
        <v>2.6520000000000001</v>
      </c>
      <c r="P103" s="86">
        <f t="shared" si="15"/>
        <v>3.2709768000000001</v>
      </c>
      <c r="Q103" s="87">
        <f t="shared" si="28"/>
        <v>1.6354884000000002E-4</v>
      </c>
      <c r="R103" s="88">
        <f t="shared" si="16"/>
        <v>54.923439235624443</v>
      </c>
      <c r="S103" s="89">
        <f>AVERAGE(R101:R103)</f>
        <v>57.527133149964008</v>
      </c>
      <c r="T103" s="90">
        <f>STDEV(R101:R103)</f>
        <v>2.4920216747962063</v>
      </c>
      <c r="U103" s="90">
        <f>T103/SQRT(3)</f>
        <v>1.4387693847699718</v>
      </c>
      <c r="V103" s="90">
        <f t="shared" si="17"/>
        <v>179.65329551593729</v>
      </c>
      <c r="W103" s="89">
        <f t="shared" si="19"/>
        <v>194.00067531064289</v>
      </c>
      <c r="X103" s="90">
        <f t="shared" si="20"/>
        <v>16.138373613024381</v>
      </c>
      <c r="Y103" s="90">
        <f t="shared" si="21"/>
        <v>9.3174943497623808</v>
      </c>
      <c r="Z103" s="90">
        <f>(V103-$V$61)/(D101-$D$59)</f>
        <v>0.48292474603479341</v>
      </c>
      <c r="AA103" s="89">
        <f t="shared" si="23"/>
        <v>0.52394633623624187</v>
      </c>
      <c r="AB103" s="95">
        <f t="shared" si="24"/>
        <v>2.6339654145473325E-2</v>
      </c>
    </row>
    <row r="104" spans="2:34" x14ac:dyDescent="0.2">
      <c r="B104" s="226" t="s">
        <v>41</v>
      </c>
      <c r="C104" s="228">
        <v>0.44305555555555554</v>
      </c>
      <c r="D104" s="230">
        <f>3/60+48+D101</f>
        <v>406.13333333333327</v>
      </c>
      <c r="E104" s="105" t="s">
        <v>105</v>
      </c>
      <c r="F104" s="232">
        <f>(0.0397+0.0628)/2</f>
        <v>5.1249999999999997E-2</v>
      </c>
      <c r="G104" s="234">
        <f>(0.0611+0.0382)/2</f>
        <v>4.965E-2</v>
      </c>
      <c r="H104" s="78">
        <f>0.2414-F104</f>
        <v>0.19015000000000001</v>
      </c>
      <c r="I104" s="78">
        <f>0.2653-F104</f>
        <v>0.21404999999999999</v>
      </c>
      <c r="J104" s="78">
        <f>0.1751-G104</f>
        <v>0.12545000000000001</v>
      </c>
      <c r="K104" s="78">
        <f>0.1996-G104</f>
        <v>0.14995</v>
      </c>
      <c r="L104" s="78">
        <f t="shared" si="12"/>
        <v>1.8517463533225285E-2</v>
      </c>
      <c r="M104" s="78">
        <f t="shared" si="13"/>
        <v>1.9988695299837923E-2</v>
      </c>
      <c r="N104" s="78">
        <f t="shared" si="14"/>
        <v>1.9253079416531604E-2</v>
      </c>
      <c r="O104" s="78">
        <f>'Growth curves CeBER'!F52</f>
        <v>2.6160000000000001</v>
      </c>
      <c r="P104" s="78">
        <f t="shared" si="15"/>
        <v>3.2265744000000001</v>
      </c>
      <c r="Q104" s="79">
        <f t="shared" si="28"/>
        <v>1.6132872000000002E-4</v>
      </c>
      <c r="R104" s="80">
        <f t="shared" si="16"/>
        <v>59.670340831228316</v>
      </c>
      <c r="S104" s="81"/>
      <c r="V104" s="82">
        <f t="shared" si="17"/>
        <v>192.530794165316</v>
      </c>
      <c r="W104" s="94"/>
      <c r="X104" s="82"/>
      <c r="Y104" s="82"/>
      <c r="Z104" s="82">
        <f t="shared" si="22"/>
        <v>0.45888081494342287</v>
      </c>
      <c r="AA104" s="94"/>
      <c r="AB104" s="102"/>
    </row>
    <row r="105" spans="2:34" x14ac:dyDescent="0.2">
      <c r="B105" s="226"/>
      <c r="C105" s="228"/>
      <c r="D105" s="230"/>
      <c r="E105" s="105" t="s">
        <v>106</v>
      </c>
      <c r="F105" s="232"/>
      <c r="G105" s="234"/>
      <c r="H105" s="78">
        <f>0.2214-F104</f>
        <v>0.17015000000000002</v>
      </c>
      <c r="I105" s="78">
        <f>0.2182-F104</f>
        <v>0.16695000000000002</v>
      </c>
      <c r="J105" s="78">
        <f>0.1423-G104</f>
        <v>9.265000000000001E-2</v>
      </c>
      <c r="K105" s="78">
        <f>0.1438-G104</f>
        <v>9.4150000000000011E-2</v>
      </c>
      <c r="L105" s="78">
        <f t="shared" si="12"/>
        <v>1.8492179902755271E-2</v>
      </c>
      <c r="M105" s="78">
        <f t="shared" si="13"/>
        <v>1.7826458670988657E-2</v>
      </c>
      <c r="N105" s="78">
        <f t="shared" si="14"/>
        <v>1.8159319286871964E-2</v>
      </c>
      <c r="O105" s="78">
        <f>'Growth curves CeBER'!G52</f>
        <v>3.004</v>
      </c>
      <c r="P105" s="78">
        <f t="shared" si="15"/>
        <v>3.7051336000000004</v>
      </c>
      <c r="Q105" s="79">
        <f t="shared" si="28"/>
        <v>1.8525668000000004E-4</v>
      </c>
      <c r="R105" s="80">
        <f t="shared" si="16"/>
        <v>49.011240207025089</v>
      </c>
      <c r="S105" s="81"/>
      <c r="V105" s="82">
        <f t="shared" si="17"/>
        <v>181.59319286871963</v>
      </c>
      <c r="W105" s="94"/>
      <c r="X105" s="82"/>
      <c r="Y105" s="82"/>
      <c r="Z105" s="82">
        <f>(V105-$V$60)/(D104-$D$59)</f>
        <v>0.43170677249223427</v>
      </c>
      <c r="AA105" s="94"/>
      <c r="AB105" s="102"/>
    </row>
    <row r="106" spans="2:34" x14ac:dyDescent="0.2">
      <c r="B106" s="227"/>
      <c r="C106" s="229"/>
      <c r="D106" s="231"/>
      <c r="E106" s="141" t="s">
        <v>107</v>
      </c>
      <c r="F106" s="233"/>
      <c r="G106" s="235"/>
      <c r="H106" s="86">
        <f>0.2023-F104</f>
        <v>0.15105000000000002</v>
      </c>
      <c r="I106" s="86">
        <f>0.2043-F104</f>
        <v>0.15305000000000002</v>
      </c>
      <c r="J106" s="86">
        <f>0.1367-G104</f>
        <v>8.7049999999999988E-2</v>
      </c>
      <c r="K106" s="86">
        <f>0.137-G104</f>
        <v>8.7350000000000011E-2</v>
      </c>
      <c r="L106" s="78">
        <f t="shared" si="12"/>
        <v>1.5945664505672613E-2</v>
      </c>
      <c r="M106" s="78">
        <f t="shared" si="13"/>
        <v>1.6240397082658026E-2</v>
      </c>
      <c r="N106" s="86">
        <f t="shared" si="14"/>
        <v>1.6093030794165318E-2</v>
      </c>
      <c r="O106" s="86">
        <f>'Growth curves CeBER'!H52</f>
        <v>2.6720000000000002</v>
      </c>
      <c r="P106" s="86">
        <f t="shared" si="15"/>
        <v>3.2956448000000003</v>
      </c>
      <c r="Q106" s="87">
        <f t="shared" si="28"/>
        <v>1.6478224000000003E-4</v>
      </c>
      <c r="R106" s="88">
        <f t="shared" si="16"/>
        <v>48.831205335494033</v>
      </c>
      <c r="S106" s="89">
        <f>AVERAGE(R104:R106)</f>
        <v>52.504262124582475</v>
      </c>
      <c r="T106" s="90">
        <f>STDEV(R104:R106)</f>
        <v>6.2066590176296899</v>
      </c>
      <c r="U106" s="90">
        <f>T106/SQRT(3)</f>
        <v>3.5834162545967199</v>
      </c>
      <c r="V106" s="90">
        <f t="shared" si="17"/>
        <v>160.93030794165318</v>
      </c>
      <c r="W106" s="89">
        <f t="shared" si="19"/>
        <v>178.35143165856292</v>
      </c>
      <c r="X106" s="90">
        <f t="shared" si="20"/>
        <v>16.047723957020612</v>
      </c>
      <c r="Y106" s="90">
        <f t="shared" si="21"/>
        <v>9.2651577464666577</v>
      </c>
      <c r="Z106" s="90">
        <f>(V106-$V$61)/(D104-$D$59)</f>
        <v>0.37968889174739368</v>
      </c>
      <c r="AA106" s="89">
        <f t="shared" si="23"/>
        <v>0.4234254930610169</v>
      </c>
      <c r="AB106" s="95">
        <f t="shared" si="24"/>
        <v>2.3232698699856016E-2</v>
      </c>
    </row>
    <row r="107" spans="2:34" x14ac:dyDescent="0.2">
      <c r="B107" s="226" t="s">
        <v>42</v>
      </c>
      <c r="C107" s="228">
        <v>0.47638888888888892</v>
      </c>
      <c r="D107" s="230">
        <f>48/60+24+D104</f>
        <v>430.93333333333328</v>
      </c>
      <c r="E107" s="105" t="s">
        <v>105</v>
      </c>
      <c r="F107" s="232">
        <f>(0.0536+0.0451)/2</f>
        <v>4.9350000000000005E-2</v>
      </c>
      <c r="G107" s="234">
        <f>(0.0525+0.0448)/2</f>
        <v>4.8649999999999999E-2</v>
      </c>
      <c r="H107" s="78">
        <f>0.147-F107</f>
        <v>9.7649999999999987E-2</v>
      </c>
      <c r="I107" s="78">
        <f>0.1519-F107</f>
        <v>0.10255</v>
      </c>
      <c r="J107" s="78">
        <f>0.0976-G107</f>
        <v>4.8950000000000007E-2</v>
      </c>
      <c r="K107" s="78">
        <f>0.1029-G107</f>
        <v>5.4250000000000007E-2</v>
      </c>
      <c r="L107" s="78">
        <f t="shared" si="12"/>
        <v>1.1026782820097244E-2</v>
      </c>
      <c r="M107" s="78">
        <f t="shared" si="13"/>
        <v>1.1301256077795788E-2</v>
      </c>
      <c r="N107" s="78">
        <f t="shared" si="14"/>
        <v>1.1164019448946516E-2</v>
      </c>
      <c r="O107" s="78">
        <f>'Growth curves CeBER'!F53</f>
        <v>2.64</v>
      </c>
      <c r="P107" s="78">
        <f t="shared" si="15"/>
        <v>3.2561760000000004</v>
      </c>
      <c r="Q107" s="79">
        <f t="shared" si="28"/>
        <v>1.6280880000000002E-4</v>
      </c>
      <c r="R107" s="80">
        <f t="shared" si="16"/>
        <v>34.285675740336252</v>
      </c>
      <c r="S107" s="81"/>
      <c r="V107" s="82">
        <f t="shared" si="17"/>
        <v>111.64019448946515</v>
      </c>
      <c r="W107" s="94"/>
      <c r="X107" s="82"/>
      <c r="Y107" s="82"/>
      <c r="Z107" s="82">
        <f t="shared" si="22"/>
        <v>0.24476221062771797</v>
      </c>
      <c r="AA107" s="94"/>
      <c r="AB107" s="102"/>
    </row>
    <row r="108" spans="2:34" ht="15" customHeight="1" x14ac:dyDescent="0.2">
      <c r="B108" s="226"/>
      <c r="C108" s="228"/>
      <c r="D108" s="230"/>
      <c r="E108" s="105" t="s">
        <v>106</v>
      </c>
      <c r="F108" s="232"/>
      <c r="G108" s="234"/>
      <c r="H108" s="78">
        <f>0.2649-F107</f>
        <v>0.21555000000000002</v>
      </c>
      <c r="I108" s="78">
        <f>0.262-F107</f>
        <v>0.21265000000000001</v>
      </c>
      <c r="J108" s="78">
        <f>0.1877-G107</f>
        <v>0.13905000000000001</v>
      </c>
      <c r="K108" s="78">
        <f>0.1829-G107</f>
        <v>0.13425000000000001</v>
      </c>
      <c r="L108" s="78">
        <f t="shared" si="12"/>
        <v>2.1300607779578613E-2</v>
      </c>
      <c r="M108" s="78">
        <f t="shared" si="13"/>
        <v>2.1301256077795785E-2</v>
      </c>
      <c r="N108" s="78">
        <f t="shared" si="14"/>
        <v>2.1300931928687199E-2</v>
      </c>
      <c r="O108" s="78">
        <f>'Growth curves CeBER'!G53</f>
        <v>2.996</v>
      </c>
      <c r="P108" s="78">
        <f t="shared" si="15"/>
        <v>3.6952664</v>
      </c>
      <c r="Q108" s="79">
        <f t="shared" si="28"/>
        <v>1.8476332E-4</v>
      </c>
      <c r="R108" s="80">
        <f t="shared" si="16"/>
        <v>57.643833009406841</v>
      </c>
      <c r="S108" s="81"/>
      <c r="V108" s="82">
        <f t="shared" si="17"/>
        <v>213.00931928687197</v>
      </c>
      <c r="W108" s="94"/>
      <c r="X108" s="82"/>
      <c r="Y108" s="82"/>
      <c r="Z108" s="82">
        <f>(V108-$V$60)/(D107-$D$59)</f>
        <v>0.47976478253325744</v>
      </c>
      <c r="AA108" s="94"/>
      <c r="AB108" s="102"/>
    </row>
    <row r="109" spans="2:34" ht="16" customHeight="1" thickBot="1" x14ac:dyDescent="0.25">
      <c r="B109" s="252"/>
      <c r="C109" s="251"/>
      <c r="D109" s="250"/>
      <c r="E109" s="141" t="s">
        <v>107</v>
      </c>
      <c r="F109" s="254"/>
      <c r="G109" s="253"/>
      <c r="H109" s="78">
        <f>0.3291-F107</f>
        <v>0.27975</v>
      </c>
      <c r="I109" s="78">
        <f>0.2742-F107</f>
        <v>0.22484999999999999</v>
      </c>
      <c r="J109" s="78">
        <f>0.2564-G107</f>
        <v>0.20775000000000002</v>
      </c>
      <c r="K109" s="78">
        <f>0.1983-G107</f>
        <v>0.14965000000000001</v>
      </c>
      <c r="L109" s="78">
        <f t="shared" si="12"/>
        <v>2.4969408427876819E-2</v>
      </c>
      <c r="M109" s="78">
        <f t="shared" si="13"/>
        <v>2.1768517017828202E-2</v>
      </c>
      <c r="N109" s="106">
        <f t="shared" si="14"/>
        <v>2.3368962722852511E-2</v>
      </c>
      <c r="O109" s="78">
        <f>'Growth curves CeBER'!H53</f>
        <v>2.6720000000000002</v>
      </c>
      <c r="P109" s="106">
        <f t="shared" si="15"/>
        <v>3.2956448000000003</v>
      </c>
      <c r="Q109" s="107">
        <f t="shared" si="28"/>
        <v>1.6478224000000003E-4</v>
      </c>
      <c r="R109" s="108">
        <f t="shared" si="16"/>
        <v>70.908620743511278</v>
      </c>
      <c r="S109" s="109">
        <f>AVERAGE(R107:R109)</f>
        <v>54.279376497751457</v>
      </c>
      <c r="T109" s="110">
        <f>STDEV(R107:R109)</f>
        <v>18.541836502636691</v>
      </c>
      <c r="U109" s="110">
        <f>T109/SQRT(3)</f>
        <v>10.705134296067323</v>
      </c>
      <c r="V109" s="110">
        <f t="shared" si="17"/>
        <v>233.6896272285251</v>
      </c>
      <c r="W109" s="109">
        <f t="shared" si="19"/>
        <v>186.11304700162074</v>
      </c>
      <c r="X109" s="110">
        <f t="shared" si="20"/>
        <v>65.319010288838342</v>
      </c>
      <c r="Y109" s="110">
        <f t="shared" si="21"/>
        <v>37.711948173460755</v>
      </c>
      <c r="Z109" s="82">
        <f>(V109-$V$61)/(D107-$D$59)</f>
        <v>0.52667922614916474</v>
      </c>
      <c r="AA109" s="94">
        <f t="shared" si="23"/>
        <v>0.41706873977004671</v>
      </c>
      <c r="AB109" s="102">
        <f t="shared" si="24"/>
        <v>8.7211230629536618E-2</v>
      </c>
    </row>
    <row r="110" spans="2:34" ht="15" thickBot="1" x14ac:dyDescent="0.25">
      <c r="B110" s="223" t="s">
        <v>80</v>
      </c>
      <c r="C110" s="224"/>
      <c r="D110" s="224"/>
      <c r="E110" s="224"/>
      <c r="F110" s="224"/>
      <c r="G110" s="224"/>
      <c r="H110" s="224"/>
      <c r="I110" s="224"/>
      <c r="J110" s="224"/>
      <c r="K110" s="224"/>
      <c r="L110" s="224"/>
      <c r="M110" s="224"/>
      <c r="N110" s="224"/>
      <c r="O110" s="224"/>
      <c r="P110" s="224"/>
      <c r="Q110" s="224"/>
      <c r="R110" s="224"/>
      <c r="S110" s="224"/>
      <c r="T110" s="224"/>
      <c r="U110" s="224"/>
      <c r="V110" s="224"/>
      <c r="W110" s="224"/>
      <c r="X110" s="224"/>
      <c r="Y110" s="224"/>
      <c r="Z110" s="224"/>
      <c r="AA110" s="224"/>
      <c r="AB110" s="225"/>
      <c r="AD110" s="222" t="s">
        <v>113</v>
      </c>
      <c r="AE110" s="222"/>
      <c r="AF110" s="222"/>
      <c r="AG110" s="222"/>
      <c r="AH110" s="222"/>
    </row>
    <row r="111" spans="2:34" ht="45" customHeight="1" x14ac:dyDescent="0.2">
      <c r="B111" s="60" t="s">
        <v>0</v>
      </c>
      <c r="C111" s="61" t="s">
        <v>1</v>
      </c>
      <c r="D111" s="62" t="s">
        <v>2</v>
      </c>
      <c r="E111" s="139"/>
      <c r="F111" s="61" t="s">
        <v>8</v>
      </c>
      <c r="G111" s="61" t="s">
        <v>9</v>
      </c>
      <c r="H111" s="213" t="s">
        <v>108</v>
      </c>
      <c r="I111" s="214"/>
      <c r="J111" s="215" t="s">
        <v>83</v>
      </c>
      <c r="K111" s="216"/>
      <c r="L111" s="217" t="s">
        <v>84</v>
      </c>
      <c r="M111" s="218"/>
      <c r="N111" s="63" t="s">
        <v>85</v>
      </c>
      <c r="O111" s="64" t="s">
        <v>86</v>
      </c>
      <c r="P111" s="63" t="s">
        <v>10</v>
      </c>
      <c r="Q111" s="63" t="s">
        <v>11</v>
      </c>
      <c r="R111" s="63" t="s">
        <v>87</v>
      </c>
      <c r="S111" s="63" t="s">
        <v>88</v>
      </c>
      <c r="T111" s="63" t="s">
        <v>89</v>
      </c>
      <c r="U111" s="65" t="s">
        <v>71</v>
      </c>
      <c r="V111" s="64" t="s">
        <v>90</v>
      </c>
      <c r="W111" s="63" t="s">
        <v>91</v>
      </c>
      <c r="X111" s="63" t="s">
        <v>89</v>
      </c>
      <c r="Y111" s="66" t="s">
        <v>71</v>
      </c>
      <c r="Z111" s="66" t="s">
        <v>92</v>
      </c>
      <c r="AA111" s="63" t="s">
        <v>93</v>
      </c>
      <c r="AB111" s="67" t="s">
        <v>71</v>
      </c>
      <c r="AD111" s="57" t="s">
        <v>2</v>
      </c>
      <c r="AE111" s="76" t="str">
        <f>S111</f>
        <v>Average specific CPC conc.</v>
      </c>
      <c r="AF111" s="57" t="s">
        <v>12</v>
      </c>
      <c r="AG111" s="76" t="str">
        <f>W111</f>
        <v>Average total CPC</v>
      </c>
      <c r="AH111" s="57" t="s">
        <v>12</v>
      </c>
    </row>
    <row r="112" spans="2:34" ht="31" customHeight="1" x14ac:dyDescent="0.2">
      <c r="B112" s="68"/>
      <c r="C112" s="69"/>
      <c r="D112" s="72"/>
      <c r="E112" s="140"/>
      <c r="F112" s="69" t="s">
        <v>13</v>
      </c>
      <c r="G112" s="69" t="s">
        <v>13</v>
      </c>
      <c r="H112" s="71" t="s">
        <v>109</v>
      </c>
      <c r="I112" s="69" t="s">
        <v>110</v>
      </c>
      <c r="J112" s="219" t="s">
        <v>13</v>
      </c>
      <c r="K112" s="220"/>
      <c r="L112" s="221" t="s">
        <v>14</v>
      </c>
      <c r="M112" s="220"/>
      <c r="N112" s="74" t="s">
        <v>14</v>
      </c>
      <c r="O112" s="74" t="s">
        <v>13</v>
      </c>
      <c r="P112" s="74" t="s">
        <v>15</v>
      </c>
      <c r="Q112" s="74" t="s">
        <v>16</v>
      </c>
      <c r="R112" s="75" t="s">
        <v>94</v>
      </c>
      <c r="S112" s="75" t="s">
        <v>94</v>
      </c>
      <c r="T112" s="74"/>
      <c r="U112" s="72"/>
      <c r="V112" s="75" t="s">
        <v>95</v>
      </c>
      <c r="W112" s="75" t="s">
        <v>95</v>
      </c>
      <c r="X112" s="74"/>
      <c r="Y112" s="74"/>
      <c r="Z112" s="75" t="s">
        <v>96</v>
      </c>
      <c r="AA112" s="75" t="s">
        <v>96</v>
      </c>
      <c r="AB112" s="70"/>
      <c r="AD112" s="84">
        <f>D113</f>
        <v>0</v>
      </c>
      <c r="AE112" s="82">
        <f>S115</f>
        <v>42.420970077618279</v>
      </c>
      <c r="AF112" s="82">
        <f>U115</f>
        <v>1.9818188651782531</v>
      </c>
      <c r="AG112" s="82">
        <f>W115</f>
        <v>5.714688006482981</v>
      </c>
      <c r="AH112" s="82">
        <f>Y115</f>
        <v>0.22471338869439433</v>
      </c>
    </row>
    <row r="113" spans="2:34" x14ac:dyDescent="0.2">
      <c r="B113" s="226" t="s">
        <v>24</v>
      </c>
      <c r="C113" s="228">
        <v>0.5625</v>
      </c>
      <c r="D113" s="242">
        <v>0</v>
      </c>
      <c r="E113" s="105" t="s">
        <v>105</v>
      </c>
      <c r="F113" s="232">
        <f>(0.0473+0.0516+0.049)/3</f>
        <v>4.9300000000000004E-2</v>
      </c>
      <c r="G113" s="234">
        <f>(0.0457+0.0502+0.0487)/3</f>
        <v>4.82E-2</v>
      </c>
      <c r="H113" s="77">
        <f>0.1599-F113</f>
        <v>0.11059999999999998</v>
      </c>
      <c r="I113" s="78">
        <f>0.1551-F113</f>
        <v>0.10579999999999998</v>
      </c>
      <c r="J113" s="78">
        <f>0.1183-G113</f>
        <v>7.0099999999999996E-2</v>
      </c>
      <c r="K113" s="78">
        <f>0.1144-G113</f>
        <v>6.6200000000000009E-2</v>
      </c>
      <c r="L113" s="269">
        <f>(H113-(0.605*J113))/6.17</f>
        <v>1.1051782820097243E-2</v>
      </c>
      <c r="M113" s="78">
        <f>(I113-(0.605*K113))/6.17</f>
        <v>1.0656239870340353E-2</v>
      </c>
      <c r="N113" s="78">
        <f>AVERAGE(L113:M113)</f>
        <v>1.0854011345218798E-2</v>
      </c>
      <c r="O113" s="57">
        <f>'Growth curves CeBER'!F57</f>
        <v>0.113</v>
      </c>
      <c r="P113" s="78">
        <f>1.2334*O113</f>
        <v>0.1393742</v>
      </c>
      <c r="Q113" s="79">
        <f>P113*1/1000</f>
        <v>1.3937420000000001E-4</v>
      </c>
      <c r="R113" s="80">
        <f>(N113*0.5)/Q113</f>
        <v>38.938380795078274</v>
      </c>
      <c r="S113" s="81"/>
      <c r="V113" s="82">
        <f>R113*P113</f>
        <v>5.4270056726093987</v>
      </c>
      <c r="W113" s="81"/>
      <c r="AA113" s="81"/>
      <c r="AB113" s="83"/>
      <c r="AD113" s="84">
        <f>D116</f>
        <v>20.5</v>
      </c>
      <c r="AE113" s="82">
        <f>S118</f>
        <v>23.927236202090882</v>
      </c>
      <c r="AF113" s="82">
        <f>U118</f>
        <v>1.5896229398819282</v>
      </c>
      <c r="AG113" s="82">
        <f>W118</f>
        <v>6.0636345218800649</v>
      </c>
      <c r="AH113" s="82">
        <f>Y118</f>
        <v>0.36856544006307285</v>
      </c>
    </row>
    <row r="114" spans="2:34" ht="15" customHeight="1" x14ac:dyDescent="0.2">
      <c r="B114" s="226"/>
      <c r="C114" s="228"/>
      <c r="D114" s="242"/>
      <c r="E114" s="105" t="s">
        <v>106</v>
      </c>
      <c r="F114" s="232"/>
      <c r="G114" s="234"/>
      <c r="H114" s="77">
        <f>0.1889-F113</f>
        <v>0.1396</v>
      </c>
      <c r="I114" s="78">
        <f>0.1768-F113</f>
        <v>0.1275</v>
      </c>
      <c r="J114" s="78">
        <f>0.1495-G113</f>
        <v>0.1013</v>
      </c>
      <c r="K114" s="78">
        <f>0.1372-G113</f>
        <v>8.8999999999999996E-2</v>
      </c>
      <c r="L114" s="269">
        <f t="shared" ref="L114:L163" si="29">(H114-(0.605*J114))/6.17</f>
        <v>1.2692625607779581E-2</v>
      </c>
      <c r="M114" s="78">
        <f t="shared" ref="M114:M126" si="30">(I114-(0.605*K114))/6.17</f>
        <v>1.1937601296596434E-2</v>
      </c>
      <c r="N114" s="78">
        <f t="shared" ref="N114:N163" si="31">AVERAGE(L114:M114)</f>
        <v>1.2315113452188008E-2</v>
      </c>
      <c r="O114" s="57">
        <f>'Growth curves CeBER'!G57</f>
        <v>0.109</v>
      </c>
      <c r="P114" s="78">
        <f t="shared" ref="P114:P163" si="32">1.2334*O114</f>
        <v>0.13444059999999999</v>
      </c>
      <c r="Q114" s="79">
        <f>P114*1/1000</f>
        <v>1.3444059999999998E-4</v>
      </c>
      <c r="R114" s="80">
        <f t="shared" ref="R114:R163" si="33">(N114*0.5)/Q114</f>
        <v>45.801318397076514</v>
      </c>
      <c r="S114" s="81"/>
      <c r="V114" s="82">
        <f t="shared" ref="V114:V163" si="34">R114*P114</f>
        <v>6.1575567260940041</v>
      </c>
      <c r="W114" s="81"/>
      <c r="AA114" s="81"/>
      <c r="AB114" s="83"/>
      <c r="AD114" s="84">
        <f>D119</f>
        <v>45</v>
      </c>
      <c r="AE114" s="82">
        <f>S121</f>
        <v>16.728833192711459</v>
      </c>
      <c r="AF114" s="82">
        <f>U121</f>
        <v>1.5210671519658496</v>
      </c>
      <c r="AG114" s="82">
        <f>W121</f>
        <v>7.9740072933549415</v>
      </c>
      <c r="AH114" s="82">
        <f>Y121</f>
        <v>0.74542415538317208</v>
      </c>
    </row>
    <row r="115" spans="2:34" ht="15" customHeight="1" x14ac:dyDescent="0.2">
      <c r="B115" s="227"/>
      <c r="C115" s="229"/>
      <c r="D115" s="243"/>
      <c r="E115" s="141" t="s">
        <v>107</v>
      </c>
      <c r="F115" s="233"/>
      <c r="G115" s="235"/>
      <c r="H115" s="85">
        <f>0.1492-F113</f>
        <v>9.9899999999999989E-2</v>
      </c>
      <c r="I115" s="86">
        <f>0.1606-F113</f>
        <v>0.11129999999999998</v>
      </c>
      <c r="J115" s="86">
        <f>0.1048-G113</f>
        <v>5.6600000000000004E-2</v>
      </c>
      <c r="K115" s="86">
        <f>0.1139-G113</f>
        <v>6.5700000000000008E-2</v>
      </c>
      <c r="L115" s="269">
        <f t="shared" si="29"/>
        <v>1.0641329011345218E-2</v>
      </c>
      <c r="M115" s="78">
        <f t="shared" si="30"/>
        <v>1.159667747163695E-2</v>
      </c>
      <c r="N115" s="86">
        <f>AVERAGE(L115:M115)</f>
        <v>1.1119003241491083E-2</v>
      </c>
      <c r="O115" s="91">
        <f>'Growth curves CeBER'!H57</f>
        <v>0.106</v>
      </c>
      <c r="P115" s="86">
        <f t="shared" si="32"/>
        <v>0.13074040000000001</v>
      </c>
      <c r="Q115" s="87">
        <f>P115*1/1000</f>
        <v>1.3074040000000001E-4</v>
      </c>
      <c r="R115" s="88">
        <f t="shared" si="33"/>
        <v>42.523211040700048</v>
      </c>
      <c r="S115" s="89">
        <f>AVERAGE(R113:R115)</f>
        <v>42.420970077618279</v>
      </c>
      <c r="T115" s="90">
        <f>STDEV(R113:R115)</f>
        <v>3.4326109658872292</v>
      </c>
      <c r="U115" s="90">
        <f>T115/SQRT(3)</f>
        <v>1.9818188651782531</v>
      </c>
      <c r="V115" s="90">
        <f t="shared" si="34"/>
        <v>5.5595016207455412</v>
      </c>
      <c r="W115" s="89">
        <f>AVERAGE(V113:V115)</f>
        <v>5.714688006482981</v>
      </c>
      <c r="X115" s="90">
        <f>STDEV(V113:V115)</f>
        <v>0.38921500635966472</v>
      </c>
      <c r="Y115" s="90">
        <f>X115/SQRT(3)</f>
        <v>0.22471338869439433</v>
      </c>
      <c r="Z115" s="91"/>
      <c r="AA115" s="92"/>
      <c r="AB115" s="93"/>
      <c r="AD115" s="84">
        <f>D122</f>
        <v>69.283333333333331</v>
      </c>
      <c r="AE115" s="82">
        <f>S124</f>
        <v>27.312828801935538</v>
      </c>
      <c r="AF115" s="82">
        <f>U124</f>
        <v>2.0295783673225145</v>
      </c>
      <c r="AG115" s="82">
        <f>W124</f>
        <v>22.647982658022695</v>
      </c>
      <c r="AH115" s="82">
        <f>Y124</f>
        <v>1.2962671456923662</v>
      </c>
    </row>
    <row r="116" spans="2:34" x14ac:dyDescent="0.2">
      <c r="B116" s="226" t="s">
        <v>25</v>
      </c>
      <c r="C116" s="228">
        <v>0.41666666666666669</v>
      </c>
      <c r="D116" s="230">
        <f>8+30/60+12</f>
        <v>20.5</v>
      </c>
      <c r="E116" s="105" t="s">
        <v>105</v>
      </c>
      <c r="F116" s="232">
        <f>(0.0471+0.0468+0.0517)/3</f>
        <v>4.8533333333333338E-2</v>
      </c>
      <c r="G116" s="234">
        <f>(0.0467+0.0458+0.0508)/3</f>
        <v>4.7766666666666659E-2</v>
      </c>
      <c r="H116" s="77">
        <f>0.1839-F116</f>
        <v>0.13536666666666666</v>
      </c>
      <c r="I116" s="78">
        <f>0.1948-F116</f>
        <v>0.14626666666666666</v>
      </c>
      <c r="J116" s="78">
        <f>0.1382-G116</f>
        <v>9.0433333333333338E-2</v>
      </c>
      <c r="K116" s="78">
        <f>0.1494-G116</f>
        <v>0.10163333333333335</v>
      </c>
      <c r="L116" s="269">
        <f t="shared" si="29"/>
        <v>1.3072042139384116E-2</v>
      </c>
      <c r="M116" s="78">
        <f t="shared" si="30"/>
        <v>1.3740437601296594E-2</v>
      </c>
      <c r="N116" s="78">
        <f t="shared" si="31"/>
        <v>1.3406239870340356E-2</v>
      </c>
      <c r="O116" s="78">
        <f>'Growth curves CeBER'!F59</f>
        <v>0.20599999999999999</v>
      </c>
      <c r="P116" s="78">
        <f t="shared" si="32"/>
        <v>0.25408039999999998</v>
      </c>
      <c r="Q116" s="79">
        <f t="shared" ref="Q116:Q121" si="35">P116*1/1000</f>
        <v>2.5408039999999998E-4</v>
      </c>
      <c r="R116" s="80">
        <f t="shared" si="33"/>
        <v>26.381885163791377</v>
      </c>
      <c r="S116" s="94"/>
      <c r="T116" s="82"/>
      <c r="U116" s="82"/>
      <c r="V116" s="82">
        <f t="shared" si="34"/>
        <v>6.7031199351701787</v>
      </c>
      <c r="W116" s="94"/>
      <c r="X116" s="82"/>
      <c r="Y116" s="82"/>
      <c r="Z116" s="82">
        <f>(V116-$V$113)/(D116-$D$113)</f>
        <v>6.224947622247707E-2</v>
      </c>
      <c r="AA116" s="94"/>
      <c r="AB116" s="83"/>
      <c r="AD116" s="84">
        <f>D125</f>
        <v>95.883333333333326</v>
      </c>
      <c r="AE116" s="82">
        <f>S127</f>
        <v>37.885960466128402</v>
      </c>
      <c r="AF116" s="82">
        <f>U127</f>
        <v>3.9554583184249763</v>
      </c>
      <c r="AG116" s="82">
        <f>W127</f>
        <v>44.123652266342511</v>
      </c>
      <c r="AH116" s="82">
        <f>Y127</f>
        <v>5.133399963699012</v>
      </c>
    </row>
    <row r="117" spans="2:34" x14ac:dyDescent="0.2">
      <c r="B117" s="226"/>
      <c r="C117" s="228"/>
      <c r="D117" s="230"/>
      <c r="E117" s="105" t="s">
        <v>106</v>
      </c>
      <c r="F117" s="232"/>
      <c r="G117" s="234"/>
      <c r="H117" s="77">
        <f>0.1515-F116</f>
        <v>0.10296666666666665</v>
      </c>
      <c r="I117" s="78">
        <f>0.1606-F116</f>
        <v>0.11206666666666665</v>
      </c>
      <c r="J117" s="78">
        <f>0.1105-G116</f>
        <v>6.2733333333333335E-2</v>
      </c>
      <c r="K117" s="78">
        <f>0.1191-G116</f>
        <v>7.1333333333333332E-2</v>
      </c>
      <c r="L117" s="269">
        <f t="shared" si="29"/>
        <v>1.0536952998379253E-2</v>
      </c>
      <c r="M117" s="78">
        <f t="shared" si="30"/>
        <v>1.1168557536466773E-2</v>
      </c>
      <c r="N117" s="78">
        <f t="shared" si="31"/>
        <v>1.0852755267423013E-2</v>
      </c>
      <c r="O117" s="78">
        <f>'Growth curves CeBER'!G59</f>
        <v>0.21</v>
      </c>
      <c r="P117" s="78">
        <f t="shared" si="32"/>
        <v>0.25901400000000002</v>
      </c>
      <c r="Q117" s="79">
        <f t="shared" si="35"/>
        <v>2.5901400000000001E-4</v>
      </c>
      <c r="R117" s="80">
        <f t="shared" si="33"/>
        <v>20.95013255542753</v>
      </c>
      <c r="S117" s="81"/>
      <c r="T117" s="82"/>
      <c r="U117" s="82"/>
      <c r="V117" s="82">
        <f t="shared" si="34"/>
        <v>5.4263776337115068</v>
      </c>
      <c r="W117" s="94"/>
      <c r="X117" s="82"/>
      <c r="Y117" s="82"/>
      <c r="Z117" s="82">
        <f>(V117-$V$114)/(D116-$D$113)</f>
        <v>-3.5667272799146207E-2</v>
      </c>
      <c r="AA117" s="94"/>
      <c r="AB117" s="83"/>
      <c r="AD117" s="84">
        <f>D128</f>
        <v>120</v>
      </c>
      <c r="AE117" s="82">
        <f>S130</f>
        <v>53.818199112193895</v>
      </c>
      <c r="AF117" s="82">
        <f>U130</f>
        <v>2.0177240923881055</v>
      </c>
      <c r="AG117" s="82">
        <f>W130</f>
        <v>80.911306537007022</v>
      </c>
      <c r="AH117" s="82">
        <f>Y130</f>
        <v>4.7114117188973381</v>
      </c>
    </row>
    <row r="118" spans="2:34" x14ac:dyDescent="0.2">
      <c r="B118" s="227"/>
      <c r="C118" s="229"/>
      <c r="D118" s="231"/>
      <c r="E118" s="141" t="s">
        <v>107</v>
      </c>
      <c r="F118" s="233"/>
      <c r="G118" s="235"/>
      <c r="H118" s="85">
        <f>0.1612-F116</f>
        <v>0.11266666666666666</v>
      </c>
      <c r="I118" s="86">
        <f>0.1699-F116</f>
        <v>0.12136666666666665</v>
      </c>
      <c r="J118" s="86">
        <f>0.1132-G116</f>
        <v>6.5433333333333343E-2</v>
      </c>
      <c r="K118" s="86">
        <f>0.1219-G116</f>
        <v>7.4133333333333329E-2</v>
      </c>
      <c r="L118" s="269">
        <f t="shared" si="29"/>
        <v>1.1844327390599674E-2</v>
      </c>
      <c r="M118" s="78">
        <f t="shared" si="30"/>
        <v>1.2401296596434358E-2</v>
      </c>
      <c r="N118" s="86">
        <f t="shared" si="31"/>
        <v>1.2122811993517016E-2</v>
      </c>
      <c r="O118" s="86">
        <f>'Growth curves CeBER'!H59</f>
        <v>0.20100000000000001</v>
      </c>
      <c r="P118" s="86">
        <f t="shared" si="32"/>
        <v>0.24791340000000003</v>
      </c>
      <c r="Q118" s="87">
        <f t="shared" si="35"/>
        <v>2.4791340000000002E-4</v>
      </c>
      <c r="R118" s="88">
        <f t="shared" si="33"/>
        <v>24.449690887053734</v>
      </c>
      <c r="S118" s="89">
        <f>AVERAGE(R116:R118)</f>
        <v>23.927236202090882</v>
      </c>
      <c r="T118" s="90">
        <f>STDEV(R116:R118)</f>
        <v>2.7533076967525063</v>
      </c>
      <c r="U118" s="90">
        <f>T118/SQRT(3)</f>
        <v>1.5896229398819282</v>
      </c>
      <c r="V118" s="90">
        <f t="shared" si="34"/>
        <v>6.0614059967585083</v>
      </c>
      <c r="W118" s="89">
        <f t="shared" ref="W118:W163" si="36">AVERAGE(V116:V118)</f>
        <v>6.0636345218800649</v>
      </c>
      <c r="X118" s="90">
        <f t="shared" ref="X118:X163" si="37">STDEV(V116:V118)</f>
        <v>0.63837406810322395</v>
      </c>
      <c r="Y118" s="90">
        <f t="shared" ref="Y118:Y163" si="38">X118/SQRT(3)</f>
        <v>0.36856544006307285</v>
      </c>
      <c r="Z118" s="90">
        <f>(V118-$V$115)/(D116-$D$113)</f>
        <v>2.448314029331547E-2</v>
      </c>
      <c r="AA118" s="89">
        <f>AVERAGE(Z116:Z118)</f>
        <v>1.7021781238882112E-2</v>
      </c>
      <c r="AB118" s="95">
        <f>STDEV(Z116:Z118)/SQRT(3)</f>
        <v>2.8511262943763539E-2</v>
      </c>
      <c r="AD118" s="84">
        <f>D131</f>
        <v>140.46666666666667</v>
      </c>
      <c r="AE118" s="82">
        <f>S133</f>
        <v>51.864304928312528</v>
      </c>
      <c r="AF118" s="82">
        <f>U133</f>
        <v>2.7693846187950668</v>
      </c>
      <c r="AG118" s="82">
        <f>W133</f>
        <v>92.724693128038894</v>
      </c>
      <c r="AH118" s="82">
        <f>Y133</f>
        <v>3.0719629120753478</v>
      </c>
    </row>
    <row r="119" spans="2:34" x14ac:dyDescent="0.2">
      <c r="B119" s="226" t="s">
        <v>26</v>
      </c>
      <c r="C119" s="228">
        <v>0.4375</v>
      </c>
      <c r="D119" s="242">
        <f>D116+3+10/60+3+56/60+5+24/60+12</f>
        <v>45</v>
      </c>
      <c r="E119" s="105" t="s">
        <v>105</v>
      </c>
      <c r="F119" s="232">
        <f>(0.054+0.0571+0.0466)/3</f>
        <v>5.2566666666666671E-2</v>
      </c>
      <c r="G119" s="234">
        <f>(0.0516+0.0553+0.0451)/3</f>
        <v>5.0666666666666665E-2</v>
      </c>
      <c r="H119" s="77">
        <f>0.2547-F119</f>
        <v>0.2021333333333333</v>
      </c>
      <c r="I119" s="78">
        <f>0.2642-F119</f>
        <v>0.21163333333333331</v>
      </c>
      <c r="J119" s="78">
        <f>0.1949-G119</f>
        <v>0.14423333333333332</v>
      </c>
      <c r="K119" s="78">
        <f>0.2053-G119</f>
        <v>0.15463333333333334</v>
      </c>
      <c r="L119" s="269">
        <f t="shared" si="29"/>
        <v>1.8617855213398159E-2</v>
      </c>
      <c r="M119" s="78">
        <f t="shared" si="30"/>
        <v>1.913779038357644E-2</v>
      </c>
      <c r="N119" s="78">
        <f t="shared" si="31"/>
        <v>1.88778227984873E-2</v>
      </c>
      <c r="O119" s="78">
        <f>'Growth curves CeBER'!F62</f>
        <v>0.38900000000000001</v>
      </c>
      <c r="P119" s="78">
        <f t="shared" si="32"/>
        <v>0.47979260000000001</v>
      </c>
      <c r="Q119" s="79">
        <f t="shared" si="35"/>
        <v>4.7979260000000003E-4</v>
      </c>
      <c r="R119" s="80">
        <f t="shared" si="33"/>
        <v>19.672899080235187</v>
      </c>
      <c r="S119" s="94"/>
      <c r="T119" s="82"/>
      <c r="U119" s="82"/>
      <c r="V119" s="82">
        <f t="shared" si="34"/>
        <v>9.4389113992436489</v>
      </c>
      <c r="W119" s="94"/>
      <c r="X119" s="82"/>
      <c r="Y119" s="82"/>
      <c r="Z119" s="82">
        <f t="shared" ref="Z119:Z161" si="39">(V119-$V$113)/(D119-$D$113)</f>
        <v>8.9153460591872222E-2</v>
      </c>
      <c r="AA119" s="94"/>
      <c r="AB119" s="102"/>
      <c r="AD119" s="84">
        <f>D134</f>
        <v>165.28333333333333</v>
      </c>
      <c r="AE119" s="82">
        <f>S136</f>
        <v>39.428272186579449</v>
      </c>
      <c r="AF119" s="82">
        <f>U136</f>
        <v>0.98216849569104381</v>
      </c>
      <c r="AG119" s="82">
        <f>W136</f>
        <v>85.943057806591028</v>
      </c>
      <c r="AH119" s="82">
        <f>Y136</f>
        <v>1.0877913817008829</v>
      </c>
    </row>
    <row r="120" spans="2:34" x14ac:dyDescent="0.2">
      <c r="B120" s="226"/>
      <c r="C120" s="228"/>
      <c r="D120" s="242"/>
      <c r="E120" s="105" t="s">
        <v>106</v>
      </c>
      <c r="F120" s="232"/>
      <c r="G120" s="234"/>
      <c r="H120" s="77">
        <f>0.1934-F119</f>
        <v>0.14083333333333331</v>
      </c>
      <c r="I120" s="78">
        <f>0.2254-F119</f>
        <v>0.17283333333333331</v>
      </c>
      <c r="J120" s="78">
        <f>0.1418-G119</f>
        <v>9.1133333333333344E-2</v>
      </c>
      <c r="K120" s="78">
        <f>0.1728-G119</f>
        <v>0.12213333333333334</v>
      </c>
      <c r="L120" s="269">
        <f t="shared" si="29"/>
        <v>1.3889411129119391E-2</v>
      </c>
      <c r="M120" s="78">
        <f t="shared" si="30"/>
        <v>1.6036088600756344E-2</v>
      </c>
      <c r="N120" s="78">
        <f t="shared" si="31"/>
        <v>1.4962749864937869E-2</v>
      </c>
      <c r="O120" s="78">
        <f>'Growth curves CeBER'!G62</f>
        <v>0.38100000000000001</v>
      </c>
      <c r="P120" s="78">
        <f t="shared" si="32"/>
        <v>0.46992540000000005</v>
      </c>
      <c r="Q120" s="79">
        <f t="shared" si="35"/>
        <v>4.6992540000000003E-4</v>
      </c>
      <c r="R120" s="80">
        <f t="shared" si="33"/>
        <v>15.920345936757055</v>
      </c>
      <c r="S120" s="81"/>
      <c r="T120" s="82"/>
      <c r="U120" s="82"/>
      <c r="V120" s="82">
        <f t="shared" si="34"/>
        <v>7.4813749324689347</v>
      </c>
      <c r="W120" s="94"/>
      <c r="X120" s="82"/>
      <c r="Y120" s="82"/>
      <c r="Z120" s="82">
        <f>(V120-$V$114)/(D119-$D$113)</f>
        <v>2.9418182363887348E-2</v>
      </c>
      <c r="AA120" s="94"/>
      <c r="AB120" s="102"/>
      <c r="AD120" s="84">
        <f>D137</f>
        <v>189.13333333333333</v>
      </c>
      <c r="AE120" s="82">
        <f>S139</f>
        <v>46.220028087392734</v>
      </c>
      <c r="AF120" s="82">
        <f>U139</f>
        <v>2.2153148249422205</v>
      </c>
      <c r="AG120" s="82">
        <f>W139</f>
        <v>115.07509454349001</v>
      </c>
      <c r="AH120" s="82">
        <f>Y139</f>
        <v>2.9380026348296875</v>
      </c>
    </row>
    <row r="121" spans="2:34" x14ac:dyDescent="0.2">
      <c r="B121" s="227"/>
      <c r="C121" s="229"/>
      <c r="D121" s="243"/>
      <c r="E121" s="141" t="s">
        <v>107</v>
      </c>
      <c r="F121" s="233"/>
      <c r="G121" s="235"/>
      <c r="H121" s="85">
        <f>0.1928-F119</f>
        <v>0.14023333333333332</v>
      </c>
      <c r="I121" s="86">
        <f>0.1945-F119</f>
        <v>0.14193333333333333</v>
      </c>
      <c r="J121" s="86">
        <f>0.1401-G119</f>
        <v>8.9433333333333337E-2</v>
      </c>
      <c r="K121" s="86">
        <f>0.142-G119</f>
        <v>9.1333333333333322E-2</v>
      </c>
      <c r="L121" s="269">
        <f t="shared" si="29"/>
        <v>1.395886007563479E-2</v>
      </c>
      <c r="M121" s="78">
        <f t="shared" si="30"/>
        <v>1.4048082117774179E-2</v>
      </c>
      <c r="N121" s="86">
        <f t="shared" si="31"/>
        <v>1.4003471096704485E-2</v>
      </c>
      <c r="O121" s="86">
        <f>'Growth curves CeBER'!H62</f>
        <v>0.38900000000000001</v>
      </c>
      <c r="P121" s="86">
        <f t="shared" si="32"/>
        <v>0.47979260000000001</v>
      </c>
      <c r="Q121" s="87">
        <f t="shared" si="35"/>
        <v>4.7979260000000003E-4</v>
      </c>
      <c r="R121" s="88">
        <f t="shared" si="33"/>
        <v>14.59325456114213</v>
      </c>
      <c r="S121" s="89">
        <f>AVERAGE(R119:R121)</f>
        <v>16.728833192711459</v>
      </c>
      <c r="T121" s="90">
        <f>STDEV(R119:R121)</f>
        <v>2.6345655889289419</v>
      </c>
      <c r="U121" s="90">
        <f>T121/SQRT(3)</f>
        <v>1.5210671519658496</v>
      </c>
      <c r="V121" s="90">
        <f t="shared" si="34"/>
        <v>7.0017355483522419</v>
      </c>
      <c r="W121" s="89">
        <f t="shared" si="36"/>
        <v>7.9740072933549415</v>
      </c>
      <c r="X121" s="90">
        <f t="shared" si="37"/>
        <v>1.2911125103127714</v>
      </c>
      <c r="Y121" s="90">
        <f t="shared" si="38"/>
        <v>0.74542415538317208</v>
      </c>
      <c r="Z121" s="90">
        <f>(V121-$V$115)/(D119-$D$113)</f>
        <v>3.204964283570446E-2</v>
      </c>
      <c r="AA121" s="89">
        <f t="shared" ref="AA121:AA163" si="40">AVERAGE(Z119:Z121)</f>
        <v>5.020709526382134E-2</v>
      </c>
      <c r="AB121" s="95">
        <f t="shared" ref="AB121:AB163" si="41">STDEV(Z119:Z121)/SQRT(3)</f>
        <v>1.9487993528094737E-2</v>
      </c>
      <c r="AD121" s="84">
        <f>D140</f>
        <v>213.83333333333331</v>
      </c>
      <c r="AE121" s="82">
        <f>S142</f>
        <v>50.930365268308663</v>
      </c>
      <c r="AF121" s="82">
        <f>U142</f>
        <v>3.7298697355695349</v>
      </c>
      <c r="AG121" s="82">
        <f>W142</f>
        <v>142.55409238249592</v>
      </c>
      <c r="AH121" s="82">
        <f>Y142</f>
        <v>8.9235310373149073</v>
      </c>
    </row>
    <row r="122" spans="2:34" x14ac:dyDescent="0.2">
      <c r="B122" s="226" t="s">
        <v>27</v>
      </c>
      <c r="C122" s="228">
        <v>0.44930555555555557</v>
      </c>
      <c r="D122" s="230">
        <f>24+17/60+D119</f>
        <v>69.283333333333331</v>
      </c>
      <c r="E122" s="105" t="s">
        <v>105</v>
      </c>
      <c r="F122" s="232">
        <f>(0.0644+0.04333+0.0453)/3</f>
        <v>5.101E-2</v>
      </c>
      <c r="G122" s="234">
        <f>(0.0619+0.0427+0.0439)/3</f>
        <v>4.9499999999999995E-2</v>
      </c>
      <c r="H122" s="77">
        <f>0.3107-F122</f>
        <v>0.25968999999999998</v>
      </c>
      <c r="I122" s="78">
        <f>0.2926-F122</f>
        <v>0.24159000000000003</v>
      </c>
      <c r="J122" s="78">
        <f>0.2193-G122</f>
        <v>0.16980000000000001</v>
      </c>
      <c r="K122" s="78">
        <f>0.2017-G122</f>
        <v>0.1522</v>
      </c>
      <c r="L122" s="269">
        <f t="shared" si="29"/>
        <v>2.5439384116693674E-2</v>
      </c>
      <c r="M122" s="78">
        <f t="shared" si="30"/>
        <v>2.4231604538087526E-2</v>
      </c>
      <c r="N122" s="78">
        <f t="shared" si="31"/>
        <v>2.48354943273906E-2</v>
      </c>
      <c r="O122" s="78">
        <f>'Growth curves CeBER'!F63</f>
        <v>0.71199999999999997</v>
      </c>
      <c r="P122" s="78">
        <f t="shared" si="32"/>
        <v>0.87818079999999998</v>
      </c>
      <c r="Q122" s="79">
        <f>O122*0.75/1000</f>
        <v>5.3400000000000008E-4</v>
      </c>
      <c r="R122" s="80">
        <f t="shared" si="33"/>
        <v>23.254208171714041</v>
      </c>
      <c r="S122" s="94"/>
      <c r="T122" s="82"/>
      <c r="U122" s="82"/>
      <c r="V122" s="82">
        <f t="shared" si="34"/>
        <v>20.421399135602375</v>
      </c>
      <c r="W122" s="94"/>
      <c r="X122" s="82"/>
      <c r="Y122" s="82"/>
      <c r="Z122" s="82">
        <f t="shared" si="39"/>
        <v>0.21642136343025706</v>
      </c>
      <c r="AA122" s="94"/>
      <c r="AB122" s="102"/>
      <c r="AD122" s="84">
        <f>D143</f>
        <v>237.7</v>
      </c>
      <c r="AE122" s="82">
        <f>S145</f>
        <v>47.420490457378357</v>
      </c>
      <c r="AF122" s="82">
        <f>U145</f>
        <v>6.9045218581600878</v>
      </c>
      <c r="AG122" s="82">
        <f>W145</f>
        <v>157.80569061768418</v>
      </c>
      <c r="AH122" s="82">
        <f>Y145</f>
        <v>21.697039644221899</v>
      </c>
    </row>
    <row r="123" spans="2:34" x14ac:dyDescent="0.2">
      <c r="B123" s="226"/>
      <c r="C123" s="228"/>
      <c r="D123" s="230"/>
      <c r="E123" s="105" t="s">
        <v>106</v>
      </c>
      <c r="F123" s="232"/>
      <c r="G123" s="234"/>
      <c r="H123" s="77">
        <f>0.3914-F122</f>
        <v>0.34039000000000003</v>
      </c>
      <c r="I123" s="78">
        <f>0.3468-F122</f>
        <v>0.29579</v>
      </c>
      <c r="J123" s="78">
        <f>0.2874-G122</f>
        <v>0.2379</v>
      </c>
      <c r="K123" s="78">
        <f>0.2452-G122</f>
        <v>0.19570000000000001</v>
      </c>
      <c r="L123" s="269">
        <f t="shared" si="29"/>
        <v>3.1841247974068079E-2</v>
      </c>
      <c r="M123" s="78">
        <f t="shared" si="30"/>
        <v>2.8750648298217177E-2</v>
      </c>
      <c r="N123" s="78">
        <f t="shared" si="31"/>
        <v>3.0295948136142628E-2</v>
      </c>
      <c r="O123" s="78">
        <f>'Growth curves CeBER'!G63</f>
        <v>0.68700000000000006</v>
      </c>
      <c r="P123" s="78">
        <f t="shared" si="32"/>
        <v>0.84734580000000015</v>
      </c>
      <c r="Q123" s="79">
        <f>O123*0.75/1000</f>
        <v>5.1524999999999997E-4</v>
      </c>
      <c r="R123" s="80">
        <f t="shared" si="33"/>
        <v>29.399270389269898</v>
      </c>
      <c r="S123" s="81"/>
      <c r="T123" s="82"/>
      <c r="U123" s="82"/>
      <c r="V123" s="82">
        <f t="shared" si="34"/>
        <v>24.911348287412217</v>
      </c>
      <c r="W123" s="94"/>
      <c r="X123" s="82"/>
      <c r="Y123" s="82"/>
      <c r="Z123" s="82">
        <f>(V123-$V$114)/(D122-$D$113)</f>
        <v>0.27068258207339252</v>
      </c>
      <c r="AA123" s="94"/>
      <c r="AB123" s="102"/>
      <c r="AD123" s="84">
        <f>D146</f>
        <v>262.66666666666663</v>
      </c>
      <c r="AE123" s="82">
        <f>S148</f>
        <v>40.837787107742336</v>
      </c>
      <c r="AF123" s="82">
        <f>U148</f>
        <v>4.1572456897322398</v>
      </c>
      <c r="AG123" s="82">
        <f>W148</f>
        <v>155.0695569962183</v>
      </c>
      <c r="AH123" s="82">
        <f>Y148</f>
        <v>13.423195094378412</v>
      </c>
    </row>
    <row r="124" spans="2:34" x14ac:dyDescent="0.2">
      <c r="B124" s="227"/>
      <c r="C124" s="229"/>
      <c r="D124" s="231"/>
      <c r="E124" s="141" t="s">
        <v>107</v>
      </c>
      <c r="F124" s="233"/>
      <c r="G124" s="235"/>
      <c r="H124" s="85">
        <f>0.3371-F122</f>
        <v>0.28609000000000001</v>
      </c>
      <c r="I124" s="86">
        <f>0.3229-F122</f>
        <v>0.27189000000000002</v>
      </c>
      <c r="J124" s="86">
        <f>0.2378-G122</f>
        <v>0.18830000000000002</v>
      </c>
      <c r="K124" s="86">
        <f>0.2226-G122</f>
        <v>0.1731</v>
      </c>
      <c r="L124" s="269">
        <f t="shared" si="29"/>
        <v>2.7904132901134523E-2</v>
      </c>
      <c r="M124" s="78">
        <f t="shared" si="30"/>
        <v>2.7093111831442467E-2</v>
      </c>
      <c r="N124" s="86">
        <f t="shared" si="31"/>
        <v>2.7498622366288493E-2</v>
      </c>
      <c r="O124" s="86">
        <f>'Growth curves CeBER'!H63</f>
        <v>0.626</v>
      </c>
      <c r="P124" s="86">
        <f t="shared" si="32"/>
        <v>0.77210840000000003</v>
      </c>
      <c r="Q124" s="87">
        <f>O124*0.75/1000</f>
        <v>4.6950000000000003E-4</v>
      </c>
      <c r="R124" s="88">
        <f t="shared" si="33"/>
        <v>29.285007844822676</v>
      </c>
      <c r="S124" s="89">
        <f>AVERAGE(R122:R124)</f>
        <v>27.312828801935538</v>
      </c>
      <c r="T124" s="90">
        <f>STDEV(R122:R124)</f>
        <v>3.5153328501452847</v>
      </c>
      <c r="U124" s="90">
        <f>T124/SQRT(3)</f>
        <v>2.0295783673225145</v>
      </c>
      <c r="V124" s="90">
        <f t="shared" si="34"/>
        <v>22.611200551053486</v>
      </c>
      <c r="W124" s="89">
        <f t="shared" si="36"/>
        <v>22.647982658022695</v>
      </c>
      <c r="X124" s="90">
        <f t="shared" si="37"/>
        <v>2.2452005565214663</v>
      </c>
      <c r="Y124" s="90">
        <f t="shared" si="38"/>
        <v>1.2962671456923662</v>
      </c>
      <c r="Z124" s="90">
        <f>(V124-$V$115)/(D122-$D$113)</f>
        <v>0.24611545244610936</v>
      </c>
      <c r="AA124" s="89">
        <f t="shared" si="40"/>
        <v>0.24440646598325297</v>
      </c>
      <c r="AB124" s="95">
        <f t="shared" si="41"/>
        <v>1.5687154386176478E-2</v>
      </c>
      <c r="AD124" s="84">
        <f>D149</f>
        <v>285.99999999999994</v>
      </c>
      <c r="AE124" s="82">
        <f>S151</f>
        <v>51.982583260816888</v>
      </c>
      <c r="AF124" s="82">
        <f>U151</f>
        <v>4.3572215734814606</v>
      </c>
      <c r="AG124" s="82">
        <f>W151</f>
        <v>205.79457050243116</v>
      </c>
      <c r="AH124" s="82">
        <f>Y151</f>
        <v>19.25709790077569</v>
      </c>
    </row>
    <row r="125" spans="2:34" x14ac:dyDescent="0.2">
      <c r="B125" s="226" t="s">
        <v>28</v>
      </c>
      <c r="C125" s="228">
        <v>0.55763888888888891</v>
      </c>
      <c r="D125" s="230">
        <f>12+36/60+14+D122</f>
        <v>95.883333333333326</v>
      </c>
      <c r="E125" s="105" t="s">
        <v>105</v>
      </c>
      <c r="F125" s="232">
        <f>(0.0497+0.0455)/2</f>
        <v>4.7600000000000003E-2</v>
      </c>
      <c r="G125" s="234">
        <f>(0.0476+0.0436)/2</f>
        <v>4.5600000000000002E-2</v>
      </c>
      <c r="H125" s="77">
        <f>0.5211-F125</f>
        <v>0.47350000000000003</v>
      </c>
      <c r="I125" s="78">
        <f>0.4734-F125</f>
        <v>0.42579999999999996</v>
      </c>
      <c r="J125" s="78">
        <f>0.3633-G125</f>
        <v>0.31769999999999998</v>
      </c>
      <c r="K125" s="78">
        <f>0.3149-G125</f>
        <v>0.26929999999999998</v>
      </c>
      <c r="L125" s="269">
        <f t="shared" si="29"/>
        <v>4.5590194489465156E-2</v>
      </c>
      <c r="M125" s="78">
        <f t="shared" si="30"/>
        <v>4.2605105348460293E-2</v>
      </c>
      <c r="N125" s="78">
        <f t="shared" si="31"/>
        <v>4.4097649918962728E-2</v>
      </c>
      <c r="O125" s="78">
        <f>'Growth curves CeBER'!F64</f>
        <v>0.96399999999999997</v>
      </c>
      <c r="P125" s="78">
        <f t="shared" si="32"/>
        <v>1.1889976</v>
      </c>
      <c r="Q125" s="79">
        <f>O125*0.5/1000</f>
        <v>4.8200000000000001E-4</v>
      </c>
      <c r="R125" s="80">
        <f t="shared" si="33"/>
        <v>45.744450123405322</v>
      </c>
      <c r="S125" s="81"/>
      <c r="V125" s="82">
        <f t="shared" si="34"/>
        <v>54.390041410048632</v>
      </c>
      <c r="W125" s="94"/>
      <c r="X125" s="82"/>
      <c r="Y125" s="82"/>
      <c r="Z125" s="82">
        <f t="shared" si="39"/>
        <v>0.51065220654377796</v>
      </c>
      <c r="AA125" s="94"/>
      <c r="AB125" s="102"/>
      <c r="AD125" s="84">
        <f>D152</f>
        <v>333.49999999999994</v>
      </c>
      <c r="AE125" s="82">
        <f>S154</f>
        <v>52.545575694137248</v>
      </c>
      <c r="AF125" s="82">
        <f>U154</f>
        <v>3.0762768255618429</v>
      </c>
      <c r="AG125" s="82">
        <f>W154</f>
        <v>216.6068341437061</v>
      </c>
      <c r="AH125" s="82">
        <f>Y154</f>
        <v>18.819961891820519</v>
      </c>
    </row>
    <row r="126" spans="2:34" ht="15" customHeight="1" x14ac:dyDescent="0.2">
      <c r="B126" s="226"/>
      <c r="C126" s="228"/>
      <c r="D126" s="230"/>
      <c r="E126" s="105" t="s">
        <v>106</v>
      </c>
      <c r="F126" s="232"/>
      <c r="G126" s="234"/>
      <c r="H126" s="77">
        <f>0.3992-F125</f>
        <v>0.35160000000000002</v>
      </c>
      <c r="I126" s="78">
        <f>0.3662-F125</f>
        <v>0.31859999999999999</v>
      </c>
      <c r="J126" s="78">
        <f>0.2923-G125</f>
        <v>0.2467</v>
      </c>
      <c r="K126" s="78">
        <f>0.2632-G125</f>
        <v>0.21759999999999999</v>
      </c>
      <c r="L126" s="269">
        <f t="shared" si="29"/>
        <v>3.2795218800648306E-2</v>
      </c>
      <c r="M126" s="78">
        <f t="shared" si="30"/>
        <v>3.0300162074554295E-2</v>
      </c>
      <c r="N126" s="78">
        <f t="shared" si="31"/>
        <v>3.1547690437601299E-2</v>
      </c>
      <c r="O126" s="78">
        <f>'Growth curves CeBER'!G64</f>
        <v>0.90800000000000003</v>
      </c>
      <c r="P126" s="78">
        <f t="shared" si="32"/>
        <v>1.1199272</v>
      </c>
      <c r="Q126" s="79">
        <f>O126*0.5/1000</f>
        <v>4.5400000000000003E-4</v>
      </c>
      <c r="R126" s="80">
        <f t="shared" si="33"/>
        <v>34.74415246431861</v>
      </c>
      <c r="S126" s="81"/>
      <c r="V126" s="82">
        <f t="shared" si="34"/>
        <v>38.910921385737439</v>
      </c>
      <c r="W126" s="94"/>
      <c r="X126" s="82"/>
      <c r="Y126" s="82"/>
      <c r="Z126" s="82">
        <f>(V126-$V$114)/(D125-$D$113)</f>
        <v>0.34159601591840888</v>
      </c>
      <c r="AA126" s="94"/>
      <c r="AB126" s="102"/>
      <c r="AD126" s="84">
        <f>D155</f>
        <v>357.39999999999992</v>
      </c>
      <c r="AE126" s="82">
        <f>S157</f>
        <v>47.587820194978839</v>
      </c>
      <c r="AF126" s="82">
        <f>U157</f>
        <v>3.358791277507108</v>
      </c>
      <c r="AG126" s="82">
        <f>W157</f>
        <v>207.53997839005942</v>
      </c>
      <c r="AH126" s="82">
        <f>Y157</f>
        <v>18.951337195210886</v>
      </c>
    </row>
    <row r="127" spans="2:34" ht="15" customHeight="1" x14ac:dyDescent="0.2">
      <c r="B127" s="227"/>
      <c r="C127" s="229"/>
      <c r="D127" s="231"/>
      <c r="E127" s="141" t="s">
        <v>107</v>
      </c>
      <c r="F127" s="233"/>
      <c r="G127" s="235"/>
      <c r="H127" s="85">
        <f>0.3828-F125</f>
        <v>0.33519999999999994</v>
      </c>
      <c r="I127" s="86"/>
      <c r="J127" s="86">
        <f>0.2766-G125</f>
        <v>0.23100000000000001</v>
      </c>
      <c r="K127" s="86"/>
      <c r="L127" s="269">
        <f t="shared" si="29"/>
        <v>3.1676661264181519E-2</v>
      </c>
      <c r="M127" s="86"/>
      <c r="N127" s="86">
        <f t="shared" si="31"/>
        <v>3.1676661264181519E-2</v>
      </c>
      <c r="O127" s="86">
        <f>'Growth curves CeBER'!H64</f>
        <v>0.95499999999999996</v>
      </c>
      <c r="P127" s="86">
        <f t="shared" si="32"/>
        <v>1.177897</v>
      </c>
      <c r="Q127" s="87">
        <f>O127*0.5/1000</f>
        <v>4.7750000000000001E-4</v>
      </c>
      <c r="R127" s="88">
        <f t="shared" si="33"/>
        <v>33.169278810661275</v>
      </c>
      <c r="S127" s="89">
        <f>AVERAGE(R125:R127)</f>
        <v>37.885960466128402</v>
      </c>
      <c r="T127" s="90">
        <f>STDEV(R125:R127)</f>
        <v>6.8510547747330133</v>
      </c>
      <c r="U127" s="90">
        <f>T127/SQRT(3)</f>
        <v>3.9554583184249763</v>
      </c>
      <c r="V127" s="90">
        <f t="shared" si="34"/>
        <v>39.069994003241483</v>
      </c>
      <c r="W127" s="89">
        <f t="shared" si="36"/>
        <v>44.123652266342511</v>
      </c>
      <c r="X127" s="90">
        <f t="shared" si="37"/>
        <v>8.8913095526989192</v>
      </c>
      <c r="Y127" s="90">
        <f t="shared" si="38"/>
        <v>5.133399963699012</v>
      </c>
      <c r="Z127" s="90">
        <f>(V127-$V$115)/(D125-$D$113)</f>
        <v>0.34949235928207134</v>
      </c>
      <c r="AA127" s="89">
        <f t="shared" si="40"/>
        <v>0.40058019391475269</v>
      </c>
      <c r="AB127" s="95">
        <f t="shared" si="41"/>
        <v>5.5083191727853614E-2</v>
      </c>
      <c r="AD127" s="84">
        <f>D158</f>
        <v>405.49999999999994</v>
      </c>
      <c r="AE127" s="82">
        <f>S160</f>
        <v>50.771239468661044</v>
      </c>
      <c r="AF127" s="82">
        <f>U160</f>
        <v>8.7595423493305464</v>
      </c>
      <c r="AG127" s="82">
        <f>W160</f>
        <v>226.21447866018366</v>
      </c>
      <c r="AH127" s="82">
        <f>Y160</f>
        <v>44.987602713310928</v>
      </c>
    </row>
    <row r="128" spans="2:34" x14ac:dyDescent="0.2">
      <c r="B128" s="226" t="s">
        <v>29</v>
      </c>
      <c r="C128" s="228">
        <v>0.5625</v>
      </c>
      <c r="D128" s="230">
        <f>24+7/60+D125</f>
        <v>120</v>
      </c>
      <c r="E128" s="105" t="s">
        <v>105</v>
      </c>
      <c r="F128" s="232">
        <f>0.0468</f>
        <v>4.6800000000000001E-2</v>
      </c>
      <c r="G128" s="234">
        <v>4.5199999999999997E-2</v>
      </c>
      <c r="H128" s="77">
        <f>0.3921-F128</f>
        <v>0.3453</v>
      </c>
      <c r="I128" s="78">
        <f>0.3652-F128</f>
        <v>0.31840000000000002</v>
      </c>
      <c r="J128" s="78">
        <f>0.2702-G128</f>
        <v>0.22500000000000001</v>
      </c>
      <c r="K128" s="78">
        <f>0.2409-G128</f>
        <v>0.19570000000000001</v>
      </c>
      <c r="L128" s="269">
        <f t="shared" si="29"/>
        <v>3.3901944894651537E-2</v>
      </c>
      <c r="M128" s="97">
        <f>(I128-(0.605*K128))/6.17</f>
        <v>3.2415153970826581E-2</v>
      </c>
      <c r="N128" s="78">
        <f t="shared" si="31"/>
        <v>3.3158549432739062E-2</v>
      </c>
      <c r="O128" s="78">
        <f>'Growth curves CeBER'!F65</f>
        <v>1.2250000000000001</v>
      </c>
      <c r="P128" s="78">
        <f t="shared" si="32"/>
        <v>1.5109150000000002</v>
      </c>
      <c r="Q128" s="79">
        <f>O128*0.25/1000</f>
        <v>3.0625000000000004E-4</v>
      </c>
      <c r="R128" s="80">
        <f t="shared" si="33"/>
        <v>54.136407237124992</v>
      </c>
      <c r="S128" s="81"/>
      <c r="V128" s="82">
        <f t="shared" si="34"/>
        <v>81.795509740680714</v>
      </c>
      <c r="W128" s="94"/>
      <c r="X128" s="82"/>
      <c r="Y128" s="82"/>
      <c r="Z128" s="82">
        <f t="shared" si="39"/>
        <v>0.63640420056726099</v>
      </c>
      <c r="AA128" s="94"/>
      <c r="AB128" s="102"/>
      <c r="AD128" s="84">
        <f>D161</f>
        <v>430.26666666666659</v>
      </c>
      <c r="AE128" s="82">
        <f>S163</f>
        <v>43.391949655121458</v>
      </c>
      <c r="AF128" s="82">
        <f>U163</f>
        <v>6.1636090790039484</v>
      </c>
      <c r="AG128" s="82">
        <f>W163</f>
        <v>192.20232306861158</v>
      </c>
      <c r="AH128" s="82">
        <f>Y163</f>
        <v>34.190310725486157</v>
      </c>
    </row>
    <row r="129" spans="2:34" x14ac:dyDescent="0.2">
      <c r="B129" s="226"/>
      <c r="C129" s="228"/>
      <c r="D129" s="230"/>
      <c r="E129" s="105" t="s">
        <v>106</v>
      </c>
      <c r="F129" s="232"/>
      <c r="G129" s="234"/>
      <c r="H129" s="77">
        <f>0.3483-F128</f>
        <v>0.30149999999999999</v>
      </c>
      <c r="I129" s="78">
        <f>0.3492-F128</f>
        <v>0.3024</v>
      </c>
      <c r="J129" s="78">
        <f>0.2451-G128</f>
        <v>0.19990000000000002</v>
      </c>
      <c r="K129" s="78">
        <f>0.2453-G128</f>
        <v>0.2001</v>
      </c>
      <c r="L129" s="269">
        <f t="shared" si="29"/>
        <v>2.9264262560777955E-2</v>
      </c>
      <c r="M129" s="269">
        <f t="shared" ref="M129:M162" si="42">(I129-(0.605*K129))/6.17</f>
        <v>2.9390518638573743E-2</v>
      </c>
      <c r="N129" s="78">
        <f t="shared" si="31"/>
        <v>2.9327390599675849E-2</v>
      </c>
      <c r="O129" s="78">
        <f>'Growth curves CeBER'!G65</f>
        <v>1.169</v>
      </c>
      <c r="P129" s="78">
        <f t="shared" si="32"/>
        <v>1.4418446</v>
      </c>
      <c r="Q129" s="79">
        <f>O129*0.25/1000</f>
        <v>2.9225000000000003E-4</v>
      </c>
      <c r="R129" s="80">
        <f t="shared" si="33"/>
        <v>50.175176389522406</v>
      </c>
      <c r="S129" s="81"/>
      <c r="V129" s="82">
        <f t="shared" si="34"/>
        <v>72.344807131280376</v>
      </c>
      <c r="W129" s="94"/>
      <c r="X129" s="82"/>
      <c r="Y129" s="82"/>
      <c r="Z129" s="82">
        <f>(V129-$V$114)/(D128-$D$113)</f>
        <v>0.55156042004321981</v>
      </c>
      <c r="AA129" s="94"/>
      <c r="AB129" s="102"/>
      <c r="AD129" s="84"/>
      <c r="AE129" s="82"/>
      <c r="AF129" s="82"/>
      <c r="AG129" s="82"/>
      <c r="AH129" s="82"/>
    </row>
    <row r="130" spans="2:34" x14ac:dyDescent="0.2">
      <c r="B130" s="227"/>
      <c r="C130" s="229"/>
      <c r="D130" s="231"/>
      <c r="E130" s="141" t="s">
        <v>107</v>
      </c>
      <c r="F130" s="233"/>
      <c r="G130" s="235"/>
      <c r="H130" s="85">
        <f>0.3593-F128</f>
        <v>0.3125</v>
      </c>
      <c r="I130" s="86">
        <f>0.4844-F128</f>
        <v>0.43759999999999999</v>
      </c>
      <c r="J130" s="86">
        <f>0.2381-G128</f>
        <v>0.19290000000000002</v>
      </c>
      <c r="K130" s="86">
        <f>0.3596-G128</f>
        <v>0.31439999999999996</v>
      </c>
      <c r="L130" s="269">
        <f t="shared" si="29"/>
        <v>3.1733468395461914E-2</v>
      </c>
      <c r="M130" s="269">
        <f t="shared" si="42"/>
        <v>4.0095299837925452E-2</v>
      </c>
      <c r="N130" s="86">
        <f t="shared" si="31"/>
        <v>3.5914384116693683E-2</v>
      </c>
      <c r="O130" s="86">
        <f>'Growth curves CeBER'!H65</f>
        <v>1.2569999999999999</v>
      </c>
      <c r="P130" s="86">
        <f t="shared" si="32"/>
        <v>1.5503837999999999</v>
      </c>
      <c r="Q130" s="87">
        <f>O130*0.25/1000</f>
        <v>3.1424999999999997E-4</v>
      </c>
      <c r="R130" s="88">
        <f t="shared" si="33"/>
        <v>57.143013709934266</v>
      </c>
      <c r="S130" s="89">
        <f>AVERAGE(R128:R130)</f>
        <v>53.818199112193895</v>
      </c>
      <c r="T130" s="90">
        <f>STDEV(R128:R130)</f>
        <v>3.4948006436719976</v>
      </c>
      <c r="U130" s="90">
        <f>T130/SQRT(3)</f>
        <v>2.0177240923881055</v>
      </c>
      <c r="V130" s="90">
        <f t="shared" si="34"/>
        <v>88.593602739059975</v>
      </c>
      <c r="W130" s="89">
        <f t="shared" si="36"/>
        <v>80.911306537007022</v>
      </c>
      <c r="X130" s="90">
        <f t="shared" si="37"/>
        <v>8.160404472505606</v>
      </c>
      <c r="Y130" s="90">
        <f t="shared" si="38"/>
        <v>4.7114117188973381</v>
      </c>
      <c r="Z130" s="90">
        <f>(V130-$V$115)/(D128-$D$113)</f>
        <v>0.6919508426526203</v>
      </c>
      <c r="AA130" s="89">
        <f t="shared" si="40"/>
        <v>0.62663848775436704</v>
      </c>
      <c r="AB130" s="95">
        <f t="shared" si="41"/>
        <v>4.0820315816879955E-2</v>
      </c>
    </row>
    <row r="131" spans="2:34" x14ac:dyDescent="0.2">
      <c r="B131" s="226" t="s">
        <v>30</v>
      </c>
      <c r="C131" s="228">
        <v>0.4152777777777778</v>
      </c>
      <c r="D131" s="230">
        <f>8+28/60+12+D128</f>
        <v>140.46666666666667</v>
      </c>
      <c r="E131" s="105" t="s">
        <v>105</v>
      </c>
      <c r="F131" s="232">
        <v>4.4299999999999999E-2</v>
      </c>
      <c r="G131" s="234">
        <v>4.3999999999999997E-2</v>
      </c>
      <c r="H131" s="77">
        <f>0.2157-F131</f>
        <v>0.1714</v>
      </c>
      <c r="I131" s="78">
        <f>0.209-F131</f>
        <v>0.16469999999999999</v>
      </c>
      <c r="J131" s="78">
        <f>0.1458-G131</f>
        <v>0.10180000000000002</v>
      </c>
      <c r="K131" s="78">
        <f>0.1384-G131</f>
        <v>9.4399999999999998E-2</v>
      </c>
      <c r="L131" s="269">
        <f t="shared" si="29"/>
        <v>1.7797568881685575E-2</v>
      </c>
      <c r="M131" s="269">
        <f t="shared" si="42"/>
        <v>1.7437277147487842E-2</v>
      </c>
      <c r="N131" s="78">
        <f t="shared" si="31"/>
        <v>1.7617423014586707E-2</v>
      </c>
      <c r="O131" s="78">
        <f>'Growth curves CeBER'!F66</f>
        <v>1.52</v>
      </c>
      <c r="P131" s="78">
        <f t="shared" si="32"/>
        <v>1.874768</v>
      </c>
      <c r="Q131" s="79">
        <f>O131*0.125/1000</f>
        <v>1.9000000000000001E-4</v>
      </c>
      <c r="R131" s="80">
        <f t="shared" si="33"/>
        <v>46.361639512070276</v>
      </c>
      <c r="S131" s="81"/>
      <c r="V131" s="82">
        <f t="shared" si="34"/>
        <v>86.917318184764966</v>
      </c>
      <c r="W131" s="94"/>
      <c r="X131" s="82"/>
      <c r="Y131" s="82"/>
      <c r="Z131" s="82">
        <f t="shared" si="39"/>
        <v>0.58013986126356598</v>
      </c>
      <c r="AA131" s="94"/>
      <c r="AB131" s="102"/>
      <c r="AE131" s="82"/>
      <c r="AF131" s="82"/>
      <c r="AG131" s="82"/>
      <c r="AH131" s="82"/>
    </row>
    <row r="132" spans="2:34" x14ac:dyDescent="0.2">
      <c r="B132" s="226"/>
      <c r="C132" s="228"/>
      <c r="D132" s="230"/>
      <c r="E132" s="105" t="s">
        <v>106</v>
      </c>
      <c r="F132" s="232"/>
      <c r="G132" s="234"/>
      <c r="H132" s="77">
        <f>0.229-F131</f>
        <v>0.1847</v>
      </c>
      <c r="I132" s="78">
        <f>0.2417-F131</f>
        <v>0.19739999999999999</v>
      </c>
      <c r="J132" s="78">
        <f>0.1606-G131</f>
        <v>0.1166</v>
      </c>
      <c r="K132" s="78">
        <f>0.1708-G131</f>
        <v>0.12680000000000002</v>
      </c>
      <c r="L132" s="269">
        <f t="shared" si="29"/>
        <v>1.850194489465154E-2</v>
      </c>
      <c r="M132" s="269">
        <f t="shared" si="42"/>
        <v>1.9560129659643433E-2</v>
      </c>
      <c r="N132" s="78">
        <f t="shared" si="31"/>
        <v>1.9031037277147486E-2</v>
      </c>
      <c r="O132" s="78">
        <f>'Growth curves CeBER'!G66</f>
        <v>1.38</v>
      </c>
      <c r="P132" s="78">
        <f t="shared" si="32"/>
        <v>1.7020919999999999</v>
      </c>
      <c r="Q132" s="79">
        <f>O132*0.125/1000</f>
        <v>1.7249999999999999E-4</v>
      </c>
      <c r="R132" s="80">
        <f t="shared" si="33"/>
        <v>55.162426890282575</v>
      </c>
      <c r="S132" s="81"/>
      <c r="V132" s="82">
        <f t="shared" si="34"/>
        <v>93.891525510534848</v>
      </c>
      <c r="W132" s="94"/>
      <c r="X132" s="82"/>
      <c r="Y132" s="82"/>
      <c r="Z132" s="82">
        <f>(V132-$V$114)/(D131-$D$113)</f>
        <v>0.62458924146493244</v>
      </c>
      <c r="AA132" s="94"/>
      <c r="AB132" s="102"/>
      <c r="AE132" s="82"/>
      <c r="AF132" s="82"/>
      <c r="AG132" s="82"/>
      <c r="AH132" s="82"/>
    </row>
    <row r="133" spans="2:34" x14ac:dyDescent="0.2">
      <c r="B133" s="227"/>
      <c r="C133" s="229"/>
      <c r="D133" s="231"/>
      <c r="E133" s="141" t="s">
        <v>107</v>
      </c>
      <c r="F133" s="233"/>
      <c r="G133" s="235"/>
      <c r="H133" s="85">
        <f>0.2533-F131</f>
        <v>0.20900000000000002</v>
      </c>
      <c r="I133" s="86">
        <f>0.2541-F131</f>
        <v>0.20979999999999999</v>
      </c>
      <c r="J133" s="86">
        <f>0.1885-G131</f>
        <v>0.14450000000000002</v>
      </c>
      <c r="K133" s="86">
        <f>0.1892-G131</f>
        <v>0.1452</v>
      </c>
      <c r="L133" s="269">
        <f t="shared" si="29"/>
        <v>1.9704619124797408E-2</v>
      </c>
      <c r="M133" s="269">
        <f t="shared" si="42"/>
        <v>1.9765640194489464E-2</v>
      </c>
      <c r="N133" s="86">
        <f t="shared" si="31"/>
        <v>1.9735129659643434E-2</v>
      </c>
      <c r="O133" s="86">
        <f>'Growth curves CeBER'!H66</f>
        <v>1.46</v>
      </c>
      <c r="P133" s="86">
        <f t="shared" si="32"/>
        <v>1.800764</v>
      </c>
      <c r="Q133" s="87">
        <f>O133*0.125/1000</f>
        <v>1.8249999999999999E-4</v>
      </c>
      <c r="R133" s="88">
        <f t="shared" si="33"/>
        <v>54.068848382584754</v>
      </c>
      <c r="S133" s="89">
        <f>AVERAGE(R131:R133)</f>
        <v>51.864304928312528</v>
      </c>
      <c r="T133" s="90">
        <f>STDEV(R131:R133)</f>
        <v>4.7967148654528229</v>
      </c>
      <c r="U133" s="90">
        <f>T133/SQRT(3)</f>
        <v>2.7693846187950668</v>
      </c>
      <c r="V133" s="90">
        <f t="shared" si="34"/>
        <v>97.365235688816853</v>
      </c>
      <c r="W133" s="89">
        <f t="shared" si="36"/>
        <v>92.724693128038894</v>
      </c>
      <c r="X133" s="90">
        <f t="shared" si="37"/>
        <v>5.3207958426817461</v>
      </c>
      <c r="Y133" s="90">
        <f t="shared" si="38"/>
        <v>3.0719629120753478</v>
      </c>
      <c r="Z133" s="90">
        <f>(V133-$V$115)/(D131-$D$113)</f>
        <v>0.65357665449504976</v>
      </c>
      <c r="AA133" s="89">
        <f t="shared" si="40"/>
        <v>0.61943525240784947</v>
      </c>
      <c r="AB133" s="95">
        <f t="shared" si="41"/>
        <v>2.1355431412416873E-2</v>
      </c>
    </row>
    <row r="134" spans="2:34" x14ac:dyDescent="0.2">
      <c r="B134" s="226" t="s">
        <v>31</v>
      </c>
      <c r="C134" s="228">
        <v>0.44930555555555557</v>
      </c>
      <c r="D134" s="230">
        <f>24+49/60+D131</f>
        <v>165.28333333333333</v>
      </c>
      <c r="E134" s="105" t="s">
        <v>105</v>
      </c>
      <c r="F134" s="232">
        <v>4.9299999999999997E-2</v>
      </c>
      <c r="G134" s="234">
        <v>4.8399999999999999E-2</v>
      </c>
      <c r="H134" s="77">
        <f>0.257-F134</f>
        <v>0.2077</v>
      </c>
      <c r="I134" s="78">
        <f>0.2498-F134</f>
        <v>0.20050000000000001</v>
      </c>
      <c r="J134" s="78">
        <f>0.1724-G134</f>
        <v>0.124</v>
      </c>
      <c r="K134" s="78">
        <f>0.1659-G134</f>
        <v>0.11749999999999999</v>
      </c>
      <c r="L134" s="269">
        <f t="shared" si="29"/>
        <v>2.1504051863857374E-2</v>
      </c>
      <c r="M134" s="269">
        <f t="shared" si="42"/>
        <v>2.0974473257698543E-2</v>
      </c>
      <c r="N134" s="78">
        <f t="shared" si="31"/>
        <v>2.1239262560777961E-2</v>
      </c>
      <c r="O134" s="78">
        <f>'Growth curves CeBER'!F67</f>
        <v>1.7729999999999999</v>
      </c>
      <c r="P134" s="78">
        <f t="shared" si="32"/>
        <v>2.1868181999999998</v>
      </c>
      <c r="Q134" s="79">
        <f t="shared" ref="Q134:Q139" si="43">P134*0.125/1000</f>
        <v>2.7335227499999997E-4</v>
      </c>
      <c r="R134" s="80">
        <f t="shared" si="33"/>
        <v>38.849617331295235</v>
      </c>
      <c r="S134" s="81"/>
      <c r="V134" s="82">
        <f t="shared" si="34"/>
        <v>84.957050243111837</v>
      </c>
      <c r="W134" s="94"/>
      <c r="X134" s="82"/>
      <c r="Y134" s="82"/>
      <c r="Z134" s="82">
        <f t="shared" si="39"/>
        <v>0.48117401172029306</v>
      </c>
      <c r="AA134" s="94"/>
      <c r="AB134" s="102"/>
    </row>
    <row r="135" spans="2:34" x14ac:dyDescent="0.2">
      <c r="B135" s="226"/>
      <c r="C135" s="228"/>
      <c r="D135" s="230"/>
      <c r="E135" s="105" t="s">
        <v>106</v>
      </c>
      <c r="F135" s="232"/>
      <c r="G135" s="234"/>
      <c r="H135" s="77">
        <f>0.259-F134</f>
        <v>0.2097</v>
      </c>
      <c r="I135" s="78">
        <f>0.2619-F134</f>
        <v>0.21260000000000001</v>
      </c>
      <c r="J135" s="78">
        <f>0.1715-G134</f>
        <v>0.12310000000000001</v>
      </c>
      <c r="K135" s="78">
        <f>0.174-G134</f>
        <v>0.12559999999999999</v>
      </c>
      <c r="L135" s="269">
        <f t="shared" si="29"/>
        <v>2.191645056726094E-2</v>
      </c>
      <c r="M135" s="269">
        <f t="shared" si="42"/>
        <v>2.2141329011345221E-2</v>
      </c>
      <c r="N135" s="78">
        <f t="shared" si="31"/>
        <v>2.2028889789303081E-2</v>
      </c>
      <c r="O135" s="78">
        <f>'Growth curves CeBER'!G67</f>
        <v>1.728</v>
      </c>
      <c r="P135" s="78">
        <f t="shared" si="32"/>
        <v>2.1313152</v>
      </c>
      <c r="Q135" s="79">
        <f t="shared" si="43"/>
        <v>2.664144E-4</v>
      </c>
      <c r="R135" s="80">
        <f t="shared" si="33"/>
        <v>41.343279096969006</v>
      </c>
      <c r="S135" s="81"/>
      <c r="V135" s="82">
        <f t="shared" si="34"/>
        <v>88.115559157212317</v>
      </c>
      <c r="W135" s="94"/>
      <c r="X135" s="82"/>
      <c r="Y135" s="82"/>
      <c r="Z135" s="82">
        <f>(V135-$V$114)/(D134-$D$113)</f>
        <v>0.49586368315691226</v>
      </c>
      <c r="AA135" s="94"/>
      <c r="AB135" s="102"/>
    </row>
    <row r="136" spans="2:34" x14ac:dyDescent="0.2">
      <c r="B136" s="227"/>
      <c r="C136" s="229"/>
      <c r="D136" s="231"/>
      <c r="E136" s="141" t="s">
        <v>107</v>
      </c>
      <c r="F136" s="233"/>
      <c r="G136" s="235"/>
      <c r="H136" s="85">
        <f>0.2489-F134</f>
        <v>0.1996</v>
      </c>
      <c r="I136" s="86">
        <f>0.2571-F134</f>
        <v>0.20779999999999998</v>
      </c>
      <c r="J136" s="86">
        <f>0.1647-G134</f>
        <v>0.11630000000000001</v>
      </c>
      <c r="K136" s="86">
        <f>0.1733-G134</f>
        <v>0.12490000000000001</v>
      </c>
      <c r="L136" s="269">
        <f t="shared" si="29"/>
        <v>2.0946272285251213E-2</v>
      </c>
      <c r="M136" s="269">
        <f t="shared" si="42"/>
        <v>2.1432009724473254E-2</v>
      </c>
      <c r="N136" s="86">
        <f t="shared" si="31"/>
        <v>2.1189141004862234E-2</v>
      </c>
      <c r="O136" s="86">
        <f>'Growth curves CeBER'!H67</f>
        <v>1.804</v>
      </c>
      <c r="P136" s="86">
        <f t="shared" si="32"/>
        <v>2.2250536000000003</v>
      </c>
      <c r="Q136" s="87">
        <f t="shared" si="43"/>
        <v>2.7813170000000006E-4</v>
      </c>
      <c r="R136" s="88">
        <f t="shared" si="33"/>
        <v>38.091920131474097</v>
      </c>
      <c r="S136" s="89">
        <f>AVERAGE(R134:R136)</f>
        <v>39.428272186579449</v>
      </c>
      <c r="T136" s="90">
        <f>STDEV(R134:R136)</f>
        <v>1.7011657361303818</v>
      </c>
      <c r="U136" s="90">
        <f>T136/SQRT(3)</f>
        <v>0.98216849569104381</v>
      </c>
      <c r="V136" s="90">
        <f t="shared" si="34"/>
        <v>84.75656401944893</v>
      </c>
      <c r="W136" s="89">
        <f t="shared" si="36"/>
        <v>85.943057806591028</v>
      </c>
      <c r="X136" s="90">
        <f t="shared" si="37"/>
        <v>1.8841099411414788</v>
      </c>
      <c r="Y136" s="90">
        <f t="shared" si="38"/>
        <v>1.0877913817008829</v>
      </c>
      <c r="Z136" s="90">
        <f>(V136-$V$115)/(D134-$D$113)</f>
        <v>0.47915939739056201</v>
      </c>
      <c r="AA136" s="89">
        <f t="shared" si="40"/>
        <v>0.48539903075592239</v>
      </c>
      <c r="AB136" s="95">
        <f t="shared" si="41"/>
        <v>5.2645474680338812E-3</v>
      </c>
    </row>
    <row r="137" spans="2:34" x14ac:dyDescent="0.2">
      <c r="B137" s="226" t="s">
        <v>32</v>
      </c>
      <c r="C137" s="228">
        <v>0.44305555555555554</v>
      </c>
      <c r="D137" s="230">
        <f>11+51/60+12+D134</f>
        <v>189.13333333333333</v>
      </c>
      <c r="E137" s="105" t="s">
        <v>105</v>
      </c>
      <c r="F137" s="232">
        <f>(0.0533+0.0497+0.0487)/3</f>
        <v>5.0566666666666669E-2</v>
      </c>
      <c r="G137" s="234">
        <f>(0.0526+0.0486+0.048)/3</f>
        <v>4.9733333333333331E-2</v>
      </c>
      <c r="H137" s="77">
        <f>0.3192-F137</f>
        <v>0.26863333333333334</v>
      </c>
      <c r="I137" s="78">
        <f>0.3756-F137</f>
        <v>0.32503333333333334</v>
      </c>
      <c r="J137" s="78">
        <f>0.2056-G137</f>
        <v>0.15586666666666668</v>
      </c>
      <c r="K137" s="78">
        <f>0.2629-G137</f>
        <v>0.2131666666666667</v>
      </c>
      <c r="L137" s="269">
        <f t="shared" si="29"/>
        <v>2.8255105348460291E-2</v>
      </c>
      <c r="M137" s="269">
        <f t="shared" si="42"/>
        <v>3.1777552674230145E-2</v>
      </c>
      <c r="N137" s="78">
        <f t="shared" si="31"/>
        <v>3.0016329011345218E-2</v>
      </c>
      <c r="O137" s="78">
        <f>'Growth curves CeBER'!F68</f>
        <v>1.9239999999999999</v>
      </c>
      <c r="P137" s="78">
        <f t="shared" si="32"/>
        <v>2.3730616000000002</v>
      </c>
      <c r="Q137" s="79">
        <f t="shared" si="43"/>
        <v>2.9663270000000004E-4</v>
      </c>
      <c r="R137" s="80">
        <f t="shared" si="33"/>
        <v>50.595111414461748</v>
      </c>
      <c r="S137" s="81"/>
      <c r="V137" s="82">
        <f t="shared" si="34"/>
        <v>120.06531604538087</v>
      </c>
      <c r="W137" s="94"/>
      <c r="X137" s="82"/>
      <c r="Y137" s="82"/>
      <c r="Z137" s="82">
        <f t="shared" si="39"/>
        <v>0.60612430581303212</v>
      </c>
      <c r="AA137" s="94"/>
      <c r="AB137" s="102"/>
    </row>
    <row r="138" spans="2:34" x14ac:dyDescent="0.2">
      <c r="B138" s="226"/>
      <c r="C138" s="228"/>
      <c r="D138" s="230"/>
      <c r="E138" s="105" t="s">
        <v>106</v>
      </c>
      <c r="F138" s="232"/>
      <c r="G138" s="234"/>
      <c r="H138" s="77">
        <f>0.3082-F137</f>
        <v>0.25763333333333333</v>
      </c>
      <c r="I138" s="78">
        <f>0.3142-F137</f>
        <v>0.26363333333333333</v>
      </c>
      <c r="J138" s="78">
        <f>0.197-G137</f>
        <v>0.14726666666666668</v>
      </c>
      <c r="K138" s="78">
        <f>0.2037-G137</f>
        <v>0.15396666666666667</v>
      </c>
      <c r="L138" s="269">
        <f t="shared" si="29"/>
        <v>2.7315559157212316E-2</v>
      </c>
      <c r="M138" s="269">
        <f t="shared" si="42"/>
        <v>2.763103727714749E-2</v>
      </c>
      <c r="N138" s="78">
        <f t="shared" si="31"/>
        <v>2.7473298217179903E-2</v>
      </c>
      <c r="O138" s="78">
        <f>'Growth curves CeBER'!G68</f>
        <v>1.996</v>
      </c>
      <c r="P138" s="78">
        <f t="shared" si="32"/>
        <v>2.4618663999999999</v>
      </c>
      <c r="Q138" s="79">
        <f t="shared" si="43"/>
        <v>3.0773329999999997E-4</v>
      </c>
      <c r="R138" s="80">
        <f t="shared" si="33"/>
        <v>44.638162683693814</v>
      </c>
      <c r="S138" s="81"/>
      <c r="V138" s="82">
        <f t="shared" si="34"/>
        <v>109.89319286871962</v>
      </c>
      <c r="W138" s="94"/>
      <c r="X138" s="82"/>
      <c r="Y138" s="82"/>
      <c r="Z138" s="82">
        <f>(V138-$V$114)/(D137-$D$113)</f>
        <v>0.54847886575233851</v>
      </c>
      <c r="AA138" s="94"/>
      <c r="AB138" s="102"/>
    </row>
    <row r="139" spans="2:34" x14ac:dyDescent="0.2">
      <c r="B139" s="227"/>
      <c r="C139" s="229"/>
      <c r="D139" s="231"/>
      <c r="E139" s="141" t="s">
        <v>107</v>
      </c>
      <c r="F139" s="233"/>
      <c r="G139" s="235"/>
      <c r="H139" s="85">
        <f>0.3088-F137</f>
        <v>0.25823333333333337</v>
      </c>
      <c r="I139" s="86">
        <f>0.345-F137</f>
        <v>0.29443333333333332</v>
      </c>
      <c r="J139" s="86">
        <f>0.1968-G137</f>
        <v>0.14706666666666668</v>
      </c>
      <c r="K139" s="86">
        <f>0.2284-G137</f>
        <v>0.17866666666666667</v>
      </c>
      <c r="L139" s="269">
        <f t="shared" si="29"/>
        <v>2.7432414910858998E-2</v>
      </c>
      <c r="M139" s="269">
        <f t="shared" si="42"/>
        <v>3.020097244732577E-2</v>
      </c>
      <c r="N139" s="86">
        <f t="shared" si="31"/>
        <v>2.8816693679092384E-2</v>
      </c>
      <c r="O139" s="86">
        <f>'Growth curves CeBER'!H68</f>
        <v>2.1520000000000001</v>
      </c>
      <c r="P139" s="86">
        <f t="shared" si="32"/>
        <v>2.6542768000000003</v>
      </c>
      <c r="Q139" s="87">
        <f t="shared" si="43"/>
        <v>3.3178460000000005E-4</v>
      </c>
      <c r="R139" s="88">
        <f t="shared" si="33"/>
        <v>43.426810164022655</v>
      </c>
      <c r="S139" s="89">
        <f>AVERAGE(R137:R139)</f>
        <v>46.220028087392734</v>
      </c>
      <c r="T139" s="90">
        <f>STDEV(R137:R139)</f>
        <v>3.8370378315604787</v>
      </c>
      <c r="U139" s="90">
        <f>T139/SQRT(3)</f>
        <v>2.2153148249422205</v>
      </c>
      <c r="V139" s="90">
        <f t="shared" si="34"/>
        <v>115.26677471636954</v>
      </c>
      <c r="W139" s="89">
        <f t="shared" si="36"/>
        <v>115.07509454349001</v>
      </c>
      <c r="X139" s="90">
        <f t="shared" si="37"/>
        <v>5.0887698362962492</v>
      </c>
      <c r="Y139" s="90">
        <f t="shared" si="38"/>
        <v>2.9380026348296875</v>
      </c>
      <c r="Z139" s="90">
        <f>(V139-$V$115)/(D137-$D$113)</f>
        <v>0.58005255425955593</v>
      </c>
      <c r="AA139" s="89">
        <f t="shared" si="40"/>
        <v>0.57821857527497544</v>
      </c>
      <c r="AB139" s="95">
        <f t="shared" si="41"/>
        <v>1.6666051313320211E-2</v>
      </c>
    </row>
    <row r="140" spans="2:34" x14ac:dyDescent="0.2">
      <c r="B140" s="226" t="s">
        <v>33</v>
      </c>
      <c r="C140" s="228">
        <v>0.47222222222222227</v>
      </c>
      <c r="D140" s="230">
        <f>42/60+24+D137</f>
        <v>213.83333333333331</v>
      </c>
      <c r="E140" s="105" t="s">
        <v>105</v>
      </c>
      <c r="F140" s="232">
        <f>(0.0523+0.0363+0.0414)/3</f>
        <v>4.3333333333333335E-2</v>
      </c>
      <c r="G140" s="234">
        <f>(0.0511+0.0355+0.0401)/3</f>
        <v>4.2233333333333324E-2</v>
      </c>
      <c r="H140" s="77">
        <f>0.3832-F140</f>
        <v>0.33986666666666665</v>
      </c>
      <c r="I140" s="78">
        <f>0.3333-F140</f>
        <v>0.28996666666666665</v>
      </c>
      <c r="J140" s="78">
        <f>0.2706-G140</f>
        <v>0.22836666666666669</v>
      </c>
      <c r="K140" s="78">
        <f>0.2261-G140</f>
        <v>0.18386666666666668</v>
      </c>
      <c r="L140" s="269">
        <f t="shared" si="29"/>
        <v>3.2691220961642349E-2</v>
      </c>
      <c r="M140" s="269">
        <f t="shared" si="42"/>
        <v>2.8967152890329546E-2</v>
      </c>
      <c r="N140" s="78">
        <f t="shared" si="31"/>
        <v>3.0829186925985949E-2</v>
      </c>
      <c r="O140" s="78">
        <f>'Growth curves CeBER'!F69</f>
        <v>2.2639999999999998</v>
      </c>
      <c r="P140" s="78">
        <f t="shared" si="32"/>
        <v>2.7924175999999998</v>
      </c>
      <c r="Q140" s="79">
        <f t="shared" ref="Q140:Q142" si="44">P140*0.1/1000</f>
        <v>2.7924176E-4</v>
      </c>
      <c r="R140" s="80">
        <f t="shared" si="33"/>
        <v>55.201605458270187</v>
      </c>
      <c r="S140" s="81"/>
      <c r="V140" s="82">
        <f t="shared" si="34"/>
        <v>154.14593462992971</v>
      </c>
      <c r="W140" s="94"/>
      <c r="X140" s="82"/>
      <c r="Y140" s="82"/>
      <c r="Z140" s="82">
        <f t="shared" si="39"/>
        <v>0.69548992497577711</v>
      </c>
      <c r="AA140" s="94"/>
      <c r="AB140" s="102"/>
    </row>
    <row r="141" spans="2:34" x14ac:dyDescent="0.2">
      <c r="B141" s="226"/>
      <c r="C141" s="228"/>
      <c r="D141" s="230"/>
      <c r="E141" s="105" t="s">
        <v>106</v>
      </c>
      <c r="F141" s="232"/>
      <c r="G141" s="234"/>
      <c r="H141" s="77">
        <f>0.3618-F140</f>
        <v>0.31846666666666668</v>
      </c>
      <c r="I141" s="78">
        <f>0.3322-F140</f>
        <v>0.28886666666666666</v>
      </c>
      <c r="J141" s="78">
        <f>0.2528-G140</f>
        <v>0.21056666666666671</v>
      </c>
      <c r="K141" s="78">
        <f>0.2297-G140</f>
        <v>0.18746666666666667</v>
      </c>
      <c r="L141" s="269">
        <f t="shared" si="29"/>
        <v>3.0968206374932469E-2</v>
      </c>
      <c r="M141" s="269">
        <f t="shared" si="42"/>
        <v>2.8435872501350625E-2</v>
      </c>
      <c r="N141" s="78">
        <f t="shared" si="31"/>
        <v>2.9702039438141547E-2</v>
      </c>
      <c r="O141" s="78">
        <f>'Growth curves CeBER'!G69</f>
        <v>2.226</v>
      </c>
      <c r="P141" s="78">
        <f t="shared" si="32"/>
        <v>2.7455484000000001</v>
      </c>
      <c r="Q141" s="79">
        <f t="shared" si="44"/>
        <v>2.7455484000000005E-4</v>
      </c>
      <c r="R141" s="80">
        <f t="shared" si="33"/>
        <v>54.091269048729103</v>
      </c>
      <c r="S141" s="81"/>
      <c r="V141" s="82">
        <f t="shared" si="34"/>
        <v>148.51019719070771</v>
      </c>
      <c r="W141" s="94"/>
      <c r="X141" s="82"/>
      <c r="Y141" s="82"/>
      <c r="Z141" s="82">
        <f>(V141-$V$114)/(D140-$D$113)</f>
        <v>0.66571772625696202</v>
      </c>
      <c r="AA141" s="94"/>
      <c r="AB141" s="102"/>
    </row>
    <row r="142" spans="2:34" x14ac:dyDescent="0.2">
      <c r="B142" s="227"/>
      <c r="C142" s="229"/>
      <c r="D142" s="231"/>
      <c r="E142" s="141" t="s">
        <v>107</v>
      </c>
      <c r="F142" s="233"/>
      <c r="G142" s="235"/>
      <c r="H142" s="85">
        <f>0.2838-F140</f>
        <v>0.24046666666666666</v>
      </c>
      <c r="I142" s="86">
        <f>0.2854-F140</f>
        <v>0.24206666666666665</v>
      </c>
      <c r="J142" s="86">
        <f>0.1873-G140</f>
        <v>0.14506666666666668</v>
      </c>
      <c r="K142" s="86">
        <f>0.1848-G140</f>
        <v>0.14256666666666667</v>
      </c>
      <c r="L142" s="269">
        <f t="shared" si="29"/>
        <v>2.4749000540248513E-2</v>
      </c>
      <c r="M142" s="269">
        <f t="shared" si="42"/>
        <v>2.5253457590491624E-2</v>
      </c>
      <c r="N142" s="86">
        <f t="shared" si="31"/>
        <v>2.500122906537007E-2</v>
      </c>
      <c r="O142" s="86">
        <f>'Growth curves CeBER'!H69</f>
        <v>2.33</v>
      </c>
      <c r="P142" s="86">
        <f t="shared" si="32"/>
        <v>2.8738220000000001</v>
      </c>
      <c r="Q142" s="87">
        <f t="shared" si="44"/>
        <v>2.8738220000000005E-4</v>
      </c>
      <c r="R142" s="88">
        <f t="shared" si="33"/>
        <v>43.498221297926712</v>
      </c>
      <c r="S142" s="89">
        <f>AVERAGE(R140:R142)</f>
        <v>50.930365268308663</v>
      </c>
      <c r="T142" s="90">
        <f>STDEV(R140:R142)</f>
        <v>6.4603238876199276</v>
      </c>
      <c r="U142" s="90">
        <f>T142/SQRT(3)</f>
        <v>3.7298697355695349</v>
      </c>
      <c r="V142" s="90">
        <f t="shared" si="34"/>
        <v>125.00614532685034</v>
      </c>
      <c r="W142" s="89">
        <f t="shared" si="36"/>
        <v>142.55409238249592</v>
      </c>
      <c r="X142" s="90">
        <f t="shared" si="37"/>
        <v>15.456009139547227</v>
      </c>
      <c r="Y142" s="90">
        <f t="shared" si="38"/>
        <v>8.9235310373149073</v>
      </c>
      <c r="Z142" s="90">
        <f>(V142-$V$115)/(D140-$D$113)</f>
        <v>0.55859693081576689</v>
      </c>
      <c r="AA142" s="89">
        <f t="shared" si="40"/>
        <v>0.63993486068283534</v>
      </c>
      <c r="AB142" s="95">
        <f t="shared" si="41"/>
        <v>4.1567174871659097E-2</v>
      </c>
    </row>
    <row r="143" spans="2:34" x14ac:dyDescent="0.2">
      <c r="B143" s="226" t="s">
        <v>34</v>
      </c>
      <c r="C143" s="228">
        <v>0.46666666666666662</v>
      </c>
      <c r="D143" s="230">
        <f>11+52/60+12+D140</f>
        <v>237.7</v>
      </c>
      <c r="E143" s="105" t="s">
        <v>105</v>
      </c>
      <c r="F143" s="232">
        <f>(0.0531+0.05)/2</f>
        <v>5.1549999999999999E-2</v>
      </c>
      <c r="G143" s="234">
        <f>(0.0524+0.0491)/2</f>
        <v>5.0750000000000003E-2</v>
      </c>
      <c r="H143" s="77">
        <f>0.2954-F143</f>
        <v>0.24385000000000001</v>
      </c>
      <c r="I143" s="78">
        <f>0.2733-F143</f>
        <v>0.22175</v>
      </c>
      <c r="J143" s="78">
        <f>0.1969-G143</f>
        <v>0.14615</v>
      </c>
      <c r="K143" s="78">
        <f>0.1793-G143</f>
        <v>0.12855</v>
      </c>
      <c r="L143" s="269">
        <f t="shared" si="29"/>
        <v>2.5191126418152354E-2</v>
      </c>
      <c r="M143" s="269">
        <f t="shared" si="42"/>
        <v>2.3335048622366288E-2</v>
      </c>
      <c r="N143" s="78">
        <f t="shared" si="31"/>
        <v>2.4263087520259321E-2</v>
      </c>
      <c r="O143" s="78">
        <f>'Growth curves CeBER'!F70</f>
        <v>2.7519999999999998</v>
      </c>
      <c r="P143" s="78">
        <f t="shared" si="32"/>
        <v>3.3943167999999999</v>
      </c>
      <c r="Q143" s="79">
        <f t="shared" ref="Q143:Q145" si="45">P143*0.075/1000</f>
        <v>2.5457375999999996E-4</v>
      </c>
      <c r="R143" s="80">
        <f t="shared" si="33"/>
        <v>47.654337038230736</v>
      </c>
      <c r="S143" s="81"/>
      <c r="V143" s="82">
        <f t="shared" si="34"/>
        <v>161.75391680172882</v>
      </c>
      <c r="W143" s="94"/>
      <c r="X143" s="82"/>
      <c r="Y143" s="82"/>
      <c r="Z143" s="82">
        <f t="shared" si="39"/>
        <v>0.65766475022767956</v>
      </c>
      <c r="AA143" s="94"/>
      <c r="AB143" s="102"/>
    </row>
    <row r="144" spans="2:34" x14ac:dyDescent="0.2">
      <c r="B144" s="226"/>
      <c r="C144" s="228"/>
      <c r="D144" s="230"/>
      <c r="E144" s="105" t="s">
        <v>106</v>
      </c>
      <c r="F144" s="232"/>
      <c r="G144" s="234"/>
      <c r="H144" s="77">
        <f>0.2216-F143</f>
        <v>0.17004999999999998</v>
      </c>
      <c r="I144" s="78">
        <f>0.2106-F143</f>
        <v>0.15905000000000002</v>
      </c>
      <c r="J144" s="78">
        <f>0.1453-G143</f>
        <v>9.4550000000000009E-2</v>
      </c>
      <c r="K144" s="78">
        <f>0.1379-G143</f>
        <v>8.7149999999999991E-2</v>
      </c>
      <c r="L144" s="269">
        <f t="shared" si="29"/>
        <v>1.8289667747163691E-2</v>
      </c>
      <c r="M144" s="269">
        <f t="shared" si="42"/>
        <v>1.7232455429497574E-2</v>
      </c>
      <c r="N144" s="78">
        <f t="shared" si="31"/>
        <v>1.7761061588330632E-2</v>
      </c>
      <c r="O144" s="78">
        <f>'Growth curves CeBER'!G70</f>
        <v>2.7160000000000002</v>
      </c>
      <c r="P144" s="78">
        <f t="shared" si="32"/>
        <v>3.3499144000000003</v>
      </c>
      <c r="Q144" s="79">
        <f t="shared" si="45"/>
        <v>2.5124358000000002E-4</v>
      </c>
      <c r="R144" s="80">
        <f t="shared" si="33"/>
        <v>35.34629937276533</v>
      </c>
      <c r="S144" s="81"/>
      <c r="V144" s="82">
        <f t="shared" si="34"/>
        <v>118.40707725553756</v>
      </c>
      <c r="W144" s="94"/>
      <c r="X144" s="82"/>
      <c r="Y144" s="82"/>
      <c r="Z144" s="82">
        <f>(V144-$V$114)/(D143-$D$113)</f>
        <v>0.47223189116299352</v>
      </c>
      <c r="AA144" s="94"/>
      <c r="AB144" s="102"/>
    </row>
    <row r="145" spans="2:28" x14ac:dyDescent="0.2">
      <c r="B145" s="227"/>
      <c r="C145" s="229"/>
      <c r="D145" s="231"/>
      <c r="E145" s="141" t="s">
        <v>107</v>
      </c>
      <c r="F145" s="233"/>
      <c r="G145" s="235"/>
      <c r="H145" s="85">
        <f>0.3391-F143</f>
        <v>0.28755000000000003</v>
      </c>
      <c r="I145" s="86">
        <f>0.4028-F143</f>
        <v>0.35125000000000001</v>
      </c>
      <c r="J145" s="86">
        <f>0.2538-G143</f>
        <v>0.20305000000000001</v>
      </c>
      <c r="K145" s="86">
        <f>0.3123-G143</f>
        <v>0.26155</v>
      </c>
      <c r="L145" s="269">
        <f t="shared" si="29"/>
        <v>2.66944489465154E-2</v>
      </c>
      <c r="M145" s="269">
        <f t="shared" si="42"/>
        <v>3.1282374392220424E-2</v>
      </c>
      <c r="N145" s="86">
        <f t="shared" si="31"/>
        <v>2.8988411669367914E-2</v>
      </c>
      <c r="O145" s="86">
        <f>'Growth curves CeBER'!H70</f>
        <v>2.6440000000000001</v>
      </c>
      <c r="P145" s="86">
        <f t="shared" si="32"/>
        <v>3.2611096000000002</v>
      </c>
      <c r="Q145" s="87">
        <f t="shared" si="45"/>
        <v>2.4458321999999997E-4</v>
      </c>
      <c r="R145" s="88">
        <f t="shared" si="33"/>
        <v>59.260834961139025</v>
      </c>
      <c r="S145" s="89">
        <f>AVERAGE(R143:R145)</f>
        <v>47.420490457378357</v>
      </c>
      <c r="T145" s="90">
        <f>STDEV(R143:R145)</f>
        <v>11.958982660303144</v>
      </c>
      <c r="U145" s="90">
        <f>T145/SQRT(3)</f>
        <v>6.9045218581600878</v>
      </c>
      <c r="V145" s="90">
        <f t="shared" si="34"/>
        <v>193.2560777957861</v>
      </c>
      <c r="W145" s="89">
        <f t="shared" si="36"/>
        <v>157.80569061768418</v>
      </c>
      <c r="X145" s="90">
        <f t="shared" si="37"/>
        <v>37.580375037628485</v>
      </c>
      <c r="Y145" s="90">
        <f t="shared" si="38"/>
        <v>21.697039644221899</v>
      </c>
      <c r="Z145" s="90">
        <f>(V145-$V$115)/(D143-$D$113)</f>
        <v>0.78963641638637172</v>
      </c>
      <c r="AA145" s="89">
        <f t="shared" si="40"/>
        <v>0.63984435259234829</v>
      </c>
      <c r="AB145" s="95">
        <f t="shared" si="41"/>
        <v>9.2059008407616105E-2</v>
      </c>
    </row>
    <row r="146" spans="2:28" x14ac:dyDescent="0.2">
      <c r="B146" s="226" t="s">
        <v>35</v>
      </c>
      <c r="C146" s="228">
        <v>0.50694444444444442</v>
      </c>
      <c r="D146" s="230">
        <f>58/60+24+D143</f>
        <v>262.66666666666663</v>
      </c>
      <c r="E146" s="105" t="s">
        <v>105</v>
      </c>
      <c r="F146" s="232">
        <f>(0.0536+0.0321+0.0389)/3</f>
        <v>4.1533333333333332E-2</v>
      </c>
      <c r="G146" s="234">
        <f>(0.0523+0.0316+0.0377)/3</f>
        <v>4.0533333333333331E-2</v>
      </c>
      <c r="H146" s="77">
        <f>0.193-F146</f>
        <v>0.15146666666666667</v>
      </c>
      <c r="I146" s="78">
        <f>0.1756-F146</f>
        <v>0.13406666666666667</v>
      </c>
      <c r="J146" s="78">
        <f>0.1335-G146</f>
        <v>9.296666666666667E-2</v>
      </c>
      <c r="K146" s="78">
        <f>0.1204-G146</f>
        <v>7.9866666666666669E-2</v>
      </c>
      <c r="L146" s="269">
        <f t="shared" si="29"/>
        <v>1.543303619665046E-2</v>
      </c>
      <c r="M146" s="269">
        <f t="shared" si="42"/>
        <v>1.3897460831982714E-2</v>
      </c>
      <c r="N146" s="78">
        <f t="shared" si="31"/>
        <v>1.4665248514316588E-2</v>
      </c>
      <c r="O146" s="78">
        <f>'Growth curves CeBER'!F71</f>
        <v>3.2120000000000002</v>
      </c>
      <c r="P146" s="78">
        <f t="shared" si="32"/>
        <v>3.9616808000000003</v>
      </c>
      <c r="Q146" s="79">
        <f t="shared" ref="Q146:Q163" si="46">P146*0.05/1000</f>
        <v>1.9808404000000001E-4</v>
      </c>
      <c r="R146" s="80">
        <f t="shared" si="33"/>
        <v>37.017743868502954</v>
      </c>
      <c r="S146" s="81"/>
      <c r="V146" s="82">
        <f t="shared" si="34"/>
        <v>146.6524851431659</v>
      </c>
      <c r="W146" s="94"/>
      <c r="X146" s="82"/>
      <c r="Y146" s="82"/>
      <c r="Z146" s="82">
        <f t="shared" si="39"/>
        <v>0.5376604548371442</v>
      </c>
      <c r="AA146" s="94"/>
      <c r="AB146" s="102"/>
    </row>
    <row r="147" spans="2:28" x14ac:dyDescent="0.2">
      <c r="B147" s="226"/>
      <c r="C147" s="228"/>
      <c r="D147" s="230"/>
      <c r="E147" s="105" t="s">
        <v>106</v>
      </c>
      <c r="F147" s="232"/>
      <c r="G147" s="234"/>
      <c r="H147" s="77">
        <f>0.2306-F146</f>
        <v>0.18906666666666666</v>
      </c>
      <c r="I147" s="78">
        <f>0.2167-F146</f>
        <v>0.17516666666666666</v>
      </c>
      <c r="J147" s="78">
        <f>0.1624-G146</f>
        <v>0.12186666666666665</v>
      </c>
      <c r="K147" s="78">
        <f>0.1508-G146</f>
        <v>0.11026666666666665</v>
      </c>
      <c r="L147" s="269">
        <f t="shared" si="29"/>
        <v>1.8693246893571044E-2</v>
      </c>
      <c r="M147" s="269">
        <f t="shared" si="42"/>
        <v>1.7577849810913024E-2</v>
      </c>
      <c r="N147" s="78">
        <f t="shared" si="31"/>
        <v>1.8135548352242035E-2</v>
      </c>
      <c r="O147" s="78">
        <f>'Growth curves CeBER'!G71</f>
        <v>2.992</v>
      </c>
      <c r="P147" s="78">
        <f t="shared" si="32"/>
        <v>3.6903328000000002</v>
      </c>
      <c r="Q147" s="79">
        <f t="shared" si="46"/>
        <v>1.8451664000000001E-4</v>
      </c>
      <c r="R147" s="80">
        <f t="shared" si="33"/>
        <v>49.143395284680111</v>
      </c>
      <c r="S147" s="81"/>
      <c r="V147" s="82">
        <f t="shared" si="34"/>
        <v>181.35548352242037</v>
      </c>
      <c r="W147" s="94"/>
      <c r="X147" s="82"/>
      <c r="Y147" s="82"/>
      <c r="Z147" s="82">
        <f>(V147-$V$114)/(D146-$D$113)</f>
        <v>0.66699718323474511</v>
      </c>
      <c r="AA147" s="94"/>
      <c r="AB147" s="102"/>
    </row>
    <row r="148" spans="2:28" x14ac:dyDescent="0.2">
      <c r="B148" s="227"/>
      <c r="C148" s="229"/>
      <c r="D148" s="231"/>
      <c r="E148" s="141" t="s">
        <v>107</v>
      </c>
      <c r="F148" s="233"/>
      <c r="G148" s="235"/>
      <c r="H148" s="85">
        <f>0.1754-F146</f>
        <v>0.13386666666666666</v>
      </c>
      <c r="I148" s="86">
        <f>0.1747-F146</f>
        <v>0.13316666666666666</v>
      </c>
      <c r="J148" s="86">
        <f>0.1212-G146</f>
        <v>8.0666666666666664E-2</v>
      </c>
      <c r="K148" s="86">
        <f>0.1214-G146</f>
        <v>8.086666666666667E-2</v>
      </c>
      <c r="L148" s="269">
        <f t="shared" si="29"/>
        <v>1.3786601836844947E-2</v>
      </c>
      <c r="M148" s="269">
        <f t="shared" si="42"/>
        <v>1.3653538627768773E-2</v>
      </c>
      <c r="N148" s="86">
        <f t="shared" si="31"/>
        <v>1.3720070232306859E-2</v>
      </c>
      <c r="O148" s="86">
        <f>'Growth curves CeBER'!H71</f>
        <v>3.06</v>
      </c>
      <c r="P148" s="86">
        <f t="shared" si="32"/>
        <v>3.7742040000000001</v>
      </c>
      <c r="Q148" s="87">
        <f t="shared" si="46"/>
        <v>1.8871020000000001E-4</v>
      </c>
      <c r="R148" s="88">
        <f t="shared" si="33"/>
        <v>36.352222170043959</v>
      </c>
      <c r="S148" s="89">
        <f>AVERAGE(R146:R148)</f>
        <v>40.837787107742336</v>
      </c>
      <c r="T148" s="90">
        <f>STDEV(R146:R148)</f>
        <v>7.2005607541629599</v>
      </c>
      <c r="U148" s="90">
        <f>T148/SQRT(3)</f>
        <v>4.1572456897322398</v>
      </c>
      <c r="V148" s="90">
        <f t="shared" si="34"/>
        <v>137.20070232306858</v>
      </c>
      <c r="W148" s="89">
        <f t="shared" si="36"/>
        <v>155.0695569962183</v>
      </c>
      <c r="X148" s="90">
        <f t="shared" si="37"/>
        <v>23.249655903372719</v>
      </c>
      <c r="Y148" s="90">
        <f t="shared" si="38"/>
        <v>13.423195094378412</v>
      </c>
      <c r="Z148" s="90">
        <f>(V148-$V$115)/(D146-$D$113)</f>
        <v>0.50117208389209289</v>
      </c>
      <c r="AA148" s="89">
        <f t="shared" si="40"/>
        <v>0.56860990732132732</v>
      </c>
      <c r="AB148" s="95">
        <f t="shared" si="41"/>
        <v>5.030868828145995E-2</v>
      </c>
    </row>
    <row r="149" spans="2:28" x14ac:dyDescent="0.2">
      <c r="B149" s="226" t="s">
        <v>36</v>
      </c>
      <c r="C149" s="228">
        <v>0.47916666666666669</v>
      </c>
      <c r="D149" s="230">
        <f>11+20/60+12+D146</f>
        <v>285.99999999999994</v>
      </c>
      <c r="E149" s="105" t="s">
        <v>105</v>
      </c>
      <c r="F149" s="232">
        <f>(0.0517+0.0474)/2</f>
        <v>4.9549999999999997E-2</v>
      </c>
      <c r="G149" s="234">
        <f>(0.0508+0.0471)/2</f>
        <v>4.895E-2</v>
      </c>
      <c r="H149" s="77">
        <f>0.203-F149</f>
        <v>0.15345000000000003</v>
      </c>
      <c r="I149" s="78">
        <f>0.2239-F149</f>
        <v>0.17435</v>
      </c>
      <c r="J149" s="78">
        <f>0.1334-G149</f>
        <v>8.4449999999999997E-2</v>
      </c>
      <c r="K149" s="78">
        <f>0.1563-G149</f>
        <v>0.10735</v>
      </c>
      <c r="L149" s="269">
        <f t="shared" si="29"/>
        <v>1.6589586709886552E-2</v>
      </c>
      <c r="M149" s="269">
        <f t="shared" si="42"/>
        <v>1.7731482982171802E-2</v>
      </c>
      <c r="N149" s="78">
        <f t="shared" si="31"/>
        <v>1.7160534846029175E-2</v>
      </c>
      <c r="O149" s="78">
        <f>'Growth curves CeBER'!F72</f>
        <v>2.992</v>
      </c>
      <c r="P149" s="78">
        <f t="shared" si="32"/>
        <v>3.6903328000000002</v>
      </c>
      <c r="Q149" s="79">
        <f t="shared" si="46"/>
        <v>1.8451664000000001E-4</v>
      </c>
      <c r="R149" s="80">
        <f t="shared" si="33"/>
        <v>46.501320547645932</v>
      </c>
      <c r="S149" s="81"/>
      <c r="V149" s="82">
        <f t="shared" si="34"/>
        <v>171.60534846029176</v>
      </c>
      <c r="W149" s="94"/>
      <c r="X149" s="82"/>
      <c r="Y149" s="82"/>
      <c r="Z149" s="82">
        <f t="shared" si="39"/>
        <v>0.58104315660028816</v>
      </c>
      <c r="AA149" s="94"/>
      <c r="AB149" s="102"/>
    </row>
    <row r="150" spans="2:28" x14ac:dyDescent="0.2">
      <c r="B150" s="226"/>
      <c r="C150" s="228"/>
      <c r="D150" s="230"/>
      <c r="E150" s="105" t="s">
        <v>106</v>
      </c>
      <c r="F150" s="232"/>
      <c r="G150" s="234"/>
      <c r="H150" s="77">
        <f>0.3104-F149</f>
        <v>0.26085000000000003</v>
      </c>
      <c r="I150" s="78">
        <f>0.3083-F149</f>
        <v>0.25875000000000004</v>
      </c>
      <c r="J150" s="78">
        <f>0.2379-G149</f>
        <v>0.18895000000000001</v>
      </c>
      <c r="K150" s="78">
        <f>0.2329-G149</f>
        <v>0.18395</v>
      </c>
      <c r="L150" s="269">
        <f t="shared" si="29"/>
        <v>2.3749635332252838E-2</v>
      </c>
      <c r="M150" s="269">
        <f t="shared" si="42"/>
        <v>2.3899554294975697E-2</v>
      </c>
      <c r="N150" s="78">
        <f t="shared" si="31"/>
        <v>2.3824594813614267E-2</v>
      </c>
      <c r="O150" s="78">
        <f>'Growth curves CeBER'!G72</f>
        <v>3.1880000000000002</v>
      </c>
      <c r="P150" s="78">
        <f t="shared" si="32"/>
        <v>3.9320792000000004</v>
      </c>
      <c r="Q150" s="79">
        <f t="shared" si="46"/>
        <v>1.9660396000000001E-4</v>
      </c>
      <c r="R150" s="80">
        <f t="shared" si="33"/>
        <v>60.590322833818469</v>
      </c>
      <c r="S150" s="81"/>
      <c r="V150" s="82">
        <f t="shared" si="34"/>
        <v>238.24594813614269</v>
      </c>
      <c r="W150" s="94"/>
      <c r="X150" s="82"/>
      <c r="Y150" s="82"/>
      <c r="Z150" s="82">
        <f>(V150-$V$114)/(D149-$D$113)</f>
        <v>0.81149787206310742</v>
      </c>
      <c r="AA150" s="94"/>
      <c r="AB150" s="102"/>
    </row>
    <row r="151" spans="2:28" x14ac:dyDescent="0.2">
      <c r="B151" s="227"/>
      <c r="C151" s="229"/>
      <c r="D151" s="231"/>
      <c r="E151" s="141" t="s">
        <v>107</v>
      </c>
      <c r="F151" s="233"/>
      <c r="G151" s="235"/>
      <c r="H151" s="85">
        <f>0.2664-F149</f>
        <v>0.21685000000000004</v>
      </c>
      <c r="I151" s="86">
        <f>0.283-F149</f>
        <v>0.23344999999999999</v>
      </c>
      <c r="J151" s="86">
        <f>0.2016-G149</f>
        <v>0.15265000000000001</v>
      </c>
      <c r="K151" s="86">
        <f>0.2173-G149</f>
        <v>0.16835</v>
      </c>
      <c r="L151" s="269">
        <f t="shared" si="29"/>
        <v>2.0177755267423023E-2</v>
      </c>
      <c r="M151" s="269">
        <f t="shared" si="42"/>
        <v>2.1328727714748783E-2</v>
      </c>
      <c r="N151" s="86">
        <f t="shared" si="31"/>
        <v>2.0753241491085903E-2</v>
      </c>
      <c r="O151" s="86">
        <f>'Growth curves CeBER'!H72</f>
        <v>3.444</v>
      </c>
      <c r="P151" s="86">
        <f t="shared" si="32"/>
        <v>4.2478296000000002</v>
      </c>
      <c r="Q151" s="87">
        <f t="shared" si="46"/>
        <v>2.1239148000000001E-4</v>
      </c>
      <c r="R151" s="88">
        <f t="shared" si="33"/>
        <v>48.856106400986285</v>
      </c>
      <c r="S151" s="89">
        <f>AVERAGE(R149:R151)</f>
        <v>51.982583260816888</v>
      </c>
      <c r="T151" s="90">
        <f>STDEV(R149:R151)</f>
        <v>7.5469291451050982</v>
      </c>
      <c r="U151" s="90">
        <f>T151/SQRT(3)</f>
        <v>4.3572215734814606</v>
      </c>
      <c r="V151" s="90">
        <f t="shared" si="34"/>
        <v>207.53241491085902</v>
      </c>
      <c r="W151" s="89">
        <f t="shared" si="36"/>
        <v>205.79457050243116</v>
      </c>
      <c r="X151" s="90">
        <f t="shared" si="37"/>
        <v>33.354271970471466</v>
      </c>
      <c r="Y151" s="90">
        <f t="shared" si="38"/>
        <v>19.25709790077569</v>
      </c>
      <c r="Z151" s="90">
        <f>(V151-$V$115)/(D149-$D$113)</f>
        <v>0.7061989975178794</v>
      </c>
      <c r="AA151" s="89">
        <f t="shared" si="40"/>
        <v>0.6995800087270917</v>
      </c>
      <c r="AB151" s="95">
        <f t="shared" si="41"/>
        <v>6.660881380423446E-2</v>
      </c>
    </row>
    <row r="152" spans="2:28" x14ac:dyDescent="0.2">
      <c r="B152" s="226" t="s">
        <v>38</v>
      </c>
      <c r="C152" s="228">
        <v>0.45833333333333331</v>
      </c>
      <c r="D152" s="255">
        <f>11+30/60+12+24+D149</f>
        <v>333.49999999999994</v>
      </c>
      <c r="E152" s="105" t="s">
        <v>105</v>
      </c>
      <c r="F152" s="232">
        <f>0.0532</f>
        <v>5.3199999999999997E-2</v>
      </c>
      <c r="G152" s="234">
        <v>5.2499999999999998E-2</v>
      </c>
      <c r="H152" s="77">
        <f>0.294-F152</f>
        <v>0.24079999999999999</v>
      </c>
      <c r="I152" s="78">
        <f>0.3004-F152</f>
        <v>0.2472</v>
      </c>
      <c r="J152" s="78">
        <f>0.2056-G152</f>
        <v>0.15310000000000001</v>
      </c>
      <c r="K152" s="78">
        <f>0.2154-G152</f>
        <v>0.16290000000000002</v>
      </c>
      <c r="L152" s="269">
        <f t="shared" si="29"/>
        <v>2.4015316045380874E-2</v>
      </c>
      <c r="M152" s="269">
        <f t="shared" si="42"/>
        <v>2.4091653160453808E-2</v>
      </c>
      <c r="N152" s="78">
        <f t="shared" si="31"/>
        <v>2.4053484602917341E-2</v>
      </c>
      <c r="O152" s="78">
        <f>'Growth curves CeBER'!F74</f>
        <v>3.3319999999999999</v>
      </c>
      <c r="P152" s="78">
        <f t="shared" si="32"/>
        <v>4.1096887999999998</v>
      </c>
      <c r="Q152" s="79">
        <f t="shared" si="46"/>
        <v>2.0548444E-4</v>
      </c>
      <c r="R152" s="80">
        <f t="shared" si="33"/>
        <v>58.528725101806593</v>
      </c>
      <c r="S152" s="81"/>
      <c r="V152" s="82">
        <f t="shared" si="34"/>
        <v>240.53484602917339</v>
      </c>
      <c r="W152" s="94"/>
      <c r="X152" s="82"/>
      <c r="Y152" s="82"/>
      <c r="Z152" s="82">
        <f t="shared" si="39"/>
        <v>0.7049710355519162</v>
      </c>
      <c r="AA152" s="94"/>
      <c r="AB152" s="102"/>
    </row>
    <row r="153" spans="2:28" x14ac:dyDescent="0.2">
      <c r="B153" s="226"/>
      <c r="C153" s="228"/>
      <c r="D153" s="255"/>
      <c r="E153" s="105" t="s">
        <v>106</v>
      </c>
      <c r="F153" s="232"/>
      <c r="G153" s="234"/>
      <c r="H153" s="77">
        <f>0.2835-F152</f>
        <v>0.23029999999999998</v>
      </c>
      <c r="I153" s="78">
        <f>0.2783-F152</f>
        <v>0.22509999999999999</v>
      </c>
      <c r="J153" s="78">
        <f>0.1999-G152</f>
        <v>0.1474</v>
      </c>
      <c r="K153" s="78">
        <f>0.1891-G152</f>
        <v>0.1366</v>
      </c>
      <c r="L153" s="269">
        <f t="shared" si="29"/>
        <v>2.2872447325769849E-2</v>
      </c>
      <c r="M153" s="269">
        <f t="shared" si="42"/>
        <v>2.3088654781199352E-2</v>
      </c>
      <c r="N153" s="78">
        <f t="shared" si="31"/>
        <v>2.2980551053484601E-2</v>
      </c>
      <c r="O153" s="78">
        <f>'Growth curves CeBER'!G74</f>
        <v>3.6680000000000001</v>
      </c>
      <c r="P153" s="78">
        <f t="shared" si="32"/>
        <v>4.5241112000000001</v>
      </c>
      <c r="Q153" s="79">
        <f t="shared" si="46"/>
        <v>2.2620556000000003E-4</v>
      </c>
      <c r="R153" s="80">
        <f t="shared" si="33"/>
        <v>50.795725475281415</v>
      </c>
      <c r="S153" s="81"/>
      <c r="V153" s="82">
        <f t="shared" si="34"/>
        <v>229.80551053484598</v>
      </c>
      <c r="W153" s="94"/>
      <c r="X153" s="82"/>
      <c r="Y153" s="82"/>
      <c r="Z153" s="82">
        <f>(V153-$V$114)/(D152-$D$113)</f>
        <v>0.67060855714768219</v>
      </c>
      <c r="AA153" s="94"/>
      <c r="AB153" s="102"/>
    </row>
    <row r="154" spans="2:28" x14ac:dyDescent="0.2">
      <c r="B154" s="227"/>
      <c r="C154" s="229"/>
      <c r="D154" s="256"/>
      <c r="E154" s="141" t="s">
        <v>107</v>
      </c>
      <c r="F154" s="233"/>
      <c r="G154" s="235"/>
      <c r="H154" s="85">
        <f>0.2082-F152</f>
        <v>0.155</v>
      </c>
      <c r="I154" s="86">
        <f>0.2336-F152</f>
        <v>0.1804</v>
      </c>
      <c r="J154" s="86">
        <f>0.1358-G152</f>
        <v>8.3300000000000013E-2</v>
      </c>
      <c r="K154" s="86">
        <f>0.1575-G152</f>
        <v>0.10500000000000001</v>
      </c>
      <c r="L154" s="269">
        <f t="shared" si="29"/>
        <v>1.6953565640194488E-2</v>
      </c>
      <c r="M154" s="269">
        <f t="shared" si="42"/>
        <v>1.8942463533225287E-2</v>
      </c>
      <c r="N154" s="86">
        <f t="shared" si="31"/>
        <v>1.7948014586709887E-2</v>
      </c>
      <c r="O154" s="86">
        <f>'Growth curves CeBER'!H74</f>
        <v>3.012</v>
      </c>
      <c r="P154" s="86">
        <f t="shared" si="32"/>
        <v>3.7150008000000003</v>
      </c>
      <c r="Q154" s="87">
        <f t="shared" si="46"/>
        <v>1.8575004000000005E-4</v>
      </c>
      <c r="R154" s="88">
        <f t="shared" si="33"/>
        <v>48.312276505323723</v>
      </c>
      <c r="S154" s="89">
        <f>AVERAGE(R152:R154)</f>
        <v>52.545575694137248</v>
      </c>
      <c r="T154" s="90">
        <f>STDEV(R152:R154)</f>
        <v>5.3282677600198118</v>
      </c>
      <c r="U154" s="90">
        <f>T154/SQRT(3)</f>
        <v>3.0762768255618429</v>
      </c>
      <c r="V154" s="90">
        <f t="shared" si="34"/>
        <v>179.48014586709886</v>
      </c>
      <c r="W154" s="89">
        <f t="shared" si="36"/>
        <v>216.6068341437061</v>
      </c>
      <c r="X154" s="90">
        <f t="shared" si="37"/>
        <v>32.597130193143222</v>
      </c>
      <c r="Y154" s="90">
        <f t="shared" si="38"/>
        <v>18.819961891820519</v>
      </c>
      <c r="Z154" s="90">
        <f>(V154-$V$115)/(D152-$D$113)</f>
        <v>0.52150118214798602</v>
      </c>
      <c r="AA154" s="89">
        <f t="shared" si="40"/>
        <v>0.63236025828252818</v>
      </c>
      <c r="AB154" s="95">
        <f t="shared" si="41"/>
        <v>5.6310141335208765E-2</v>
      </c>
    </row>
    <row r="155" spans="2:28" x14ac:dyDescent="0.2">
      <c r="B155" s="226" t="s">
        <v>39</v>
      </c>
      <c r="C155" s="228">
        <v>0.45416666666666666</v>
      </c>
      <c r="D155" s="230">
        <f>11+54/60+12+D152</f>
        <v>357.39999999999992</v>
      </c>
      <c r="E155" s="105" t="s">
        <v>105</v>
      </c>
      <c r="F155" s="232">
        <f>(0.0454+0.053+0.0393)/3</f>
        <v>4.5899999999999996E-2</v>
      </c>
      <c r="G155" s="234">
        <f>(0.0458+0.0534+0.0393)/3</f>
        <v>4.6166666666666668E-2</v>
      </c>
      <c r="H155" s="78">
        <f>0.2342-F155</f>
        <v>0.1883</v>
      </c>
      <c r="I155" s="78">
        <f>0.2287-F155</f>
        <v>0.18279999999999999</v>
      </c>
      <c r="J155" s="78">
        <f>0.1563-G155</f>
        <v>0.11013333333333333</v>
      </c>
      <c r="K155" s="78">
        <f>0.1535-G155</f>
        <v>0.10733333333333334</v>
      </c>
      <c r="L155" s="269">
        <f t="shared" si="29"/>
        <v>1.9719502971366827E-2</v>
      </c>
      <c r="M155" s="269">
        <f t="shared" si="42"/>
        <v>1.9102647217720148E-2</v>
      </c>
      <c r="N155" s="78">
        <f t="shared" si="31"/>
        <v>1.9411075094543487E-2</v>
      </c>
      <c r="O155" s="78">
        <f>'Growth curves CeBER'!F75</f>
        <v>3.6720000000000002</v>
      </c>
      <c r="P155" s="78">
        <f t="shared" si="32"/>
        <v>4.5290448000000003</v>
      </c>
      <c r="Q155" s="79">
        <f t="shared" si="46"/>
        <v>2.2645224000000002E-4</v>
      </c>
      <c r="R155" s="80">
        <f t="shared" si="33"/>
        <v>42.859092704367782</v>
      </c>
      <c r="S155" s="81"/>
      <c r="V155" s="82">
        <f t="shared" si="34"/>
        <v>194.11075094543486</v>
      </c>
      <c r="W155" s="94"/>
      <c r="X155" s="82"/>
      <c r="Y155" s="82"/>
      <c r="Z155" s="82">
        <f t="shared" si="39"/>
        <v>0.52793437401462084</v>
      </c>
      <c r="AA155" s="94"/>
      <c r="AB155" s="102"/>
    </row>
    <row r="156" spans="2:28" x14ac:dyDescent="0.2">
      <c r="B156" s="226"/>
      <c r="C156" s="228"/>
      <c r="D156" s="230"/>
      <c r="E156" s="105" t="s">
        <v>106</v>
      </c>
      <c r="F156" s="232"/>
      <c r="G156" s="234"/>
      <c r="H156" s="78">
        <f>0.2684-F155</f>
        <v>0.22250000000000003</v>
      </c>
      <c r="I156" s="78">
        <f>0.2844-F155</f>
        <v>0.23849999999999999</v>
      </c>
      <c r="J156" s="78">
        <f>0.1731-G155</f>
        <v>0.12693333333333334</v>
      </c>
      <c r="K156" s="78">
        <f>0.1816-G155</f>
        <v>0.13543333333333335</v>
      </c>
      <c r="L156" s="269">
        <f t="shared" si="29"/>
        <v>2.3615126958400869E-2</v>
      </c>
      <c r="M156" s="269">
        <f t="shared" si="42"/>
        <v>2.537485143165856E-2</v>
      </c>
      <c r="N156" s="78">
        <f t="shared" si="31"/>
        <v>2.4494989195029716E-2</v>
      </c>
      <c r="O156" s="78">
        <f>'Growth curves CeBER'!G75</f>
        <v>3.6720000000000002</v>
      </c>
      <c r="P156" s="78">
        <f t="shared" si="32"/>
        <v>4.5290448000000003</v>
      </c>
      <c r="Q156" s="79">
        <f t="shared" si="46"/>
        <v>2.2645224000000002E-4</v>
      </c>
      <c r="R156" s="80">
        <f t="shared" si="33"/>
        <v>54.084228080565055</v>
      </c>
      <c r="S156" s="81"/>
      <c r="V156" s="82">
        <f t="shared" si="34"/>
        <v>244.94989195029717</v>
      </c>
      <c r="W156" s="94"/>
      <c r="X156" s="82"/>
      <c r="Y156" s="82"/>
      <c r="Z156" s="82">
        <f>(V156-$V$114)/(D155-$D$113)</f>
        <v>0.66813747964242642</v>
      </c>
      <c r="AA156" s="94"/>
      <c r="AB156" s="102"/>
    </row>
    <row r="157" spans="2:28" x14ac:dyDescent="0.2">
      <c r="B157" s="227"/>
      <c r="C157" s="229"/>
      <c r="D157" s="231"/>
      <c r="E157" s="141" t="s">
        <v>107</v>
      </c>
      <c r="F157" s="233"/>
      <c r="G157" s="235"/>
      <c r="H157" s="86">
        <f>0.2211-F155</f>
        <v>0.17519999999999999</v>
      </c>
      <c r="I157" s="86">
        <f>0.224-F155</f>
        <v>0.17810000000000001</v>
      </c>
      <c r="J157" s="86">
        <f>0.1506-G155</f>
        <v>0.10443333333333335</v>
      </c>
      <c r="K157" s="86">
        <f>0.1513-G155</f>
        <v>0.10513333333333333</v>
      </c>
      <c r="L157" s="269">
        <f t="shared" si="29"/>
        <v>1.8155240410588868E-2</v>
      </c>
      <c r="M157" s="269">
        <f t="shared" si="42"/>
        <v>1.855661804430038E-2</v>
      </c>
      <c r="N157" s="86">
        <f t="shared" si="31"/>
        <v>1.8355929227444626E-2</v>
      </c>
      <c r="O157" s="86">
        <f>'Growth curves CeBER'!H75</f>
        <v>3.2480000000000002</v>
      </c>
      <c r="P157" s="86">
        <f t="shared" si="32"/>
        <v>4.0060832000000008</v>
      </c>
      <c r="Q157" s="87">
        <f t="shared" si="46"/>
        <v>2.0030416000000006E-4</v>
      </c>
      <c r="R157" s="88">
        <f t="shared" si="33"/>
        <v>45.820139800003702</v>
      </c>
      <c r="S157" s="89">
        <f>AVERAGE(R155:R157)</f>
        <v>47.587820194978839</v>
      </c>
      <c r="T157" s="90">
        <f>STDEV(R155:R157)</f>
        <v>5.8175971446614874</v>
      </c>
      <c r="U157" s="90">
        <f>T157/SQRT(3)</f>
        <v>3.358791277507108</v>
      </c>
      <c r="V157" s="90">
        <f t="shared" si="34"/>
        <v>183.55929227444622</v>
      </c>
      <c r="W157" s="89">
        <f t="shared" si="36"/>
        <v>207.53997839005942</v>
      </c>
      <c r="X157" s="90">
        <f t="shared" si="37"/>
        <v>32.824678893475117</v>
      </c>
      <c r="Y157" s="90">
        <f t="shared" si="38"/>
        <v>18.951337195210886</v>
      </c>
      <c r="Z157" s="90">
        <f>(V157-$V$115)/(D155-$D$113)</f>
        <v>0.4980408244367675</v>
      </c>
      <c r="AA157" s="89">
        <f t="shared" si="40"/>
        <v>0.56470422603127157</v>
      </c>
      <c r="AB157" s="95">
        <f t="shared" si="41"/>
        <v>5.2431652466275847E-2</v>
      </c>
    </row>
    <row r="158" spans="2:28" x14ac:dyDescent="0.2">
      <c r="B158" s="226" t="s">
        <v>41</v>
      </c>
      <c r="C158" s="228">
        <v>0.45833333333333331</v>
      </c>
      <c r="D158" s="230">
        <f>6/60+48+D155</f>
        <v>405.49999999999994</v>
      </c>
      <c r="E158" s="105" t="s">
        <v>105</v>
      </c>
      <c r="F158" s="232">
        <f>(0.0397+0.0628)/2</f>
        <v>5.1249999999999997E-2</v>
      </c>
      <c r="G158" s="234">
        <f>(0.0611+0.0382)/2</f>
        <v>4.965E-2</v>
      </c>
      <c r="H158" s="78">
        <f>0.3715-F158</f>
        <v>0.32024999999999998</v>
      </c>
      <c r="I158" s="78">
        <f>0.3684-F158</f>
        <v>0.31714999999999999</v>
      </c>
      <c r="J158" s="78">
        <f>0.2596-G158</f>
        <v>0.20995</v>
      </c>
      <c r="K158" s="78">
        <f>0.2605-G158</f>
        <v>0.21085000000000001</v>
      </c>
      <c r="L158" s="269">
        <f t="shared" si="29"/>
        <v>3.1317706645056724E-2</v>
      </c>
      <c r="M158" s="269">
        <f t="shared" si="42"/>
        <v>3.0727025931928689E-2</v>
      </c>
      <c r="N158" s="78">
        <f t="shared" si="31"/>
        <v>3.1022366288492705E-2</v>
      </c>
      <c r="O158" s="78">
        <f>'Growth curves CeBER'!F77</f>
        <v>3.72</v>
      </c>
      <c r="P158" s="78">
        <f t="shared" si="32"/>
        <v>4.5882480000000001</v>
      </c>
      <c r="Q158" s="79">
        <f t="shared" si="46"/>
        <v>2.2941240000000002E-4</v>
      </c>
      <c r="R158" s="80">
        <f t="shared" si="33"/>
        <v>67.6126623680601</v>
      </c>
      <c r="S158" s="81"/>
      <c r="V158" s="82">
        <f t="shared" si="34"/>
        <v>310.22366288492702</v>
      </c>
      <c r="W158" s="94"/>
      <c r="X158" s="82"/>
      <c r="Y158" s="82"/>
      <c r="Z158" s="82">
        <f t="shared" si="39"/>
        <v>0.75165636797119029</v>
      </c>
      <c r="AA158" s="94"/>
      <c r="AB158" s="102"/>
    </row>
    <row r="159" spans="2:28" x14ac:dyDescent="0.2">
      <c r="B159" s="226"/>
      <c r="C159" s="228"/>
      <c r="D159" s="230"/>
      <c r="E159" s="105" t="s">
        <v>106</v>
      </c>
      <c r="F159" s="232"/>
      <c r="G159" s="234"/>
      <c r="H159" s="78">
        <f>0.2582-F158</f>
        <v>0.20695</v>
      </c>
      <c r="I159" s="78">
        <f>0.2409-F158</f>
        <v>0.18965000000000001</v>
      </c>
      <c r="J159" s="78">
        <f>0.167-G158</f>
        <v>0.11735000000000001</v>
      </c>
      <c r="K159" s="78">
        <f>0.1552-G158</f>
        <v>0.10555</v>
      </c>
      <c r="L159" s="269">
        <f t="shared" si="29"/>
        <v>2.2034562398703404E-2</v>
      </c>
      <c r="M159" s="269">
        <f t="shared" si="42"/>
        <v>2.0387722852512155E-2</v>
      </c>
      <c r="N159" s="78">
        <f t="shared" si="31"/>
        <v>2.121114262560778E-2</v>
      </c>
      <c r="O159" s="78">
        <f>'Growth curves CeBER'!G77</f>
        <v>3.6960000000000002</v>
      </c>
      <c r="P159" s="78">
        <f t="shared" si="32"/>
        <v>4.5586464000000007</v>
      </c>
      <c r="Q159" s="79">
        <f t="shared" si="46"/>
        <v>2.2793232000000005E-4</v>
      </c>
      <c r="R159" s="80">
        <f t="shared" si="33"/>
        <v>46.529475560130692</v>
      </c>
      <c r="S159" s="81"/>
      <c r="V159" s="82">
        <f t="shared" si="34"/>
        <v>212.11142625607781</v>
      </c>
      <c r="W159" s="94"/>
      <c r="X159" s="82"/>
      <c r="Y159" s="82"/>
      <c r="Z159" s="82">
        <f>(V159-$V$114)/(D158-$D$113)</f>
        <v>0.50790103459922031</v>
      </c>
      <c r="AA159" s="94"/>
      <c r="AB159" s="102"/>
    </row>
    <row r="160" spans="2:28" x14ac:dyDescent="0.2">
      <c r="B160" s="227"/>
      <c r="C160" s="229"/>
      <c r="D160" s="231"/>
      <c r="E160" s="141" t="s">
        <v>107</v>
      </c>
      <c r="F160" s="233"/>
      <c r="G160" s="235"/>
      <c r="H160" s="86">
        <f>0.1998-F158</f>
        <v>0.14855000000000002</v>
      </c>
      <c r="I160" s="86">
        <f>0.1991-F158</f>
        <v>0.14785000000000001</v>
      </c>
      <c r="J160" s="86">
        <f>0.1359-G158</f>
        <v>8.6249999999999993E-2</v>
      </c>
      <c r="K160" s="86">
        <f>0.1345-G158</f>
        <v>8.4850000000000009E-2</v>
      </c>
      <c r="L160" s="269">
        <f t="shared" si="29"/>
        <v>1.5618922204213943E-2</v>
      </c>
      <c r="M160" s="269">
        <f t="shared" si="42"/>
        <v>1.5642747163695302E-2</v>
      </c>
      <c r="N160" s="86">
        <f t="shared" si="31"/>
        <v>1.5630834683954622E-2</v>
      </c>
      <c r="O160" s="86">
        <f>'Growth curves CeBER'!H77</f>
        <v>3.32</v>
      </c>
      <c r="P160" s="86">
        <f t="shared" si="32"/>
        <v>4.0948880000000001</v>
      </c>
      <c r="Q160" s="87">
        <f t="shared" si="46"/>
        <v>2.0474440000000003E-4</v>
      </c>
      <c r="R160" s="88">
        <f t="shared" si="33"/>
        <v>38.171580477792361</v>
      </c>
      <c r="S160" s="89">
        <f>AVERAGE(R158:R160)</f>
        <v>50.771239468661044</v>
      </c>
      <c r="T160" s="90">
        <f>STDEV(R158:R160)</f>
        <v>15.171972400091752</v>
      </c>
      <c r="U160" s="90">
        <f>T160/SQRT(3)</f>
        <v>8.7595423493305464</v>
      </c>
      <c r="V160" s="90">
        <f t="shared" si="34"/>
        <v>156.3083468395462</v>
      </c>
      <c r="W160" s="89">
        <f t="shared" si="36"/>
        <v>226.21447866018366</v>
      </c>
      <c r="X160" s="90">
        <f t="shared" si="37"/>
        <v>77.920813610178001</v>
      </c>
      <c r="Y160" s="90">
        <f t="shared" si="38"/>
        <v>44.987602713310928</v>
      </c>
      <c r="Z160" s="90">
        <f>(V160-$V$115)/(D158-$D$113)</f>
        <v>0.3717604074446379</v>
      </c>
      <c r="AA160" s="89">
        <f t="shared" si="40"/>
        <v>0.54377260333834954</v>
      </c>
      <c r="AB160" s="95">
        <f t="shared" si="41"/>
        <v>0.1111235232957038</v>
      </c>
    </row>
    <row r="161" spans="1:28" x14ac:dyDescent="0.2">
      <c r="B161" s="226" t="s">
        <v>42</v>
      </c>
      <c r="C161" s="228">
        <v>0.49027777777777781</v>
      </c>
      <c r="D161" s="230">
        <f>46/60+24+D158</f>
        <v>430.26666666666659</v>
      </c>
      <c r="E161" s="105" t="s">
        <v>105</v>
      </c>
      <c r="F161" s="232">
        <f>(0.0536+0.0451)/2</f>
        <v>4.9350000000000005E-2</v>
      </c>
      <c r="G161" s="234">
        <f>(0.0525+0.0448)/2</f>
        <v>4.8649999999999999E-2</v>
      </c>
      <c r="H161" s="78">
        <f>0.2968-F161</f>
        <v>0.24745</v>
      </c>
      <c r="I161" s="78">
        <f>0.2827-F161</f>
        <v>0.23335</v>
      </c>
      <c r="J161" s="78">
        <f>0.1943-G161</f>
        <v>0.14565</v>
      </c>
      <c r="K161" s="78">
        <f>0.1856-G161</f>
        <v>0.13694999999999999</v>
      </c>
      <c r="L161" s="269">
        <f t="shared" si="29"/>
        <v>2.5823622366288494E-2</v>
      </c>
      <c r="M161" s="269">
        <f t="shared" si="42"/>
        <v>2.4391450567260945E-2</v>
      </c>
      <c r="N161" s="78">
        <f t="shared" si="31"/>
        <v>2.5107536466774719E-2</v>
      </c>
      <c r="O161" s="78">
        <f>'Growth curves CeBER'!F78</f>
        <v>3.7360000000000002</v>
      </c>
      <c r="P161" s="78">
        <f t="shared" si="32"/>
        <v>4.6079824</v>
      </c>
      <c r="Q161" s="79">
        <f t="shared" si="46"/>
        <v>2.3039912000000001E-4</v>
      </c>
      <c r="R161" s="80">
        <f t="shared" si="33"/>
        <v>54.487049401001876</v>
      </c>
      <c r="S161" s="81"/>
      <c r="V161" s="82">
        <f t="shared" si="34"/>
        <v>251.07536466774718</v>
      </c>
      <c r="W161" s="94"/>
      <c r="X161" s="82"/>
      <c r="Y161" s="82"/>
      <c r="Z161" s="82">
        <f t="shared" si="39"/>
        <v>0.57092119382198125</v>
      </c>
      <c r="AA161" s="94"/>
      <c r="AB161" s="102"/>
    </row>
    <row r="162" spans="1:28" ht="15" customHeight="1" x14ac:dyDescent="0.2">
      <c r="B162" s="226"/>
      <c r="C162" s="228"/>
      <c r="D162" s="230"/>
      <c r="E162" s="105" t="s">
        <v>106</v>
      </c>
      <c r="F162" s="232"/>
      <c r="G162" s="234"/>
      <c r="H162" s="78">
        <f>0.2281-F161</f>
        <v>0.17874999999999999</v>
      </c>
      <c r="I162" s="78">
        <f>0.2387-F161</f>
        <v>0.18934999999999999</v>
      </c>
      <c r="J162" s="78">
        <f>0.1528-G161</f>
        <v>0.10414999999999999</v>
      </c>
      <c r="K162" s="78">
        <f>0.1595-G161</f>
        <v>0.11085</v>
      </c>
      <c r="L162" s="269">
        <f t="shared" si="29"/>
        <v>1.8758387358184764E-2</v>
      </c>
      <c r="M162" s="269">
        <f t="shared" si="42"/>
        <v>1.9819408427876821E-2</v>
      </c>
      <c r="N162" s="78">
        <f t="shared" si="31"/>
        <v>1.9288897893030794E-2</v>
      </c>
      <c r="O162" s="78">
        <f>'Growth curves CeBER'!G78</f>
        <v>3.68</v>
      </c>
      <c r="P162" s="78">
        <f t="shared" si="32"/>
        <v>4.5389120000000007</v>
      </c>
      <c r="Q162" s="79">
        <f t="shared" si="46"/>
        <v>2.2694560000000006E-4</v>
      </c>
      <c r="R162" s="80">
        <f t="shared" si="33"/>
        <v>42.49674347735931</v>
      </c>
      <c r="S162" s="81"/>
      <c r="V162" s="82">
        <f t="shared" si="34"/>
        <v>192.88897893030793</v>
      </c>
      <c r="W162" s="94"/>
      <c r="X162" s="82"/>
      <c r="Y162" s="82"/>
      <c r="Z162" s="82">
        <f>(V162-$V$114)/(D161-$D$113)</f>
        <v>0.43398998033207453</v>
      </c>
      <c r="AA162" s="94"/>
      <c r="AB162" s="102"/>
    </row>
    <row r="163" spans="1:28" ht="16" customHeight="1" thickBot="1" x14ac:dyDescent="0.25">
      <c r="A163" s="112"/>
      <c r="B163" s="252"/>
      <c r="C163" s="251"/>
      <c r="D163" s="250"/>
      <c r="E163" s="142" t="s">
        <v>107</v>
      </c>
      <c r="F163" s="254"/>
      <c r="G163" s="253"/>
      <c r="H163" s="106">
        <f>0.1624-F161</f>
        <v>0.11304999999999998</v>
      </c>
      <c r="I163" s="106">
        <f>0.1894-F161</f>
        <v>0.14005000000000001</v>
      </c>
      <c r="J163" s="106">
        <f>0.1094-G161</f>
        <v>6.0749999999999998E-2</v>
      </c>
      <c r="K163" s="106">
        <f>0.1357-G161</f>
        <v>8.7049999999999988E-2</v>
      </c>
      <c r="L163" s="106">
        <f t="shared" si="29"/>
        <v>1.2365680713128036E-2</v>
      </c>
      <c r="M163" s="106">
        <f>(I163-(0.605*K163))/6.17</f>
        <v>1.4162844408427879E-2</v>
      </c>
      <c r="N163" s="106">
        <f t="shared" si="31"/>
        <v>1.3264262560777958E-2</v>
      </c>
      <c r="O163" s="106">
        <f>'Growth curves CeBER'!H78</f>
        <v>3.24</v>
      </c>
      <c r="P163" s="106">
        <f t="shared" si="32"/>
        <v>3.9962160000000004</v>
      </c>
      <c r="Q163" s="107">
        <f t="shared" si="46"/>
        <v>1.9981080000000003E-4</v>
      </c>
      <c r="R163" s="108">
        <f t="shared" si="33"/>
        <v>33.192056087003195</v>
      </c>
      <c r="S163" s="109">
        <f>AVERAGE(R161:R163)</f>
        <v>43.391949655121458</v>
      </c>
      <c r="T163" s="110">
        <f>STDEV(R161:R163)</f>
        <v>10.675684082827653</v>
      </c>
      <c r="U163" s="110">
        <f>T163/SQRT(3)</f>
        <v>6.1636090790039484</v>
      </c>
      <c r="V163" s="110">
        <f t="shared" si="34"/>
        <v>132.64262560777956</v>
      </c>
      <c r="W163" s="109">
        <f t="shared" si="36"/>
        <v>192.20232306861158</v>
      </c>
      <c r="X163" s="110">
        <f t="shared" si="37"/>
        <v>59.21935530310914</v>
      </c>
      <c r="Y163" s="110">
        <f t="shared" si="38"/>
        <v>34.190310725486157</v>
      </c>
      <c r="Z163" s="110">
        <f>(V163-$V$115)/(D161-$D$113)</f>
        <v>0.29535898044708875</v>
      </c>
      <c r="AA163" s="109">
        <f t="shared" si="40"/>
        <v>0.43342338486704818</v>
      </c>
      <c r="AB163" s="111">
        <f t="shared" si="41"/>
        <v>7.9548463494135038E-2</v>
      </c>
    </row>
  </sheetData>
  <mergeCells count="275">
    <mergeCell ref="G146:G148"/>
    <mergeCell ref="F146:F148"/>
    <mergeCell ref="D146:D148"/>
    <mergeCell ref="C146:C148"/>
    <mergeCell ref="B146:B148"/>
    <mergeCell ref="B149:B151"/>
    <mergeCell ref="C149:C151"/>
    <mergeCell ref="D149:D151"/>
    <mergeCell ref="F149:F151"/>
    <mergeCell ref="G149:G151"/>
    <mergeCell ref="G152:G154"/>
    <mergeCell ref="F152:F154"/>
    <mergeCell ref="D152:D154"/>
    <mergeCell ref="C152:C154"/>
    <mergeCell ref="B152:B154"/>
    <mergeCell ref="B155:B157"/>
    <mergeCell ref="C155:C157"/>
    <mergeCell ref="D155:D157"/>
    <mergeCell ref="F155:F157"/>
    <mergeCell ref="G155:G157"/>
    <mergeCell ref="G158:G160"/>
    <mergeCell ref="F158:F160"/>
    <mergeCell ref="D158:D160"/>
    <mergeCell ref="C158:C160"/>
    <mergeCell ref="B158:B160"/>
    <mergeCell ref="B161:B163"/>
    <mergeCell ref="C161:C163"/>
    <mergeCell ref="D161:D163"/>
    <mergeCell ref="F161:F163"/>
    <mergeCell ref="G161:G163"/>
    <mergeCell ref="G113:G115"/>
    <mergeCell ref="F113:F115"/>
    <mergeCell ref="D113:D115"/>
    <mergeCell ref="C113:C115"/>
    <mergeCell ref="B113:B115"/>
    <mergeCell ref="B116:B118"/>
    <mergeCell ref="C116:C118"/>
    <mergeCell ref="D116:D118"/>
    <mergeCell ref="F116:F118"/>
    <mergeCell ref="G116:G118"/>
    <mergeCell ref="G119:G121"/>
    <mergeCell ref="F119:F121"/>
    <mergeCell ref="D119:D121"/>
    <mergeCell ref="C119:C121"/>
    <mergeCell ref="B119:B121"/>
    <mergeCell ref="B122:B124"/>
    <mergeCell ref="C122:C124"/>
    <mergeCell ref="D122:D124"/>
    <mergeCell ref="F122:F124"/>
    <mergeCell ref="G122:G124"/>
    <mergeCell ref="G125:G127"/>
    <mergeCell ref="F125:F127"/>
    <mergeCell ref="D125:D127"/>
    <mergeCell ref="C125:C127"/>
    <mergeCell ref="B125:B127"/>
    <mergeCell ref="B128:B130"/>
    <mergeCell ref="C128:C130"/>
    <mergeCell ref="D128:D130"/>
    <mergeCell ref="F128:F130"/>
    <mergeCell ref="G128:G130"/>
    <mergeCell ref="G131:G133"/>
    <mergeCell ref="F131:F133"/>
    <mergeCell ref="D131:D133"/>
    <mergeCell ref="C131:C133"/>
    <mergeCell ref="B131:B133"/>
    <mergeCell ref="B134:B136"/>
    <mergeCell ref="C134:C136"/>
    <mergeCell ref="D134:D136"/>
    <mergeCell ref="F134:F136"/>
    <mergeCell ref="G134:G136"/>
    <mergeCell ref="B83:B85"/>
    <mergeCell ref="G143:G145"/>
    <mergeCell ref="F143:F145"/>
    <mergeCell ref="D143:D145"/>
    <mergeCell ref="C143:C145"/>
    <mergeCell ref="B143:B145"/>
    <mergeCell ref="B140:B142"/>
    <mergeCell ref="C140:C142"/>
    <mergeCell ref="D140:D142"/>
    <mergeCell ref="F140:F142"/>
    <mergeCell ref="G140:G142"/>
    <mergeCell ref="G137:G139"/>
    <mergeCell ref="F137:F139"/>
    <mergeCell ref="D137:D139"/>
    <mergeCell ref="C137:C139"/>
    <mergeCell ref="B137:B139"/>
    <mergeCell ref="G86:G88"/>
    <mergeCell ref="G83:G85"/>
    <mergeCell ref="F83:F85"/>
    <mergeCell ref="D83:D85"/>
    <mergeCell ref="C83:C85"/>
    <mergeCell ref="B89:B91"/>
    <mergeCell ref="B86:B88"/>
    <mergeCell ref="C86:C88"/>
    <mergeCell ref="D86:D88"/>
    <mergeCell ref="F86:F88"/>
    <mergeCell ref="G92:G94"/>
    <mergeCell ref="G89:G91"/>
    <mergeCell ref="F89:F91"/>
    <mergeCell ref="D89:D91"/>
    <mergeCell ref="C89:C91"/>
    <mergeCell ref="B95:B97"/>
    <mergeCell ref="B92:B94"/>
    <mergeCell ref="C92:C94"/>
    <mergeCell ref="D92:D94"/>
    <mergeCell ref="F92:F94"/>
    <mergeCell ref="G98:G100"/>
    <mergeCell ref="G95:G97"/>
    <mergeCell ref="F95:F97"/>
    <mergeCell ref="D95:D97"/>
    <mergeCell ref="C95:C97"/>
    <mergeCell ref="B101:B103"/>
    <mergeCell ref="B98:B100"/>
    <mergeCell ref="C98:C100"/>
    <mergeCell ref="D98:D100"/>
    <mergeCell ref="F98:F100"/>
    <mergeCell ref="B59:B61"/>
    <mergeCell ref="B71:B73"/>
    <mergeCell ref="G107:G109"/>
    <mergeCell ref="F107:F109"/>
    <mergeCell ref="D107:D109"/>
    <mergeCell ref="C107:C109"/>
    <mergeCell ref="B107:B109"/>
    <mergeCell ref="B104:B106"/>
    <mergeCell ref="C104:C106"/>
    <mergeCell ref="D104:D106"/>
    <mergeCell ref="F104:F106"/>
    <mergeCell ref="G104:G106"/>
    <mergeCell ref="G101:G103"/>
    <mergeCell ref="F101:F103"/>
    <mergeCell ref="D101:D103"/>
    <mergeCell ref="C101:C103"/>
    <mergeCell ref="G62:G64"/>
    <mergeCell ref="G59:G61"/>
    <mergeCell ref="F59:F61"/>
    <mergeCell ref="D59:D61"/>
    <mergeCell ref="C59:C61"/>
    <mergeCell ref="B65:B67"/>
    <mergeCell ref="B62:B64"/>
    <mergeCell ref="C62:C64"/>
    <mergeCell ref="D62:D64"/>
    <mergeCell ref="F62:F64"/>
    <mergeCell ref="G68:G70"/>
    <mergeCell ref="G65:G67"/>
    <mergeCell ref="F65:F67"/>
    <mergeCell ref="D65:D67"/>
    <mergeCell ref="C65:C67"/>
    <mergeCell ref="B68:B70"/>
    <mergeCell ref="C68:C70"/>
    <mergeCell ref="D68:D70"/>
    <mergeCell ref="F68:F70"/>
    <mergeCell ref="G74:G76"/>
    <mergeCell ref="G71:G73"/>
    <mergeCell ref="F71:F73"/>
    <mergeCell ref="D71:D73"/>
    <mergeCell ref="C71:C73"/>
    <mergeCell ref="B77:B79"/>
    <mergeCell ref="B74:B76"/>
    <mergeCell ref="C74:C76"/>
    <mergeCell ref="D74:D76"/>
    <mergeCell ref="F74:F76"/>
    <mergeCell ref="D53:D55"/>
    <mergeCell ref="C53:C55"/>
    <mergeCell ref="B53:B55"/>
    <mergeCell ref="B50:B52"/>
    <mergeCell ref="B47:B49"/>
    <mergeCell ref="G44:G46"/>
    <mergeCell ref="G47:G49"/>
    <mergeCell ref="G50:G52"/>
    <mergeCell ref="G53:G55"/>
    <mergeCell ref="F53:F55"/>
    <mergeCell ref="B44:B46"/>
    <mergeCell ref="B41:B43"/>
    <mergeCell ref="C41:C43"/>
    <mergeCell ref="D41:D43"/>
    <mergeCell ref="F41:F43"/>
    <mergeCell ref="B38:B40"/>
    <mergeCell ref="F23:F25"/>
    <mergeCell ref="F35:F37"/>
    <mergeCell ref="G41:G43"/>
    <mergeCell ref="G38:G40"/>
    <mergeCell ref="F38:F40"/>
    <mergeCell ref="D38:D40"/>
    <mergeCell ref="C38:C40"/>
    <mergeCell ref="D47:D49"/>
    <mergeCell ref="F47:F49"/>
    <mergeCell ref="F50:F52"/>
    <mergeCell ref="D50:D52"/>
    <mergeCell ref="C50:C52"/>
    <mergeCell ref="C47:C49"/>
    <mergeCell ref="C44:C46"/>
    <mergeCell ref="D44:D46"/>
    <mergeCell ref="F44:F46"/>
    <mergeCell ref="G20:G22"/>
    <mergeCell ref="F20:F22"/>
    <mergeCell ref="D20:D22"/>
    <mergeCell ref="F29:F31"/>
    <mergeCell ref="G29:G31"/>
    <mergeCell ref="G26:G28"/>
    <mergeCell ref="F26:F28"/>
    <mergeCell ref="D26:D28"/>
    <mergeCell ref="B20:B22"/>
    <mergeCell ref="G35:G37"/>
    <mergeCell ref="G32:G34"/>
    <mergeCell ref="F32:F34"/>
    <mergeCell ref="D32:D34"/>
    <mergeCell ref="C8:C10"/>
    <mergeCell ref="B8:B10"/>
    <mergeCell ref="B35:B37"/>
    <mergeCell ref="C35:C37"/>
    <mergeCell ref="D35:D37"/>
    <mergeCell ref="C32:C34"/>
    <mergeCell ref="B32:B34"/>
    <mergeCell ref="B29:B31"/>
    <mergeCell ref="C29:C31"/>
    <mergeCell ref="D29:D31"/>
    <mergeCell ref="C26:C28"/>
    <mergeCell ref="B26:B28"/>
    <mergeCell ref="B23:B25"/>
    <mergeCell ref="C23:C25"/>
    <mergeCell ref="D23:D25"/>
    <mergeCell ref="C20:C22"/>
    <mergeCell ref="F8:F10"/>
    <mergeCell ref="G8:G10"/>
    <mergeCell ref="G17:G19"/>
    <mergeCell ref="G23:G25"/>
    <mergeCell ref="C17:C19"/>
    <mergeCell ref="D17:D19"/>
    <mergeCell ref="F17:F19"/>
    <mergeCell ref="G5:G7"/>
    <mergeCell ref="F5:F7"/>
    <mergeCell ref="D8:D10"/>
    <mergeCell ref="B14:B16"/>
    <mergeCell ref="B11:B13"/>
    <mergeCell ref="C11:C13"/>
    <mergeCell ref="D11:D13"/>
    <mergeCell ref="G11:G13"/>
    <mergeCell ref="F11:F13"/>
    <mergeCell ref="G14:G16"/>
    <mergeCell ref="F14:F16"/>
    <mergeCell ref="D14:D16"/>
    <mergeCell ref="C14:C16"/>
    <mergeCell ref="A1:AB1"/>
    <mergeCell ref="B2:AB2"/>
    <mergeCell ref="H3:I3"/>
    <mergeCell ref="J3:K3"/>
    <mergeCell ref="L3:M3"/>
    <mergeCell ref="L4:M4"/>
    <mergeCell ref="D5:D7"/>
    <mergeCell ref="C5:C7"/>
    <mergeCell ref="B5:B7"/>
    <mergeCell ref="H111:I111"/>
    <mergeCell ref="J111:K111"/>
    <mergeCell ref="L111:M111"/>
    <mergeCell ref="J112:K112"/>
    <mergeCell ref="L112:M112"/>
    <mergeCell ref="AD3:AH3"/>
    <mergeCell ref="AD56:AH56"/>
    <mergeCell ref="AD110:AH110"/>
    <mergeCell ref="B110:AB110"/>
    <mergeCell ref="H57:I57"/>
    <mergeCell ref="J57:K57"/>
    <mergeCell ref="L57:M57"/>
    <mergeCell ref="L58:M58"/>
    <mergeCell ref="B80:B82"/>
    <mergeCell ref="C80:C82"/>
    <mergeCell ref="D80:D82"/>
    <mergeCell ref="F80:F82"/>
    <mergeCell ref="G80:G82"/>
    <mergeCell ref="G77:G79"/>
    <mergeCell ref="F77:F79"/>
    <mergeCell ref="D77:D79"/>
    <mergeCell ref="C77:C79"/>
    <mergeCell ref="B56:AB56"/>
    <mergeCell ref="B17:B19"/>
  </mergeCell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B793D5-1C1D-EF48-B93B-B28F73FE61D4}">
  <dimension ref="A1:AH163"/>
  <sheetViews>
    <sheetView zoomScaleNormal="100" workbookViewId="0">
      <selection sqref="A1:AB1"/>
    </sheetView>
  </sheetViews>
  <sheetFormatPr baseColWidth="10" defaultColWidth="9.1640625" defaultRowHeight="13" x14ac:dyDescent="0.2"/>
  <cols>
    <col min="1" max="1" width="85.6640625" style="57" customWidth="1"/>
    <col min="2" max="2" width="9.83203125" style="57" customWidth="1"/>
    <col min="3" max="3" width="9.5" style="57" customWidth="1"/>
    <col min="4" max="4" width="11.5" style="57" bestFit="1" customWidth="1"/>
    <col min="5" max="7" width="11.5" style="57" customWidth="1"/>
    <col min="8" max="8" width="9.83203125" style="57" customWidth="1"/>
    <col min="9" max="11" width="9.6640625" style="57" customWidth="1"/>
    <col min="12" max="15" width="9.1640625" style="57"/>
    <col min="16" max="16" width="12.1640625" style="57" customWidth="1"/>
    <col min="17" max="17" width="11.83203125" style="57" customWidth="1"/>
    <col min="18" max="18" width="11.6640625" style="57" bestFit="1" customWidth="1"/>
    <col min="19" max="19" width="9.1640625" style="57"/>
    <col min="20" max="21" width="9.5" style="57" bestFit="1" customWidth="1"/>
    <col min="22" max="25" width="9.5" style="57" customWidth="1"/>
    <col min="26" max="26" width="9.6640625" style="57" customWidth="1"/>
    <col min="27" max="27" width="9.5" style="57" customWidth="1"/>
    <col min="28" max="30" width="9.1640625" style="57"/>
    <col min="31" max="31" width="11.83203125" style="57" customWidth="1"/>
    <col min="32" max="16384" width="9.1640625" style="57"/>
  </cols>
  <sheetData>
    <row r="1" spans="1:34" ht="17" thickBot="1" x14ac:dyDescent="0.25">
      <c r="A1" s="236" t="s">
        <v>97</v>
      </c>
      <c r="B1" s="237"/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7"/>
      <c r="O1" s="237"/>
      <c r="P1" s="237"/>
      <c r="Q1" s="237"/>
      <c r="R1" s="237"/>
      <c r="S1" s="237"/>
      <c r="T1" s="237"/>
      <c r="U1" s="237"/>
      <c r="V1" s="237"/>
      <c r="W1" s="237"/>
      <c r="X1" s="237"/>
      <c r="Y1" s="237"/>
      <c r="Z1" s="237"/>
      <c r="AA1" s="237"/>
      <c r="AB1" s="238"/>
    </row>
    <row r="2" spans="1:34" ht="15" thickBot="1" x14ac:dyDescent="0.25">
      <c r="A2" s="58"/>
      <c r="B2" s="239" t="s">
        <v>69</v>
      </c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  <c r="Q2" s="240"/>
      <c r="R2" s="240"/>
      <c r="S2" s="240"/>
      <c r="T2" s="240"/>
      <c r="U2" s="240"/>
      <c r="V2" s="240"/>
      <c r="W2" s="240"/>
      <c r="X2" s="240"/>
      <c r="Y2" s="240"/>
      <c r="Z2" s="240"/>
      <c r="AA2" s="240"/>
      <c r="AB2" s="241"/>
    </row>
    <row r="3" spans="1:34" ht="47" customHeight="1" x14ac:dyDescent="0.2">
      <c r="A3" s="59"/>
      <c r="B3" s="60" t="s">
        <v>0</v>
      </c>
      <c r="C3" s="61" t="s">
        <v>1</v>
      </c>
      <c r="D3" s="62" t="s">
        <v>2</v>
      </c>
      <c r="E3" s="139"/>
      <c r="F3" s="61" t="s">
        <v>8</v>
      </c>
      <c r="G3" s="61" t="s">
        <v>9</v>
      </c>
      <c r="H3" s="213" t="s">
        <v>108</v>
      </c>
      <c r="I3" s="214"/>
      <c r="J3" s="215" t="s">
        <v>111</v>
      </c>
      <c r="K3" s="216"/>
      <c r="L3" s="217" t="s">
        <v>84</v>
      </c>
      <c r="M3" s="218"/>
      <c r="N3" s="63" t="s">
        <v>85</v>
      </c>
      <c r="O3" s="64" t="s">
        <v>86</v>
      </c>
      <c r="P3" s="63" t="s">
        <v>10</v>
      </c>
      <c r="Q3" s="63" t="s">
        <v>11</v>
      </c>
      <c r="R3" s="63" t="s">
        <v>87</v>
      </c>
      <c r="S3" s="63" t="s">
        <v>88</v>
      </c>
      <c r="T3" s="63" t="s">
        <v>89</v>
      </c>
      <c r="U3" s="65" t="s">
        <v>71</v>
      </c>
      <c r="V3" s="64" t="s">
        <v>90</v>
      </c>
      <c r="W3" s="63" t="s">
        <v>91</v>
      </c>
      <c r="X3" s="63" t="s">
        <v>89</v>
      </c>
      <c r="Y3" s="66" t="s">
        <v>71</v>
      </c>
      <c r="Z3" s="66" t="s">
        <v>92</v>
      </c>
      <c r="AA3" s="63" t="s">
        <v>93</v>
      </c>
      <c r="AB3" s="67" t="s">
        <v>71</v>
      </c>
      <c r="AD3" s="222" t="s">
        <v>113</v>
      </c>
      <c r="AE3" s="222"/>
      <c r="AF3" s="222"/>
      <c r="AG3" s="222"/>
      <c r="AH3" s="222"/>
    </row>
    <row r="4" spans="1:34" ht="37" customHeight="1" x14ac:dyDescent="0.2">
      <c r="A4" s="59"/>
      <c r="B4" s="68"/>
      <c r="C4" s="69"/>
      <c r="D4" s="72"/>
      <c r="E4" s="140"/>
      <c r="F4" s="69" t="s">
        <v>13</v>
      </c>
      <c r="G4" s="69" t="s">
        <v>13</v>
      </c>
      <c r="H4" s="71" t="s">
        <v>109</v>
      </c>
      <c r="I4" s="69" t="s">
        <v>110</v>
      </c>
      <c r="J4" s="72" t="s">
        <v>109</v>
      </c>
      <c r="K4" s="73" t="s">
        <v>110</v>
      </c>
      <c r="L4" s="221" t="s">
        <v>14</v>
      </c>
      <c r="M4" s="220"/>
      <c r="N4" s="74" t="s">
        <v>14</v>
      </c>
      <c r="O4" s="74" t="s">
        <v>13</v>
      </c>
      <c r="P4" s="74" t="s">
        <v>15</v>
      </c>
      <c r="Q4" s="74" t="s">
        <v>16</v>
      </c>
      <c r="R4" s="75" t="s">
        <v>94</v>
      </c>
      <c r="S4" s="75" t="s">
        <v>94</v>
      </c>
      <c r="T4" s="74"/>
      <c r="U4" s="72"/>
      <c r="V4" s="75" t="s">
        <v>95</v>
      </c>
      <c r="W4" s="75" t="s">
        <v>95</v>
      </c>
      <c r="X4" s="74"/>
      <c r="Y4" s="74"/>
      <c r="Z4" s="75" t="s">
        <v>96</v>
      </c>
      <c r="AA4" s="75" t="s">
        <v>96</v>
      </c>
      <c r="AB4" s="70"/>
      <c r="AD4" s="57" t="s">
        <v>2</v>
      </c>
      <c r="AE4" s="76" t="str">
        <f>S3</f>
        <v>Average specific CPC conc.</v>
      </c>
      <c r="AF4" s="57" t="s">
        <v>12</v>
      </c>
      <c r="AG4" s="76" t="str">
        <f>W3</f>
        <v>Average total CPC</v>
      </c>
      <c r="AH4" s="57" t="s">
        <v>12</v>
      </c>
    </row>
    <row r="5" spans="1:34" x14ac:dyDescent="0.2">
      <c r="A5" s="59"/>
      <c r="B5" s="226" t="s">
        <v>24</v>
      </c>
      <c r="C5" s="228">
        <v>0.47916666666666669</v>
      </c>
      <c r="D5" s="242">
        <v>0</v>
      </c>
      <c r="E5" s="105" t="s">
        <v>105</v>
      </c>
      <c r="F5" s="232">
        <f>(0.0464+0.0514+0.0491)/3</f>
        <v>4.8966666666666665E-2</v>
      </c>
      <c r="G5" s="234">
        <f>(0.0457+0.0502+0.0487)/3</f>
        <v>4.82E-2</v>
      </c>
      <c r="H5" s="77">
        <f>0.1791-F5</f>
        <v>0.13013333333333335</v>
      </c>
      <c r="I5" s="78">
        <f>0.1756-F5</f>
        <v>0.12663333333333335</v>
      </c>
      <c r="J5" s="78">
        <f>0.1307-G5</f>
        <v>8.2500000000000018E-2</v>
      </c>
      <c r="K5" s="78">
        <f>0.1279-G5</f>
        <v>7.9700000000000021E-2</v>
      </c>
      <c r="L5" s="78">
        <f>(H5-(0.605*J5))/6.17</f>
        <v>1.3001755807671531E-2</v>
      </c>
      <c r="M5" s="78">
        <f>(I5-(0.605*K5))/6.17</f>
        <v>1.2709049162614804E-2</v>
      </c>
      <c r="N5" s="78">
        <f>AVERAGE(L5:M5)</f>
        <v>1.2855402485143167E-2</v>
      </c>
      <c r="O5" s="57">
        <v>0.10299999999999999</v>
      </c>
      <c r="P5" s="78">
        <f>1.2596*O5</f>
        <v>0.12973879999999999</v>
      </c>
      <c r="Q5" s="79">
        <f>P5*1/1000</f>
        <v>1.2973879999999999E-4</v>
      </c>
      <c r="R5" s="80">
        <f>(N5*0.5)/Q5</f>
        <v>49.543399835450799</v>
      </c>
      <c r="S5" s="81"/>
      <c r="V5" s="82">
        <f>R5*P5</f>
        <v>6.4277012425715832</v>
      </c>
      <c r="W5" s="81"/>
      <c r="AA5" s="81"/>
      <c r="AB5" s="83"/>
      <c r="AD5" s="84">
        <f>D5</f>
        <v>0</v>
      </c>
      <c r="AE5" s="82">
        <f>S7</f>
        <v>45.128381006355902</v>
      </c>
      <c r="AF5" s="82">
        <f>U7</f>
        <v>2.9672518282640974</v>
      </c>
      <c r="AG5" s="82">
        <f>W7</f>
        <v>5.8909440842787681</v>
      </c>
      <c r="AH5" s="82">
        <f>Y7</f>
        <v>0.37348847104887251</v>
      </c>
    </row>
    <row r="6" spans="1:34" ht="15" customHeight="1" x14ac:dyDescent="0.2">
      <c r="A6" s="59"/>
      <c r="B6" s="226"/>
      <c r="C6" s="228"/>
      <c r="D6" s="242"/>
      <c r="E6" s="105" t="s">
        <v>106</v>
      </c>
      <c r="F6" s="232"/>
      <c r="G6" s="234"/>
      <c r="H6" s="77">
        <f>0.1188-F5</f>
        <v>6.9833333333333331E-2</v>
      </c>
      <c r="I6" s="78">
        <f>0.1679-F5</f>
        <v>0.11893333333333334</v>
      </c>
      <c r="J6" s="78">
        <f>0.0744-G5</f>
        <v>2.6199999999999994E-2</v>
      </c>
      <c r="K6" s="78">
        <f>0.123-G5</f>
        <v>7.4800000000000005E-2</v>
      </c>
      <c r="L6" s="78">
        <f t="shared" ref="L6:L55" si="0">(H6-(0.605*J6))/6.17</f>
        <v>8.7491626148028089E-3</v>
      </c>
      <c r="M6" s="78">
        <f t="shared" ref="M6:M16" si="1">(I6-(0.605*K6))/6.17</f>
        <v>1.1941545110750946E-2</v>
      </c>
      <c r="N6" s="78">
        <f t="shared" ref="N6:N55" si="2">AVERAGE(L6:M6)</f>
        <v>1.0345353862776878E-2</v>
      </c>
      <c r="O6" s="78">
        <v>0.104</v>
      </c>
      <c r="P6" s="78">
        <f t="shared" ref="P6:P55" si="3">1.2596*O6</f>
        <v>0.13099839999999999</v>
      </c>
      <c r="Q6" s="79">
        <f>P6*1/1000</f>
        <v>1.3099839999999998E-4</v>
      </c>
      <c r="R6" s="80">
        <f t="shared" ref="R6:R55" si="4">(N6*0.5)/Q6</f>
        <v>39.486565724378615</v>
      </c>
      <c r="S6" s="81"/>
      <c r="V6" s="82">
        <f t="shared" ref="V6:V55" si="5">R6*P6</f>
        <v>5.1726769313884393</v>
      </c>
      <c r="W6" s="81"/>
      <c r="AA6" s="81"/>
      <c r="AB6" s="83"/>
      <c r="AD6" s="84">
        <f>D8</f>
        <v>22</v>
      </c>
      <c r="AE6" s="82">
        <f>S10</f>
        <v>24.378789678020166</v>
      </c>
      <c r="AF6" s="82">
        <f>U10</f>
        <v>1.3917357103942214</v>
      </c>
      <c r="AG6" s="82">
        <f>W10</f>
        <v>6.1460359265262019</v>
      </c>
      <c r="AH6" s="82">
        <f>Y10</f>
        <v>3.0633721676908518E-2</v>
      </c>
    </row>
    <row r="7" spans="1:34" ht="15" customHeight="1" x14ac:dyDescent="0.2">
      <c r="A7" s="59"/>
      <c r="B7" s="227"/>
      <c r="C7" s="229"/>
      <c r="D7" s="243"/>
      <c r="E7" s="141" t="s">
        <v>107</v>
      </c>
      <c r="F7" s="233"/>
      <c r="G7" s="235"/>
      <c r="H7" s="85">
        <f>0.1677-F5</f>
        <v>0.11873333333333333</v>
      </c>
      <c r="I7" s="86">
        <f>0.1743-F5</f>
        <v>0.12533333333333335</v>
      </c>
      <c r="J7" s="86">
        <f>0.1242-G5</f>
        <v>7.6000000000000012E-2</v>
      </c>
      <c r="K7" s="86">
        <f>0.1279-G5</f>
        <v>7.9700000000000021E-2</v>
      </c>
      <c r="L7" s="78">
        <f t="shared" si="0"/>
        <v>1.1791464073473796E-2</v>
      </c>
      <c r="M7" s="78">
        <f t="shared" si="1"/>
        <v>1.2498352242031335E-2</v>
      </c>
      <c r="N7" s="86">
        <f t="shared" si="2"/>
        <v>1.2144908157752566E-2</v>
      </c>
      <c r="O7" s="91">
        <v>0.104</v>
      </c>
      <c r="P7" s="86">
        <f t="shared" si="3"/>
        <v>0.13099839999999999</v>
      </c>
      <c r="Q7" s="87">
        <f>P7*1/1000</f>
        <v>1.3099839999999998E-4</v>
      </c>
      <c r="R7" s="88">
        <f t="shared" si="4"/>
        <v>46.355177459238305</v>
      </c>
      <c r="S7" s="89">
        <f>AVERAGE(R5:R7)</f>
        <v>45.128381006355902</v>
      </c>
      <c r="T7" s="90">
        <f>STDEV(R5:R7)</f>
        <v>5.1394309254050574</v>
      </c>
      <c r="U7" s="90">
        <f>T7/SQRT(3)</f>
        <v>2.9672518282640974</v>
      </c>
      <c r="V7" s="90">
        <f t="shared" si="5"/>
        <v>6.0724540788762829</v>
      </c>
      <c r="W7" s="89">
        <f>AVERAGE(V5:V7)</f>
        <v>5.8909440842787681</v>
      </c>
      <c r="X7" s="90">
        <f>STDEV(V5:V7)</f>
        <v>0.64690100789786487</v>
      </c>
      <c r="Y7" s="90">
        <f>X7/SQRT(3)</f>
        <v>0.37348847104887251</v>
      </c>
      <c r="Z7" s="91"/>
      <c r="AA7" s="92"/>
      <c r="AB7" s="93"/>
      <c r="AD7" s="84">
        <f>D11</f>
        <v>46.5</v>
      </c>
      <c r="AE7" s="82">
        <f>S13</f>
        <v>18.780341890946694</v>
      </c>
      <c r="AF7" s="82">
        <f>U13</f>
        <v>1.2742225271580736</v>
      </c>
      <c r="AG7" s="82">
        <f>W13</f>
        <v>8.735615883306318</v>
      </c>
      <c r="AH7" s="82">
        <f>Y13</f>
        <v>0.87600098055006981</v>
      </c>
    </row>
    <row r="8" spans="1:34" x14ac:dyDescent="0.2">
      <c r="A8" s="59"/>
      <c r="B8" s="226" t="s">
        <v>25</v>
      </c>
      <c r="C8" s="228">
        <v>0.39583333333333331</v>
      </c>
      <c r="D8" s="242">
        <f>11+45/60+10+15/60</f>
        <v>22</v>
      </c>
      <c r="E8" s="105" t="s">
        <v>105</v>
      </c>
      <c r="F8" s="232">
        <f>(0.0471+0.0468+0.0517)/3</f>
        <v>4.8533333333333338E-2</v>
      </c>
      <c r="G8" s="234">
        <f>(0.0467+0.0458+0.0508)/3</f>
        <v>4.7766666666666659E-2</v>
      </c>
      <c r="H8" s="77">
        <f>0.1716-F8</f>
        <v>0.12306666666666666</v>
      </c>
      <c r="I8" s="78">
        <f>0.1655-F8</f>
        <v>0.11696666666666666</v>
      </c>
      <c r="J8" s="78">
        <f>0.1224-G8</f>
        <v>7.4633333333333329E-2</v>
      </c>
      <c r="K8" s="78">
        <f>0.117-G8</f>
        <v>6.9233333333333341E-2</v>
      </c>
      <c r="L8" s="78">
        <f t="shared" si="0"/>
        <v>1.2627795786061588E-2</v>
      </c>
      <c r="M8" s="78">
        <f t="shared" si="1"/>
        <v>1.2168638573743921E-2</v>
      </c>
      <c r="N8" s="78">
        <f t="shared" si="2"/>
        <v>1.2398217179902755E-2</v>
      </c>
      <c r="O8" s="78">
        <v>0.183</v>
      </c>
      <c r="P8" s="78">
        <f t="shared" si="3"/>
        <v>0.23050680000000001</v>
      </c>
      <c r="Q8" s="79">
        <f>P8*1/1000</f>
        <v>2.3050680000000001E-4</v>
      </c>
      <c r="R8" s="80">
        <f t="shared" si="4"/>
        <v>26.893387049542042</v>
      </c>
      <c r="S8" s="94"/>
      <c r="T8" s="82"/>
      <c r="U8" s="82"/>
      <c r="V8" s="82">
        <f t="shared" si="5"/>
        <v>6.1991085899513783</v>
      </c>
      <c r="W8" s="94"/>
      <c r="X8" s="82"/>
      <c r="Y8" s="82"/>
      <c r="Z8" s="82">
        <f>(V8-$V$5)/(D8-$D$5)</f>
        <v>-1.0390575119100222E-2</v>
      </c>
      <c r="AA8" s="94"/>
      <c r="AB8" s="83"/>
      <c r="AD8" s="84">
        <f>D14</f>
        <v>70.7</v>
      </c>
      <c r="AE8" s="82">
        <f>S16</f>
        <v>26.235742891797841</v>
      </c>
      <c r="AF8" s="82">
        <f>U16</f>
        <v>1.7658152958525517</v>
      </c>
      <c r="AG8" s="82">
        <f>W16</f>
        <v>18.461736945795067</v>
      </c>
      <c r="AH8" s="82">
        <f>Y16</f>
        <v>1.3930440213332871</v>
      </c>
    </row>
    <row r="9" spans="1:34" x14ac:dyDescent="0.2">
      <c r="A9" s="59"/>
      <c r="B9" s="226"/>
      <c r="C9" s="228"/>
      <c r="D9" s="242"/>
      <c r="E9" s="105" t="s">
        <v>106</v>
      </c>
      <c r="F9" s="232"/>
      <c r="G9" s="234"/>
      <c r="H9" s="77">
        <f>0.1592-F8</f>
        <v>0.11066666666666666</v>
      </c>
      <c r="I9" s="78">
        <f>0.1706-F8</f>
        <v>0.12206666666666666</v>
      </c>
      <c r="J9" s="78">
        <f>0.1083-G8</f>
        <v>6.0533333333333335E-2</v>
      </c>
      <c r="K9" s="78">
        <f>0.1212-G8</f>
        <v>7.343333333333335E-2</v>
      </c>
      <c r="L9" s="78">
        <f t="shared" si="0"/>
        <v>1.2000648298217179E-2</v>
      </c>
      <c r="M9" s="78">
        <f t="shared" si="1"/>
        <v>1.2583387358184761E-2</v>
      </c>
      <c r="N9" s="78">
        <f t="shared" si="2"/>
        <v>1.229201782820097E-2</v>
      </c>
      <c r="O9" s="78">
        <v>0.20200000000000001</v>
      </c>
      <c r="P9" s="78">
        <f t="shared" si="3"/>
        <v>0.25443920000000003</v>
      </c>
      <c r="Q9" s="79">
        <f>P9*1/1000</f>
        <v>2.5443920000000004E-4</v>
      </c>
      <c r="R9" s="80">
        <f t="shared" si="4"/>
        <v>24.155118056103323</v>
      </c>
      <c r="S9" s="81"/>
      <c r="T9" s="82"/>
      <c r="U9" s="82"/>
      <c r="V9" s="82">
        <f t="shared" si="5"/>
        <v>6.1460089141004852</v>
      </c>
      <c r="W9" s="94"/>
      <c r="X9" s="82"/>
      <c r="Y9" s="82"/>
      <c r="Z9" s="82">
        <f>(V9-$V$6)/(D8-$D$5)</f>
        <v>4.4242362850547542E-2</v>
      </c>
      <c r="AA9" s="94"/>
      <c r="AB9" s="83"/>
      <c r="AD9" s="84">
        <f>D17</f>
        <v>97.366666666666674</v>
      </c>
      <c r="AE9" s="82">
        <f>S19</f>
        <v>43.965072801707471</v>
      </c>
      <c r="AF9" s="82">
        <f>U19</f>
        <v>2.5893587952751229</v>
      </c>
      <c r="AG9" s="82">
        <f>W19</f>
        <v>42.190560588870873</v>
      </c>
      <c r="AH9" s="82">
        <f>Y19</f>
        <v>2.9433774593639703</v>
      </c>
    </row>
    <row r="10" spans="1:34" x14ac:dyDescent="0.2">
      <c r="A10" s="59"/>
      <c r="B10" s="227"/>
      <c r="C10" s="229"/>
      <c r="D10" s="243"/>
      <c r="E10" s="141" t="s">
        <v>107</v>
      </c>
      <c r="F10" s="233"/>
      <c r="G10" s="235"/>
      <c r="H10" s="85">
        <f>0.1615-F8</f>
        <v>0.11296666666666666</v>
      </c>
      <c r="I10" s="86">
        <f>0.1656-F8</f>
        <v>0.11706666666666665</v>
      </c>
      <c r="J10" s="86">
        <f>0.1114-G8</f>
        <v>6.3633333333333347E-2</v>
      </c>
      <c r="K10" s="86">
        <f>0.1158-G8</f>
        <v>6.8033333333333335E-2</v>
      </c>
      <c r="L10" s="78">
        <f t="shared" si="0"/>
        <v>1.2069448946515396E-2</v>
      </c>
      <c r="M10" s="78">
        <f t="shared" si="1"/>
        <v>1.2302512155591571E-2</v>
      </c>
      <c r="N10" s="86">
        <f t="shared" si="2"/>
        <v>1.2185980551053483E-2</v>
      </c>
      <c r="O10" s="86">
        <v>0.219</v>
      </c>
      <c r="P10" s="86">
        <f t="shared" si="3"/>
        <v>0.2758524</v>
      </c>
      <c r="Q10" s="87">
        <f t="shared" ref="Q10:Q13" si="6">P10*1/1000</f>
        <v>2.7585240000000002E-4</v>
      </c>
      <c r="R10" s="88">
        <f t="shared" si="4"/>
        <v>22.087863928415128</v>
      </c>
      <c r="S10" s="89">
        <f>AVERAGE(R8:R10)</f>
        <v>24.378789678020166</v>
      </c>
      <c r="T10" s="90">
        <f>STDEV(R8:R10)</f>
        <v>2.410556961110756</v>
      </c>
      <c r="U10" s="90">
        <f>T10/SQRT(3)</f>
        <v>1.3917357103942214</v>
      </c>
      <c r="V10" s="90">
        <f t="shared" si="5"/>
        <v>6.0929902755267413</v>
      </c>
      <c r="W10" s="89">
        <f>AVERAGE(V8:V10)</f>
        <v>6.1460359265262019</v>
      </c>
      <c r="X10" s="90">
        <f>STDEV(V8:V10)</f>
        <v>5.3059162369329615E-2</v>
      </c>
      <c r="Y10" s="90">
        <f>X10/SQRT(3)</f>
        <v>3.0633721676908518E-2</v>
      </c>
      <c r="Z10" s="90">
        <f>(V10-$V$7)/(D8-$D$5)</f>
        <v>9.3346348411174867E-4</v>
      </c>
      <c r="AA10" s="89">
        <f>AVERAGE(Z8:Z10)</f>
        <v>1.1595083738519689E-2</v>
      </c>
      <c r="AB10" s="95">
        <f>STDEV(Z8:Z10)/SQRT(3)</f>
        <v>1.6647743467066305E-2</v>
      </c>
      <c r="AD10" s="84">
        <f>D20</f>
        <v>121.45000000000002</v>
      </c>
      <c r="AE10" s="82">
        <f>S22</f>
        <v>49.187559636951967</v>
      </c>
      <c r="AF10" s="82">
        <f>U22</f>
        <v>1.538255474241508</v>
      </c>
      <c r="AG10" s="82">
        <f>W22</f>
        <v>65.242720669908167</v>
      </c>
      <c r="AH10" s="82">
        <f>Y22</f>
        <v>4.3258038512488186</v>
      </c>
    </row>
    <row r="11" spans="1:34" x14ac:dyDescent="0.2">
      <c r="A11" s="59"/>
      <c r="B11" s="226" t="s">
        <v>26</v>
      </c>
      <c r="C11" s="228">
        <v>0.41666666666666669</v>
      </c>
      <c r="D11" s="230">
        <f>10/60+3+D8+3+58/60+5+22/60+12</f>
        <v>46.5</v>
      </c>
      <c r="E11" s="105" t="s">
        <v>105</v>
      </c>
      <c r="F11" s="232">
        <f>(0.054+0.0571+0.0466)/3</f>
        <v>5.2566666666666671E-2</v>
      </c>
      <c r="G11" s="234">
        <f>(0.0516+0.0553+0.0451)/3</f>
        <v>5.0666666666666665E-2</v>
      </c>
      <c r="H11" s="77">
        <f>0.2139-F11</f>
        <v>0.16133333333333333</v>
      </c>
      <c r="I11" s="78">
        <f>0.2236-F11</f>
        <v>0.17103333333333332</v>
      </c>
      <c r="J11" s="78">
        <f>0.1425-G11</f>
        <v>9.1833333333333322E-2</v>
      </c>
      <c r="K11" s="78">
        <f>0.1506-G11</f>
        <v>9.9933333333333346E-2</v>
      </c>
      <c r="L11" s="78">
        <f t="shared" si="0"/>
        <v>1.7143300918422474E-2</v>
      </c>
      <c r="M11" s="78">
        <f t="shared" si="1"/>
        <v>1.7921177741761204E-2</v>
      </c>
      <c r="N11" s="78">
        <f t="shared" si="2"/>
        <v>1.7532239330091841E-2</v>
      </c>
      <c r="O11" s="78">
        <v>0.376</v>
      </c>
      <c r="P11" s="78">
        <f t="shared" si="3"/>
        <v>0.47360960000000002</v>
      </c>
      <c r="Q11" s="79">
        <f t="shared" si="6"/>
        <v>4.7360960000000004E-4</v>
      </c>
      <c r="R11" s="80">
        <f t="shared" si="4"/>
        <v>18.509168025829542</v>
      </c>
      <c r="S11" s="94"/>
      <c r="T11" s="82"/>
      <c r="U11" s="82"/>
      <c r="V11" s="82">
        <f t="shared" si="5"/>
        <v>8.7661196650459186</v>
      </c>
      <c r="W11" s="94"/>
      <c r="X11" s="82"/>
      <c r="Y11" s="82"/>
      <c r="Z11" s="82">
        <f t="shared" ref="Z11:Z53" si="7">(V11-$V$5)/(D11-$D$5)</f>
        <v>5.0288568225254522E-2</v>
      </c>
      <c r="AA11" s="94"/>
      <c r="AB11" s="102"/>
      <c r="AD11" s="84">
        <f>D23</f>
        <v>141.85000000000002</v>
      </c>
      <c r="AE11" s="82">
        <f>S25</f>
        <v>50.592364371805381</v>
      </c>
      <c r="AF11" s="82">
        <f>U25</f>
        <v>1.6229554165848612</v>
      </c>
      <c r="AG11" s="82">
        <f>W25</f>
        <v>80.17779310642895</v>
      </c>
      <c r="AH11" s="82">
        <f>Y25</f>
        <v>4.3240724529462558</v>
      </c>
    </row>
    <row r="12" spans="1:34" x14ac:dyDescent="0.2">
      <c r="A12" s="59"/>
      <c r="B12" s="226"/>
      <c r="C12" s="228"/>
      <c r="D12" s="230"/>
      <c r="E12" s="105" t="s">
        <v>106</v>
      </c>
      <c r="F12" s="232"/>
      <c r="G12" s="234"/>
      <c r="H12" s="77">
        <f>0.1886-F11</f>
        <v>0.13603333333333331</v>
      </c>
      <c r="I12" s="78">
        <f>0.1946-F11</f>
        <v>0.14203333333333332</v>
      </c>
      <c r="J12" s="78">
        <f>0.1311-G11</f>
        <v>8.0433333333333329E-2</v>
      </c>
      <c r="K12" s="78">
        <f>0.136-G11</f>
        <v>8.5333333333333344E-2</v>
      </c>
      <c r="L12" s="78">
        <f t="shared" si="0"/>
        <v>1.4160642895732035E-2</v>
      </c>
      <c r="M12" s="78">
        <f t="shared" si="1"/>
        <v>1.4652620205294431E-2</v>
      </c>
      <c r="N12" s="78">
        <f t="shared" si="2"/>
        <v>1.4406631550513232E-2</v>
      </c>
      <c r="O12" s="78">
        <v>0.34200000000000003</v>
      </c>
      <c r="P12" s="78">
        <f t="shared" si="3"/>
        <v>0.43078320000000003</v>
      </c>
      <c r="Q12" s="79">
        <f t="shared" si="6"/>
        <v>4.3078320000000003E-4</v>
      </c>
      <c r="R12" s="80">
        <f t="shared" si="4"/>
        <v>16.721440797265576</v>
      </c>
      <c r="S12" s="81"/>
      <c r="T12" s="82"/>
      <c r="U12" s="82"/>
      <c r="V12" s="82">
        <f t="shared" si="5"/>
        <v>7.2033157752566161</v>
      </c>
      <c r="W12" s="94"/>
      <c r="X12" s="82"/>
      <c r="Y12" s="82"/>
      <c r="Z12" s="82">
        <f>(V12-$V$6)/(D11-$D$5)</f>
        <v>4.366965255630488E-2</v>
      </c>
      <c r="AA12" s="94"/>
      <c r="AB12" s="102"/>
      <c r="AD12" s="84">
        <f>D26</f>
        <v>166.65000000000003</v>
      </c>
      <c r="AE12" s="82">
        <f>S28</f>
        <v>43.934209657740119</v>
      </c>
      <c r="AF12" s="82">
        <f>U28</f>
        <v>2.0469807574347998</v>
      </c>
      <c r="AG12" s="82">
        <f>W28</f>
        <v>80.501134521880076</v>
      </c>
      <c r="AH12" s="82">
        <f>Y28</f>
        <v>5.469785476455165</v>
      </c>
    </row>
    <row r="13" spans="1:34" x14ac:dyDescent="0.2">
      <c r="A13" s="59"/>
      <c r="B13" s="227"/>
      <c r="C13" s="229"/>
      <c r="D13" s="231"/>
      <c r="E13" s="141" t="s">
        <v>107</v>
      </c>
      <c r="F13" s="233"/>
      <c r="G13" s="235"/>
      <c r="H13" s="85">
        <f>0.243-F11</f>
        <v>0.19043333333333332</v>
      </c>
      <c r="I13" s="86">
        <f>0.3117-F11</f>
        <v>0.25913333333333333</v>
      </c>
      <c r="J13" s="86">
        <f>0.1803-G11</f>
        <v>0.12963333333333332</v>
      </c>
      <c r="K13" s="86">
        <f>0.2465-G11</f>
        <v>0.19583333333333333</v>
      </c>
      <c r="L13" s="78">
        <f t="shared" si="0"/>
        <v>1.8153187466234465E-2</v>
      </c>
      <c r="M13" s="78">
        <f t="shared" si="1"/>
        <v>2.2796461372231226E-2</v>
      </c>
      <c r="N13" s="86">
        <f t="shared" si="2"/>
        <v>2.0474824419232845E-2</v>
      </c>
      <c r="O13" s="86">
        <v>0.38500000000000001</v>
      </c>
      <c r="P13" s="86">
        <f t="shared" si="3"/>
        <v>0.48494600000000004</v>
      </c>
      <c r="Q13" s="87">
        <f t="shared" si="6"/>
        <v>4.8494600000000004E-4</v>
      </c>
      <c r="R13" s="88">
        <f t="shared" si="4"/>
        <v>21.110416849744965</v>
      </c>
      <c r="S13" s="89">
        <f>AVERAGE(R11:R13)</f>
        <v>18.780341890946694</v>
      </c>
      <c r="T13" s="90">
        <f>STDEV(R11:R13)</f>
        <v>2.2070181571865968</v>
      </c>
      <c r="U13" s="90">
        <f>T13/SQRT(3)</f>
        <v>1.2742225271580736</v>
      </c>
      <c r="V13" s="90">
        <f t="shared" si="5"/>
        <v>10.237412209616423</v>
      </c>
      <c r="W13" s="89">
        <f>AVERAGE(V11:V13)</f>
        <v>8.735615883306318</v>
      </c>
      <c r="X13" s="90">
        <f>STDEV(V11:V13)</f>
        <v>1.5172782057928766</v>
      </c>
      <c r="Y13" s="90">
        <f>X13/SQRT(3)</f>
        <v>0.87600098055006981</v>
      </c>
      <c r="Z13" s="90">
        <f>(V13-$V$7)/(D11-$D$5)</f>
        <v>8.9568992058927738E-2</v>
      </c>
      <c r="AA13" s="89">
        <f>AVERAGE(Z11:Z13)</f>
        <v>6.1175737613495713E-2</v>
      </c>
      <c r="AB13" s="95">
        <f>STDEV(Z11:Z13)/SQRT(3)</f>
        <v>1.4324631288570177E-2</v>
      </c>
      <c r="AD13" s="84">
        <f>D29</f>
        <v>190.53333333333336</v>
      </c>
      <c r="AE13" s="82">
        <f>S31</f>
        <v>44.635720373981229</v>
      </c>
      <c r="AF13" s="82">
        <f>U31</f>
        <v>3.4165995170205856</v>
      </c>
      <c r="AG13" s="82">
        <f>W31</f>
        <v>100.40043219881146</v>
      </c>
      <c r="AH13" s="82">
        <f>Y31</f>
        <v>8.3171144800385228</v>
      </c>
    </row>
    <row r="14" spans="1:34" x14ac:dyDescent="0.2">
      <c r="A14" s="59"/>
      <c r="B14" s="226" t="s">
        <v>27</v>
      </c>
      <c r="C14" s="228">
        <v>0.42499999999999999</v>
      </c>
      <c r="D14" s="230">
        <f>24+12/60+D11</f>
        <v>70.7</v>
      </c>
      <c r="E14" s="105" t="s">
        <v>105</v>
      </c>
      <c r="F14" s="232">
        <f>(0.0644+0.04333+0.0453)/3</f>
        <v>5.101E-2</v>
      </c>
      <c r="G14" s="234">
        <f>(0.0619+0.0427+0.0439)/3</f>
        <v>4.9499999999999995E-2</v>
      </c>
      <c r="H14" s="77">
        <f>0.2786-F14</f>
        <v>0.22759000000000001</v>
      </c>
      <c r="I14" s="78">
        <f>0.2885-F14</f>
        <v>0.23748999999999998</v>
      </c>
      <c r="J14" s="78">
        <f>0.188-G14</f>
        <v>0.13850000000000001</v>
      </c>
      <c r="K14" s="78">
        <f>0.1979-G14</f>
        <v>0.1484</v>
      </c>
      <c r="L14" s="78">
        <f t="shared" si="0"/>
        <v>2.3305915721231772E-2</v>
      </c>
      <c r="M14" s="78">
        <f t="shared" si="1"/>
        <v>2.3939708265802266E-2</v>
      </c>
      <c r="N14" s="78">
        <f t="shared" si="2"/>
        <v>2.3622811993517019E-2</v>
      </c>
      <c r="O14" s="78">
        <v>0.56599999999999995</v>
      </c>
      <c r="P14" s="78">
        <f t="shared" si="3"/>
        <v>0.71293359999999995</v>
      </c>
      <c r="Q14" s="79">
        <f>O14*0.75/1000</f>
        <v>4.2449999999999996E-4</v>
      </c>
      <c r="R14" s="80">
        <f t="shared" si="4"/>
        <v>27.824277966451145</v>
      </c>
      <c r="S14" s="94"/>
      <c r="T14" s="82"/>
      <c r="U14" s="82"/>
      <c r="V14" s="82">
        <f t="shared" si="5"/>
        <v>19.836862658022692</v>
      </c>
      <c r="W14" s="94"/>
      <c r="X14" s="82"/>
      <c r="Y14" s="82"/>
      <c r="Z14" s="82">
        <f t="shared" si="7"/>
        <v>0.18966282058629574</v>
      </c>
      <c r="AA14" s="94"/>
      <c r="AB14" s="102"/>
      <c r="AD14" s="84">
        <f>D32</f>
        <v>215.20000000000002</v>
      </c>
      <c r="AE14" s="82">
        <f>S34</f>
        <v>46.716148391202296</v>
      </c>
      <c r="AF14" s="82">
        <f>U34</f>
        <v>4.4858306199594997</v>
      </c>
      <c r="AG14" s="82">
        <f>W34</f>
        <v>124.76283090221501</v>
      </c>
      <c r="AH14" s="82">
        <f>Y34</f>
        <v>15.782213164177488</v>
      </c>
    </row>
    <row r="15" spans="1:34" x14ac:dyDescent="0.2">
      <c r="A15" s="59"/>
      <c r="B15" s="226"/>
      <c r="C15" s="228"/>
      <c r="D15" s="230"/>
      <c r="E15" s="105" t="s">
        <v>106</v>
      </c>
      <c r="F15" s="232"/>
      <c r="G15" s="234"/>
      <c r="H15" s="77">
        <f>0.3-F14</f>
        <v>0.24898999999999999</v>
      </c>
      <c r="I15" s="78">
        <f>0.2718-F14</f>
        <v>0.22078999999999999</v>
      </c>
      <c r="J15" s="78">
        <f>0.2116-G14</f>
        <v>0.16210000000000002</v>
      </c>
      <c r="K15" s="78">
        <f>0.1812-G14</f>
        <v>0.13170000000000001</v>
      </c>
      <c r="L15" s="78">
        <f t="shared" si="0"/>
        <v>2.446021069692058E-2</v>
      </c>
      <c r="M15" s="78">
        <f t="shared" si="1"/>
        <v>2.2870583468395461E-2</v>
      </c>
      <c r="N15" s="78">
        <f t="shared" si="2"/>
        <v>2.3665397082658021E-2</v>
      </c>
      <c r="O15" s="78">
        <v>0.56000000000000005</v>
      </c>
      <c r="P15" s="78">
        <f t="shared" si="3"/>
        <v>0.70537600000000011</v>
      </c>
      <c r="Q15" s="79">
        <f>O15*0.75/1000</f>
        <v>4.2000000000000002E-4</v>
      </c>
      <c r="R15" s="80">
        <f t="shared" si="4"/>
        <v>28.173091765069071</v>
      </c>
      <c r="S15" s="81"/>
      <c r="T15" s="82"/>
      <c r="U15" s="82"/>
      <c r="V15" s="82">
        <f t="shared" si="5"/>
        <v>19.872622776877364</v>
      </c>
      <c r="W15" s="94"/>
      <c r="X15" s="82"/>
      <c r="Y15" s="82"/>
      <c r="Z15" s="82">
        <f>(V15-$V$6)/(D14-$D$5)</f>
        <v>0.20792002610309651</v>
      </c>
      <c r="AA15" s="94"/>
      <c r="AB15" s="102"/>
      <c r="AD15" s="84">
        <f>D35</f>
        <v>238.93333333333334</v>
      </c>
      <c r="AE15" s="82">
        <f>S37</f>
        <v>46.311801603999136</v>
      </c>
      <c r="AF15" s="82">
        <f>U37</f>
        <v>2.0894036012114796</v>
      </c>
      <c r="AG15" s="82">
        <f>W37</f>
        <v>132.14406627048444</v>
      </c>
      <c r="AH15" s="82">
        <f>Y37</f>
        <v>8.9197286478846269</v>
      </c>
    </row>
    <row r="16" spans="1:34" x14ac:dyDescent="0.2">
      <c r="A16" s="59"/>
      <c r="B16" s="227"/>
      <c r="C16" s="229"/>
      <c r="D16" s="231"/>
      <c r="E16" s="141" t="s">
        <v>107</v>
      </c>
      <c r="F16" s="233"/>
      <c r="G16" s="235"/>
      <c r="H16" s="85">
        <f>0.2298-F14</f>
        <v>0.17879</v>
      </c>
      <c r="I16" s="86">
        <f>0.2433-F14</f>
        <v>0.19228999999999999</v>
      </c>
      <c r="J16" s="86">
        <f>0.1602-G14</f>
        <v>0.11070000000000002</v>
      </c>
      <c r="K16" s="86">
        <f>0.1714-G14</f>
        <v>0.12190000000000001</v>
      </c>
      <c r="L16" s="78">
        <f t="shared" si="0"/>
        <v>1.812260940032415E-2</v>
      </c>
      <c r="M16" s="78">
        <f t="shared" si="1"/>
        <v>1.9212398703403563E-2</v>
      </c>
      <c r="N16" s="86">
        <f t="shared" si="2"/>
        <v>1.8667504051863855E-2</v>
      </c>
      <c r="O16" s="86">
        <v>0.54800000000000004</v>
      </c>
      <c r="P16" s="86">
        <f t="shared" si="3"/>
        <v>0.69026080000000012</v>
      </c>
      <c r="Q16" s="87">
        <f>O16*0.75/1000</f>
        <v>4.1100000000000002E-4</v>
      </c>
      <c r="R16" s="88">
        <f t="shared" si="4"/>
        <v>22.709858943873304</v>
      </c>
      <c r="S16" s="89">
        <f>AVERAGE(R14:R16)</f>
        <v>26.235742891797841</v>
      </c>
      <c r="T16" s="90">
        <f>STDEV(R14:R16)</f>
        <v>3.0584818091988879</v>
      </c>
      <c r="U16" s="90">
        <f>T16/SQRT(3)</f>
        <v>1.7658152958525517</v>
      </c>
      <c r="V16" s="90">
        <f t="shared" si="5"/>
        <v>15.675725402485144</v>
      </c>
      <c r="W16" s="89">
        <f>AVERAGE(V14:V16)</f>
        <v>18.461736945795067</v>
      </c>
      <c r="X16" s="90">
        <f>STDEV(V14:V16)</f>
        <v>2.4128230221293161</v>
      </c>
      <c r="Y16" s="90">
        <f>X16/SQRT(3)</f>
        <v>1.3930440213332871</v>
      </c>
      <c r="Z16" s="90">
        <f>(V16-$V$7)/(D14-$D$5)</f>
        <v>0.13583127756165292</v>
      </c>
      <c r="AA16" s="89">
        <f>AVERAGE(Z14:Z16)</f>
        <v>0.17780470808368173</v>
      </c>
      <c r="AB16" s="95">
        <f>STDEV(Z14:Z16)/SQRT(3)</f>
        <v>2.1638376715620734E-2</v>
      </c>
      <c r="AD16" s="84">
        <f>D38</f>
        <v>264.31666666666666</v>
      </c>
      <c r="AE16" s="82">
        <f>S40</f>
        <v>47.103310889868716</v>
      </c>
      <c r="AF16" s="82">
        <f>U40</f>
        <v>7.4073451238895478</v>
      </c>
      <c r="AG16" s="82">
        <f>W40</f>
        <v>148.47163695299835</v>
      </c>
      <c r="AH16" s="82">
        <f>Y40</f>
        <v>26.198708067620075</v>
      </c>
    </row>
    <row r="17" spans="1:34" x14ac:dyDescent="0.2">
      <c r="A17" s="59"/>
      <c r="B17" s="226" t="s">
        <v>28</v>
      </c>
      <c r="C17" s="228">
        <v>0.53611111111111109</v>
      </c>
      <c r="D17" s="230">
        <f>13+40/60+D14+13</f>
        <v>97.366666666666674</v>
      </c>
      <c r="E17" s="105" t="s">
        <v>105</v>
      </c>
      <c r="F17" s="232">
        <f>(0.0497+0.0455)/2</f>
        <v>4.7600000000000003E-2</v>
      </c>
      <c r="G17" s="234">
        <f>(0.0476+0.0436)/2</f>
        <v>4.5600000000000002E-2</v>
      </c>
      <c r="H17" s="77">
        <f>0.4179-F17</f>
        <v>0.37029999999999996</v>
      </c>
      <c r="I17" s="78"/>
      <c r="J17" s="78">
        <f>0.2685-G17</f>
        <v>0.22290000000000001</v>
      </c>
      <c r="K17" s="78"/>
      <c r="L17" s="78">
        <f t="shared" si="0"/>
        <v>3.8159724473257689E-2</v>
      </c>
      <c r="M17" s="78"/>
      <c r="N17" s="78">
        <f t="shared" si="2"/>
        <v>3.8159724473257689E-2</v>
      </c>
      <c r="O17" s="57">
        <v>0.77800000000000002</v>
      </c>
      <c r="P17" s="78">
        <f t="shared" si="3"/>
        <v>0.97996880000000008</v>
      </c>
      <c r="Q17" s="79">
        <f>O17*0.5/1000</f>
        <v>3.8900000000000002E-4</v>
      </c>
      <c r="R17" s="80">
        <f t="shared" si="4"/>
        <v>49.048489040176975</v>
      </c>
      <c r="S17" s="81"/>
      <c r="V17" s="82">
        <f t="shared" si="5"/>
        <v>48.065988946515382</v>
      </c>
      <c r="W17" s="94"/>
      <c r="X17" s="82"/>
      <c r="Y17" s="82"/>
      <c r="Z17" s="82">
        <f t="shared" si="7"/>
        <v>0.42764417361119961</v>
      </c>
      <c r="AA17" s="94"/>
      <c r="AB17" s="102"/>
      <c r="AD17" s="84">
        <f>D41</f>
        <v>287.41666666666669</v>
      </c>
      <c r="AE17" s="82">
        <f>S43</f>
        <v>52.010572061056344</v>
      </c>
      <c r="AF17" s="82">
        <f>U43</f>
        <v>7.9930963840923495</v>
      </c>
      <c r="AG17" s="82">
        <f>W43</f>
        <v>187.27201512695842</v>
      </c>
      <c r="AH17" s="82">
        <f>Y43</f>
        <v>29.90611550338339</v>
      </c>
    </row>
    <row r="18" spans="1:34" ht="15" customHeight="1" x14ac:dyDescent="0.2">
      <c r="A18" s="59"/>
      <c r="B18" s="226"/>
      <c r="C18" s="228"/>
      <c r="D18" s="230"/>
      <c r="E18" s="105" t="s">
        <v>106</v>
      </c>
      <c r="F18" s="232"/>
      <c r="G18" s="234"/>
      <c r="H18" s="77">
        <f>0.3635-F17</f>
        <v>0.31589999999999996</v>
      </c>
      <c r="I18" s="78">
        <f>0.3462-F17</f>
        <v>0.29859999999999998</v>
      </c>
      <c r="J18" s="78">
        <f>0.246-G17</f>
        <v>0.20039999999999999</v>
      </c>
      <c r="K18" s="78">
        <f>0.2304-G17</f>
        <v>0.18479999999999999</v>
      </c>
      <c r="L18" s="78">
        <f t="shared" si="0"/>
        <v>3.1549108589951372E-2</v>
      </c>
      <c r="M18" s="78">
        <f t="shared" ref="M18:M55" si="8">(I18-(0.605*K18))/6.17</f>
        <v>3.0274878444084278E-2</v>
      </c>
      <c r="N18" s="78">
        <f t="shared" si="2"/>
        <v>3.0911993517017823E-2</v>
      </c>
      <c r="O18" s="57">
        <v>0.76200000000000001</v>
      </c>
      <c r="P18" s="78">
        <f t="shared" si="3"/>
        <v>0.95981520000000009</v>
      </c>
      <c r="Q18" s="79">
        <f>O18*0.5/1000</f>
        <v>3.8099999999999999E-4</v>
      </c>
      <c r="R18" s="80">
        <f t="shared" si="4"/>
        <v>40.566920626007644</v>
      </c>
      <c r="S18" s="81"/>
      <c r="V18" s="82">
        <f t="shared" si="5"/>
        <v>38.936747034035655</v>
      </c>
      <c r="W18" s="94"/>
      <c r="X18" s="82"/>
      <c r="Y18" s="82"/>
      <c r="Z18" s="82">
        <f>(V18-$V$6)/(D17-$D$5)</f>
        <v>0.34677237352941337</v>
      </c>
      <c r="AA18" s="94"/>
      <c r="AB18" s="102"/>
      <c r="AD18" s="84">
        <f>D44</f>
        <v>334.93333333333334</v>
      </c>
      <c r="AE18" s="82">
        <f>S46</f>
        <v>53.978465810065835</v>
      </c>
      <c r="AF18" s="82">
        <f>U46</f>
        <v>6.9110589242173699</v>
      </c>
      <c r="AG18" s="82">
        <f>W46</f>
        <v>203.11129119394923</v>
      </c>
      <c r="AH18" s="82">
        <f>Y46</f>
        <v>26.346829125664662</v>
      </c>
    </row>
    <row r="19" spans="1:34" ht="15" customHeight="1" x14ac:dyDescent="0.2">
      <c r="A19" s="59"/>
      <c r="B19" s="227"/>
      <c r="C19" s="229"/>
      <c r="D19" s="231"/>
      <c r="E19" s="141" t="s">
        <v>107</v>
      </c>
      <c r="F19" s="233"/>
      <c r="G19" s="235"/>
      <c r="H19" s="85">
        <f>0.3696-F17</f>
        <v>0.32199999999999995</v>
      </c>
      <c r="I19" s="86">
        <f>0.3858-F17</f>
        <v>0.33819999999999995</v>
      </c>
      <c r="J19" s="86">
        <f>0.2634-G17</f>
        <v>0.21780000000000002</v>
      </c>
      <c r="K19" s="86">
        <f>0.2783-G17</f>
        <v>0.23269999999999999</v>
      </c>
      <c r="L19" s="78">
        <f t="shared" si="0"/>
        <v>3.0831604538087514E-2</v>
      </c>
      <c r="M19" s="78">
        <f t="shared" si="8"/>
        <v>3.1996191247974065E-2</v>
      </c>
      <c r="N19" s="86">
        <f t="shared" si="2"/>
        <v>3.1413897893030791E-2</v>
      </c>
      <c r="O19" s="91">
        <v>0.74299999999999999</v>
      </c>
      <c r="P19" s="86">
        <f t="shared" si="3"/>
        <v>0.93588280000000001</v>
      </c>
      <c r="Q19" s="87">
        <f>O19*0.5/1000</f>
        <v>3.7149999999999998E-4</v>
      </c>
      <c r="R19" s="88">
        <f t="shared" si="4"/>
        <v>42.27980873893781</v>
      </c>
      <c r="S19" s="89">
        <f>AVERAGE(R17:R19)</f>
        <v>43.965072801707471</v>
      </c>
      <c r="T19" s="90">
        <f>STDEV(R17:R19)</f>
        <v>4.4849009924418519</v>
      </c>
      <c r="U19" s="90">
        <f>T19/SQRT(3)</f>
        <v>2.5893587952751229</v>
      </c>
      <c r="V19" s="90">
        <f t="shared" si="5"/>
        <v>39.56894578606159</v>
      </c>
      <c r="W19" s="89">
        <f>AVERAGE(V17:V19)</f>
        <v>42.190560588870873</v>
      </c>
      <c r="X19" s="90">
        <f>STDEV(V17:V19)</f>
        <v>5.0980793054713951</v>
      </c>
      <c r="Y19" s="90">
        <f>X19/SQRT(3)</f>
        <v>2.9433774593639703</v>
      </c>
      <c r="Z19" s="90">
        <f>(V19-$V$7)/(D17-$D$5)</f>
        <v>0.34402422157328283</v>
      </c>
      <c r="AA19" s="89">
        <f>AVERAGE(Z17:Z19)</f>
        <v>0.37281358957129856</v>
      </c>
      <c r="AB19" s="95">
        <f>STDEV(Z17:Z19)/SQRT(3)</f>
        <v>2.7426767912698106E-2</v>
      </c>
      <c r="AD19" s="84">
        <f>D47</f>
        <v>358.78333333333336</v>
      </c>
      <c r="AE19" s="82">
        <f>S49</f>
        <v>50.892122803424854</v>
      </c>
      <c r="AF19" s="82">
        <f>U49</f>
        <v>6.7316453164162038</v>
      </c>
      <c r="AG19" s="82">
        <f>W49</f>
        <v>218.33265802269045</v>
      </c>
      <c r="AH19" s="82">
        <f>Y49</f>
        <v>45.057339845981808</v>
      </c>
    </row>
    <row r="20" spans="1:34" x14ac:dyDescent="0.2">
      <c r="A20" s="59"/>
      <c r="B20" s="226" t="s">
        <v>29</v>
      </c>
      <c r="C20" s="228">
        <v>0.5395833333333333</v>
      </c>
      <c r="D20" s="230">
        <f>11+5/60+13+D17</f>
        <v>121.45000000000002</v>
      </c>
      <c r="E20" s="105" t="s">
        <v>105</v>
      </c>
      <c r="F20" s="232">
        <f>0.0468</f>
        <v>4.6800000000000001E-2</v>
      </c>
      <c r="G20" s="234">
        <v>4.5199999999999997E-2</v>
      </c>
      <c r="H20" s="77">
        <f>0.2968-F20</f>
        <v>0.25</v>
      </c>
      <c r="I20" s="78">
        <f>0.3226-F20</f>
        <v>0.27579999999999999</v>
      </c>
      <c r="J20" s="78">
        <f>0.1865-G20</f>
        <v>0.14130000000000001</v>
      </c>
      <c r="K20" s="78">
        <f>0.2132-G20</f>
        <v>0.16800000000000001</v>
      </c>
      <c r="L20" s="78">
        <f t="shared" si="0"/>
        <v>2.6663452188006479E-2</v>
      </c>
      <c r="M20" s="78">
        <f t="shared" si="8"/>
        <v>2.8226904376012964E-2</v>
      </c>
      <c r="N20" s="78">
        <f t="shared" si="2"/>
        <v>2.7445178282009722E-2</v>
      </c>
      <c r="O20" s="57">
        <v>1.0900000000000001</v>
      </c>
      <c r="P20" s="78">
        <f t="shared" si="3"/>
        <v>1.3729640000000001</v>
      </c>
      <c r="Q20" s="79">
        <f>O20*0.25/1000</f>
        <v>2.7250000000000001E-4</v>
      </c>
      <c r="R20" s="80">
        <f t="shared" si="4"/>
        <v>50.35812528809123</v>
      </c>
      <c r="S20" s="81"/>
      <c r="V20" s="82">
        <f t="shared" si="5"/>
        <v>69.139893128038892</v>
      </c>
      <c r="W20" s="94"/>
      <c r="X20" s="82"/>
      <c r="Y20" s="82"/>
      <c r="Z20" s="82">
        <f t="shared" si="7"/>
        <v>0.51636222219404937</v>
      </c>
      <c r="AA20" s="94"/>
      <c r="AB20" s="102"/>
      <c r="AD20" s="84">
        <f>D50</f>
        <v>406.8</v>
      </c>
      <c r="AE20" s="82">
        <f>S52</f>
        <v>53.819539143521475</v>
      </c>
      <c r="AF20" s="82">
        <f>U52</f>
        <v>3.4031949489099862</v>
      </c>
      <c r="AG20" s="82">
        <f>W52</f>
        <v>238.79119394921668</v>
      </c>
      <c r="AH20" s="82">
        <f>Y52</f>
        <v>33.031328334310949</v>
      </c>
    </row>
    <row r="21" spans="1:34" x14ac:dyDescent="0.2">
      <c r="A21" s="59"/>
      <c r="B21" s="226"/>
      <c r="C21" s="228"/>
      <c r="D21" s="230"/>
      <c r="E21" s="105" t="s">
        <v>106</v>
      </c>
      <c r="F21" s="232"/>
      <c r="G21" s="234"/>
      <c r="H21" s="77">
        <f>0.3243-F20</f>
        <v>0.27749999999999997</v>
      </c>
      <c r="I21" s="78">
        <f>0.3123-F20</f>
        <v>0.26550000000000001</v>
      </c>
      <c r="J21" s="78">
        <f>0.2173-G20</f>
        <v>0.1721</v>
      </c>
      <c r="K21" s="78">
        <f>0.204-G20</f>
        <v>0.1588</v>
      </c>
      <c r="L21" s="78">
        <f t="shared" si="0"/>
        <v>2.8100405186385732E-2</v>
      </c>
      <c r="M21" s="78">
        <f t="shared" si="8"/>
        <v>2.7459643435980556E-2</v>
      </c>
      <c r="N21" s="78">
        <f t="shared" si="2"/>
        <v>2.7780024311183142E-2</v>
      </c>
      <c r="O21" s="57">
        <v>1.0880000000000001</v>
      </c>
      <c r="P21" s="78">
        <f t="shared" si="3"/>
        <v>1.3704448000000002</v>
      </c>
      <c r="Q21" s="79">
        <f>O21*0.25/1000</f>
        <v>2.72E-4</v>
      </c>
      <c r="R21" s="80">
        <f t="shared" si="4"/>
        <v>51.066221160263126</v>
      </c>
      <c r="S21" s="81"/>
      <c r="V21" s="82">
        <f t="shared" si="5"/>
        <v>69.983437244732585</v>
      </c>
      <c r="W21" s="94"/>
      <c r="X21" s="82"/>
      <c r="Y21" s="82"/>
      <c r="Z21" s="82">
        <f>(V21-$V$6)/(D20-$D$5)</f>
        <v>0.53364150113910369</v>
      </c>
      <c r="AA21" s="94"/>
      <c r="AB21" s="102"/>
      <c r="AD21" s="84">
        <f>D53</f>
        <v>431.53333333333336</v>
      </c>
      <c r="AE21" s="82">
        <f>S55</f>
        <v>59.496679483487505</v>
      </c>
      <c r="AF21" s="82">
        <f>U55</f>
        <v>5.5572719143127287</v>
      </c>
      <c r="AG21" s="82">
        <f>W55</f>
        <v>264.04619124797404</v>
      </c>
      <c r="AH21" s="82">
        <f>Y55</f>
        <v>37.915403006095325</v>
      </c>
    </row>
    <row r="22" spans="1:34" x14ac:dyDescent="0.2">
      <c r="A22" s="59"/>
      <c r="B22" s="227"/>
      <c r="C22" s="229"/>
      <c r="D22" s="231"/>
      <c r="E22" s="141" t="s">
        <v>107</v>
      </c>
      <c r="F22" s="233"/>
      <c r="G22" s="235"/>
      <c r="H22" s="85">
        <f>0.2725-F20</f>
        <v>0.22570000000000001</v>
      </c>
      <c r="I22" s="86">
        <f>0.276-F20</f>
        <v>0.22920000000000001</v>
      </c>
      <c r="J22" s="86">
        <f>0.1913-G20</f>
        <v>0.14610000000000001</v>
      </c>
      <c r="K22" s="86">
        <f>0.1927-G20</f>
        <v>0.14750000000000002</v>
      </c>
      <c r="L22" s="78">
        <f t="shared" si="0"/>
        <v>2.2254376012965968E-2</v>
      </c>
      <c r="M22" s="78">
        <f t="shared" si="8"/>
        <v>2.2684359805510534E-2</v>
      </c>
      <c r="N22" s="86">
        <f t="shared" si="2"/>
        <v>2.2469367909238251E-2</v>
      </c>
      <c r="O22" s="91">
        <v>0.97399999999999998</v>
      </c>
      <c r="P22" s="86">
        <f t="shared" si="3"/>
        <v>1.2268504</v>
      </c>
      <c r="Q22" s="87">
        <f>O22*0.25/1000</f>
        <v>2.4349999999999998E-4</v>
      </c>
      <c r="R22" s="88">
        <f t="shared" si="4"/>
        <v>46.138332462501545</v>
      </c>
      <c r="S22" s="89">
        <f>AVERAGE(R20:R22)</f>
        <v>49.187559636951967</v>
      </c>
      <c r="T22" s="90">
        <f>STDEV(R20:R22)</f>
        <v>2.66433663640725</v>
      </c>
      <c r="U22" s="90">
        <f>T22/SQRT(3)</f>
        <v>1.538255474241508</v>
      </c>
      <c r="V22" s="90">
        <f t="shared" si="5"/>
        <v>56.604831636953008</v>
      </c>
      <c r="W22" s="89">
        <f>AVERAGE(V20:V22)</f>
        <v>65.242720669908167</v>
      </c>
      <c r="X22" s="90">
        <f>STDEV(V20:V22)</f>
        <v>7.4925120539400751</v>
      </c>
      <c r="Y22" s="90">
        <f>X22/SQRT(3)</f>
        <v>4.3258038512488186</v>
      </c>
      <c r="Z22" s="90">
        <f>(V22-$V$7)/(D20-$D$5)</f>
        <v>0.41607556655476918</v>
      </c>
      <c r="AA22" s="89">
        <f>AVERAGE(Z20:Z22)</f>
        <v>0.48869309662930743</v>
      </c>
      <c r="AB22" s="95">
        <f>STDEV(Z20:Z22)/SQRT(3)</f>
        <v>3.6649795933083908E-2</v>
      </c>
      <c r="AD22" s="84"/>
      <c r="AE22" s="82"/>
      <c r="AF22" s="82"/>
      <c r="AG22" s="82"/>
      <c r="AH22" s="82"/>
    </row>
    <row r="23" spans="1:34" x14ac:dyDescent="0.2">
      <c r="A23" s="59"/>
      <c r="B23" s="226" t="s">
        <v>30</v>
      </c>
      <c r="C23" s="228">
        <v>0.38958333333333334</v>
      </c>
      <c r="D23" s="230">
        <f>8+24/60+12+D20</f>
        <v>141.85000000000002</v>
      </c>
      <c r="E23" s="105" t="s">
        <v>105</v>
      </c>
      <c r="F23" s="232">
        <v>4.4299999999999999E-2</v>
      </c>
      <c r="G23" s="234">
        <v>4.3999999999999997E-2</v>
      </c>
      <c r="H23" s="77">
        <f>0.2091-F23</f>
        <v>0.1648</v>
      </c>
      <c r="I23" s="78">
        <f>0.2185-F23</f>
        <v>0.17419999999999999</v>
      </c>
      <c r="J23" s="78">
        <f>0.141-G23</f>
        <v>9.6999999999999989E-2</v>
      </c>
      <c r="K23" s="78">
        <f>0.1499-G23</f>
        <v>0.10590000000000001</v>
      </c>
      <c r="L23" s="78">
        <f t="shared" si="0"/>
        <v>1.7198541329011347E-2</v>
      </c>
      <c r="M23" s="78">
        <f t="shared" si="8"/>
        <v>1.7849351701782819E-2</v>
      </c>
      <c r="N23" s="78">
        <f t="shared" si="2"/>
        <v>1.7523946515397085E-2</v>
      </c>
      <c r="O23" s="78">
        <v>1.302</v>
      </c>
      <c r="P23" s="78">
        <f t="shared" si="3"/>
        <v>1.6399992000000001</v>
      </c>
      <c r="Q23" s="79">
        <f>O23*0.125/1000</f>
        <v>1.6275E-4</v>
      </c>
      <c r="R23" s="80">
        <f t="shared" si="4"/>
        <v>53.837009263892732</v>
      </c>
      <c r="S23" s="81"/>
      <c r="V23" s="82">
        <f t="shared" si="5"/>
        <v>88.29265212317668</v>
      </c>
      <c r="W23" s="94"/>
      <c r="X23" s="82"/>
      <c r="Y23" s="82"/>
      <c r="Z23" s="82">
        <f t="shared" si="7"/>
        <v>0.57712337596478736</v>
      </c>
      <c r="AA23" s="94"/>
      <c r="AB23" s="102"/>
      <c r="AC23" s="82"/>
      <c r="AD23" s="82"/>
      <c r="AE23" s="82"/>
    </row>
    <row r="24" spans="1:34" x14ac:dyDescent="0.2">
      <c r="A24" s="59"/>
      <c r="B24" s="226"/>
      <c r="C24" s="228"/>
      <c r="D24" s="230"/>
      <c r="E24" s="105" t="s">
        <v>106</v>
      </c>
      <c r="F24" s="232"/>
      <c r="G24" s="234"/>
      <c r="H24" s="77">
        <f>0.2062-F23</f>
        <v>0.16189999999999999</v>
      </c>
      <c r="I24" s="78">
        <f>0.1871-F23</f>
        <v>0.14279999999999998</v>
      </c>
      <c r="J24" s="78">
        <f>0.1472-G23</f>
        <v>0.1032</v>
      </c>
      <c r="K24" s="78">
        <f>0.1258-G23</f>
        <v>8.1799999999999998E-2</v>
      </c>
      <c r="L24" s="78">
        <f t="shared" si="0"/>
        <v>1.6120583468395462E-2</v>
      </c>
      <c r="M24" s="78">
        <f t="shared" si="8"/>
        <v>1.5123338735818472E-2</v>
      </c>
      <c r="N24" s="78">
        <f t="shared" si="2"/>
        <v>1.5621961102106967E-2</v>
      </c>
      <c r="O24" s="78">
        <v>1.274</v>
      </c>
      <c r="P24" s="78">
        <f t="shared" si="3"/>
        <v>1.6047304</v>
      </c>
      <c r="Q24" s="79">
        <f>O24*0.125/1000</f>
        <v>1.5924999999999999E-4</v>
      </c>
      <c r="R24" s="80">
        <f t="shared" si="4"/>
        <v>49.048543491701622</v>
      </c>
      <c r="S24" s="81"/>
      <c r="V24" s="82">
        <f t="shared" si="5"/>
        <v>78.709688816855746</v>
      </c>
      <c r="W24" s="94"/>
      <c r="X24" s="82"/>
      <c r="Y24" s="82"/>
      <c r="Z24" s="82">
        <f>(V24-$V$7)/(D23-$D$5)</f>
        <v>0.51207074189622459</v>
      </c>
      <c r="AA24" s="94"/>
      <c r="AB24" s="102"/>
      <c r="AC24" s="82"/>
      <c r="AD24" s="82"/>
      <c r="AE24" s="82"/>
    </row>
    <row r="25" spans="1:34" x14ac:dyDescent="0.2">
      <c r="A25" s="59"/>
      <c r="B25" s="227"/>
      <c r="C25" s="229"/>
      <c r="D25" s="231"/>
      <c r="E25" s="141" t="s">
        <v>107</v>
      </c>
      <c r="F25" s="233"/>
      <c r="G25" s="235"/>
      <c r="H25" s="85">
        <f>0.1869-F23</f>
        <v>0.1426</v>
      </c>
      <c r="I25" s="86">
        <f>0.1893-F23</f>
        <v>0.14499999999999999</v>
      </c>
      <c r="J25" s="86">
        <f>0.132-G23</f>
        <v>8.8000000000000009E-2</v>
      </c>
      <c r="K25" s="86">
        <f>0.1337-G23</f>
        <v>8.9700000000000016E-2</v>
      </c>
      <c r="L25" s="78">
        <f t="shared" si="0"/>
        <v>1.4482982171799027E-2</v>
      </c>
      <c r="M25" s="78">
        <f t="shared" si="8"/>
        <v>1.4705267423014583E-2</v>
      </c>
      <c r="N25" s="86">
        <f t="shared" si="2"/>
        <v>1.4594124797406804E-2</v>
      </c>
      <c r="O25" s="86">
        <v>1.194</v>
      </c>
      <c r="P25" s="86">
        <f t="shared" si="3"/>
        <v>1.5039624</v>
      </c>
      <c r="Q25" s="87">
        <f>O25*0.125/1000</f>
        <v>1.4925E-4</v>
      </c>
      <c r="R25" s="88">
        <f t="shared" si="4"/>
        <v>48.891540359821789</v>
      </c>
      <c r="S25" s="89">
        <f>AVERAGE(R23:R25)</f>
        <v>50.592364371805381</v>
      </c>
      <c r="T25" s="90">
        <f>STDEV(R23:R25)</f>
        <v>2.8110412399440925</v>
      </c>
      <c r="U25" s="90">
        <f>T25/SQRT(3)</f>
        <v>1.6229554165848612</v>
      </c>
      <c r="V25" s="90">
        <f t="shared" si="5"/>
        <v>73.53103837925444</v>
      </c>
      <c r="W25" s="89">
        <f>AVERAGE(V23:V25)</f>
        <v>80.17779310642895</v>
      </c>
      <c r="X25" s="90">
        <f>STDEV(V23:V25)</f>
        <v>7.4895131841118978</v>
      </c>
      <c r="Y25" s="90">
        <f>X25/SQRT(3)</f>
        <v>4.3240724529462558</v>
      </c>
      <c r="Z25" s="90">
        <f>(V25-$V$7)/(D23-$D$5)</f>
        <v>0.47556280789833028</v>
      </c>
      <c r="AA25" s="89">
        <f>AVERAGE(Z23:Z25)</f>
        <v>0.52158564191978074</v>
      </c>
      <c r="AB25" s="95">
        <f>STDEV(Z23:Z25)/SQRT(3)</f>
        <v>2.9701499616119651E-2</v>
      </c>
    </row>
    <row r="26" spans="1:34" x14ac:dyDescent="0.2">
      <c r="A26" s="59"/>
      <c r="B26" s="226" t="s">
        <v>31</v>
      </c>
      <c r="C26" s="228">
        <v>0.42291666666666666</v>
      </c>
      <c r="D26" s="230">
        <f>24+48/60+D23</f>
        <v>166.65000000000003</v>
      </c>
      <c r="E26" s="105" t="s">
        <v>105</v>
      </c>
      <c r="F26" s="232">
        <v>4.9299999999999997E-2</v>
      </c>
      <c r="G26" s="234">
        <v>4.8399999999999999E-2</v>
      </c>
      <c r="H26" s="77">
        <f>0.2622-F26</f>
        <v>0.21289999999999998</v>
      </c>
      <c r="I26" s="78">
        <f>0.2476-F26</f>
        <v>0.19829999999999998</v>
      </c>
      <c r="J26" s="78">
        <f>0.1768-G26</f>
        <v>0.12840000000000001</v>
      </c>
      <c r="K26" s="78">
        <f>0.1633-G26</f>
        <v>0.1149</v>
      </c>
      <c r="L26" s="78">
        <f t="shared" si="0"/>
        <v>2.1915397082658019E-2</v>
      </c>
      <c r="M26" s="78">
        <f t="shared" si="8"/>
        <v>2.0872852512155593E-2</v>
      </c>
      <c r="N26" s="78">
        <f t="shared" si="2"/>
        <v>2.1394124797406808E-2</v>
      </c>
      <c r="O26" s="57">
        <v>1.494</v>
      </c>
      <c r="P26" s="78">
        <f t="shared" si="3"/>
        <v>1.8818424</v>
      </c>
      <c r="Q26" s="79">
        <f t="shared" ref="Q26:Q31" si="9">P26*0.125/1000</f>
        <v>2.352303E-4</v>
      </c>
      <c r="R26" s="80">
        <f t="shared" si="4"/>
        <v>45.474849110439443</v>
      </c>
      <c r="S26" s="81"/>
      <c r="V26" s="82">
        <f t="shared" si="5"/>
        <v>85.576499189627228</v>
      </c>
      <c r="W26" s="94"/>
      <c r="X26" s="82"/>
      <c r="Y26" s="82"/>
      <c r="Z26" s="82">
        <f t="shared" si="7"/>
        <v>0.47494028171050479</v>
      </c>
      <c r="AA26" s="94"/>
      <c r="AB26" s="102"/>
    </row>
    <row r="27" spans="1:34" x14ac:dyDescent="0.2">
      <c r="A27" s="59"/>
      <c r="B27" s="226"/>
      <c r="C27" s="228"/>
      <c r="D27" s="230"/>
      <c r="E27" s="105" t="s">
        <v>106</v>
      </c>
      <c r="F27" s="232"/>
      <c r="G27" s="234"/>
      <c r="H27" s="77">
        <f>0.2636-F26</f>
        <v>0.21429999999999999</v>
      </c>
      <c r="I27" s="78">
        <f>0.2722-F26</f>
        <v>0.22289999999999999</v>
      </c>
      <c r="J27" s="78">
        <f>0.1864-G26</f>
        <v>0.13800000000000001</v>
      </c>
      <c r="K27" s="78">
        <f>0.1927-G26</f>
        <v>0.14430000000000001</v>
      </c>
      <c r="L27" s="78">
        <f t="shared" si="0"/>
        <v>2.1200972447325769E-2</v>
      </c>
      <c r="M27" s="78">
        <f t="shared" si="8"/>
        <v>2.1977066450567257E-2</v>
      </c>
      <c r="N27" s="78">
        <f t="shared" si="2"/>
        <v>2.1589019448946513E-2</v>
      </c>
      <c r="O27" s="57">
        <v>1.476</v>
      </c>
      <c r="P27" s="78">
        <f t="shared" si="3"/>
        <v>1.8591696</v>
      </c>
      <c r="Q27" s="79">
        <f t="shared" si="9"/>
        <v>2.3239619999999999E-4</v>
      </c>
      <c r="R27" s="80">
        <f t="shared" si="4"/>
        <v>46.448735928011118</v>
      </c>
      <c r="S27" s="81"/>
      <c r="V27" s="82">
        <f t="shared" si="5"/>
        <v>86.356077795786064</v>
      </c>
      <c r="W27" s="94"/>
      <c r="X27" s="82"/>
      <c r="Y27" s="82"/>
      <c r="Z27" s="82">
        <f>(V27-$V$6)/(D26-$D$5)</f>
        <v>0.4871491200983955</v>
      </c>
      <c r="AA27" s="94"/>
      <c r="AB27" s="102"/>
    </row>
    <row r="28" spans="1:34" x14ac:dyDescent="0.2">
      <c r="A28" s="59"/>
      <c r="B28" s="227"/>
      <c r="C28" s="229"/>
      <c r="D28" s="231"/>
      <c r="E28" s="141" t="s">
        <v>107</v>
      </c>
      <c r="F28" s="233"/>
      <c r="G28" s="235"/>
      <c r="H28" s="85">
        <f>0.2246-F26</f>
        <v>0.17530000000000001</v>
      </c>
      <c r="I28" s="86">
        <f>0.221-F26</f>
        <v>0.17170000000000002</v>
      </c>
      <c r="J28" s="86">
        <f>0.1603-G26</f>
        <v>0.1119</v>
      </c>
      <c r="K28" s="86">
        <f>0.1553-G26</f>
        <v>0.1069</v>
      </c>
      <c r="L28" s="78">
        <f t="shared" si="0"/>
        <v>1.7439303079416536E-2</v>
      </c>
      <c r="M28" s="78">
        <f t="shared" si="8"/>
        <v>1.7346110210696923E-2</v>
      </c>
      <c r="N28" s="86">
        <f t="shared" si="2"/>
        <v>1.7392706645056731E-2</v>
      </c>
      <c r="O28" s="86">
        <v>1.385</v>
      </c>
      <c r="P28" s="86">
        <f t="shared" si="3"/>
        <v>1.7445460000000002</v>
      </c>
      <c r="Q28" s="87">
        <f t="shared" si="9"/>
        <v>2.1806825000000003E-4</v>
      </c>
      <c r="R28" s="88">
        <f t="shared" si="4"/>
        <v>39.879043934769797</v>
      </c>
      <c r="S28" s="89">
        <f>AVERAGE(R26:R28)</f>
        <v>43.934209657740119</v>
      </c>
      <c r="T28" s="90">
        <f>STDEV(R26:R28)</f>
        <v>3.5454746739928966</v>
      </c>
      <c r="U28" s="90">
        <f>T28/SQRT(3)</f>
        <v>2.0469807574347998</v>
      </c>
      <c r="V28" s="90">
        <f t="shared" si="5"/>
        <v>69.570826580226921</v>
      </c>
      <c r="W28" s="89">
        <f>AVERAGE(V26:V28)</f>
        <v>80.501134521880076</v>
      </c>
      <c r="X28" s="90">
        <f>STDEV(V26:V28)</f>
        <v>9.4739463517226845</v>
      </c>
      <c r="Y28" s="90">
        <f>X28/SQRT(3)</f>
        <v>5.469785476455165</v>
      </c>
      <c r="Z28" s="90">
        <f>(V28-$V$7)/(D26-$D$5)</f>
        <v>0.38102833784188794</v>
      </c>
      <c r="AA28" s="89">
        <f>AVERAGE(Z26:Z28)</f>
        <v>0.44770591321692943</v>
      </c>
      <c r="AB28" s="95">
        <f>STDEV(Z26:Z28)/SQRT(3)</f>
        <v>3.3524559291739857E-2</v>
      </c>
    </row>
    <row r="29" spans="1:34" x14ac:dyDescent="0.2">
      <c r="A29" s="59"/>
      <c r="B29" s="226" t="s">
        <v>32</v>
      </c>
      <c r="C29" s="228">
        <v>0.41805555555555557</v>
      </c>
      <c r="D29" s="230">
        <f>11+53/60+12+D26</f>
        <v>190.53333333333336</v>
      </c>
      <c r="E29" s="105" t="s">
        <v>105</v>
      </c>
      <c r="F29" s="232">
        <f>(0.0533+0.0497+0.0487)/3</f>
        <v>5.0566666666666669E-2</v>
      </c>
      <c r="G29" s="234">
        <f>(0.0526+0.0486+0.048)/3</f>
        <v>4.9733333333333331E-2</v>
      </c>
      <c r="H29" s="77">
        <f>0.298-F29</f>
        <v>0.24743333333333331</v>
      </c>
      <c r="I29" s="78">
        <f>0.2914-F29</f>
        <v>0.24083333333333332</v>
      </c>
      <c r="J29" s="78">
        <f>0.202-G29</f>
        <v>0.15226666666666669</v>
      </c>
      <c r="K29" s="78">
        <f>0.1961-G29</f>
        <v>0.14636666666666667</v>
      </c>
      <c r="L29" s="78">
        <f t="shared" si="0"/>
        <v>2.5172123176661256E-2</v>
      </c>
      <c r="M29" s="78">
        <f t="shared" si="8"/>
        <v>2.4680956239870339E-2</v>
      </c>
      <c r="N29" s="78">
        <f t="shared" si="2"/>
        <v>2.4926539708265798E-2</v>
      </c>
      <c r="O29" s="57">
        <v>1.788</v>
      </c>
      <c r="P29" s="78">
        <f t="shared" si="3"/>
        <v>2.2521648000000001</v>
      </c>
      <c r="Q29" s="79">
        <f t="shared" si="9"/>
        <v>2.8152059999999999E-4</v>
      </c>
      <c r="R29" s="80">
        <f t="shared" si="4"/>
        <v>44.271253521528799</v>
      </c>
      <c r="S29" s="81"/>
      <c r="V29" s="82">
        <f t="shared" si="5"/>
        <v>99.706158833063199</v>
      </c>
      <c r="W29" s="94"/>
      <c r="X29" s="82"/>
      <c r="Y29" s="82"/>
      <c r="Z29" s="82">
        <f t="shared" si="7"/>
        <v>0.48956503284022884</v>
      </c>
      <c r="AA29" s="94"/>
      <c r="AB29" s="102"/>
    </row>
    <row r="30" spans="1:34" x14ac:dyDescent="0.2">
      <c r="A30" s="59"/>
      <c r="B30" s="226"/>
      <c r="C30" s="228"/>
      <c r="D30" s="230"/>
      <c r="E30" s="105" t="s">
        <v>106</v>
      </c>
      <c r="F30" s="232"/>
      <c r="G30" s="234"/>
      <c r="H30" s="77">
        <f>0.3571-F29</f>
        <v>0.30653333333333332</v>
      </c>
      <c r="I30" s="78">
        <f>0.3458-F29</f>
        <v>0.29523333333333335</v>
      </c>
      <c r="J30" s="78">
        <f>0.258-G29</f>
        <v>0.20826666666666668</v>
      </c>
      <c r="K30" s="78">
        <f>0.249-G29</f>
        <v>0.19926666666666668</v>
      </c>
      <c r="L30" s="78">
        <f t="shared" si="0"/>
        <v>2.9259643435980552E-2</v>
      </c>
      <c r="M30" s="78">
        <f t="shared" si="8"/>
        <v>2.8310696920583474E-2</v>
      </c>
      <c r="N30" s="78">
        <f t="shared" si="2"/>
        <v>2.8785170178282013E-2</v>
      </c>
      <c r="O30" s="57">
        <v>1.802</v>
      </c>
      <c r="P30" s="78">
        <f t="shared" si="3"/>
        <v>2.2697992</v>
      </c>
      <c r="Q30" s="79">
        <f t="shared" si="9"/>
        <v>2.8372489999999999E-4</v>
      </c>
      <c r="R30" s="80">
        <f t="shared" si="4"/>
        <v>50.727254073015821</v>
      </c>
      <c r="S30" s="81"/>
      <c r="V30" s="82">
        <f t="shared" si="5"/>
        <v>115.14068071312805</v>
      </c>
      <c r="W30" s="94"/>
      <c r="X30" s="82"/>
      <c r="Y30" s="82"/>
      <c r="Z30" s="82">
        <f>(V30-$V$6)/(D29-$D$5)</f>
        <v>0.57715887219247508</v>
      </c>
      <c r="AA30" s="94"/>
      <c r="AB30" s="102"/>
    </row>
    <row r="31" spans="1:34" x14ac:dyDescent="0.2">
      <c r="A31" s="59"/>
      <c r="B31" s="227"/>
      <c r="C31" s="229"/>
      <c r="D31" s="231"/>
      <c r="E31" s="141" t="s">
        <v>107</v>
      </c>
      <c r="F31" s="233"/>
      <c r="G31" s="235"/>
      <c r="H31" s="85">
        <f>0.2616-F29</f>
        <v>0.21103333333333332</v>
      </c>
      <c r="I31" s="86">
        <f>0.2733-F29</f>
        <v>0.22273333333333331</v>
      </c>
      <c r="J31" s="86">
        <f>0.1836-G29</f>
        <v>0.13386666666666669</v>
      </c>
      <c r="K31" s="86">
        <f>0.1925-G29</f>
        <v>0.14276666666666668</v>
      </c>
      <c r="L31" s="78">
        <f t="shared" si="0"/>
        <v>2.1076823338735819E-2</v>
      </c>
      <c r="M31" s="78">
        <f t="shared" si="8"/>
        <v>2.2100405186385733E-2</v>
      </c>
      <c r="N31" s="86">
        <f t="shared" si="2"/>
        <v>2.1588614262560778E-2</v>
      </c>
      <c r="O31" s="91">
        <v>1.762</v>
      </c>
      <c r="P31" s="86">
        <f t="shared" si="3"/>
        <v>2.2194152000000003</v>
      </c>
      <c r="Q31" s="87">
        <f t="shared" si="9"/>
        <v>2.7742690000000003E-4</v>
      </c>
      <c r="R31" s="88">
        <f t="shared" si="4"/>
        <v>38.908653527399068</v>
      </c>
      <c r="S31" s="89">
        <f>AVERAGE(R29:R31)</f>
        <v>44.635720373981229</v>
      </c>
      <c r="T31" s="90">
        <f>STDEV(R29:R31)</f>
        <v>5.9177239525949412</v>
      </c>
      <c r="U31" s="90">
        <f>T31/SQRT(3)</f>
        <v>3.4165995170205856</v>
      </c>
      <c r="V31" s="90">
        <f t="shared" si="5"/>
        <v>86.354457050243113</v>
      </c>
      <c r="W31" s="89">
        <f>AVERAGE(V29:V31)</f>
        <v>100.40043219881146</v>
      </c>
      <c r="X31" s="90">
        <f>STDEV(V29:V31)</f>
        <v>14.405664851793526</v>
      </c>
      <c r="Y31" s="90">
        <f>X31/SQRT(3)</f>
        <v>8.3171144800385228</v>
      </c>
      <c r="Z31" s="90">
        <f>(V31-$V$7)/(D29-$D$5)</f>
        <v>0.42135410936686579</v>
      </c>
      <c r="AA31" s="89">
        <f>AVERAGE(Z29:Z31)</f>
        <v>0.49602600479985659</v>
      </c>
      <c r="AB31" s="95">
        <f>STDEV(Z29:Z31)/SQRT(3)</f>
        <v>4.5092827030409725E-2</v>
      </c>
    </row>
    <row r="32" spans="1:34" x14ac:dyDescent="0.2">
      <c r="A32" s="59"/>
      <c r="B32" s="226" t="s">
        <v>33</v>
      </c>
      <c r="C32" s="228">
        <v>0.4458333333333333</v>
      </c>
      <c r="D32" s="230">
        <f>40/60+24+D29</f>
        <v>215.20000000000002</v>
      </c>
      <c r="E32" s="105" t="s">
        <v>105</v>
      </c>
      <c r="F32" s="232">
        <f>(0.0523+0.0363+0.0414)/3</f>
        <v>4.3333333333333335E-2</v>
      </c>
      <c r="G32" s="234">
        <f>(0.0511+0.0355+0.0401)/3</f>
        <v>4.2233333333333324E-2</v>
      </c>
      <c r="H32" s="77">
        <f>0.3641-F32</f>
        <v>0.32076666666666664</v>
      </c>
      <c r="I32" s="78">
        <f>0.3531-F32</f>
        <v>0.30976666666666669</v>
      </c>
      <c r="J32" s="78">
        <f>0.2579-G32</f>
        <v>0.2156666666666667</v>
      </c>
      <c r="K32" s="78">
        <f>0.2507-G32</f>
        <v>0.20846666666666666</v>
      </c>
      <c r="L32" s="78">
        <f t="shared" si="0"/>
        <v>3.0840896812533759E-2</v>
      </c>
      <c r="M32" s="78">
        <f t="shared" si="8"/>
        <v>2.9764073473797951E-2</v>
      </c>
      <c r="N32" s="78">
        <f t="shared" si="2"/>
        <v>3.0302485143165855E-2</v>
      </c>
      <c r="O32" s="78">
        <v>2.2120000000000002</v>
      </c>
      <c r="P32" s="78">
        <f t="shared" si="3"/>
        <v>2.7862352000000001</v>
      </c>
      <c r="Q32" s="79">
        <f t="shared" ref="Q32:Q34" si="10">P32*0.1/1000</f>
        <v>2.7862352000000001E-4</v>
      </c>
      <c r="R32" s="80">
        <f t="shared" si="4"/>
        <v>54.378907321187121</v>
      </c>
      <c r="S32" s="81"/>
      <c r="V32" s="82">
        <f t="shared" si="5"/>
        <v>151.51242571582927</v>
      </c>
      <c r="W32" s="94"/>
      <c r="X32" s="82"/>
      <c r="Y32" s="82"/>
      <c r="Z32" s="82">
        <f t="shared" si="7"/>
        <v>0.67418552264524945</v>
      </c>
      <c r="AA32" s="94"/>
      <c r="AB32" s="102"/>
    </row>
    <row r="33" spans="1:28" x14ac:dyDescent="0.2">
      <c r="A33" s="59"/>
      <c r="B33" s="226"/>
      <c r="C33" s="228"/>
      <c r="D33" s="230"/>
      <c r="E33" s="105" t="s">
        <v>106</v>
      </c>
      <c r="F33" s="232"/>
      <c r="G33" s="234"/>
      <c r="H33" s="77">
        <f>0.3018-F32</f>
        <v>0.25846666666666668</v>
      </c>
      <c r="I33" s="78">
        <f>0.2739-F32</f>
        <v>0.23056666666666664</v>
      </c>
      <c r="J33" s="78">
        <f>0.2015-G32</f>
        <v>0.1592666666666667</v>
      </c>
      <c r="K33" s="78">
        <f>0.1777-G32</f>
        <v>0.13546666666666668</v>
      </c>
      <c r="L33" s="78">
        <f t="shared" si="0"/>
        <v>2.6273960021609939E-2</v>
      </c>
      <c r="M33" s="78">
        <f t="shared" si="8"/>
        <v>2.4085791464073473E-2</v>
      </c>
      <c r="N33" s="78">
        <f t="shared" si="2"/>
        <v>2.5179875742841706E-2</v>
      </c>
      <c r="O33" s="78">
        <v>2.13</v>
      </c>
      <c r="P33" s="78">
        <f t="shared" si="3"/>
        <v>2.6829480000000001</v>
      </c>
      <c r="Q33" s="79">
        <f t="shared" si="10"/>
        <v>2.6829479999999998E-4</v>
      </c>
      <c r="R33" s="80">
        <f t="shared" si="4"/>
        <v>46.925761779284777</v>
      </c>
      <c r="S33" s="81"/>
      <c r="V33" s="82">
        <f t="shared" si="5"/>
        <v>125.89937871420854</v>
      </c>
      <c r="W33" s="94"/>
      <c r="X33" s="82"/>
      <c r="Y33" s="82"/>
      <c r="Z33" s="82">
        <f>(V33-$V$6)/(D32-$D$5)</f>
        <v>0.5609976848644056</v>
      </c>
      <c r="AA33" s="94"/>
      <c r="AB33" s="102"/>
    </row>
    <row r="34" spans="1:28" x14ac:dyDescent="0.2">
      <c r="A34" s="59"/>
      <c r="B34" s="227"/>
      <c r="C34" s="229"/>
      <c r="D34" s="231"/>
      <c r="E34" s="141" t="s">
        <v>107</v>
      </c>
      <c r="F34" s="233"/>
      <c r="G34" s="235"/>
      <c r="H34" s="85">
        <f>0.2249-F32</f>
        <v>0.18156666666666665</v>
      </c>
      <c r="I34" s="86">
        <f>0.239-F32</f>
        <v>0.19566666666666666</v>
      </c>
      <c r="J34" s="86">
        <f>0.1522-G32</f>
        <v>0.10996666666666668</v>
      </c>
      <c r="K34" s="86">
        <f>0.1606-G32</f>
        <v>0.11836666666666668</v>
      </c>
      <c r="L34" s="78">
        <f t="shared" si="0"/>
        <v>1.86445434900054E-2</v>
      </c>
      <c r="M34" s="78">
        <f t="shared" si="8"/>
        <v>2.0106131820637491E-2</v>
      </c>
      <c r="N34" s="86">
        <f t="shared" si="2"/>
        <v>1.9375337655321446E-2</v>
      </c>
      <c r="O34" s="91">
        <v>1.98</v>
      </c>
      <c r="P34" s="86">
        <f t="shared" si="3"/>
        <v>2.494008</v>
      </c>
      <c r="Q34" s="87">
        <f t="shared" si="10"/>
        <v>2.4940079999999999E-4</v>
      </c>
      <c r="R34" s="88">
        <f t="shared" si="4"/>
        <v>38.843776073134983</v>
      </c>
      <c r="S34" s="89">
        <f>AVERAGE(R32:R34)</f>
        <v>46.716148391202296</v>
      </c>
      <c r="T34" s="90">
        <f>STDEV(R32:R34)</f>
        <v>7.7696865479180488</v>
      </c>
      <c r="U34" s="90">
        <f>T34/SQRT(3)</f>
        <v>4.4858306199594997</v>
      </c>
      <c r="V34" s="90">
        <f t="shared" si="5"/>
        <v>96.876688276607226</v>
      </c>
      <c r="W34" s="89">
        <f>AVERAGE(V32:V34)</f>
        <v>124.76283090221501</v>
      </c>
      <c r="X34" s="90">
        <f>STDEV(V32:V34)</f>
        <v>27.335595056237782</v>
      </c>
      <c r="Y34" s="90">
        <f>X34/SQRT(3)</f>
        <v>15.782213164177488</v>
      </c>
      <c r="Z34" s="90">
        <f>(V34-$V$7)/(D32-$D$5)</f>
        <v>0.42195276114187241</v>
      </c>
      <c r="AA34" s="89">
        <f>AVERAGE(Z32:Z34)</f>
        <v>0.55237865621717575</v>
      </c>
      <c r="AB34" s="95">
        <f>STDEV(Z32:Z34)/SQRT(3)</f>
        <v>7.294074589469017E-2</v>
      </c>
    </row>
    <row r="35" spans="1:28" x14ac:dyDescent="0.2">
      <c r="A35" s="59"/>
      <c r="B35" s="226" t="s">
        <v>34</v>
      </c>
      <c r="C35" s="228">
        <v>0.43472222222222223</v>
      </c>
      <c r="D35" s="230">
        <f>12+11+44/60+D32</f>
        <v>238.93333333333334</v>
      </c>
      <c r="E35" s="105" t="s">
        <v>105</v>
      </c>
      <c r="F35" s="232">
        <f>(0.0531+0.05)/2</f>
        <v>5.1549999999999999E-2</v>
      </c>
      <c r="G35" s="234">
        <f>(0.0524+0.0491)/2</f>
        <v>5.0750000000000003E-2</v>
      </c>
      <c r="H35" s="77">
        <f>0.2641-F35</f>
        <v>0.21255000000000002</v>
      </c>
      <c r="I35" s="78">
        <f>0.2586-F35</f>
        <v>0.20705000000000001</v>
      </c>
      <c r="J35" s="78">
        <f>0.1778-G35</f>
        <v>0.12705</v>
      </c>
      <c r="K35" s="78">
        <f>0.1756-G35</f>
        <v>0.12485</v>
      </c>
      <c r="L35" s="78">
        <f t="shared" si="0"/>
        <v>2.1991045380875207E-2</v>
      </c>
      <c r="M35" s="78">
        <f t="shared" si="8"/>
        <v>2.1315356564019453E-2</v>
      </c>
      <c r="N35" s="78">
        <f t="shared" si="2"/>
        <v>2.1653200972447328E-2</v>
      </c>
      <c r="O35" s="57">
        <v>2.3540000000000001</v>
      </c>
      <c r="P35" s="78">
        <f t="shared" si="3"/>
        <v>2.9650984</v>
      </c>
      <c r="Q35" s="79">
        <f t="shared" ref="Q35:Q37" si="11">P35*0.075/1000</f>
        <v>2.2238238E-4</v>
      </c>
      <c r="R35" s="80">
        <f t="shared" si="4"/>
        <v>48.684614699346525</v>
      </c>
      <c r="S35" s="81"/>
      <c r="V35" s="82">
        <f t="shared" si="5"/>
        <v>144.35467314964887</v>
      </c>
      <c r="W35" s="94"/>
      <c r="X35" s="82"/>
      <c r="Y35" s="82"/>
      <c r="Z35" s="82">
        <f t="shared" si="7"/>
        <v>0.57726132215573644</v>
      </c>
      <c r="AA35" s="94"/>
      <c r="AB35" s="102"/>
    </row>
    <row r="36" spans="1:28" x14ac:dyDescent="0.2">
      <c r="A36" s="59"/>
      <c r="B36" s="226"/>
      <c r="C36" s="228"/>
      <c r="D36" s="230"/>
      <c r="E36" s="105" t="s">
        <v>106</v>
      </c>
      <c r="F36" s="232"/>
      <c r="G36" s="234"/>
      <c r="H36" s="77">
        <f>0.2397-F35</f>
        <v>0.18814999999999998</v>
      </c>
      <c r="I36" s="78">
        <f>0.2475-F35</f>
        <v>0.19595000000000001</v>
      </c>
      <c r="J36" s="78">
        <f>0.1564-G35</f>
        <v>0.10565000000000001</v>
      </c>
      <c r="K36" s="78">
        <f>0.1599-G35</f>
        <v>0.10914999999999998</v>
      </c>
      <c r="L36" s="78">
        <f t="shared" si="0"/>
        <v>2.0134805510534846E-2</v>
      </c>
      <c r="M36" s="78">
        <f t="shared" si="8"/>
        <v>2.1055794165316048E-2</v>
      </c>
      <c r="N36" s="78">
        <f t="shared" si="2"/>
        <v>2.0595299837925449E-2</v>
      </c>
      <c r="O36" s="57">
        <v>2.266</v>
      </c>
      <c r="P36" s="78">
        <f t="shared" si="3"/>
        <v>2.8542536000000003</v>
      </c>
      <c r="Q36" s="79">
        <f t="shared" si="11"/>
        <v>2.1406902000000003E-4</v>
      </c>
      <c r="R36" s="80">
        <f t="shared" si="4"/>
        <v>48.104344659319331</v>
      </c>
      <c r="S36" s="81"/>
      <c r="V36" s="82">
        <f t="shared" si="5"/>
        <v>137.30199891950298</v>
      </c>
      <c r="W36" s="94"/>
      <c r="X36" s="82"/>
      <c r="Y36" s="82"/>
      <c r="Z36" s="82">
        <f>(V36-$V$6)/(D35-$D$5)</f>
        <v>0.55299660430293462</v>
      </c>
      <c r="AA36" s="94"/>
      <c r="AB36" s="102"/>
    </row>
    <row r="37" spans="1:28" x14ac:dyDescent="0.2">
      <c r="A37" s="59"/>
      <c r="B37" s="227"/>
      <c r="C37" s="229"/>
      <c r="D37" s="231"/>
      <c r="E37" s="141" t="s">
        <v>107</v>
      </c>
      <c r="F37" s="233"/>
      <c r="G37" s="235"/>
      <c r="H37" s="85">
        <f>0.2061-F35</f>
        <v>0.15455000000000002</v>
      </c>
      <c r="I37" s="86">
        <f>0.2172-F35</f>
        <v>0.16565000000000002</v>
      </c>
      <c r="J37" s="86">
        <f>0.1362-G35</f>
        <v>8.5449999999999984E-2</v>
      </c>
      <c r="K37" s="86">
        <f>0.1434-G35</f>
        <v>9.2649999999999996E-2</v>
      </c>
      <c r="L37" s="78">
        <f t="shared" si="0"/>
        <v>1.6669813614262566E-2</v>
      </c>
      <c r="M37" s="78">
        <f t="shared" si="8"/>
        <v>1.7762844408427882E-2</v>
      </c>
      <c r="N37" s="86">
        <f t="shared" si="2"/>
        <v>1.7216329011345226E-2</v>
      </c>
      <c r="O37" s="86">
        <v>2.1619999999999999</v>
      </c>
      <c r="P37" s="86">
        <f t="shared" si="3"/>
        <v>2.7232552000000001</v>
      </c>
      <c r="Q37" s="87">
        <f t="shared" si="11"/>
        <v>2.0424414E-4</v>
      </c>
      <c r="R37" s="88">
        <f t="shared" si="4"/>
        <v>42.146445453331552</v>
      </c>
      <c r="S37" s="89">
        <f>AVERAGE(R35:R37)</f>
        <v>46.311801603999136</v>
      </c>
      <c r="T37" s="90">
        <f>STDEV(R35:R37)</f>
        <v>3.6189531948156635</v>
      </c>
      <c r="U37" s="90">
        <f>T37/SQRT(3)</f>
        <v>2.0894036012114796</v>
      </c>
      <c r="V37" s="90">
        <f t="shared" si="5"/>
        <v>114.77552674230151</v>
      </c>
      <c r="W37" s="89">
        <f>AVERAGE(V35:V37)</f>
        <v>132.14406627048444</v>
      </c>
      <c r="X37" s="90">
        <f>STDEV(V35:V37)</f>
        <v>15.449423207863816</v>
      </c>
      <c r="Y37" s="90">
        <f>X37/SQRT(3)</f>
        <v>8.9197286478846269</v>
      </c>
      <c r="Z37" s="90">
        <f>(V37-$V$7)/(D35-$D$5)</f>
        <v>0.45495147599089802</v>
      </c>
      <c r="AA37" s="89">
        <f>AVERAGE(Z35:Z37)</f>
        <v>0.5284031341498564</v>
      </c>
      <c r="AB37" s="95">
        <f>STDEV(Z35:Z37)/SQRT(3)</f>
        <v>3.7387848729430684E-2</v>
      </c>
    </row>
    <row r="38" spans="1:28" x14ac:dyDescent="0.2">
      <c r="A38" s="59"/>
      <c r="B38" s="226" t="s">
        <v>35</v>
      </c>
      <c r="C38" s="228">
        <v>0.49236111111111108</v>
      </c>
      <c r="D38" s="230">
        <f>1+23/60+24+D35</f>
        <v>264.31666666666666</v>
      </c>
      <c r="E38" s="105" t="s">
        <v>105</v>
      </c>
      <c r="F38" s="232">
        <f>(0.0536+0.0321+0.0389)/3</f>
        <v>4.1533333333333332E-2</v>
      </c>
      <c r="G38" s="234">
        <f>(0.0523+0.0316+0.0377)/3</f>
        <v>4.0533333333333331E-2</v>
      </c>
      <c r="H38" s="77">
        <f>0.1546-F38</f>
        <v>0.11306666666666665</v>
      </c>
      <c r="I38" s="78">
        <f>0.1569-F38</f>
        <v>0.11536666666666667</v>
      </c>
      <c r="J38" s="78">
        <f>0.1056-G38</f>
        <v>6.5066666666666662E-2</v>
      </c>
      <c r="K38" s="78">
        <f>0.1092-G38</f>
        <v>6.8666666666666681E-2</v>
      </c>
      <c r="L38" s="78">
        <f t="shared" si="0"/>
        <v>1.1945110750945431E-2</v>
      </c>
      <c r="M38" s="78">
        <f t="shared" si="8"/>
        <v>1.1964883846569421E-2</v>
      </c>
      <c r="N38" s="78">
        <f t="shared" si="2"/>
        <v>1.1954997298757427E-2</v>
      </c>
      <c r="O38" s="57">
        <v>2.528</v>
      </c>
      <c r="P38" s="78">
        <f t="shared" si="3"/>
        <v>3.1842688000000003</v>
      </c>
      <c r="Q38" s="79">
        <f t="shared" ref="Q38:Q55" si="12">P38*0.05/1000</f>
        <v>1.5921344000000004E-4</v>
      </c>
      <c r="R38" s="80">
        <f t="shared" si="4"/>
        <v>37.543932530939045</v>
      </c>
      <c r="S38" s="81"/>
      <c r="V38" s="82">
        <f t="shared" si="5"/>
        <v>119.54997298757425</v>
      </c>
      <c r="W38" s="94"/>
      <c r="X38" s="82"/>
      <c r="Y38" s="82"/>
      <c r="Z38" s="82">
        <f t="shared" si="7"/>
        <v>0.42798009361877543</v>
      </c>
      <c r="AA38" s="94"/>
      <c r="AB38" s="102"/>
    </row>
    <row r="39" spans="1:28" x14ac:dyDescent="0.2">
      <c r="A39" s="59"/>
      <c r="B39" s="226"/>
      <c r="C39" s="228"/>
      <c r="D39" s="230"/>
      <c r="E39" s="105" t="s">
        <v>106</v>
      </c>
      <c r="F39" s="232"/>
      <c r="G39" s="234"/>
      <c r="H39" s="77">
        <f>0.2884-F38</f>
        <v>0.24686666666666665</v>
      </c>
      <c r="I39" s="78">
        <f>0.258-F38</f>
        <v>0.21646666666666667</v>
      </c>
      <c r="J39" s="78">
        <f>0.2326-G38</f>
        <v>0.19206666666666666</v>
      </c>
      <c r="K39" s="78">
        <f>0.2048-G38</f>
        <v>0.16426666666666667</v>
      </c>
      <c r="L39" s="78">
        <f t="shared" si="0"/>
        <v>2.1177687736358725E-2</v>
      </c>
      <c r="M39" s="78">
        <f t="shared" si="8"/>
        <v>1.8976553214478661E-2</v>
      </c>
      <c r="N39" s="78">
        <f t="shared" si="2"/>
        <v>2.0077120475418694E-2</v>
      </c>
      <c r="O39" s="57">
        <v>2.5840000000000001</v>
      </c>
      <c r="P39" s="78">
        <f t="shared" si="3"/>
        <v>3.2548064000000001</v>
      </c>
      <c r="Q39" s="79">
        <f t="shared" si="12"/>
        <v>1.6274032000000003E-4</v>
      </c>
      <c r="R39" s="80">
        <f t="shared" si="4"/>
        <v>61.684530531274277</v>
      </c>
      <c r="S39" s="81"/>
      <c r="V39" s="82">
        <f t="shared" si="5"/>
        <v>200.77120475418693</v>
      </c>
      <c r="W39" s="94"/>
      <c r="X39" s="82"/>
      <c r="Y39" s="82"/>
      <c r="Z39" s="82">
        <f>(V39-$V$6)/(D38-$D$5)</f>
        <v>0.74001586918266649</v>
      </c>
      <c r="AA39" s="94"/>
      <c r="AB39" s="102"/>
    </row>
    <row r="40" spans="1:28" x14ac:dyDescent="0.2">
      <c r="A40" s="59"/>
      <c r="B40" s="227"/>
      <c r="C40" s="229"/>
      <c r="D40" s="231"/>
      <c r="E40" s="141" t="s">
        <v>107</v>
      </c>
      <c r="F40" s="233"/>
      <c r="G40" s="235"/>
      <c r="H40" s="85">
        <f>0.1603-F38</f>
        <v>0.11876666666666666</v>
      </c>
      <c r="I40" s="86">
        <f>0.1676-F38</f>
        <v>0.12606666666666666</v>
      </c>
      <c r="J40" s="86">
        <f>0.1134-G38</f>
        <v>7.2866666666666663E-2</v>
      </c>
      <c r="K40" s="86">
        <f>0.1172-G38</f>
        <v>7.6666666666666661E-2</v>
      </c>
      <c r="L40" s="78">
        <f t="shared" si="0"/>
        <v>1.2104105888708805E-2</v>
      </c>
      <c r="M40" s="78">
        <f t="shared" si="8"/>
        <v>1.2914640734737979E-2</v>
      </c>
      <c r="N40" s="86">
        <f t="shared" si="2"/>
        <v>1.2509373311723391E-2</v>
      </c>
      <c r="O40" s="91">
        <v>2.36</v>
      </c>
      <c r="P40" s="86">
        <f t="shared" si="3"/>
        <v>2.9726560000000002</v>
      </c>
      <c r="Q40" s="87">
        <f t="shared" si="12"/>
        <v>1.486328E-4</v>
      </c>
      <c r="R40" s="88">
        <f t="shared" si="4"/>
        <v>42.081469607392819</v>
      </c>
      <c r="S40" s="89">
        <f>AVERAGE(R38:R40)</f>
        <v>47.103310889868716</v>
      </c>
      <c r="T40" s="90">
        <f>STDEV(R38:R40)</f>
        <v>12.829898103774276</v>
      </c>
      <c r="U40" s="90">
        <f>T40/SQRT(3)</f>
        <v>7.4073451238895478</v>
      </c>
      <c r="V40" s="90">
        <f t="shared" si="5"/>
        <v>125.09373311723391</v>
      </c>
      <c r="W40" s="89">
        <f>AVERAGE(V38:V40)</f>
        <v>148.47163695299835</v>
      </c>
      <c r="X40" s="90">
        <f>STDEV(V38:V40)</f>
        <v>45.377493465782607</v>
      </c>
      <c r="Y40" s="90">
        <f>X40/SQRT(3)</f>
        <v>26.198708067620075</v>
      </c>
      <c r="Z40" s="90">
        <f>(V40-$V$7)/(D38-$D$5)</f>
        <v>0.45029804794132405</v>
      </c>
      <c r="AA40" s="89">
        <f>AVERAGE(Z38:Z40)</f>
        <v>0.53943133691425538</v>
      </c>
      <c r="AB40" s="95">
        <f>STDEV(Z38:Z40)/SQRT(3)</f>
        <v>0.10049898624743873</v>
      </c>
    </row>
    <row r="41" spans="1:28" x14ac:dyDescent="0.2">
      <c r="A41" s="59"/>
      <c r="B41" s="226" t="s">
        <v>36</v>
      </c>
      <c r="C41" s="228">
        <v>0.4548611111111111</v>
      </c>
      <c r="D41" s="230">
        <f>11+6/60+12+D38</f>
        <v>287.41666666666669</v>
      </c>
      <c r="E41" s="105" t="s">
        <v>105</v>
      </c>
      <c r="F41" s="232">
        <f>(0.0517+0.0474)/2</f>
        <v>4.9549999999999997E-2</v>
      </c>
      <c r="G41" s="234">
        <f>(0.0508+0.0471)/2</f>
        <v>4.895E-2</v>
      </c>
      <c r="H41" s="77">
        <f>0.1755-F41</f>
        <v>0.12595000000000001</v>
      </c>
      <c r="I41" s="78">
        <f>0.1727-F41</f>
        <v>0.12315</v>
      </c>
      <c r="J41" s="78">
        <f>0.1179-G41</f>
        <v>6.8950000000000011E-2</v>
      </c>
      <c r="K41" s="78">
        <f>0.117-G41</f>
        <v>6.8049999999999999E-2</v>
      </c>
      <c r="L41" s="78">
        <f t="shared" si="0"/>
        <v>1.3652390599675851E-2</v>
      </c>
      <c r="M41" s="78">
        <f t="shared" si="8"/>
        <v>1.3286831442463532E-2</v>
      </c>
      <c r="N41" s="78">
        <f t="shared" si="2"/>
        <v>1.3469611021069691E-2</v>
      </c>
      <c r="O41" s="57">
        <v>2.9</v>
      </c>
      <c r="P41" s="78">
        <f t="shared" si="3"/>
        <v>3.6528399999999999</v>
      </c>
      <c r="Q41" s="79">
        <f t="shared" si="12"/>
        <v>1.82642E-4</v>
      </c>
      <c r="R41" s="80">
        <f t="shared" si="4"/>
        <v>36.874352616237474</v>
      </c>
      <c r="S41" s="81"/>
      <c r="V41" s="82">
        <f t="shared" si="5"/>
        <v>134.6961102106969</v>
      </c>
      <c r="W41" s="94"/>
      <c r="X41" s="82"/>
      <c r="Y41" s="82"/>
      <c r="Z41" s="82">
        <f t="shared" si="7"/>
        <v>0.44628034433676539</v>
      </c>
      <c r="AA41" s="94"/>
      <c r="AB41" s="102"/>
    </row>
    <row r="42" spans="1:28" x14ac:dyDescent="0.2">
      <c r="A42" s="59"/>
      <c r="B42" s="226"/>
      <c r="C42" s="228"/>
      <c r="D42" s="230"/>
      <c r="E42" s="105" t="s">
        <v>106</v>
      </c>
      <c r="F42" s="232"/>
      <c r="G42" s="234"/>
      <c r="H42" s="77">
        <f>0.3086-F41</f>
        <v>0.25905</v>
      </c>
      <c r="I42" s="78">
        <f>0.306-F41</f>
        <v>0.25645000000000001</v>
      </c>
      <c r="J42" s="78">
        <f>0.2356-G41</f>
        <v>0.18665000000000001</v>
      </c>
      <c r="K42" s="78">
        <f>0.2284-G41</f>
        <v>0.17945</v>
      </c>
      <c r="L42" s="78">
        <f t="shared" si="0"/>
        <v>2.368342787682334E-2</v>
      </c>
      <c r="M42" s="78">
        <f t="shared" si="8"/>
        <v>2.3968030794165318E-2</v>
      </c>
      <c r="N42" s="78">
        <f t="shared" si="2"/>
        <v>2.3825729335494331E-2</v>
      </c>
      <c r="O42" s="57">
        <v>2.9540000000000002</v>
      </c>
      <c r="P42" s="78">
        <f t="shared" si="3"/>
        <v>3.7208584000000005</v>
      </c>
      <c r="Q42" s="79">
        <f t="shared" si="12"/>
        <v>1.8604292000000002E-4</v>
      </c>
      <c r="R42" s="80">
        <f t="shared" si="4"/>
        <v>64.03288374396169</v>
      </c>
      <c r="S42" s="81"/>
      <c r="V42" s="82">
        <f t="shared" si="5"/>
        <v>238.25729335494333</v>
      </c>
      <c r="W42" s="94"/>
      <c r="X42" s="82"/>
      <c r="Y42" s="82"/>
      <c r="Z42" s="82">
        <f>(V42-$V$6)/(D41-$D$5)</f>
        <v>0.8109641626798082</v>
      </c>
      <c r="AA42" s="94"/>
      <c r="AB42" s="102"/>
    </row>
    <row r="43" spans="1:28" x14ac:dyDescent="0.2">
      <c r="A43" s="59"/>
      <c r="B43" s="227"/>
      <c r="C43" s="229"/>
      <c r="D43" s="231"/>
      <c r="E43" s="141" t="s">
        <v>107</v>
      </c>
      <c r="F43" s="233"/>
      <c r="G43" s="235"/>
      <c r="H43" s="85">
        <f>0.2458-F41</f>
        <v>0.19624999999999998</v>
      </c>
      <c r="I43" s="86">
        <f>0.2465-F41</f>
        <v>0.19695000000000001</v>
      </c>
      <c r="J43" s="86">
        <f>0.1818-G41</f>
        <v>0.13285</v>
      </c>
      <c r="K43" s="86">
        <f>0.1808-G41</f>
        <v>0.13184999999999999</v>
      </c>
      <c r="L43" s="78">
        <f t="shared" si="0"/>
        <v>1.8780510534846025E-2</v>
      </c>
      <c r="M43" s="78">
        <f t="shared" si="8"/>
        <v>1.8992017828200976E-2</v>
      </c>
      <c r="N43" s="86">
        <f t="shared" si="2"/>
        <v>1.8886264181523501E-2</v>
      </c>
      <c r="O43" s="91">
        <v>2.72</v>
      </c>
      <c r="P43" s="86">
        <f t="shared" si="3"/>
        <v>3.4261120000000003</v>
      </c>
      <c r="Q43" s="87">
        <f t="shared" si="12"/>
        <v>1.7130560000000003E-4</v>
      </c>
      <c r="R43" s="88">
        <f t="shared" si="4"/>
        <v>55.124479822969882</v>
      </c>
      <c r="S43" s="89">
        <f>AVERAGE(R41:R43)</f>
        <v>52.010572061056344</v>
      </c>
      <c r="T43" s="90">
        <f>STDEV(R41:R43)</f>
        <v>13.844449047043026</v>
      </c>
      <c r="U43" s="90">
        <f>T43/SQRT(3)</f>
        <v>7.9930963840923495</v>
      </c>
      <c r="V43" s="90">
        <f t="shared" si="5"/>
        <v>188.86264181523501</v>
      </c>
      <c r="W43" s="89">
        <f>AVERAGE(V41:V43)</f>
        <v>187.27201512695842</v>
      </c>
      <c r="X43" s="90">
        <f>STDEV(V41:V43)</f>
        <v>51.798911508883322</v>
      </c>
      <c r="Y43" s="90">
        <f>X43/SQRT(3)</f>
        <v>29.90611550338339</v>
      </c>
      <c r="Z43" s="90">
        <f>(V43-$V$7)/(D41-$D$5)</f>
        <v>0.63597629829988533</v>
      </c>
      <c r="AA43" s="89">
        <f>AVERAGE(Z41:Z43)</f>
        <v>0.63107360177215299</v>
      </c>
      <c r="AB43" s="95">
        <f>STDEV(Z41:Z43)/SQRT(3)</f>
        <v>0.10530368649015025</v>
      </c>
    </row>
    <row r="44" spans="1:28" x14ac:dyDescent="0.2">
      <c r="A44" s="59"/>
      <c r="B44" s="226" t="s">
        <v>38</v>
      </c>
      <c r="C44" s="228">
        <v>0.43472222222222223</v>
      </c>
      <c r="D44" s="230">
        <f>11+31/60+12+24+D41</f>
        <v>334.93333333333334</v>
      </c>
      <c r="E44" s="105" t="s">
        <v>105</v>
      </c>
      <c r="F44" s="232">
        <f>0.0532</f>
        <v>5.3199999999999997E-2</v>
      </c>
      <c r="G44" s="234">
        <v>5.2499999999999998E-2</v>
      </c>
      <c r="H44" s="77">
        <f>0.2751-F44</f>
        <v>0.22190000000000001</v>
      </c>
      <c r="I44" s="78">
        <f>0.267-F44</f>
        <v>0.21380000000000002</v>
      </c>
      <c r="J44" s="78">
        <f>0.2014-G44</f>
        <v>0.1489</v>
      </c>
      <c r="K44" s="78">
        <f>0.1925-G44</f>
        <v>0.14000000000000001</v>
      </c>
      <c r="L44" s="78">
        <f t="shared" si="0"/>
        <v>2.1363938411669375E-2</v>
      </c>
      <c r="M44" s="78">
        <f t="shared" si="8"/>
        <v>2.092382495948136E-2</v>
      </c>
      <c r="N44" s="78">
        <f t="shared" si="2"/>
        <v>2.1143881685575367E-2</v>
      </c>
      <c r="O44" s="78">
        <v>2.82</v>
      </c>
      <c r="P44" s="78">
        <f t="shared" si="3"/>
        <v>3.5520719999999999</v>
      </c>
      <c r="Q44" s="79">
        <f t="shared" si="12"/>
        <v>1.7760359999999999E-4</v>
      </c>
      <c r="R44" s="80">
        <f t="shared" si="4"/>
        <v>59.525487336899047</v>
      </c>
      <c r="S44" s="81"/>
      <c r="V44" s="82">
        <f t="shared" si="5"/>
        <v>211.43881685575366</v>
      </c>
      <c r="W44" s="94"/>
      <c r="X44" s="82"/>
      <c r="Y44" s="82"/>
      <c r="Z44" s="82">
        <f t="shared" si="7"/>
        <v>0.61209528945018532</v>
      </c>
      <c r="AA44" s="94"/>
      <c r="AB44" s="102"/>
    </row>
    <row r="45" spans="1:28" x14ac:dyDescent="0.2">
      <c r="A45" s="59"/>
      <c r="B45" s="226"/>
      <c r="C45" s="228"/>
      <c r="D45" s="230"/>
      <c r="E45" s="105" t="s">
        <v>106</v>
      </c>
      <c r="F45" s="232"/>
      <c r="G45" s="234"/>
      <c r="H45" s="77">
        <f>0.2743-F44</f>
        <v>0.22109999999999999</v>
      </c>
      <c r="I45" s="78">
        <f>0.2801-F44</f>
        <v>0.22690000000000002</v>
      </c>
      <c r="J45" s="78">
        <f>0.1727-G44</f>
        <v>0.1202</v>
      </c>
      <c r="K45" s="78">
        <f>0.1751-G44</f>
        <v>0.12260000000000001</v>
      </c>
      <c r="L45" s="78">
        <f t="shared" si="0"/>
        <v>2.4048460291734196E-2</v>
      </c>
      <c r="M45" s="78">
        <f t="shared" si="8"/>
        <v>2.4753160453808754E-2</v>
      </c>
      <c r="N45" s="78">
        <f t="shared" si="2"/>
        <v>2.4400810372771475E-2</v>
      </c>
      <c r="O45" s="78">
        <v>3.1160000000000001</v>
      </c>
      <c r="P45" s="78">
        <f t="shared" si="3"/>
        <v>3.9249136000000004</v>
      </c>
      <c r="Q45" s="79">
        <f t="shared" si="12"/>
        <v>1.9624568000000002E-4</v>
      </c>
      <c r="R45" s="80">
        <f t="shared" si="4"/>
        <v>62.169038250348933</v>
      </c>
      <c r="S45" s="81"/>
      <c r="V45" s="82">
        <f t="shared" si="5"/>
        <v>244.00810372771477</v>
      </c>
      <c r="W45" s="94"/>
      <c r="X45" s="82"/>
      <c r="Y45" s="82"/>
      <c r="Z45" s="82">
        <f>(V45-$V$6)/(D44-$D$5)</f>
        <v>0.71308347968648378</v>
      </c>
      <c r="AA45" s="94"/>
      <c r="AB45" s="102"/>
    </row>
    <row r="46" spans="1:28" x14ac:dyDescent="0.2">
      <c r="A46" s="59"/>
      <c r="B46" s="227"/>
      <c r="C46" s="229"/>
      <c r="D46" s="231"/>
      <c r="E46" s="141" t="s">
        <v>107</v>
      </c>
      <c r="F46" s="233"/>
      <c r="G46" s="235"/>
      <c r="H46" s="85">
        <f>0.1986-F44</f>
        <v>0.1454</v>
      </c>
      <c r="I46" s="86">
        <f>0.1925-F44</f>
        <v>0.13930000000000001</v>
      </c>
      <c r="J46" s="86">
        <f>0.1346-G44</f>
        <v>8.2100000000000006E-2</v>
      </c>
      <c r="K46" s="86">
        <f>0.1271-G44</f>
        <v>7.46E-2</v>
      </c>
      <c r="L46" s="78">
        <f t="shared" si="0"/>
        <v>1.5515316045380874E-2</v>
      </c>
      <c r="M46" s="78">
        <f t="shared" si="8"/>
        <v>1.5262074554294977E-2</v>
      </c>
      <c r="N46" s="86">
        <f t="shared" si="2"/>
        <v>1.5388695299837926E-2</v>
      </c>
      <c r="O46" s="86">
        <v>3.036</v>
      </c>
      <c r="P46" s="86">
        <f t="shared" si="3"/>
        <v>3.8241456</v>
      </c>
      <c r="Q46" s="87">
        <f t="shared" si="12"/>
        <v>1.9120728000000001E-4</v>
      </c>
      <c r="R46" s="88">
        <f t="shared" si="4"/>
        <v>40.24087184294951</v>
      </c>
      <c r="S46" s="89">
        <f>AVERAGE(R44:R46)</f>
        <v>53.978465810065835</v>
      </c>
      <c r="T46" s="90">
        <f>STDEV(R44:R46)</f>
        <v>11.970305190846791</v>
      </c>
      <c r="U46" s="90">
        <f>T46/SQRT(3)</f>
        <v>6.9110589242173699</v>
      </c>
      <c r="V46" s="90">
        <f t="shared" si="5"/>
        <v>153.88695299837926</v>
      </c>
      <c r="W46" s="89">
        <f>AVERAGE(V44:V46)</f>
        <v>203.11129119394923</v>
      </c>
      <c r="X46" s="90">
        <f>STDEV(V44:V46)</f>
        <v>45.634046663986695</v>
      </c>
      <c r="Y46" s="90">
        <f>X46/SQRT(3)</f>
        <v>26.346829125664662</v>
      </c>
      <c r="Z46" s="90">
        <f>(V46-$V$7)/(D44-$D$5)</f>
        <v>0.44132513610520391</v>
      </c>
      <c r="AA46" s="89">
        <f>AVERAGE(Z44:Z46)</f>
        <v>0.58883463508062439</v>
      </c>
      <c r="AB46" s="95">
        <f>STDEV(Z44:Z46)/SQRT(3)</f>
        <v>7.9307298650639499E-2</v>
      </c>
    </row>
    <row r="47" spans="1:28" x14ac:dyDescent="0.2">
      <c r="A47" s="59"/>
      <c r="B47" s="226" t="s">
        <v>39</v>
      </c>
      <c r="C47" s="228">
        <v>0.4284722222222222</v>
      </c>
      <c r="D47" s="230">
        <f>11+51/60+12+D44</f>
        <v>358.78333333333336</v>
      </c>
      <c r="E47" s="105" t="s">
        <v>105</v>
      </c>
      <c r="F47" s="232">
        <f>(0.0454+0.053+0.0393)/3</f>
        <v>4.5899999999999996E-2</v>
      </c>
      <c r="G47" s="234">
        <f>(0.0458+0.0534+0.0393)/3</f>
        <v>4.6166666666666668E-2</v>
      </c>
      <c r="H47" s="78">
        <f>0.2007-F47</f>
        <v>0.15479999999999999</v>
      </c>
      <c r="I47" s="78">
        <f>0.1969-F47</f>
        <v>0.151</v>
      </c>
      <c r="J47" s="78">
        <f>0.1355-G47</f>
        <v>8.9333333333333348E-2</v>
      </c>
      <c r="K47" s="78">
        <f>0.1324-G47</f>
        <v>8.6233333333333329E-2</v>
      </c>
      <c r="L47" s="78">
        <f t="shared" si="0"/>
        <v>1.6329551593733116E-2</v>
      </c>
      <c r="M47" s="78">
        <f t="shared" si="8"/>
        <v>1.6017639113992437E-2</v>
      </c>
      <c r="N47" s="78">
        <f t="shared" si="2"/>
        <v>1.6173595353862778E-2</v>
      </c>
      <c r="O47" s="78">
        <v>3.1640000000000001</v>
      </c>
      <c r="P47" s="78">
        <f t="shared" si="3"/>
        <v>3.9853744000000004</v>
      </c>
      <c r="Q47" s="79">
        <f t="shared" si="12"/>
        <v>1.9926872000000003E-4</v>
      </c>
      <c r="R47" s="80">
        <f t="shared" si="4"/>
        <v>40.582373776131988</v>
      </c>
      <c r="S47" s="81"/>
      <c r="V47" s="82">
        <f t="shared" si="5"/>
        <v>161.73595353862777</v>
      </c>
      <c r="W47" s="94"/>
      <c r="X47" s="82"/>
      <c r="Y47" s="82"/>
      <c r="Z47" s="82">
        <f t="shared" si="7"/>
        <v>0.4328747683264445</v>
      </c>
      <c r="AA47" s="94"/>
      <c r="AB47" s="102"/>
    </row>
    <row r="48" spans="1:28" x14ac:dyDescent="0.2">
      <c r="A48" s="59"/>
      <c r="B48" s="226"/>
      <c r="C48" s="228"/>
      <c r="D48" s="230"/>
      <c r="E48" s="105" t="s">
        <v>106</v>
      </c>
      <c r="F48" s="232"/>
      <c r="G48" s="234"/>
      <c r="H48" s="78">
        <f>0.3481-F47</f>
        <v>0.30220000000000002</v>
      </c>
      <c r="I48" s="78">
        <f>0.3283-F47</f>
        <v>0.28239999999999998</v>
      </c>
      <c r="J48" s="78">
        <f>0.2219-G47</f>
        <v>0.17573333333333332</v>
      </c>
      <c r="K48" s="78">
        <f>0.2098-G47</f>
        <v>0.16363333333333333</v>
      </c>
      <c r="L48" s="78">
        <f t="shared" si="0"/>
        <v>3.1747379794705571E-2</v>
      </c>
      <c r="M48" s="78">
        <f t="shared" si="8"/>
        <v>2.9724770394381414E-2</v>
      </c>
      <c r="N48" s="78">
        <f t="shared" si="2"/>
        <v>3.0736075094543493E-2</v>
      </c>
      <c r="O48" s="57">
        <v>3.84</v>
      </c>
      <c r="P48" s="78">
        <f t="shared" si="3"/>
        <v>4.8368640000000003</v>
      </c>
      <c r="Q48" s="79">
        <f t="shared" si="12"/>
        <v>2.4184320000000004E-4</v>
      </c>
      <c r="R48" s="80">
        <f t="shared" si="4"/>
        <v>63.545460642564045</v>
      </c>
      <c r="S48" s="81"/>
      <c r="V48" s="82">
        <f t="shared" si="5"/>
        <v>307.36075094543492</v>
      </c>
      <c r="W48" s="94"/>
      <c r="X48" s="82"/>
      <c r="Y48" s="82"/>
      <c r="Z48" s="82">
        <f>(V48-$V$6)/(D47-$D$5)</f>
        <v>0.8422578362448454</v>
      </c>
      <c r="AA48" s="94"/>
      <c r="AB48" s="102"/>
    </row>
    <row r="49" spans="1:34" x14ac:dyDescent="0.2">
      <c r="A49" s="59"/>
      <c r="B49" s="227"/>
      <c r="C49" s="229"/>
      <c r="D49" s="231"/>
      <c r="E49" s="141" t="s">
        <v>107</v>
      </c>
      <c r="F49" s="233"/>
      <c r="G49" s="235"/>
      <c r="H49" s="86">
        <f>0.2243-F47</f>
        <v>0.1784</v>
      </c>
      <c r="I49" s="86">
        <f>0.2491-F47</f>
        <v>0.20319999999999999</v>
      </c>
      <c r="J49" s="86">
        <f>0.16-G47</f>
        <v>0.11383333333333334</v>
      </c>
      <c r="K49" s="86">
        <f>0.1839-G47</f>
        <v>0.13773333333333335</v>
      </c>
      <c r="L49" s="78">
        <f t="shared" si="0"/>
        <v>1.7752160994057267E-2</v>
      </c>
      <c r="M49" s="78">
        <f t="shared" si="8"/>
        <v>1.9428092922744458E-2</v>
      </c>
      <c r="N49" s="86">
        <f t="shared" si="2"/>
        <v>1.8590126958400864E-2</v>
      </c>
      <c r="O49" s="91">
        <v>3.04</v>
      </c>
      <c r="P49" s="86">
        <f t="shared" si="3"/>
        <v>3.8291840000000001</v>
      </c>
      <c r="Q49" s="87">
        <f t="shared" si="12"/>
        <v>1.9145920000000001E-4</v>
      </c>
      <c r="R49" s="88">
        <f t="shared" si="4"/>
        <v>48.54853399157853</v>
      </c>
      <c r="S49" s="89">
        <f>AVERAGE(R47:R49)</f>
        <v>50.892122803424854</v>
      </c>
      <c r="T49" s="90">
        <f>STDEV(R47:R49)</f>
        <v>11.659551706565935</v>
      </c>
      <c r="U49" s="90">
        <f>T49/SQRT(3)</f>
        <v>6.7316453164162038</v>
      </c>
      <c r="V49" s="90">
        <f t="shared" si="5"/>
        <v>185.90126958400865</v>
      </c>
      <c r="W49" s="89">
        <f>AVERAGE(V47:V49)</f>
        <v>218.33265802269045</v>
      </c>
      <c r="X49" s="90">
        <f>STDEV(V47:V49)</f>
        <v>78.041601867138141</v>
      </c>
      <c r="Y49" s="90">
        <f>X49/SQRT(3)</f>
        <v>45.057339845981808</v>
      </c>
      <c r="Z49" s="90">
        <f>(V49-$V$7)/(D47-$D$5)</f>
        <v>0.50121842013787066</v>
      </c>
      <c r="AA49" s="89">
        <f>AVERAGE(Z47:Z49)</f>
        <v>0.5921170082363868</v>
      </c>
      <c r="AB49" s="95">
        <f>STDEV(Z47:Z49)/SQRT(3)</f>
        <v>0.12661692759829857</v>
      </c>
    </row>
    <row r="50" spans="1:34" x14ac:dyDescent="0.2">
      <c r="A50" s="59"/>
      <c r="B50" s="226" t="s">
        <v>41</v>
      </c>
      <c r="C50" s="228">
        <v>0.4291666666666667</v>
      </c>
      <c r="D50" s="230">
        <f>1/60+48+D47</f>
        <v>406.8</v>
      </c>
      <c r="E50" s="105" t="s">
        <v>105</v>
      </c>
      <c r="F50" s="232">
        <f>(0.0397+0.0628)/2</f>
        <v>5.1249999999999997E-2</v>
      </c>
      <c r="G50" s="234">
        <f>(0.0611+0.0382)/2</f>
        <v>4.965E-2</v>
      </c>
      <c r="H50" s="78">
        <f>0.2641-F50</f>
        <v>0.21285000000000001</v>
      </c>
      <c r="I50" s="78">
        <f>0.2595-F50</f>
        <v>0.20825000000000002</v>
      </c>
      <c r="J50" s="78">
        <f>0.1853-G50</f>
        <v>0.13564999999999999</v>
      </c>
      <c r="K50" s="78">
        <f>0.1838-G50</f>
        <v>0.13414999999999999</v>
      </c>
      <c r="L50" s="78">
        <f t="shared" si="0"/>
        <v>2.1196393841166943E-2</v>
      </c>
      <c r="M50" s="78"/>
      <c r="N50" s="78">
        <f t="shared" si="2"/>
        <v>2.1196393841166943E-2</v>
      </c>
      <c r="O50" s="78">
        <v>3.28</v>
      </c>
      <c r="P50" s="78">
        <f t="shared" si="3"/>
        <v>4.131488</v>
      </c>
      <c r="Q50" s="79">
        <f t="shared" si="12"/>
        <v>2.0657440000000003E-4</v>
      </c>
      <c r="R50" s="80">
        <f t="shared" si="4"/>
        <v>51.304502980928277</v>
      </c>
      <c r="S50" s="81"/>
      <c r="V50" s="82">
        <f t="shared" si="5"/>
        <v>211.9639384116694</v>
      </c>
      <c r="W50" s="94"/>
      <c r="X50" s="82"/>
      <c r="Y50" s="82"/>
      <c r="Z50" s="82">
        <f t="shared" si="7"/>
        <v>0.50525132047467514</v>
      </c>
      <c r="AA50" s="94"/>
      <c r="AB50" s="102"/>
    </row>
    <row r="51" spans="1:34" x14ac:dyDescent="0.2">
      <c r="A51" s="59"/>
      <c r="B51" s="226"/>
      <c r="C51" s="228"/>
      <c r="D51" s="230"/>
      <c r="E51" s="105" t="s">
        <v>106</v>
      </c>
      <c r="F51" s="232"/>
      <c r="G51" s="234"/>
      <c r="H51" s="78">
        <f>0.3365-F50</f>
        <v>0.28525</v>
      </c>
      <c r="I51" s="78">
        <f>0.3357-F50</f>
        <v>0.28444999999999998</v>
      </c>
      <c r="J51" s="78">
        <f>0.2143-G50</f>
        <v>0.16464999999999999</v>
      </c>
      <c r="K51" s="78">
        <f>0.2056-G50</f>
        <v>0.15595000000000001</v>
      </c>
      <c r="L51" s="78">
        <f t="shared" si="0"/>
        <v>3.0086993517017831E-2</v>
      </c>
      <c r="M51" s="78">
        <f t="shared" si="8"/>
        <v>3.0810413290113449E-2</v>
      </c>
      <c r="N51" s="78">
        <f t="shared" si="2"/>
        <v>3.044870340356564E-2</v>
      </c>
      <c r="O51" s="57">
        <v>3.992</v>
      </c>
      <c r="P51" s="78">
        <f t="shared" si="3"/>
        <v>5.0283232</v>
      </c>
      <c r="Q51" s="79">
        <f t="shared" si="12"/>
        <v>2.5141615999999998E-4</v>
      </c>
      <c r="R51" s="80">
        <f t="shared" si="4"/>
        <v>60.554387998698338</v>
      </c>
      <c r="S51" s="81"/>
      <c r="V51" s="82">
        <f t="shared" si="5"/>
        <v>304.48703403565645</v>
      </c>
      <c r="W51" s="94"/>
      <c r="X51" s="82"/>
      <c r="Y51" s="82"/>
      <c r="Z51" s="82">
        <f>(V51-$V$6)/(D50-$D$5)</f>
        <v>0.7357776723310423</v>
      </c>
      <c r="AA51" s="94"/>
      <c r="AB51" s="102"/>
    </row>
    <row r="52" spans="1:34" x14ac:dyDescent="0.2">
      <c r="A52" s="59"/>
      <c r="B52" s="227"/>
      <c r="C52" s="229"/>
      <c r="D52" s="231"/>
      <c r="E52" s="141" t="s">
        <v>107</v>
      </c>
      <c r="F52" s="233"/>
      <c r="G52" s="235"/>
      <c r="H52" s="86">
        <f>0.2281-F50</f>
        <v>0.17685000000000001</v>
      </c>
      <c r="I52" s="86">
        <f>0.2464-F50</f>
        <v>0.19515000000000002</v>
      </c>
      <c r="J52" s="86">
        <f>0.1471-G50</f>
        <v>9.7450000000000009E-2</v>
      </c>
      <c r="K52" s="86">
        <f>0.1593-G50</f>
        <v>0.10965</v>
      </c>
      <c r="L52" s="78">
        <f t="shared" si="0"/>
        <v>1.9107414910858996E-2</v>
      </c>
      <c r="M52" s="78">
        <f t="shared" si="8"/>
        <v>2.0877106969205837E-2</v>
      </c>
      <c r="N52" s="86">
        <f t="shared" si="2"/>
        <v>1.9992260940032418E-2</v>
      </c>
      <c r="O52" s="91">
        <v>3.2</v>
      </c>
      <c r="P52" s="86">
        <f t="shared" si="3"/>
        <v>4.0307200000000005</v>
      </c>
      <c r="Q52" s="87">
        <f t="shared" si="12"/>
        <v>2.0153600000000004E-4</v>
      </c>
      <c r="R52" s="88">
        <f t="shared" si="4"/>
        <v>49.59972645093783</v>
      </c>
      <c r="S52" s="89">
        <f>AVERAGE(R50:R52)</f>
        <v>53.819539143521475</v>
      </c>
      <c r="T52" s="90">
        <f>STDEV(R50:R52)</f>
        <v>5.8945065595738653</v>
      </c>
      <c r="U52" s="90">
        <f>T52/SQRT(3)</f>
        <v>3.4031949489099862</v>
      </c>
      <c r="V52" s="90">
        <f t="shared" si="5"/>
        <v>199.92260940032415</v>
      </c>
      <c r="W52" s="89">
        <f>AVERAGE(V50:V52)</f>
        <v>238.79119394921668</v>
      </c>
      <c r="X52" s="90">
        <f>STDEV(V50:V52)</f>
        <v>57.211938916516019</v>
      </c>
      <c r="Y52" s="90">
        <f>X52/SQRT(3)</f>
        <v>33.031328334310949</v>
      </c>
      <c r="Z52" s="90">
        <f>(V52-$V$7)/(D50-$D$5)</f>
        <v>0.47652447227494554</v>
      </c>
      <c r="AA52" s="89">
        <f>AVERAGE(Z50:Z52)</f>
        <v>0.57251782169355436</v>
      </c>
      <c r="AB52" s="95">
        <f>STDEV(Z50:Z52)/SQRT(3)</f>
        <v>8.2050070230527988E-2</v>
      </c>
    </row>
    <row r="53" spans="1:34" x14ac:dyDescent="0.2">
      <c r="A53" s="59"/>
      <c r="B53" s="226" t="s">
        <v>42</v>
      </c>
      <c r="C53" s="228">
        <v>0.4597222222222222</v>
      </c>
      <c r="D53" s="230">
        <f>44/60+24+D50</f>
        <v>431.53333333333336</v>
      </c>
      <c r="E53" s="105" t="s">
        <v>105</v>
      </c>
      <c r="F53" s="232">
        <f>(0.0536+0.0451)/2</f>
        <v>4.9350000000000005E-2</v>
      </c>
      <c r="G53" s="234">
        <f>(0.0525+0.0448)/2</f>
        <v>4.8649999999999999E-2</v>
      </c>
      <c r="H53" s="78">
        <f>0.2426-F53</f>
        <v>0.19325000000000001</v>
      </c>
      <c r="I53" s="78">
        <f>0.2428-F53</f>
        <v>0.19344999999999998</v>
      </c>
      <c r="J53" s="78">
        <f>0.1614-G53</f>
        <v>0.11274999999999999</v>
      </c>
      <c r="K53" s="78">
        <f>0.1644-G53</f>
        <v>0.11574999999999999</v>
      </c>
      <c r="L53" s="78">
        <f t="shared" si="0"/>
        <v>2.0265194489465156E-2</v>
      </c>
      <c r="M53" s="78"/>
      <c r="N53" s="78">
        <f t="shared" si="2"/>
        <v>2.0265194489465156E-2</v>
      </c>
      <c r="O53" s="78">
        <v>3.32</v>
      </c>
      <c r="P53" s="78">
        <f t="shared" si="3"/>
        <v>4.1818720000000003</v>
      </c>
      <c r="Q53" s="79">
        <f t="shared" si="12"/>
        <v>2.0909360000000003E-4</v>
      </c>
      <c r="R53" s="80">
        <f t="shared" si="4"/>
        <v>48.459624037907311</v>
      </c>
      <c r="S53" s="81"/>
      <c r="V53" s="82">
        <f t="shared" si="5"/>
        <v>202.65194489465154</v>
      </c>
      <c r="W53" s="94"/>
      <c r="X53" s="82"/>
      <c r="Y53" s="82"/>
      <c r="Z53" s="82">
        <f t="shared" si="7"/>
        <v>0.45471398961551046</v>
      </c>
      <c r="AA53" s="94"/>
      <c r="AB53" s="102"/>
    </row>
    <row r="54" spans="1:34" ht="15" customHeight="1" x14ac:dyDescent="0.2">
      <c r="A54" s="59"/>
      <c r="B54" s="226"/>
      <c r="C54" s="228"/>
      <c r="D54" s="230"/>
      <c r="E54" s="105" t="s">
        <v>106</v>
      </c>
      <c r="F54" s="232"/>
      <c r="G54" s="234"/>
      <c r="H54" s="78">
        <f>0.3747-F53</f>
        <v>0.32534999999999997</v>
      </c>
      <c r="I54" s="78">
        <f>0.3532-F53</f>
        <v>0.30385000000000001</v>
      </c>
      <c r="J54" s="78">
        <f>0.2355-G53</f>
        <v>0.18684999999999999</v>
      </c>
      <c r="K54" s="78">
        <f>0.222-G53</f>
        <v>0.17335</v>
      </c>
      <c r="L54" s="78">
        <f t="shared" si="0"/>
        <v>3.4409359805510534E-2</v>
      </c>
      <c r="M54" s="78">
        <f t="shared" si="8"/>
        <v>3.2248500810372768E-2</v>
      </c>
      <c r="N54" s="78">
        <f t="shared" si="2"/>
        <v>3.3328930307941651E-2</v>
      </c>
      <c r="O54" s="78">
        <v>4</v>
      </c>
      <c r="P54" s="78">
        <f t="shared" si="3"/>
        <v>5.0384000000000002</v>
      </c>
      <c r="Q54" s="79">
        <f t="shared" si="12"/>
        <v>2.5192000000000004E-4</v>
      </c>
      <c r="R54" s="80">
        <f t="shared" si="4"/>
        <v>66.149829922081707</v>
      </c>
      <c r="S54" s="81"/>
      <c r="V54" s="82">
        <f t="shared" si="5"/>
        <v>333.28930307941647</v>
      </c>
      <c r="W54" s="94"/>
      <c r="X54" s="82"/>
      <c r="Y54" s="82"/>
      <c r="Z54" s="82">
        <f>(V54-$V$6)/(D53-$D$5)</f>
        <v>0.76035059357645918</v>
      </c>
      <c r="AA54" s="94"/>
      <c r="AB54" s="102"/>
    </row>
    <row r="55" spans="1:34" ht="16" customHeight="1" thickBot="1" x14ac:dyDescent="0.25">
      <c r="A55" s="105"/>
      <c r="B55" s="252"/>
      <c r="C55" s="251"/>
      <c r="D55" s="250"/>
      <c r="E55" s="141" t="s">
        <v>107</v>
      </c>
      <c r="F55" s="254"/>
      <c r="G55" s="253"/>
      <c r="H55" s="78">
        <f>0.3032-F53</f>
        <v>0.25385000000000002</v>
      </c>
      <c r="I55" s="78">
        <f>0.2874-F53</f>
        <v>0.23804999999999998</v>
      </c>
      <c r="J55" s="78">
        <f>0.2048-G53</f>
        <v>0.15615000000000001</v>
      </c>
      <c r="K55" s="78">
        <f>0.183-G53</f>
        <v>0.13435</v>
      </c>
      <c r="L55" s="78">
        <f t="shared" si="0"/>
        <v>2.583132090761751E-2</v>
      </c>
      <c r="M55" s="78">
        <f t="shared" si="8"/>
        <v>2.5408144246353324E-2</v>
      </c>
      <c r="N55" s="78">
        <f t="shared" si="2"/>
        <v>2.5619732576985417E-2</v>
      </c>
      <c r="O55" s="78">
        <v>3.1840000000000002</v>
      </c>
      <c r="P55" s="78">
        <f t="shared" si="3"/>
        <v>4.0105664000000001</v>
      </c>
      <c r="Q55" s="107">
        <f t="shared" si="12"/>
        <v>2.0052832E-4</v>
      </c>
      <c r="R55" s="108">
        <f t="shared" si="4"/>
        <v>63.88058449047351</v>
      </c>
      <c r="S55" s="109">
        <f>AVERAGE(R53:R55)</f>
        <v>59.496679483487505</v>
      </c>
      <c r="T55" s="110">
        <f>STDEV(R53:R55)</f>
        <v>9.6254773070652018</v>
      </c>
      <c r="U55" s="110">
        <f>T55/SQRT(3)</f>
        <v>5.5572719143127287</v>
      </c>
      <c r="V55" s="110">
        <f t="shared" si="5"/>
        <v>256.19732576985416</v>
      </c>
      <c r="W55" s="109">
        <f>AVERAGE(V53:V55)</f>
        <v>264.04619124797404</v>
      </c>
      <c r="X55" s="110">
        <f>STDEV(V53:V55)</f>
        <v>65.671404396006835</v>
      </c>
      <c r="Y55" s="110">
        <f>X55/SQRT(3)</f>
        <v>37.915403006095325</v>
      </c>
      <c r="Z55" s="110">
        <f>(V55-$V$7)/(D53-$D$5)</f>
        <v>0.57961889006097134</v>
      </c>
      <c r="AA55" s="109">
        <f>AVERAGE(Z53:Z55)</f>
        <v>0.59822782441764699</v>
      </c>
      <c r="AB55" s="111">
        <f>STDEV(Z53:Z55)/SQRT(3)</f>
        <v>8.8718943389811539E-2</v>
      </c>
    </row>
    <row r="56" spans="1:34" ht="15" thickBot="1" x14ac:dyDescent="0.25">
      <c r="B56" s="223" t="s">
        <v>78</v>
      </c>
      <c r="C56" s="224"/>
      <c r="D56" s="224"/>
      <c r="E56" s="224"/>
      <c r="F56" s="224"/>
      <c r="G56" s="224"/>
      <c r="H56" s="224"/>
      <c r="I56" s="224"/>
      <c r="J56" s="224"/>
      <c r="K56" s="224"/>
      <c r="L56" s="224"/>
      <c r="M56" s="224"/>
      <c r="N56" s="224"/>
      <c r="O56" s="224"/>
      <c r="P56" s="224"/>
      <c r="Q56" s="224"/>
      <c r="R56" s="224"/>
      <c r="S56" s="224"/>
      <c r="T56" s="224"/>
      <c r="U56" s="224"/>
      <c r="V56" s="224"/>
      <c r="W56" s="224"/>
      <c r="X56" s="224"/>
      <c r="Y56" s="224"/>
      <c r="Z56" s="224"/>
      <c r="AA56" s="224"/>
      <c r="AB56" s="225"/>
      <c r="AD56" s="222" t="s">
        <v>113</v>
      </c>
      <c r="AE56" s="222"/>
      <c r="AF56" s="222"/>
      <c r="AG56" s="222"/>
      <c r="AH56" s="222"/>
    </row>
    <row r="57" spans="1:34" ht="45" customHeight="1" x14ac:dyDescent="0.2">
      <c r="B57" s="60" t="s">
        <v>0</v>
      </c>
      <c r="C57" s="61" t="s">
        <v>1</v>
      </c>
      <c r="D57" s="62" t="s">
        <v>2</v>
      </c>
      <c r="E57" s="139"/>
      <c r="F57" s="61" t="s">
        <v>8</v>
      </c>
      <c r="G57" s="61" t="s">
        <v>9</v>
      </c>
      <c r="H57" s="213" t="s">
        <v>108</v>
      </c>
      <c r="I57" s="214"/>
      <c r="J57" s="215" t="s">
        <v>111</v>
      </c>
      <c r="K57" s="216"/>
      <c r="L57" s="217" t="s">
        <v>84</v>
      </c>
      <c r="M57" s="218"/>
      <c r="N57" s="63" t="s">
        <v>85</v>
      </c>
      <c r="O57" s="64" t="s">
        <v>86</v>
      </c>
      <c r="P57" s="63" t="s">
        <v>10</v>
      </c>
      <c r="Q57" s="63" t="s">
        <v>11</v>
      </c>
      <c r="R57" s="63" t="s">
        <v>87</v>
      </c>
      <c r="S57" s="63" t="s">
        <v>88</v>
      </c>
      <c r="T57" s="63" t="s">
        <v>89</v>
      </c>
      <c r="U57" s="65" t="s">
        <v>71</v>
      </c>
      <c r="V57" s="64" t="s">
        <v>90</v>
      </c>
      <c r="W57" s="63" t="s">
        <v>91</v>
      </c>
      <c r="X57" s="63" t="s">
        <v>89</v>
      </c>
      <c r="Y57" s="66" t="s">
        <v>71</v>
      </c>
      <c r="Z57" s="66" t="s">
        <v>92</v>
      </c>
      <c r="AA57" s="63" t="s">
        <v>93</v>
      </c>
      <c r="AB57" s="67" t="s">
        <v>71</v>
      </c>
      <c r="AD57" s="57" t="s">
        <v>2</v>
      </c>
      <c r="AE57" s="76" t="str">
        <f>S57</f>
        <v>Average specific CPC conc.</v>
      </c>
      <c r="AF57" s="57" t="s">
        <v>12</v>
      </c>
      <c r="AG57" s="76" t="str">
        <f>W57</f>
        <v>Average total CPC</v>
      </c>
      <c r="AH57" s="57" t="s">
        <v>12</v>
      </c>
    </row>
    <row r="58" spans="1:34" ht="25" customHeight="1" x14ac:dyDescent="0.2">
      <c r="B58" s="68"/>
      <c r="C58" s="69"/>
      <c r="D58" s="72"/>
      <c r="E58" s="140"/>
      <c r="F58" s="69" t="s">
        <v>13</v>
      </c>
      <c r="G58" s="69" t="s">
        <v>13</v>
      </c>
      <c r="H58" s="71" t="s">
        <v>109</v>
      </c>
      <c r="I58" s="69" t="s">
        <v>110</v>
      </c>
      <c r="J58" s="72" t="s">
        <v>109</v>
      </c>
      <c r="K58" s="73" t="s">
        <v>110</v>
      </c>
      <c r="L58" s="221" t="s">
        <v>14</v>
      </c>
      <c r="M58" s="220"/>
      <c r="N58" s="74" t="s">
        <v>14</v>
      </c>
      <c r="O58" s="74" t="s">
        <v>13</v>
      </c>
      <c r="P58" s="74" t="s">
        <v>15</v>
      </c>
      <c r="Q58" s="74" t="s">
        <v>16</v>
      </c>
      <c r="R58" s="75" t="s">
        <v>94</v>
      </c>
      <c r="S58" s="75" t="s">
        <v>94</v>
      </c>
      <c r="T58" s="74"/>
      <c r="U58" s="72"/>
      <c r="V58" s="75" t="s">
        <v>95</v>
      </c>
      <c r="W58" s="75" t="s">
        <v>95</v>
      </c>
      <c r="X58" s="74"/>
      <c r="Y58" s="74"/>
      <c r="Z58" s="75" t="s">
        <v>96</v>
      </c>
      <c r="AA58" s="75" t="s">
        <v>96</v>
      </c>
      <c r="AB58" s="70"/>
      <c r="AD58" s="84">
        <f>D59</f>
        <v>0</v>
      </c>
      <c r="AE58" s="82">
        <f>S61</f>
        <v>49.901900039067897</v>
      </c>
      <c r="AF58" s="82">
        <f>U61</f>
        <v>2.9805328005477252</v>
      </c>
      <c r="AG58" s="82">
        <f>W61</f>
        <v>6.3966301998919484</v>
      </c>
      <c r="AH58" s="82">
        <f>Y61</f>
        <v>0.46107834502580985</v>
      </c>
    </row>
    <row r="59" spans="1:34" x14ac:dyDescent="0.2">
      <c r="B59" s="226" t="s">
        <v>24</v>
      </c>
      <c r="C59" s="228">
        <v>0.52083333333333337</v>
      </c>
      <c r="D59" s="242">
        <v>0</v>
      </c>
      <c r="E59" s="105" t="s">
        <v>105</v>
      </c>
      <c r="F59" s="232">
        <f>(0.0473+0.0516+0.049)/3</f>
        <v>4.9300000000000004E-2</v>
      </c>
      <c r="G59" s="234">
        <f>(0.0457+0.0502+0.0487)/3</f>
        <v>4.82E-2</v>
      </c>
      <c r="H59" s="77">
        <f>0.1886-F59</f>
        <v>0.13929999999999998</v>
      </c>
      <c r="I59" s="78">
        <f>0.1718-F59</f>
        <v>0.1225</v>
      </c>
      <c r="J59" s="78">
        <f>0.1315-G59</f>
        <v>8.3300000000000013E-2</v>
      </c>
      <c r="K59" s="78">
        <f>0.1157-G59</f>
        <v>6.7500000000000004E-2</v>
      </c>
      <c r="L59" s="78">
        <f>(H59-(0.605*J59))/6.17</f>
        <v>1.4408995137763366E-2</v>
      </c>
      <c r="M59" s="78">
        <f>(I59-(0.605*K59))/6.17</f>
        <v>1.3235413290113452E-2</v>
      </c>
      <c r="N59" s="78">
        <f>AVERAGE(L59:M59)</f>
        <v>1.382220421393841E-2</v>
      </c>
      <c r="O59" s="57">
        <f>'Growth curves UTEX #1926'!F31</f>
        <v>0.12</v>
      </c>
      <c r="P59" s="78">
        <f>1.2596*O59</f>
        <v>0.15115200000000001</v>
      </c>
      <c r="Q59" s="79">
        <f>P59*1/1000</f>
        <v>1.5115200000000002E-4</v>
      </c>
      <c r="R59" s="80">
        <f>(N59*0.5)/Q59</f>
        <v>45.722862462747457</v>
      </c>
      <c r="S59" s="81"/>
      <c r="V59" s="82">
        <f>R59*P59</f>
        <v>6.9111021069692038</v>
      </c>
      <c r="W59" s="81"/>
      <c r="AA59" s="81"/>
      <c r="AB59" s="83"/>
      <c r="AD59" s="84">
        <f>D62</f>
        <v>21.25</v>
      </c>
      <c r="AE59" s="82">
        <f>S64</f>
        <v>22.893400880441931</v>
      </c>
      <c r="AF59" s="82">
        <f>U64</f>
        <v>0.97767464803830084</v>
      </c>
      <c r="AG59" s="82">
        <f>W64</f>
        <v>6.1116356023770919</v>
      </c>
      <c r="AH59" s="82">
        <f>Y64</f>
        <v>0.16369790842737408</v>
      </c>
    </row>
    <row r="60" spans="1:34" ht="15" customHeight="1" x14ac:dyDescent="0.2">
      <c r="B60" s="226"/>
      <c r="C60" s="228"/>
      <c r="D60" s="242"/>
      <c r="E60" s="105" t="s">
        <v>106</v>
      </c>
      <c r="F60" s="232"/>
      <c r="G60" s="234"/>
      <c r="H60" s="77">
        <f>0.1427-F59</f>
        <v>9.3399999999999983E-2</v>
      </c>
      <c r="I60" s="78">
        <f>0.2233-F59</f>
        <v>0.17399999999999999</v>
      </c>
      <c r="J60" s="78">
        <f>0.0907-G59</f>
        <v>4.2500000000000003E-2</v>
      </c>
      <c r="K60" s="78">
        <f>0.1702-G59</f>
        <v>0.122</v>
      </c>
      <c r="L60" s="78">
        <f t="shared" ref="L60:L109" si="13">(H60-(0.605*J60))/6.17</f>
        <v>1.0970421393841164E-2</v>
      </c>
      <c r="M60" s="78">
        <f t="shared" ref="M60:M109" si="14">(I60-(0.605*K60))/6.17</f>
        <v>1.6238249594813611E-2</v>
      </c>
      <c r="N60" s="78">
        <f t="shared" ref="N60:N109" si="15">AVERAGE(L60:M60)</f>
        <v>1.3604335494327387E-2</v>
      </c>
      <c r="O60" s="57">
        <f>'Growth curves UTEX #1926'!G31</f>
        <v>9.7000000000000003E-2</v>
      </c>
      <c r="P60" s="78">
        <f t="shared" ref="P60:P109" si="16">1.2596*O60</f>
        <v>0.1221812</v>
      </c>
      <c r="Q60" s="79">
        <f>P60*1/1000</f>
        <v>1.221812E-4</v>
      </c>
      <c r="R60" s="80">
        <f t="shared" ref="R60:R109" si="17">(N60*0.5)/Q60</f>
        <v>55.672785560820266</v>
      </c>
      <c r="S60" s="81"/>
      <c r="V60" s="82">
        <f t="shared" ref="V60:V109" si="18">R60*P60</f>
        <v>6.8021677471636934</v>
      </c>
      <c r="W60" s="81"/>
      <c r="AA60" s="81"/>
      <c r="AB60" s="83"/>
      <c r="AD60" s="84">
        <f>D65</f>
        <v>45.733333333333334</v>
      </c>
      <c r="AE60" s="82">
        <f>S67</f>
        <v>18.579453021504303</v>
      </c>
      <c r="AF60" s="82">
        <f>U67</f>
        <v>0.5977791294435939</v>
      </c>
      <c r="AG60" s="82">
        <f>W67</f>
        <v>7.912317666126417</v>
      </c>
      <c r="AH60" s="82">
        <f>Y67</f>
        <v>6.8710819010390431E-2</v>
      </c>
    </row>
    <row r="61" spans="1:34" ht="15" customHeight="1" x14ac:dyDescent="0.2">
      <c r="B61" s="227"/>
      <c r="C61" s="229"/>
      <c r="D61" s="243"/>
      <c r="E61" s="141" t="s">
        <v>107</v>
      </c>
      <c r="F61" s="233"/>
      <c r="G61" s="235"/>
      <c r="H61" s="85">
        <f>0.154-F59</f>
        <v>0.10469999999999999</v>
      </c>
      <c r="I61" s="86">
        <f>0.152-F59</f>
        <v>0.10269999999999999</v>
      </c>
      <c r="J61" s="86">
        <f>0.1104-G59</f>
        <v>6.2199999999999998E-2</v>
      </c>
      <c r="K61" s="86">
        <f>0.1054-G59</f>
        <v>5.7199999999999994E-2</v>
      </c>
      <c r="L61" s="78">
        <f t="shared" si="13"/>
        <v>1.0870178282009722E-2</v>
      </c>
      <c r="M61" s="78">
        <f t="shared" si="14"/>
        <v>1.1036304700162073E-2</v>
      </c>
      <c r="N61" s="86">
        <f t="shared" si="15"/>
        <v>1.0953241491085897E-2</v>
      </c>
      <c r="O61" s="91">
        <f>'Growth curves UTEX #1926'!H31</f>
        <v>0.09</v>
      </c>
      <c r="P61" s="86">
        <f t="shared" si="16"/>
        <v>0.11336400000000001</v>
      </c>
      <c r="Q61" s="87">
        <f>P61*1/1000</f>
        <v>1.1336400000000001E-4</v>
      </c>
      <c r="R61" s="88">
        <f t="shared" si="17"/>
        <v>48.310052093635967</v>
      </c>
      <c r="S61" s="89">
        <f>AVERAGE(R59:R61)</f>
        <v>49.901900039067897</v>
      </c>
      <c r="T61" s="90">
        <f>STDEV(R59:R61)</f>
        <v>5.1624342441742144</v>
      </c>
      <c r="U61" s="90">
        <f>T61/SQRT(3)</f>
        <v>2.9805328005477252</v>
      </c>
      <c r="V61" s="90">
        <f t="shared" si="18"/>
        <v>5.4766207455429479</v>
      </c>
      <c r="W61" s="89">
        <f>AVERAGE(V59:V61)</f>
        <v>6.3966301998919484</v>
      </c>
      <c r="X61" s="90">
        <f>STDEV(V59:V61)</f>
        <v>0.7986111198544753</v>
      </c>
      <c r="Y61" s="90">
        <f>X61/SQRT(3)</f>
        <v>0.46107834502580985</v>
      </c>
      <c r="Z61" s="91"/>
      <c r="AA61" s="92"/>
      <c r="AB61" s="93"/>
      <c r="AD61" s="84">
        <f>D68</f>
        <v>70.05</v>
      </c>
      <c r="AE61" s="82">
        <f>S70</f>
        <v>38.477617181087687</v>
      </c>
      <c r="AF61" s="82">
        <f>U70</f>
        <v>0.59030402648383939</v>
      </c>
      <c r="AG61" s="82">
        <f>W70</f>
        <v>23.473189263461194</v>
      </c>
      <c r="AH61" s="82">
        <f>Y70</f>
        <v>0.35566925163876939</v>
      </c>
    </row>
    <row r="62" spans="1:34" x14ac:dyDescent="0.2">
      <c r="B62" s="226" t="s">
        <v>25</v>
      </c>
      <c r="C62" s="228">
        <v>0.40625</v>
      </c>
      <c r="D62" s="230">
        <f>11+45/60+9+30/60</f>
        <v>21.25</v>
      </c>
      <c r="E62" s="105" t="s">
        <v>105</v>
      </c>
      <c r="F62" s="232">
        <f>(0.0471+0.0468+0.0517)/3</f>
        <v>4.8533333333333338E-2</v>
      </c>
      <c r="G62" s="234">
        <f>(0.0467+0.0458+0.0508)/3</f>
        <v>4.7766666666666659E-2</v>
      </c>
      <c r="H62" s="77">
        <f>0.1914-F62</f>
        <v>0.14286666666666664</v>
      </c>
      <c r="I62" s="78">
        <f>0.1669-F62</f>
        <v>0.11836666666666665</v>
      </c>
      <c r="J62" s="78">
        <f>0.1529-G62</f>
        <v>0.10513333333333336</v>
      </c>
      <c r="K62" s="78">
        <f>0.1293-G62</f>
        <v>8.1533333333333347E-2</v>
      </c>
      <c r="L62" s="78">
        <f t="shared" si="13"/>
        <v>1.2846191247974061E-2</v>
      </c>
      <c r="M62" s="78">
        <f t="shared" si="14"/>
        <v>1.1189465153970823E-2</v>
      </c>
      <c r="N62" s="78">
        <f t="shared" si="15"/>
        <v>1.2017828200972441E-2</v>
      </c>
      <c r="O62" s="78">
        <f>'Growth curves UTEX #1926'!F34</f>
        <v>0.224</v>
      </c>
      <c r="P62" s="78">
        <f t="shared" si="16"/>
        <v>0.28215040000000002</v>
      </c>
      <c r="Q62" s="79">
        <f t="shared" ref="Q62:Q67" si="19">P62*1/1000</f>
        <v>2.8215040000000003E-4</v>
      </c>
      <c r="R62" s="80">
        <f t="shared" si="17"/>
        <v>21.29684771131361</v>
      </c>
      <c r="S62" s="94"/>
      <c r="T62" s="82"/>
      <c r="U62" s="82"/>
      <c r="V62" s="82">
        <f t="shared" si="18"/>
        <v>6.0089141004862201</v>
      </c>
      <c r="W62" s="94"/>
      <c r="X62" s="82"/>
      <c r="Y62" s="82"/>
      <c r="Z62" s="82">
        <f>(V62-$V$59)/(D62-$D$59)</f>
        <v>-4.2455906187434528E-2</v>
      </c>
      <c r="AA62" s="94"/>
      <c r="AB62" s="83"/>
      <c r="AD62" s="84">
        <f>D71</f>
        <v>96.6</v>
      </c>
      <c r="AE62" s="82">
        <f>S73</f>
        <v>40.869709856819171</v>
      </c>
      <c r="AF62" s="82">
        <f>U73</f>
        <v>3.9010259361608726</v>
      </c>
      <c r="AG62" s="82">
        <f>W73</f>
        <v>36.568600361966503</v>
      </c>
      <c r="AH62" s="82">
        <f>Y73</f>
        <v>3.4146691772352185</v>
      </c>
    </row>
    <row r="63" spans="1:34" x14ac:dyDescent="0.2">
      <c r="B63" s="226"/>
      <c r="C63" s="228"/>
      <c r="D63" s="230"/>
      <c r="E63" s="105" t="s">
        <v>106</v>
      </c>
      <c r="F63" s="232"/>
      <c r="G63" s="234"/>
      <c r="H63" s="77">
        <f>0.1678-F62</f>
        <v>0.11926666666666666</v>
      </c>
      <c r="I63" s="78">
        <f>0.1588-F62</f>
        <v>0.11026666666666665</v>
      </c>
      <c r="J63" s="78">
        <f>0.1208-G62</f>
        <v>7.3033333333333339E-2</v>
      </c>
      <c r="K63" s="78">
        <f>0.1137-G62</f>
        <v>6.5933333333333344E-2</v>
      </c>
      <c r="L63" s="78">
        <f t="shared" si="13"/>
        <v>1.2168800648298216E-2</v>
      </c>
      <c r="M63" s="78">
        <f t="shared" si="14"/>
        <v>1.1406320907617501E-2</v>
      </c>
      <c r="N63" s="78">
        <f t="shared" si="15"/>
        <v>1.1787560777957859E-2</v>
      </c>
      <c r="O63" s="78">
        <f>'Growth curves UTEX #1926'!G34</f>
        <v>0.20599999999999999</v>
      </c>
      <c r="P63" s="78">
        <f t="shared" si="16"/>
        <v>0.25947759999999997</v>
      </c>
      <c r="Q63" s="79">
        <f t="shared" si="19"/>
        <v>2.5947759999999997E-4</v>
      </c>
      <c r="R63" s="80">
        <f t="shared" si="17"/>
        <v>22.71402382702372</v>
      </c>
      <c r="S63" s="81"/>
      <c r="T63" s="82"/>
      <c r="U63" s="82"/>
      <c r="V63" s="82">
        <f t="shared" si="18"/>
        <v>5.8937803889789295</v>
      </c>
      <c r="W63" s="94"/>
      <c r="X63" s="82"/>
      <c r="Y63" s="82"/>
      <c r="Z63" s="82">
        <f>(V63-$V$60)/(D62-$D$59)</f>
        <v>-4.2747640385165361E-2</v>
      </c>
      <c r="AA63" s="94"/>
      <c r="AB63" s="83"/>
      <c r="AD63" s="84">
        <f>D74</f>
        <v>120.69999999999999</v>
      </c>
      <c r="AE63" s="82">
        <f>S76</f>
        <v>47.905532289977224</v>
      </c>
      <c r="AF63" s="82">
        <f>U76</f>
        <v>4.4476425564112247</v>
      </c>
      <c r="AG63" s="82">
        <f>W76</f>
        <v>56.930415440302539</v>
      </c>
      <c r="AH63" s="82">
        <f>Y76</f>
        <v>5.0928841568222154</v>
      </c>
    </row>
    <row r="64" spans="1:34" x14ac:dyDescent="0.2">
      <c r="B64" s="227"/>
      <c r="C64" s="229"/>
      <c r="D64" s="231"/>
      <c r="E64" s="141" t="s">
        <v>107</v>
      </c>
      <c r="F64" s="233"/>
      <c r="G64" s="235"/>
      <c r="H64" s="85">
        <f>0.171-F62</f>
        <v>0.12246666666666667</v>
      </c>
      <c r="I64" s="86">
        <f>0.1848-F62</f>
        <v>0.13626666666666665</v>
      </c>
      <c r="J64" s="86">
        <f>0.1241-G62</f>
        <v>7.6333333333333336E-2</v>
      </c>
      <c r="K64" s="86">
        <f>0.1367-G62</f>
        <v>8.8933333333333336E-2</v>
      </c>
      <c r="L64" s="78">
        <f t="shared" si="13"/>
        <v>1.2363857374392219E-2</v>
      </c>
      <c r="M64" s="78">
        <f t="shared" si="14"/>
        <v>1.3364991896272282E-2</v>
      </c>
      <c r="N64" s="86">
        <f t="shared" si="15"/>
        <v>1.2864424635332251E-2</v>
      </c>
      <c r="O64" s="86">
        <f>'Growth curves UTEX #1926'!H34</f>
        <v>0.20699999999999999</v>
      </c>
      <c r="P64" s="86">
        <f t="shared" si="16"/>
        <v>0.2607372</v>
      </c>
      <c r="Q64" s="87">
        <f t="shared" si="19"/>
        <v>2.6073719999999999E-4</v>
      </c>
      <c r="R64" s="88">
        <f t="shared" si="17"/>
        <v>24.669331102988473</v>
      </c>
      <c r="S64" s="89">
        <f>AVERAGE(R62:R64)</f>
        <v>22.893400880441931</v>
      </c>
      <c r="T64" s="90">
        <f>STDEV(R62:R64)</f>
        <v>1.6933821636743567</v>
      </c>
      <c r="U64" s="90">
        <f>T64/SQRT(3)</f>
        <v>0.97767464803830084</v>
      </c>
      <c r="V64" s="90">
        <f t="shared" si="18"/>
        <v>6.4322123176661261</v>
      </c>
      <c r="W64" s="89">
        <f t="shared" ref="W64:W109" si="20">AVERAGE(V62:V64)</f>
        <v>6.1116356023770919</v>
      </c>
      <c r="X64" s="90">
        <f t="shared" ref="X64:X109" si="21">STDEV(V62:V64)</f>
        <v>0.28353309448896941</v>
      </c>
      <c r="Y64" s="90">
        <f t="shared" ref="Y64:Y109" si="22">X64/SQRT(3)</f>
        <v>0.16369790842737408</v>
      </c>
      <c r="Z64" s="90">
        <f>(V64-$V$61)/(D62-$D$59)</f>
        <v>4.4969015158737802E-2</v>
      </c>
      <c r="AA64" s="89">
        <f>AVERAGE(Z62:Z64)</f>
        <v>-1.3411510471287363E-2</v>
      </c>
      <c r="AB64" s="95">
        <f>STDEV(Z62:Z64)/SQRT(3)</f>
        <v>2.9190384300536654E-2</v>
      </c>
      <c r="AD64" s="84">
        <f>D77</f>
        <v>141.13333333333333</v>
      </c>
      <c r="AE64" s="82">
        <f>S79</f>
        <v>53.114384519094699</v>
      </c>
      <c r="AF64" s="82">
        <f>U79</f>
        <v>5.5334939955970608</v>
      </c>
      <c r="AG64" s="82">
        <f>W79</f>
        <v>70.503847347379789</v>
      </c>
      <c r="AH64" s="82">
        <f>Y79</f>
        <v>7.5290855230918714</v>
      </c>
    </row>
    <row r="65" spans="2:34" x14ac:dyDescent="0.2">
      <c r="B65" s="226" t="s">
        <v>26</v>
      </c>
      <c r="C65" s="228">
        <v>0.42638888888888887</v>
      </c>
      <c r="D65" s="230">
        <f>D62+3+10/60+3+57/60+5+22/60+12</f>
        <v>45.733333333333334</v>
      </c>
      <c r="E65" s="105" t="s">
        <v>105</v>
      </c>
      <c r="F65" s="232">
        <f>(0.054+0.0571+0.0466)/3</f>
        <v>5.2566666666666671E-2</v>
      </c>
      <c r="G65" s="234">
        <f>(0.0516+0.0553+0.0451)/3</f>
        <v>5.0666666666666665E-2</v>
      </c>
      <c r="H65" s="77">
        <f>0.2232-F65</f>
        <v>0.17063333333333333</v>
      </c>
      <c r="I65" s="78">
        <f>0.2009-F65</f>
        <v>0.14833333333333332</v>
      </c>
      <c r="J65" s="78">
        <f>0.1621-G65</f>
        <v>0.11143333333333333</v>
      </c>
      <c r="K65" s="78">
        <f>0.1386-G65</f>
        <v>8.7933333333333336E-2</v>
      </c>
      <c r="L65" s="78">
        <f t="shared" si="13"/>
        <v>1.6728714208535927E-2</v>
      </c>
      <c r="M65" s="78">
        <f t="shared" si="14"/>
        <v>1.5418746623446783E-2</v>
      </c>
      <c r="N65" s="78">
        <f t="shared" si="15"/>
        <v>1.6073730415991354E-2</v>
      </c>
      <c r="O65" s="78">
        <f>'Growth curves UTEX #1926'!F37</f>
        <v>0.36699999999999999</v>
      </c>
      <c r="P65" s="78">
        <f t="shared" si="16"/>
        <v>0.4622732</v>
      </c>
      <c r="Q65" s="79">
        <f t="shared" si="19"/>
        <v>4.6227319999999998E-4</v>
      </c>
      <c r="R65" s="80">
        <f t="shared" si="17"/>
        <v>17.385531343793403</v>
      </c>
      <c r="S65" s="94"/>
      <c r="T65" s="82"/>
      <c r="U65" s="82"/>
      <c r="V65" s="82">
        <f t="shared" si="18"/>
        <v>8.0368652079956764</v>
      </c>
      <c r="W65" s="94"/>
      <c r="X65" s="82"/>
      <c r="Y65" s="82"/>
      <c r="Z65" s="82">
        <f t="shared" ref="Z65:Z107" si="23">(V65-$V$59)/(D65-$D$59)</f>
        <v>2.461581124693453E-2</v>
      </c>
      <c r="AA65" s="94"/>
      <c r="AB65" s="102"/>
      <c r="AD65" s="84">
        <f>D80</f>
        <v>165.91666666666666</v>
      </c>
      <c r="AE65" s="82">
        <f>S82</f>
        <v>49.574912908875397</v>
      </c>
      <c r="AF65" s="82">
        <f>U82</f>
        <v>5.825511541988579</v>
      </c>
      <c r="AG65" s="82">
        <f>W82</f>
        <v>75.258130740140459</v>
      </c>
      <c r="AH65" s="82">
        <f>Y82</f>
        <v>7.2615234679237322</v>
      </c>
    </row>
    <row r="66" spans="2:34" x14ac:dyDescent="0.2">
      <c r="B66" s="226"/>
      <c r="C66" s="228"/>
      <c r="D66" s="230"/>
      <c r="E66" s="105" t="s">
        <v>106</v>
      </c>
      <c r="F66" s="232"/>
      <c r="G66" s="234"/>
      <c r="H66" s="77">
        <f>0.2026-F65</f>
        <v>0.15003333333333332</v>
      </c>
      <c r="I66" s="78">
        <f>0.2413-F65</f>
        <v>0.18873333333333331</v>
      </c>
      <c r="J66" s="78">
        <f>0.153-G65</f>
        <v>0.10233333333333333</v>
      </c>
      <c r="K66" s="78">
        <f>0.1901-G65</f>
        <v>0.13943333333333333</v>
      </c>
      <c r="L66" s="78">
        <f t="shared" si="13"/>
        <v>1.4282279848730414E-2</v>
      </c>
      <c r="M66" s="78">
        <f t="shared" si="14"/>
        <v>1.6916720691518096E-2</v>
      </c>
      <c r="N66" s="78">
        <f t="shared" si="15"/>
        <v>1.5599500270124255E-2</v>
      </c>
      <c r="O66" s="78">
        <f>'Growth curves UTEX #1926'!G37</f>
        <v>0.32200000000000001</v>
      </c>
      <c r="P66" s="78">
        <f t="shared" si="16"/>
        <v>0.40559120000000004</v>
      </c>
      <c r="Q66" s="79">
        <f t="shared" si="19"/>
        <v>4.0559120000000003E-4</v>
      </c>
      <c r="R66" s="80">
        <f t="shared" si="17"/>
        <v>19.230570424264943</v>
      </c>
      <c r="S66" s="81"/>
      <c r="T66" s="82"/>
      <c r="U66" s="82"/>
      <c r="V66" s="82">
        <f t="shared" si="18"/>
        <v>7.7997501350621281</v>
      </c>
      <c r="W66" s="94"/>
      <c r="X66" s="82"/>
      <c r="Y66" s="82"/>
      <c r="Z66" s="82">
        <f>(V66-$V$60)/(D65-$D$59)</f>
        <v>2.1813025974455568E-2</v>
      </c>
      <c r="AA66" s="94"/>
      <c r="AB66" s="102"/>
      <c r="AD66" s="84">
        <f>D83</f>
        <v>189.79999999999998</v>
      </c>
      <c r="AE66" s="82">
        <f>S85</f>
        <v>41.959253272759696</v>
      </c>
      <c r="AF66" s="82">
        <f>U85</f>
        <v>2.9472331636775668</v>
      </c>
      <c r="AG66" s="82">
        <f>W85</f>
        <v>75.706591031874652</v>
      </c>
      <c r="AH66" s="82">
        <f>Y85</f>
        <v>5.2167227495186879</v>
      </c>
    </row>
    <row r="67" spans="2:34" x14ac:dyDescent="0.2">
      <c r="B67" s="227"/>
      <c r="C67" s="229"/>
      <c r="D67" s="231"/>
      <c r="E67" s="141" t="s">
        <v>107</v>
      </c>
      <c r="F67" s="233"/>
      <c r="G67" s="235"/>
      <c r="H67" s="85">
        <f>0.2072-F65</f>
        <v>0.15463333333333332</v>
      </c>
      <c r="I67" s="86">
        <f>0.205-F65</f>
        <v>0.15243333333333331</v>
      </c>
      <c r="J67" s="86">
        <f>0.1445-G65</f>
        <v>9.3833333333333324E-2</v>
      </c>
      <c r="K67" s="86">
        <f>0.1421-G65</f>
        <v>9.1433333333333339E-2</v>
      </c>
      <c r="L67" s="78">
        <f t="shared" si="13"/>
        <v>1.5861291193949214E-2</v>
      </c>
      <c r="M67" s="78">
        <f t="shared" si="14"/>
        <v>1.574005942733657E-2</v>
      </c>
      <c r="N67" s="86">
        <f t="shared" si="15"/>
        <v>1.5800675310642893E-2</v>
      </c>
      <c r="O67" s="86">
        <f>'Growth curves UTEX #1926'!H37</f>
        <v>0.32800000000000001</v>
      </c>
      <c r="P67" s="86">
        <f t="shared" si="16"/>
        <v>0.41314880000000004</v>
      </c>
      <c r="Q67" s="87">
        <f t="shared" si="19"/>
        <v>4.1314880000000007E-4</v>
      </c>
      <c r="R67" s="88">
        <f t="shared" si="17"/>
        <v>19.12225729645456</v>
      </c>
      <c r="S67" s="89">
        <f>AVERAGE(R65:R67)</f>
        <v>18.579453021504303</v>
      </c>
      <c r="T67" s="90">
        <f>STDEV(R65:R67)</f>
        <v>1.0353838239005972</v>
      </c>
      <c r="U67" s="90">
        <f>T67/SQRT(3)</f>
        <v>0.5977791294435939</v>
      </c>
      <c r="V67" s="90">
        <f t="shared" si="18"/>
        <v>7.9003376553214464</v>
      </c>
      <c r="W67" s="89">
        <f t="shared" si="20"/>
        <v>7.912317666126417</v>
      </c>
      <c r="X67" s="90">
        <f t="shared" si="21"/>
        <v>0.1190106295556657</v>
      </c>
      <c r="Y67" s="90">
        <f t="shared" si="22"/>
        <v>6.8710819010390431E-2</v>
      </c>
      <c r="Z67" s="90">
        <f>(V67-$V$61)/(D65-$D$59)</f>
        <v>5.2996725432474454E-2</v>
      </c>
      <c r="AA67" s="89">
        <f t="shared" ref="AA67:AA109" si="24">AVERAGE(Z65:Z67)</f>
        <v>3.3141854217954854E-2</v>
      </c>
      <c r="AB67" s="95">
        <f t="shared" ref="AB67:AB109" si="25">STDEV(Z65:Z67)/SQRT(3)</f>
        <v>9.9603519772107074E-3</v>
      </c>
      <c r="AD67" s="84">
        <f>D86</f>
        <v>214.49999999999997</v>
      </c>
      <c r="AE67" s="82">
        <f>S88</f>
        <v>49.146907703828752</v>
      </c>
      <c r="AF67" s="82">
        <f>U88</f>
        <v>1.4153653090783109</v>
      </c>
      <c r="AG67" s="82">
        <f>W88</f>
        <v>107.16139924365207</v>
      </c>
      <c r="AH67" s="82">
        <f>Y88</f>
        <v>2.7910036403138392</v>
      </c>
    </row>
    <row r="68" spans="2:34" x14ac:dyDescent="0.2">
      <c r="B68" s="226" t="s">
        <v>27</v>
      </c>
      <c r="C68" s="228">
        <v>0.43958333333333338</v>
      </c>
      <c r="D68" s="230">
        <f>12+19/60+12+D65</f>
        <v>70.05</v>
      </c>
      <c r="E68" s="105" t="s">
        <v>105</v>
      </c>
      <c r="F68" s="232">
        <f>(0.0644+0.04333+0.0453)/3</f>
        <v>5.101E-2</v>
      </c>
      <c r="G68" s="234">
        <f>(0.0619+0.0427+0.0439)/3</f>
        <v>4.9499999999999995E-2</v>
      </c>
      <c r="H68" s="77">
        <f>0.3242-F68</f>
        <v>0.27318999999999999</v>
      </c>
      <c r="I68" s="78">
        <f>0.3261-F68</f>
        <v>0.27509</v>
      </c>
      <c r="J68" s="78">
        <f>0.2206-G68</f>
        <v>0.1711</v>
      </c>
      <c r="K68" s="78">
        <f>0.2226-G68</f>
        <v>0.1731</v>
      </c>
      <c r="L68" s="78">
        <f t="shared" si="13"/>
        <v>2.7499918962722854E-2</v>
      </c>
      <c r="M68" s="78">
        <f t="shared" si="14"/>
        <v>2.7611750405186385E-2</v>
      </c>
      <c r="N68" s="78">
        <f t="shared" si="15"/>
        <v>2.755583468395462E-2</v>
      </c>
      <c r="O68" s="78">
        <f>'Growth curves UTEX #1926'!F38</f>
        <v>0.48</v>
      </c>
      <c r="P68" s="78">
        <f t="shared" si="16"/>
        <v>0.60460800000000003</v>
      </c>
      <c r="Q68" s="79">
        <f>O68*0.75/1000</f>
        <v>3.5999999999999997E-4</v>
      </c>
      <c r="R68" s="80">
        <f t="shared" si="17"/>
        <v>38.27199261660364</v>
      </c>
      <c r="S68" s="94"/>
      <c r="T68" s="82"/>
      <c r="U68" s="82"/>
      <c r="V68" s="82">
        <f t="shared" si="18"/>
        <v>23.139552911939496</v>
      </c>
      <c r="W68" s="94"/>
      <c r="X68" s="82"/>
      <c r="Y68" s="82"/>
      <c r="Z68" s="82">
        <f t="shared" si="23"/>
        <v>0.23166953326153167</v>
      </c>
      <c r="AA68" s="94"/>
      <c r="AB68" s="102"/>
      <c r="AD68" s="84">
        <f>D89</f>
        <v>238.64999999999998</v>
      </c>
      <c r="AE68" s="82">
        <f>S91</f>
        <v>44.940044220126573</v>
      </c>
      <c r="AF68" s="82">
        <f>U91</f>
        <v>6.3993744065921101</v>
      </c>
      <c r="AG68" s="82">
        <f>W91</f>
        <v>110.61048082117775</v>
      </c>
      <c r="AH68" s="82">
        <f>Y91</f>
        <v>17.081980098016313</v>
      </c>
    </row>
    <row r="69" spans="2:34" x14ac:dyDescent="0.2">
      <c r="B69" s="226"/>
      <c r="C69" s="228"/>
      <c r="D69" s="230"/>
      <c r="E69" s="105" t="s">
        <v>106</v>
      </c>
      <c r="F69" s="232"/>
      <c r="G69" s="234"/>
      <c r="H69" s="77">
        <f>0.3636-F68</f>
        <v>0.31258999999999998</v>
      </c>
      <c r="I69" s="78">
        <f>0.3491-F68</f>
        <v>0.29809000000000002</v>
      </c>
      <c r="J69" s="78">
        <f>0.279-G68</f>
        <v>0.22950000000000004</v>
      </c>
      <c r="K69" s="78">
        <f>0.2684-G68</f>
        <v>0.21890000000000004</v>
      </c>
      <c r="L69" s="78">
        <f t="shared" si="13"/>
        <v>2.815923824959481E-2</v>
      </c>
      <c r="M69" s="78">
        <f t="shared" si="14"/>
        <v>2.6848541329011346E-2</v>
      </c>
      <c r="N69" s="78">
        <f t="shared" si="15"/>
        <v>2.7503889789303078E-2</v>
      </c>
      <c r="O69" s="78">
        <f>'Growth curves UTEX #1926'!G38</f>
        <v>0.48799999999999999</v>
      </c>
      <c r="P69" s="78">
        <f t="shared" si="16"/>
        <v>0.61468480000000003</v>
      </c>
      <c r="Q69" s="79">
        <f>O69*0.75/1000</f>
        <v>3.6600000000000001E-4</v>
      </c>
      <c r="R69" s="80">
        <f t="shared" si="17"/>
        <v>37.573619930741906</v>
      </c>
      <c r="S69" s="81"/>
      <c r="T69" s="82"/>
      <c r="U69" s="82"/>
      <c r="V69" s="82">
        <f t="shared" si="18"/>
        <v>23.095933052404103</v>
      </c>
      <c r="W69" s="94"/>
      <c r="X69" s="82"/>
      <c r="Y69" s="82"/>
      <c r="Z69" s="82">
        <f>(V69-$V$60)/(D68-$D$59)</f>
        <v>0.23260193155232561</v>
      </c>
      <c r="AA69" s="94"/>
      <c r="AB69" s="102"/>
      <c r="AD69" s="84">
        <f>D92</f>
        <v>263.48333333333329</v>
      </c>
      <c r="AE69" s="82">
        <f>S94</f>
        <v>46.214146377469689</v>
      </c>
      <c r="AF69" s="82">
        <f>U94</f>
        <v>7.4613937844073002</v>
      </c>
      <c r="AG69" s="82">
        <f>W94</f>
        <v>124.4662344678552</v>
      </c>
      <c r="AH69" s="82">
        <f>Y94</f>
        <v>21.075185557026014</v>
      </c>
    </row>
    <row r="70" spans="2:34" x14ac:dyDescent="0.2">
      <c r="B70" s="227"/>
      <c r="C70" s="229"/>
      <c r="D70" s="231"/>
      <c r="E70" s="141" t="s">
        <v>107</v>
      </c>
      <c r="F70" s="233"/>
      <c r="G70" s="235"/>
      <c r="H70" s="85">
        <f>0.3435-F68</f>
        <v>0.29249000000000003</v>
      </c>
      <c r="I70" s="86">
        <f>0.3452-F68</f>
        <v>0.29419000000000001</v>
      </c>
      <c r="J70" s="86">
        <f>0.241-G68</f>
        <v>0.1915</v>
      </c>
      <c r="K70" s="86">
        <f>0.2403-G68</f>
        <v>0.19080000000000003</v>
      </c>
      <c r="L70" s="78">
        <f t="shared" si="13"/>
        <v>2.8627633711507297E-2</v>
      </c>
      <c r="M70" s="78">
        <f t="shared" si="14"/>
        <v>2.8971799027552675E-2</v>
      </c>
      <c r="N70" s="86">
        <f t="shared" si="15"/>
        <v>2.8799716369529986E-2</v>
      </c>
      <c r="O70" s="86">
        <f>'Growth curves UTEX #1926'!H38</f>
        <v>0.48499999999999999</v>
      </c>
      <c r="P70" s="86">
        <f t="shared" si="16"/>
        <v>0.61090600000000006</v>
      </c>
      <c r="Q70" s="87">
        <f>O70*0.75/1000</f>
        <v>3.6375000000000003E-4</v>
      </c>
      <c r="R70" s="88">
        <f t="shared" si="17"/>
        <v>39.587238995917502</v>
      </c>
      <c r="S70" s="89">
        <f>AVERAGE(R68:R70)</f>
        <v>38.477617181087687</v>
      </c>
      <c r="T70" s="90">
        <f>STDEV(R68:R70)</f>
        <v>1.0224365657824939</v>
      </c>
      <c r="U70" s="90">
        <f>T70/SQRT(3)</f>
        <v>0.59030402648383939</v>
      </c>
      <c r="V70" s="90">
        <f t="shared" si="18"/>
        <v>24.184081826039979</v>
      </c>
      <c r="W70" s="89">
        <f t="shared" si="20"/>
        <v>23.473189263461194</v>
      </c>
      <c r="X70" s="90">
        <f t="shared" si="21"/>
        <v>0.6160372145283487</v>
      </c>
      <c r="Y70" s="90">
        <f t="shared" si="22"/>
        <v>0.35566925163876939</v>
      </c>
      <c r="Z70" s="90">
        <f>(V70-$V$61)/(D68-$D$59)</f>
        <v>0.26705868780152792</v>
      </c>
      <c r="AA70" s="89">
        <f t="shared" si="24"/>
        <v>0.24377671753846175</v>
      </c>
      <c r="AB70" s="95">
        <f t="shared" si="25"/>
        <v>1.1644096446138024E-2</v>
      </c>
      <c r="AD70" s="84">
        <f>D95</f>
        <v>286.68333333333328</v>
      </c>
      <c r="AE70" s="82">
        <f>S97</f>
        <v>50.301964252776052</v>
      </c>
      <c r="AF70" s="82">
        <f>U97</f>
        <v>3.7073269330012777</v>
      </c>
      <c r="AG70" s="82">
        <f>W97</f>
        <v>147.51998919502969</v>
      </c>
      <c r="AH70" s="82">
        <f>Y97</f>
        <v>11.743239600428273</v>
      </c>
    </row>
    <row r="71" spans="2:34" x14ac:dyDescent="0.2">
      <c r="B71" s="226" t="s">
        <v>28</v>
      </c>
      <c r="C71" s="228">
        <v>0.54583333333333328</v>
      </c>
      <c r="D71" s="230">
        <f>12+33/60+14+D68</f>
        <v>96.6</v>
      </c>
      <c r="E71" s="105" t="s">
        <v>105</v>
      </c>
      <c r="F71" s="232">
        <f>(0.0497+0.0455)/2</f>
        <v>4.7600000000000003E-2</v>
      </c>
      <c r="G71" s="234">
        <f>(0.0476+0.0436)/2</f>
        <v>4.5600000000000002E-2</v>
      </c>
      <c r="H71" s="77">
        <f>0.3072-F71</f>
        <v>0.25959999999999994</v>
      </c>
      <c r="I71" s="78">
        <f>0.2844-F71</f>
        <v>0.23679999999999998</v>
      </c>
      <c r="J71" s="78">
        <f>0.2244-G71</f>
        <v>0.17879999999999999</v>
      </c>
      <c r="K71" s="78">
        <f>0.2011-G71</f>
        <v>0.1555</v>
      </c>
      <c r="L71" s="78">
        <f t="shared" si="13"/>
        <v>2.4542301458670982E-2</v>
      </c>
      <c r="M71" s="78">
        <f t="shared" si="14"/>
        <v>2.3131685575364665E-2</v>
      </c>
      <c r="N71" s="78">
        <f t="shared" si="15"/>
        <v>2.3836993517017825E-2</v>
      </c>
      <c r="O71" s="78">
        <f>'Growth curves UTEX #1926'!F39</f>
        <v>0.70099999999999996</v>
      </c>
      <c r="P71" s="78">
        <f t="shared" si="16"/>
        <v>0.88297959999999998</v>
      </c>
      <c r="Q71" s="79">
        <f>O71*0.5/1000</f>
        <v>3.5049999999999995E-4</v>
      </c>
      <c r="R71" s="80">
        <f t="shared" si="17"/>
        <v>34.004270352379216</v>
      </c>
      <c r="S71" s="81"/>
      <c r="V71" s="82">
        <f t="shared" si="18"/>
        <v>30.025077034035657</v>
      </c>
      <c r="W71" s="94"/>
      <c r="X71" s="82"/>
      <c r="Y71" s="82"/>
      <c r="Z71" s="82">
        <f t="shared" si="23"/>
        <v>0.2392751027646631</v>
      </c>
      <c r="AA71" s="94"/>
      <c r="AB71" s="102"/>
      <c r="AD71" s="84">
        <f>D98</f>
        <v>334.21666666666658</v>
      </c>
      <c r="AE71" s="82">
        <f>S100</f>
        <v>50.303947734476253</v>
      </c>
      <c r="AF71" s="82">
        <f>U100</f>
        <v>4.3412866363358784</v>
      </c>
      <c r="AG71" s="82">
        <f>W100</f>
        <v>167.60021609940571</v>
      </c>
      <c r="AH71" s="82">
        <f>Y100</f>
        <v>16.120034324862864</v>
      </c>
    </row>
    <row r="72" spans="2:34" ht="15" customHeight="1" x14ac:dyDescent="0.2">
      <c r="B72" s="226"/>
      <c r="C72" s="228"/>
      <c r="D72" s="230"/>
      <c r="E72" s="105" t="s">
        <v>106</v>
      </c>
      <c r="F72" s="232"/>
      <c r="G72" s="234"/>
      <c r="H72" s="77">
        <f>0.3739-F71</f>
        <v>0.32630000000000003</v>
      </c>
      <c r="I72" s="78">
        <f>0.3734-F71</f>
        <v>0.32579999999999998</v>
      </c>
      <c r="J72" s="78">
        <f>0.2487-G71</f>
        <v>0.2031</v>
      </c>
      <c r="K72" s="78">
        <f>0.2478-G71</f>
        <v>0.20219999999999999</v>
      </c>
      <c r="L72" s="78">
        <f t="shared" si="13"/>
        <v>3.2969935170178287E-2</v>
      </c>
      <c r="M72" s="78">
        <f t="shared" si="14"/>
        <v>3.2977147487844409E-2</v>
      </c>
      <c r="N72" s="78">
        <f t="shared" si="15"/>
        <v>3.2973541329011348E-2</v>
      </c>
      <c r="O72" s="78">
        <f>'Growth curves UTEX #1926'!G39</f>
        <v>0.69399999999999995</v>
      </c>
      <c r="P72" s="78">
        <f t="shared" si="16"/>
        <v>0.87416240000000001</v>
      </c>
      <c r="Q72" s="79">
        <f>O72*0.5/1000</f>
        <v>3.4699999999999998E-4</v>
      </c>
      <c r="R72" s="80">
        <f t="shared" si="17"/>
        <v>47.512307390506265</v>
      </c>
      <c r="S72" s="81"/>
      <c r="V72" s="82">
        <f t="shared" si="18"/>
        <v>41.533472658022696</v>
      </c>
      <c r="W72" s="94"/>
      <c r="X72" s="82"/>
      <c r="Y72" s="82"/>
      <c r="Z72" s="82">
        <f>(V72-$V$60)/(D71-$D$59)</f>
        <v>0.35953731791779509</v>
      </c>
      <c r="AA72" s="94"/>
      <c r="AB72" s="102"/>
      <c r="AD72" s="84">
        <f>D101</f>
        <v>358.08333333333326</v>
      </c>
      <c r="AE72" s="82">
        <f>S103</f>
        <v>47.189255903897852</v>
      </c>
      <c r="AF72" s="82">
        <f>U103</f>
        <v>2.8018665213422205</v>
      </c>
      <c r="AG72" s="82">
        <f>W103</f>
        <v>161.97258238789843</v>
      </c>
      <c r="AH72" s="82">
        <f>Y103</f>
        <v>12.8879910643467</v>
      </c>
    </row>
    <row r="73" spans="2:34" ht="15" customHeight="1" x14ac:dyDescent="0.2">
      <c r="B73" s="227"/>
      <c r="C73" s="229"/>
      <c r="D73" s="231"/>
      <c r="E73" s="141" t="s">
        <v>107</v>
      </c>
      <c r="F73" s="233"/>
      <c r="G73" s="235"/>
      <c r="H73" s="85">
        <f>0.3596-F71</f>
        <v>0.31199999999999994</v>
      </c>
      <c r="I73" s="86">
        <f>0.378-F71</f>
        <v>0.33040000000000003</v>
      </c>
      <c r="J73" s="86">
        <f>0.2608-G71</f>
        <v>0.21519999999999997</v>
      </c>
      <c r="K73" s="86">
        <f>0.2745-G71</f>
        <v>0.22890000000000002</v>
      </c>
      <c r="L73" s="78">
        <f t="shared" si="13"/>
        <v>2.9465802269043755E-2</v>
      </c>
      <c r="M73" s="78">
        <f t="shared" si="14"/>
        <v>3.1104619124797409E-2</v>
      </c>
      <c r="N73" s="86">
        <f t="shared" si="15"/>
        <v>3.0285210696920584E-2</v>
      </c>
      <c r="O73" s="86">
        <f>'Growth curves UTEX #1926'!H39</f>
        <v>0.73699999999999999</v>
      </c>
      <c r="P73" s="86">
        <f t="shared" si="16"/>
        <v>0.92832520000000007</v>
      </c>
      <c r="Q73" s="87">
        <f>O73*0.5/1000</f>
        <v>3.6850000000000001E-4</v>
      </c>
      <c r="R73" s="88">
        <f t="shared" si="17"/>
        <v>41.092551827572024</v>
      </c>
      <c r="S73" s="89">
        <f>AVERAGE(R71:R73)</f>
        <v>40.869709856819171</v>
      </c>
      <c r="T73" s="90">
        <f>STDEV(R71:R73)</f>
        <v>6.7567751230745747</v>
      </c>
      <c r="U73" s="90">
        <f>T73/SQRT(3)</f>
        <v>3.9010259361608726</v>
      </c>
      <c r="V73" s="90">
        <f t="shared" si="18"/>
        <v>38.147251393841167</v>
      </c>
      <c r="W73" s="89">
        <f t="shared" si="20"/>
        <v>36.568600361966503</v>
      </c>
      <c r="X73" s="90">
        <f t="shared" si="21"/>
        <v>5.9143805060108132</v>
      </c>
      <c r="Y73" s="90">
        <f t="shared" si="22"/>
        <v>3.4146691772352185</v>
      </c>
      <c r="Z73" s="90">
        <f>(V73-$V$61)/(D71-$D$59)</f>
        <v>0.33820528621426732</v>
      </c>
      <c r="AA73" s="89">
        <f t="shared" si="24"/>
        <v>0.31233923563224186</v>
      </c>
      <c r="AB73" s="95">
        <f t="shared" si="25"/>
        <v>3.7047444931773789E-2</v>
      </c>
      <c r="AD73" s="84">
        <f>D104</f>
        <v>406.13333333333327</v>
      </c>
      <c r="AE73" s="82">
        <f>S106</f>
        <v>47.136258145767108</v>
      </c>
      <c r="AF73" s="82">
        <f>U106</f>
        <v>3.5255877018257693</v>
      </c>
      <c r="AG73" s="82">
        <f>W106</f>
        <v>163.66220961642355</v>
      </c>
      <c r="AH73" s="82">
        <f>Y106</f>
        <v>19.266646343881664</v>
      </c>
    </row>
    <row r="74" spans="2:34" x14ac:dyDescent="0.2">
      <c r="B74" s="226" t="s">
        <v>29</v>
      </c>
      <c r="C74" s="228">
        <v>0.54999999999999993</v>
      </c>
      <c r="D74" s="230">
        <f>24+6/60+D71</f>
        <v>120.69999999999999</v>
      </c>
      <c r="E74" s="105" t="s">
        <v>105</v>
      </c>
      <c r="F74" s="232">
        <f>0.0468</f>
        <v>4.6800000000000001E-2</v>
      </c>
      <c r="G74" s="234">
        <v>4.5199999999999997E-2</v>
      </c>
      <c r="H74" s="77">
        <f>0.2423-F74</f>
        <v>0.19549999999999998</v>
      </c>
      <c r="I74" s="78">
        <f>0.2277-F74</f>
        <v>0.18090000000000001</v>
      </c>
      <c r="J74" s="78">
        <f>0.1743-G74</f>
        <v>0.12910000000000002</v>
      </c>
      <c r="K74" s="78">
        <f>0.1597-G74</f>
        <v>0.11450000000000002</v>
      </c>
      <c r="L74" s="78">
        <f t="shared" si="13"/>
        <v>1.9026661264181521E-2</v>
      </c>
      <c r="M74" s="78">
        <f t="shared" si="14"/>
        <v>1.8091977309562399E-2</v>
      </c>
      <c r="N74" s="78">
        <f t="shared" si="15"/>
        <v>1.8559319286871961E-2</v>
      </c>
      <c r="O74" s="78">
        <f>'Growth curves UTEX #1926'!F40</f>
        <v>0.94899999999999995</v>
      </c>
      <c r="P74" s="78">
        <f t="shared" si="16"/>
        <v>1.1953604</v>
      </c>
      <c r="Q74" s="79">
        <f>O74*0.25/1000</f>
        <v>2.3724999999999999E-4</v>
      </c>
      <c r="R74" s="80">
        <f t="shared" si="17"/>
        <v>39.113423154630055</v>
      </c>
      <c r="S74" s="81"/>
      <c r="V74" s="82">
        <f t="shared" si="18"/>
        <v>46.754637147487841</v>
      </c>
      <c r="W74" s="94"/>
      <c r="X74" s="82"/>
      <c r="Y74" s="82"/>
      <c r="Z74" s="82">
        <f t="shared" si="23"/>
        <v>0.33010385286262339</v>
      </c>
      <c r="AA74" s="94"/>
      <c r="AB74" s="102"/>
      <c r="AD74" s="84">
        <f>D107</f>
        <v>430.93333333333328</v>
      </c>
      <c r="AE74" s="82">
        <f>S109</f>
        <v>49.935349168935282</v>
      </c>
      <c r="AF74" s="82">
        <f>U109</f>
        <v>0.83741740035963441</v>
      </c>
      <c r="AG74" s="82">
        <f>W109</f>
        <v>171.53754727174501</v>
      </c>
      <c r="AH74" s="82">
        <f>Y109</f>
        <v>11.622298127057894</v>
      </c>
    </row>
    <row r="75" spans="2:34" x14ac:dyDescent="0.2">
      <c r="B75" s="226"/>
      <c r="C75" s="228"/>
      <c r="D75" s="230"/>
      <c r="E75" s="105" t="s">
        <v>106</v>
      </c>
      <c r="F75" s="232"/>
      <c r="G75" s="234"/>
      <c r="H75" s="77">
        <f>0.304-F74</f>
        <v>0.25719999999999998</v>
      </c>
      <c r="I75" s="78">
        <f>0.2783-F74</f>
        <v>0.23149999999999998</v>
      </c>
      <c r="J75" s="78">
        <f>0.2143-G74</f>
        <v>0.1691</v>
      </c>
      <c r="K75" s="78">
        <f>0.1849-G74</f>
        <v>0.13970000000000002</v>
      </c>
      <c r="L75" s="78">
        <f t="shared" si="13"/>
        <v>2.5104457050243112E-2</v>
      </c>
      <c r="M75" s="78">
        <f t="shared" si="14"/>
        <v>2.3821961102106968E-2</v>
      </c>
      <c r="N75" s="78">
        <f t="shared" si="15"/>
        <v>2.4463209076175038E-2</v>
      </c>
      <c r="O75" s="78">
        <f>'Growth curves UTEX #1926'!G40</f>
        <v>0.91500000000000004</v>
      </c>
      <c r="P75" s="78">
        <f t="shared" si="16"/>
        <v>1.1525340000000002</v>
      </c>
      <c r="Q75" s="79">
        <f>O75*0.25/1000</f>
        <v>2.2875E-4</v>
      </c>
      <c r="R75" s="80">
        <f t="shared" si="17"/>
        <v>53.471495248470028</v>
      </c>
      <c r="S75" s="81"/>
      <c r="V75" s="82">
        <f t="shared" si="18"/>
        <v>61.627716304700165</v>
      </c>
      <c r="W75" s="94"/>
      <c r="X75" s="82"/>
      <c r="Y75" s="82"/>
      <c r="Z75" s="82">
        <f>(V75-$V$60)/(D74-$D$59)</f>
        <v>0.45422989691413818</v>
      </c>
      <c r="AA75" s="94"/>
      <c r="AB75" s="102"/>
    </row>
    <row r="76" spans="2:34" x14ac:dyDescent="0.2">
      <c r="B76" s="227"/>
      <c r="C76" s="229"/>
      <c r="D76" s="231"/>
      <c r="E76" s="141" t="s">
        <v>107</v>
      </c>
      <c r="F76" s="233"/>
      <c r="G76" s="235"/>
      <c r="H76" s="85">
        <f>0.2803-F74</f>
        <v>0.23349999999999999</v>
      </c>
      <c r="I76" s="86">
        <f>0.3123-F74</f>
        <v>0.26550000000000001</v>
      </c>
      <c r="J76" s="86">
        <f>0.1899-G74</f>
        <v>0.14470000000000002</v>
      </c>
      <c r="K76" s="86">
        <f>0.22-G74</f>
        <v>0.17480000000000001</v>
      </c>
      <c r="L76" s="78">
        <f t="shared" si="13"/>
        <v>2.3655834683954619E-2</v>
      </c>
      <c r="M76" s="78">
        <f t="shared" si="14"/>
        <v>2.5890761750405188E-2</v>
      </c>
      <c r="N76" s="86">
        <f t="shared" si="15"/>
        <v>2.4773298217179905E-2</v>
      </c>
      <c r="O76" s="86">
        <f>'Growth curves UTEX #1926'!H40</f>
        <v>0.96899999999999997</v>
      </c>
      <c r="P76" s="86">
        <f t="shared" si="16"/>
        <v>1.2205524000000001</v>
      </c>
      <c r="Q76" s="87">
        <f>O76*0.25/1000</f>
        <v>2.4225000000000001E-4</v>
      </c>
      <c r="R76" s="88">
        <f t="shared" si="17"/>
        <v>51.131678466831588</v>
      </c>
      <c r="S76" s="89">
        <f>AVERAGE(R74:R76)</f>
        <v>47.905532289977224</v>
      </c>
      <c r="T76" s="90">
        <f>STDEV(R74:R76)</f>
        <v>7.7035428816097671</v>
      </c>
      <c r="U76" s="90">
        <f>T76/SQRT(3)</f>
        <v>4.4476425564112247</v>
      </c>
      <c r="V76" s="90">
        <f t="shared" si="18"/>
        <v>62.408892868719619</v>
      </c>
      <c r="W76" s="89">
        <f t="shared" si="20"/>
        <v>56.930415440302539</v>
      </c>
      <c r="X76" s="90">
        <f t="shared" si="21"/>
        <v>8.8211341166786585</v>
      </c>
      <c r="Y76" s="90">
        <f t="shared" si="22"/>
        <v>5.0928841568222154</v>
      </c>
      <c r="Z76" s="90">
        <f>(V76-$V$61)/(D74-$D$59)</f>
        <v>0.47168411038257396</v>
      </c>
      <c r="AA76" s="89">
        <f t="shared" si="24"/>
        <v>0.41867262005311184</v>
      </c>
      <c r="AB76" s="95">
        <f t="shared" si="25"/>
        <v>4.4570103145429654E-2</v>
      </c>
      <c r="AD76" s="84"/>
      <c r="AE76" s="82"/>
      <c r="AF76" s="82"/>
      <c r="AG76" s="82"/>
      <c r="AH76" s="82"/>
    </row>
    <row r="77" spans="2:34" x14ac:dyDescent="0.2">
      <c r="B77" s="226" t="s">
        <v>30</v>
      </c>
      <c r="C77" s="228">
        <v>0.40138888888888885</v>
      </c>
      <c r="D77" s="230">
        <f>8+26/60+12+D74</f>
        <v>141.13333333333333</v>
      </c>
      <c r="E77" s="105" t="s">
        <v>105</v>
      </c>
      <c r="F77" s="232">
        <v>4.4299999999999999E-2</v>
      </c>
      <c r="G77" s="234">
        <v>4.3999999999999997E-2</v>
      </c>
      <c r="H77" s="77">
        <f>0.164-F77</f>
        <v>0.1197</v>
      </c>
      <c r="I77" s="78">
        <f>0.1473-F77</f>
        <v>0.10299999999999998</v>
      </c>
      <c r="J77" s="78">
        <f>0.1228-G77</f>
        <v>7.8800000000000009E-2</v>
      </c>
      <c r="K77" s="78">
        <f>0.1061-G77</f>
        <v>6.2100000000000002E-2</v>
      </c>
      <c r="L77" s="78">
        <f t="shared" si="13"/>
        <v>1.167358184764992E-2</v>
      </c>
      <c r="M77" s="78">
        <f t="shared" si="14"/>
        <v>1.0604457050243108E-2</v>
      </c>
      <c r="N77" s="78">
        <f t="shared" si="15"/>
        <v>1.1139019448946514E-2</v>
      </c>
      <c r="O77" s="78">
        <f>'Growth curves UTEX #1926'!F41</f>
        <v>1.0209999999999999</v>
      </c>
      <c r="P77" s="78">
        <f t="shared" si="16"/>
        <v>1.2860516</v>
      </c>
      <c r="Q77" s="79">
        <f>O77*0.125/1000</f>
        <v>1.27625E-4</v>
      </c>
      <c r="R77" s="80">
        <f t="shared" si="17"/>
        <v>43.639645245627868</v>
      </c>
      <c r="S77" s="81"/>
      <c r="V77" s="82">
        <f t="shared" si="18"/>
        <v>56.122835591572112</v>
      </c>
      <c r="W77" s="94"/>
      <c r="X77" s="82"/>
      <c r="Y77" s="82"/>
      <c r="Z77" s="82">
        <f t="shared" si="23"/>
        <v>0.34868965624423415</v>
      </c>
      <c r="AA77" s="94"/>
      <c r="AB77" s="102"/>
      <c r="AE77" s="82"/>
      <c r="AF77" s="82"/>
      <c r="AG77" s="82"/>
      <c r="AH77" s="82"/>
    </row>
    <row r="78" spans="2:34" x14ac:dyDescent="0.2">
      <c r="B78" s="226"/>
      <c r="C78" s="228"/>
      <c r="D78" s="230"/>
      <c r="E78" s="105" t="s">
        <v>106</v>
      </c>
      <c r="F78" s="232"/>
      <c r="G78" s="234"/>
      <c r="H78" s="77">
        <f>0.2045-F77</f>
        <v>0.16019999999999998</v>
      </c>
      <c r="I78" s="78">
        <f>0.2244-F77</f>
        <v>0.18009999999999998</v>
      </c>
      <c r="J78" s="78">
        <f>0.1501-G77</f>
        <v>0.10610000000000001</v>
      </c>
      <c r="K78" s="78">
        <f>0.1702-G77</f>
        <v>0.12619999999999998</v>
      </c>
      <c r="L78" s="78">
        <f t="shared" si="13"/>
        <v>1.5560696920583464E-2</v>
      </c>
      <c r="M78" s="78">
        <f t="shared" si="14"/>
        <v>1.6815072933549433E-2</v>
      </c>
      <c r="N78" s="78">
        <f t="shared" si="15"/>
        <v>1.6187884927066448E-2</v>
      </c>
      <c r="O78" s="78">
        <f>'Growth curves UTEX #1926'!G41</f>
        <v>1.0309999999999999</v>
      </c>
      <c r="P78" s="78">
        <f t="shared" si="16"/>
        <v>1.2986476</v>
      </c>
      <c r="Q78" s="79">
        <f>O78*0.125/1000</f>
        <v>1.28875E-4</v>
      </c>
      <c r="R78" s="80">
        <f t="shared" si="17"/>
        <v>62.80459719521415</v>
      </c>
      <c r="S78" s="81"/>
      <c r="V78" s="82">
        <f t="shared" si="18"/>
        <v>81.561039416531585</v>
      </c>
      <c r="W78" s="94"/>
      <c r="X78" s="82"/>
      <c r="Y78" s="82"/>
      <c r="Z78" s="82">
        <f>(V78-$V$60)/(D77-$D$59)</f>
        <v>0.52970386161573857</v>
      </c>
      <c r="AA78" s="94"/>
      <c r="AB78" s="102"/>
      <c r="AE78" s="82"/>
      <c r="AF78" s="82"/>
      <c r="AG78" s="82"/>
      <c r="AH78" s="82"/>
    </row>
    <row r="79" spans="2:34" x14ac:dyDescent="0.2">
      <c r="B79" s="227"/>
      <c r="C79" s="229"/>
      <c r="D79" s="231"/>
      <c r="E79" s="141" t="s">
        <v>107</v>
      </c>
      <c r="F79" s="233"/>
      <c r="G79" s="235"/>
      <c r="H79" s="85">
        <f>0.1907-F77</f>
        <v>0.1464</v>
      </c>
      <c r="I79" s="86">
        <f>0.2048-F77</f>
        <v>0.1605</v>
      </c>
      <c r="J79" s="86">
        <f>0.142-G77</f>
        <v>9.799999999999999E-2</v>
      </c>
      <c r="K79" s="86">
        <f>0.1544-G77</f>
        <v>0.11040000000000001</v>
      </c>
      <c r="L79" s="78">
        <f t="shared" si="13"/>
        <v>1.4118314424635334E-2</v>
      </c>
      <c r="M79" s="78">
        <f t="shared" si="14"/>
        <v>1.5187682333873583E-2</v>
      </c>
      <c r="N79" s="86">
        <f t="shared" si="15"/>
        <v>1.4652998379254458E-2</v>
      </c>
      <c r="O79" s="86">
        <f>'Growth curves UTEX #1926'!H41</f>
        <v>1.1080000000000001</v>
      </c>
      <c r="P79" s="86">
        <f t="shared" si="16"/>
        <v>1.3956368000000001</v>
      </c>
      <c r="Q79" s="87">
        <f>O79*0.125/1000</f>
        <v>1.3850000000000001E-4</v>
      </c>
      <c r="R79" s="88">
        <f t="shared" si="17"/>
        <v>52.898911116442086</v>
      </c>
      <c r="S79" s="89">
        <f>AVERAGE(R77:R79)</f>
        <v>53.114384519094699</v>
      </c>
      <c r="T79" s="90">
        <f>STDEV(R77:R79)</f>
        <v>9.5842927437514227</v>
      </c>
      <c r="U79" s="90">
        <f>T79/SQRT(3)</f>
        <v>5.5334939955970608</v>
      </c>
      <c r="V79" s="90">
        <f t="shared" si="18"/>
        <v>73.82766703403567</v>
      </c>
      <c r="W79" s="89">
        <f t="shared" si="20"/>
        <v>70.503847347379789</v>
      </c>
      <c r="X79" s="90">
        <f t="shared" si="21"/>
        <v>13.040758660526418</v>
      </c>
      <c r="Y79" s="90">
        <f t="shared" si="22"/>
        <v>7.5290855230918714</v>
      </c>
      <c r="Z79" s="90">
        <f>(V79-$V$61)/(D77-$D$59)</f>
        <v>0.48430122547349597</v>
      </c>
      <c r="AA79" s="89">
        <f t="shared" si="24"/>
        <v>0.45423158111115619</v>
      </c>
      <c r="AB79" s="95">
        <f t="shared" si="25"/>
        <v>5.4374237988921256E-2</v>
      </c>
    </row>
    <row r="80" spans="2:34" x14ac:dyDescent="0.2">
      <c r="B80" s="226" t="s">
        <v>31</v>
      </c>
      <c r="C80" s="228">
        <v>0.43402777777777773</v>
      </c>
      <c r="D80" s="230">
        <f>24+47/60+D77</f>
        <v>165.91666666666666</v>
      </c>
      <c r="E80" s="105" t="s">
        <v>105</v>
      </c>
      <c r="F80" s="232">
        <v>4.9299999999999997E-2</v>
      </c>
      <c r="G80" s="234">
        <v>4.8399999999999999E-2</v>
      </c>
      <c r="H80" s="77">
        <f>0.306-F80</f>
        <v>0.25669999999999998</v>
      </c>
      <c r="I80" s="78">
        <f>0.2956-F80</f>
        <v>0.24629999999999996</v>
      </c>
      <c r="J80" s="78">
        <f>0.2403-G80</f>
        <v>0.19190000000000002</v>
      </c>
      <c r="K80" s="78">
        <f>0.2303-G80</f>
        <v>0.18190000000000001</v>
      </c>
      <c r="L80" s="78">
        <f t="shared" si="13"/>
        <v>2.2787763371150724E-2</v>
      </c>
      <c r="M80" s="78">
        <f t="shared" si="14"/>
        <v>2.208273905996758E-2</v>
      </c>
      <c r="N80" s="78">
        <f t="shared" si="15"/>
        <v>2.243525121555915E-2</v>
      </c>
      <c r="O80" s="78">
        <f>'Growth curves UTEX #1926'!F42</f>
        <v>1.1639999999999999</v>
      </c>
      <c r="P80" s="78">
        <f t="shared" si="16"/>
        <v>1.4661743999999999</v>
      </c>
      <c r="Q80" s="79">
        <f t="shared" ref="Q80:Q85" si="26">P80*0.125/1000</f>
        <v>1.8327179999999999E-4</v>
      </c>
      <c r="R80" s="80">
        <f t="shared" si="17"/>
        <v>61.207592263401004</v>
      </c>
      <c r="S80" s="81"/>
      <c r="V80" s="82">
        <f t="shared" si="18"/>
        <v>89.741004862236608</v>
      </c>
      <c r="W80" s="94"/>
      <c r="X80" s="82"/>
      <c r="Y80" s="82"/>
      <c r="Z80" s="82">
        <f t="shared" si="23"/>
        <v>0.49922593323114456</v>
      </c>
      <c r="AA80" s="94"/>
      <c r="AB80" s="102"/>
    </row>
    <row r="81" spans="2:28" x14ac:dyDescent="0.2">
      <c r="B81" s="226"/>
      <c r="C81" s="228"/>
      <c r="D81" s="230"/>
      <c r="E81" s="105" t="s">
        <v>106</v>
      </c>
      <c r="F81" s="232"/>
      <c r="G81" s="234"/>
      <c r="H81" s="77">
        <f>0.2265-F80</f>
        <v>0.17720000000000002</v>
      </c>
      <c r="I81" s="78">
        <f>0.2233-F80</f>
        <v>0.17399999999999999</v>
      </c>
      <c r="J81" s="78">
        <f>0.1636-G80</f>
        <v>0.1152</v>
      </c>
      <c r="K81" s="78">
        <f>0.1621-G80</f>
        <v>0.1137</v>
      </c>
      <c r="L81" s="78">
        <f t="shared" si="13"/>
        <v>1.7423662884927072E-2</v>
      </c>
      <c r="M81" s="78">
        <f t="shared" si="14"/>
        <v>1.7052106969205835E-2</v>
      </c>
      <c r="N81" s="78">
        <f t="shared" si="15"/>
        <v>1.7237884927066453E-2</v>
      </c>
      <c r="O81" s="78">
        <f>'Growth curves UTEX #1926'!G42</f>
        <v>1.2350000000000001</v>
      </c>
      <c r="P81" s="78">
        <f t="shared" si="16"/>
        <v>1.5556060000000003</v>
      </c>
      <c r="Q81" s="79">
        <f t="shared" si="26"/>
        <v>1.9445075000000002E-4</v>
      </c>
      <c r="R81" s="80">
        <f t="shared" si="17"/>
        <v>44.324552430542056</v>
      </c>
      <c r="S81" s="81"/>
      <c r="V81" s="82">
        <f t="shared" si="18"/>
        <v>68.951539708265813</v>
      </c>
      <c r="W81" s="94"/>
      <c r="X81" s="82"/>
      <c r="Y81" s="82"/>
      <c r="Z81" s="82">
        <f>(V81-$V$60)/(D80-$D$59)</f>
        <v>0.37458185009202688</v>
      </c>
      <c r="AA81" s="94"/>
      <c r="AB81" s="102"/>
    </row>
    <row r="82" spans="2:28" x14ac:dyDescent="0.2">
      <c r="B82" s="227"/>
      <c r="C82" s="229"/>
      <c r="D82" s="231"/>
      <c r="E82" s="141" t="s">
        <v>107</v>
      </c>
      <c r="F82" s="233"/>
      <c r="G82" s="235"/>
      <c r="H82" s="85">
        <f>0.2136-F80</f>
        <v>0.1643</v>
      </c>
      <c r="I82" s="86">
        <f>0.2193-F80</f>
        <v>0.16999999999999998</v>
      </c>
      <c r="J82" s="86">
        <f>0.1515-G80</f>
        <v>0.1031</v>
      </c>
      <c r="K82" s="86">
        <f>0.1558-G80</f>
        <v>0.1074</v>
      </c>
      <c r="L82" s="78">
        <f t="shared" si="13"/>
        <v>1.6519367909238251E-2</v>
      </c>
      <c r="M82" s="78">
        <f t="shared" si="14"/>
        <v>1.7021555915721232E-2</v>
      </c>
      <c r="N82" s="86">
        <f t="shared" si="15"/>
        <v>1.6770461912479741E-2</v>
      </c>
      <c r="O82" s="86">
        <f>'Growth curves UTEX #1926'!H42</f>
        <v>1.2330000000000001</v>
      </c>
      <c r="P82" s="86">
        <f t="shared" si="16"/>
        <v>1.5530868000000002</v>
      </c>
      <c r="Q82" s="87">
        <f t="shared" si="26"/>
        <v>1.9413585000000003E-4</v>
      </c>
      <c r="R82" s="88">
        <f t="shared" si="17"/>
        <v>43.192594032683139</v>
      </c>
      <c r="S82" s="89">
        <f>AVERAGE(R80:R82)</f>
        <v>49.574912908875397</v>
      </c>
      <c r="T82" s="90">
        <f>STDEV(R80:R82)</f>
        <v>10.090081970803134</v>
      </c>
      <c r="U82" s="90">
        <f>T82/SQRT(3)</f>
        <v>5.825511541988579</v>
      </c>
      <c r="V82" s="90">
        <f t="shared" si="18"/>
        <v>67.081847649918956</v>
      </c>
      <c r="W82" s="89">
        <f t="shared" si="20"/>
        <v>75.258130740140459</v>
      </c>
      <c r="X82" s="90">
        <f t="shared" si="21"/>
        <v>12.577327586797654</v>
      </c>
      <c r="Y82" s="90">
        <f t="shared" si="22"/>
        <v>7.2615234679237322</v>
      </c>
      <c r="Z82" s="90">
        <f>(V82-$V$61)/(D80-$D$59)</f>
        <v>0.37130222142265806</v>
      </c>
      <c r="AA82" s="89">
        <f t="shared" si="24"/>
        <v>0.4150366682486098</v>
      </c>
      <c r="AB82" s="95">
        <f t="shared" si="25"/>
        <v>4.2105277756186596E-2</v>
      </c>
    </row>
    <row r="83" spans="2:28" x14ac:dyDescent="0.2">
      <c r="B83" s="226" t="s">
        <v>32</v>
      </c>
      <c r="C83" s="228">
        <v>0.4291666666666667</v>
      </c>
      <c r="D83" s="230">
        <f>11+53/60+12+D80</f>
        <v>189.79999999999998</v>
      </c>
      <c r="E83" s="105" t="s">
        <v>105</v>
      </c>
      <c r="F83" s="232">
        <f>(0.0533+0.0497+0.0487)/3</f>
        <v>5.0566666666666669E-2</v>
      </c>
      <c r="G83" s="234">
        <f>(0.0526+0.0486+0.048)/3</f>
        <v>4.9733333333333331E-2</v>
      </c>
      <c r="H83" s="77">
        <f>0.2283-F83</f>
        <v>0.17773333333333333</v>
      </c>
      <c r="I83" s="78">
        <f>0.2314-F83</f>
        <v>0.18083333333333332</v>
      </c>
      <c r="J83" s="78">
        <f>0.1544-G83</f>
        <v>0.10466666666666669</v>
      </c>
      <c r="K83" s="78">
        <f>0.1594-G83</f>
        <v>0.10966666666666666</v>
      </c>
      <c r="L83" s="78">
        <f t="shared" si="13"/>
        <v>1.8542949756888166E-2</v>
      </c>
      <c r="M83" s="78">
        <f t="shared" si="14"/>
        <v>1.8555105348460291E-2</v>
      </c>
      <c r="N83" s="78">
        <f t="shared" si="15"/>
        <v>1.8549027552674228E-2</v>
      </c>
      <c r="O83" s="78">
        <f>'Growth curves UTEX #1926'!F43</f>
        <v>1.444</v>
      </c>
      <c r="P83" s="78">
        <f t="shared" si="16"/>
        <v>1.8188624</v>
      </c>
      <c r="Q83" s="79">
        <f t="shared" si="26"/>
        <v>2.273578E-4</v>
      </c>
      <c r="R83" s="80">
        <f t="shared" si="17"/>
        <v>40.792591133170333</v>
      </c>
      <c r="S83" s="81"/>
      <c r="V83" s="82">
        <f t="shared" si="18"/>
        <v>74.196110210696915</v>
      </c>
      <c r="W83" s="94"/>
      <c r="X83" s="82"/>
      <c r="Y83" s="82"/>
      <c r="Z83" s="82">
        <f t="shared" si="23"/>
        <v>0.35450478452965073</v>
      </c>
      <c r="AA83" s="94"/>
      <c r="AB83" s="102"/>
    </row>
    <row r="84" spans="2:28" x14ac:dyDescent="0.2">
      <c r="B84" s="226"/>
      <c r="C84" s="228"/>
      <c r="D84" s="230"/>
      <c r="E84" s="105" t="s">
        <v>106</v>
      </c>
      <c r="F84" s="232"/>
      <c r="G84" s="234"/>
      <c r="H84" s="77">
        <f>0.2553-F83</f>
        <v>0.20473333333333335</v>
      </c>
      <c r="I84" s="78">
        <f>0.257-F83</f>
        <v>0.20643333333333333</v>
      </c>
      <c r="J84" s="78">
        <f>0.1713-G83</f>
        <v>0.12156666666666668</v>
      </c>
      <c r="K84" s="78">
        <f>0.1723-G83</f>
        <v>0.12256666666666668</v>
      </c>
      <c r="L84" s="78">
        <f t="shared" si="13"/>
        <v>2.1261831442463536E-2</v>
      </c>
      <c r="M84" s="78">
        <f t="shared" si="14"/>
        <v>2.1439303079416525E-2</v>
      </c>
      <c r="N84" s="78">
        <f t="shared" si="15"/>
        <v>2.1350567260940031E-2</v>
      </c>
      <c r="O84" s="78">
        <f>'Growth curves UTEX #1926'!G43</f>
        <v>1.4259999999999999</v>
      </c>
      <c r="P84" s="78">
        <f t="shared" si="16"/>
        <v>1.7961895999999999</v>
      </c>
      <c r="Q84" s="79">
        <f t="shared" si="26"/>
        <v>2.2452369999999999E-4</v>
      </c>
      <c r="R84" s="80">
        <f t="shared" si="17"/>
        <v>47.54635537571319</v>
      </c>
      <c r="S84" s="81"/>
      <c r="V84" s="82">
        <f t="shared" si="18"/>
        <v>85.402269043760128</v>
      </c>
      <c r="W84" s="94"/>
      <c r="X84" s="82"/>
      <c r="Y84" s="82"/>
      <c r="Z84" s="82">
        <f>(V84-$V$60)/(D83-$D$59)</f>
        <v>0.41412066015066618</v>
      </c>
      <c r="AA84" s="94"/>
      <c r="AB84" s="102"/>
    </row>
    <row r="85" spans="2:28" x14ac:dyDescent="0.2">
      <c r="B85" s="227"/>
      <c r="C85" s="229"/>
      <c r="D85" s="231"/>
      <c r="E85" s="141" t="s">
        <v>107</v>
      </c>
      <c r="F85" s="233"/>
      <c r="G85" s="235"/>
      <c r="H85" s="85">
        <f>0.204-F83</f>
        <v>0.15343333333333331</v>
      </c>
      <c r="I85" s="86">
        <f>0.2123-F83</f>
        <v>0.16173333333333331</v>
      </c>
      <c r="J85" s="86">
        <f>0.1355-G83</f>
        <v>8.5766666666666685E-2</v>
      </c>
      <c r="K85" s="86">
        <f>0.1406-G83</f>
        <v>9.0866666666666679E-2</v>
      </c>
      <c r="L85" s="78">
        <f t="shared" si="13"/>
        <v>1.6457779578606155E-2</v>
      </c>
      <c r="M85" s="78">
        <f t="shared" si="14"/>
        <v>1.7302917341977305E-2</v>
      </c>
      <c r="N85" s="86">
        <f t="shared" si="15"/>
        <v>1.6880348460291732E-2</v>
      </c>
      <c r="O85" s="86">
        <f>'Growth curves UTEX #1926'!H43</f>
        <v>1.4279999999999999</v>
      </c>
      <c r="P85" s="86">
        <f t="shared" si="16"/>
        <v>1.7987088</v>
      </c>
      <c r="Q85" s="87">
        <f t="shared" si="26"/>
        <v>2.2483860000000001E-4</v>
      </c>
      <c r="R85" s="88">
        <f t="shared" si="17"/>
        <v>37.538813309395564</v>
      </c>
      <c r="S85" s="89">
        <f>AVERAGE(R83:R85)</f>
        <v>41.959253272759696</v>
      </c>
      <c r="T85" s="90">
        <f>STDEV(R83:R85)</f>
        <v>5.1047575812415067</v>
      </c>
      <c r="U85" s="90">
        <f>T85/SQRT(3)</f>
        <v>2.9472331636775668</v>
      </c>
      <c r="V85" s="90">
        <f t="shared" si="18"/>
        <v>67.521393841166926</v>
      </c>
      <c r="W85" s="89">
        <f t="shared" si="20"/>
        <v>75.706591031874652</v>
      </c>
      <c r="X85" s="90">
        <f t="shared" si="21"/>
        <v>9.0356288511667771</v>
      </c>
      <c r="Y85" s="90">
        <f t="shared" si="22"/>
        <v>5.2167227495186879</v>
      </c>
      <c r="Z85" s="90">
        <f>(V85-$V$61)/(D83-$D$59)</f>
        <v>0.32689553791161213</v>
      </c>
      <c r="AA85" s="89">
        <f t="shared" si="24"/>
        <v>0.36517366086397635</v>
      </c>
      <c r="AB85" s="95">
        <f t="shared" si="25"/>
        <v>2.5738584389215675E-2</v>
      </c>
    </row>
    <row r="86" spans="2:28" x14ac:dyDescent="0.2">
      <c r="B86" s="226" t="s">
        <v>33</v>
      </c>
      <c r="C86" s="228">
        <v>0.45833333333333331</v>
      </c>
      <c r="D86" s="230">
        <f>42/60+24+D83</f>
        <v>214.49999999999997</v>
      </c>
      <c r="E86" s="105" t="s">
        <v>105</v>
      </c>
      <c r="F86" s="232">
        <f>(0.0523+0.0363+0.0414)/3</f>
        <v>4.3333333333333335E-2</v>
      </c>
      <c r="G86" s="234">
        <f>(0.0511+0.0355+0.0401)/3</f>
        <v>4.2233333333333324E-2</v>
      </c>
      <c r="H86" s="77">
        <f>0.2483-F86</f>
        <v>0.20496666666666666</v>
      </c>
      <c r="I86" s="78">
        <f>0.2334-F86</f>
        <v>0.19006666666666666</v>
      </c>
      <c r="J86" s="78">
        <f>0.1665-G86</f>
        <v>0.12426666666666669</v>
      </c>
      <c r="K86" s="78">
        <f>0.1544-G86</f>
        <v>0.11216666666666669</v>
      </c>
      <c r="L86" s="78">
        <f t="shared" si="13"/>
        <v>2.1034900054024849E-2</v>
      </c>
      <c r="M86" s="78">
        <f t="shared" si="14"/>
        <v>1.9806455969746083E-2</v>
      </c>
      <c r="N86" s="78">
        <f t="shared" si="15"/>
        <v>2.0420678011885466E-2</v>
      </c>
      <c r="O86" s="78">
        <f>'Growth curves UTEX #1926'!F44</f>
        <v>1.742</v>
      </c>
      <c r="P86" s="78">
        <f t="shared" si="16"/>
        <v>2.1942232000000002</v>
      </c>
      <c r="Q86" s="79">
        <f t="shared" ref="Q86:Q88" si="27">P86*0.1/1000</f>
        <v>2.1942232000000004E-4</v>
      </c>
      <c r="R86" s="80">
        <f t="shared" si="17"/>
        <v>46.532818566236706</v>
      </c>
      <c r="S86" s="81"/>
      <c r="V86" s="82">
        <f t="shared" si="18"/>
        <v>102.10339005942733</v>
      </c>
      <c r="W86" s="94"/>
      <c r="X86" s="82"/>
      <c r="Y86" s="82"/>
      <c r="Z86" s="82">
        <f t="shared" si="23"/>
        <v>0.44378689022125001</v>
      </c>
      <c r="AA86" s="94"/>
      <c r="AB86" s="102"/>
    </row>
    <row r="87" spans="2:28" x14ac:dyDescent="0.2">
      <c r="B87" s="226"/>
      <c r="C87" s="228"/>
      <c r="D87" s="230"/>
      <c r="E87" s="105" t="s">
        <v>106</v>
      </c>
      <c r="F87" s="232"/>
      <c r="G87" s="234"/>
      <c r="H87" s="77">
        <f>0.2765-F86</f>
        <v>0.23316666666666669</v>
      </c>
      <c r="I87" s="78">
        <f>0.253-F86</f>
        <v>0.20966666666666667</v>
      </c>
      <c r="J87" s="78">
        <f>0.1992-G86</f>
        <v>0.15696666666666667</v>
      </c>
      <c r="K87" s="78">
        <f>0.1781-G86</f>
        <v>0.13586666666666669</v>
      </c>
      <c r="L87" s="78">
        <f t="shared" si="13"/>
        <v>2.2399000540248518E-2</v>
      </c>
      <c r="M87" s="78">
        <f t="shared" si="14"/>
        <v>2.0659211237169097E-2</v>
      </c>
      <c r="N87" s="78">
        <f t="shared" si="15"/>
        <v>2.1529105888708808E-2</v>
      </c>
      <c r="O87" s="78">
        <f>'Growth curves UTEX #1926'!G44</f>
        <v>1.726</v>
      </c>
      <c r="P87" s="78">
        <f t="shared" si="16"/>
        <v>2.1740696000000002</v>
      </c>
      <c r="Q87" s="79">
        <f t="shared" si="27"/>
        <v>2.1740696000000002E-4</v>
      </c>
      <c r="R87" s="80">
        <f t="shared" si="17"/>
        <v>49.513377788615429</v>
      </c>
      <c r="S87" s="81"/>
      <c r="V87" s="82">
        <f t="shared" si="18"/>
        <v>107.64552944354404</v>
      </c>
      <c r="W87" s="94"/>
      <c r="X87" s="82"/>
      <c r="Y87" s="82"/>
      <c r="Z87" s="82">
        <f>(V87-$V$60)/(D86-$D$59)</f>
        <v>0.47013222236074759</v>
      </c>
      <c r="AA87" s="94"/>
      <c r="AB87" s="102"/>
    </row>
    <row r="88" spans="2:28" x14ac:dyDescent="0.2">
      <c r="B88" s="227"/>
      <c r="C88" s="229"/>
      <c r="D88" s="231"/>
      <c r="E88" s="141" t="s">
        <v>107</v>
      </c>
      <c r="F88" s="233"/>
      <c r="G88" s="235"/>
      <c r="H88" s="85">
        <f>0.2687-F86</f>
        <v>0.22536666666666666</v>
      </c>
      <c r="I88" s="86">
        <f>0.2741-F86</f>
        <v>0.23076666666666668</v>
      </c>
      <c r="J88" s="86">
        <f>0.191-G86</f>
        <v>0.14876666666666669</v>
      </c>
      <c r="K88" s="86">
        <f>0.1916-G86</f>
        <v>0.14936666666666668</v>
      </c>
      <c r="L88" s="78">
        <f t="shared" si="13"/>
        <v>2.1938870880605078E-2</v>
      </c>
      <c r="M88" s="78">
        <f t="shared" si="14"/>
        <v>2.2755240410588871E-2</v>
      </c>
      <c r="N88" s="86">
        <f t="shared" si="15"/>
        <v>2.2347055645596976E-2</v>
      </c>
      <c r="O88" s="86">
        <f>'Growth curves UTEX #1926'!H44</f>
        <v>1.726</v>
      </c>
      <c r="P88" s="86">
        <f t="shared" si="16"/>
        <v>2.1740696000000002</v>
      </c>
      <c r="Q88" s="87">
        <f t="shared" si="27"/>
        <v>2.1740696000000002E-4</v>
      </c>
      <c r="R88" s="88">
        <f t="shared" si="17"/>
        <v>51.394526756634136</v>
      </c>
      <c r="S88" s="89">
        <f>AVERAGE(R86:R88)</f>
        <v>49.146907703828752</v>
      </c>
      <c r="T88" s="90">
        <f>STDEV(R86:R88)</f>
        <v>2.4514846265940617</v>
      </c>
      <c r="U88" s="90">
        <f>T88/SQRT(3)</f>
        <v>1.4153653090783109</v>
      </c>
      <c r="V88" s="90">
        <f t="shared" si="18"/>
        <v>111.73527822798488</v>
      </c>
      <c r="W88" s="89">
        <f t="shared" si="20"/>
        <v>107.16139924365207</v>
      </c>
      <c r="X88" s="90">
        <f t="shared" si="21"/>
        <v>4.8341601091332613</v>
      </c>
      <c r="Y88" s="90">
        <f t="shared" si="22"/>
        <v>2.7910036403138392</v>
      </c>
      <c r="Z88" s="90">
        <f>(V88-$V$61)/(D86-$D$59)</f>
        <v>0.49537835656150092</v>
      </c>
      <c r="AA88" s="89">
        <f t="shared" si="24"/>
        <v>0.46976582304783282</v>
      </c>
      <c r="AB88" s="95">
        <f t="shared" si="25"/>
        <v>1.4894300208767659E-2</v>
      </c>
    </row>
    <row r="89" spans="2:28" x14ac:dyDescent="0.2">
      <c r="B89" s="226" t="s">
        <v>34</v>
      </c>
      <c r="C89" s="228">
        <v>0.46458333333333335</v>
      </c>
      <c r="D89" s="230">
        <f>9/60+24+D86</f>
        <v>238.64999999999998</v>
      </c>
      <c r="E89" s="105" t="s">
        <v>105</v>
      </c>
      <c r="F89" s="232">
        <f>(0.0531+0.05)/2</f>
        <v>5.1549999999999999E-2</v>
      </c>
      <c r="G89" s="234">
        <f>(0.0524+0.0491)/2</f>
        <v>5.0750000000000003E-2</v>
      </c>
      <c r="H89" s="77">
        <f>0.1792-F89</f>
        <v>0.12764999999999999</v>
      </c>
      <c r="I89" s="78">
        <f>0.1737-F89</f>
        <v>0.12214999999999999</v>
      </c>
      <c r="J89" s="78">
        <f>0.1222-G89</f>
        <v>7.145E-2</v>
      </c>
      <c r="K89" s="78">
        <f>0.1179-G89</f>
        <v>6.7150000000000001E-2</v>
      </c>
      <c r="L89" s="78">
        <f t="shared" si="13"/>
        <v>1.3682779578606157E-2</v>
      </c>
      <c r="M89" s="78">
        <f t="shared" si="14"/>
        <v>1.3213006482982171E-2</v>
      </c>
      <c r="N89" s="78">
        <f t="shared" si="15"/>
        <v>1.3447893030794165E-2</v>
      </c>
      <c r="O89" s="78">
        <f>'Growth curves UTEX #1926'!F45</f>
        <v>1.9319999999999999</v>
      </c>
      <c r="P89" s="78">
        <f t="shared" si="16"/>
        <v>2.4335472</v>
      </c>
      <c r="Q89" s="79">
        <f t="shared" ref="Q89:Q91" si="28">P89*0.075/1000</f>
        <v>1.8251604E-4</v>
      </c>
      <c r="R89" s="80">
        <f t="shared" si="17"/>
        <v>36.840304640606284</v>
      </c>
      <c r="S89" s="81"/>
      <c r="V89" s="82">
        <f t="shared" si="18"/>
        <v>89.652620205294426</v>
      </c>
      <c r="W89" s="94"/>
      <c r="X89" s="82"/>
      <c r="Y89" s="82"/>
      <c r="Z89" s="82">
        <f t="shared" si="23"/>
        <v>0.34670654975204368</v>
      </c>
      <c r="AA89" s="94"/>
      <c r="AB89" s="102"/>
    </row>
    <row r="90" spans="2:28" x14ac:dyDescent="0.2">
      <c r="B90" s="226"/>
      <c r="C90" s="228"/>
      <c r="D90" s="230"/>
      <c r="E90" s="105" t="s">
        <v>106</v>
      </c>
      <c r="F90" s="232"/>
      <c r="G90" s="234"/>
      <c r="H90" s="77">
        <f>0.1887-F89</f>
        <v>0.13714999999999999</v>
      </c>
      <c r="I90" s="78">
        <f>0.1913-F89</f>
        <v>0.13974999999999999</v>
      </c>
      <c r="J90" s="78">
        <f>0.1299-G89</f>
        <v>7.9149999999999984E-2</v>
      </c>
      <c r="K90" s="78">
        <f>0.1303-G89</f>
        <v>7.9549999999999996E-2</v>
      </c>
      <c r="L90" s="78">
        <f t="shared" si="13"/>
        <v>1.4467463533225285E-2</v>
      </c>
      <c r="M90" s="78">
        <f t="shared" si="14"/>
        <v>1.4849635332252835E-2</v>
      </c>
      <c r="N90" s="78">
        <f t="shared" si="15"/>
        <v>1.465854943273906E-2</v>
      </c>
      <c r="O90" s="78">
        <f>'Growth curves UTEX #1926'!G45</f>
        <v>1.92</v>
      </c>
      <c r="P90" s="78">
        <f t="shared" si="16"/>
        <v>2.4184320000000001</v>
      </c>
      <c r="Q90" s="79">
        <f t="shared" si="28"/>
        <v>1.8138240000000001E-4</v>
      </c>
      <c r="R90" s="80">
        <f t="shared" si="17"/>
        <v>40.407860500079003</v>
      </c>
      <c r="S90" s="81"/>
      <c r="V90" s="82">
        <f t="shared" si="18"/>
        <v>97.723662884927066</v>
      </c>
      <c r="W90" s="94"/>
      <c r="X90" s="82"/>
      <c r="Y90" s="82"/>
      <c r="Z90" s="82">
        <f>(V90-$V$60)/(D89-$D$59)</f>
        <v>0.38098259014357166</v>
      </c>
      <c r="AA90" s="94"/>
      <c r="AB90" s="102"/>
    </row>
    <row r="91" spans="2:28" x14ac:dyDescent="0.2">
      <c r="B91" s="227"/>
      <c r="C91" s="229"/>
      <c r="D91" s="231"/>
      <c r="E91" s="141" t="s">
        <v>107</v>
      </c>
      <c r="F91" s="233"/>
      <c r="G91" s="235"/>
      <c r="H91" s="85">
        <f>0.2836-F89</f>
        <v>0.23205000000000003</v>
      </c>
      <c r="I91" s="86">
        <f>0.3039-F89</f>
        <v>0.25235000000000002</v>
      </c>
      <c r="J91" s="86">
        <f>0.2209-G89</f>
        <v>0.17015000000000002</v>
      </c>
      <c r="K91" s="86">
        <f>0.2393-G89</f>
        <v>0.18855</v>
      </c>
      <c r="L91" s="78">
        <f t="shared" si="13"/>
        <v>2.0925324149108592E-2</v>
      </c>
      <c r="M91" s="78">
        <f t="shared" si="14"/>
        <v>2.2411223662884932E-2</v>
      </c>
      <c r="N91" s="86">
        <f t="shared" si="15"/>
        <v>2.1668273905996762E-2</v>
      </c>
      <c r="O91" s="86">
        <f>'Growth curves UTEX #1926'!H45</f>
        <v>1.992</v>
      </c>
      <c r="P91" s="86">
        <f t="shared" si="16"/>
        <v>2.5091231999999999</v>
      </c>
      <c r="Q91" s="87">
        <f t="shared" si="28"/>
        <v>1.8818423999999998E-4</v>
      </c>
      <c r="R91" s="88">
        <f t="shared" si="17"/>
        <v>57.571967519694432</v>
      </c>
      <c r="S91" s="89">
        <f>AVERAGE(R89:R91)</f>
        <v>44.940044220126573</v>
      </c>
      <c r="T91" s="90">
        <f>STDEV(R89:R91)</f>
        <v>11.084041608873468</v>
      </c>
      <c r="U91" s="90">
        <f>T91/SQRT(3)</f>
        <v>6.3993744065921101</v>
      </c>
      <c r="V91" s="90">
        <f t="shared" si="18"/>
        <v>144.45515937331174</v>
      </c>
      <c r="W91" s="89">
        <f t="shared" si="20"/>
        <v>110.61048082117775</v>
      </c>
      <c r="X91" s="90">
        <f t="shared" si="21"/>
        <v>29.586857423644645</v>
      </c>
      <c r="Y91" s="90">
        <f t="shared" si="22"/>
        <v>17.081980098016313</v>
      </c>
      <c r="Z91" s="90">
        <f>(V91-$V$61)/(D89-$D$59)</f>
        <v>0.58235297979370959</v>
      </c>
      <c r="AA91" s="89">
        <f t="shared" si="24"/>
        <v>0.43668070656310826</v>
      </c>
      <c r="AB91" s="95">
        <f t="shared" si="25"/>
        <v>7.350514750083538E-2</v>
      </c>
    </row>
    <row r="92" spans="2:28" x14ac:dyDescent="0.2">
      <c r="B92" s="226" t="s">
        <v>35</v>
      </c>
      <c r="C92" s="228">
        <v>0.4993055555555555</v>
      </c>
      <c r="D92" s="230">
        <f>50/60+24+D89</f>
        <v>263.48333333333329</v>
      </c>
      <c r="E92" s="105" t="s">
        <v>105</v>
      </c>
      <c r="F92" s="232">
        <f>(0.0536+0.0321+0.0389)/3</f>
        <v>4.1533333333333332E-2</v>
      </c>
      <c r="G92" s="234">
        <f>(0.0523+0.0316+0.0377)/3</f>
        <v>4.0533333333333331E-2</v>
      </c>
      <c r="H92" s="77">
        <f>0.2369-F92</f>
        <v>0.19536666666666666</v>
      </c>
      <c r="I92" s="78">
        <f>0.224-F92</f>
        <v>0.18246666666666667</v>
      </c>
      <c r="J92" s="78">
        <f>0.1876-G92</f>
        <v>0.14706666666666665</v>
      </c>
      <c r="K92" s="78">
        <f>0.1782-G92</f>
        <v>0.13766666666666666</v>
      </c>
      <c r="L92" s="78">
        <f t="shared" si="13"/>
        <v>1.7243327930848189E-2</v>
      </c>
      <c r="M92" s="78">
        <f t="shared" si="14"/>
        <v>1.6074284170718531E-2</v>
      </c>
      <c r="N92" s="78">
        <f t="shared" si="15"/>
        <v>1.6658806050783362E-2</v>
      </c>
      <c r="O92" s="78">
        <f>'Growth curves UTEX #1926'!F46</f>
        <v>2.1640000000000001</v>
      </c>
      <c r="P92" s="78">
        <f t="shared" si="16"/>
        <v>2.7257744000000002</v>
      </c>
      <c r="Q92" s="79">
        <f t="shared" ref="Q92:Q109" si="29">P92*0.05/1000</f>
        <v>1.3628872E-4</v>
      </c>
      <c r="R92" s="80">
        <f t="shared" si="17"/>
        <v>61.11586509427692</v>
      </c>
      <c r="S92" s="81"/>
      <c r="V92" s="82">
        <f t="shared" si="18"/>
        <v>166.58806050783363</v>
      </c>
      <c r="W92" s="94"/>
      <c r="X92" s="82"/>
      <c r="Y92" s="82"/>
      <c r="Z92" s="82">
        <f t="shared" si="23"/>
        <v>0.60602299348800481</v>
      </c>
      <c r="AA92" s="94"/>
      <c r="AB92" s="102"/>
    </row>
    <row r="93" spans="2:28" x14ac:dyDescent="0.2">
      <c r="B93" s="226"/>
      <c r="C93" s="228"/>
      <c r="D93" s="230"/>
      <c r="E93" s="105" t="s">
        <v>106</v>
      </c>
      <c r="F93" s="232"/>
      <c r="G93" s="234"/>
      <c r="H93" s="77">
        <f>0.1439-F92</f>
        <v>0.10236666666666666</v>
      </c>
      <c r="I93" s="78">
        <f>0.1436-F92</f>
        <v>0.10206666666666667</v>
      </c>
      <c r="J93" s="78">
        <f>0.1055-G92</f>
        <v>6.4966666666666673E-2</v>
      </c>
      <c r="K93" s="78">
        <f>0.1053-G92</f>
        <v>6.4766666666666667E-2</v>
      </c>
      <c r="L93" s="78">
        <f t="shared" si="13"/>
        <v>1.0220718530524038E-2</v>
      </c>
      <c r="M93" s="78">
        <f t="shared" si="14"/>
        <v>1.0191707185305241E-2</v>
      </c>
      <c r="N93" s="78">
        <f t="shared" si="15"/>
        <v>1.020621285791464E-2</v>
      </c>
      <c r="O93" s="78">
        <f>'Growth curves UTEX #1926'!G46</f>
        <v>2.1280000000000001</v>
      </c>
      <c r="P93" s="78">
        <f t="shared" si="16"/>
        <v>2.6804288000000001</v>
      </c>
      <c r="Q93" s="79">
        <f t="shared" si="29"/>
        <v>1.3402144000000001E-4</v>
      </c>
      <c r="R93" s="80">
        <f t="shared" si="17"/>
        <v>38.0767915115471</v>
      </c>
      <c r="S93" s="81"/>
      <c r="V93" s="82">
        <f t="shared" si="18"/>
        <v>102.06212857914637</v>
      </c>
      <c r="W93" s="94"/>
      <c r="X93" s="82"/>
      <c r="Y93" s="82"/>
      <c r="Z93" s="82">
        <f>(V93-$V$60)/(D92-$D$59)</f>
        <v>0.36154074577259548</v>
      </c>
      <c r="AA93" s="94"/>
      <c r="AB93" s="102"/>
    </row>
    <row r="94" spans="2:28" x14ac:dyDescent="0.2">
      <c r="B94" s="227"/>
      <c r="C94" s="229"/>
      <c r="D94" s="231"/>
      <c r="E94" s="141" t="s">
        <v>107</v>
      </c>
      <c r="F94" s="233"/>
      <c r="G94" s="235"/>
      <c r="H94" s="85">
        <f>0.146-F92</f>
        <v>0.10446666666666665</v>
      </c>
      <c r="I94" s="86">
        <f>0.143-F92</f>
        <v>0.10146666666666665</v>
      </c>
      <c r="J94" s="86">
        <f>0.1063-G92</f>
        <v>6.5766666666666668E-2</v>
      </c>
      <c r="K94" s="86">
        <f>0.1015-G92</f>
        <v>6.0966666666666676E-2</v>
      </c>
      <c r="L94" s="78">
        <f t="shared" si="13"/>
        <v>1.0482631010264721E-2</v>
      </c>
      <c r="M94" s="78">
        <f t="shared" si="14"/>
        <v>1.0467071853052401E-2</v>
      </c>
      <c r="N94" s="86">
        <f t="shared" si="15"/>
        <v>1.047485143165856E-2</v>
      </c>
      <c r="O94" s="86">
        <f>'Growth curves UTEX #1926'!H46</f>
        <v>2.1080000000000001</v>
      </c>
      <c r="P94" s="86">
        <f t="shared" si="16"/>
        <v>2.6552368000000004</v>
      </c>
      <c r="Q94" s="87">
        <f t="shared" si="29"/>
        <v>1.3276184000000002E-4</v>
      </c>
      <c r="R94" s="88">
        <f t="shared" si="17"/>
        <v>39.449782526585047</v>
      </c>
      <c r="S94" s="89">
        <f>AVERAGE(R92:R94)</f>
        <v>46.214146377469689</v>
      </c>
      <c r="T94" s="90">
        <f>STDEV(R92:R94)</f>
        <v>12.923513129872065</v>
      </c>
      <c r="U94" s="90">
        <f>T94/SQRT(3)</f>
        <v>7.4613937844073002</v>
      </c>
      <c r="V94" s="90">
        <f t="shared" si="18"/>
        <v>104.74851431658561</v>
      </c>
      <c r="W94" s="89">
        <f t="shared" si="20"/>
        <v>124.4662344678552</v>
      </c>
      <c r="X94" s="90">
        <f t="shared" si="21"/>
        <v>36.503292163710846</v>
      </c>
      <c r="Y94" s="90">
        <f t="shared" si="22"/>
        <v>21.075185557026014</v>
      </c>
      <c r="Z94" s="90">
        <f>(V94-$V$61)/(D92-$D$59)</f>
        <v>0.3767672600583567</v>
      </c>
      <c r="AA94" s="89">
        <f t="shared" si="24"/>
        <v>0.44811033310631898</v>
      </c>
      <c r="AB94" s="95">
        <f t="shared" si="25"/>
        <v>7.9078585208934057E-2</v>
      </c>
    </row>
    <row r="95" spans="2:28" x14ac:dyDescent="0.2">
      <c r="B95" s="226" t="s">
        <v>36</v>
      </c>
      <c r="C95" s="228">
        <v>0.46597222222222223</v>
      </c>
      <c r="D95" s="230">
        <f>11+12/60+12+D92</f>
        <v>286.68333333333328</v>
      </c>
      <c r="E95" s="105" t="s">
        <v>105</v>
      </c>
      <c r="F95" s="232">
        <f>(0.0517+0.0474)/2</f>
        <v>4.9549999999999997E-2</v>
      </c>
      <c r="G95" s="234">
        <f>(0.0508+0.0471)/2</f>
        <v>4.895E-2</v>
      </c>
      <c r="H95" s="77">
        <f>0.1697-F95</f>
        <v>0.12014999999999999</v>
      </c>
      <c r="I95" s="78">
        <f>0.1646-F95</f>
        <v>0.11505</v>
      </c>
      <c r="J95" s="78">
        <f>0.1154-G95</f>
        <v>6.6450000000000009E-2</v>
      </c>
      <c r="K95" s="78">
        <f>0.1122-G95</f>
        <v>6.3250000000000001E-2</v>
      </c>
      <c r="L95" s="78">
        <f t="shared" si="13"/>
        <v>1.295749594813614E-2</v>
      </c>
      <c r="M95" s="78">
        <f t="shared" si="14"/>
        <v>1.244469205834684E-2</v>
      </c>
      <c r="N95" s="78">
        <f t="shared" si="15"/>
        <v>1.270109400324149E-2</v>
      </c>
      <c r="O95" s="78">
        <f>'Growth curves UTEX #1926'!F47</f>
        <v>2.2480000000000002</v>
      </c>
      <c r="P95" s="78">
        <f t="shared" si="16"/>
        <v>2.8315808000000002</v>
      </c>
      <c r="Q95" s="79">
        <f t="shared" si="29"/>
        <v>1.4157904000000002E-4</v>
      </c>
      <c r="R95" s="80">
        <f t="shared" si="17"/>
        <v>44.855135347864653</v>
      </c>
      <c r="S95" s="81"/>
      <c r="V95" s="82">
        <f t="shared" si="18"/>
        <v>127.01094003241488</v>
      </c>
      <c r="W95" s="94"/>
      <c r="X95" s="82"/>
      <c r="Y95" s="82"/>
      <c r="Z95" s="82">
        <f t="shared" si="23"/>
        <v>0.4189285666837243</v>
      </c>
      <c r="AA95" s="94"/>
      <c r="AB95" s="102"/>
    </row>
    <row r="96" spans="2:28" x14ac:dyDescent="0.2">
      <c r="B96" s="226"/>
      <c r="C96" s="228"/>
      <c r="D96" s="230"/>
      <c r="E96" s="105" t="s">
        <v>106</v>
      </c>
      <c r="F96" s="232"/>
      <c r="G96" s="234"/>
      <c r="H96" s="77">
        <f>0.2365-F95</f>
        <v>0.18695000000000001</v>
      </c>
      <c r="I96" s="78">
        <f>0.2359-F95</f>
        <v>0.18635000000000002</v>
      </c>
      <c r="J96" s="78">
        <f>0.1866-G95</f>
        <v>0.13764999999999999</v>
      </c>
      <c r="K96" s="78">
        <f>0.1863-G95</f>
        <v>0.13735</v>
      </c>
      <c r="L96" s="78">
        <f t="shared" si="13"/>
        <v>1.6802552674230146E-2</v>
      </c>
      <c r="M96" s="78">
        <f t="shared" si="14"/>
        <v>1.6734724473257703E-2</v>
      </c>
      <c r="N96" s="78">
        <f t="shared" si="15"/>
        <v>1.6768638573743923E-2</v>
      </c>
      <c r="O96" s="78">
        <f>'Growth curves UTEX #1926'!G47</f>
        <v>2.3199999999999998</v>
      </c>
      <c r="P96" s="78">
        <f t="shared" si="16"/>
        <v>2.922272</v>
      </c>
      <c r="Q96" s="79">
        <f t="shared" si="29"/>
        <v>1.461136E-4</v>
      </c>
      <c r="R96" s="80">
        <f t="shared" si="17"/>
        <v>57.382196365512598</v>
      </c>
      <c r="S96" s="81"/>
      <c r="V96" s="82">
        <f t="shared" si="18"/>
        <v>167.68638573743922</v>
      </c>
      <c r="W96" s="94"/>
      <c r="X96" s="82"/>
      <c r="Y96" s="82"/>
      <c r="Z96" s="82">
        <f>(V96-$V$60)/(D95-$D$59)</f>
        <v>0.56119138883881947</v>
      </c>
      <c r="AA96" s="94"/>
      <c r="AB96" s="102"/>
    </row>
    <row r="97" spans="2:34" x14ac:dyDescent="0.2">
      <c r="B97" s="227"/>
      <c r="C97" s="229"/>
      <c r="D97" s="231"/>
      <c r="E97" s="141" t="s">
        <v>107</v>
      </c>
      <c r="F97" s="233"/>
      <c r="G97" s="235"/>
      <c r="H97" s="85">
        <f>0.1839-F95</f>
        <v>0.13435000000000002</v>
      </c>
      <c r="I97" s="86">
        <f>0.199-F95</f>
        <v>0.14945000000000003</v>
      </c>
      <c r="J97" s="86">
        <f>0.1277-G95</f>
        <v>7.8750000000000014E-2</v>
      </c>
      <c r="K97" s="86">
        <f>0.1377-G95</f>
        <v>8.8749999999999996E-2</v>
      </c>
      <c r="L97" s="78">
        <f t="shared" si="13"/>
        <v>1.4052876823338738E-2</v>
      </c>
      <c r="M97" s="78">
        <f t="shared" si="14"/>
        <v>1.551965153970827E-2</v>
      </c>
      <c r="N97" s="86">
        <f t="shared" si="15"/>
        <v>1.4786264181523505E-2</v>
      </c>
      <c r="O97" s="86">
        <f>'Growth curves UTEX #1926'!H47</f>
        <v>2.4119999999999999</v>
      </c>
      <c r="P97" s="86">
        <f t="shared" si="16"/>
        <v>3.0381551999999998</v>
      </c>
      <c r="Q97" s="87">
        <f t="shared" si="29"/>
        <v>1.5190776000000001E-4</v>
      </c>
      <c r="R97" s="88">
        <f t="shared" si="17"/>
        <v>48.668561044950913</v>
      </c>
      <c r="S97" s="89">
        <f>AVERAGE(R95:R97)</f>
        <v>50.301964252776052</v>
      </c>
      <c r="T97" s="90">
        <f>STDEV(R95:R97)</f>
        <v>6.4212786082267117</v>
      </c>
      <c r="U97" s="90">
        <f>T97/SQRT(3)</f>
        <v>3.7073269330012777</v>
      </c>
      <c r="V97" s="90">
        <f t="shared" si="18"/>
        <v>147.86264181523504</v>
      </c>
      <c r="W97" s="89">
        <f t="shared" si="20"/>
        <v>147.51998919502969</v>
      </c>
      <c r="X97" s="90">
        <f t="shared" si="21"/>
        <v>20.339887633396611</v>
      </c>
      <c r="Y97" s="90">
        <f t="shared" si="22"/>
        <v>11.743239600428273</v>
      </c>
      <c r="Z97" s="90">
        <f>(V97-$V$61)/(D95-$D$59)</f>
        <v>0.49666654637413676</v>
      </c>
      <c r="AA97" s="89">
        <f t="shared" si="24"/>
        <v>0.49226216729889344</v>
      </c>
      <c r="AB97" s="95">
        <f t="shared" si="25"/>
        <v>4.112674133359754E-2</v>
      </c>
    </row>
    <row r="98" spans="2:34" x14ac:dyDescent="0.2">
      <c r="B98" s="226" t="s">
        <v>38</v>
      </c>
      <c r="C98" s="228">
        <v>0.4465277777777778</v>
      </c>
      <c r="D98" s="255">
        <f>11+32/60+12+24+D95</f>
        <v>334.21666666666658</v>
      </c>
      <c r="E98" s="105" t="s">
        <v>105</v>
      </c>
      <c r="F98" s="232">
        <f>0.0532</f>
        <v>5.3199999999999997E-2</v>
      </c>
      <c r="G98" s="234">
        <v>5.2499999999999998E-2</v>
      </c>
      <c r="H98" s="77">
        <f>0.2469-F98</f>
        <v>0.19370000000000001</v>
      </c>
      <c r="I98" s="78">
        <f>0.2465-F98</f>
        <v>0.1933</v>
      </c>
      <c r="J98" s="78">
        <f>0.1699-G98</f>
        <v>0.1174</v>
      </c>
      <c r="K98" s="78">
        <f>0.174-G98</f>
        <v>0.1215</v>
      </c>
      <c r="L98" s="78">
        <f t="shared" si="13"/>
        <v>1.9882171799027553E-2</v>
      </c>
      <c r="M98" s="78">
        <f t="shared" si="14"/>
        <v>1.9415316045380878E-2</v>
      </c>
      <c r="N98" s="78">
        <f t="shared" si="15"/>
        <v>1.9648743922204216E-2</v>
      </c>
      <c r="O98" s="78">
        <f>'Growth curves UTEX #1926'!F49</f>
        <v>2.6920000000000002</v>
      </c>
      <c r="P98" s="78">
        <f t="shared" si="16"/>
        <v>3.3908432000000004</v>
      </c>
      <c r="Q98" s="79">
        <f t="shared" si="29"/>
        <v>1.6954216000000002E-4</v>
      </c>
      <c r="R98" s="80">
        <f t="shared" si="17"/>
        <v>57.94648340626371</v>
      </c>
      <c r="S98" s="81"/>
      <c r="V98" s="82">
        <f t="shared" si="18"/>
        <v>196.48743922204216</v>
      </c>
      <c r="W98" s="94"/>
      <c r="X98" s="82"/>
      <c r="Y98" s="82"/>
      <c r="Z98" s="82">
        <f t="shared" si="23"/>
        <v>0.56722586280877574</v>
      </c>
      <c r="AA98" s="94"/>
      <c r="AB98" s="102"/>
    </row>
    <row r="99" spans="2:34" x14ac:dyDescent="0.2">
      <c r="B99" s="226"/>
      <c r="C99" s="228"/>
      <c r="D99" s="255"/>
      <c r="E99" s="105" t="s">
        <v>106</v>
      </c>
      <c r="F99" s="232"/>
      <c r="G99" s="234"/>
      <c r="H99" s="77">
        <f>0.1861-F98</f>
        <v>0.13289999999999999</v>
      </c>
      <c r="I99" s="78">
        <f>0.1816-F98</f>
        <v>0.12840000000000001</v>
      </c>
      <c r="J99" s="78">
        <f>0.1268-G98</f>
        <v>7.4300000000000005E-2</v>
      </c>
      <c r="K99" s="78">
        <f>0.123-G98</f>
        <v>7.0500000000000007E-2</v>
      </c>
      <c r="L99" s="78">
        <f t="shared" si="13"/>
        <v>1.4254213938411668E-2</v>
      </c>
      <c r="M99" s="78">
        <f t="shared" si="14"/>
        <v>1.3897487844408429E-2</v>
      </c>
      <c r="N99" s="78">
        <f t="shared" si="15"/>
        <v>1.4075850891410047E-2</v>
      </c>
      <c r="O99" s="78">
        <f>'Growth curves UTEX #1926'!G49</f>
        <v>2.6040000000000001</v>
      </c>
      <c r="P99" s="78">
        <f t="shared" si="16"/>
        <v>3.2799984000000002</v>
      </c>
      <c r="Q99" s="79">
        <f t="shared" si="29"/>
        <v>1.6399992000000002E-4</v>
      </c>
      <c r="R99" s="80">
        <f t="shared" si="17"/>
        <v>42.914200480738181</v>
      </c>
      <c r="S99" s="81"/>
      <c r="V99" s="82">
        <f t="shared" si="18"/>
        <v>140.75850891410047</v>
      </c>
      <c r="W99" s="94"/>
      <c r="X99" s="82"/>
      <c r="Y99" s="82"/>
      <c r="Z99" s="82">
        <f>(V99-$V$60)/(D98-$D$59)</f>
        <v>0.40080688525488506</v>
      </c>
      <c r="AA99" s="94"/>
      <c r="AB99" s="102"/>
    </row>
    <row r="100" spans="2:34" x14ac:dyDescent="0.2">
      <c r="B100" s="227"/>
      <c r="C100" s="229"/>
      <c r="D100" s="256"/>
      <c r="E100" s="141" t="s">
        <v>107</v>
      </c>
      <c r="F100" s="233"/>
      <c r="G100" s="235"/>
      <c r="H100" s="85">
        <f>0.196-F98</f>
        <v>0.14280000000000001</v>
      </c>
      <c r="I100" s="86">
        <f>0.217-F98</f>
        <v>0.1638</v>
      </c>
      <c r="J100" s="86">
        <f>0.1279-G98</f>
        <v>7.5400000000000023E-2</v>
      </c>
      <c r="K100" s="86">
        <f>0.1462-G98</f>
        <v>9.3700000000000006E-2</v>
      </c>
      <c r="L100" s="78">
        <f t="shared" si="13"/>
        <v>1.575089141004862E-2</v>
      </c>
      <c r="M100" s="78">
        <f t="shared" si="14"/>
        <v>1.736004862236629E-2</v>
      </c>
      <c r="N100" s="86">
        <f t="shared" si="15"/>
        <v>1.6555470016207455E-2</v>
      </c>
      <c r="O100" s="86">
        <f>'Growth curves UTEX #1926'!H49</f>
        <v>2.6259999999999999</v>
      </c>
      <c r="P100" s="86">
        <f t="shared" si="16"/>
        <v>3.3077095999999999</v>
      </c>
      <c r="Q100" s="87">
        <f t="shared" si="29"/>
        <v>1.6538548E-4</v>
      </c>
      <c r="R100" s="88">
        <f t="shared" si="17"/>
        <v>50.051159316426855</v>
      </c>
      <c r="S100" s="89">
        <f>AVERAGE(R98:R100)</f>
        <v>50.303947734476253</v>
      </c>
      <c r="T100" s="90">
        <f>STDEV(R98:R100)</f>
        <v>7.5193290243535325</v>
      </c>
      <c r="U100" s="90">
        <f>T100/SQRT(3)</f>
        <v>4.3412866363358784</v>
      </c>
      <c r="V100" s="90">
        <f t="shared" si="18"/>
        <v>165.55470016207454</v>
      </c>
      <c r="W100" s="89">
        <f t="shared" si="20"/>
        <v>167.60021609940571</v>
      </c>
      <c r="X100" s="90">
        <f t="shared" si="21"/>
        <v>27.920718470416741</v>
      </c>
      <c r="Y100" s="90">
        <f t="shared" si="22"/>
        <v>16.120034324862864</v>
      </c>
      <c r="Z100" s="90">
        <f>(V100-$V$61)/(D98-$D$59)</f>
        <v>0.47896498104981283</v>
      </c>
      <c r="AA100" s="89">
        <f t="shared" si="24"/>
        <v>0.4823325763711579</v>
      </c>
      <c r="AB100" s="95">
        <f t="shared" si="25"/>
        <v>4.8070519538856826E-2</v>
      </c>
    </row>
    <row r="101" spans="2:34" x14ac:dyDescent="0.2">
      <c r="B101" s="226" t="s">
        <v>39</v>
      </c>
      <c r="C101" s="228">
        <v>0.44097222222222227</v>
      </c>
      <c r="D101" s="230">
        <f>11+52/60+12+D98</f>
        <v>358.08333333333326</v>
      </c>
      <c r="E101" s="105" t="s">
        <v>105</v>
      </c>
      <c r="F101" s="232">
        <f>(0.0454+0.053+0.0393)/3</f>
        <v>4.5899999999999996E-2</v>
      </c>
      <c r="G101" s="234">
        <f>(0.0458+0.0534+0.0393)/3</f>
        <v>4.6166666666666668E-2</v>
      </c>
      <c r="H101" s="78">
        <f>0.2007-F101</f>
        <v>0.15479999999999999</v>
      </c>
      <c r="I101" s="78">
        <f>0.1936-F101</f>
        <v>0.1477</v>
      </c>
      <c r="J101" s="78">
        <f>0.1319-G101</f>
        <v>8.5733333333333328E-2</v>
      </c>
      <c r="K101" s="78">
        <f>0.1267-G101</f>
        <v>8.0533333333333346E-2</v>
      </c>
      <c r="L101" s="78">
        <f t="shared" si="13"/>
        <v>1.6682549972987574E-2</v>
      </c>
      <c r="M101" s="78">
        <f t="shared" si="14"/>
        <v>1.6041707185305242E-2</v>
      </c>
      <c r="N101" s="78">
        <f t="shared" si="15"/>
        <v>1.6362128579146408E-2</v>
      </c>
      <c r="O101" s="78">
        <f>'Growth curves UTEX #1926'!F50</f>
        <v>2.8919999999999999</v>
      </c>
      <c r="P101" s="78">
        <f t="shared" si="16"/>
        <v>3.6427632000000001</v>
      </c>
      <c r="Q101" s="79">
        <f t="shared" si="29"/>
        <v>1.8213816000000002E-4</v>
      </c>
      <c r="R101" s="80">
        <f t="shared" si="17"/>
        <v>44.91680540515619</v>
      </c>
      <c r="S101" s="81"/>
      <c r="V101" s="82">
        <f t="shared" si="18"/>
        <v>163.62128579146406</v>
      </c>
      <c r="W101" s="94"/>
      <c r="X101" s="82"/>
      <c r="Y101" s="82"/>
      <c r="Z101" s="82">
        <f t="shared" si="23"/>
        <v>0.43763607265858478</v>
      </c>
      <c r="AA101" s="94"/>
      <c r="AB101" s="102"/>
    </row>
    <row r="102" spans="2:34" x14ac:dyDescent="0.2">
      <c r="B102" s="226"/>
      <c r="C102" s="228"/>
      <c r="D102" s="230"/>
      <c r="E102" s="105" t="s">
        <v>106</v>
      </c>
      <c r="F102" s="232"/>
      <c r="G102" s="234"/>
      <c r="H102" s="78">
        <f>0.2293-F101</f>
        <v>0.18340000000000001</v>
      </c>
      <c r="I102" s="78">
        <f>0.2405-F101</f>
        <v>0.1946</v>
      </c>
      <c r="J102" s="78">
        <f>0.1677-G101</f>
        <v>0.12153333333333333</v>
      </c>
      <c r="K102" s="78">
        <f>0.1753-G101</f>
        <v>0.12913333333333335</v>
      </c>
      <c r="L102" s="78">
        <f t="shared" si="13"/>
        <v>1.7807509454349002E-2</v>
      </c>
      <c r="M102" s="78">
        <f t="shared" si="14"/>
        <v>1.8877525661804426E-2</v>
      </c>
      <c r="N102" s="78">
        <f t="shared" si="15"/>
        <v>1.8342517558076712E-2</v>
      </c>
      <c r="O102" s="78">
        <f>'Growth curves UTEX #1926'!G50</f>
        <v>2.76</v>
      </c>
      <c r="P102" s="78">
        <f t="shared" si="16"/>
        <v>3.476496</v>
      </c>
      <c r="Q102" s="79">
        <f t="shared" si="29"/>
        <v>1.738248E-4</v>
      </c>
      <c r="R102" s="80">
        <f t="shared" si="17"/>
        <v>52.761509169223011</v>
      </c>
      <c r="S102" s="81"/>
      <c r="V102" s="82">
        <f t="shared" si="18"/>
        <v>183.42517558076713</v>
      </c>
      <c r="W102" s="94"/>
      <c r="X102" s="82"/>
      <c r="Y102" s="82"/>
      <c r="Z102" s="82">
        <f>(V102-$V$60)/(D101-$D$59)</f>
        <v>0.49324554200680509</v>
      </c>
      <c r="AA102" s="94"/>
      <c r="AB102" s="102"/>
    </row>
    <row r="103" spans="2:34" x14ac:dyDescent="0.2">
      <c r="B103" s="227"/>
      <c r="C103" s="229"/>
      <c r="D103" s="231"/>
      <c r="E103" s="141" t="s">
        <v>107</v>
      </c>
      <c r="F103" s="233"/>
      <c r="G103" s="235"/>
      <c r="H103" s="86">
        <f>0.178-F101</f>
        <v>0.1321</v>
      </c>
      <c r="I103" s="86">
        <f>0.1811-F101</f>
        <v>0.13520000000000001</v>
      </c>
      <c r="J103" s="86">
        <f>0.1243-G101</f>
        <v>7.8133333333333332E-2</v>
      </c>
      <c r="K103" s="86">
        <f>0.1266-G101</f>
        <v>8.0433333333333329E-2</v>
      </c>
      <c r="L103" s="78">
        <f t="shared" si="13"/>
        <v>1.3748676391139926E-2</v>
      </c>
      <c r="M103" s="78">
        <f t="shared" si="14"/>
        <v>1.4025580767152894E-2</v>
      </c>
      <c r="N103" s="86">
        <f t="shared" si="15"/>
        <v>1.388712857914641E-2</v>
      </c>
      <c r="O103" s="86">
        <f>'Growth curves UTEX #1926'!H50</f>
        <v>2.512</v>
      </c>
      <c r="P103" s="86">
        <f t="shared" si="16"/>
        <v>3.1641152000000003</v>
      </c>
      <c r="Q103" s="87">
        <f t="shared" si="29"/>
        <v>1.5820576000000002E-4</v>
      </c>
      <c r="R103" s="88">
        <f t="shared" si="17"/>
        <v>43.889453137314369</v>
      </c>
      <c r="S103" s="89">
        <f>AVERAGE(R101:R103)</f>
        <v>47.189255903897852</v>
      </c>
      <c r="T103" s="90">
        <f>STDEV(R101:R103)</f>
        <v>4.8529751709909936</v>
      </c>
      <c r="U103" s="90">
        <f>T103/SQRT(3)</f>
        <v>2.8018665213422205</v>
      </c>
      <c r="V103" s="90">
        <f t="shared" si="18"/>
        <v>138.87128579146409</v>
      </c>
      <c r="W103" s="89">
        <f t="shared" si="20"/>
        <v>161.97258238789843</v>
      </c>
      <c r="X103" s="90">
        <f t="shared" si="21"/>
        <v>22.322655330942176</v>
      </c>
      <c r="Y103" s="90">
        <f t="shared" si="22"/>
        <v>12.8879910643467</v>
      </c>
      <c r="Z103" s="90">
        <f>(V103-$V$61)/(D101-$D$59)</f>
        <v>0.37252408204585846</v>
      </c>
      <c r="AA103" s="89">
        <f t="shared" si="24"/>
        <v>0.43446856557041613</v>
      </c>
      <c r="AB103" s="95">
        <f t="shared" si="25"/>
        <v>3.4885252613106529E-2</v>
      </c>
    </row>
    <row r="104" spans="2:34" x14ac:dyDescent="0.2">
      <c r="B104" s="226" t="s">
        <v>41</v>
      </c>
      <c r="C104" s="228">
        <v>0.44305555555555554</v>
      </c>
      <c r="D104" s="230">
        <f>3/60+48+D101</f>
        <v>406.13333333333327</v>
      </c>
      <c r="E104" s="105" t="s">
        <v>105</v>
      </c>
      <c r="F104" s="232">
        <f>(0.0397+0.0628)/2</f>
        <v>5.1249999999999997E-2</v>
      </c>
      <c r="G104" s="234">
        <f>(0.0611+0.0382)/2</f>
        <v>4.965E-2</v>
      </c>
      <c r="H104" s="78">
        <f>0.2356-F104</f>
        <v>0.18435000000000001</v>
      </c>
      <c r="I104" s="78">
        <f>0.2157-F104</f>
        <v>0.16445000000000001</v>
      </c>
      <c r="J104" s="78">
        <f>0.1562-G104</f>
        <v>0.10655000000000001</v>
      </c>
      <c r="K104" s="78">
        <f>0.1419-G104</f>
        <v>9.2249999999999999E-2</v>
      </c>
      <c r="L104" s="78">
        <f t="shared" si="13"/>
        <v>1.9430672609400328E-2</v>
      </c>
      <c r="M104" s="78">
        <f t="shared" si="14"/>
        <v>1.7607576985413292E-2</v>
      </c>
      <c r="N104" s="78">
        <f t="shared" si="15"/>
        <v>1.8519124797406812E-2</v>
      </c>
      <c r="O104" s="78">
        <f>'Growth curves UTEX #1926'!F52</f>
        <v>2.9079999999999999</v>
      </c>
      <c r="P104" s="78">
        <f t="shared" si="16"/>
        <v>3.6629168000000001</v>
      </c>
      <c r="Q104" s="79">
        <f t="shared" si="29"/>
        <v>1.8314584000000001E-4</v>
      </c>
      <c r="R104" s="80">
        <f t="shared" si="17"/>
        <v>50.558409618822928</v>
      </c>
      <c r="S104" s="81"/>
      <c r="V104" s="82">
        <f t="shared" si="18"/>
        <v>185.19124797406809</v>
      </c>
      <c r="W104" s="94"/>
      <c r="X104" s="82"/>
      <c r="Y104" s="82"/>
      <c r="Z104" s="82">
        <f t="shared" si="23"/>
        <v>0.43896949901616611</v>
      </c>
      <c r="AA104" s="94"/>
      <c r="AB104" s="102"/>
    </row>
    <row r="105" spans="2:34" x14ac:dyDescent="0.2">
      <c r="B105" s="226"/>
      <c r="C105" s="228"/>
      <c r="D105" s="230"/>
      <c r="E105" s="105" t="s">
        <v>106</v>
      </c>
      <c r="F105" s="232"/>
      <c r="G105" s="234"/>
      <c r="H105" s="78">
        <f>0.2387-F104</f>
        <v>0.18745000000000001</v>
      </c>
      <c r="I105" s="78">
        <f>0.2187-F104</f>
        <v>0.16745000000000002</v>
      </c>
      <c r="J105" s="78">
        <f>0.1695-G104</f>
        <v>0.11985000000000001</v>
      </c>
      <c r="K105" s="78">
        <f>0.1481-G104</f>
        <v>9.845000000000001E-2</v>
      </c>
      <c r="L105" s="78">
        <f t="shared" si="13"/>
        <v>1.8628970826580226E-2</v>
      </c>
      <c r="M105" s="78">
        <f t="shared" si="14"/>
        <v>1.7485858995137764E-2</v>
      </c>
      <c r="N105" s="78">
        <f t="shared" si="15"/>
        <v>1.8057414910858993E-2</v>
      </c>
      <c r="O105" s="78">
        <f>'Growth curves UTEX #1926'!G52</f>
        <v>2.8239999999999998</v>
      </c>
      <c r="P105" s="78">
        <f t="shared" si="16"/>
        <v>3.5571104</v>
      </c>
      <c r="Q105" s="79">
        <f t="shared" si="29"/>
        <v>1.7785552000000002E-4</v>
      </c>
      <c r="R105" s="80">
        <f t="shared" si="17"/>
        <v>50.764280217051997</v>
      </c>
      <c r="S105" s="81"/>
      <c r="V105" s="82">
        <f t="shared" si="18"/>
        <v>180.57414910858992</v>
      </c>
      <c r="W105" s="94"/>
      <c r="X105" s="82"/>
      <c r="Y105" s="82"/>
      <c r="Z105" s="82">
        <f>(V105-$V$60)/(D104-$D$59)</f>
        <v>0.42786929094244813</v>
      </c>
      <c r="AA105" s="94"/>
      <c r="AB105" s="102"/>
    </row>
    <row r="106" spans="2:34" x14ac:dyDescent="0.2">
      <c r="B106" s="227"/>
      <c r="C106" s="229"/>
      <c r="D106" s="231"/>
      <c r="E106" s="141" t="s">
        <v>107</v>
      </c>
      <c r="F106" s="233"/>
      <c r="G106" s="235"/>
      <c r="H106" s="86">
        <f>0.1631-F104</f>
        <v>0.11185</v>
      </c>
      <c r="I106" s="86">
        <f>0.171-F104</f>
        <v>0.11975000000000002</v>
      </c>
      <c r="J106" s="86">
        <f>0.111-G104</f>
        <v>6.1350000000000002E-2</v>
      </c>
      <c r="K106" s="86">
        <f>0.1157-G104</f>
        <v>6.6049999999999998E-2</v>
      </c>
      <c r="L106" s="78">
        <f t="shared" si="13"/>
        <v>1.2112358184764992E-2</v>
      </c>
      <c r="M106" s="78">
        <f t="shared" si="14"/>
        <v>1.293188816855754E-2</v>
      </c>
      <c r="N106" s="86">
        <f t="shared" si="15"/>
        <v>1.2522123176661265E-2</v>
      </c>
      <c r="O106" s="86">
        <f>'Growth curves UTEX #1926'!H52</f>
        <v>2.48</v>
      </c>
      <c r="P106" s="86">
        <f t="shared" si="16"/>
        <v>3.1238079999999999</v>
      </c>
      <c r="Q106" s="87">
        <f t="shared" si="29"/>
        <v>1.5619040000000001E-4</v>
      </c>
      <c r="R106" s="88">
        <f t="shared" si="17"/>
        <v>40.086084601426414</v>
      </c>
      <c r="S106" s="89">
        <f>AVERAGE(R104:R106)</f>
        <v>47.136258145767108</v>
      </c>
      <c r="T106" s="90">
        <f>STDEV(R104:R106)</f>
        <v>6.1064970261022253</v>
      </c>
      <c r="U106" s="90">
        <f>T106/SQRT(3)</f>
        <v>3.5255877018257693</v>
      </c>
      <c r="V106" s="90">
        <f t="shared" si="18"/>
        <v>125.22123176661265</v>
      </c>
      <c r="W106" s="89">
        <f t="shared" si="20"/>
        <v>163.66220961642355</v>
      </c>
      <c r="X106" s="90">
        <f t="shared" si="21"/>
        <v>33.370810359064194</v>
      </c>
      <c r="Y106" s="90">
        <f t="shared" si="22"/>
        <v>19.266646343881664</v>
      </c>
      <c r="Z106" s="90">
        <f>(V106-$V$61)/(D104-$D$59)</f>
        <v>0.29484063777348091</v>
      </c>
      <c r="AA106" s="89">
        <f t="shared" si="24"/>
        <v>0.38722647591069842</v>
      </c>
      <c r="AB106" s="95">
        <f t="shared" si="25"/>
        <v>4.6303927015092575E-2</v>
      </c>
    </row>
    <row r="107" spans="2:34" x14ac:dyDescent="0.2">
      <c r="B107" s="226" t="s">
        <v>42</v>
      </c>
      <c r="C107" s="228">
        <v>0.47638888888888892</v>
      </c>
      <c r="D107" s="230">
        <f>48/60+24+D104</f>
        <v>430.93333333333328</v>
      </c>
      <c r="E107" s="105" t="s">
        <v>105</v>
      </c>
      <c r="F107" s="232">
        <f>(0.0536+0.0451)/2</f>
        <v>4.9350000000000005E-2</v>
      </c>
      <c r="G107" s="234">
        <f>(0.0525+0.0448)/2</f>
        <v>4.8649999999999999E-2</v>
      </c>
      <c r="H107" s="78">
        <f>0.226-F107</f>
        <v>0.17665</v>
      </c>
      <c r="I107" s="78">
        <f>0.2175-F107</f>
        <v>0.16814999999999999</v>
      </c>
      <c r="J107" s="78">
        <f>0.1453-G107</f>
        <v>9.6650000000000014E-2</v>
      </c>
      <c r="K107" s="78">
        <f>0.1401-G107</f>
        <v>9.1450000000000004E-2</v>
      </c>
      <c r="L107" s="78">
        <f t="shared" si="13"/>
        <v>1.9153444084278767E-2</v>
      </c>
      <c r="M107" s="78">
        <f t="shared" si="14"/>
        <v>1.8285696920583468E-2</v>
      </c>
      <c r="N107" s="78">
        <f t="shared" si="15"/>
        <v>1.8719570502431115E-2</v>
      </c>
      <c r="O107" s="78">
        <f>'Growth curves UTEX #1926'!F53</f>
        <v>2.8959999999999999</v>
      </c>
      <c r="P107" s="78">
        <f t="shared" si="16"/>
        <v>3.6478016000000002</v>
      </c>
      <c r="Q107" s="79">
        <f t="shared" si="29"/>
        <v>1.8239008E-4</v>
      </c>
      <c r="R107" s="80">
        <f t="shared" si="17"/>
        <v>51.317403069375032</v>
      </c>
      <c r="S107" s="81"/>
      <c r="V107" s="82">
        <f t="shared" si="18"/>
        <v>187.19570502431117</v>
      </c>
      <c r="W107" s="94"/>
      <c r="X107" s="82"/>
      <c r="Y107" s="82"/>
      <c r="Z107" s="82">
        <f t="shared" si="23"/>
        <v>0.4183584535520003</v>
      </c>
      <c r="AA107" s="94"/>
      <c r="AB107" s="102"/>
    </row>
    <row r="108" spans="2:34" ht="15" customHeight="1" x14ac:dyDescent="0.2">
      <c r="B108" s="226"/>
      <c r="C108" s="228"/>
      <c r="D108" s="230"/>
      <c r="E108" s="105" t="s">
        <v>106</v>
      </c>
      <c r="F108" s="232"/>
      <c r="G108" s="234"/>
      <c r="H108" s="78">
        <f>0.2289-F107</f>
        <v>0.17954999999999999</v>
      </c>
      <c r="I108" s="78">
        <f>0.2214-F107</f>
        <v>0.17205000000000001</v>
      </c>
      <c r="J108" s="78">
        <f>0.1601-G107</f>
        <v>0.11144999999999999</v>
      </c>
      <c r="K108" s="78">
        <f>0.1541-G107</f>
        <v>0.10544999999999999</v>
      </c>
      <c r="L108" s="78">
        <f t="shared" si="13"/>
        <v>1.8172244732576986E-2</v>
      </c>
      <c r="M108" s="78">
        <f t="shared" si="14"/>
        <v>1.7545016207455435E-2</v>
      </c>
      <c r="N108" s="78">
        <f t="shared" si="15"/>
        <v>1.785863047001621E-2</v>
      </c>
      <c r="O108" s="78">
        <f>'Growth curves UTEX #1926'!G53</f>
        <v>2.8319999999999999</v>
      </c>
      <c r="P108" s="78">
        <f t="shared" si="16"/>
        <v>3.5671871999999998</v>
      </c>
      <c r="Q108" s="79">
        <f t="shared" si="29"/>
        <v>1.7835936E-4</v>
      </c>
      <c r="R108" s="80">
        <f t="shared" si="17"/>
        <v>50.063620070222861</v>
      </c>
      <c r="S108" s="81"/>
      <c r="V108" s="82">
        <f t="shared" si="18"/>
        <v>178.58630470016209</v>
      </c>
      <c r="W108" s="94"/>
      <c r="X108" s="82"/>
      <c r="Y108" s="82"/>
      <c r="Z108" s="82">
        <f>(V108-$V$60)/(D107-$D$59)</f>
        <v>0.3986327435481089</v>
      </c>
      <c r="AA108" s="94"/>
      <c r="AB108" s="102"/>
    </row>
    <row r="109" spans="2:34" ht="16" customHeight="1" thickBot="1" x14ac:dyDescent="0.25">
      <c r="B109" s="252"/>
      <c r="C109" s="251"/>
      <c r="D109" s="250"/>
      <c r="E109" s="141" t="s">
        <v>107</v>
      </c>
      <c r="F109" s="254"/>
      <c r="G109" s="253"/>
      <c r="H109" s="78">
        <f>0.1854-F107</f>
        <v>0.13605</v>
      </c>
      <c r="I109" s="78">
        <f>0.1917-F107</f>
        <v>0.14235</v>
      </c>
      <c r="J109" s="78">
        <f>0.125-G107</f>
        <v>7.6350000000000001E-2</v>
      </c>
      <c r="K109" s="78">
        <f>0.1289-G107</f>
        <v>8.0249999999999988E-2</v>
      </c>
      <c r="L109" s="78">
        <f t="shared" si="13"/>
        <v>1.45637358184765E-2</v>
      </c>
      <c r="M109" s="78">
        <f t="shared" si="14"/>
        <v>1.5202390599675854E-2</v>
      </c>
      <c r="N109" s="78">
        <f t="shared" si="15"/>
        <v>1.4883063209076177E-2</v>
      </c>
      <c r="O109" s="78">
        <f>'Growth curves UTEX #1926'!H53</f>
        <v>2.44</v>
      </c>
      <c r="P109" s="78">
        <f t="shared" si="16"/>
        <v>3.0734240000000002</v>
      </c>
      <c r="Q109" s="107">
        <f t="shared" si="29"/>
        <v>1.5367120000000001E-4</v>
      </c>
      <c r="R109" s="108">
        <f t="shared" si="17"/>
        <v>48.425024367207961</v>
      </c>
      <c r="S109" s="109">
        <f>AVERAGE(R107:R109)</f>
        <v>49.935349168935282</v>
      </c>
      <c r="T109" s="110">
        <f>STDEV(R107:R109)</f>
        <v>1.4504494845651346</v>
      </c>
      <c r="U109" s="110">
        <f>T109/SQRT(3)</f>
        <v>0.83741740035963441</v>
      </c>
      <c r="V109" s="110">
        <f t="shared" si="18"/>
        <v>148.83063209076175</v>
      </c>
      <c r="W109" s="109">
        <f t="shared" si="20"/>
        <v>171.53754727174501</v>
      </c>
      <c r="X109" s="110">
        <f t="shared" si="21"/>
        <v>20.130410856776873</v>
      </c>
      <c r="Y109" s="110">
        <f t="shared" si="22"/>
        <v>11.622298127057894</v>
      </c>
      <c r="Z109" s="82">
        <f>(V109-$V$61)/(D107-$D$59)</f>
        <v>0.33265937038649168</v>
      </c>
      <c r="AA109" s="94">
        <f t="shared" si="24"/>
        <v>0.38321685582886694</v>
      </c>
      <c r="AB109" s="102">
        <f t="shared" si="25"/>
        <v>2.591216194171762E-2</v>
      </c>
    </row>
    <row r="110" spans="2:34" ht="15" thickBot="1" x14ac:dyDescent="0.25">
      <c r="B110" s="223" t="s">
        <v>80</v>
      </c>
      <c r="C110" s="224"/>
      <c r="D110" s="224"/>
      <c r="E110" s="224"/>
      <c r="F110" s="224"/>
      <c r="G110" s="224"/>
      <c r="H110" s="224"/>
      <c r="I110" s="224"/>
      <c r="J110" s="224"/>
      <c r="K110" s="224"/>
      <c r="L110" s="224"/>
      <c r="M110" s="224"/>
      <c r="N110" s="224"/>
      <c r="O110" s="224"/>
      <c r="P110" s="224"/>
      <c r="Q110" s="224"/>
      <c r="R110" s="224"/>
      <c r="S110" s="224"/>
      <c r="T110" s="224"/>
      <c r="U110" s="224"/>
      <c r="V110" s="224"/>
      <c r="W110" s="224"/>
      <c r="X110" s="224"/>
      <c r="Y110" s="224"/>
      <c r="Z110" s="224"/>
      <c r="AA110" s="224"/>
      <c r="AB110" s="225"/>
      <c r="AD110" s="222" t="s">
        <v>113</v>
      </c>
      <c r="AE110" s="222"/>
      <c r="AF110" s="222"/>
      <c r="AG110" s="222"/>
      <c r="AH110" s="222"/>
    </row>
    <row r="111" spans="2:34" ht="45" customHeight="1" x14ac:dyDescent="0.2">
      <c r="B111" s="60" t="s">
        <v>0</v>
      </c>
      <c r="C111" s="61" t="s">
        <v>1</v>
      </c>
      <c r="D111" s="62" t="s">
        <v>2</v>
      </c>
      <c r="E111" s="139"/>
      <c r="F111" s="61" t="s">
        <v>8</v>
      </c>
      <c r="G111" s="61" t="s">
        <v>9</v>
      </c>
      <c r="H111" s="213" t="s">
        <v>108</v>
      </c>
      <c r="I111" s="214"/>
      <c r="J111" s="215" t="s">
        <v>111</v>
      </c>
      <c r="K111" s="216"/>
      <c r="L111" s="217" t="s">
        <v>84</v>
      </c>
      <c r="M111" s="218"/>
      <c r="N111" s="63" t="s">
        <v>85</v>
      </c>
      <c r="O111" s="64" t="s">
        <v>86</v>
      </c>
      <c r="P111" s="63" t="s">
        <v>10</v>
      </c>
      <c r="Q111" s="63" t="s">
        <v>11</v>
      </c>
      <c r="R111" s="63" t="s">
        <v>87</v>
      </c>
      <c r="S111" s="63" t="s">
        <v>88</v>
      </c>
      <c r="T111" s="63" t="s">
        <v>89</v>
      </c>
      <c r="U111" s="65" t="s">
        <v>71</v>
      </c>
      <c r="V111" s="64" t="s">
        <v>90</v>
      </c>
      <c r="W111" s="63" t="s">
        <v>91</v>
      </c>
      <c r="X111" s="63" t="s">
        <v>89</v>
      </c>
      <c r="Y111" s="66" t="s">
        <v>71</v>
      </c>
      <c r="Z111" s="66" t="s">
        <v>92</v>
      </c>
      <c r="AA111" s="63" t="s">
        <v>93</v>
      </c>
      <c r="AB111" s="67" t="s">
        <v>71</v>
      </c>
      <c r="AD111" s="57" t="s">
        <v>2</v>
      </c>
      <c r="AE111" s="76" t="str">
        <f>S111</f>
        <v>Average specific CPC conc.</v>
      </c>
      <c r="AF111" s="57" t="s">
        <v>12</v>
      </c>
      <c r="AG111" s="76" t="str">
        <f>W111</f>
        <v>Average total CPC</v>
      </c>
      <c r="AH111" s="57" t="s">
        <v>12</v>
      </c>
    </row>
    <row r="112" spans="2:34" ht="31" customHeight="1" x14ac:dyDescent="0.2">
      <c r="B112" s="68"/>
      <c r="C112" s="69"/>
      <c r="D112" s="72"/>
      <c r="E112" s="140"/>
      <c r="F112" s="69" t="s">
        <v>13</v>
      </c>
      <c r="G112" s="69" t="s">
        <v>13</v>
      </c>
      <c r="H112" s="71" t="s">
        <v>109</v>
      </c>
      <c r="I112" s="69" t="s">
        <v>110</v>
      </c>
      <c r="J112" s="72" t="s">
        <v>109</v>
      </c>
      <c r="K112" s="73" t="s">
        <v>110</v>
      </c>
      <c r="L112" s="221" t="s">
        <v>14</v>
      </c>
      <c r="M112" s="220"/>
      <c r="N112" s="74" t="s">
        <v>14</v>
      </c>
      <c r="O112" s="74" t="s">
        <v>13</v>
      </c>
      <c r="P112" s="74" t="s">
        <v>15</v>
      </c>
      <c r="Q112" s="74" t="s">
        <v>16</v>
      </c>
      <c r="R112" s="75" t="s">
        <v>94</v>
      </c>
      <c r="S112" s="75" t="s">
        <v>94</v>
      </c>
      <c r="T112" s="74"/>
      <c r="U112" s="72"/>
      <c r="V112" s="75" t="s">
        <v>95</v>
      </c>
      <c r="W112" s="75" t="s">
        <v>95</v>
      </c>
      <c r="X112" s="74"/>
      <c r="Y112" s="74"/>
      <c r="Z112" s="75" t="s">
        <v>96</v>
      </c>
      <c r="AA112" s="75" t="s">
        <v>96</v>
      </c>
      <c r="AB112" s="70"/>
      <c r="AD112" s="84">
        <f>D113</f>
        <v>0</v>
      </c>
      <c r="AE112" s="82">
        <f>S115</f>
        <v>48.769435710150695</v>
      </c>
      <c r="AF112" s="82">
        <f>U115</f>
        <v>2.4011815324402974</v>
      </c>
      <c r="AG112" s="82">
        <f>W115</f>
        <v>6.0714208535926524</v>
      </c>
      <c r="AH112" s="82">
        <f>Y115</f>
        <v>0.19508650304723091</v>
      </c>
    </row>
    <row r="113" spans="2:34" x14ac:dyDescent="0.2">
      <c r="B113" s="226" t="s">
        <v>24</v>
      </c>
      <c r="C113" s="228">
        <v>0.5625</v>
      </c>
      <c r="D113" s="242">
        <v>0</v>
      </c>
      <c r="E113" s="105" t="s">
        <v>105</v>
      </c>
      <c r="F113" s="232">
        <f>(0.0473+0.0516+0.049)/3</f>
        <v>4.9300000000000004E-2</v>
      </c>
      <c r="G113" s="234">
        <f>(0.0457+0.0502+0.0487)/3</f>
        <v>4.82E-2</v>
      </c>
      <c r="H113" s="77">
        <f>0.1768-F113</f>
        <v>0.1275</v>
      </c>
      <c r="I113" s="78">
        <f>0.1707-F113</f>
        <v>0.12139999999999998</v>
      </c>
      <c r="J113" s="78">
        <f>0.1369-G113</f>
        <v>8.8700000000000001E-2</v>
      </c>
      <c r="K113" s="78">
        <f>0.1289-G113</f>
        <v>8.0699999999999994E-2</v>
      </c>
      <c r="L113" s="269">
        <f>(H113-(0.605*J113))/6.17</f>
        <v>1.1967017828200973E-2</v>
      </c>
      <c r="M113" s="269">
        <f>(I113-(0.605*K113))/6.17</f>
        <v>1.1762803889789302E-2</v>
      </c>
      <c r="N113" s="78">
        <f>AVERAGE(L113:M113)</f>
        <v>1.1864910858995138E-2</v>
      </c>
      <c r="O113" s="57">
        <f>'Growth curves UTEX #1926'!F57</f>
        <v>9.9000000000000005E-2</v>
      </c>
      <c r="P113" s="78">
        <f>1.2596*O113</f>
        <v>0.12470040000000002</v>
      </c>
      <c r="Q113" s="79">
        <f>P113*1/1000</f>
        <v>1.2470040000000002E-4</v>
      </c>
      <c r="R113" s="80">
        <f>(N113*0.5)/Q113</f>
        <v>47.573668003451218</v>
      </c>
      <c r="S113" s="81"/>
      <c r="V113" s="82">
        <f>R113*P113</f>
        <v>5.9324554294975691</v>
      </c>
      <c r="W113" s="81"/>
      <c r="AA113" s="81"/>
      <c r="AB113" s="83"/>
      <c r="AD113" s="84">
        <f>D116</f>
        <v>20.5</v>
      </c>
      <c r="AE113" s="82">
        <f>S118</f>
        <v>21.915006353192869</v>
      </c>
      <c r="AF113" s="82">
        <f>U118</f>
        <v>1.104979023575716</v>
      </c>
      <c r="AG113" s="82">
        <f>W118</f>
        <v>5.5514519178822246</v>
      </c>
      <c r="AH113" s="82">
        <f>Y118</f>
        <v>0.32287011236912566</v>
      </c>
    </row>
    <row r="114" spans="2:34" ht="15" customHeight="1" x14ac:dyDescent="0.2">
      <c r="B114" s="226"/>
      <c r="C114" s="228"/>
      <c r="D114" s="242"/>
      <c r="E114" s="105" t="s">
        <v>106</v>
      </c>
      <c r="F114" s="232"/>
      <c r="G114" s="234"/>
      <c r="H114" s="77">
        <f>0.214-F113</f>
        <v>0.16469999999999999</v>
      </c>
      <c r="I114" s="78">
        <f>0.1831-F113</f>
        <v>0.1338</v>
      </c>
      <c r="J114" s="78">
        <f>0.1777-G113</f>
        <v>0.1295</v>
      </c>
      <c r="K114" s="78">
        <f>0.1487-G113</f>
        <v>0.10050000000000001</v>
      </c>
      <c r="L114" s="269">
        <f t="shared" ref="L114:L163" si="30">(H114-(0.605*J114))/6.17</f>
        <v>1.3995542949756886E-2</v>
      </c>
      <c r="M114" s="269">
        <f t="shared" ref="M114:M163" si="31">(I114-(0.605*K114))/6.17</f>
        <v>1.1831037277147486E-2</v>
      </c>
      <c r="N114" s="78">
        <f t="shared" ref="N114:N163" si="32">AVERAGE(L114:M114)</f>
        <v>1.2913290113452186E-2</v>
      </c>
      <c r="O114" s="78">
        <f>'Growth curves UTEX #1926'!G57</f>
        <v>9.6000000000000002E-2</v>
      </c>
      <c r="P114" s="78">
        <f t="shared" ref="P114:P163" si="33">1.2596*O114</f>
        <v>0.1209216</v>
      </c>
      <c r="Q114" s="79">
        <f>P114*1/1000</f>
        <v>1.209216E-4</v>
      </c>
      <c r="R114" s="80">
        <f t="shared" ref="R114:R163" si="34">(N114*0.5)/Q114</f>
        <v>53.395299572004447</v>
      </c>
      <c r="S114" s="81"/>
      <c r="V114" s="82">
        <f t="shared" ref="V114:V163" si="35">R114*P114</f>
        <v>6.4566450567260931</v>
      </c>
      <c r="W114" s="81"/>
      <c r="AA114" s="81"/>
      <c r="AB114" s="83"/>
      <c r="AD114" s="84">
        <f>D119</f>
        <v>45</v>
      </c>
      <c r="AE114" s="82">
        <f>S121</f>
        <v>15.001046901938103</v>
      </c>
      <c r="AF114" s="82">
        <f>U121</f>
        <v>0.57096294559418614</v>
      </c>
      <c r="AG114" s="82">
        <f>W121</f>
        <v>7.1550175580767146</v>
      </c>
      <c r="AH114" s="82">
        <f>Y121</f>
        <v>0.27954546797399166</v>
      </c>
    </row>
    <row r="115" spans="2:34" ht="15" customHeight="1" x14ac:dyDescent="0.2">
      <c r="B115" s="227"/>
      <c r="C115" s="229"/>
      <c r="D115" s="243"/>
      <c r="E115" s="141" t="s">
        <v>107</v>
      </c>
      <c r="F115" s="233"/>
      <c r="G115" s="235"/>
      <c r="H115" s="85">
        <f>0.1675-F113</f>
        <v>0.1182</v>
      </c>
      <c r="I115" s="86">
        <f>0.1638-F113</f>
        <v>0.11449999999999999</v>
      </c>
      <c r="J115" s="86">
        <f>0.1241-G113</f>
        <v>7.5899999999999995E-2</v>
      </c>
      <c r="K115" s="86">
        <f>0.1193-G113</f>
        <v>7.1099999999999997E-2</v>
      </c>
      <c r="L115" s="269">
        <f t="shared" si="30"/>
        <v>1.171482982171799E-2</v>
      </c>
      <c r="M115" s="269">
        <f t="shared" si="31"/>
        <v>1.1585818476499189E-2</v>
      </c>
      <c r="N115" s="86">
        <f t="shared" si="32"/>
        <v>1.165032414910859E-2</v>
      </c>
      <c r="O115" s="91">
        <f>'Growth curves UTEX #1926'!H57</f>
        <v>0.10199999999999999</v>
      </c>
      <c r="P115" s="86">
        <f t="shared" si="33"/>
        <v>0.12847919999999999</v>
      </c>
      <c r="Q115" s="87">
        <f>P115*1/1000</f>
        <v>1.2847919999999999E-4</v>
      </c>
      <c r="R115" s="88">
        <f t="shared" si="34"/>
        <v>45.339339554996414</v>
      </c>
      <c r="S115" s="89">
        <f>AVERAGE(R113:R115)</f>
        <v>48.769435710150695</v>
      </c>
      <c r="T115" s="90">
        <f>STDEV(R113:R115)</f>
        <v>4.1589684123826913</v>
      </c>
      <c r="U115" s="90">
        <f>T115/SQRT(3)</f>
        <v>2.4011815324402974</v>
      </c>
      <c r="V115" s="90">
        <f t="shared" si="35"/>
        <v>5.8251620745542949</v>
      </c>
      <c r="W115" s="89">
        <f>AVERAGE(V113:V115)</f>
        <v>6.0714208535926524</v>
      </c>
      <c r="X115" s="90">
        <f>STDEV(V113:V115)</f>
        <v>0.3378997351487445</v>
      </c>
      <c r="Y115" s="90">
        <f>X115/SQRT(3)</f>
        <v>0.19508650304723091</v>
      </c>
      <c r="Z115" s="91"/>
      <c r="AA115" s="92"/>
      <c r="AB115" s="93"/>
      <c r="AD115" s="84">
        <f>D122</f>
        <v>69.283333333333331</v>
      </c>
      <c r="AE115" s="82">
        <f>S124</f>
        <v>19.694701481010128</v>
      </c>
      <c r="AF115" s="82">
        <f>U124</f>
        <v>0.43535200592895917</v>
      </c>
      <c r="AG115" s="82">
        <f>W124</f>
        <v>15.210458242391502</v>
      </c>
      <c r="AH115" s="82">
        <f>Y124</f>
        <v>0.40563205049664502</v>
      </c>
    </row>
    <row r="116" spans="2:34" x14ac:dyDescent="0.2">
      <c r="B116" s="226" t="s">
        <v>25</v>
      </c>
      <c r="C116" s="228">
        <v>0.41666666666666669</v>
      </c>
      <c r="D116" s="230">
        <f>8+30/60+12</f>
        <v>20.5</v>
      </c>
      <c r="E116" s="105" t="s">
        <v>105</v>
      </c>
      <c r="F116" s="232">
        <f>(0.0471+0.0468+0.0517)/3</f>
        <v>4.8533333333333338E-2</v>
      </c>
      <c r="G116" s="234">
        <f>(0.0467+0.0458+0.0508)/3</f>
        <v>4.7766666666666659E-2</v>
      </c>
      <c r="H116" s="77">
        <f>0.1589-F116</f>
        <v>0.11036666666666667</v>
      </c>
      <c r="I116" s="78">
        <f>0.1475-F116</f>
        <v>9.8966666666666647E-2</v>
      </c>
      <c r="J116" s="78">
        <f>0.1125-G116</f>
        <v>6.4733333333333337E-2</v>
      </c>
      <c r="K116" s="78">
        <f>0.101-G116</f>
        <v>5.3233333333333348E-2</v>
      </c>
      <c r="L116" s="269">
        <f t="shared" si="30"/>
        <v>1.1540194489465154E-2</v>
      </c>
      <c r="M116" s="269">
        <f t="shared" si="31"/>
        <v>1.0820178282009721E-2</v>
      </c>
      <c r="N116" s="78">
        <f t="shared" si="32"/>
        <v>1.1180186385737437E-2</v>
      </c>
      <c r="O116" s="78">
        <f>'Growth curves UTEX #1926'!F59</f>
        <v>0.19600000000000001</v>
      </c>
      <c r="P116" s="78">
        <f t="shared" si="33"/>
        <v>0.24688160000000001</v>
      </c>
      <c r="Q116" s="79">
        <f t="shared" ref="Q116:Q121" si="36">P116*1/1000</f>
        <v>2.468816E-4</v>
      </c>
      <c r="R116" s="80">
        <f t="shared" si="34"/>
        <v>22.642810127886072</v>
      </c>
      <c r="S116" s="94"/>
      <c r="T116" s="82"/>
      <c r="U116" s="82"/>
      <c r="V116" s="82">
        <f t="shared" si="35"/>
        <v>5.5900931928687179</v>
      </c>
      <c r="W116" s="94"/>
      <c r="X116" s="82"/>
      <c r="Y116" s="82"/>
      <c r="Z116" s="82">
        <f>(V116-$V$113)/(D116-$D$113)</f>
        <v>-1.6700596908724451E-2</v>
      </c>
      <c r="AA116" s="94"/>
      <c r="AB116" s="83"/>
      <c r="AD116" s="84">
        <f>D125</f>
        <v>95.883333333333326</v>
      </c>
      <c r="AE116" s="82">
        <f>S127</f>
        <v>35.649009511102577</v>
      </c>
      <c r="AF116" s="82">
        <f>U127</f>
        <v>3.1678482928691016</v>
      </c>
      <c r="AG116" s="82">
        <f>W127</f>
        <v>38.851225569962175</v>
      </c>
      <c r="AH116" s="82">
        <f>Y127</f>
        <v>2.9577326169460618</v>
      </c>
    </row>
    <row r="117" spans="2:34" x14ac:dyDescent="0.2">
      <c r="B117" s="226"/>
      <c r="C117" s="228"/>
      <c r="D117" s="230"/>
      <c r="E117" s="105" t="s">
        <v>106</v>
      </c>
      <c r="F117" s="232"/>
      <c r="G117" s="234"/>
      <c r="H117" s="77">
        <f>0.1896-F116</f>
        <v>0.14106666666666665</v>
      </c>
      <c r="I117" s="78">
        <f>0.1574-F116</f>
        <v>0.10886666666666667</v>
      </c>
      <c r="J117" s="78">
        <f>0.1462-G116</f>
        <v>9.8433333333333345E-2</v>
      </c>
      <c r="K117" s="78">
        <f>0.114-G116</f>
        <v>6.6233333333333338E-2</v>
      </c>
      <c r="L117" s="269">
        <f t="shared" si="30"/>
        <v>1.3211426256077793E-2</v>
      </c>
      <c r="M117" s="269">
        <f t="shared" si="31"/>
        <v>1.115E-2</v>
      </c>
      <c r="N117" s="78">
        <f t="shared" si="32"/>
        <v>1.2180713128038896E-2</v>
      </c>
      <c r="O117" s="78">
        <f>'Growth curves UTEX #1926'!G59</f>
        <v>0.20699999999999999</v>
      </c>
      <c r="P117" s="78">
        <f t="shared" si="33"/>
        <v>0.2607372</v>
      </c>
      <c r="Q117" s="79">
        <f t="shared" si="36"/>
        <v>2.6073719999999999E-4</v>
      </c>
      <c r="R117" s="80">
        <f t="shared" si="34"/>
        <v>23.358218788954733</v>
      </c>
      <c r="S117" s="81"/>
      <c r="T117" s="82"/>
      <c r="U117" s="82"/>
      <c r="V117" s="82">
        <f t="shared" si="35"/>
        <v>6.0903565640194479</v>
      </c>
      <c r="W117" s="94"/>
      <c r="X117" s="82"/>
      <c r="Y117" s="82"/>
      <c r="Z117" s="82">
        <f>(V117-$V$114)/(D116-$D$113)</f>
        <v>-1.7867731351543667E-2</v>
      </c>
      <c r="AA117" s="94"/>
      <c r="AB117" s="83"/>
      <c r="AD117" s="84">
        <f>D128</f>
        <v>120</v>
      </c>
      <c r="AE117" s="82">
        <f>S130</f>
        <v>47.562763025420139</v>
      </c>
      <c r="AF117" s="82">
        <f>U130</f>
        <v>1.8492609134089779</v>
      </c>
      <c r="AG117" s="82">
        <f>W130</f>
        <v>66.889319330091837</v>
      </c>
      <c r="AH117" s="82">
        <f>Y130</f>
        <v>3.2702971467795199</v>
      </c>
    </row>
    <row r="118" spans="2:34" x14ac:dyDescent="0.2">
      <c r="B118" s="227"/>
      <c r="C118" s="229"/>
      <c r="D118" s="231"/>
      <c r="E118" s="141" t="s">
        <v>107</v>
      </c>
      <c r="F118" s="233"/>
      <c r="G118" s="235"/>
      <c r="H118" s="85">
        <f>0.1545-F116</f>
        <v>0.10596666666666665</v>
      </c>
      <c r="I118" s="86">
        <f>0.1497-F116</f>
        <v>0.10116666666666665</v>
      </c>
      <c r="J118" s="86">
        <f>0.1198-G116</f>
        <v>7.2033333333333338E-2</v>
      </c>
      <c r="K118" s="86">
        <f>0.1152-G116</f>
        <v>6.7433333333333345E-2</v>
      </c>
      <c r="L118" s="269">
        <f t="shared" si="30"/>
        <v>1.0111264181523498E-2</v>
      </c>
      <c r="M118" s="269">
        <f t="shared" si="31"/>
        <v>9.784359805510531E-3</v>
      </c>
      <c r="N118" s="86">
        <f t="shared" si="32"/>
        <v>9.9478119935170143E-3</v>
      </c>
      <c r="O118" s="86">
        <f>'Growth curves UTEX #1926'!H59</f>
        <v>0.2</v>
      </c>
      <c r="P118" s="86">
        <f t="shared" si="33"/>
        <v>0.25192000000000003</v>
      </c>
      <c r="Q118" s="87">
        <f t="shared" si="36"/>
        <v>2.5192000000000004E-4</v>
      </c>
      <c r="R118" s="88">
        <f t="shared" si="34"/>
        <v>19.7439901427378</v>
      </c>
      <c r="S118" s="89">
        <f>AVERAGE(R116:R118)</f>
        <v>21.915006353192869</v>
      </c>
      <c r="T118" s="90">
        <f>STDEV(R116:R118)</f>
        <v>1.9138798101309882</v>
      </c>
      <c r="U118" s="90">
        <f>T118/SQRT(3)</f>
        <v>1.104979023575716</v>
      </c>
      <c r="V118" s="90">
        <f t="shared" si="35"/>
        <v>4.9739059967585071</v>
      </c>
      <c r="W118" s="89">
        <f t="shared" ref="W118:W163" si="37">AVERAGE(V116:V118)</f>
        <v>5.5514519178822246</v>
      </c>
      <c r="X118" s="90">
        <f t="shared" ref="X118:X163" si="38">STDEV(V116:V118)</f>
        <v>0.55922743886879822</v>
      </c>
      <c r="Y118" s="90">
        <f t="shared" ref="Y118:Y163" si="39">X118/SQRT(3)</f>
        <v>0.32287011236912566</v>
      </c>
      <c r="Z118" s="90">
        <f>(V118-$V$115)/(D116-$D$113)</f>
        <v>-4.1524686721745745E-2</v>
      </c>
      <c r="AA118" s="89">
        <f>AVERAGE(Z116:Z118)</f>
        <v>-2.5364338327337959E-2</v>
      </c>
      <c r="AB118" s="95">
        <f>STDEV(Z116:Z118)/SQRT(3)</f>
        <v>8.0871955558026506E-3</v>
      </c>
      <c r="AD118" s="84">
        <f>D131</f>
        <v>140.46666666666667</v>
      </c>
      <c r="AE118" s="82">
        <f>S133</f>
        <v>50.402091373217168</v>
      </c>
      <c r="AF118" s="82">
        <f>U133</f>
        <v>2.7816139505586359</v>
      </c>
      <c r="AG118" s="82">
        <f>W133</f>
        <v>84.414839805510539</v>
      </c>
      <c r="AH118" s="82">
        <f>Y133</f>
        <v>5.723930396090446</v>
      </c>
    </row>
    <row r="119" spans="2:34" x14ac:dyDescent="0.2">
      <c r="B119" s="226" t="s">
        <v>26</v>
      </c>
      <c r="C119" s="228">
        <v>0.4375</v>
      </c>
      <c r="D119" s="242">
        <f>D116+3+10/60+3+56/60+5+24/60+12</f>
        <v>45</v>
      </c>
      <c r="E119" s="105" t="s">
        <v>105</v>
      </c>
      <c r="F119" s="232">
        <f>(0.054+0.0571+0.0466)/3</f>
        <v>5.2566666666666671E-2</v>
      </c>
      <c r="G119" s="234">
        <f>(0.0516+0.0553+0.0451)/3</f>
        <v>5.0666666666666665E-2</v>
      </c>
      <c r="H119" s="77">
        <f>0.1979-F119</f>
        <v>0.14533333333333331</v>
      </c>
      <c r="I119" s="78">
        <f>0.1823-F119</f>
        <v>0.12973333333333331</v>
      </c>
      <c r="J119" s="78">
        <f>0.141-G119</f>
        <v>9.0333333333333321E-2</v>
      </c>
      <c r="K119" s="78">
        <f>0.1243-G119</f>
        <v>7.3633333333333328E-2</v>
      </c>
      <c r="L119" s="269">
        <f t="shared" si="30"/>
        <v>1.4697190707725552E-2</v>
      </c>
      <c r="M119" s="269">
        <f t="shared" si="31"/>
        <v>1.3806347920043217E-2</v>
      </c>
      <c r="N119" s="78">
        <f t="shared" si="32"/>
        <v>1.4251769313884385E-2</v>
      </c>
      <c r="O119" s="78">
        <f>'Growth curves UTEX #1926'!F62</f>
        <v>0.38600000000000001</v>
      </c>
      <c r="P119" s="78">
        <f t="shared" si="33"/>
        <v>0.48620560000000002</v>
      </c>
      <c r="Q119" s="79">
        <f t="shared" si="36"/>
        <v>4.8620560000000001E-4</v>
      </c>
      <c r="R119" s="80">
        <f t="shared" si="34"/>
        <v>14.65611390930543</v>
      </c>
      <c r="S119" s="94"/>
      <c r="T119" s="82"/>
      <c r="U119" s="82"/>
      <c r="V119" s="82">
        <f t="shared" si="35"/>
        <v>7.1258846569421923</v>
      </c>
      <c r="W119" s="94"/>
      <c r="X119" s="82"/>
      <c r="Y119" s="82"/>
      <c r="Z119" s="82">
        <f t="shared" ref="Z119:Z161" si="40">(V119-$V$113)/(D119-$D$113)</f>
        <v>2.6520649498769405E-2</v>
      </c>
      <c r="AA119" s="94"/>
      <c r="AB119" s="102"/>
      <c r="AD119" s="84">
        <f>D134</f>
        <v>165.28333333333333</v>
      </c>
      <c r="AE119" s="82">
        <f>S136</f>
        <v>36.693729160324438</v>
      </c>
      <c r="AF119" s="82">
        <f>U136</f>
        <v>1.8506159777568074</v>
      </c>
      <c r="AG119" s="82">
        <f>W136</f>
        <v>81.450243111831441</v>
      </c>
      <c r="AH119" s="82">
        <f>Y136</f>
        <v>4.9156741383648184</v>
      </c>
    </row>
    <row r="120" spans="2:34" x14ac:dyDescent="0.2">
      <c r="B120" s="226"/>
      <c r="C120" s="228"/>
      <c r="D120" s="242"/>
      <c r="E120" s="105" t="s">
        <v>106</v>
      </c>
      <c r="F120" s="232"/>
      <c r="G120" s="234"/>
      <c r="H120" s="77">
        <f>0.2039-F119</f>
        <v>0.15133333333333332</v>
      </c>
      <c r="I120" s="78">
        <f>0.2169-F119</f>
        <v>0.16433333333333333</v>
      </c>
      <c r="J120" s="78">
        <f>0.1492-G119</f>
        <v>9.8533333333333334E-2</v>
      </c>
      <c r="K120" s="78">
        <f>0.1617-G119</f>
        <v>0.11103333333333334</v>
      </c>
      <c r="L120" s="269">
        <f t="shared" si="30"/>
        <v>1.4865586169638029E-2</v>
      </c>
      <c r="M120" s="269">
        <f t="shared" si="31"/>
        <v>1.5746866558616963E-2</v>
      </c>
      <c r="N120" s="78">
        <f t="shared" si="32"/>
        <v>1.5306226364127496E-2</v>
      </c>
      <c r="O120" s="78">
        <f>'Growth curves UTEX #1926'!G62</f>
        <v>0.377</v>
      </c>
      <c r="P120" s="78">
        <f t="shared" si="33"/>
        <v>0.47486920000000005</v>
      </c>
      <c r="Q120" s="79">
        <f t="shared" si="36"/>
        <v>4.7486920000000006E-4</v>
      </c>
      <c r="R120" s="80">
        <f t="shared" si="34"/>
        <v>16.116255133126653</v>
      </c>
      <c r="S120" s="81"/>
      <c r="T120" s="82"/>
      <c r="U120" s="82"/>
      <c r="V120" s="82">
        <f t="shared" si="35"/>
        <v>7.6531131820637484</v>
      </c>
      <c r="W120" s="94"/>
      <c r="X120" s="82"/>
      <c r="Y120" s="82"/>
      <c r="Z120" s="82">
        <f>(V120-$V$114)/(D119-$D$113)</f>
        <v>2.6588180563059005E-2</v>
      </c>
      <c r="AA120" s="94"/>
      <c r="AB120" s="102"/>
      <c r="AD120" s="84">
        <f>D137</f>
        <v>189.13333333333333</v>
      </c>
      <c r="AE120" s="82">
        <f>S139</f>
        <v>40.061132106557118</v>
      </c>
      <c r="AF120" s="82">
        <f>U139</f>
        <v>1.5236862079317874</v>
      </c>
      <c r="AG120" s="82">
        <f>W139</f>
        <v>100.98908698001078</v>
      </c>
      <c r="AH120" s="82">
        <f>Y139</f>
        <v>4.94541803393171</v>
      </c>
    </row>
    <row r="121" spans="2:34" x14ac:dyDescent="0.2">
      <c r="B121" s="227"/>
      <c r="C121" s="229"/>
      <c r="D121" s="243"/>
      <c r="E121" s="141" t="s">
        <v>107</v>
      </c>
      <c r="F121" s="233"/>
      <c r="G121" s="235"/>
      <c r="H121" s="85">
        <f>0.1884-F119</f>
        <v>0.13583333333333333</v>
      </c>
      <c r="I121" s="86">
        <f>0.1997-F119</f>
        <v>0.14713333333333331</v>
      </c>
      <c r="J121" s="86">
        <f>0.1428-G119</f>
        <v>9.2133333333333345E-2</v>
      </c>
      <c r="K121" s="86">
        <f>0.1535-G119</f>
        <v>0.10283333333333333</v>
      </c>
      <c r="L121" s="269">
        <f t="shared" si="30"/>
        <v>1.2980983252296055E-2</v>
      </c>
      <c r="M121" s="269">
        <f t="shared" si="31"/>
        <v>1.3763236088600755E-2</v>
      </c>
      <c r="N121" s="86">
        <f t="shared" si="32"/>
        <v>1.3372109670448405E-2</v>
      </c>
      <c r="O121" s="86">
        <f>'Growth curves UTEX #1926'!H62</f>
        <v>0.373</v>
      </c>
      <c r="P121" s="86">
        <f t="shared" si="33"/>
        <v>0.46983079999999999</v>
      </c>
      <c r="Q121" s="87">
        <f t="shared" si="36"/>
        <v>4.6983079999999997E-4</v>
      </c>
      <c r="R121" s="88">
        <f t="shared" si="34"/>
        <v>14.230771663382228</v>
      </c>
      <c r="S121" s="89">
        <f>AVERAGE(R119:R121)</f>
        <v>15.001046901938103</v>
      </c>
      <c r="T121" s="90">
        <f>STDEV(R119:R121)</f>
        <v>0.98893683100831498</v>
      </c>
      <c r="U121" s="90">
        <f>T121/SQRT(3)</f>
        <v>0.57096294559418614</v>
      </c>
      <c r="V121" s="90">
        <f t="shared" si="35"/>
        <v>6.6860548352242031</v>
      </c>
      <c r="W121" s="89">
        <f t="shared" si="37"/>
        <v>7.1550175580767146</v>
      </c>
      <c r="X121" s="90">
        <f t="shared" si="38"/>
        <v>0.48418695355657193</v>
      </c>
      <c r="Y121" s="90">
        <f t="shared" si="39"/>
        <v>0.27954546797399166</v>
      </c>
      <c r="Z121" s="90">
        <f>(V121-$V$115)/(D119-$D$113)</f>
        <v>1.9130950237109069E-2</v>
      </c>
      <c r="AA121" s="89">
        <f t="shared" ref="AA121:AA163" si="41">AVERAGE(Z119:Z121)</f>
        <v>2.4079926766312498E-2</v>
      </c>
      <c r="AB121" s="95">
        <f t="shared" ref="AB121:AB163" si="42">STDEV(Z119:Z121)/SQRT(3)</f>
        <v>2.4745650544500276E-3</v>
      </c>
      <c r="AD121" s="84">
        <f>D140</f>
        <v>213.83333333333331</v>
      </c>
      <c r="AE121" s="82">
        <f>S142</f>
        <v>41.209488754169612</v>
      </c>
      <c r="AF121" s="82">
        <f>U142</f>
        <v>1.3802908735823127</v>
      </c>
      <c r="AG121" s="82">
        <f>W142</f>
        <v>116.72271745002701</v>
      </c>
      <c r="AH121" s="82">
        <f>Y142</f>
        <v>4.4416963158716056</v>
      </c>
    </row>
    <row r="122" spans="2:34" x14ac:dyDescent="0.2">
      <c r="B122" s="226" t="s">
        <v>27</v>
      </c>
      <c r="C122" s="228">
        <v>0.44930555555555557</v>
      </c>
      <c r="D122" s="230">
        <f>24+17/60+D119</f>
        <v>69.283333333333331</v>
      </c>
      <c r="E122" s="105" t="s">
        <v>105</v>
      </c>
      <c r="F122" s="232">
        <f>(0.0644+0.04333+0.0453)/3</f>
        <v>5.101E-2</v>
      </c>
      <c r="G122" s="234">
        <f>(0.0619+0.0427+0.0439)/3</f>
        <v>4.9499999999999995E-2</v>
      </c>
      <c r="H122" s="77">
        <f>0.2396-F122</f>
        <v>0.18859000000000001</v>
      </c>
      <c r="I122" s="78">
        <f>0.2394-F122</f>
        <v>0.18839</v>
      </c>
      <c r="J122" s="78">
        <f>0.173-G122</f>
        <v>0.1235</v>
      </c>
      <c r="K122" s="78">
        <f>0.1736-G122</f>
        <v>0.12410000000000002</v>
      </c>
      <c r="L122" s="269">
        <f t="shared" si="30"/>
        <v>1.8455834683954623E-2</v>
      </c>
      <c r="M122" s="269">
        <f t="shared" si="31"/>
        <v>1.8364586709886548E-2</v>
      </c>
      <c r="N122" s="78">
        <f t="shared" si="32"/>
        <v>1.8410210696920587E-2</v>
      </c>
      <c r="O122" s="78">
        <f>'Growth curves UTEX #1926'!F63</f>
        <v>0.65200000000000002</v>
      </c>
      <c r="P122" s="78">
        <f t="shared" si="33"/>
        <v>0.82125920000000008</v>
      </c>
      <c r="Q122" s="79">
        <f>O122*0.75/1000</f>
        <v>4.8899999999999996E-4</v>
      </c>
      <c r="R122" s="80">
        <f t="shared" si="34"/>
        <v>18.824346315869722</v>
      </c>
      <c r="S122" s="94"/>
      <c r="T122" s="82"/>
      <c r="U122" s="82"/>
      <c r="V122" s="82">
        <f t="shared" si="35"/>
        <v>15.459667595894116</v>
      </c>
      <c r="W122" s="94"/>
      <c r="X122" s="82"/>
      <c r="Y122" s="82"/>
      <c r="Z122" s="82">
        <f t="shared" si="40"/>
        <v>0.13751088043872814</v>
      </c>
      <c r="AA122" s="94"/>
      <c r="AB122" s="102"/>
      <c r="AD122" s="84">
        <f>D143</f>
        <v>237.7</v>
      </c>
      <c r="AE122" s="82">
        <f>S145</f>
        <v>47.543851300948582</v>
      </c>
      <c r="AF122" s="82">
        <f>U145</f>
        <v>2.6161314477703894</v>
      </c>
      <c r="AG122" s="82">
        <f>W145</f>
        <v>150.25076535206196</v>
      </c>
      <c r="AH122" s="82">
        <f>Y145</f>
        <v>9.1104431972760676</v>
      </c>
    </row>
    <row r="123" spans="2:34" x14ac:dyDescent="0.2">
      <c r="B123" s="226"/>
      <c r="C123" s="228"/>
      <c r="D123" s="230"/>
      <c r="E123" s="105" t="s">
        <v>106</v>
      </c>
      <c r="F123" s="232"/>
      <c r="G123" s="234"/>
      <c r="H123" s="77">
        <f>0.2204-F122</f>
        <v>0.16939000000000001</v>
      </c>
      <c r="I123" s="78">
        <f>0.2189-F122</f>
        <v>0.16789000000000001</v>
      </c>
      <c r="J123" s="78">
        <f>0.1534-G122</f>
        <v>0.10390000000000002</v>
      </c>
      <c r="K123" s="78">
        <f>0.1529-G122</f>
        <v>0.10340000000000002</v>
      </c>
      <c r="L123" s="269">
        <f t="shared" si="30"/>
        <v>1.7265883306320909E-2</v>
      </c>
      <c r="M123" s="269">
        <f t="shared" si="31"/>
        <v>1.7071799027552674E-2</v>
      </c>
      <c r="N123" s="78">
        <f t="shared" si="32"/>
        <v>1.7168841166936791E-2</v>
      </c>
      <c r="O123" s="78">
        <f>'Growth curves UTEX #1926'!G63</f>
        <v>0.56799999999999995</v>
      </c>
      <c r="P123" s="78">
        <f t="shared" si="33"/>
        <v>0.7154528</v>
      </c>
      <c r="Q123" s="79">
        <f>O123*0.75/1000</f>
        <v>4.2599999999999995E-4</v>
      </c>
      <c r="R123" s="80">
        <f t="shared" si="34"/>
        <v>20.151222026921118</v>
      </c>
      <c r="S123" s="81"/>
      <c r="T123" s="82"/>
      <c r="U123" s="82"/>
      <c r="V123" s="82">
        <f t="shared" si="35"/>
        <v>14.417248222582389</v>
      </c>
      <c r="W123" s="94"/>
      <c r="X123" s="82"/>
      <c r="Y123" s="82"/>
      <c r="Z123" s="82">
        <f>(V123-$V$114)/(D122-$D$113)</f>
        <v>0.11489925185262875</v>
      </c>
      <c r="AA123" s="94"/>
      <c r="AB123" s="102"/>
      <c r="AD123" s="84">
        <f>D146</f>
        <v>262.66666666666663</v>
      </c>
      <c r="AE123" s="82">
        <f>S148</f>
        <v>35.363894250152754</v>
      </c>
      <c r="AF123" s="82">
        <f>U148</f>
        <v>2.9702411493226593</v>
      </c>
      <c r="AG123" s="82">
        <f>W148</f>
        <v>112.53268503511613</v>
      </c>
      <c r="AH123" s="82">
        <f>Y148</f>
        <v>6.283684024052822</v>
      </c>
    </row>
    <row r="124" spans="2:34" x14ac:dyDescent="0.2">
      <c r="B124" s="227"/>
      <c r="C124" s="229"/>
      <c r="D124" s="231"/>
      <c r="E124" s="141" t="s">
        <v>107</v>
      </c>
      <c r="F124" s="233"/>
      <c r="G124" s="235"/>
      <c r="H124" s="85">
        <f>0.24-F122</f>
        <v>0.18898999999999999</v>
      </c>
      <c r="I124" s="86">
        <f>0.2201-F122</f>
        <v>0.16908999999999999</v>
      </c>
      <c r="J124" s="86">
        <f>0.1645-G122</f>
        <v>0.11500000000000002</v>
      </c>
      <c r="K124" s="86">
        <f>0.1437-G122</f>
        <v>9.4200000000000006E-2</v>
      </c>
      <c r="L124" s="269">
        <f t="shared" si="30"/>
        <v>1.9354132901134517E-2</v>
      </c>
      <c r="M124" s="269">
        <f t="shared" si="31"/>
        <v>1.8168395461912477E-2</v>
      </c>
      <c r="N124" s="86">
        <f t="shared" si="32"/>
        <v>1.8761264181523497E-2</v>
      </c>
      <c r="O124" s="86">
        <f>'Growth curves UTEX #1926'!H63</f>
        <v>0.622</v>
      </c>
      <c r="P124" s="86">
        <f t="shared" si="33"/>
        <v>0.78347120000000003</v>
      </c>
      <c r="Q124" s="87">
        <f>O124*0.75/1000</f>
        <v>4.6650000000000001E-4</v>
      </c>
      <c r="R124" s="88">
        <f t="shared" si="34"/>
        <v>20.108536100239547</v>
      </c>
      <c r="S124" s="89">
        <f>AVERAGE(R122:R124)</f>
        <v>19.694701481010128</v>
      </c>
      <c r="T124" s="90">
        <f>STDEV(R122:R124)</f>
        <v>0.75405179344598439</v>
      </c>
      <c r="U124" s="90">
        <f>T124/SQRT(3)</f>
        <v>0.43535200592895917</v>
      </c>
      <c r="V124" s="90">
        <f t="shared" si="35"/>
        <v>15.754458908697998</v>
      </c>
      <c r="W124" s="89">
        <f t="shared" si="37"/>
        <v>15.210458242391502</v>
      </c>
      <c r="X124" s="90">
        <f t="shared" si="38"/>
        <v>0.70257532063853356</v>
      </c>
      <c r="Y124" s="90">
        <f t="shared" si="39"/>
        <v>0.40563205049664502</v>
      </c>
      <c r="Z124" s="90">
        <f>(V124-$V$115)/(D122-$D$113)</f>
        <v>0.14331436373553577</v>
      </c>
      <c r="AA124" s="89">
        <f t="shared" si="41"/>
        <v>0.13190816534229755</v>
      </c>
      <c r="AB124" s="95">
        <f t="shared" si="42"/>
        <v>8.6678997488503391E-3</v>
      </c>
      <c r="AD124" s="84">
        <f>D149</f>
        <v>285.99999999999994</v>
      </c>
      <c r="AE124" s="82">
        <f>S151</f>
        <v>40.901752423034587</v>
      </c>
      <c r="AF124" s="82">
        <f>U151</f>
        <v>7.0116480667395402</v>
      </c>
      <c r="AG124" s="82">
        <f>W151</f>
        <v>140.04349000540248</v>
      </c>
      <c r="AH124" s="82">
        <f>Y151</f>
        <v>27.087414861614189</v>
      </c>
    </row>
    <row r="125" spans="2:34" x14ac:dyDescent="0.2">
      <c r="B125" s="226" t="s">
        <v>28</v>
      </c>
      <c r="C125" s="228">
        <v>0.55763888888888891</v>
      </c>
      <c r="D125" s="230">
        <f>12+36/60+14+D122</f>
        <v>95.883333333333326</v>
      </c>
      <c r="E125" s="105" t="s">
        <v>105</v>
      </c>
      <c r="F125" s="232">
        <f>(0.0497+0.0455)/2</f>
        <v>4.7600000000000003E-2</v>
      </c>
      <c r="G125" s="234">
        <f>(0.0476+0.0436)/2</f>
        <v>4.5600000000000002E-2</v>
      </c>
      <c r="H125" s="77">
        <f>0.3796-F125</f>
        <v>0.33199999999999996</v>
      </c>
      <c r="I125" s="78">
        <f>0.3458-F125</f>
        <v>0.29820000000000002</v>
      </c>
      <c r="J125" s="78">
        <f>0.2526-G125</f>
        <v>0.20699999999999999</v>
      </c>
      <c r="K125" s="78">
        <f>0.2183-G125</f>
        <v>0.17269999999999999</v>
      </c>
      <c r="L125" s="269">
        <f t="shared" si="30"/>
        <v>3.3511345218800642E-2</v>
      </c>
      <c r="M125" s="269">
        <f t="shared" si="31"/>
        <v>3.1396515397082658E-2</v>
      </c>
      <c r="N125" s="78">
        <f t="shared" si="32"/>
        <v>3.245393030794165E-2</v>
      </c>
      <c r="O125" s="78">
        <f>'Growth curves UTEX #1926'!F64</f>
        <v>0.87</v>
      </c>
      <c r="P125" s="78">
        <f t="shared" si="33"/>
        <v>1.095852</v>
      </c>
      <c r="Q125" s="79">
        <f>O125*0.5/1000</f>
        <v>4.35E-4</v>
      </c>
      <c r="R125" s="80">
        <f t="shared" si="34"/>
        <v>37.303368170047875</v>
      </c>
      <c r="S125" s="81"/>
      <c r="V125" s="82">
        <f t="shared" si="35"/>
        <v>40.878970615883304</v>
      </c>
      <c r="W125" s="94"/>
      <c r="X125" s="82"/>
      <c r="Y125" s="82"/>
      <c r="Z125" s="82">
        <f t="shared" si="40"/>
        <v>0.36446913109388918</v>
      </c>
      <c r="AA125" s="94"/>
      <c r="AB125" s="102"/>
      <c r="AD125" s="84">
        <f>D152</f>
        <v>333.49999999999994</v>
      </c>
      <c r="AE125" s="82">
        <f>S154</f>
        <v>41.636084645625381</v>
      </c>
      <c r="AF125" s="82">
        <f>U154</f>
        <v>3.6318771326524923</v>
      </c>
      <c r="AG125" s="82">
        <f>W154</f>
        <v>160.58198271204753</v>
      </c>
      <c r="AH125" s="82">
        <f>Y154</f>
        <v>20.040496040822806</v>
      </c>
    </row>
    <row r="126" spans="2:34" ht="15" customHeight="1" x14ac:dyDescent="0.2">
      <c r="B126" s="226"/>
      <c r="C126" s="228"/>
      <c r="D126" s="230"/>
      <c r="E126" s="105" t="s">
        <v>106</v>
      </c>
      <c r="F126" s="232"/>
      <c r="G126" s="234"/>
      <c r="H126" s="77">
        <f>0.2999-F125</f>
        <v>0.25229999999999997</v>
      </c>
      <c r="I126" s="78">
        <f>0.2984-F125</f>
        <v>0.25080000000000002</v>
      </c>
      <c r="J126" s="78">
        <f>0.1942-G125</f>
        <v>0.14860000000000001</v>
      </c>
      <c r="K126" s="78">
        <f>0.1938-G125</f>
        <v>0.1482</v>
      </c>
      <c r="L126" s="269">
        <f t="shared" si="30"/>
        <v>2.6320421393841161E-2</v>
      </c>
      <c r="M126" s="269">
        <f t="shared" si="31"/>
        <v>2.6116531604538092E-2</v>
      </c>
      <c r="N126" s="78">
        <f t="shared" si="32"/>
        <v>2.6218476499189625E-2</v>
      </c>
      <c r="O126" s="78">
        <f>'Growth curves UTEX #1926'!G64</f>
        <v>0.88800000000000001</v>
      </c>
      <c r="P126" s="78">
        <f t="shared" si="33"/>
        <v>1.1185248000000001</v>
      </c>
      <c r="Q126" s="79">
        <f>O126*0.5/1000</f>
        <v>4.44E-4</v>
      </c>
      <c r="R126" s="80">
        <f t="shared" si="34"/>
        <v>29.525311372961287</v>
      </c>
      <c r="S126" s="81"/>
      <c r="V126" s="82">
        <f t="shared" si="35"/>
        <v>33.024792998379255</v>
      </c>
      <c r="W126" s="94"/>
      <c r="X126" s="82"/>
      <c r="Y126" s="82"/>
      <c r="Z126" s="82">
        <f>(V126-$V$114)/(D125-$D$113)</f>
        <v>0.27708828028840427</v>
      </c>
      <c r="AA126" s="94"/>
      <c r="AB126" s="102"/>
      <c r="AD126" s="84">
        <f>D155</f>
        <v>357.39999999999992</v>
      </c>
      <c r="AE126" s="82">
        <f>S157</f>
        <v>46.150774881578535</v>
      </c>
      <c r="AF126" s="82">
        <f>U157</f>
        <v>3.1626566338523916</v>
      </c>
      <c r="AG126" s="82">
        <f>W157</f>
        <v>187.36345218800648</v>
      </c>
      <c r="AH126" s="82">
        <f>Y157</f>
        <v>20.989927255153994</v>
      </c>
    </row>
    <row r="127" spans="2:34" ht="15" customHeight="1" x14ac:dyDescent="0.2">
      <c r="B127" s="227"/>
      <c r="C127" s="229"/>
      <c r="D127" s="231"/>
      <c r="E127" s="141" t="s">
        <v>107</v>
      </c>
      <c r="F127" s="233"/>
      <c r="G127" s="235"/>
      <c r="H127" s="85">
        <f>0.4017-F125</f>
        <v>0.35409999999999997</v>
      </c>
      <c r="I127" s="86">
        <f>0.3883-F125</f>
        <v>0.3407</v>
      </c>
      <c r="J127" s="86">
        <f>0.2819-G125</f>
        <v>0.23629999999999998</v>
      </c>
      <c r="K127" s="86">
        <f>0.2671-G125</f>
        <v>0.2215</v>
      </c>
      <c r="L127" s="269">
        <f t="shared" si="30"/>
        <v>3.4220178282009718E-2</v>
      </c>
      <c r="M127" s="269">
        <f t="shared" si="31"/>
        <v>3.349959481361426E-2</v>
      </c>
      <c r="N127" s="86">
        <f t="shared" si="32"/>
        <v>3.3859886547811989E-2</v>
      </c>
      <c r="O127" s="86">
        <f>'Growth curves UTEX #1926'!H64</f>
        <v>0.84399999999999997</v>
      </c>
      <c r="P127" s="86">
        <f t="shared" si="33"/>
        <v>1.0631024</v>
      </c>
      <c r="Q127" s="87">
        <f>O127*0.5/1000</f>
        <v>4.2200000000000001E-4</v>
      </c>
      <c r="R127" s="88">
        <f t="shared" si="34"/>
        <v>40.118348990298564</v>
      </c>
      <c r="S127" s="89">
        <f>AVERAGE(R125:R127)</f>
        <v>35.649009511102577</v>
      </c>
      <c r="T127" s="90">
        <f>STDEV(R125:R127)</f>
        <v>5.4868741939196166</v>
      </c>
      <c r="U127" s="90">
        <f>T127/SQRT(3)</f>
        <v>3.1678482928691016</v>
      </c>
      <c r="V127" s="90">
        <f t="shared" si="35"/>
        <v>42.64991309562398</v>
      </c>
      <c r="W127" s="89">
        <f t="shared" si="37"/>
        <v>38.851225569962175</v>
      </c>
      <c r="X127" s="90">
        <f t="shared" si="38"/>
        <v>5.1229431677542348</v>
      </c>
      <c r="Y127" s="90">
        <f t="shared" si="39"/>
        <v>2.9577326169460618</v>
      </c>
      <c r="Z127" s="90">
        <f>(V127-$V$115)/(D125-$D$113)</f>
        <v>0.38405789349281788</v>
      </c>
      <c r="AA127" s="89">
        <f t="shared" si="41"/>
        <v>0.34187176829170379</v>
      </c>
      <c r="AB127" s="95">
        <f t="shared" si="42"/>
        <v>3.2881631860790683E-2</v>
      </c>
      <c r="AD127" s="84">
        <f>D158</f>
        <v>405.49999999999994</v>
      </c>
      <c r="AE127" s="82">
        <f>S160</f>
        <v>54.09061765862517</v>
      </c>
      <c r="AF127" s="82">
        <f>U160</f>
        <v>4.8768929164546231</v>
      </c>
      <c r="AG127" s="82">
        <f>W160</f>
        <v>221.6157482441923</v>
      </c>
      <c r="AH127" s="82">
        <f>Y160</f>
        <v>28.827986500944643</v>
      </c>
    </row>
    <row r="128" spans="2:34" x14ac:dyDescent="0.2">
      <c r="B128" s="226" t="s">
        <v>29</v>
      </c>
      <c r="C128" s="228">
        <v>0.5625</v>
      </c>
      <c r="D128" s="230">
        <f>24+7/60+D125</f>
        <v>120</v>
      </c>
      <c r="E128" s="105" t="s">
        <v>105</v>
      </c>
      <c r="F128" s="232">
        <f>0.0468</f>
        <v>4.6800000000000001E-2</v>
      </c>
      <c r="G128" s="234">
        <v>4.5199999999999997E-2</v>
      </c>
      <c r="H128" s="77">
        <f>0.3258-F128</f>
        <v>0.27899999999999997</v>
      </c>
      <c r="I128" s="78">
        <f>0.3314-F128</f>
        <v>0.28459999999999996</v>
      </c>
      <c r="J128" s="78">
        <f>0.2157-G128</f>
        <v>0.17050000000000001</v>
      </c>
      <c r="K128" s="78">
        <f>0.2248-G128</f>
        <v>0.17960000000000001</v>
      </c>
      <c r="L128" s="269">
        <f t="shared" si="30"/>
        <v>2.8500405186385733E-2</v>
      </c>
      <c r="M128" s="269">
        <f t="shared" si="31"/>
        <v>2.8515721231766607E-2</v>
      </c>
      <c r="N128" s="78">
        <f t="shared" si="32"/>
        <v>2.850806320907617E-2</v>
      </c>
      <c r="O128" s="78">
        <f>'Growth curves UTEX #1926'!F65</f>
        <v>1.163</v>
      </c>
      <c r="P128" s="78">
        <f t="shared" si="33"/>
        <v>1.4649148000000001</v>
      </c>
      <c r="Q128" s="79">
        <f>O128*0.25/1000</f>
        <v>2.9074999999999999E-4</v>
      </c>
      <c r="R128" s="80">
        <f t="shared" si="34"/>
        <v>49.025044211652919</v>
      </c>
      <c r="S128" s="81"/>
      <c r="V128" s="82">
        <f t="shared" si="35"/>
        <v>71.817512836304701</v>
      </c>
      <c r="W128" s="94"/>
      <c r="X128" s="82"/>
      <c r="Y128" s="82"/>
      <c r="Z128" s="82">
        <f t="shared" si="40"/>
        <v>0.54904214505672611</v>
      </c>
      <c r="AA128" s="94"/>
      <c r="AB128" s="102"/>
      <c r="AD128" s="84">
        <f>D161</f>
        <v>430.26666666666659</v>
      </c>
      <c r="AE128" s="82">
        <f>S163</f>
        <v>57.318919997990776</v>
      </c>
      <c r="AF128" s="82">
        <f>U163</f>
        <v>5.8993127770786309</v>
      </c>
      <c r="AG128" s="82">
        <f>W163</f>
        <v>234.96961102106968</v>
      </c>
      <c r="AH128" s="82">
        <f>Y163</f>
        <v>27.118619185506237</v>
      </c>
    </row>
    <row r="129" spans="2:34" x14ac:dyDescent="0.2">
      <c r="B129" s="226"/>
      <c r="C129" s="228"/>
      <c r="D129" s="230"/>
      <c r="E129" s="105" t="s">
        <v>106</v>
      </c>
      <c r="F129" s="232"/>
      <c r="G129" s="234"/>
      <c r="H129" s="77">
        <f>0.3178-F128</f>
        <v>0.27100000000000002</v>
      </c>
      <c r="I129" s="78">
        <f>0.3155-F128</f>
        <v>0.26869999999999999</v>
      </c>
      <c r="J129" s="78">
        <f>0.2481-G128</f>
        <v>0.2029</v>
      </c>
      <c r="K129" s="78">
        <f>0.2429-G128</f>
        <v>0.19770000000000001</v>
      </c>
      <c r="L129" s="269">
        <f t="shared" si="30"/>
        <v>2.4026823338735823E-2</v>
      </c>
      <c r="M129" s="269">
        <f t="shared" si="31"/>
        <v>2.4163938411669365E-2</v>
      </c>
      <c r="N129" s="78">
        <f t="shared" si="32"/>
        <v>2.4095380875202594E-2</v>
      </c>
      <c r="O129" s="78">
        <f>'Growth curves UTEX #1926'!G65</f>
        <v>1.0980000000000001</v>
      </c>
      <c r="P129" s="78">
        <f t="shared" si="33"/>
        <v>1.3830408000000001</v>
      </c>
      <c r="Q129" s="79">
        <f>O129*0.25/1000</f>
        <v>2.745E-4</v>
      </c>
      <c r="R129" s="80">
        <f t="shared" si="34"/>
        <v>43.889582650642247</v>
      </c>
      <c r="S129" s="81"/>
      <c r="V129" s="82">
        <f t="shared" si="35"/>
        <v>60.701083500810377</v>
      </c>
      <c r="W129" s="94"/>
      <c r="X129" s="82"/>
      <c r="Y129" s="82"/>
      <c r="Z129" s="82">
        <f>(V129-$V$114)/(D128-$D$113)</f>
        <v>0.45203698703403566</v>
      </c>
      <c r="AA129" s="94"/>
      <c r="AB129" s="102"/>
      <c r="AD129" s="84"/>
      <c r="AE129" s="82"/>
      <c r="AF129" s="82"/>
      <c r="AG129" s="82"/>
      <c r="AH129" s="82"/>
    </row>
    <row r="130" spans="2:34" x14ac:dyDescent="0.2">
      <c r="B130" s="227"/>
      <c r="C130" s="229"/>
      <c r="D130" s="231"/>
      <c r="E130" s="141" t="s">
        <v>107</v>
      </c>
      <c r="F130" s="233"/>
      <c r="G130" s="235"/>
      <c r="H130" s="85">
        <f>0.315-F128</f>
        <v>0.26819999999999999</v>
      </c>
      <c r="I130" s="86">
        <f>0.3373-F128</f>
        <v>0.29049999999999998</v>
      </c>
      <c r="J130" s="86">
        <f>0.224-G128</f>
        <v>0.17880000000000001</v>
      </c>
      <c r="K130" s="86">
        <f>0.2381-G128</f>
        <v>0.19290000000000002</v>
      </c>
      <c r="L130" s="269">
        <f t="shared" si="30"/>
        <v>2.593614262560778E-2</v>
      </c>
      <c r="M130" s="269">
        <f t="shared" si="31"/>
        <v>2.8167828200972446E-2</v>
      </c>
      <c r="N130" s="86">
        <f t="shared" si="32"/>
        <v>2.7051985413290111E-2</v>
      </c>
      <c r="O130" s="86">
        <f>'Growth curves UTEX #1926'!H65</f>
        <v>1.087</v>
      </c>
      <c r="P130" s="86">
        <f t="shared" si="33"/>
        <v>1.3691852</v>
      </c>
      <c r="Q130" s="87">
        <f>O130*0.25/1000</f>
        <v>2.7174999999999996E-4</v>
      </c>
      <c r="R130" s="88">
        <f t="shared" si="34"/>
        <v>49.773662213965252</v>
      </c>
      <c r="S130" s="89">
        <f>AVERAGE(R128:R130)</f>
        <v>47.562763025420139</v>
      </c>
      <c r="T130" s="90">
        <f>STDEV(R128:R130)</f>
        <v>3.2030138584755798</v>
      </c>
      <c r="U130" s="90">
        <f>T130/SQRT(3)</f>
        <v>1.8492609134089779</v>
      </c>
      <c r="V130" s="90">
        <f t="shared" si="35"/>
        <v>68.149361653160454</v>
      </c>
      <c r="W130" s="89">
        <f t="shared" si="37"/>
        <v>66.889319330091837</v>
      </c>
      <c r="X130" s="90">
        <f t="shared" si="38"/>
        <v>5.6643208140696624</v>
      </c>
      <c r="Y130" s="90">
        <f t="shared" si="39"/>
        <v>3.2702971467795199</v>
      </c>
      <c r="Z130" s="90">
        <f>(V130-$V$115)/(D128-$D$113)</f>
        <v>0.51936832982171799</v>
      </c>
      <c r="AA130" s="89">
        <f t="shared" si="41"/>
        <v>0.5068158206374932</v>
      </c>
      <c r="AB130" s="95">
        <f t="shared" si="42"/>
        <v>2.8697701916511369E-2</v>
      </c>
    </row>
    <row r="131" spans="2:34" x14ac:dyDescent="0.2">
      <c r="B131" s="226" t="s">
        <v>30</v>
      </c>
      <c r="C131" s="228">
        <v>0.4152777777777778</v>
      </c>
      <c r="D131" s="230">
        <f>8+28/60+12+D128</f>
        <v>140.46666666666667</v>
      </c>
      <c r="E131" s="105" t="s">
        <v>105</v>
      </c>
      <c r="F131" s="232">
        <v>4.4299999999999999E-2</v>
      </c>
      <c r="G131" s="234">
        <v>4.3999999999999997E-2</v>
      </c>
      <c r="H131" s="77">
        <f>0.2296-F131</f>
        <v>0.18529999999999999</v>
      </c>
      <c r="I131" s="78">
        <f>0.2518-F131</f>
        <v>0.20750000000000002</v>
      </c>
      <c r="J131" s="78">
        <f>0.1637-G131</f>
        <v>0.11970000000000001</v>
      </c>
      <c r="K131" s="78">
        <f>0.1855-G131</f>
        <v>0.14150000000000001</v>
      </c>
      <c r="L131" s="269">
        <f t="shared" si="30"/>
        <v>1.8295218800648296E-2</v>
      </c>
      <c r="M131" s="269">
        <f t="shared" si="31"/>
        <v>1.9755672609400327E-2</v>
      </c>
      <c r="N131" s="78">
        <f t="shared" si="32"/>
        <v>1.9025445705024312E-2</v>
      </c>
      <c r="O131" s="78">
        <f>'Growth curves UTEX #1926'!F66</f>
        <v>1.3640000000000001</v>
      </c>
      <c r="P131" s="78">
        <f t="shared" si="33"/>
        <v>1.7180944000000002</v>
      </c>
      <c r="Q131" s="79">
        <f>O131*0.125/1000</f>
        <v>1.7050000000000002E-4</v>
      </c>
      <c r="R131" s="80">
        <f t="shared" si="34"/>
        <v>55.793095909162197</v>
      </c>
      <c r="S131" s="81"/>
      <c r="V131" s="82">
        <f t="shared" si="35"/>
        <v>95.857805640194499</v>
      </c>
      <c r="W131" s="94"/>
      <c r="X131" s="82"/>
      <c r="Y131" s="82"/>
      <c r="Z131" s="82">
        <f t="shared" si="40"/>
        <v>0.64018996353130231</v>
      </c>
      <c r="AA131" s="94"/>
      <c r="AB131" s="102"/>
      <c r="AE131" s="82"/>
      <c r="AF131" s="82"/>
      <c r="AG131" s="82"/>
      <c r="AH131" s="82"/>
    </row>
    <row r="132" spans="2:34" x14ac:dyDescent="0.2">
      <c r="B132" s="226"/>
      <c r="C132" s="228"/>
      <c r="D132" s="230"/>
      <c r="E132" s="105" t="s">
        <v>106</v>
      </c>
      <c r="F132" s="232"/>
      <c r="G132" s="234"/>
      <c r="H132" s="77">
        <f>0.1957-F131</f>
        <v>0.15140000000000001</v>
      </c>
      <c r="I132" s="78">
        <f>0.215-F131</f>
        <v>0.17069999999999999</v>
      </c>
      <c r="J132" s="78">
        <f>0.1427-G131</f>
        <v>9.8699999999999996E-2</v>
      </c>
      <c r="K132" s="78">
        <f>0.1603-G131</f>
        <v>0.1163</v>
      </c>
      <c r="L132" s="269">
        <f t="shared" si="30"/>
        <v>1.4860048622366289E-2</v>
      </c>
      <c r="M132" s="269">
        <f t="shared" si="31"/>
        <v>1.6262317666126416E-2</v>
      </c>
      <c r="N132" s="78">
        <f t="shared" si="32"/>
        <v>1.5561183144246354E-2</v>
      </c>
      <c r="O132" s="78">
        <f>'Growth curves UTEX #1926'!G66</f>
        <v>1.2729999999999999</v>
      </c>
      <c r="P132" s="78">
        <f t="shared" si="33"/>
        <v>1.6034708</v>
      </c>
      <c r="Q132" s="79">
        <f>O132*0.125/1000</f>
        <v>1.5912499999999998E-4</v>
      </c>
      <c r="R132" s="80">
        <f t="shared" si="34"/>
        <v>48.896097860946917</v>
      </c>
      <c r="S132" s="81"/>
      <c r="V132" s="82">
        <f t="shared" si="35"/>
        <v>78.403465153970842</v>
      </c>
      <c r="W132" s="94"/>
      <c r="X132" s="82"/>
      <c r="Y132" s="82"/>
      <c r="Z132" s="82">
        <f>(V132-$V$114)/(D131-$D$113)</f>
        <v>0.51219852940610877</v>
      </c>
      <c r="AA132" s="94"/>
      <c r="AB132" s="102"/>
      <c r="AE132" s="82"/>
      <c r="AF132" s="82"/>
      <c r="AG132" s="82"/>
      <c r="AH132" s="82"/>
    </row>
    <row r="133" spans="2:34" x14ac:dyDescent="0.2">
      <c r="B133" s="227"/>
      <c r="C133" s="229"/>
      <c r="D133" s="231"/>
      <c r="E133" s="141" t="s">
        <v>107</v>
      </c>
      <c r="F133" s="233"/>
      <c r="G133" s="235"/>
      <c r="H133" s="85">
        <f>0.2025-F131</f>
        <v>0.15820000000000001</v>
      </c>
      <c r="I133" s="86">
        <f>0.2072-F131</f>
        <v>0.16289999999999999</v>
      </c>
      <c r="J133" s="86">
        <f>0.1471-G131</f>
        <v>0.10310000000000001</v>
      </c>
      <c r="K133" s="86">
        <f>0.1519-G131</f>
        <v>0.10790000000000001</v>
      </c>
      <c r="L133" s="269">
        <f t="shared" si="30"/>
        <v>1.5530713128038899E-2</v>
      </c>
      <c r="M133" s="269">
        <f t="shared" si="31"/>
        <v>1.5821799027552673E-2</v>
      </c>
      <c r="N133" s="86">
        <f t="shared" si="32"/>
        <v>1.5676256077795787E-2</v>
      </c>
      <c r="O133" s="86">
        <f>'Growth curves UTEX #1926'!H66</f>
        <v>1.3480000000000001</v>
      </c>
      <c r="P133" s="86">
        <f t="shared" si="33"/>
        <v>1.6979408000000002</v>
      </c>
      <c r="Q133" s="87">
        <f>O133*0.125/1000</f>
        <v>1.685E-4</v>
      </c>
      <c r="R133" s="88">
        <f t="shared" si="34"/>
        <v>46.51708034954239</v>
      </c>
      <c r="S133" s="89">
        <f>AVERAGE(R131:R133)</f>
        <v>50.402091373217168</v>
      </c>
      <c r="T133" s="90">
        <f>STDEV(R131:R133)</f>
        <v>4.81789668940994</v>
      </c>
      <c r="U133" s="90">
        <f>T133/SQRT(3)</f>
        <v>2.7816139505586359</v>
      </c>
      <c r="V133" s="90">
        <f t="shared" si="35"/>
        <v>78.98324862236629</v>
      </c>
      <c r="W133" s="89">
        <f t="shared" si="37"/>
        <v>84.414839805510539</v>
      </c>
      <c r="X133" s="90">
        <f t="shared" si="38"/>
        <v>9.9141382650165006</v>
      </c>
      <c r="Y133" s="90">
        <f t="shared" si="39"/>
        <v>5.723930396090446</v>
      </c>
      <c r="Z133" s="90">
        <f>(V133-$V$115)/(D131-$D$113)</f>
        <v>0.52082168875993351</v>
      </c>
      <c r="AA133" s="89">
        <f t="shared" si="41"/>
        <v>0.55773672723244816</v>
      </c>
      <c r="AB133" s="95">
        <f t="shared" si="42"/>
        <v>4.130170235162367E-2</v>
      </c>
    </row>
    <row r="134" spans="2:34" x14ac:dyDescent="0.2">
      <c r="B134" s="226" t="s">
        <v>31</v>
      </c>
      <c r="C134" s="228">
        <v>0.44930555555555557</v>
      </c>
      <c r="D134" s="230">
        <f>24+49/60+D131</f>
        <v>165.28333333333333</v>
      </c>
      <c r="E134" s="105" t="s">
        <v>105</v>
      </c>
      <c r="F134" s="232">
        <v>4.9299999999999997E-2</v>
      </c>
      <c r="G134" s="234">
        <v>4.8399999999999999E-2</v>
      </c>
      <c r="H134" s="77">
        <f>0.2475-F134</f>
        <v>0.19819999999999999</v>
      </c>
      <c r="I134" s="78">
        <f>0.252-F134</f>
        <v>0.20269999999999999</v>
      </c>
      <c r="J134" s="78">
        <f>0.1643-G134</f>
        <v>0.1159</v>
      </c>
      <c r="K134" s="78">
        <f>0.1698-G134</f>
        <v>0.12140000000000001</v>
      </c>
      <c r="L134" s="269">
        <f t="shared" si="30"/>
        <v>2.075858995137763E-2</v>
      </c>
      <c r="M134" s="269">
        <f t="shared" si="31"/>
        <v>2.0948622366288493E-2</v>
      </c>
      <c r="N134" s="78">
        <f t="shared" si="32"/>
        <v>2.0853606158833062E-2</v>
      </c>
      <c r="O134" s="78">
        <f>'Growth curves UTEX #1926'!F67</f>
        <v>1.8120000000000001</v>
      </c>
      <c r="P134" s="78">
        <f t="shared" si="33"/>
        <v>2.2823952000000003</v>
      </c>
      <c r="Q134" s="79">
        <f t="shared" ref="Q134:Q139" si="43">P134*0.125/1000</f>
        <v>2.8529940000000006E-4</v>
      </c>
      <c r="R134" s="80">
        <f t="shared" si="34"/>
        <v>36.546880503136457</v>
      </c>
      <c r="S134" s="81"/>
      <c r="V134" s="82">
        <f t="shared" si="35"/>
        <v>83.414424635332239</v>
      </c>
      <c r="W134" s="94"/>
      <c r="X134" s="82"/>
      <c r="Y134" s="82"/>
      <c r="Z134" s="82">
        <f t="shared" si="40"/>
        <v>0.46878271174247055</v>
      </c>
      <c r="AA134" s="94"/>
      <c r="AB134" s="102"/>
    </row>
    <row r="135" spans="2:34" x14ac:dyDescent="0.2">
      <c r="B135" s="226"/>
      <c r="C135" s="228"/>
      <c r="D135" s="230"/>
      <c r="E135" s="105" t="s">
        <v>106</v>
      </c>
      <c r="F135" s="232"/>
      <c r="G135" s="234"/>
      <c r="H135" s="77">
        <f>0.2367-F134</f>
        <v>0.18740000000000001</v>
      </c>
      <c r="I135" s="78">
        <f>0.2166-F134</f>
        <v>0.1673</v>
      </c>
      <c r="J135" s="78">
        <f>0.168-G134</f>
        <v>0.11960000000000001</v>
      </c>
      <c r="K135" s="78">
        <f>0.1473-G134</f>
        <v>9.8899999999999988E-2</v>
      </c>
      <c r="L135" s="269">
        <f t="shared" si="30"/>
        <v>1.8645380875202594E-2</v>
      </c>
      <c r="M135" s="269">
        <f t="shared" si="31"/>
        <v>1.7417423014586712E-2</v>
      </c>
      <c r="N135" s="78">
        <f t="shared" si="32"/>
        <v>1.8031401944894651E-2</v>
      </c>
      <c r="O135" s="78">
        <f>'Growth curves UTEX #1926'!G67</f>
        <v>1.706</v>
      </c>
      <c r="P135" s="78">
        <f t="shared" si="33"/>
        <v>2.1488776000000001</v>
      </c>
      <c r="Q135" s="79">
        <f t="shared" si="43"/>
        <v>2.6860970000000002E-4</v>
      </c>
      <c r="R135" s="80">
        <f t="shared" si="34"/>
        <v>33.564316450401179</v>
      </c>
      <c r="S135" s="81"/>
      <c r="V135" s="82">
        <f t="shared" si="35"/>
        <v>72.125607779578601</v>
      </c>
      <c r="W135" s="94"/>
      <c r="X135" s="82"/>
      <c r="Y135" s="82"/>
      <c r="Z135" s="82">
        <f>(V135-$V$114)/(D134-$D$113)</f>
        <v>0.39731146146729363</v>
      </c>
      <c r="AA135" s="94"/>
      <c r="AB135" s="102"/>
    </row>
    <row r="136" spans="2:34" x14ac:dyDescent="0.2">
      <c r="B136" s="227"/>
      <c r="C136" s="229"/>
      <c r="D136" s="231"/>
      <c r="E136" s="141" t="s">
        <v>107</v>
      </c>
      <c r="F136" s="233"/>
      <c r="G136" s="235"/>
      <c r="H136" s="85">
        <f>0.2766-F134</f>
        <v>0.2273</v>
      </c>
      <c r="I136" s="86">
        <f>0.2701-F134</f>
        <v>0.2208</v>
      </c>
      <c r="J136" s="86">
        <f>0.1956-G134</f>
        <v>0.1472</v>
      </c>
      <c r="K136" s="86">
        <f>0.189-G134</f>
        <v>0.1406</v>
      </c>
      <c r="L136" s="269">
        <f t="shared" si="30"/>
        <v>2.2405834683954622E-2</v>
      </c>
      <c r="M136" s="269">
        <f t="shared" si="31"/>
        <v>2.1999513776337114E-2</v>
      </c>
      <c r="N136" s="86">
        <f t="shared" si="32"/>
        <v>2.2202674230145866E-2</v>
      </c>
      <c r="O136" s="86">
        <f>'Growth curves UTEX #1926'!H67</f>
        <v>1.764</v>
      </c>
      <c r="P136" s="86">
        <f t="shared" si="33"/>
        <v>2.2219344000000003</v>
      </c>
      <c r="Q136" s="87">
        <f t="shared" si="43"/>
        <v>2.7774180000000002E-4</v>
      </c>
      <c r="R136" s="88">
        <f t="shared" si="34"/>
        <v>39.969990527435669</v>
      </c>
      <c r="S136" s="89">
        <f>AVERAGE(R134:R136)</f>
        <v>36.693729160324438</v>
      </c>
      <c r="T136" s="90">
        <f>STDEV(R134:R136)</f>
        <v>3.2053608987735456</v>
      </c>
      <c r="U136" s="90">
        <f>T136/SQRT(3)</f>
        <v>1.8506159777568074</v>
      </c>
      <c r="V136" s="90">
        <f t="shared" si="35"/>
        <v>88.810696920583467</v>
      </c>
      <c r="W136" s="89">
        <f t="shared" si="37"/>
        <v>81.450243111831441</v>
      </c>
      <c r="X136" s="90">
        <f t="shared" si="38"/>
        <v>8.5141973611002282</v>
      </c>
      <c r="Y136" s="90">
        <f t="shared" si="39"/>
        <v>4.9156741383648184</v>
      </c>
      <c r="Z136" s="90">
        <f>(V136-$V$115)/(D134-$D$113)</f>
        <v>0.50208047703557024</v>
      </c>
      <c r="AA136" s="89">
        <f t="shared" si="41"/>
        <v>0.45605821674844482</v>
      </c>
      <c r="AB136" s="95">
        <f t="shared" si="42"/>
        <v>3.090615491789182E-2</v>
      </c>
    </row>
    <row r="137" spans="2:34" x14ac:dyDescent="0.2">
      <c r="B137" s="226" t="s">
        <v>32</v>
      </c>
      <c r="C137" s="228">
        <v>0.44305555555555554</v>
      </c>
      <c r="D137" s="230">
        <f>11+51/60+12+D134</f>
        <v>189.13333333333333</v>
      </c>
      <c r="E137" s="105" t="s">
        <v>105</v>
      </c>
      <c r="F137" s="232">
        <f>(0.0533+0.0497+0.0487)/3</f>
        <v>5.0566666666666669E-2</v>
      </c>
      <c r="G137" s="234">
        <f>(0.0526+0.0486+0.048)/3</f>
        <v>4.9733333333333331E-2</v>
      </c>
      <c r="H137" s="77">
        <f>0.322-F137</f>
        <v>0.27143333333333336</v>
      </c>
      <c r="I137" s="78">
        <f>0.3025-F137</f>
        <v>0.25193333333333334</v>
      </c>
      <c r="J137" s="78">
        <f>0.2093-G137</f>
        <v>0.15956666666666669</v>
      </c>
      <c r="K137" s="78">
        <f>0.1933-G137</f>
        <v>0.14356666666666668</v>
      </c>
      <c r="L137" s="269">
        <f t="shared" si="30"/>
        <v>2.8346110210696922E-2</v>
      </c>
      <c r="M137" s="269">
        <f t="shared" si="31"/>
        <v>2.6754538087520256E-2</v>
      </c>
      <c r="N137" s="78">
        <f t="shared" si="32"/>
        <v>2.7550324149108588E-2</v>
      </c>
      <c r="O137" s="78">
        <f>'Growth curves UTEX #1926'!F68</f>
        <v>2.0299999999999998</v>
      </c>
      <c r="P137" s="78">
        <f t="shared" si="33"/>
        <v>2.556988</v>
      </c>
      <c r="Q137" s="79">
        <f t="shared" si="43"/>
        <v>3.1962350000000001E-4</v>
      </c>
      <c r="R137" s="80">
        <f t="shared" si="34"/>
        <v>43.098089078413487</v>
      </c>
      <c r="S137" s="81"/>
      <c r="V137" s="82">
        <f t="shared" si="35"/>
        <v>110.20129659643435</v>
      </c>
      <c r="W137" s="94"/>
      <c r="X137" s="82"/>
      <c r="Y137" s="82"/>
      <c r="Z137" s="82">
        <f t="shared" si="40"/>
        <v>0.55129806750230936</v>
      </c>
      <c r="AA137" s="94"/>
      <c r="AB137" s="102"/>
    </row>
    <row r="138" spans="2:34" x14ac:dyDescent="0.2">
      <c r="B138" s="226"/>
      <c r="C138" s="228"/>
      <c r="D138" s="230"/>
      <c r="E138" s="105" t="s">
        <v>106</v>
      </c>
      <c r="F138" s="232"/>
      <c r="G138" s="234"/>
      <c r="H138" s="77">
        <f>0.2754-F137</f>
        <v>0.2248333333333333</v>
      </c>
      <c r="I138" s="78">
        <f>0.2689-F137</f>
        <v>0.2183333333333333</v>
      </c>
      <c r="J138" s="78">
        <f>0.1811-G137</f>
        <v>0.13136666666666669</v>
      </c>
      <c r="K138" s="78">
        <f>0.1753-G137</f>
        <v>0.12556666666666669</v>
      </c>
      <c r="L138" s="269">
        <f t="shared" si="30"/>
        <v>2.3558589951377624E-2</v>
      </c>
      <c r="M138" s="269">
        <f t="shared" si="31"/>
        <v>2.3073824959481355E-2</v>
      </c>
      <c r="N138" s="78">
        <f t="shared" si="32"/>
        <v>2.3316207455429491E-2</v>
      </c>
      <c r="O138" s="78">
        <f>'Growth curves UTEX #1926'!G68</f>
        <v>1.9319999999999999</v>
      </c>
      <c r="P138" s="78">
        <f t="shared" si="33"/>
        <v>2.4335472</v>
      </c>
      <c r="Q138" s="79">
        <f t="shared" si="43"/>
        <v>3.0419339999999999E-4</v>
      </c>
      <c r="R138" s="80">
        <f t="shared" si="34"/>
        <v>38.324643886799471</v>
      </c>
      <c r="S138" s="81"/>
      <c r="V138" s="82">
        <f t="shared" si="35"/>
        <v>93.264829821717967</v>
      </c>
      <c r="W138" s="94"/>
      <c r="X138" s="82"/>
      <c r="Y138" s="82"/>
      <c r="Z138" s="82">
        <f>(V138-$V$114)/(D137-$D$113)</f>
        <v>0.45897877034715484</v>
      </c>
      <c r="AA138" s="94"/>
      <c r="AB138" s="102"/>
    </row>
    <row r="139" spans="2:34" x14ac:dyDescent="0.2">
      <c r="B139" s="227"/>
      <c r="C139" s="229"/>
      <c r="D139" s="231"/>
      <c r="E139" s="141" t="s">
        <v>107</v>
      </c>
      <c r="F139" s="233"/>
      <c r="G139" s="235"/>
      <c r="H139" s="85">
        <f>0.2816-F137</f>
        <v>0.23103333333333334</v>
      </c>
      <c r="I139" s="86">
        <f>0.2869-F137</f>
        <v>0.23633333333333331</v>
      </c>
      <c r="J139" s="86">
        <f>0.1802-G137</f>
        <v>0.13046666666666668</v>
      </c>
      <c r="K139" s="86">
        <f>0.1844-G137</f>
        <v>0.13466666666666668</v>
      </c>
      <c r="L139" s="269">
        <f t="shared" si="30"/>
        <v>2.4651701782820095E-2</v>
      </c>
      <c r="M139" s="269">
        <f t="shared" si="31"/>
        <v>2.5098865478119931E-2</v>
      </c>
      <c r="N139" s="86">
        <f t="shared" si="32"/>
        <v>2.4875283630470015E-2</v>
      </c>
      <c r="O139" s="86">
        <f>'Growth curves UTEX #1926'!H68</f>
        <v>2.0379999999999998</v>
      </c>
      <c r="P139" s="86">
        <f t="shared" si="33"/>
        <v>2.5670647999999998</v>
      </c>
      <c r="Q139" s="87">
        <f t="shared" si="43"/>
        <v>3.2088309999999998E-4</v>
      </c>
      <c r="R139" s="88">
        <f t="shared" si="34"/>
        <v>38.760663354458394</v>
      </c>
      <c r="S139" s="89">
        <f>AVERAGE(R137:R139)</f>
        <v>40.061132106557118</v>
      </c>
      <c r="T139" s="90">
        <f>STDEV(R137:R139)</f>
        <v>2.6391019269298126</v>
      </c>
      <c r="U139" s="90">
        <f>T139/SQRT(3)</f>
        <v>1.5236862079317874</v>
      </c>
      <c r="V139" s="90">
        <f t="shared" si="35"/>
        <v>99.501134521880061</v>
      </c>
      <c r="W139" s="89">
        <f t="shared" si="37"/>
        <v>100.98908698001078</v>
      </c>
      <c r="X139" s="90">
        <f t="shared" si="38"/>
        <v>8.5657152994371071</v>
      </c>
      <c r="Y139" s="90">
        <f t="shared" si="39"/>
        <v>4.94541803393171</v>
      </c>
      <c r="Z139" s="90">
        <f>(V139-$V$115)/(D137-$D$113)</f>
        <v>0.49529065446242032</v>
      </c>
      <c r="AA139" s="89">
        <f t="shared" si="41"/>
        <v>0.50185583077062812</v>
      </c>
      <c r="AB139" s="95">
        <f t="shared" si="42"/>
        <v>2.6851687170913616E-2</v>
      </c>
    </row>
    <row r="140" spans="2:34" x14ac:dyDescent="0.2">
      <c r="B140" s="226" t="s">
        <v>33</v>
      </c>
      <c r="C140" s="228">
        <v>0.47222222222222227</v>
      </c>
      <c r="D140" s="230">
        <f>42/60+24+D137</f>
        <v>213.83333333333331</v>
      </c>
      <c r="E140" s="105" t="s">
        <v>105</v>
      </c>
      <c r="F140" s="232">
        <f>(0.0523+0.0363+0.0414)/3</f>
        <v>4.3333333333333335E-2</v>
      </c>
      <c r="G140" s="234">
        <f>(0.0511+0.0355+0.0401)/3</f>
        <v>4.2233333333333324E-2</v>
      </c>
      <c r="H140" s="77">
        <f>0.287-F140</f>
        <v>0.24366666666666664</v>
      </c>
      <c r="I140" s="78">
        <f>0.2675-F140</f>
        <v>0.22416666666666668</v>
      </c>
      <c r="J140" s="78">
        <f>0.183-G140</f>
        <v>0.14076666666666668</v>
      </c>
      <c r="K140" s="78">
        <f>0.1713-G140</f>
        <v>0.12906666666666669</v>
      </c>
      <c r="L140" s="269">
        <f t="shared" si="30"/>
        <v>2.5689276066990813E-2</v>
      </c>
      <c r="M140" s="269">
        <f t="shared" si="31"/>
        <v>2.3676066990815776E-2</v>
      </c>
      <c r="N140" s="78">
        <f t="shared" si="32"/>
        <v>2.4682671528903292E-2</v>
      </c>
      <c r="O140" s="78">
        <f>'Growth curves UTEX #1926'!F69</f>
        <v>2.2519999999999998</v>
      </c>
      <c r="P140" s="78">
        <f t="shared" si="33"/>
        <v>2.8366191999999999</v>
      </c>
      <c r="Q140" s="79">
        <f t="shared" ref="Q140:Q142" si="44">P140*0.1/1000</f>
        <v>2.8366192E-4</v>
      </c>
      <c r="R140" s="80">
        <f t="shared" si="34"/>
        <v>43.507199572123206</v>
      </c>
      <c r="S140" s="81"/>
      <c r="V140" s="82">
        <f t="shared" si="35"/>
        <v>123.41335764451647</v>
      </c>
      <c r="W140" s="94"/>
      <c r="X140" s="82"/>
      <c r="Y140" s="82"/>
      <c r="Z140" s="82">
        <f t="shared" si="40"/>
        <v>0.54940406335940251</v>
      </c>
      <c r="AA140" s="94"/>
      <c r="AB140" s="102"/>
    </row>
    <row r="141" spans="2:34" x14ac:dyDescent="0.2">
      <c r="B141" s="226"/>
      <c r="C141" s="228"/>
      <c r="D141" s="230"/>
      <c r="E141" s="105" t="s">
        <v>106</v>
      </c>
      <c r="F141" s="232"/>
      <c r="G141" s="234"/>
      <c r="H141" s="77">
        <f>0.2557-F140</f>
        <v>0.21236666666666665</v>
      </c>
      <c r="I141" s="78">
        <f>0.259-F140</f>
        <v>0.21566666666666667</v>
      </c>
      <c r="J141" s="78">
        <f>0.1709-G140</f>
        <v>0.12866666666666668</v>
      </c>
      <c r="K141" s="78">
        <f>0.1792-G140</f>
        <v>0.13696666666666668</v>
      </c>
      <c r="L141" s="269">
        <f t="shared" si="30"/>
        <v>2.1802809292274447E-2</v>
      </c>
      <c r="M141" s="269">
        <f t="shared" si="31"/>
        <v>2.1523797947055646E-2</v>
      </c>
      <c r="N141" s="78">
        <f t="shared" si="32"/>
        <v>2.1663303619665047E-2</v>
      </c>
      <c r="O141" s="78">
        <f>'Growth curves UTEX #1926'!G69</f>
        <v>2.2200000000000002</v>
      </c>
      <c r="P141" s="78">
        <f t="shared" si="33"/>
        <v>2.7963120000000004</v>
      </c>
      <c r="Q141" s="79">
        <f t="shared" si="44"/>
        <v>2.7963120000000003E-4</v>
      </c>
      <c r="R141" s="80">
        <f t="shared" si="34"/>
        <v>38.735490924591112</v>
      </c>
      <c r="S141" s="81"/>
      <c r="V141" s="82">
        <f t="shared" si="35"/>
        <v>108.31651809832523</v>
      </c>
      <c r="W141" s="94"/>
      <c r="X141" s="82"/>
      <c r="Y141" s="82"/>
      <c r="Z141" s="82">
        <f>(V141-$V$114)/(D140-$D$113)</f>
        <v>0.47635170557256035</v>
      </c>
      <c r="AA141" s="94"/>
      <c r="AB141" s="102"/>
    </row>
    <row r="142" spans="2:34" x14ac:dyDescent="0.2">
      <c r="B142" s="227"/>
      <c r="C142" s="229"/>
      <c r="D142" s="231"/>
      <c r="E142" s="141" t="s">
        <v>107</v>
      </c>
      <c r="F142" s="233"/>
      <c r="G142" s="235"/>
      <c r="H142" s="85">
        <f>0.2703-F140</f>
        <v>0.22696666666666665</v>
      </c>
      <c r="I142" s="86">
        <f>0.279-F140</f>
        <v>0.23566666666666669</v>
      </c>
      <c r="J142" s="86">
        <f>0.1813-G140</f>
        <v>0.13906666666666667</v>
      </c>
      <c r="K142" s="86">
        <f>0.1847-G140</f>
        <v>0.14246666666666669</v>
      </c>
      <c r="L142" s="269">
        <f t="shared" si="30"/>
        <v>2.3149324689357102E-2</v>
      </c>
      <c r="M142" s="269">
        <f t="shared" si="31"/>
        <v>2.4225985953538632E-2</v>
      </c>
      <c r="N142" s="86">
        <f t="shared" si="32"/>
        <v>2.3687655321447867E-2</v>
      </c>
      <c r="O142" s="86">
        <f>'Growth curves UTEX #1926'!H69</f>
        <v>2.2719999999999998</v>
      </c>
      <c r="P142" s="86">
        <f t="shared" si="33"/>
        <v>2.8618112</v>
      </c>
      <c r="Q142" s="87">
        <f t="shared" si="44"/>
        <v>2.8618112E-4</v>
      </c>
      <c r="R142" s="88">
        <f t="shared" si="34"/>
        <v>41.38577576579452</v>
      </c>
      <c r="S142" s="89">
        <f>AVERAGE(R140:R142)</f>
        <v>41.209488754169612</v>
      </c>
      <c r="T142" s="90">
        <f>STDEV(R140:R142)</f>
        <v>2.3907339222681956</v>
      </c>
      <c r="U142" s="90">
        <f>T142/SQRT(3)</f>
        <v>1.3802908735823127</v>
      </c>
      <c r="V142" s="90">
        <f t="shared" si="35"/>
        <v>118.43827660723933</v>
      </c>
      <c r="W142" s="89">
        <f t="shared" si="37"/>
        <v>116.72271745002701</v>
      </c>
      <c r="X142" s="90">
        <f t="shared" si="38"/>
        <v>7.693243690881121</v>
      </c>
      <c r="Y142" s="90">
        <f t="shared" si="39"/>
        <v>4.4416963158716056</v>
      </c>
      <c r="Z142" s="90">
        <f>(V142-$V$115)/(D140-$D$113)</f>
        <v>0.52663966266259565</v>
      </c>
      <c r="AA142" s="89">
        <f t="shared" si="41"/>
        <v>0.51746514386485287</v>
      </c>
      <c r="AB142" s="95">
        <f t="shared" si="42"/>
        <v>2.1581555326495833E-2</v>
      </c>
    </row>
    <row r="143" spans="2:34" x14ac:dyDescent="0.2">
      <c r="B143" s="226" t="s">
        <v>34</v>
      </c>
      <c r="C143" s="228">
        <v>0.46666666666666662</v>
      </c>
      <c r="D143" s="230">
        <f>11+52/60+12+D140</f>
        <v>237.7</v>
      </c>
      <c r="E143" s="105" t="s">
        <v>105</v>
      </c>
      <c r="F143" s="232">
        <f>(0.0531+0.05)/2</f>
        <v>5.1549999999999999E-2</v>
      </c>
      <c r="G143" s="234">
        <f>(0.0524+0.0491)/2</f>
        <v>5.0750000000000003E-2</v>
      </c>
      <c r="H143" s="77">
        <f>0.3112-F143</f>
        <v>0.25964999999999999</v>
      </c>
      <c r="I143" s="78">
        <f>0.2937-F143</f>
        <v>0.24215000000000003</v>
      </c>
      <c r="J143" s="78">
        <f>0.2321-G143</f>
        <v>0.18135000000000001</v>
      </c>
      <c r="K143" s="78">
        <f>0.2183-G143</f>
        <v>0.16754999999999998</v>
      </c>
      <c r="L143" s="269">
        <f t="shared" si="30"/>
        <v>2.4300364667747161E-2</v>
      </c>
      <c r="M143" s="269">
        <f t="shared" si="31"/>
        <v>2.281722042139385E-2</v>
      </c>
      <c r="N143" s="78">
        <f t="shared" si="32"/>
        <v>2.3558792544570505E-2</v>
      </c>
      <c r="O143" s="78">
        <f>'Growth curves UTEX #1926'!F70</f>
        <v>2.544</v>
      </c>
      <c r="P143" s="78">
        <f t="shared" si="33"/>
        <v>3.2044224000000003</v>
      </c>
      <c r="Q143" s="79">
        <f t="shared" ref="Q143:Q145" si="45">P143*0.075/1000</f>
        <v>2.4033168000000001E-4</v>
      </c>
      <c r="R143" s="80">
        <f t="shared" si="34"/>
        <v>49.013081722248401</v>
      </c>
      <c r="S143" s="81"/>
      <c r="V143" s="82">
        <f t="shared" si="35"/>
        <v>157.05861696380336</v>
      </c>
      <c r="W143" s="94"/>
      <c r="X143" s="82"/>
      <c r="Y143" s="82"/>
      <c r="Z143" s="82">
        <f t="shared" si="40"/>
        <v>0.63578528201222462</v>
      </c>
      <c r="AA143" s="94"/>
      <c r="AB143" s="102"/>
    </row>
    <row r="144" spans="2:34" x14ac:dyDescent="0.2">
      <c r="B144" s="226"/>
      <c r="C144" s="228"/>
      <c r="D144" s="230"/>
      <c r="E144" s="105" t="s">
        <v>106</v>
      </c>
      <c r="F144" s="232"/>
      <c r="G144" s="234"/>
      <c r="H144" s="77">
        <f>0.3113-F143</f>
        <v>0.25975000000000004</v>
      </c>
      <c r="I144" s="78">
        <f>0.2811-F143</f>
        <v>0.22955000000000003</v>
      </c>
      <c r="J144" s="78">
        <f>0.22-G143</f>
        <v>0.16925000000000001</v>
      </c>
      <c r="K144" s="78">
        <f>0.1962-G143</f>
        <v>0.14545000000000002</v>
      </c>
      <c r="L144" s="269">
        <f t="shared" si="30"/>
        <v>2.5503038897893033E-2</v>
      </c>
      <c r="M144" s="269">
        <f t="shared" si="31"/>
        <v>2.2942098865478121E-2</v>
      </c>
      <c r="N144" s="78">
        <f t="shared" si="32"/>
        <v>2.4222568881685579E-2</v>
      </c>
      <c r="O144" s="78">
        <f>'Growth curves UTEX #1926'!G70</f>
        <v>2.5059999999999998</v>
      </c>
      <c r="P144" s="78">
        <f t="shared" si="33"/>
        <v>3.1565575999999997</v>
      </c>
      <c r="Q144" s="79">
        <f t="shared" si="45"/>
        <v>2.3674181999999995E-4</v>
      </c>
      <c r="R144" s="80">
        <f t="shared" si="34"/>
        <v>51.158196050206897</v>
      </c>
      <c r="S144" s="81"/>
      <c r="V144" s="82">
        <f t="shared" si="35"/>
        <v>161.48379254457055</v>
      </c>
      <c r="W144" s="94"/>
      <c r="X144" s="82"/>
      <c r="Y144" s="82"/>
      <c r="Z144" s="82">
        <f>(V144-$V$114)/(D143-$D$113)</f>
        <v>0.65219666591436454</v>
      </c>
      <c r="AA144" s="94"/>
      <c r="AB144" s="102"/>
    </row>
    <row r="145" spans="2:28" x14ac:dyDescent="0.2">
      <c r="B145" s="227"/>
      <c r="C145" s="229"/>
      <c r="D145" s="231"/>
      <c r="E145" s="141" t="s">
        <v>107</v>
      </c>
      <c r="F145" s="233"/>
      <c r="G145" s="235"/>
      <c r="H145" s="85">
        <f>0.2313-F143</f>
        <v>0.17975000000000002</v>
      </c>
      <c r="I145" s="86">
        <f>0.2423-F143</f>
        <v>0.19074999999999998</v>
      </c>
      <c r="J145" s="86">
        <f>0.1514-G143</f>
        <v>0.10065</v>
      </c>
      <c r="K145" s="86">
        <f>0.158-G143</f>
        <v>0.10725</v>
      </c>
      <c r="L145" s="269">
        <f t="shared" si="30"/>
        <v>1.9263654781199353E-2</v>
      </c>
      <c r="M145" s="269">
        <f t="shared" si="31"/>
        <v>2.0399311183144246E-2</v>
      </c>
      <c r="N145" s="86">
        <f t="shared" si="32"/>
        <v>1.98314829821718E-2</v>
      </c>
      <c r="O145" s="86">
        <f>'Growth curves UTEX #1926'!H70</f>
        <v>2.472</v>
      </c>
      <c r="P145" s="86">
        <f t="shared" si="33"/>
        <v>3.1137312000000001</v>
      </c>
      <c r="Q145" s="87">
        <f t="shared" si="45"/>
        <v>2.3352983999999998E-4</v>
      </c>
      <c r="R145" s="88">
        <f t="shared" si="34"/>
        <v>42.460276130390447</v>
      </c>
      <c r="S145" s="89">
        <f>AVERAGE(R143:R145)</f>
        <v>47.543851300948582</v>
      </c>
      <c r="T145" s="90">
        <f>STDEV(R143:R145)</f>
        <v>4.5312725868170389</v>
      </c>
      <c r="U145" s="90">
        <f>T145/SQRT(3)</f>
        <v>2.6161314477703894</v>
      </c>
      <c r="V145" s="90">
        <f t="shared" si="35"/>
        <v>132.209886547812</v>
      </c>
      <c r="W145" s="89">
        <f t="shared" si="37"/>
        <v>150.25076535206196</v>
      </c>
      <c r="X145" s="90">
        <f t="shared" si="38"/>
        <v>15.779750497152397</v>
      </c>
      <c r="Y145" s="90">
        <f t="shared" si="39"/>
        <v>9.1104431972760676</v>
      </c>
      <c r="Z145" s="90">
        <f>(V145-$V$115)/(D143-$D$113)</f>
        <v>0.53169846223499251</v>
      </c>
      <c r="AA145" s="89">
        <f t="shared" si="41"/>
        <v>0.60656013672052722</v>
      </c>
      <c r="AB145" s="95">
        <f t="shared" si="42"/>
        <v>3.772945847512911E-2</v>
      </c>
    </row>
    <row r="146" spans="2:28" x14ac:dyDescent="0.2">
      <c r="B146" s="226" t="s">
        <v>35</v>
      </c>
      <c r="C146" s="228">
        <v>0.50694444444444442</v>
      </c>
      <c r="D146" s="230">
        <f>58/60+24+D143</f>
        <v>262.66666666666663</v>
      </c>
      <c r="E146" s="105" t="s">
        <v>105</v>
      </c>
      <c r="F146" s="232">
        <f>(0.0536+0.0321+0.0389)/3</f>
        <v>4.1533333333333332E-2</v>
      </c>
      <c r="G146" s="234">
        <f>(0.0523+0.0316+0.0377)/3</f>
        <v>4.0533333333333331E-2</v>
      </c>
      <c r="H146" s="77">
        <f>0.1408-F146</f>
        <v>9.926666666666667E-2</v>
      </c>
      <c r="I146" s="78">
        <f>0.1397-F146</f>
        <v>9.8166666666666652E-2</v>
      </c>
      <c r="J146" s="78">
        <f>0.0973-G146</f>
        <v>5.6766666666666667E-2</v>
      </c>
      <c r="K146" s="78">
        <f>0.097-G146</f>
        <v>5.6466666666666672E-2</v>
      </c>
      <c r="L146" s="269">
        <f t="shared" si="30"/>
        <v>1.0522339276066993E-2</v>
      </c>
      <c r="M146" s="269">
        <f t="shared" si="31"/>
        <v>1.0373473797947053E-2</v>
      </c>
      <c r="N146" s="78">
        <f t="shared" si="32"/>
        <v>1.0447906537007022E-2</v>
      </c>
      <c r="O146" s="78">
        <f>'Growth curves UTEX #1926'!F71</f>
        <v>2.6920000000000002</v>
      </c>
      <c r="P146" s="78">
        <f t="shared" si="33"/>
        <v>3.3908432000000004</v>
      </c>
      <c r="Q146" s="79">
        <f t="shared" ref="Q146:Q163" si="46">P146*0.05/1000</f>
        <v>1.6954216000000002E-4</v>
      </c>
      <c r="R146" s="80">
        <f t="shared" si="34"/>
        <v>30.812119348388094</v>
      </c>
      <c r="S146" s="81"/>
      <c r="V146" s="82">
        <f t="shared" si="35"/>
        <v>104.47906537007022</v>
      </c>
      <c r="W146" s="94"/>
      <c r="X146" s="82"/>
      <c r="Y146" s="82"/>
      <c r="Z146" s="82">
        <f t="shared" si="40"/>
        <v>0.37517744901233246</v>
      </c>
      <c r="AA146" s="94"/>
      <c r="AB146" s="102"/>
    </row>
    <row r="147" spans="2:28" x14ac:dyDescent="0.2">
      <c r="B147" s="226"/>
      <c r="C147" s="228"/>
      <c r="D147" s="230"/>
      <c r="E147" s="105" t="s">
        <v>106</v>
      </c>
      <c r="F147" s="232"/>
      <c r="G147" s="234"/>
      <c r="H147" s="77">
        <f>0.1657-F146</f>
        <v>0.12416666666666665</v>
      </c>
      <c r="I147" s="78">
        <f>0.1621-F146</f>
        <v>0.12056666666666666</v>
      </c>
      <c r="J147" s="78">
        <f>0.1164-G146</f>
        <v>7.5866666666666666E-2</v>
      </c>
      <c r="K147" s="78">
        <f>0.1144-G146</f>
        <v>7.3866666666666664E-2</v>
      </c>
      <c r="L147" s="269">
        <f t="shared" si="30"/>
        <v>1.2685143165856292E-2</v>
      </c>
      <c r="M147" s="269">
        <f t="shared" si="31"/>
        <v>1.2297784981091301E-2</v>
      </c>
      <c r="N147" s="78">
        <f t="shared" si="32"/>
        <v>1.2491464073473797E-2</v>
      </c>
      <c r="O147" s="78">
        <f>'Growth curves UTEX #1926'!G71</f>
        <v>2.4220000000000002</v>
      </c>
      <c r="P147" s="78">
        <f t="shared" si="33"/>
        <v>3.0507512000000001</v>
      </c>
      <c r="Q147" s="79">
        <f t="shared" si="46"/>
        <v>1.5253756000000002E-4</v>
      </c>
      <c r="R147" s="80">
        <f t="shared" si="34"/>
        <v>40.9455352290734</v>
      </c>
      <c r="S147" s="81"/>
      <c r="V147" s="82">
        <f t="shared" si="35"/>
        <v>124.91464073473796</v>
      </c>
      <c r="W147" s="94"/>
      <c r="X147" s="82"/>
      <c r="Y147" s="82"/>
      <c r="Z147" s="82">
        <f>(V147-$V$114)/(D146-$D$113)</f>
        <v>0.45098221704826863</v>
      </c>
      <c r="AA147" s="94"/>
      <c r="AB147" s="102"/>
    </row>
    <row r="148" spans="2:28" x14ac:dyDescent="0.2">
      <c r="B148" s="227"/>
      <c r="C148" s="229"/>
      <c r="D148" s="231"/>
      <c r="E148" s="141" t="s">
        <v>107</v>
      </c>
      <c r="F148" s="233"/>
      <c r="G148" s="235"/>
      <c r="H148" s="85">
        <f>0.1429-F146</f>
        <v>0.10136666666666666</v>
      </c>
      <c r="I148" s="86">
        <f>0.1474-F146</f>
        <v>0.10586666666666666</v>
      </c>
      <c r="J148" s="86">
        <f>0.1002-G146</f>
        <v>5.9666666666666666E-2</v>
      </c>
      <c r="K148" s="86">
        <f>0.1027-G146</f>
        <v>6.2166666666666669E-2</v>
      </c>
      <c r="L148" s="269">
        <f t="shared" si="30"/>
        <v>1.0578336034575905E-2</v>
      </c>
      <c r="M148" s="269">
        <f t="shared" si="31"/>
        <v>1.1062533765532142E-2</v>
      </c>
      <c r="N148" s="86">
        <f t="shared" si="32"/>
        <v>1.0820434900054025E-2</v>
      </c>
      <c r="O148" s="86">
        <f>'Growth curves UTEX #1926'!H71</f>
        <v>2.5019999999999998</v>
      </c>
      <c r="P148" s="86">
        <f t="shared" si="33"/>
        <v>3.1515192000000001</v>
      </c>
      <c r="Q148" s="87">
        <f t="shared" si="46"/>
        <v>1.5757596000000001E-4</v>
      </c>
      <c r="R148" s="88">
        <f t="shared" si="34"/>
        <v>34.334028172996767</v>
      </c>
      <c r="S148" s="89">
        <f>AVERAGE(R146:R148)</f>
        <v>35.363894250152754</v>
      </c>
      <c r="T148" s="90">
        <f>STDEV(R146:R148)</f>
        <v>5.1446085813586215</v>
      </c>
      <c r="U148" s="90">
        <f>T148/SQRT(3)</f>
        <v>2.9702411493226593</v>
      </c>
      <c r="V148" s="90">
        <f t="shared" si="35"/>
        <v>108.20434900054023</v>
      </c>
      <c r="W148" s="89">
        <f t="shared" si="37"/>
        <v>112.53268503511613</v>
      </c>
      <c r="X148" s="90">
        <f t="shared" si="38"/>
        <v>10.883659988368342</v>
      </c>
      <c r="Y148" s="90">
        <f t="shared" si="39"/>
        <v>6.283684024052822</v>
      </c>
      <c r="Z148" s="90">
        <f>(V148-$V$115)/(D146-$D$113)</f>
        <v>0.38976847814461657</v>
      </c>
      <c r="AA148" s="89">
        <f t="shared" si="41"/>
        <v>0.40530938140173922</v>
      </c>
      <c r="AB148" s="95">
        <f t="shared" si="42"/>
        <v>2.3221616867199098E-2</v>
      </c>
    </row>
    <row r="149" spans="2:28" x14ac:dyDescent="0.2">
      <c r="B149" s="226" t="s">
        <v>36</v>
      </c>
      <c r="C149" s="228">
        <v>0.47916666666666669</v>
      </c>
      <c r="D149" s="230">
        <f>11+20/60+12+D146</f>
        <v>285.99999999999994</v>
      </c>
      <c r="E149" s="105" t="s">
        <v>105</v>
      </c>
      <c r="F149" s="232">
        <f>(0.0517+0.0474)/2</f>
        <v>4.9549999999999997E-2</v>
      </c>
      <c r="G149" s="234">
        <f>(0.0508+0.0471)/2</f>
        <v>4.895E-2</v>
      </c>
      <c r="H149" s="77">
        <f>0.1541-F149</f>
        <v>0.10454999999999999</v>
      </c>
      <c r="I149" s="78">
        <f>0.1502-F149</f>
        <v>0.10065</v>
      </c>
      <c r="J149" s="78">
        <f>0.1053-G149</f>
        <v>5.6350000000000004E-2</v>
      </c>
      <c r="K149" s="78">
        <f>0.1031-G149</f>
        <v>5.4149999999999997E-2</v>
      </c>
      <c r="L149" s="269">
        <f t="shared" si="30"/>
        <v>1.1419489465153969E-2</v>
      </c>
      <c r="M149" s="269">
        <f t="shared" si="31"/>
        <v>1.100311993517018E-2</v>
      </c>
      <c r="N149" s="78">
        <f t="shared" si="32"/>
        <v>1.1211304700162074E-2</v>
      </c>
      <c r="O149" s="78">
        <f>'Growth curves UTEX #1926'!F72</f>
        <v>2.6720000000000002</v>
      </c>
      <c r="P149" s="78">
        <f t="shared" si="33"/>
        <v>3.3656512000000003</v>
      </c>
      <c r="Q149" s="79">
        <f t="shared" si="46"/>
        <v>1.6828256000000002E-4</v>
      </c>
      <c r="R149" s="80">
        <f t="shared" si="34"/>
        <v>33.31095242478505</v>
      </c>
      <c r="S149" s="81"/>
      <c r="V149" s="82">
        <f t="shared" si="35"/>
        <v>112.11304700162073</v>
      </c>
      <c r="W149" s="94"/>
      <c r="X149" s="82"/>
      <c r="Y149" s="82"/>
      <c r="Z149" s="82">
        <f t="shared" si="40"/>
        <v>0.37126080969273839</v>
      </c>
      <c r="AA149" s="94"/>
      <c r="AB149" s="102"/>
    </row>
    <row r="150" spans="2:28" x14ac:dyDescent="0.2">
      <c r="B150" s="226"/>
      <c r="C150" s="228"/>
      <c r="D150" s="230"/>
      <c r="E150" s="105" t="s">
        <v>106</v>
      </c>
      <c r="F150" s="232"/>
      <c r="G150" s="234"/>
      <c r="H150" s="77">
        <f>0.2513-F149</f>
        <v>0.20175000000000004</v>
      </c>
      <c r="I150" s="78">
        <f>0.2551-F149</f>
        <v>0.20555000000000001</v>
      </c>
      <c r="J150" s="78">
        <f>0.1879-G149</f>
        <v>0.13895000000000002</v>
      </c>
      <c r="K150" s="78">
        <f>0.1871-G149</f>
        <v>0.13815</v>
      </c>
      <c r="L150" s="269">
        <f t="shared" si="30"/>
        <v>1.9073784440842793E-2</v>
      </c>
      <c r="M150" s="269">
        <f t="shared" si="31"/>
        <v>1.9768111831442465E-2</v>
      </c>
      <c r="N150" s="78">
        <f t="shared" si="32"/>
        <v>1.9420948136142629E-2</v>
      </c>
      <c r="O150" s="78">
        <f>'Growth curves UTEX #1926'!G72</f>
        <v>2.8079999999999998</v>
      </c>
      <c r="P150" s="78">
        <f t="shared" si="33"/>
        <v>3.5369568</v>
      </c>
      <c r="Q150" s="79">
        <f t="shared" si="46"/>
        <v>1.7684784E-4</v>
      </c>
      <c r="R150" s="80">
        <f t="shared" si="34"/>
        <v>54.908638228611188</v>
      </c>
      <c r="S150" s="81"/>
      <c r="V150" s="82">
        <f t="shared" si="35"/>
        <v>194.2094813614263</v>
      </c>
      <c r="W150" s="94"/>
      <c r="X150" s="82"/>
      <c r="Y150" s="82"/>
      <c r="Z150" s="82">
        <f>(V150-$V$114)/(D149-$D$113)</f>
        <v>0.656478448617833</v>
      </c>
      <c r="AA150" s="94"/>
      <c r="AB150" s="102"/>
    </row>
    <row r="151" spans="2:28" x14ac:dyDescent="0.2">
      <c r="B151" s="227"/>
      <c r="C151" s="229"/>
      <c r="D151" s="231"/>
      <c r="E151" s="141" t="s">
        <v>107</v>
      </c>
      <c r="F151" s="233"/>
      <c r="G151" s="235"/>
      <c r="H151" s="85">
        <f>0.1585-F149</f>
        <v>0.10895000000000001</v>
      </c>
      <c r="I151" s="86">
        <f>0.1586-F149</f>
        <v>0.10904999999999999</v>
      </c>
      <c r="J151" s="86">
        <f>0.1132-G149</f>
        <v>6.4250000000000002E-2</v>
      </c>
      <c r="K151" s="86">
        <f>0.1129-G149</f>
        <v>6.3950000000000007E-2</v>
      </c>
      <c r="L151" s="269">
        <f t="shared" si="30"/>
        <v>1.1357982171799027E-2</v>
      </c>
      <c r="M151" s="269">
        <f t="shared" si="31"/>
        <v>1.1403606158833061E-2</v>
      </c>
      <c r="N151" s="86">
        <f t="shared" si="32"/>
        <v>1.1380794165316045E-2</v>
      </c>
      <c r="O151" s="86">
        <f>'Growth curves UTEX #1926'!H72</f>
        <v>2.62</v>
      </c>
      <c r="P151" s="86">
        <f t="shared" si="33"/>
        <v>3.3001520000000002</v>
      </c>
      <c r="Q151" s="87">
        <f t="shared" si="46"/>
        <v>1.6500760000000004E-4</v>
      </c>
      <c r="R151" s="88">
        <f t="shared" si="34"/>
        <v>34.485666615707522</v>
      </c>
      <c r="S151" s="89">
        <f>AVERAGE(R149:R151)</f>
        <v>40.901752423034587</v>
      </c>
      <c r="T151" s="90">
        <f>STDEV(R149:R151)</f>
        <v>12.144530696384978</v>
      </c>
      <c r="U151" s="90">
        <f>T151/SQRT(3)</f>
        <v>7.0116480667395402</v>
      </c>
      <c r="V151" s="90">
        <f t="shared" si="35"/>
        <v>113.80794165316041</v>
      </c>
      <c r="W151" s="89">
        <f t="shared" si="37"/>
        <v>140.04349000540248</v>
      </c>
      <c r="X151" s="90">
        <f t="shared" si="38"/>
        <v>46.91677878601206</v>
      </c>
      <c r="Y151" s="90">
        <f t="shared" si="39"/>
        <v>27.087414861614189</v>
      </c>
      <c r="Z151" s="90">
        <f>(V151-$V$115)/(D149-$D$113)</f>
        <v>0.37756216635876272</v>
      </c>
      <c r="AA151" s="89">
        <f t="shared" si="41"/>
        <v>0.46843380822311137</v>
      </c>
      <c r="AB151" s="95">
        <f t="shared" si="42"/>
        <v>9.4039915035838653E-2</v>
      </c>
    </row>
    <row r="152" spans="2:28" x14ac:dyDescent="0.2">
      <c r="B152" s="226" t="s">
        <v>38</v>
      </c>
      <c r="C152" s="228">
        <v>0.45833333333333331</v>
      </c>
      <c r="D152" s="255">
        <f>11+30/60+12+24+D149</f>
        <v>333.49999999999994</v>
      </c>
      <c r="E152" s="105" t="s">
        <v>105</v>
      </c>
      <c r="F152" s="232">
        <f>0.0532</f>
        <v>5.3199999999999997E-2</v>
      </c>
      <c r="G152" s="234">
        <v>5.2499999999999998E-2</v>
      </c>
      <c r="H152" s="77">
        <f>0.1729-F152</f>
        <v>0.1197</v>
      </c>
      <c r="I152" s="78">
        <f>0.164-F152</f>
        <v>0.11080000000000001</v>
      </c>
      <c r="J152" s="78">
        <f>0.116-G152</f>
        <v>6.3500000000000001E-2</v>
      </c>
      <c r="K152" s="78">
        <f>0.1093-G152</f>
        <v>5.6799999999999996E-2</v>
      </c>
      <c r="L152" s="269">
        <f t="shared" si="30"/>
        <v>1.3173824959481363E-2</v>
      </c>
      <c r="M152" s="269">
        <f t="shared" si="31"/>
        <v>1.2388330632090763E-2</v>
      </c>
      <c r="N152" s="78">
        <f t="shared" si="32"/>
        <v>1.2781077795786064E-2</v>
      </c>
      <c r="O152" s="78">
        <f>'Growth curves UTEX #1926'!F74</f>
        <v>2.86</v>
      </c>
      <c r="P152" s="78">
        <f t="shared" si="33"/>
        <v>3.6024560000000001</v>
      </c>
      <c r="Q152" s="79">
        <f t="shared" si="46"/>
        <v>1.8012280000000004E-4</v>
      </c>
      <c r="R152" s="80">
        <f t="shared" si="34"/>
        <v>35.478789458597305</v>
      </c>
      <c r="S152" s="81"/>
      <c r="V152" s="82">
        <f t="shared" si="35"/>
        <v>127.81077795786062</v>
      </c>
      <c r="W152" s="94"/>
      <c r="X152" s="82"/>
      <c r="Y152" s="82"/>
      <c r="Z152" s="82">
        <f t="shared" si="40"/>
        <v>0.36545224146435706</v>
      </c>
      <c r="AA152" s="94"/>
      <c r="AB152" s="102"/>
    </row>
    <row r="153" spans="2:28" x14ac:dyDescent="0.2">
      <c r="B153" s="226"/>
      <c r="C153" s="228"/>
      <c r="D153" s="255"/>
      <c r="E153" s="105" t="s">
        <v>106</v>
      </c>
      <c r="F153" s="232"/>
      <c r="G153" s="234"/>
      <c r="H153" s="77">
        <f>0.2314-F152</f>
        <v>0.1782</v>
      </c>
      <c r="I153" s="78">
        <f>0.2391-F152</f>
        <v>0.18590000000000001</v>
      </c>
      <c r="J153" s="78">
        <f>0.1514-G152</f>
        <v>9.8900000000000016E-2</v>
      </c>
      <c r="K153" s="78">
        <f>0.1537-G152</f>
        <v>0.10120000000000001</v>
      </c>
      <c r="L153" s="269">
        <f t="shared" si="30"/>
        <v>1.9184035656401942E-2</v>
      </c>
      <c r="M153" s="269">
        <f t="shared" si="31"/>
        <v>2.02064829821718E-2</v>
      </c>
      <c r="N153" s="78">
        <f t="shared" si="32"/>
        <v>1.9695259319286871E-2</v>
      </c>
      <c r="O153" s="78">
        <f>'Growth curves UTEX #1926'!G74</f>
        <v>3.254</v>
      </c>
      <c r="P153" s="78">
        <f t="shared" si="33"/>
        <v>4.0987384000000002</v>
      </c>
      <c r="Q153" s="79">
        <f t="shared" si="46"/>
        <v>2.0493692000000003E-4</v>
      </c>
      <c r="R153" s="80">
        <f t="shared" si="34"/>
        <v>48.052003805090045</v>
      </c>
      <c r="S153" s="81"/>
      <c r="V153" s="82">
        <f t="shared" si="35"/>
        <v>196.9525931928687</v>
      </c>
      <c r="W153" s="94"/>
      <c r="X153" s="82"/>
      <c r="Y153" s="82"/>
      <c r="Z153" s="82">
        <f>(V153-$V$114)/(D152-$D$113)</f>
        <v>0.57120224328678448</v>
      </c>
      <c r="AA153" s="94"/>
      <c r="AB153" s="102"/>
    </row>
    <row r="154" spans="2:28" x14ac:dyDescent="0.2">
      <c r="B154" s="227"/>
      <c r="C154" s="229"/>
      <c r="D154" s="256"/>
      <c r="E154" s="141" t="s">
        <v>107</v>
      </c>
      <c r="F154" s="233"/>
      <c r="G154" s="235"/>
      <c r="H154" s="85">
        <f>0.1991-F152</f>
        <v>0.1459</v>
      </c>
      <c r="I154" s="86">
        <f>0.2055-F152</f>
        <v>0.15229999999999999</v>
      </c>
      <c r="J154" s="86">
        <f>0.137-G152</f>
        <v>8.450000000000002E-2</v>
      </c>
      <c r="K154" s="86">
        <f>0.1407-G152</f>
        <v>8.8200000000000001E-2</v>
      </c>
      <c r="L154" s="269">
        <f t="shared" si="30"/>
        <v>1.5361021069692057E-2</v>
      </c>
      <c r="M154" s="269">
        <f t="shared" si="31"/>
        <v>1.6035494327390598E-2</v>
      </c>
      <c r="N154" s="86">
        <f t="shared" si="32"/>
        <v>1.5698257698541329E-2</v>
      </c>
      <c r="O154" s="86">
        <f>'Growth curves UTEX #1926'!H74</f>
        <v>3.012</v>
      </c>
      <c r="P154" s="86">
        <f t="shared" si="33"/>
        <v>3.7939152000000003</v>
      </c>
      <c r="Q154" s="87">
        <f t="shared" si="46"/>
        <v>1.8969576000000003E-4</v>
      </c>
      <c r="R154" s="88">
        <f t="shared" si="34"/>
        <v>41.377460673188814</v>
      </c>
      <c r="S154" s="89">
        <f>AVERAGE(R152:R154)</f>
        <v>41.636084645625381</v>
      </c>
      <c r="T154" s="90">
        <f>STDEV(R152:R154)</f>
        <v>6.2905957206016874</v>
      </c>
      <c r="U154" s="90">
        <f>T154/SQRT(3)</f>
        <v>3.6318771326524923</v>
      </c>
      <c r="V154" s="90">
        <f t="shared" si="35"/>
        <v>156.98257698541329</v>
      </c>
      <c r="W154" s="89">
        <f t="shared" si="37"/>
        <v>160.58198271204753</v>
      </c>
      <c r="X154" s="90">
        <f t="shared" si="38"/>
        <v>34.711157351588028</v>
      </c>
      <c r="Y154" s="90">
        <f t="shared" si="39"/>
        <v>20.040496040822806</v>
      </c>
      <c r="Z154" s="90">
        <f>(V154-$V$115)/(D152-$D$113)</f>
        <v>0.45324562192161622</v>
      </c>
      <c r="AA154" s="89">
        <f t="shared" si="41"/>
        <v>0.46330003555758587</v>
      </c>
      <c r="AB154" s="95">
        <f t="shared" si="42"/>
        <v>5.9607282098903147E-2</v>
      </c>
    </row>
    <row r="155" spans="2:28" x14ac:dyDescent="0.2">
      <c r="B155" s="226" t="s">
        <v>39</v>
      </c>
      <c r="C155" s="228">
        <v>0.45416666666666666</v>
      </c>
      <c r="D155" s="230">
        <f>11+54/60+12+D152</f>
        <v>357.39999999999992</v>
      </c>
      <c r="E155" s="105" t="s">
        <v>105</v>
      </c>
      <c r="F155" s="232">
        <f>(0.0454+0.053+0.0393)/3</f>
        <v>4.5899999999999996E-2</v>
      </c>
      <c r="G155" s="234">
        <f>(0.0458+0.0534+0.0393)/3</f>
        <v>4.6166666666666668E-2</v>
      </c>
      <c r="H155" s="78">
        <f>0.2063-F155</f>
        <v>0.16040000000000001</v>
      </c>
      <c r="I155" s="78">
        <f>0.1902-F155</f>
        <v>0.14430000000000001</v>
      </c>
      <c r="J155" s="78">
        <f>0.1449-G155</f>
        <v>9.873333333333334E-2</v>
      </c>
      <c r="K155" s="78">
        <f>0.1304-G155</f>
        <v>8.4233333333333327E-2</v>
      </c>
      <c r="L155" s="269">
        <f t="shared" si="30"/>
        <v>1.6315451107509458E-2</v>
      </c>
      <c r="M155" s="269">
        <f t="shared" si="31"/>
        <v>1.5127849810913021E-2</v>
      </c>
      <c r="N155" s="78">
        <f t="shared" si="32"/>
        <v>1.5721650459211239E-2</v>
      </c>
      <c r="O155" s="78">
        <f>'Growth curves UTEX #1926'!F75</f>
        <v>2.944</v>
      </c>
      <c r="P155" s="78">
        <f t="shared" si="33"/>
        <v>3.7082624000000002</v>
      </c>
      <c r="Q155" s="79">
        <f t="shared" si="46"/>
        <v>1.8541312E-4</v>
      </c>
      <c r="R155" s="80">
        <f t="shared" si="34"/>
        <v>42.396272872198146</v>
      </c>
      <c r="S155" s="81"/>
      <c r="V155" s="82">
        <f t="shared" si="35"/>
        <v>157.21650459211239</v>
      </c>
      <c r="W155" s="94"/>
      <c r="X155" s="82"/>
      <c r="Y155" s="82"/>
      <c r="Z155" s="82">
        <f t="shared" si="40"/>
        <v>0.42329056844604046</v>
      </c>
      <c r="AA155" s="94"/>
      <c r="AB155" s="102"/>
    </row>
    <row r="156" spans="2:28" x14ac:dyDescent="0.2">
      <c r="B156" s="226"/>
      <c r="C156" s="228"/>
      <c r="D156" s="230"/>
      <c r="E156" s="105" t="s">
        <v>106</v>
      </c>
      <c r="F156" s="232"/>
      <c r="G156" s="234"/>
      <c r="H156" s="78">
        <f>0.2652-F155</f>
        <v>0.21929999999999999</v>
      </c>
      <c r="I156" s="78">
        <f>0.2519-F155</f>
        <v>0.20600000000000002</v>
      </c>
      <c r="J156" s="78">
        <f>0.1705-G155</f>
        <v>0.12433333333333335</v>
      </c>
      <c r="K156" s="78">
        <f>0.1603-G155</f>
        <v>0.11413333333333334</v>
      </c>
      <c r="L156" s="269">
        <f t="shared" si="30"/>
        <v>2.3351431658562936E-2</v>
      </c>
      <c r="M156" s="269">
        <f t="shared" si="31"/>
        <v>2.2196002160994065E-2</v>
      </c>
      <c r="N156" s="78">
        <f t="shared" si="32"/>
        <v>2.2773716909778502E-2</v>
      </c>
      <c r="O156" s="78">
        <f>'Growth curves UTEX #1926'!G75</f>
        <v>3.448</v>
      </c>
      <c r="P156" s="78">
        <f t="shared" si="33"/>
        <v>4.3431008000000002</v>
      </c>
      <c r="Q156" s="79">
        <f t="shared" si="46"/>
        <v>2.1715504000000002E-4</v>
      </c>
      <c r="R156" s="80">
        <f t="shared" si="34"/>
        <v>52.436537760713499</v>
      </c>
      <c r="S156" s="81"/>
      <c r="V156" s="82">
        <f t="shared" si="35"/>
        <v>227.73716909778503</v>
      </c>
      <c r="W156" s="94"/>
      <c r="X156" s="82"/>
      <c r="Y156" s="82"/>
      <c r="Z156" s="82">
        <f>(V156-$V$114)/(D155-$D$113)</f>
        <v>0.61913968674051201</v>
      </c>
      <c r="AA156" s="94"/>
      <c r="AB156" s="102"/>
    </row>
    <row r="157" spans="2:28" x14ac:dyDescent="0.2">
      <c r="B157" s="227"/>
      <c r="C157" s="229"/>
      <c r="D157" s="231"/>
      <c r="E157" s="141" t="s">
        <v>107</v>
      </c>
      <c r="F157" s="233"/>
      <c r="G157" s="235"/>
      <c r="H157" s="86">
        <f>0.2206-F155</f>
        <v>0.17469999999999999</v>
      </c>
      <c r="I157" s="86">
        <f>0.2245-F155</f>
        <v>0.17860000000000001</v>
      </c>
      <c r="J157" s="86">
        <f>0.1567-G155</f>
        <v>0.11053333333333334</v>
      </c>
      <c r="K157" s="86">
        <f>0.1583-G155</f>
        <v>0.11213333333333333</v>
      </c>
      <c r="L157" s="269">
        <f t="shared" si="30"/>
        <v>1.7476066990815772E-2</v>
      </c>
      <c r="M157" s="269">
        <f t="shared" si="31"/>
        <v>1.7951269584008646E-2</v>
      </c>
      <c r="N157" s="86">
        <f t="shared" si="32"/>
        <v>1.7713668287412207E-2</v>
      </c>
      <c r="O157" s="86">
        <f>'Growth curves UTEX #1926'!H75</f>
        <v>3.2240000000000002</v>
      </c>
      <c r="P157" s="86">
        <f t="shared" si="33"/>
        <v>4.0609504000000003</v>
      </c>
      <c r="Q157" s="87">
        <f t="shared" si="46"/>
        <v>2.0304752000000005E-4</v>
      </c>
      <c r="R157" s="88">
        <f t="shared" si="34"/>
        <v>43.619514011823938</v>
      </c>
      <c r="S157" s="89">
        <f>AVERAGE(R155:R157)</f>
        <v>46.150774881578535</v>
      </c>
      <c r="T157" s="90">
        <f>STDEV(R155:R157)</f>
        <v>5.4778819767271019</v>
      </c>
      <c r="U157" s="90">
        <f>T157/SQRT(3)</f>
        <v>3.1626566338523916</v>
      </c>
      <c r="V157" s="90">
        <f t="shared" si="35"/>
        <v>177.13668287412204</v>
      </c>
      <c r="W157" s="89">
        <f t="shared" si="37"/>
        <v>187.36345218800648</v>
      </c>
      <c r="X157" s="90">
        <f t="shared" si="38"/>
        <v>36.355620453101459</v>
      </c>
      <c r="Y157" s="90">
        <f t="shared" si="39"/>
        <v>20.989927255153994</v>
      </c>
      <c r="Z157" s="90">
        <f>(V157-$V$115)/(D155-$D$113)</f>
        <v>0.47932714269604865</v>
      </c>
      <c r="AA157" s="89">
        <f t="shared" si="41"/>
        <v>0.50725246596086704</v>
      </c>
      <c r="AB157" s="95">
        <f t="shared" si="42"/>
        <v>5.823540459137664E-2</v>
      </c>
    </row>
    <row r="158" spans="2:28" x14ac:dyDescent="0.2">
      <c r="B158" s="226" t="s">
        <v>41</v>
      </c>
      <c r="C158" s="228">
        <v>0.45833333333333331</v>
      </c>
      <c r="D158" s="230">
        <f>6/60+48+D155</f>
        <v>405.49999999999994</v>
      </c>
      <c r="E158" s="105" t="s">
        <v>105</v>
      </c>
      <c r="F158" s="232">
        <f>(0.0397+0.0628)/2</f>
        <v>5.1249999999999997E-2</v>
      </c>
      <c r="G158" s="234">
        <f>(0.0611+0.0382)/2</f>
        <v>4.965E-2</v>
      </c>
      <c r="H158" s="78">
        <f>0.2225-F158</f>
        <v>0.17125000000000001</v>
      </c>
      <c r="I158" s="78">
        <f>0.2166-F158</f>
        <v>0.16535</v>
      </c>
      <c r="J158" s="78">
        <f>0.1504-G158</f>
        <v>0.10075000000000001</v>
      </c>
      <c r="K158" s="78">
        <f>0.1499-G158</f>
        <v>0.10025000000000001</v>
      </c>
      <c r="L158" s="269">
        <f t="shared" si="30"/>
        <v>1.7876215559157214E-2</v>
      </c>
      <c r="M158" s="269">
        <f t="shared" si="31"/>
        <v>1.6969003241491084E-2</v>
      </c>
      <c r="N158" s="78">
        <f t="shared" si="32"/>
        <v>1.7422609400324147E-2</v>
      </c>
      <c r="O158" s="78">
        <f>'Growth curves UTEX #1926'!F77</f>
        <v>3.016</v>
      </c>
      <c r="P158" s="78">
        <f t="shared" si="33"/>
        <v>3.7989536000000004</v>
      </c>
      <c r="Q158" s="79">
        <f t="shared" si="46"/>
        <v>1.8994768000000004E-4</v>
      </c>
      <c r="R158" s="80">
        <f t="shared" si="34"/>
        <v>45.86160094275472</v>
      </c>
      <c r="S158" s="81"/>
      <c r="V158" s="82">
        <f t="shared" si="35"/>
        <v>174.22609400324146</v>
      </c>
      <c r="W158" s="94"/>
      <c r="X158" s="82"/>
      <c r="Y158" s="82"/>
      <c r="Z158" s="82">
        <f t="shared" si="40"/>
        <v>0.41502746873919583</v>
      </c>
      <c r="AA158" s="94"/>
      <c r="AB158" s="102"/>
    </row>
    <row r="159" spans="2:28" x14ac:dyDescent="0.2">
      <c r="B159" s="226"/>
      <c r="C159" s="228"/>
      <c r="D159" s="230"/>
      <c r="E159" s="105" t="s">
        <v>106</v>
      </c>
      <c r="F159" s="232"/>
      <c r="G159" s="234"/>
      <c r="H159" s="78">
        <f>0.2951-F158</f>
        <v>0.24384999999999998</v>
      </c>
      <c r="I159" s="78">
        <f>0.333-F158</f>
        <v>0.28175</v>
      </c>
      <c r="J159" s="78">
        <f>0.1904-G158</f>
        <v>0.14075000000000001</v>
      </c>
      <c r="K159" s="78">
        <f>0.2193-G158</f>
        <v>0.16965</v>
      </c>
      <c r="L159" s="269">
        <f t="shared" si="30"/>
        <v>2.5720623987034032E-2</v>
      </c>
      <c r="M159" s="269">
        <f t="shared" si="31"/>
        <v>2.9029457050243113E-2</v>
      </c>
      <c r="N159" s="78">
        <f t="shared" si="32"/>
        <v>2.7375040518638573E-2</v>
      </c>
      <c r="O159" s="78">
        <f>'Growth curves UTEX #1926'!G77</f>
        <v>3.464</v>
      </c>
      <c r="P159" s="78">
        <f t="shared" si="33"/>
        <v>4.3632543999999998</v>
      </c>
      <c r="Q159" s="79">
        <f t="shared" si="46"/>
        <v>2.1816272000000001E-4</v>
      </c>
      <c r="R159" s="80">
        <f t="shared" si="34"/>
        <v>62.73995969301852</v>
      </c>
      <c r="S159" s="81"/>
      <c r="V159" s="82">
        <f t="shared" si="35"/>
        <v>273.75040518638571</v>
      </c>
      <c r="W159" s="94"/>
      <c r="X159" s="82"/>
      <c r="Y159" s="82"/>
      <c r="Z159" s="82">
        <f>(V159-$V$114)/(D158-$D$113)</f>
        <v>0.65917080179940735</v>
      </c>
      <c r="AA159" s="94"/>
      <c r="AB159" s="102"/>
    </row>
    <row r="160" spans="2:28" x14ac:dyDescent="0.2">
      <c r="B160" s="227"/>
      <c r="C160" s="229"/>
      <c r="D160" s="231"/>
      <c r="E160" s="141" t="s">
        <v>107</v>
      </c>
      <c r="F160" s="233"/>
      <c r="G160" s="235"/>
      <c r="H160" s="86">
        <f>0.2629-F158</f>
        <v>0.21165000000000003</v>
      </c>
      <c r="I160" s="86">
        <f>0.2647-F158</f>
        <v>0.21345</v>
      </c>
      <c r="J160" s="86">
        <f>0.1804-G158</f>
        <v>0.13075000000000001</v>
      </c>
      <c r="K160" s="86">
        <f>0.1792-G158</f>
        <v>0.12955</v>
      </c>
      <c r="L160" s="269">
        <f t="shared" si="30"/>
        <v>2.1482374392220428E-2</v>
      </c>
      <c r="M160" s="269">
        <f t="shared" si="31"/>
        <v>2.1891774716369532E-2</v>
      </c>
      <c r="N160" s="86">
        <f t="shared" si="32"/>
        <v>2.1687074554294979E-2</v>
      </c>
      <c r="O160" s="86">
        <f>'Growth curves UTEX #1926'!H77</f>
        <v>3.2080000000000002</v>
      </c>
      <c r="P160" s="86">
        <f t="shared" si="33"/>
        <v>4.0407968000000007</v>
      </c>
      <c r="Q160" s="87">
        <f t="shared" si="46"/>
        <v>2.0203984000000005E-4</v>
      </c>
      <c r="R160" s="88">
        <f t="shared" si="34"/>
        <v>53.670292340102264</v>
      </c>
      <c r="S160" s="89">
        <f>AVERAGE(R158:R160)</f>
        <v>54.09061765862517</v>
      </c>
      <c r="T160" s="90">
        <f>STDEV(R158:R160)</f>
        <v>8.4470263143721667</v>
      </c>
      <c r="U160" s="90">
        <f>T160/SQRT(3)</f>
        <v>4.8768929164546231</v>
      </c>
      <c r="V160" s="90">
        <f t="shared" si="35"/>
        <v>216.87074554294978</v>
      </c>
      <c r="W160" s="89">
        <f t="shared" si="37"/>
        <v>221.6157482441923</v>
      </c>
      <c r="X160" s="90">
        <f t="shared" si="38"/>
        <v>49.931537299545859</v>
      </c>
      <c r="Y160" s="90">
        <f t="shared" si="39"/>
        <v>28.827986500944643</v>
      </c>
      <c r="Z160" s="90">
        <f>(V160-$V$115)/(D158-$D$113)</f>
        <v>0.52045766576669672</v>
      </c>
      <c r="AA160" s="89">
        <f t="shared" si="41"/>
        <v>0.5315519787684333</v>
      </c>
      <c r="AB160" s="95">
        <f t="shared" si="42"/>
        <v>7.0696073924871636E-2</v>
      </c>
    </row>
    <row r="161" spans="1:28" x14ac:dyDescent="0.2">
      <c r="B161" s="226" t="s">
        <v>42</v>
      </c>
      <c r="C161" s="228">
        <v>0.49027777777777781</v>
      </c>
      <c r="D161" s="230">
        <f>46/60+24+D158</f>
        <v>430.26666666666659</v>
      </c>
      <c r="E161" s="105" t="s">
        <v>105</v>
      </c>
      <c r="F161" s="232">
        <f>(0.0536+0.0451)/2</f>
        <v>4.9350000000000005E-2</v>
      </c>
      <c r="G161" s="234">
        <f>(0.0525+0.0448)/2</f>
        <v>4.8649999999999999E-2</v>
      </c>
      <c r="H161" s="78">
        <f>0.2311-F161</f>
        <v>0.18174999999999999</v>
      </c>
      <c r="I161" s="78">
        <f>0.2264-F161</f>
        <v>0.17704999999999999</v>
      </c>
      <c r="J161" s="78">
        <f>0.1578-G161</f>
        <v>0.10915</v>
      </c>
      <c r="K161" s="78">
        <f>0.1554-G161</f>
        <v>0.10675000000000001</v>
      </c>
      <c r="L161" s="269">
        <f t="shared" si="30"/>
        <v>1.8754335494327392E-2</v>
      </c>
      <c r="M161" s="269">
        <f t="shared" si="31"/>
        <v>1.8227917341977307E-2</v>
      </c>
      <c r="N161" s="78">
        <f t="shared" si="32"/>
        <v>1.849112641815235E-2</v>
      </c>
      <c r="O161" s="78">
        <f>'Growth curves UTEX #1926'!F78</f>
        <v>3.032</v>
      </c>
      <c r="P161" s="78">
        <f t="shared" si="33"/>
        <v>3.8191072000000004</v>
      </c>
      <c r="Q161" s="79">
        <f t="shared" si="46"/>
        <v>1.9095536000000003E-4</v>
      </c>
      <c r="R161" s="80">
        <f t="shared" si="34"/>
        <v>48.417406084208231</v>
      </c>
      <c r="S161" s="81"/>
      <c r="V161" s="82">
        <f t="shared" si="35"/>
        <v>184.91126418152348</v>
      </c>
      <c r="W161" s="94"/>
      <c r="X161" s="82"/>
      <c r="Y161" s="82"/>
      <c r="Z161" s="82">
        <f t="shared" si="40"/>
        <v>0.41597182077477363</v>
      </c>
      <c r="AA161" s="94"/>
      <c r="AB161" s="102"/>
    </row>
    <row r="162" spans="1:28" ht="15" customHeight="1" x14ac:dyDescent="0.2">
      <c r="B162" s="226"/>
      <c r="C162" s="228"/>
      <c r="D162" s="230"/>
      <c r="E162" s="105" t="s">
        <v>106</v>
      </c>
      <c r="F162" s="232"/>
      <c r="G162" s="234"/>
      <c r="H162" s="78">
        <f>0.2834-F161</f>
        <v>0.23404999999999998</v>
      </c>
      <c r="I162" s="78">
        <f>0.275-F161</f>
        <v>0.22565000000000002</v>
      </c>
      <c r="J162" s="78">
        <f>0.1837-G161</f>
        <v>0.13505</v>
      </c>
      <c r="K162" s="78">
        <f>0.18-G161</f>
        <v>0.13134999999999999</v>
      </c>
      <c r="L162" s="269">
        <f t="shared" si="30"/>
        <v>2.4691207455429492E-2</v>
      </c>
      <c r="M162" s="269">
        <f t="shared" si="31"/>
        <v>2.3692585089141013E-2</v>
      </c>
      <c r="N162" s="78">
        <f t="shared" si="32"/>
        <v>2.4191896272285254E-2</v>
      </c>
      <c r="O162" s="78">
        <f>'Growth curves UTEX #1926'!G78</f>
        <v>3.488</v>
      </c>
      <c r="P162" s="78">
        <f t="shared" si="33"/>
        <v>4.3934848000000004</v>
      </c>
      <c r="Q162" s="79">
        <f t="shared" si="46"/>
        <v>2.1967424000000001E-4</v>
      </c>
      <c r="R162" s="80">
        <f t="shared" si="34"/>
        <v>55.063115894438177</v>
      </c>
      <c r="S162" s="81"/>
      <c r="V162" s="82">
        <f t="shared" si="35"/>
        <v>241.91896272285257</v>
      </c>
      <c r="W162" s="94"/>
      <c r="X162" s="82"/>
      <c r="Y162" s="82"/>
      <c r="Z162" s="82">
        <f>(V162-$V$114)/(D161-$D$113)</f>
        <v>0.5472474070331419</v>
      </c>
      <c r="AA162" s="94"/>
      <c r="AB162" s="102"/>
    </row>
    <row r="163" spans="1:28" ht="16" customHeight="1" thickBot="1" x14ac:dyDescent="0.25">
      <c r="A163" s="112"/>
      <c r="B163" s="252"/>
      <c r="C163" s="251"/>
      <c r="D163" s="250"/>
      <c r="E163" s="142" t="s">
        <v>107</v>
      </c>
      <c r="F163" s="254"/>
      <c r="G163" s="253"/>
      <c r="H163" s="106">
        <f>0.3675-F161</f>
        <v>0.31814999999999999</v>
      </c>
      <c r="I163" s="106">
        <f>0.3322-F161</f>
        <v>0.28284999999999999</v>
      </c>
      <c r="J163" s="106">
        <f>0.2777-G161</f>
        <v>0.22905</v>
      </c>
      <c r="K163" s="106">
        <f>0.2458-G161</f>
        <v>0.19714999999999999</v>
      </c>
      <c r="L163" s="106">
        <f t="shared" si="30"/>
        <v>2.9104497568881681E-2</v>
      </c>
      <c r="M163" s="106">
        <f t="shared" si="31"/>
        <v>2.6511223662884928E-2</v>
      </c>
      <c r="N163" s="106">
        <f t="shared" si="32"/>
        <v>2.7807860615883306E-2</v>
      </c>
      <c r="O163" s="106">
        <f>'Growth curves UTEX #1926'!H78</f>
        <v>3.2240000000000002</v>
      </c>
      <c r="P163" s="106">
        <f t="shared" si="33"/>
        <v>4.0609504000000003</v>
      </c>
      <c r="Q163" s="107">
        <f t="shared" si="46"/>
        <v>2.0304752000000005E-4</v>
      </c>
      <c r="R163" s="108">
        <f t="shared" si="34"/>
        <v>68.476238015325919</v>
      </c>
      <c r="S163" s="109">
        <f>AVERAGE(R161:R163)</f>
        <v>57.318919997990776</v>
      </c>
      <c r="T163" s="110">
        <f>STDEV(R161:R163)</f>
        <v>10.217909459640438</v>
      </c>
      <c r="U163" s="110">
        <f>T163/SQRT(3)</f>
        <v>5.8993127770786309</v>
      </c>
      <c r="V163" s="110">
        <f t="shared" si="35"/>
        <v>278.078606158833</v>
      </c>
      <c r="W163" s="109">
        <f t="shared" si="37"/>
        <v>234.96961102106968</v>
      </c>
      <c r="X163" s="110">
        <f t="shared" si="38"/>
        <v>46.970826260408927</v>
      </c>
      <c r="Y163" s="110">
        <f t="shared" si="39"/>
        <v>27.118619185506237</v>
      </c>
      <c r="Z163" s="110">
        <f>(V163-$V$115)/(D161-$D$113)</f>
        <v>0.63275513809485306</v>
      </c>
      <c r="AA163" s="109">
        <f t="shared" si="41"/>
        <v>0.53199145530092284</v>
      </c>
      <c r="AB163" s="111">
        <f t="shared" si="42"/>
        <v>6.3043132627634085E-2</v>
      </c>
    </row>
  </sheetData>
  <mergeCells count="274">
    <mergeCell ref="B161:B163"/>
    <mergeCell ref="C161:C163"/>
    <mergeCell ref="D161:D163"/>
    <mergeCell ref="F161:F163"/>
    <mergeCell ref="G161:G163"/>
    <mergeCell ref="B158:B160"/>
    <mergeCell ref="C158:C160"/>
    <mergeCell ref="D158:D160"/>
    <mergeCell ref="F158:F160"/>
    <mergeCell ref="G158:G160"/>
    <mergeCell ref="B155:B157"/>
    <mergeCell ref="C155:C157"/>
    <mergeCell ref="D155:D157"/>
    <mergeCell ref="F155:F157"/>
    <mergeCell ref="G155:G157"/>
    <mergeCell ref="B152:B154"/>
    <mergeCell ref="C152:C154"/>
    <mergeCell ref="D152:D154"/>
    <mergeCell ref="F152:F154"/>
    <mergeCell ref="G152:G154"/>
    <mergeCell ref="B149:B151"/>
    <mergeCell ref="C149:C151"/>
    <mergeCell ref="D149:D151"/>
    <mergeCell ref="F149:F151"/>
    <mergeCell ref="G149:G151"/>
    <mergeCell ref="B146:B148"/>
    <mergeCell ref="C146:C148"/>
    <mergeCell ref="D146:D148"/>
    <mergeCell ref="F146:F148"/>
    <mergeCell ref="G146:G148"/>
    <mergeCell ref="B143:B145"/>
    <mergeCell ref="C143:C145"/>
    <mergeCell ref="D143:D145"/>
    <mergeCell ref="F143:F145"/>
    <mergeCell ref="G143:G145"/>
    <mergeCell ref="B140:B142"/>
    <mergeCell ref="C140:C142"/>
    <mergeCell ref="D140:D142"/>
    <mergeCell ref="F140:F142"/>
    <mergeCell ref="G140:G142"/>
    <mergeCell ref="B137:B139"/>
    <mergeCell ref="C137:C139"/>
    <mergeCell ref="D137:D139"/>
    <mergeCell ref="F137:F139"/>
    <mergeCell ref="G137:G139"/>
    <mergeCell ref="B134:B136"/>
    <mergeCell ref="C134:C136"/>
    <mergeCell ref="D134:D136"/>
    <mergeCell ref="F134:F136"/>
    <mergeCell ref="G134:G136"/>
    <mergeCell ref="B131:B133"/>
    <mergeCell ref="C131:C133"/>
    <mergeCell ref="D131:D133"/>
    <mergeCell ref="F131:F133"/>
    <mergeCell ref="G131:G133"/>
    <mergeCell ref="B128:B130"/>
    <mergeCell ref="C128:C130"/>
    <mergeCell ref="D128:D130"/>
    <mergeCell ref="F128:F130"/>
    <mergeCell ref="G128:G130"/>
    <mergeCell ref="B125:B127"/>
    <mergeCell ref="C125:C127"/>
    <mergeCell ref="D125:D127"/>
    <mergeCell ref="F125:F127"/>
    <mergeCell ref="G125:G127"/>
    <mergeCell ref="B122:B124"/>
    <mergeCell ref="C122:C124"/>
    <mergeCell ref="D122:D124"/>
    <mergeCell ref="F122:F124"/>
    <mergeCell ref="G122:G124"/>
    <mergeCell ref="B119:B121"/>
    <mergeCell ref="C119:C121"/>
    <mergeCell ref="D119:D121"/>
    <mergeCell ref="F119:F121"/>
    <mergeCell ref="G119:G121"/>
    <mergeCell ref="B116:B118"/>
    <mergeCell ref="C116:C118"/>
    <mergeCell ref="D116:D118"/>
    <mergeCell ref="F116:F118"/>
    <mergeCell ref="G116:G118"/>
    <mergeCell ref="B113:B115"/>
    <mergeCell ref="C113:C115"/>
    <mergeCell ref="D113:D115"/>
    <mergeCell ref="F113:F115"/>
    <mergeCell ref="G113:G115"/>
    <mergeCell ref="B107:B109"/>
    <mergeCell ref="C107:C109"/>
    <mergeCell ref="D107:D109"/>
    <mergeCell ref="F107:F109"/>
    <mergeCell ref="G107:G109"/>
    <mergeCell ref="B110:AB110"/>
    <mergeCell ref="H111:I111"/>
    <mergeCell ref="J111:K111"/>
    <mergeCell ref="L111:M111"/>
    <mergeCell ref="L112:M112"/>
    <mergeCell ref="B104:B106"/>
    <mergeCell ref="C104:C106"/>
    <mergeCell ref="D104:D106"/>
    <mergeCell ref="F104:F106"/>
    <mergeCell ref="G104:G106"/>
    <mergeCell ref="B101:B103"/>
    <mergeCell ref="C101:C103"/>
    <mergeCell ref="D101:D103"/>
    <mergeCell ref="F101:F103"/>
    <mergeCell ref="G101:G103"/>
    <mergeCell ref="B98:B100"/>
    <mergeCell ref="C98:C100"/>
    <mergeCell ref="D98:D100"/>
    <mergeCell ref="F98:F100"/>
    <mergeCell ref="G98:G100"/>
    <mergeCell ref="B95:B97"/>
    <mergeCell ref="C95:C97"/>
    <mergeCell ref="D95:D97"/>
    <mergeCell ref="F95:F97"/>
    <mergeCell ref="G95:G97"/>
    <mergeCell ref="B92:B94"/>
    <mergeCell ref="C92:C94"/>
    <mergeCell ref="D92:D94"/>
    <mergeCell ref="F92:F94"/>
    <mergeCell ref="G92:G94"/>
    <mergeCell ref="B89:B91"/>
    <mergeCell ref="C89:C91"/>
    <mergeCell ref="D89:D91"/>
    <mergeCell ref="F89:F91"/>
    <mergeCell ref="G89:G91"/>
    <mergeCell ref="B86:B88"/>
    <mergeCell ref="C86:C88"/>
    <mergeCell ref="D86:D88"/>
    <mergeCell ref="F86:F88"/>
    <mergeCell ref="G86:G88"/>
    <mergeCell ref="B83:B85"/>
    <mergeCell ref="C83:C85"/>
    <mergeCell ref="D83:D85"/>
    <mergeCell ref="F83:F85"/>
    <mergeCell ref="G83:G85"/>
    <mergeCell ref="B80:B82"/>
    <mergeCell ref="C80:C82"/>
    <mergeCell ref="D80:D82"/>
    <mergeCell ref="F80:F82"/>
    <mergeCell ref="G80:G82"/>
    <mergeCell ref="B77:B79"/>
    <mergeCell ref="C77:C79"/>
    <mergeCell ref="D77:D79"/>
    <mergeCell ref="F77:F79"/>
    <mergeCell ref="G77:G79"/>
    <mergeCell ref="B74:B76"/>
    <mergeCell ref="C74:C76"/>
    <mergeCell ref="D74:D76"/>
    <mergeCell ref="F74:F76"/>
    <mergeCell ref="G74:G76"/>
    <mergeCell ref="B71:B73"/>
    <mergeCell ref="C71:C73"/>
    <mergeCell ref="D71:D73"/>
    <mergeCell ref="F71:F73"/>
    <mergeCell ref="G71:G73"/>
    <mergeCell ref="B68:B70"/>
    <mergeCell ref="C68:C70"/>
    <mergeCell ref="D68:D70"/>
    <mergeCell ref="F68:F70"/>
    <mergeCell ref="G68:G70"/>
    <mergeCell ref="G62:G64"/>
    <mergeCell ref="B65:B67"/>
    <mergeCell ref="C65:C67"/>
    <mergeCell ref="D65:D67"/>
    <mergeCell ref="F65:F67"/>
    <mergeCell ref="G65:G67"/>
    <mergeCell ref="B62:B64"/>
    <mergeCell ref="C62:C64"/>
    <mergeCell ref="D62:D64"/>
    <mergeCell ref="F62:F64"/>
    <mergeCell ref="B53:B55"/>
    <mergeCell ref="C53:C55"/>
    <mergeCell ref="D53:D55"/>
    <mergeCell ref="F53:F55"/>
    <mergeCell ref="G53:G55"/>
    <mergeCell ref="B50:B52"/>
    <mergeCell ref="C50:C52"/>
    <mergeCell ref="D50:D52"/>
    <mergeCell ref="F50:F52"/>
    <mergeCell ref="G50:G52"/>
    <mergeCell ref="B47:B49"/>
    <mergeCell ref="C47:C49"/>
    <mergeCell ref="D47:D49"/>
    <mergeCell ref="F47:F49"/>
    <mergeCell ref="G47:G49"/>
    <mergeCell ref="B44:B46"/>
    <mergeCell ref="C44:C46"/>
    <mergeCell ref="D44:D46"/>
    <mergeCell ref="F44:F46"/>
    <mergeCell ref="G44:G46"/>
    <mergeCell ref="B41:B43"/>
    <mergeCell ref="C41:C43"/>
    <mergeCell ref="D41:D43"/>
    <mergeCell ref="F41:F43"/>
    <mergeCell ref="G41:G43"/>
    <mergeCell ref="B38:B40"/>
    <mergeCell ref="C38:C40"/>
    <mergeCell ref="D38:D40"/>
    <mergeCell ref="F38:F40"/>
    <mergeCell ref="G38:G40"/>
    <mergeCell ref="B35:B37"/>
    <mergeCell ref="C35:C37"/>
    <mergeCell ref="D35:D37"/>
    <mergeCell ref="F35:F37"/>
    <mergeCell ref="G35:G37"/>
    <mergeCell ref="B32:B34"/>
    <mergeCell ref="C32:C34"/>
    <mergeCell ref="D32:D34"/>
    <mergeCell ref="F32:F34"/>
    <mergeCell ref="G32:G34"/>
    <mergeCell ref="B29:B31"/>
    <mergeCell ref="C29:C31"/>
    <mergeCell ref="D29:D31"/>
    <mergeCell ref="F29:F31"/>
    <mergeCell ref="G29:G31"/>
    <mergeCell ref="B26:B28"/>
    <mergeCell ref="C26:C28"/>
    <mergeCell ref="D26:D28"/>
    <mergeCell ref="F26:F28"/>
    <mergeCell ref="G26:G28"/>
    <mergeCell ref="B23:B25"/>
    <mergeCell ref="C23:C25"/>
    <mergeCell ref="D23:D25"/>
    <mergeCell ref="F23:F25"/>
    <mergeCell ref="G23:G25"/>
    <mergeCell ref="B20:B22"/>
    <mergeCell ref="C20:C22"/>
    <mergeCell ref="D20:D22"/>
    <mergeCell ref="F20:F22"/>
    <mergeCell ref="G20:G22"/>
    <mergeCell ref="C17:C19"/>
    <mergeCell ref="D17:D19"/>
    <mergeCell ref="F17:F19"/>
    <mergeCell ref="G17:G19"/>
    <mergeCell ref="B14:B16"/>
    <mergeCell ref="C14:C16"/>
    <mergeCell ref="D14:D16"/>
    <mergeCell ref="F14:F16"/>
    <mergeCell ref="G14:G16"/>
    <mergeCell ref="A1:AB1"/>
    <mergeCell ref="B2:AB2"/>
    <mergeCell ref="H3:I3"/>
    <mergeCell ref="J3:K3"/>
    <mergeCell ref="L3:M3"/>
    <mergeCell ref="L4:M4"/>
    <mergeCell ref="B5:B7"/>
    <mergeCell ref="C5:C7"/>
    <mergeCell ref="D5:D7"/>
    <mergeCell ref="F5:F7"/>
    <mergeCell ref="G5:G7"/>
    <mergeCell ref="AD3:AH3"/>
    <mergeCell ref="AD56:AH56"/>
    <mergeCell ref="AD110:AH110"/>
    <mergeCell ref="H57:I57"/>
    <mergeCell ref="J57:K57"/>
    <mergeCell ref="L57:M57"/>
    <mergeCell ref="L58:M58"/>
    <mergeCell ref="B59:B61"/>
    <mergeCell ref="C59:C61"/>
    <mergeCell ref="D59:D61"/>
    <mergeCell ref="F59:F61"/>
    <mergeCell ref="G59:G61"/>
    <mergeCell ref="D8:D10"/>
    <mergeCell ref="F8:F10"/>
    <mergeCell ref="G8:G10"/>
    <mergeCell ref="B11:B13"/>
    <mergeCell ref="C11:C13"/>
    <mergeCell ref="D11:D13"/>
    <mergeCell ref="F11:F13"/>
    <mergeCell ref="G11:G13"/>
    <mergeCell ref="B56:AB56"/>
    <mergeCell ref="B8:B10"/>
    <mergeCell ref="C8:C10"/>
    <mergeCell ref="B17:B19"/>
  </mergeCell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3451BC-3B73-1548-8C01-0E9DE137FA69}">
  <dimension ref="A1:AC604"/>
  <sheetViews>
    <sheetView zoomScaleNormal="100" workbookViewId="0">
      <selection sqref="A1:U1"/>
    </sheetView>
  </sheetViews>
  <sheetFormatPr baseColWidth="10" defaultColWidth="9.1640625" defaultRowHeight="13" x14ac:dyDescent="0.15"/>
  <cols>
    <col min="1" max="1" width="76.5" style="5" customWidth="1"/>
    <col min="2" max="2" width="10.33203125" style="5" bestFit="1" customWidth="1"/>
    <col min="3" max="6" width="9.1640625" style="5"/>
    <col min="7" max="7" width="9.6640625" style="5" bestFit="1" customWidth="1"/>
    <col min="8" max="10" width="9.1640625" style="5"/>
    <col min="11" max="14" width="9.6640625" style="5" bestFit="1" customWidth="1"/>
    <col min="15" max="15" width="12.1640625" style="5" customWidth="1"/>
    <col min="16" max="16" width="12.5" style="5" bestFit="1" customWidth="1"/>
    <col min="17" max="18" width="13.6640625" style="5" customWidth="1"/>
    <col min="19" max="19" width="14.5" style="5" customWidth="1"/>
    <col min="20" max="21" width="10.5" style="5" bestFit="1" customWidth="1"/>
    <col min="22" max="23" width="9.1640625" style="5"/>
    <col min="24" max="24" width="12.6640625" style="5" customWidth="1"/>
    <col min="25" max="16384" width="9.1640625" style="5"/>
  </cols>
  <sheetData>
    <row r="1" spans="1:29" ht="17" thickBot="1" x14ac:dyDescent="0.2">
      <c r="A1" s="266" t="s">
        <v>98</v>
      </c>
      <c r="B1" s="267"/>
      <c r="C1" s="267"/>
      <c r="D1" s="267"/>
      <c r="E1" s="267"/>
      <c r="F1" s="267"/>
      <c r="G1" s="267"/>
      <c r="H1" s="267"/>
      <c r="I1" s="267"/>
      <c r="J1" s="267"/>
      <c r="K1" s="267"/>
      <c r="L1" s="267"/>
      <c r="M1" s="267"/>
      <c r="N1" s="267"/>
      <c r="O1" s="267"/>
      <c r="P1" s="267"/>
      <c r="Q1" s="267"/>
      <c r="R1" s="267"/>
      <c r="S1" s="267"/>
      <c r="T1" s="267"/>
      <c r="U1" s="268"/>
    </row>
    <row r="2" spans="1:29" ht="16" customHeight="1" thickBot="1" x14ac:dyDescent="0.2">
      <c r="A2" s="155"/>
      <c r="B2" s="261" t="s">
        <v>69</v>
      </c>
      <c r="C2" s="262"/>
      <c r="D2" s="262"/>
      <c r="E2" s="262"/>
      <c r="F2" s="262"/>
      <c r="G2" s="262"/>
      <c r="H2" s="262"/>
      <c r="I2" s="262"/>
      <c r="J2" s="262"/>
      <c r="K2" s="262"/>
      <c r="L2" s="262"/>
      <c r="M2" s="262"/>
      <c r="N2" s="262"/>
      <c r="O2" s="262"/>
      <c r="P2" s="262"/>
      <c r="Q2" s="262"/>
      <c r="R2" s="262"/>
      <c r="S2" s="262"/>
      <c r="T2" s="262"/>
      <c r="U2" s="263"/>
      <c r="W2" s="257" t="s">
        <v>113</v>
      </c>
      <c r="X2" s="257"/>
      <c r="Y2" s="257"/>
      <c r="Z2" s="257"/>
      <c r="AA2" s="257"/>
    </row>
    <row r="3" spans="1:29" ht="37" customHeight="1" x14ac:dyDescent="0.15">
      <c r="A3" s="46"/>
      <c r="B3" s="114" t="s">
        <v>0</v>
      </c>
      <c r="C3" s="66" t="s">
        <v>1</v>
      </c>
      <c r="D3" s="66" t="s">
        <v>2</v>
      </c>
      <c r="E3" s="117" t="s">
        <v>17</v>
      </c>
      <c r="F3" s="116"/>
      <c r="G3" s="116" t="s">
        <v>18</v>
      </c>
      <c r="H3" s="258" t="s">
        <v>99</v>
      </c>
      <c r="I3" s="259"/>
      <c r="J3" s="259"/>
      <c r="K3" s="260" t="s">
        <v>100</v>
      </c>
      <c r="L3" s="260"/>
      <c r="M3" s="260"/>
      <c r="N3" s="66" t="s">
        <v>20</v>
      </c>
      <c r="O3" s="66" t="s">
        <v>21</v>
      </c>
      <c r="P3" s="66" t="s">
        <v>21</v>
      </c>
      <c r="Q3" s="66" t="s">
        <v>101</v>
      </c>
      <c r="R3" s="117" t="s">
        <v>101</v>
      </c>
      <c r="S3" s="66" t="s">
        <v>102</v>
      </c>
      <c r="T3" s="66" t="s">
        <v>89</v>
      </c>
      <c r="U3" s="115" t="s">
        <v>71</v>
      </c>
      <c r="W3" s="57" t="str">
        <f>D3</f>
        <v>Hours</v>
      </c>
      <c r="X3" s="76" t="str">
        <f>S3</f>
        <v>Average NO3 concentration</v>
      </c>
      <c r="Y3" s="76" t="str">
        <f>U3</f>
        <v>Standard error</v>
      </c>
      <c r="Z3" s="57"/>
      <c r="AA3" s="118"/>
      <c r="AB3" s="118"/>
      <c r="AC3" s="118"/>
    </row>
    <row r="4" spans="1:29" ht="15" customHeight="1" x14ac:dyDescent="0.15">
      <c r="A4" s="46"/>
      <c r="B4" s="119"/>
      <c r="C4" s="156"/>
      <c r="D4" s="157"/>
      <c r="E4" s="157"/>
      <c r="F4" s="120"/>
      <c r="G4" s="120"/>
      <c r="H4" s="264" t="s">
        <v>13</v>
      </c>
      <c r="I4" s="264"/>
      <c r="J4" s="265"/>
      <c r="K4" s="219" t="s">
        <v>22</v>
      </c>
      <c r="L4" s="221"/>
      <c r="M4" s="220"/>
      <c r="N4" s="74" t="s">
        <v>22</v>
      </c>
      <c r="O4" s="74" t="s">
        <v>15</v>
      </c>
      <c r="P4" s="74" t="s">
        <v>23</v>
      </c>
      <c r="Q4" s="74" t="s">
        <v>23</v>
      </c>
      <c r="R4" s="72" t="s">
        <v>15</v>
      </c>
      <c r="S4" s="74" t="s">
        <v>15</v>
      </c>
      <c r="T4" s="74"/>
      <c r="U4" s="70"/>
      <c r="W4" s="84">
        <v>0</v>
      </c>
      <c r="X4" s="78">
        <f>S7</f>
        <v>1.5227524368253966</v>
      </c>
      <c r="Y4" s="78">
        <f>U7</f>
        <v>6.3144773318819731E-3</v>
      </c>
      <c r="Z4" s="78"/>
      <c r="AA4" s="118"/>
      <c r="AB4" s="118"/>
      <c r="AC4" s="118"/>
    </row>
    <row r="5" spans="1:29" x14ac:dyDescent="0.15">
      <c r="A5" s="46"/>
      <c r="B5" s="173" t="s">
        <v>24</v>
      </c>
      <c r="C5" s="170">
        <v>0.47916666666666669</v>
      </c>
      <c r="D5" s="84">
        <v>0</v>
      </c>
      <c r="E5" s="57">
        <v>1</v>
      </c>
      <c r="F5" s="105" t="s">
        <v>105</v>
      </c>
      <c r="G5" s="165">
        <v>6.4666666666666664E-2</v>
      </c>
      <c r="H5" s="128">
        <f>1.772-G5</f>
        <v>1.7073333333333334</v>
      </c>
      <c r="I5" s="129">
        <f>1.761-G5</f>
        <v>1.6963333333333332</v>
      </c>
      <c r="J5" s="129">
        <f>1.774-G5</f>
        <v>1.7093333333333334</v>
      </c>
      <c r="K5" s="78">
        <f>3.0288*H5</f>
        <v>5.1711711999999999</v>
      </c>
      <c r="L5" s="78">
        <f t="shared" ref="L5:M7" si="0">3.0288*I5</f>
        <v>5.1378543999999993</v>
      </c>
      <c r="M5" s="78">
        <f t="shared" si="0"/>
        <v>5.1772288</v>
      </c>
      <c r="N5" s="78">
        <f>AVERAGE(K5:M5)</f>
        <v>5.1620847999999997</v>
      </c>
      <c r="O5" s="78">
        <f>N5/15</f>
        <v>0.34413898666666665</v>
      </c>
      <c r="P5" s="78">
        <f>O5/14</f>
        <v>2.4581356190476189E-2</v>
      </c>
      <c r="Q5" s="78">
        <f>P5</f>
        <v>2.4581356190476189E-2</v>
      </c>
      <c r="R5" s="78">
        <f>Q5*62</f>
        <v>1.5240440838095237</v>
      </c>
      <c r="S5" s="158"/>
      <c r="T5" s="57"/>
      <c r="U5" s="83"/>
      <c r="W5" s="84">
        <f>D8</f>
        <v>46.5</v>
      </c>
      <c r="X5" s="78">
        <f>S10</f>
        <v>1.4296814222222221</v>
      </c>
      <c r="Y5" s="78">
        <f>U10</f>
        <v>2.2598038552032501E-3</v>
      </c>
      <c r="Z5" s="78"/>
      <c r="AA5" s="154"/>
      <c r="AB5" s="154"/>
      <c r="AC5" s="154"/>
    </row>
    <row r="6" spans="1:29" x14ac:dyDescent="0.15">
      <c r="A6" s="46"/>
      <c r="B6" s="59"/>
      <c r="C6" s="170"/>
      <c r="D6" s="84"/>
      <c r="E6" s="57"/>
      <c r="F6" s="105" t="s">
        <v>106</v>
      </c>
      <c r="G6" s="166"/>
      <c r="H6" s="77">
        <f>1.732-G5</f>
        <v>1.6673333333333333</v>
      </c>
      <c r="I6" s="78">
        <f>1.753-G5</f>
        <v>1.6883333333333332</v>
      </c>
      <c r="J6" s="78">
        <f>1.779-G5</f>
        <v>1.7143333333333333</v>
      </c>
      <c r="K6" s="78">
        <f t="shared" ref="K6:K7" si="1">3.0288*H6</f>
        <v>5.0500191999999995</v>
      </c>
      <c r="L6" s="78">
        <f t="shared" si="0"/>
        <v>5.1136239999999997</v>
      </c>
      <c r="M6" s="78">
        <f t="shared" si="0"/>
        <v>5.1923727999999993</v>
      </c>
      <c r="N6" s="78">
        <f>AVERAGE(K6:M6)</f>
        <v>5.1186719999999992</v>
      </c>
      <c r="O6" s="78">
        <f>N6/15</f>
        <v>0.34124479999999996</v>
      </c>
      <c r="P6" s="78">
        <f t="shared" ref="P6:P31" si="2">O6/14</f>
        <v>2.437462857142857E-2</v>
      </c>
      <c r="Q6" s="78">
        <f t="shared" ref="Q6:Q31" si="3">P6</f>
        <v>2.437462857142857E-2</v>
      </c>
      <c r="R6" s="78">
        <f t="shared" ref="R6:R31" si="4">Q6*62</f>
        <v>1.5112269714285713</v>
      </c>
      <c r="S6" s="158"/>
      <c r="T6" s="57"/>
      <c r="U6" s="83"/>
      <c r="W6" s="84">
        <f>D11</f>
        <v>97.366666666666674</v>
      </c>
      <c r="X6" s="78">
        <f>S13</f>
        <v>1.3272767283333333</v>
      </c>
      <c r="Y6" s="78">
        <f>U13</f>
        <v>1.4683793832653572E-2</v>
      </c>
      <c r="Z6" s="78"/>
      <c r="AA6" s="154"/>
      <c r="AB6" s="154"/>
      <c r="AC6" s="154"/>
    </row>
    <row r="7" spans="1:29" x14ac:dyDescent="0.15">
      <c r="A7" s="46"/>
      <c r="B7" s="59"/>
      <c r="C7" s="170"/>
      <c r="D7" s="84"/>
      <c r="E7" s="57"/>
      <c r="F7" s="105" t="s">
        <v>107</v>
      </c>
      <c r="G7" s="166"/>
      <c r="H7" s="77">
        <f>1.761-G5</f>
        <v>1.6963333333333332</v>
      </c>
      <c r="I7" s="78">
        <f>1.785-G5</f>
        <v>1.7203333333333333</v>
      </c>
      <c r="J7" s="78">
        <f>1.791-G5</f>
        <v>1.7263333333333333</v>
      </c>
      <c r="K7" s="78">
        <f t="shared" si="1"/>
        <v>5.1378543999999993</v>
      </c>
      <c r="L7" s="78">
        <f t="shared" si="0"/>
        <v>5.2105455999999997</v>
      </c>
      <c r="M7" s="78">
        <f t="shared" si="0"/>
        <v>5.2287184</v>
      </c>
      <c r="N7" s="78">
        <f>AVERAGE(K7:M7)</f>
        <v>5.1923727999999993</v>
      </c>
      <c r="O7" s="78">
        <f>N7/15</f>
        <v>0.34615818666666665</v>
      </c>
      <c r="P7" s="78">
        <f t="shared" si="2"/>
        <v>2.472558476190476E-2</v>
      </c>
      <c r="Q7" s="78">
        <f t="shared" si="3"/>
        <v>2.472558476190476E-2</v>
      </c>
      <c r="R7" s="78">
        <f t="shared" si="4"/>
        <v>1.5329862552380951</v>
      </c>
      <c r="S7" s="159">
        <f>AVERAGE(R5:R7)</f>
        <v>1.5227524368253966</v>
      </c>
      <c r="T7" s="78">
        <f>STDEV(R5:R7)</f>
        <v>1.0936995562061541E-2</v>
      </c>
      <c r="U7" s="121">
        <f>T7/SQRT(3)</f>
        <v>6.3144773318819731E-3</v>
      </c>
      <c r="W7" s="84">
        <f>D14</f>
        <v>141.85000000000002</v>
      </c>
      <c r="X7" s="78">
        <f>S16</f>
        <v>1.0931858649206347</v>
      </c>
      <c r="Y7" s="78">
        <f>U16</f>
        <v>3.9152737111310502E-3</v>
      </c>
      <c r="Z7" s="78"/>
      <c r="AA7" s="154"/>
      <c r="AB7" s="154"/>
      <c r="AC7" s="154"/>
    </row>
    <row r="8" spans="1:29" x14ac:dyDescent="0.15">
      <c r="A8" s="46"/>
      <c r="B8" s="173" t="s">
        <v>26</v>
      </c>
      <c r="C8" s="170">
        <v>0.41666666666666669</v>
      </c>
      <c r="D8" s="84">
        <v>46.5</v>
      </c>
      <c r="E8" s="57">
        <v>3</v>
      </c>
      <c r="F8" s="105" t="s">
        <v>105</v>
      </c>
      <c r="G8" s="165">
        <v>7.4333333333333321E-2</v>
      </c>
      <c r="H8" s="96">
        <f>1.696-G8</f>
        <v>1.6216666666666666</v>
      </c>
      <c r="I8" s="97">
        <f>1.684-G8</f>
        <v>1.6096666666666666</v>
      </c>
      <c r="J8" s="97">
        <f>1.67-G8</f>
        <v>1.5956666666666666</v>
      </c>
      <c r="K8" s="78">
        <f>3.0065*H8</f>
        <v>4.875540833333333</v>
      </c>
      <c r="L8" s="78">
        <f t="shared" ref="L8:M10" si="5">3.0065*I8</f>
        <v>4.8394628333333332</v>
      </c>
      <c r="M8" s="78">
        <f t="shared" si="5"/>
        <v>4.7973718333333331</v>
      </c>
      <c r="N8" s="78">
        <f t="shared" ref="N8:N31" si="6">AVERAGE(K8:M8)</f>
        <v>4.8374584999999994</v>
      </c>
      <c r="O8" s="78">
        <f t="shared" ref="O8:O10" si="7">N8/15</f>
        <v>0.3224972333333333</v>
      </c>
      <c r="P8" s="78">
        <f t="shared" si="2"/>
        <v>2.3035516666666665E-2</v>
      </c>
      <c r="Q8" s="78">
        <f t="shared" si="3"/>
        <v>2.3035516666666665E-2</v>
      </c>
      <c r="R8" s="78">
        <f t="shared" si="4"/>
        <v>1.4282020333333332</v>
      </c>
      <c r="S8" s="122"/>
      <c r="T8" s="97"/>
      <c r="U8" s="123"/>
      <c r="W8" s="84">
        <f>D17</f>
        <v>190.53333333333336</v>
      </c>
      <c r="X8" s="78">
        <f>S19</f>
        <v>1.0036369719047615</v>
      </c>
      <c r="Y8" s="78">
        <f>U19</f>
        <v>7.7982983485916195E-3</v>
      </c>
      <c r="Z8" s="78"/>
      <c r="AA8" s="154"/>
      <c r="AB8" s="154"/>
      <c r="AC8" s="154"/>
    </row>
    <row r="9" spans="1:29" x14ac:dyDescent="0.15">
      <c r="A9" s="46"/>
      <c r="B9" s="59"/>
      <c r="C9" s="170"/>
      <c r="D9" s="84"/>
      <c r="E9" s="57"/>
      <c r="F9" s="105" t="s">
        <v>106</v>
      </c>
      <c r="G9" s="166"/>
      <c r="H9" s="77">
        <f>1.693-G8</f>
        <v>1.6186666666666667</v>
      </c>
      <c r="I9" s="78">
        <f>1.698-G8</f>
        <v>1.6236666666666666</v>
      </c>
      <c r="J9" s="78">
        <f>1.654-G8</f>
        <v>1.5796666666666666</v>
      </c>
      <c r="K9" s="78">
        <f t="shared" ref="K9:K10" si="8">3.0065*H9</f>
        <v>4.866521333333333</v>
      </c>
      <c r="L9" s="78">
        <f t="shared" si="5"/>
        <v>4.8815538333333333</v>
      </c>
      <c r="M9" s="78">
        <f t="shared" si="5"/>
        <v>4.7492678333333327</v>
      </c>
      <c r="N9" s="78">
        <f t="shared" si="6"/>
        <v>4.832447666666666</v>
      </c>
      <c r="O9" s="78">
        <f t="shared" si="7"/>
        <v>0.32216317777777775</v>
      </c>
      <c r="P9" s="78">
        <f t="shared" si="2"/>
        <v>2.3011655555555555E-2</v>
      </c>
      <c r="Q9" s="78">
        <f t="shared" si="3"/>
        <v>2.3011655555555555E-2</v>
      </c>
      <c r="R9" s="78">
        <f t="shared" si="4"/>
        <v>1.4267226444444445</v>
      </c>
      <c r="S9" s="159"/>
      <c r="T9" s="78"/>
      <c r="U9" s="121"/>
      <c r="W9" s="84">
        <f>D20</f>
        <v>238.93333333333334</v>
      </c>
      <c r="X9" s="78">
        <f>S22</f>
        <v>0.84427194801587302</v>
      </c>
      <c r="Y9" s="78">
        <f>U22</f>
        <v>9.7059011787633445E-2</v>
      </c>
      <c r="Z9" s="78"/>
      <c r="AA9" s="154"/>
      <c r="AB9" s="154"/>
      <c r="AC9" s="154"/>
    </row>
    <row r="10" spans="1:29" x14ac:dyDescent="0.15">
      <c r="A10" s="46"/>
      <c r="B10" s="59"/>
      <c r="C10" s="170"/>
      <c r="D10" s="84"/>
      <c r="E10" s="57"/>
      <c r="F10" s="105" t="s">
        <v>107</v>
      </c>
      <c r="G10" s="166"/>
      <c r="H10" s="77">
        <f>1.699-G8</f>
        <v>1.6246666666666667</v>
      </c>
      <c r="I10" s="78">
        <f>1.682-G8</f>
        <v>1.6076666666666666</v>
      </c>
      <c r="J10" s="78">
        <f>1.689-G8</f>
        <v>1.6146666666666667</v>
      </c>
      <c r="K10" s="78">
        <f t="shared" si="8"/>
        <v>4.8845603333333329</v>
      </c>
      <c r="L10" s="78">
        <f t="shared" si="5"/>
        <v>4.8334498333333329</v>
      </c>
      <c r="M10" s="78">
        <f t="shared" si="5"/>
        <v>4.8544953333333334</v>
      </c>
      <c r="N10" s="78">
        <f t="shared" si="6"/>
        <v>4.8575018333333331</v>
      </c>
      <c r="O10" s="78">
        <f t="shared" si="7"/>
        <v>0.32383345555555554</v>
      </c>
      <c r="P10" s="78">
        <f t="shared" si="2"/>
        <v>2.3130961111111108E-2</v>
      </c>
      <c r="Q10" s="78">
        <f t="shared" si="3"/>
        <v>2.3130961111111108E-2</v>
      </c>
      <c r="R10" s="78">
        <f t="shared" si="4"/>
        <v>1.4341195888888887</v>
      </c>
      <c r="S10" s="124">
        <f>AVERAGE(R8:R10)</f>
        <v>1.4296814222222221</v>
      </c>
      <c r="T10" s="78">
        <f>STDEV(R8:R10)</f>
        <v>3.9140950923520516E-3</v>
      </c>
      <c r="U10" s="121">
        <f>T10/SQRT(3)</f>
        <v>2.2598038552032501E-3</v>
      </c>
      <c r="W10" s="84">
        <f>D23</f>
        <v>287.41666666666669</v>
      </c>
      <c r="X10" s="78">
        <f>S25</f>
        <v>0.72270359047619037</v>
      </c>
      <c r="Y10" s="78">
        <f>U25</f>
        <v>5.6043087264777414E-3</v>
      </c>
      <c r="Z10" s="78"/>
      <c r="AA10" s="154"/>
      <c r="AB10" s="154"/>
      <c r="AC10" s="154"/>
    </row>
    <row r="11" spans="1:29" x14ac:dyDescent="0.15">
      <c r="A11" s="46"/>
      <c r="B11" s="59" t="s">
        <v>28</v>
      </c>
      <c r="C11" s="170">
        <v>0.53611111111111109</v>
      </c>
      <c r="D11" s="84">
        <v>97.366666666666674</v>
      </c>
      <c r="E11" s="57">
        <v>5</v>
      </c>
      <c r="F11" s="105" t="s">
        <v>105</v>
      </c>
      <c r="G11" s="166">
        <v>7.2666666666666671E-2</v>
      </c>
      <c r="H11" s="77">
        <f>1.939-G11</f>
        <v>1.8663333333333334</v>
      </c>
      <c r="I11" s="78">
        <f>1.997-G11</f>
        <v>1.9243333333333335</v>
      </c>
      <c r="J11" s="78">
        <f>1.973-G11</f>
        <v>1.9003333333333334</v>
      </c>
      <c r="K11" s="78">
        <f>3.1773*H11</f>
        <v>5.9299008999999998</v>
      </c>
      <c r="L11" s="78">
        <f t="shared" ref="L11:M13" si="9">3.1773*I11</f>
        <v>6.1141842999999998</v>
      </c>
      <c r="M11" s="78">
        <f t="shared" si="9"/>
        <v>6.0379290999999995</v>
      </c>
      <c r="N11" s="78">
        <f t="shared" si="6"/>
        <v>6.0273380999999988</v>
      </c>
      <c r="O11" s="78">
        <f>N11/20</f>
        <v>0.30136690499999996</v>
      </c>
      <c r="P11" s="78">
        <f t="shared" si="2"/>
        <v>2.1526207499999998E-2</v>
      </c>
      <c r="Q11" s="78">
        <f t="shared" si="3"/>
        <v>2.1526207499999998E-2</v>
      </c>
      <c r="R11" s="78">
        <f t="shared" si="4"/>
        <v>1.3346248649999999</v>
      </c>
      <c r="S11" s="159"/>
      <c r="T11" s="78"/>
      <c r="U11" s="121"/>
      <c r="W11" s="84">
        <f>D26</f>
        <v>334.93333333333334</v>
      </c>
      <c r="X11" s="78">
        <f>S28</f>
        <v>0.64959895417989422</v>
      </c>
      <c r="Y11" s="78">
        <f>U28</f>
        <v>2.8781812031757177E-2</v>
      </c>
      <c r="Z11" s="78"/>
      <c r="AA11" s="154"/>
      <c r="AB11" s="154"/>
      <c r="AC11" s="154"/>
    </row>
    <row r="12" spans="1:29" ht="15" customHeight="1" x14ac:dyDescent="0.15">
      <c r="A12" s="46"/>
      <c r="B12" s="59"/>
      <c r="C12" s="170"/>
      <c r="D12" s="84"/>
      <c r="E12" s="57"/>
      <c r="F12" s="105" t="s">
        <v>106</v>
      </c>
      <c r="G12" s="166"/>
      <c r="H12" s="77">
        <f>1.99-G11</f>
        <v>1.9173333333333333</v>
      </c>
      <c r="I12" s="78">
        <f>1.983-G11</f>
        <v>1.9103333333333334</v>
      </c>
      <c r="J12" s="78">
        <f>1.994-G11</f>
        <v>1.9213333333333333</v>
      </c>
      <c r="K12" s="78">
        <f t="shared" ref="K12:K13" si="10">3.1773*H12</f>
        <v>6.0919431999999993</v>
      </c>
      <c r="L12" s="78">
        <f t="shared" si="9"/>
        <v>6.0697020999999998</v>
      </c>
      <c r="M12" s="78">
        <f t="shared" si="9"/>
        <v>6.1046524</v>
      </c>
      <c r="N12" s="78">
        <f t="shared" si="6"/>
        <v>6.0887658999999994</v>
      </c>
      <c r="O12" s="78">
        <f>N12/20</f>
        <v>0.30443829499999997</v>
      </c>
      <c r="P12" s="78">
        <f t="shared" si="2"/>
        <v>2.1745592499999997E-2</v>
      </c>
      <c r="Q12" s="78">
        <f t="shared" si="3"/>
        <v>2.1745592499999997E-2</v>
      </c>
      <c r="R12" s="78">
        <f t="shared" si="4"/>
        <v>1.3482267349999999</v>
      </c>
      <c r="S12" s="159"/>
      <c r="T12" s="78"/>
      <c r="U12" s="121"/>
      <c r="W12" s="84">
        <f>D29</f>
        <v>431.53333333333336</v>
      </c>
      <c r="X12" s="78">
        <f>S31</f>
        <v>0.55041715199999997</v>
      </c>
      <c r="Y12" s="78">
        <f>U31</f>
        <v>2.541542420027058E-2</v>
      </c>
      <c r="Z12" s="78"/>
      <c r="AA12" s="154"/>
      <c r="AB12" s="154"/>
      <c r="AC12" s="154"/>
    </row>
    <row r="13" spans="1:29" ht="15" customHeight="1" x14ac:dyDescent="0.15">
      <c r="A13" s="46"/>
      <c r="B13" s="130"/>
      <c r="C13" s="171"/>
      <c r="D13" s="168"/>
      <c r="E13" s="91"/>
      <c r="F13" s="105" t="s">
        <v>107</v>
      </c>
      <c r="G13" s="167"/>
      <c r="H13" s="85">
        <f>1.88-G11</f>
        <v>1.8073333333333332</v>
      </c>
      <c r="I13" s="86">
        <f>1.961-G11</f>
        <v>1.8883333333333334</v>
      </c>
      <c r="J13" s="86">
        <f>1.916-G11</f>
        <v>1.8433333333333333</v>
      </c>
      <c r="K13" s="78">
        <f t="shared" si="10"/>
        <v>5.742440199999999</v>
      </c>
      <c r="L13" s="78">
        <f t="shared" si="9"/>
        <v>5.9998015000000002</v>
      </c>
      <c r="M13" s="78">
        <f t="shared" si="9"/>
        <v>5.8568229999999994</v>
      </c>
      <c r="N13" s="78">
        <f t="shared" si="6"/>
        <v>5.8663549000000001</v>
      </c>
      <c r="O13" s="78">
        <f>N13/20</f>
        <v>0.29331774500000002</v>
      </c>
      <c r="P13" s="78">
        <f t="shared" si="2"/>
        <v>2.0951267500000002E-2</v>
      </c>
      <c r="Q13" s="78">
        <f t="shared" si="3"/>
        <v>2.0951267500000002E-2</v>
      </c>
      <c r="R13" s="78">
        <f t="shared" si="4"/>
        <v>1.2989785850000002</v>
      </c>
      <c r="S13" s="124">
        <f>AVERAGE(R11:R13)</f>
        <v>1.3272767283333333</v>
      </c>
      <c r="T13" s="86">
        <f>STDEV(R11:R13)</f>
        <v>2.5433076966022518E-2</v>
      </c>
      <c r="U13" s="125">
        <f>T13/SQRT(3)</f>
        <v>1.4683793832653572E-2</v>
      </c>
      <c r="W13" s="84"/>
      <c r="X13" s="78"/>
      <c r="Y13" s="78"/>
      <c r="Z13" s="78"/>
      <c r="AA13" s="154"/>
      <c r="AB13" s="154"/>
      <c r="AC13" s="154"/>
    </row>
    <row r="14" spans="1:29" x14ac:dyDescent="0.15">
      <c r="A14" s="46"/>
      <c r="B14" s="173" t="s">
        <v>30</v>
      </c>
      <c r="C14" s="170">
        <v>0.38958333333333334</v>
      </c>
      <c r="D14" s="84">
        <v>141.85000000000002</v>
      </c>
      <c r="E14" s="57">
        <v>7</v>
      </c>
      <c r="F14" s="105" t="s">
        <v>105</v>
      </c>
      <c r="G14" s="166">
        <v>7.1333333333333346E-2</v>
      </c>
      <c r="H14" s="77">
        <f>1.623-G14</f>
        <v>1.5516666666666667</v>
      </c>
      <c r="I14" s="78">
        <f>1.611-G14</f>
        <v>1.5396666666666667</v>
      </c>
      <c r="J14" s="78">
        <f>1.642-G14</f>
        <v>1.5706666666666667</v>
      </c>
      <c r="K14" s="78">
        <f>3.1582*H14</f>
        <v>4.9004736666666666</v>
      </c>
      <c r="L14" s="78">
        <f t="shared" ref="L14:M16" si="11">3.1582*I14</f>
        <v>4.8625752666666671</v>
      </c>
      <c r="M14" s="78">
        <f t="shared" si="11"/>
        <v>4.9604794666666665</v>
      </c>
      <c r="N14" s="78">
        <f t="shared" si="6"/>
        <v>4.9078428000000001</v>
      </c>
      <c r="O14" s="78">
        <f t="shared" ref="O14:O25" si="12">N14/20</f>
        <v>0.24539214000000001</v>
      </c>
      <c r="P14" s="78">
        <f t="shared" si="2"/>
        <v>1.752801E-2</v>
      </c>
      <c r="Q14" s="78">
        <f t="shared" si="3"/>
        <v>1.752801E-2</v>
      </c>
      <c r="R14" s="78">
        <f t="shared" si="4"/>
        <v>1.0867366199999999</v>
      </c>
      <c r="S14" s="158"/>
      <c r="T14" s="57"/>
      <c r="U14" s="83"/>
      <c r="W14" s="57"/>
      <c r="X14" s="78"/>
      <c r="Y14" s="78"/>
      <c r="Z14" s="78"/>
      <c r="AA14" s="78"/>
    </row>
    <row r="15" spans="1:29" x14ac:dyDescent="0.15">
      <c r="B15" s="59"/>
      <c r="C15" s="170"/>
      <c r="D15" s="84"/>
      <c r="E15" s="57"/>
      <c r="F15" s="105" t="s">
        <v>106</v>
      </c>
      <c r="G15" s="166"/>
      <c r="H15" s="77">
        <f>1.633-G14</f>
        <v>1.5616666666666668</v>
      </c>
      <c r="I15" s="78">
        <f>1.657-G14</f>
        <v>1.5856666666666668</v>
      </c>
      <c r="J15" s="78">
        <f>1.644-G14</f>
        <v>1.5726666666666667</v>
      </c>
      <c r="K15" s="78">
        <f t="shared" ref="K15:K16" si="13">3.1582*H15</f>
        <v>4.9320556666666668</v>
      </c>
      <c r="L15" s="78">
        <f t="shared" si="11"/>
        <v>5.0078524666666668</v>
      </c>
      <c r="M15" s="78">
        <f t="shared" si="11"/>
        <v>4.9667958666666667</v>
      </c>
      <c r="N15" s="78">
        <f t="shared" si="6"/>
        <v>4.9689013333333332</v>
      </c>
      <c r="O15" s="78">
        <f t="shared" si="12"/>
        <v>0.24844506666666666</v>
      </c>
      <c r="P15" s="78">
        <f t="shared" si="2"/>
        <v>1.774607619047619E-2</v>
      </c>
      <c r="Q15" s="78">
        <f t="shared" si="3"/>
        <v>1.774607619047619E-2</v>
      </c>
      <c r="R15" s="78">
        <f t="shared" si="4"/>
        <v>1.1002567238095238</v>
      </c>
      <c r="S15" s="158"/>
      <c r="T15" s="57"/>
      <c r="U15" s="83"/>
      <c r="W15" s="57"/>
      <c r="X15" s="78"/>
      <c r="Y15" s="78"/>
      <c r="Z15" s="78"/>
      <c r="AA15" s="78"/>
    </row>
    <row r="16" spans="1:29" x14ac:dyDescent="0.15">
      <c r="B16" s="59"/>
      <c r="C16" s="170"/>
      <c r="D16" s="84"/>
      <c r="E16" s="57"/>
      <c r="F16" s="105" t="s">
        <v>107</v>
      </c>
      <c r="G16" s="166"/>
      <c r="H16" s="77">
        <f>1.597-G14</f>
        <v>1.5256666666666667</v>
      </c>
      <c r="I16" s="78">
        <f>1.648-G14</f>
        <v>1.5766666666666667</v>
      </c>
      <c r="J16" s="78">
        <f>1.656-G14</f>
        <v>1.5846666666666667</v>
      </c>
      <c r="K16" s="78">
        <f t="shared" si="13"/>
        <v>4.8183604666666664</v>
      </c>
      <c r="L16" s="78">
        <f t="shared" si="11"/>
        <v>4.9794286666666663</v>
      </c>
      <c r="M16" s="78">
        <f t="shared" si="11"/>
        <v>5.0046942666666663</v>
      </c>
      <c r="N16" s="78">
        <f t="shared" si="6"/>
        <v>4.9341611333333324</v>
      </c>
      <c r="O16" s="78">
        <f t="shared" si="12"/>
        <v>0.24670805666666662</v>
      </c>
      <c r="P16" s="78">
        <f t="shared" si="2"/>
        <v>1.7622004047619044E-2</v>
      </c>
      <c r="Q16" s="78">
        <f t="shared" si="3"/>
        <v>1.7622004047619044E-2</v>
      </c>
      <c r="R16" s="78">
        <f t="shared" si="4"/>
        <v>1.0925642509523807</v>
      </c>
      <c r="S16" s="124">
        <f>AVERAGE(R14:R16)</f>
        <v>1.0931858649206347</v>
      </c>
      <c r="T16" s="78">
        <f>STDEV(R14:R16)</f>
        <v>6.7814529932177306E-3</v>
      </c>
      <c r="U16" s="121">
        <f>T16/SQRT(3)</f>
        <v>3.9152737111310502E-3</v>
      </c>
      <c r="W16" s="154"/>
      <c r="X16" s="154"/>
      <c r="Y16" s="154"/>
      <c r="Z16" s="78"/>
      <c r="AA16" s="78"/>
    </row>
    <row r="17" spans="2:27" x14ac:dyDescent="0.15">
      <c r="B17" s="59" t="s">
        <v>32</v>
      </c>
      <c r="C17" s="170">
        <v>0.41805555555555557</v>
      </c>
      <c r="D17" s="84">
        <v>190.53333333333336</v>
      </c>
      <c r="E17" s="57">
        <v>9</v>
      </c>
      <c r="F17" s="105" t="s">
        <v>105</v>
      </c>
      <c r="G17" s="166">
        <v>7.3999999999999996E-2</v>
      </c>
      <c r="H17" s="77">
        <f>1.491-G17</f>
        <v>1.417</v>
      </c>
      <c r="I17" s="78">
        <f>1.521-G17</f>
        <v>1.4469999999999998</v>
      </c>
      <c r="J17" s="78">
        <f>1.537-G17</f>
        <v>1.4629999999999999</v>
      </c>
      <c r="K17" s="78">
        <f>3.0993*H17</f>
        <v>4.3917080999999998</v>
      </c>
      <c r="L17" s="78">
        <f t="shared" ref="L17:M19" si="14">3.0993*I17</f>
        <v>4.4846870999999995</v>
      </c>
      <c r="M17" s="78">
        <f t="shared" si="14"/>
        <v>4.5342758999999999</v>
      </c>
      <c r="N17" s="78">
        <f t="shared" si="6"/>
        <v>4.4702236999999991</v>
      </c>
      <c r="O17" s="78">
        <f t="shared" si="12"/>
        <v>0.22351118499999995</v>
      </c>
      <c r="P17" s="78">
        <f t="shared" si="2"/>
        <v>1.596508464285714E-2</v>
      </c>
      <c r="Q17" s="78">
        <f t="shared" si="3"/>
        <v>1.596508464285714E-2</v>
      </c>
      <c r="R17" s="78">
        <f t="shared" si="4"/>
        <v>0.98983524785714272</v>
      </c>
      <c r="S17" s="158"/>
      <c r="T17" s="57"/>
      <c r="U17" s="83"/>
      <c r="Z17" s="78"/>
      <c r="AA17" s="78"/>
    </row>
    <row r="18" spans="2:27" x14ac:dyDescent="0.15">
      <c r="B18" s="59"/>
      <c r="C18" s="170"/>
      <c r="D18" s="84"/>
      <c r="E18" s="57"/>
      <c r="F18" s="105" t="s">
        <v>106</v>
      </c>
      <c r="G18" s="166"/>
      <c r="H18" s="77">
        <f>1.572-G17</f>
        <v>1.498</v>
      </c>
      <c r="I18" s="78">
        <f>1.542-G17</f>
        <v>1.468</v>
      </c>
      <c r="J18" s="78">
        <f>1.553-G17</f>
        <v>1.4789999999999999</v>
      </c>
      <c r="K18" s="78">
        <f t="shared" ref="K18:K19" si="15">3.0993*H18</f>
        <v>4.6427513999999999</v>
      </c>
      <c r="L18" s="78">
        <f t="shared" si="14"/>
        <v>4.5497724000000002</v>
      </c>
      <c r="M18" s="78">
        <f t="shared" si="14"/>
        <v>4.5838646999999995</v>
      </c>
      <c r="N18" s="78">
        <f t="shared" si="6"/>
        <v>4.5921294999999995</v>
      </c>
      <c r="O18" s="78">
        <f t="shared" si="12"/>
        <v>0.22960647499999998</v>
      </c>
      <c r="P18" s="78">
        <f t="shared" si="2"/>
        <v>1.6400462499999997E-2</v>
      </c>
      <c r="Q18" s="78">
        <f t="shared" si="3"/>
        <v>1.6400462499999997E-2</v>
      </c>
      <c r="R18" s="78">
        <f t="shared" si="4"/>
        <v>1.0168286749999997</v>
      </c>
      <c r="S18" s="158"/>
      <c r="T18" s="57"/>
      <c r="U18" s="83"/>
      <c r="Z18" s="78"/>
      <c r="AA18" s="78"/>
    </row>
    <row r="19" spans="2:27" x14ac:dyDescent="0.15">
      <c r="B19" s="59"/>
      <c r="C19" s="170"/>
      <c r="D19" s="84"/>
      <c r="E19" s="57"/>
      <c r="F19" s="105" t="s">
        <v>107</v>
      </c>
      <c r="G19" s="166"/>
      <c r="H19" s="77">
        <f>1.588-G17</f>
        <v>1.514</v>
      </c>
      <c r="I19" s="78">
        <f>1.493-G17</f>
        <v>1.419</v>
      </c>
      <c r="J19" s="78">
        <f>1.531-G17</f>
        <v>1.4569999999999999</v>
      </c>
      <c r="K19" s="78">
        <f t="shared" si="15"/>
        <v>4.6923402000000003</v>
      </c>
      <c r="L19" s="78">
        <f t="shared" si="14"/>
        <v>4.3979067000000001</v>
      </c>
      <c r="M19" s="78">
        <f t="shared" si="14"/>
        <v>4.5156800999999991</v>
      </c>
      <c r="N19" s="78">
        <f t="shared" si="6"/>
        <v>4.5353089999999998</v>
      </c>
      <c r="O19" s="78">
        <f t="shared" si="12"/>
        <v>0.22676544999999998</v>
      </c>
      <c r="P19" s="78">
        <f t="shared" si="2"/>
        <v>1.619753214285714E-2</v>
      </c>
      <c r="Q19" s="78">
        <f t="shared" si="3"/>
        <v>1.619753214285714E-2</v>
      </c>
      <c r="R19" s="78">
        <f t="shared" si="4"/>
        <v>1.0042469928571427</v>
      </c>
      <c r="S19" s="159">
        <f>AVERAGE(R17:R19)</f>
        <v>1.0036369719047615</v>
      </c>
      <c r="T19" s="78">
        <f>STDEV(R17:R19)</f>
        <v>1.3507048952341156E-2</v>
      </c>
      <c r="U19" s="121">
        <f>T19/SQRT(3)</f>
        <v>7.7982983485916195E-3</v>
      </c>
      <c r="Z19" s="78"/>
      <c r="AA19" s="78"/>
    </row>
    <row r="20" spans="2:27" x14ac:dyDescent="0.15">
      <c r="B20" s="131" t="s">
        <v>34</v>
      </c>
      <c r="C20" s="172">
        <v>0.43472222222222223</v>
      </c>
      <c r="D20" s="169">
        <v>238.93333333333334</v>
      </c>
      <c r="E20" s="104">
        <v>11</v>
      </c>
      <c r="F20" s="105" t="s">
        <v>105</v>
      </c>
      <c r="G20" s="166">
        <v>6.533333333333334E-2</v>
      </c>
      <c r="H20" s="96">
        <f>1.76-G20</f>
        <v>1.6946666666666668</v>
      </c>
      <c r="I20" s="97">
        <f>1.477-G20</f>
        <v>1.4116666666666668</v>
      </c>
      <c r="J20" s="97">
        <f>1.097-G20</f>
        <v>1.0316666666666667</v>
      </c>
      <c r="K20" s="78">
        <f>3.3959*H20</f>
        <v>5.7549185333333339</v>
      </c>
      <c r="L20" s="78">
        <f t="shared" ref="L20:M22" si="16">3.3959*I20</f>
        <v>4.7938788333333342</v>
      </c>
      <c r="M20" s="78">
        <f t="shared" si="16"/>
        <v>3.5034368333333337</v>
      </c>
      <c r="N20" s="78">
        <f t="shared" si="6"/>
        <v>4.6840780666666673</v>
      </c>
      <c r="O20" s="78">
        <f t="shared" si="12"/>
        <v>0.23420390333333335</v>
      </c>
      <c r="P20" s="78">
        <f t="shared" si="2"/>
        <v>1.6728850238095238E-2</v>
      </c>
      <c r="Q20" s="78">
        <f t="shared" si="3"/>
        <v>1.6728850238095238E-2</v>
      </c>
      <c r="R20" s="78">
        <f t="shared" si="4"/>
        <v>1.0371887147619048</v>
      </c>
      <c r="S20" s="122"/>
      <c r="T20" s="97"/>
      <c r="U20" s="123"/>
      <c r="Z20" s="78"/>
      <c r="AA20" s="78"/>
    </row>
    <row r="21" spans="2:27" x14ac:dyDescent="0.15">
      <c r="B21" s="59"/>
      <c r="C21" s="170"/>
      <c r="D21" s="84"/>
      <c r="E21" s="57"/>
      <c r="F21" s="105" t="s">
        <v>106</v>
      </c>
      <c r="G21" s="166"/>
      <c r="H21" s="77">
        <f>1.14-G20</f>
        <v>1.0746666666666667</v>
      </c>
      <c r="I21" s="78">
        <f>1.058-G20</f>
        <v>0.9926666666666667</v>
      </c>
      <c r="J21" s="78">
        <f>1.056-G20</f>
        <v>0.9906666666666667</v>
      </c>
      <c r="K21" s="78">
        <f t="shared" ref="K21:K22" si="17">3.3959*H21</f>
        <v>3.6494605333333334</v>
      </c>
      <c r="L21" s="78">
        <f t="shared" si="16"/>
        <v>3.3709967333333335</v>
      </c>
      <c r="M21" s="78">
        <f t="shared" si="16"/>
        <v>3.3642049333333337</v>
      </c>
      <c r="N21" s="78">
        <f t="shared" si="6"/>
        <v>3.4615540666666669</v>
      </c>
      <c r="O21" s="78">
        <f t="shared" si="12"/>
        <v>0.17307770333333333</v>
      </c>
      <c r="P21" s="78">
        <f t="shared" si="2"/>
        <v>1.2362693095238094E-2</v>
      </c>
      <c r="Q21" s="78">
        <f t="shared" si="3"/>
        <v>1.2362693095238094E-2</v>
      </c>
      <c r="R21" s="78">
        <f t="shared" si="4"/>
        <v>0.76648697190476189</v>
      </c>
      <c r="S21" s="159"/>
      <c r="T21" s="78"/>
      <c r="U21" s="121"/>
      <c r="Z21" s="78"/>
      <c r="AA21" s="78"/>
    </row>
    <row r="22" spans="2:27" x14ac:dyDescent="0.15">
      <c r="B22" s="59"/>
      <c r="C22" s="170"/>
      <c r="D22" s="84"/>
      <c r="E22" s="57"/>
      <c r="F22" s="105" t="s">
        <v>107</v>
      </c>
      <c r="G22" s="166"/>
      <c r="H22" s="77">
        <f>1.001-G20</f>
        <v>0.93566666666666654</v>
      </c>
      <c r="I22" s="78">
        <f>1.041-G20</f>
        <v>0.97566666666666657</v>
      </c>
      <c r="J22" s="78">
        <f>1.063-G20</f>
        <v>0.99766666666666659</v>
      </c>
      <c r="K22" s="78">
        <f t="shared" si="17"/>
        <v>3.177430433333333</v>
      </c>
      <c r="L22" s="78">
        <f t="shared" si="16"/>
        <v>3.3132664333333333</v>
      </c>
      <c r="M22" s="78">
        <f t="shared" si="16"/>
        <v>3.3879762333333332</v>
      </c>
      <c r="N22" s="78">
        <f t="shared" si="6"/>
        <v>3.2928910333333334</v>
      </c>
      <c r="O22" s="78">
        <f t="shared" si="12"/>
        <v>0.16464455166666667</v>
      </c>
      <c r="P22" s="78">
        <f t="shared" si="2"/>
        <v>1.1760325119047619E-2</v>
      </c>
      <c r="Q22" s="78">
        <f t="shared" si="3"/>
        <v>1.1760325119047619E-2</v>
      </c>
      <c r="R22" s="78">
        <f t="shared" si="4"/>
        <v>0.72914015738095239</v>
      </c>
      <c r="S22" s="124">
        <f>AVERAGE(R20:R22)</f>
        <v>0.84427194801587302</v>
      </c>
      <c r="T22" s="78">
        <f>STDEV(R20:R22)</f>
        <v>0.16811113974860767</v>
      </c>
      <c r="U22" s="121">
        <f>T22/SQRT(3)</f>
        <v>9.7059011787633445E-2</v>
      </c>
      <c r="Z22" s="78"/>
      <c r="AA22" s="78"/>
    </row>
    <row r="23" spans="2:27" x14ac:dyDescent="0.15">
      <c r="B23" s="59" t="s">
        <v>36</v>
      </c>
      <c r="C23" s="170">
        <v>0.4548611111111111</v>
      </c>
      <c r="D23" s="84">
        <v>287.41666666666669</v>
      </c>
      <c r="E23" s="57">
        <v>13</v>
      </c>
      <c r="F23" s="105" t="s">
        <v>105</v>
      </c>
      <c r="G23" s="166">
        <v>6.9666666666666668E-2</v>
      </c>
      <c r="H23" s="77">
        <f>0.974-G23</f>
        <v>0.90433333333333332</v>
      </c>
      <c r="I23" s="78">
        <f>0.987-G23</f>
        <v>0.91733333333333333</v>
      </c>
      <c r="J23" s="78">
        <f>0.977-G23</f>
        <v>0.90733333333333333</v>
      </c>
      <c r="K23" s="78">
        <f>3.5976*H23</f>
        <v>3.2534296</v>
      </c>
      <c r="L23" s="78">
        <f t="shared" ref="L23:M25" si="18">3.5976*I23</f>
        <v>3.3001983999999998</v>
      </c>
      <c r="M23" s="78">
        <f t="shared" si="18"/>
        <v>3.2642224</v>
      </c>
      <c r="N23" s="78">
        <f t="shared" si="6"/>
        <v>3.2726167999999998</v>
      </c>
      <c r="O23" s="78">
        <f t="shared" si="12"/>
        <v>0.16363084</v>
      </c>
      <c r="P23" s="78">
        <f t="shared" si="2"/>
        <v>1.1687917142857144E-2</v>
      </c>
      <c r="Q23" s="78">
        <f t="shared" si="3"/>
        <v>1.1687917142857144E-2</v>
      </c>
      <c r="R23" s="78">
        <f t="shared" si="4"/>
        <v>0.72465086285714286</v>
      </c>
      <c r="S23" s="159"/>
      <c r="T23" s="78"/>
      <c r="U23" s="121"/>
      <c r="Z23" s="78"/>
      <c r="AA23" s="78"/>
    </row>
    <row r="24" spans="2:27" x14ac:dyDescent="0.15">
      <c r="B24" s="59"/>
      <c r="C24" s="170"/>
      <c r="D24" s="84"/>
      <c r="E24" s="57"/>
      <c r="F24" s="105" t="s">
        <v>106</v>
      </c>
      <c r="G24" s="166"/>
      <c r="H24" s="77">
        <f>0.98-G23</f>
        <v>0.91033333333333333</v>
      </c>
      <c r="I24" s="78">
        <f>0.931-G23</f>
        <v>0.8613333333333334</v>
      </c>
      <c r="J24" s="78">
        <f>0.98-G23</f>
        <v>0.91033333333333333</v>
      </c>
      <c r="K24" s="78">
        <f t="shared" ref="K24:K25" si="19">3.5976*H24</f>
        <v>3.2750151999999999</v>
      </c>
      <c r="L24" s="78">
        <f t="shared" si="18"/>
        <v>3.0987328000000001</v>
      </c>
      <c r="M24" s="78">
        <f t="shared" si="18"/>
        <v>3.2750151999999999</v>
      </c>
      <c r="N24" s="78">
        <f t="shared" si="6"/>
        <v>3.2162544</v>
      </c>
      <c r="O24" s="78">
        <f t="shared" si="12"/>
        <v>0.16081271999999999</v>
      </c>
      <c r="P24" s="78">
        <f t="shared" si="2"/>
        <v>1.1486622857142857E-2</v>
      </c>
      <c r="Q24" s="78">
        <f t="shared" si="3"/>
        <v>1.1486622857142857E-2</v>
      </c>
      <c r="R24" s="78">
        <f t="shared" si="4"/>
        <v>0.71217061714285712</v>
      </c>
      <c r="S24" s="159"/>
      <c r="T24" s="78"/>
      <c r="U24" s="121"/>
      <c r="Z24" s="78"/>
      <c r="AA24" s="78"/>
    </row>
    <row r="25" spans="2:27" x14ac:dyDescent="0.15">
      <c r="B25" s="59"/>
      <c r="C25" s="170"/>
      <c r="D25" s="84"/>
      <c r="E25" s="57"/>
      <c r="F25" s="105" t="s">
        <v>107</v>
      </c>
      <c r="G25" s="166"/>
      <c r="H25" s="77">
        <f>0.983-G23</f>
        <v>0.91333333333333333</v>
      </c>
      <c r="I25" s="78">
        <f>0.99-G23</f>
        <v>0.92033333333333334</v>
      </c>
      <c r="J25" s="78">
        <f>0.99-G23</f>
        <v>0.92033333333333334</v>
      </c>
      <c r="K25" s="78">
        <f t="shared" si="19"/>
        <v>3.2858079999999998</v>
      </c>
      <c r="L25" s="78">
        <f t="shared" si="18"/>
        <v>3.3109912000000001</v>
      </c>
      <c r="M25" s="78">
        <f t="shared" si="18"/>
        <v>3.3109912000000001</v>
      </c>
      <c r="N25" s="78">
        <f t="shared" si="6"/>
        <v>3.3025967999999999</v>
      </c>
      <c r="O25" s="78">
        <f t="shared" si="12"/>
        <v>0.16512984</v>
      </c>
      <c r="P25" s="78">
        <f t="shared" si="2"/>
        <v>1.1794988571428572E-2</v>
      </c>
      <c r="Q25" s="78">
        <f t="shared" si="3"/>
        <v>1.1794988571428572E-2</v>
      </c>
      <c r="R25" s="78">
        <f t="shared" si="4"/>
        <v>0.73128929142857146</v>
      </c>
      <c r="S25" s="159">
        <f>AVERAGE(R23:R25)</f>
        <v>0.72270359047619037</v>
      </c>
      <c r="T25" s="78">
        <f>STDEV(R23:R25)</f>
        <v>9.7069474555610772E-3</v>
      </c>
      <c r="U25" s="121">
        <f>T25/SQRT(3)</f>
        <v>5.6043087264777414E-3</v>
      </c>
    </row>
    <row r="26" spans="2:27" x14ac:dyDescent="0.15">
      <c r="B26" s="131" t="s">
        <v>38</v>
      </c>
      <c r="C26" s="172">
        <v>0.43472222222222223</v>
      </c>
      <c r="D26" s="169">
        <v>334.93333333333334</v>
      </c>
      <c r="E26" s="104">
        <v>15</v>
      </c>
      <c r="F26" s="105" t="s">
        <v>105</v>
      </c>
      <c r="G26" s="166">
        <v>7.2333333333333319E-2</v>
      </c>
      <c r="H26" s="96">
        <f>0.997-G26</f>
        <v>0.92466666666666664</v>
      </c>
      <c r="I26" s="97">
        <f>1.144-G26</f>
        <v>1.0716666666666665</v>
      </c>
      <c r="J26" s="97">
        <f>1.109-G23</f>
        <v>1.0393333333333332</v>
      </c>
      <c r="K26" s="78">
        <f>3.9395*H26</f>
        <v>3.6427243333333332</v>
      </c>
      <c r="L26" s="78">
        <f t="shared" ref="L26:M28" si="20">3.9395*I26</f>
        <v>4.2218308333333328</v>
      </c>
      <c r="M26" s="78">
        <f t="shared" si="20"/>
        <v>4.0944536666666664</v>
      </c>
      <c r="N26" s="78">
        <f t="shared" si="6"/>
        <v>3.9863362777777773</v>
      </c>
      <c r="O26" s="78">
        <f>N26/25</f>
        <v>0.15945345111111109</v>
      </c>
      <c r="P26" s="78">
        <f t="shared" si="2"/>
        <v>1.1389532222222221E-2</v>
      </c>
      <c r="Q26" s="78">
        <f t="shared" si="3"/>
        <v>1.1389532222222221E-2</v>
      </c>
      <c r="R26" s="78">
        <f t="shared" si="4"/>
        <v>0.70615099777777768</v>
      </c>
      <c r="S26" s="126"/>
      <c r="T26" s="104"/>
      <c r="U26" s="127"/>
    </row>
    <row r="27" spans="2:27" x14ac:dyDescent="0.15">
      <c r="B27" s="59"/>
      <c r="C27" s="170"/>
      <c r="D27" s="84"/>
      <c r="E27" s="57"/>
      <c r="F27" s="105" t="s">
        <v>106</v>
      </c>
      <c r="G27" s="166"/>
      <c r="H27" s="77">
        <f>0.942-G26</f>
        <v>0.86966666666666659</v>
      </c>
      <c r="I27" s="78">
        <f>0.993-G26</f>
        <v>0.92066666666666663</v>
      </c>
      <c r="J27" s="78">
        <f>0.993-G26</f>
        <v>0.92066666666666663</v>
      </c>
      <c r="K27" s="78">
        <f t="shared" ref="K27:K28" si="21">3.9395*H27</f>
        <v>3.4260518333333327</v>
      </c>
      <c r="L27" s="78">
        <f t="shared" si="20"/>
        <v>3.6269663333333328</v>
      </c>
      <c r="M27" s="78">
        <f t="shared" si="20"/>
        <v>3.6269663333333328</v>
      </c>
      <c r="N27" s="78">
        <f t="shared" si="6"/>
        <v>3.5599948333333331</v>
      </c>
      <c r="O27" s="78">
        <f>N27/25</f>
        <v>0.14239979333333333</v>
      </c>
      <c r="P27" s="78">
        <f t="shared" si="2"/>
        <v>1.017141380952381E-2</v>
      </c>
      <c r="Q27" s="78">
        <f t="shared" si="3"/>
        <v>1.017141380952381E-2</v>
      </c>
      <c r="R27" s="78">
        <f t="shared" si="4"/>
        <v>0.63062765619047623</v>
      </c>
      <c r="S27" s="158"/>
      <c r="T27" s="57"/>
      <c r="U27" s="83"/>
    </row>
    <row r="28" spans="2:27" x14ac:dyDescent="0.15">
      <c r="B28" s="59"/>
      <c r="C28" s="170"/>
      <c r="D28" s="84"/>
      <c r="E28" s="57"/>
      <c r="F28" s="105" t="s">
        <v>107</v>
      </c>
      <c r="G28" s="166"/>
      <c r="H28" s="77">
        <f>0.885-G26</f>
        <v>0.81266666666666665</v>
      </c>
      <c r="I28" s="78">
        <f>0.972-G26</f>
        <v>0.89966666666666661</v>
      </c>
      <c r="J28" s="78">
        <f>0.991-G26</f>
        <v>0.91866666666666663</v>
      </c>
      <c r="K28" s="78">
        <f t="shared" si="21"/>
        <v>3.2015003333333332</v>
      </c>
      <c r="L28" s="78">
        <f t="shared" si="20"/>
        <v>3.5442368333333327</v>
      </c>
      <c r="M28" s="78">
        <f t="shared" si="20"/>
        <v>3.6190873333333329</v>
      </c>
      <c r="N28" s="78">
        <f t="shared" si="6"/>
        <v>3.4549414999999999</v>
      </c>
      <c r="O28" s="78">
        <f>N28/25</f>
        <v>0.13819766</v>
      </c>
      <c r="P28" s="78">
        <f t="shared" si="2"/>
        <v>9.8712614285714293E-3</v>
      </c>
      <c r="Q28" s="78">
        <f t="shared" si="3"/>
        <v>9.8712614285714293E-3</v>
      </c>
      <c r="R28" s="78">
        <f t="shared" si="4"/>
        <v>0.61201820857142863</v>
      </c>
      <c r="S28" s="124">
        <f>AVERAGE(R26:R28)</f>
        <v>0.64959895417989422</v>
      </c>
      <c r="T28" s="78">
        <f>STDEV(R26:R28)</f>
        <v>4.9851560772900642E-2</v>
      </c>
      <c r="U28" s="121">
        <f>T28/SQRT(3)</f>
        <v>2.8781812031757177E-2</v>
      </c>
    </row>
    <row r="29" spans="2:27" x14ac:dyDescent="0.15">
      <c r="B29" s="59" t="s">
        <v>42</v>
      </c>
      <c r="C29" s="170">
        <v>0.4597222222222222</v>
      </c>
      <c r="D29" s="84">
        <v>431.53333333333336</v>
      </c>
      <c r="E29" s="57">
        <v>19</v>
      </c>
      <c r="F29" s="105" t="s">
        <v>105</v>
      </c>
      <c r="G29" s="166">
        <v>6.6333333333333341E-2</v>
      </c>
      <c r="H29" s="77">
        <f>0.79-G29</f>
        <v>0.72366666666666668</v>
      </c>
      <c r="I29" s="78">
        <f>0.736-G29</f>
        <v>0.66966666666666663</v>
      </c>
      <c r="J29" s="78">
        <f>0.737-G29</f>
        <v>0.67066666666666663</v>
      </c>
      <c r="K29" s="78">
        <f>4.0992*H29</f>
        <v>2.9664543999999999</v>
      </c>
      <c r="L29" s="78">
        <f t="shared" ref="L29:M31" si="22">4.0992*I29</f>
        <v>2.7450975999999998</v>
      </c>
      <c r="M29" s="78">
        <f t="shared" si="22"/>
        <v>2.7491967999999996</v>
      </c>
      <c r="N29" s="78">
        <f t="shared" si="6"/>
        <v>2.8202495999999999</v>
      </c>
      <c r="O29" s="78">
        <f t="shared" ref="O29:O31" si="23">N29/25</f>
        <v>0.112809984</v>
      </c>
      <c r="P29" s="78">
        <f t="shared" si="2"/>
        <v>8.0578560000000004E-3</v>
      </c>
      <c r="Q29" s="78">
        <f t="shared" si="3"/>
        <v>8.0578560000000004E-3</v>
      </c>
      <c r="R29" s="78">
        <f t="shared" si="4"/>
        <v>0.49958707200000002</v>
      </c>
      <c r="S29" s="158"/>
      <c r="T29" s="57"/>
      <c r="U29" s="83"/>
    </row>
    <row r="30" spans="2:27" x14ac:dyDescent="0.15">
      <c r="B30" s="59"/>
      <c r="C30" s="170"/>
      <c r="E30" s="57"/>
      <c r="F30" s="105" t="s">
        <v>106</v>
      </c>
      <c r="G30" s="105"/>
      <c r="H30" s="77">
        <f>0.829-G29</f>
        <v>0.7626666666666666</v>
      </c>
      <c r="I30" s="78">
        <f>0.849-G29</f>
        <v>0.78266666666666662</v>
      </c>
      <c r="J30" s="78">
        <f>0.899-G29</f>
        <v>0.83266666666666667</v>
      </c>
      <c r="K30" s="78">
        <f t="shared" ref="K30:K31" si="24">4.0992*H30</f>
        <v>3.1263231999999994</v>
      </c>
      <c r="L30" s="78">
        <f t="shared" si="22"/>
        <v>3.2083071999999997</v>
      </c>
      <c r="M30" s="78">
        <f t="shared" si="22"/>
        <v>3.4132671999999999</v>
      </c>
      <c r="N30" s="78">
        <f t="shared" si="6"/>
        <v>3.2492991999999994</v>
      </c>
      <c r="O30" s="78">
        <f t="shared" si="23"/>
        <v>0.12997196799999997</v>
      </c>
      <c r="P30" s="78">
        <f t="shared" si="2"/>
        <v>9.2837119999999978E-3</v>
      </c>
      <c r="Q30" s="78">
        <f t="shared" si="3"/>
        <v>9.2837119999999978E-3</v>
      </c>
      <c r="R30" s="78">
        <f t="shared" si="4"/>
        <v>0.57559014399999986</v>
      </c>
      <c r="S30" s="158"/>
      <c r="T30" s="57"/>
      <c r="U30" s="83"/>
    </row>
    <row r="31" spans="2:27" ht="14" thickBot="1" x14ac:dyDescent="0.2">
      <c r="B31" s="138"/>
      <c r="C31" s="160"/>
      <c r="D31" s="160"/>
      <c r="E31" s="160"/>
      <c r="F31" s="105" t="s">
        <v>107</v>
      </c>
      <c r="G31" s="161"/>
      <c r="H31" s="145">
        <f>0.838-G29</f>
        <v>0.77166666666666661</v>
      </c>
      <c r="I31" s="106">
        <f>0.893-G29</f>
        <v>0.82666666666666666</v>
      </c>
      <c r="J31" s="106">
        <f>0.848-G29</f>
        <v>0.78166666666666662</v>
      </c>
      <c r="K31" s="106">
        <f t="shared" si="24"/>
        <v>3.1632159999999994</v>
      </c>
      <c r="L31" s="106">
        <f t="shared" si="22"/>
        <v>3.3886719999999997</v>
      </c>
      <c r="M31" s="106">
        <f t="shared" si="22"/>
        <v>3.2042079999999995</v>
      </c>
      <c r="N31" s="106">
        <f t="shared" si="6"/>
        <v>3.2520319999999998</v>
      </c>
      <c r="O31" s="106">
        <f t="shared" si="23"/>
        <v>0.13008127999999999</v>
      </c>
      <c r="P31" s="106">
        <f t="shared" si="2"/>
        <v>9.2915199999999993E-3</v>
      </c>
      <c r="Q31" s="106">
        <f t="shared" si="3"/>
        <v>9.2915199999999993E-3</v>
      </c>
      <c r="R31" s="106">
        <f t="shared" si="4"/>
        <v>0.57607423999999996</v>
      </c>
      <c r="S31" s="162">
        <f>AVERAGE(R29:R31)</f>
        <v>0.55041715199999997</v>
      </c>
      <c r="T31" s="106">
        <f>STDEV(R29:R31)</f>
        <v>4.4020806010784244E-2</v>
      </c>
      <c r="U31" s="144">
        <f>T31/SQRT(3)</f>
        <v>2.541542420027058E-2</v>
      </c>
    </row>
    <row r="32" spans="2:27" ht="17" thickBot="1" x14ac:dyDescent="0.2">
      <c r="B32" s="261" t="s">
        <v>78</v>
      </c>
      <c r="C32" s="262"/>
      <c r="D32" s="262"/>
      <c r="E32" s="262"/>
      <c r="F32" s="262"/>
      <c r="G32" s="262"/>
      <c r="H32" s="262"/>
      <c r="I32" s="262"/>
      <c r="J32" s="262"/>
      <c r="K32" s="262"/>
      <c r="L32" s="262"/>
      <c r="M32" s="262"/>
      <c r="N32" s="262"/>
      <c r="O32" s="262"/>
      <c r="P32" s="262"/>
      <c r="Q32" s="262"/>
      <c r="R32" s="262"/>
      <c r="S32" s="262"/>
      <c r="T32" s="262"/>
      <c r="U32" s="263"/>
      <c r="W32" s="257" t="s">
        <v>113</v>
      </c>
      <c r="X32" s="257"/>
      <c r="Y32" s="257"/>
    </row>
    <row r="33" spans="2:29" ht="30" x14ac:dyDescent="0.15">
      <c r="B33" s="114" t="s">
        <v>0</v>
      </c>
      <c r="C33" s="66" t="s">
        <v>1</v>
      </c>
      <c r="D33" s="66" t="s">
        <v>2</v>
      </c>
      <c r="E33" s="117" t="s">
        <v>17</v>
      </c>
      <c r="F33" s="116"/>
      <c r="G33" s="116" t="s">
        <v>18</v>
      </c>
      <c r="H33" s="258" t="s">
        <v>19</v>
      </c>
      <c r="I33" s="259"/>
      <c r="J33" s="259"/>
      <c r="K33" s="260" t="s">
        <v>103</v>
      </c>
      <c r="L33" s="260"/>
      <c r="M33" s="260"/>
      <c r="N33" s="66" t="s">
        <v>20</v>
      </c>
      <c r="O33" s="66" t="s">
        <v>21</v>
      </c>
      <c r="P33" s="66" t="s">
        <v>21</v>
      </c>
      <c r="Q33" s="66" t="s">
        <v>101</v>
      </c>
      <c r="R33" s="117" t="s">
        <v>101</v>
      </c>
      <c r="S33" s="66" t="s">
        <v>102</v>
      </c>
      <c r="T33" s="66" t="s">
        <v>89</v>
      </c>
      <c r="U33" s="115" t="s">
        <v>71</v>
      </c>
      <c r="W33" s="57" t="s">
        <v>2</v>
      </c>
      <c r="X33" s="76" t="str">
        <f>S33</f>
        <v>Average NO3 concentration</v>
      </c>
      <c r="Y33" s="76" t="str">
        <f>U33</f>
        <v>Standard error</v>
      </c>
      <c r="Z33" s="57"/>
      <c r="AA33" s="57"/>
    </row>
    <row r="34" spans="2:29" ht="14" x14ac:dyDescent="0.15">
      <c r="B34" s="119"/>
      <c r="C34" s="156"/>
      <c r="D34" s="157"/>
      <c r="E34" s="157"/>
      <c r="F34" s="120"/>
      <c r="G34" s="120"/>
      <c r="H34" s="157"/>
      <c r="I34" s="157"/>
      <c r="J34" s="157"/>
      <c r="K34" s="74"/>
      <c r="L34" s="74"/>
      <c r="M34" s="74"/>
      <c r="N34" s="74" t="s">
        <v>22</v>
      </c>
      <c r="O34" s="74" t="s">
        <v>15</v>
      </c>
      <c r="P34" s="74" t="s">
        <v>23</v>
      </c>
      <c r="Q34" s="74" t="s">
        <v>23</v>
      </c>
      <c r="R34" s="72" t="s">
        <v>15</v>
      </c>
      <c r="S34" s="74" t="s">
        <v>15</v>
      </c>
      <c r="T34" s="74"/>
      <c r="U34" s="70"/>
      <c r="W34" s="84">
        <v>0</v>
      </c>
      <c r="X34" s="78">
        <f>S37</f>
        <v>1.5038745193650793</v>
      </c>
      <c r="Y34" s="78">
        <f>U37</f>
        <v>0.16424449358089532</v>
      </c>
      <c r="Z34" s="78"/>
      <c r="AA34" s="118"/>
      <c r="AB34" s="118"/>
      <c r="AC34" s="118"/>
    </row>
    <row r="35" spans="2:29" x14ac:dyDescent="0.15">
      <c r="B35" s="173" t="s">
        <v>24</v>
      </c>
      <c r="C35" s="170">
        <v>0.52083333333333337</v>
      </c>
      <c r="D35" s="84">
        <v>0</v>
      </c>
      <c r="E35" s="57">
        <v>1</v>
      </c>
      <c r="F35" s="164" t="s">
        <v>105</v>
      </c>
      <c r="G35" s="174">
        <v>6.4666666666666664E-2</v>
      </c>
      <c r="H35" s="128">
        <v>1.63</v>
      </c>
      <c r="I35" s="129">
        <v>1.663</v>
      </c>
      <c r="J35" s="129">
        <v>1.63</v>
      </c>
      <c r="K35" s="78">
        <f>3.0288*H35</f>
        <v>4.9369439999999996</v>
      </c>
      <c r="L35" s="78">
        <f t="shared" ref="L35:M37" si="25">3.0288*I35</f>
        <v>5.0368944000000004</v>
      </c>
      <c r="M35" s="78">
        <f t="shared" si="25"/>
        <v>4.9369439999999996</v>
      </c>
      <c r="N35" s="78">
        <f>AVERAGE(K35:M35)</f>
        <v>4.9702607999999993</v>
      </c>
      <c r="O35" s="78">
        <f>N35/15</f>
        <v>0.33135071999999993</v>
      </c>
      <c r="P35" s="78">
        <f>O35/14</f>
        <v>2.3667908571428566E-2</v>
      </c>
      <c r="Q35" s="78">
        <f>P35</f>
        <v>2.3667908571428566E-2</v>
      </c>
      <c r="R35" s="78">
        <f>Q35*62</f>
        <v>1.4674103314285711</v>
      </c>
      <c r="S35" s="158"/>
      <c r="T35" s="57"/>
      <c r="U35" s="83"/>
      <c r="W35" s="84">
        <f>D38</f>
        <v>45.733333333333334</v>
      </c>
      <c r="X35" s="78">
        <f>S40</f>
        <v>1.4139998999999996</v>
      </c>
      <c r="Y35" s="78">
        <f>U40</f>
        <v>4.5308282356376073E-2</v>
      </c>
      <c r="Z35" s="78"/>
      <c r="AA35" s="154"/>
      <c r="AB35" s="154"/>
      <c r="AC35" s="154"/>
    </row>
    <row r="36" spans="2:29" x14ac:dyDescent="0.15">
      <c r="B36" s="59"/>
      <c r="C36" s="170"/>
      <c r="D36" s="84"/>
      <c r="E36" s="57"/>
      <c r="F36" s="105" t="s">
        <v>106</v>
      </c>
      <c r="G36" s="134"/>
      <c r="H36" s="77">
        <v>1.9890000000000001</v>
      </c>
      <c r="I36" s="78">
        <v>2.0289999999999999</v>
      </c>
      <c r="J36" s="78">
        <v>2.0369999999999999</v>
      </c>
      <c r="K36" s="78">
        <f t="shared" ref="K36:K37" si="26">3.0288*H36</f>
        <v>6.0242832000000002</v>
      </c>
      <c r="L36" s="78">
        <f t="shared" si="25"/>
        <v>6.1454351999999997</v>
      </c>
      <c r="M36" s="78">
        <f t="shared" si="25"/>
        <v>6.1696655999999992</v>
      </c>
      <c r="N36" s="78">
        <f>AVERAGE(K36:M36)</f>
        <v>6.1131279999999997</v>
      </c>
      <c r="O36" s="78">
        <f t="shared" ref="O36:O40" si="27">N36/15</f>
        <v>0.40754186666666664</v>
      </c>
      <c r="P36" s="78">
        <f t="shared" ref="P36:P61" si="28">O36/14</f>
        <v>2.9110133333333333E-2</v>
      </c>
      <c r="Q36" s="78">
        <f t="shared" ref="Q36:Q61" si="29">P36</f>
        <v>2.9110133333333333E-2</v>
      </c>
      <c r="R36" s="78">
        <f t="shared" ref="R36:R61" si="30">Q36*62</f>
        <v>1.8048282666666666</v>
      </c>
      <c r="S36" s="158"/>
      <c r="T36" s="57"/>
      <c r="U36" s="83"/>
      <c r="W36" s="84">
        <f>D41</f>
        <v>96.6</v>
      </c>
      <c r="X36" s="78">
        <f>S43</f>
        <v>1.2376138266666665</v>
      </c>
      <c r="Y36" s="78">
        <f>U43</f>
        <v>1.215135750482978E-2</v>
      </c>
      <c r="Z36" s="78"/>
      <c r="AA36" s="154"/>
      <c r="AB36" s="154"/>
      <c r="AC36" s="154"/>
    </row>
    <row r="37" spans="2:29" x14ac:dyDescent="0.15">
      <c r="B37" s="59"/>
      <c r="C37" s="170"/>
      <c r="D37" s="84"/>
      <c r="E37" s="57"/>
      <c r="F37" s="105" t="s">
        <v>107</v>
      </c>
      <c r="G37" s="134"/>
      <c r="H37" s="77">
        <v>1.39</v>
      </c>
      <c r="I37" s="78">
        <v>1.3740000000000001</v>
      </c>
      <c r="J37" s="78">
        <v>1.3939999999999999</v>
      </c>
      <c r="K37" s="78">
        <f t="shared" si="26"/>
        <v>4.210032</v>
      </c>
      <c r="L37" s="78">
        <f t="shared" si="25"/>
        <v>4.1615712</v>
      </c>
      <c r="M37" s="78">
        <f t="shared" si="25"/>
        <v>4.2221471999999993</v>
      </c>
      <c r="N37" s="78">
        <f>AVERAGE(K37:M37)</f>
        <v>4.1979167999999989</v>
      </c>
      <c r="O37" s="78">
        <f t="shared" si="27"/>
        <v>0.27986111999999991</v>
      </c>
      <c r="P37" s="78">
        <f t="shared" si="28"/>
        <v>1.9990079999999993E-2</v>
      </c>
      <c r="Q37" s="78">
        <f t="shared" si="29"/>
        <v>1.9990079999999993E-2</v>
      </c>
      <c r="R37" s="78">
        <f t="shared" si="30"/>
        <v>1.2393849599999995</v>
      </c>
      <c r="S37" s="159">
        <f>AVERAGE(R35:R37)</f>
        <v>1.5038745193650793</v>
      </c>
      <c r="T37" s="78">
        <f>STDEV(R35:R37)</f>
        <v>0.284479807745531</v>
      </c>
      <c r="U37" s="121">
        <f>T37/SQRT(3)</f>
        <v>0.16424449358089532</v>
      </c>
      <c r="W37" s="84">
        <f>D44</f>
        <v>141.13333333333333</v>
      </c>
      <c r="X37" s="78">
        <f>S46</f>
        <v>1.0968378469841271</v>
      </c>
      <c r="Y37" s="78">
        <f>U46</f>
        <v>2.9291703246390136E-2</v>
      </c>
      <c r="Z37" s="78"/>
      <c r="AA37" s="154"/>
      <c r="AB37" s="154"/>
      <c r="AC37" s="154"/>
    </row>
    <row r="38" spans="2:29" x14ac:dyDescent="0.15">
      <c r="B38" s="173" t="s">
        <v>26</v>
      </c>
      <c r="C38" s="170">
        <v>0.42638888888888887</v>
      </c>
      <c r="D38" s="84">
        <v>45.733333333333334</v>
      </c>
      <c r="E38" s="57">
        <v>3</v>
      </c>
      <c r="F38" s="164" t="s">
        <v>105</v>
      </c>
      <c r="G38" s="174">
        <v>7.4333333333333321E-2</v>
      </c>
      <c r="H38" s="96">
        <f>1.766-G38</f>
        <v>1.6916666666666667</v>
      </c>
      <c r="I38" s="97">
        <f>1.774-G38</f>
        <v>1.6996666666666667</v>
      </c>
      <c r="J38" s="97">
        <f>1.768-G38</f>
        <v>1.6936666666666667</v>
      </c>
      <c r="K38" s="78">
        <f>3.0065*H38</f>
        <v>5.0859958333333335</v>
      </c>
      <c r="L38" s="78">
        <f t="shared" ref="L38:M40" si="31">3.0065*I38</f>
        <v>5.1100478333333328</v>
      </c>
      <c r="M38" s="78">
        <f t="shared" si="31"/>
        <v>5.0920088333333329</v>
      </c>
      <c r="N38" s="78">
        <f t="shared" ref="N38:N61" si="32">AVERAGE(K38:M38)</f>
        <v>5.0960174999999994</v>
      </c>
      <c r="O38" s="78">
        <f t="shared" si="27"/>
        <v>0.33973449999999994</v>
      </c>
      <c r="P38" s="78">
        <f t="shared" si="28"/>
        <v>2.4266749999999997E-2</v>
      </c>
      <c r="Q38" s="78">
        <f t="shared" si="29"/>
        <v>2.4266749999999997E-2</v>
      </c>
      <c r="R38" s="78">
        <f t="shared" si="30"/>
        <v>1.5045384999999998</v>
      </c>
      <c r="S38" s="122"/>
      <c r="T38" s="97"/>
      <c r="U38" s="123"/>
      <c r="W38" s="84">
        <f>D47</f>
        <v>189.79999999999998</v>
      </c>
      <c r="X38" s="78">
        <f>S49</f>
        <v>0.98190497547619049</v>
      </c>
      <c r="Y38" s="78">
        <f>U49</f>
        <v>1.7707854653566151E-2</v>
      </c>
      <c r="Z38" s="78"/>
      <c r="AA38" s="154"/>
      <c r="AB38" s="154"/>
      <c r="AC38" s="154"/>
    </row>
    <row r="39" spans="2:29" x14ac:dyDescent="0.15">
      <c r="B39" s="59"/>
      <c r="C39" s="170"/>
      <c r="D39" s="84"/>
      <c r="E39" s="57"/>
      <c r="F39" s="105" t="s">
        <v>106</v>
      </c>
      <c r="G39" s="134"/>
      <c r="H39" s="77">
        <f>1.607-G38</f>
        <v>1.5326666666666666</v>
      </c>
      <c r="I39" s="78">
        <f>1.62-G38</f>
        <v>1.5456666666666667</v>
      </c>
      <c r="J39" s="78">
        <f>1.611-G38</f>
        <v>1.5366666666666666</v>
      </c>
      <c r="K39" s="78">
        <f t="shared" ref="K39:K40" si="33">3.0065*H39</f>
        <v>4.607962333333333</v>
      </c>
      <c r="L39" s="78">
        <f t="shared" si="31"/>
        <v>4.6470468333333335</v>
      </c>
      <c r="M39" s="78">
        <f t="shared" si="31"/>
        <v>4.6199883333333327</v>
      </c>
      <c r="N39" s="78">
        <f t="shared" si="32"/>
        <v>4.6249991666666661</v>
      </c>
      <c r="O39" s="78">
        <f t="shared" si="27"/>
        <v>0.30833327777777775</v>
      </c>
      <c r="P39" s="78">
        <f t="shared" si="28"/>
        <v>2.2023805555555553E-2</v>
      </c>
      <c r="Q39" s="78">
        <f t="shared" si="29"/>
        <v>2.2023805555555553E-2</v>
      </c>
      <c r="R39" s="78">
        <f t="shared" si="30"/>
        <v>1.3654759444444444</v>
      </c>
      <c r="S39" s="159"/>
      <c r="T39" s="78"/>
      <c r="U39" s="121"/>
      <c r="W39" s="84">
        <f>D50</f>
        <v>238.64999999999998</v>
      </c>
      <c r="X39" s="78">
        <f>S52</f>
        <v>0.80809483238095237</v>
      </c>
      <c r="Y39" s="78">
        <f>U52</f>
        <v>3.6123434056662414E-2</v>
      </c>
      <c r="Z39" s="78"/>
      <c r="AA39" s="154"/>
      <c r="AB39" s="154"/>
      <c r="AC39" s="154"/>
    </row>
    <row r="40" spans="2:29" x14ac:dyDescent="0.15">
      <c r="B40" s="59"/>
      <c r="C40" s="170"/>
      <c r="D40" s="84"/>
      <c r="E40" s="57"/>
      <c r="F40" s="105" t="s">
        <v>107</v>
      </c>
      <c r="G40" s="134"/>
      <c r="H40" s="77">
        <f>1.623-G38</f>
        <v>1.5486666666666666</v>
      </c>
      <c r="I40" s="78">
        <f>1.614-G38</f>
        <v>1.5396666666666667</v>
      </c>
      <c r="J40" s="78">
        <f>1.623-G38</f>
        <v>1.5486666666666666</v>
      </c>
      <c r="K40" s="78">
        <f t="shared" si="33"/>
        <v>4.6560663333333334</v>
      </c>
      <c r="L40" s="78">
        <f t="shared" si="31"/>
        <v>4.6290078333333335</v>
      </c>
      <c r="M40" s="78">
        <f t="shared" si="31"/>
        <v>4.6560663333333334</v>
      </c>
      <c r="N40" s="78">
        <f t="shared" si="32"/>
        <v>4.6470468333333335</v>
      </c>
      <c r="O40" s="78">
        <f t="shared" si="27"/>
        <v>0.30980312222222223</v>
      </c>
      <c r="P40" s="78">
        <f t="shared" si="28"/>
        <v>2.2128794444444443E-2</v>
      </c>
      <c r="Q40" s="78">
        <f t="shared" si="29"/>
        <v>2.2128794444444443E-2</v>
      </c>
      <c r="R40" s="78">
        <f t="shared" si="30"/>
        <v>1.3719852555555554</v>
      </c>
      <c r="S40" s="124">
        <f>AVERAGE(R38:R40)</f>
        <v>1.4139998999999996</v>
      </c>
      <c r="T40" s="78">
        <f>STDEV(R38:R40)</f>
        <v>7.8476247044919886E-2</v>
      </c>
      <c r="U40" s="121">
        <f>T40/SQRT(3)</f>
        <v>4.5308282356376073E-2</v>
      </c>
      <c r="W40" s="84">
        <f>D53</f>
        <v>286.68333333333328</v>
      </c>
      <c r="X40" s="78">
        <f>S55</f>
        <v>0.67428731809523812</v>
      </c>
      <c r="Y40" s="78">
        <f>U55</f>
        <v>2.8759169533185074E-2</v>
      </c>
      <c r="Z40" s="78"/>
      <c r="AA40" s="154"/>
      <c r="AB40" s="154"/>
      <c r="AC40" s="154"/>
    </row>
    <row r="41" spans="2:29" x14ac:dyDescent="0.15">
      <c r="B41" s="59" t="s">
        <v>28</v>
      </c>
      <c r="C41" s="170">
        <v>0.54583333333333328</v>
      </c>
      <c r="D41" s="84">
        <v>96.6</v>
      </c>
      <c r="E41" s="57">
        <v>5</v>
      </c>
      <c r="F41" s="164" t="s">
        <v>105</v>
      </c>
      <c r="G41" s="134">
        <v>7.2666666666666671E-2</v>
      </c>
      <c r="H41" s="77">
        <f>1.808-G41</f>
        <v>1.7353333333333334</v>
      </c>
      <c r="I41" s="78">
        <f>1.834-G41</f>
        <v>1.7613333333333334</v>
      </c>
      <c r="J41" s="78">
        <f>1.771-G41</f>
        <v>1.6983333333333333</v>
      </c>
      <c r="K41" s="78">
        <f>3.1773*H41</f>
        <v>5.5136745999999999</v>
      </c>
      <c r="L41" s="78">
        <f t="shared" ref="L41:M43" si="34">3.1773*I41</f>
        <v>5.5962844</v>
      </c>
      <c r="M41" s="78">
        <f t="shared" si="34"/>
        <v>5.3961144999999995</v>
      </c>
      <c r="N41" s="78">
        <f t="shared" si="32"/>
        <v>5.5020245000000001</v>
      </c>
      <c r="O41" s="78">
        <f>N41/20</f>
        <v>0.275101225</v>
      </c>
      <c r="P41" s="78">
        <f t="shared" si="28"/>
        <v>1.96500875E-2</v>
      </c>
      <c r="Q41" s="78">
        <f t="shared" si="29"/>
        <v>1.96500875E-2</v>
      </c>
      <c r="R41" s="78">
        <f t="shared" si="30"/>
        <v>1.2183054250000001</v>
      </c>
      <c r="S41" s="159"/>
      <c r="T41" s="78"/>
      <c r="U41" s="121"/>
      <c r="W41" s="84">
        <f>D56</f>
        <v>334.21666666666664</v>
      </c>
      <c r="X41" s="78">
        <f>S58</f>
        <v>0.63303137650793628</v>
      </c>
      <c r="Y41" s="78">
        <f>U58</f>
        <v>1.2221000952213698E-2</v>
      </c>
      <c r="Z41" s="78"/>
      <c r="AA41" s="154"/>
      <c r="AB41" s="154"/>
      <c r="AC41" s="154"/>
    </row>
    <row r="42" spans="2:29" ht="15" customHeight="1" x14ac:dyDescent="0.15">
      <c r="B42" s="59"/>
      <c r="C42" s="170"/>
      <c r="D42" s="84"/>
      <c r="E42" s="57"/>
      <c r="F42" s="105" t="s">
        <v>106</v>
      </c>
      <c r="G42" s="134"/>
      <c r="H42" s="77">
        <f>1.782-G41</f>
        <v>1.7093333333333334</v>
      </c>
      <c r="I42" s="78">
        <f>1.849-G41</f>
        <v>1.7763333333333333</v>
      </c>
      <c r="J42" s="78">
        <f>1.851-G41</f>
        <v>1.7783333333333333</v>
      </c>
      <c r="K42" s="78">
        <f t="shared" ref="K42:K43" si="35">3.1773*H42</f>
        <v>5.4310647999999997</v>
      </c>
      <c r="L42" s="78">
        <f t="shared" si="34"/>
        <v>5.6439439</v>
      </c>
      <c r="M42" s="78">
        <f t="shared" si="34"/>
        <v>5.6502984999999999</v>
      </c>
      <c r="N42" s="78">
        <f t="shared" si="32"/>
        <v>5.5751023999999996</v>
      </c>
      <c r="O42" s="78">
        <f>N42/20</f>
        <v>0.27875511999999997</v>
      </c>
      <c r="P42" s="78">
        <f t="shared" si="28"/>
        <v>1.9911079999999998E-2</v>
      </c>
      <c r="Q42" s="78">
        <f t="shared" si="29"/>
        <v>1.9911079999999998E-2</v>
      </c>
      <c r="R42" s="78">
        <f t="shared" si="30"/>
        <v>1.2344869599999999</v>
      </c>
      <c r="S42" s="159"/>
      <c r="T42" s="78"/>
      <c r="U42" s="121"/>
      <c r="W42" s="84">
        <f>D59</f>
        <v>430.93333333333334</v>
      </c>
      <c r="X42" s="78">
        <f>S61</f>
        <v>0.5099144533333333</v>
      </c>
      <c r="Y42" s="78">
        <f>U61</f>
        <v>5.6319275454119661E-2</v>
      </c>
      <c r="Z42" s="78"/>
      <c r="AA42" s="154"/>
      <c r="AB42" s="154"/>
      <c r="AC42" s="154"/>
    </row>
    <row r="43" spans="2:29" ht="15" customHeight="1" x14ac:dyDescent="0.15">
      <c r="B43" s="130"/>
      <c r="C43" s="171"/>
      <c r="D43" s="168"/>
      <c r="E43" s="91"/>
      <c r="F43" s="105" t="s">
        <v>107</v>
      </c>
      <c r="G43" s="135"/>
      <c r="H43" s="85">
        <f>1.84-G41</f>
        <v>1.7673333333333334</v>
      </c>
      <c r="I43" s="86">
        <f>1.874-G41</f>
        <v>1.8013333333333335</v>
      </c>
      <c r="J43" s="86">
        <f>1.877-G41</f>
        <v>1.8043333333333333</v>
      </c>
      <c r="K43" s="78">
        <f t="shared" si="35"/>
        <v>5.6153481999999997</v>
      </c>
      <c r="L43" s="78">
        <f t="shared" si="34"/>
        <v>5.7233764000000003</v>
      </c>
      <c r="M43" s="78">
        <f t="shared" si="34"/>
        <v>5.7329083000000001</v>
      </c>
      <c r="N43" s="78">
        <f t="shared" si="32"/>
        <v>5.6905442999999991</v>
      </c>
      <c r="O43" s="78">
        <f>N43/20</f>
        <v>0.28452721499999994</v>
      </c>
      <c r="P43" s="78">
        <f t="shared" si="28"/>
        <v>2.0323372499999996E-2</v>
      </c>
      <c r="Q43" s="78">
        <f t="shared" si="29"/>
        <v>2.0323372499999996E-2</v>
      </c>
      <c r="R43" s="78">
        <f t="shared" si="30"/>
        <v>1.2600490949999996</v>
      </c>
      <c r="S43" s="124">
        <f>AVERAGE(R41:R43)</f>
        <v>1.2376138266666665</v>
      </c>
      <c r="T43" s="86">
        <f>STDEV(R41:R43)</f>
        <v>2.1046768579298557E-2</v>
      </c>
      <c r="U43" s="125">
        <f>T43/SQRT(3)</f>
        <v>1.215135750482978E-2</v>
      </c>
      <c r="W43" s="84"/>
      <c r="X43" s="78"/>
      <c r="Y43" s="78"/>
      <c r="Z43" s="78"/>
      <c r="AA43" s="154"/>
      <c r="AB43" s="154"/>
      <c r="AC43" s="154"/>
    </row>
    <row r="44" spans="2:29" x14ac:dyDescent="0.15">
      <c r="B44" s="173" t="s">
        <v>30</v>
      </c>
      <c r="C44" s="170">
        <v>0.40138888888888885</v>
      </c>
      <c r="D44" s="84">
        <v>141.13333333333333</v>
      </c>
      <c r="E44" s="57">
        <v>7</v>
      </c>
      <c r="F44" s="164" t="s">
        <v>105</v>
      </c>
      <c r="G44" s="134">
        <v>7.1333333333333346E-2</v>
      </c>
      <c r="H44" s="77">
        <f>1.615-G44</f>
        <v>1.5436666666666667</v>
      </c>
      <c r="I44" s="78">
        <f>1.628-G44</f>
        <v>1.5566666666666666</v>
      </c>
      <c r="J44" s="78">
        <f>1.622-G44</f>
        <v>1.5506666666666669</v>
      </c>
      <c r="K44" s="78">
        <f>3.1582*H44</f>
        <v>4.8752080666666666</v>
      </c>
      <c r="L44" s="78">
        <f t="shared" ref="L44:M46" si="36">3.1582*I44</f>
        <v>4.9162646666666667</v>
      </c>
      <c r="M44" s="78">
        <f t="shared" si="36"/>
        <v>4.8973154666666669</v>
      </c>
      <c r="N44" s="78">
        <f t="shared" si="32"/>
        <v>4.8962627333333328</v>
      </c>
      <c r="O44" s="78">
        <f t="shared" ref="O44:O55" si="37">N44/20</f>
        <v>0.24481313666666665</v>
      </c>
      <c r="P44" s="78">
        <f t="shared" si="28"/>
        <v>1.7486652619047617E-2</v>
      </c>
      <c r="Q44" s="78">
        <f t="shared" si="29"/>
        <v>1.7486652619047617E-2</v>
      </c>
      <c r="R44" s="78">
        <f t="shared" si="30"/>
        <v>1.0841724623809523</v>
      </c>
      <c r="S44" s="158"/>
      <c r="T44" s="57"/>
      <c r="U44" s="83"/>
    </row>
    <row r="45" spans="2:29" x14ac:dyDescent="0.15">
      <c r="B45" s="59"/>
      <c r="C45" s="170"/>
      <c r="D45" s="84"/>
      <c r="E45" s="57"/>
      <c r="F45" s="105" t="s">
        <v>106</v>
      </c>
      <c r="G45" s="134"/>
      <c r="H45" s="77">
        <f>1.532-G44</f>
        <v>1.4606666666666668</v>
      </c>
      <c r="I45" s="78">
        <f>1.546-G44</f>
        <v>1.4746666666666668</v>
      </c>
      <c r="J45" s="78">
        <f>1.656-G44</f>
        <v>1.5846666666666667</v>
      </c>
      <c r="K45" s="78">
        <f t="shared" ref="K45:K46" si="38">3.1582*H45</f>
        <v>4.6130774666666667</v>
      </c>
      <c r="L45" s="78">
        <f t="shared" si="36"/>
        <v>4.6572922666666665</v>
      </c>
      <c r="M45" s="78">
        <f t="shared" si="36"/>
        <v>5.0046942666666663</v>
      </c>
      <c r="N45" s="78">
        <f t="shared" si="32"/>
        <v>4.7583546666666665</v>
      </c>
      <c r="O45" s="78">
        <f t="shared" si="37"/>
        <v>0.23791773333333333</v>
      </c>
      <c r="P45" s="78">
        <f t="shared" si="28"/>
        <v>1.6994123809523809E-2</v>
      </c>
      <c r="Q45" s="78">
        <f t="shared" si="29"/>
        <v>1.6994123809523809E-2</v>
      </c>
      <c r="R45" s="78">
        <f t="shared" si="30"/>
        <v>1.0536356761904762</v>
      </c>
      <c r="S45" s="158"/>
      <c r="T45" s="57"/>
      <c r="U45" s="83"/>
      <c r="W45" s="154"/>
      <c r="X45" s="154"/>
      <c r="Y45" s="154"/>
    </row>
    <row r="46" spans="2:29" x14ac:dyDescent="0.15">
      <c r="B46" s="59"/>
      <c r="C46" s="170"/>
      <c r="D46" s="84"/>
      <c r="E46" s="57"/>
      <c r="F46" s="105" t="s">
        <v>107</v>
      </c>
      <c r="G46" s="134"/>
      <c r="H46" s="77">
        <f>1.79-G44</f>
        <v>1.7186666666666668</v>
      </c>
      <c r="I46" s="78">
        <f>1.678-G44</f>
        <v>1.6066666666666667</v>
      </c>
      <c r="J46" s="78">
        <f>1.691-G44</f>
        <v>1.6196666666666668</v>
      </c>
      <c r="K46" s="78">
        <f t="shared" si="38"/>
        <v>5.4278930666666669</v>
      </c>
      <c r="L46" s="78">
        <f t="shared" si="36"/>
        <v>5.0741746666666669</v>
      </c>
      <c r="M46" s="78">
        <f t="shared" si="36"/>
        <v>5.1152312666666671</v>
      </c>
      <c r="N46" s="78">
        <f t="shared" si="32"/>
        <v>5.2057663333333339</v>
      </c>
      <c r="O46" s="78">
        <f t="shared" si="37"/>
        <v>0.26028831666666669</v>
      </c>
      <c r="P46" s="78">
        <f t="shared" si="28"/>
        <v>1.8592022619047622E-2</v>
      </c>
      <c r="Q46" s="78">
        <f t="shared" si="29"/>
        <v>1.8592022619047622E-2</v>
      </c>
      <c r="R46" s="78">
        <f t="shared" si="30"/>
        <v>1.1527054023809526</v>
      </c>
      <c r="S46" s="124">
        <f>AVERAGE(R44:R46)</f>
        <v>1.0968378469841271</v>
      </c>
      <c r="T46" s="78">
        <f>STDEV(R44:R46)</f>
        <v>5.0734718262977936E-2</v>
      </c>
      <c r="U46" s="121">
        <f>T46/SQRT(3)</f>
        <v>2.9291703246390136E-2</v>
      </c>
    </row>
    <row r="47" spans="2:29" x14ac:dyDescent="0.15">
      <c r="B47" s="59" t="s">
        <v>32</v>
      </c>
      <c r="C47" s="170">
        <v>0.4291666666666667</v>
      </c>
      <c r="D47" s="84">
        <v>189.79999999999998</v>
      </c>
      <c r="E47" s="57">
        <v>9</v>
      </c>
      <c r="F47" s="164" t="s">
        <v>105</v>
      </c>
      <c r="G47" s="134">
        <v>7.3999999999999996E-2</v>
      </c>
      <c r="H47" s="77">
        <v>1.421</v>
      </c>
      <c r="I47" s="78">
        <v>1.534</v>
      </c>
      <c r="J47" s="78">
        <v>1.458</v>
      </c>
      <c r="K47" s="78">
        <f>3.0993*H47</f>
        <v>4.4041053000000003</v>
      </c>
      <c r="L47" s="78">
        <f t="shared" ref="L47:M49" si="39">3.0993*I47</f>
        <v>4.7543262000000004</v>
      </c>
      <c r="M47" s="78">
        <f t="shared" si="39"/>
        <v>4.5187793999999997</v>
      </c>
      <c r="N47" s="78">
        <f t="shared" si="32"/>
        <v>4.5590703000000001</v>
      </c>
      <c r="O47" s="78">
        <f t="shared" si="37"/>
        <v>0.227953515</v>
      </c>
      <c r="P47" s="78">
        <f t="shared" si="28"/>
        <v>1.6282393928571427E-2</v>
      </c>
      <c r="Q47" s="78">
        <f t="shared" si="29"/>
        <v>1.6282393928571427E-2</v>
      </c>
      <c r="R47" s="78">
        <f t="shared" si="30"/>
        <v>1.0095084235714284</v>
      </c>
      <c r="S47" s="158"/>
      <c r="T47" s="57"/>
      <c r="U47" s="83"/>
    </row>
    <row r="48" spans="2:29" x14ac:dyDescent="0.15">
      <c r="B48" s="59"/>
      <c r="C48" s="170"/>
      <c r="D48" s="84"/>
      <c r="E48" s="57"/>
      <c r="F48" s="105" t="s">
        <v>106</v>
      </c>
      <c r="G48" s="134"/>
      <c r="H48" s="77">
        <v>1.4039999999999999</v>
      </c>
      <c r="I48" s="78">
        <v>1.446</v>
      </c>
      <c r="J48" s="78">
        <v>1.466</v>
      </c>
      <c r="K48" s="78">
        <f t="shared" ref="K48:K49" si="40">3.0993*H48</f>
        <v>4.3514171999999993</v>
      </c>
      <c r="L48" s="78">
        <f t="shared" si="39"/>
        <v>4.4815877999999998</v>
      </c>
      <c r="M48" s="78">
        <f t="shared" si="39"/>
        <v>4.5435737999999999</v>
      </c>
      <c r="N48" s="78">
        <f t="shared" si="32"/>
        <v>4.4588596000000003</v>
      </c>
      <c r="O48" s="78">
        <f t="shared" si="37"/>
        <v>0.22294298000000001</v>
      </c>
      <c r="P48" s="78">
        <f t="shared" si="28"/>
        <v>1.5924498571428573E-2</v>
      </c>
      <c r="Q48" s="78">
        <f t="shared" si="29"/>
        <v>1.5924498571428573E-2</v>
      </c>
      <c r="R48" s="78">
        <f t="shared" si="30"/>
        <v>0.98731891142857153</v>
      </c>
      <c r="S48" s="158"/>
      <c r="T48" s="57"/>
      <c r="U48" s="83"/>
    </row>
    <row r="49" spans="2:29" x14ac:dyDescent="0.15">
      <c r="B49" s="59"/>
      <c r="C49" s="170"/>
      <c r="D49" s="84"/>
      <c r="E49" s="57"/>
      <c r="F49" s="105" t="s">
        <v>107</v>
      </c>
      <c r="G49" s="134"/>
      <c r="H49" s="77">
        <v>1.389</v>
      </c>
      <c r="I49" s="78">
        <v>1.38</v>
      </c>
      <c r="J49" s="78">
        <v>1.379</v>
      </c>
      <c r="K49" s="78">
        <f t="shared" si="40"/>
        <v>4.3049277000000004</v>
      </c>
      <c r="L49" s="78">
        <f t="shared" si="39"/>
        <v>4.2770339999999996</v>
      </c>
      <c r="M49" s="78">
        <f t="shared" si="39"/>
        <v>4.2739346999999999</v>
      </c>
      <c r="N49" s="78">
        <f t="shared" si="32"/>
        <v>4.2852988000000005</v>
      </c>
      <c r="O49" s="78">
        <f t="shared" si="37"/>
        <v>0.21426494000000001</v>
      </c>
      <c r="P49" s="78">
        <f t="shared" si="28"/>
        <v>1.5304638571428572E-2</v>
      </c>
      <c r="Q49" s="78">
        <f t="shared" si="29"/>
        <v>1.5304638571428572E-2</v>
      </c>
      <c r="R49" s="78">
        <f t="shared" si="30"/>
        <v>0.94888759142857149</v>
      </c>
      <c r="S49" s="159">
        <f>AVERAGE(R47:R49)</f>
        <v>0.98190497547619049</v>
      </c>
      <c r="T49" s="78">
        <f>STDEV(R47:R49)</f>
        <v>3.0670903953021553E-2</v>
      </c>
      <c r="U49" s="121">
        <f>T49/SQRT(3)</f>
        <v>1.7707854653566151E-2</v>
      </c>
    </row>
    <row r="50" spans="2:29" x14ac:dyDescent="0.15">
      <c r="B50" s="131" t="s">
        <v>34</v>
      </c>
      <c r="C50" s="172">
        <v>0.46458333333333335</v>
      </c>
      <c r="D50" s="169">
        <v>238.64999999999998</v>
      </c>
      <c r="E50" s="104">
        <v>11</v>
      </c>
      <c r="F50" s="164" t="s">
        <v>105</v>
      </c>
      <c r="G50" s="134">
        <v>6.533333333333334E-2</v>
      </c>
      <c r="H50" s="96">
        <v>0.97899999999999998</v>
      </c>
      <c r="I50" s="97">
        <v>1.004</v>
      </c>
      <c r="J50" s="97">
        <v>0.996</v>
      </c>
      <c r="K50" s="78">
        <f>3.3959*H50</f>
        <v>3.3245860999999999</v>
      </c>
      <c r="L50" s="78">
        <f t="shared" ref="L50:M52" si="41">3.3959*I50</f>
        <v>3.4094836000000002</v>
      </c>
      <c r="M50" s="78">
        <f t="shared" si="41"/>
        <v>3.3823164000000001</v>
      </c>
      <c r="N50" s="78">
        <f t="shared" si="32"/>
        <v>3.3721286999999998</v>
      </c>
      <c r="O50" s="78">
        <f t="shared" si="37"/>
        <v>0.168606435</v>
      </c>
      <c r="P50" s="78">
        <f t="shared" si="28"/>
        <v>1.2043316785714285E-2</v>
      </c>
      <c r="Q50" s="78">
        <f t="shared" si="29"/>
        <v>1.2043316785714285E-2</v>
      </c>
      <c r="R50" s="78">
        <f t="shared" si="30"/>
        <v>0.74668564071428567</v>
      </c>
      <c r="S50" s="122"/>
      <c r="T50" s="97"/>
      <c r="U50" s="123"/>
    </row>
    <row r="51" spans="2:29" x14ac:dyDescent="0.15">
      <c r="B51" s="59"/>
      <c r="C51" s="170"/>
      <c r="D51" s="84"/>
      <c r="E51" s="57"/>
      <c r="F51" s="105" t="s">
        <v>106</v>
      </c>
      <c r="G51" s="134"/>
      <c r="H51" s="77">
        <v>1.1020000000000001</v>
      </c>
      <c r="I51" s="78">
        <v>1.1160000000000001</v>
      </c>
      <c r="J51" s="78">
        <v>1.26</v>
      </c>
      <c r="K51" s="78">
        <f t="shared" ref="K51:K52" si="42">3.3959*H51</f>
        <v>3.7422818000000007</v>
      </c>
      <c r="L51" s="78">
        <f t="shared" si="41"/>
        <v>3.7898244000000005</v>
      </c>
      <c r="M51" s="78">
        <f t="shared" si="41"/>
        <v>4.2788339999999998</v>
      </c>
      <c r="N51" s="78">
        <f t="shared" si="32"/>
        <v>3.936980066666667</v>
      </c>
      <c r="O51" s="78">
        <f t="shared" si="37"/>
        <v>0.19684900333333336</v>
      </c>
      <c r="P51" s="78">
        <f t="shared" si="28"/>
        <v>1.4060643095238096E-2</v>
      </c>
      <c r="Q51" s="78">
        <f t="shared" si="29"/>
        <v>1.4060643095238096E-2</v>
      </c>
      <c r="R51" s="78">
        <f t="shared" si="30"/>
        <v>0.87175987190476201</v>
      </c>
      <c r="S51" s="159"/>
      <c r="T51" s="78"/>
      <c r="U51" s="121"/>
    </row>
    <row r="52" spans="2:29" x14ac:dyDescent="0.15">
      <c r="B52" s="59"/>
      <c r="C52" s="170"/>
      <c r="D52" s="84"/>
      <c r="E52" s="57"/>
      <c r="F52" s="105" t="s">
        <v>107</v>
      </c>
      <c r="G52" s="134"/>
      <c r="H52" s="77">
        <v>1.085</v>
      </c>
      <c r="I52" s="78">
        <v>1.0680000000000001</v>
      </c>
      <c r="J52" s="78">
        <v>1.0620000000000001</v>
      </c>
      <c r="K52" s="78">
        <f t="shared" si="42"/>
        <v>3.6845515</v>
      </c>
      <c r="L52" s="78">
        <f t="shared" si="41"/>
        <v>3.6268212000000002</v>
      </c>
      <c r="M52" s="78">
        <f t="shared" si="41"/>
        <v>3.6064458000000004</v>
      </c>
      <c r="N52" s="78">
        <f t="shared" si="32"/>
        <v>3.6392728333333331</v>
      </c>
      <c r="O52" s="78">
        <f t="shared" si="37"/>
        <v>0.18196364166666665</v>
      </c>
      <c r="P52" s="78">
        <f t="shared" si="28"/>
        <v>1.2997402976190476E-2</v>
      </c>
      <c r="Q52" s="78">
        <f t="shared" si="29"/>
        <v>1.2997402976190476E-2</v>
      </c>
      <c r="R52" s="78">
        <f t="shared" si="30"/>
        <v>0.80583898452380953</v>
      </c>
      <c r="S52" s="124">
        <f>AVERAGE(R50:R52)</f>
        <v>0.80809483238095237</v>
      </c>
      <c r="T52" s="78">
        <f>STDEV(R50:R52)</f>
        <v>6.2567623130003219E-2</v>
      </c>
      <c r="U52" s="121">
        <f>T52/SQRT(3)</f>
        <v>3.6123434056662414E-2</v>
      </c>
    </row>
    <row r="53" spans="2:29" x14ac:dyDescent="0.15">
      <c r="B53" s="59" t="s">
        <v>36</v>
      </c>
      <c r="C53" s="170">
        <v>0.46597222222222223</v>
      </c>
      <c r="D53" s="84">
        <v>286.68333333333328</v>
      </c>
      <c r="E53" s="57">
        <v>13</v>
      </c>
      <c r="F53" s="164" t="s">
        <v>105</v>
      </c>
      <c r="G53" s="134">
        <v>6.9666666666666668E-2</v>
      </c>
      <c r="H53" s="77">
        <f>0.85-G53</f>
        <v>0.78033333333333332</v>
      </c>
      <c r="I53" s="78">
        <f>0.887-G53</f>
        <v>0.81733333333333336</v>
      </c>
      <c r="J53" s="78">
        <f>0.921-G53</f>
        <v>0.85133333333333339</v>
      </c>
      <c r="K53" s="78">
        <f>3.5976*H53</f>
        <v>2.8073272</v>
      </c>
      <c r="L53" s="78">
        <f t="shared" ref="L53:M55" si="43">3.5976*I53</f>
        <v>2.9404384000000001</v>
      </c>
      <c r="M53" s="78">
        <f t="shared" si="43"/>
        <v>3.0627568000000003</v>
      </c>
      <c r="N53" s="78">
        <f t="shared" si="32"/>
        <v>2.9368408000000001</v>
      </c>
      <c r="O53" s="78">
        <f t="shared" si="37"/>
        <v>0.14684204000000001</v>
      </c>
      <c r="P53" s="78">
        <f t="shared" si="28"/>
        <v>1.0488717142857143E-2</v>
      </c>
      <c r="Q53" s="78">
        <f t="shared" si="29"/>
        <v>1.0488717142857143E-2</v>
      </c>
      <c r="R53" s="78">
        <f t="shared" si="30"/>
        <v>0.65030046285714282</v>
      </c>
      <c r="S53" s="159"/>
      <c r="T53" s="78"/>
      <c r="U53" s="121"/>
    </row>
    <row r="54" spans="2:29" x14ac:dyDescent="0.15">
      <c r="B54" s="59"/>
      <c r="C54" s="170"/>
      <c r="D54" s="84"/>
      <c r="E54" s="57"/>
      <c r="F54" s="105" t="s">
        <v>106</v>
      </c>
      <c r="G54" s="134"/>
      <c r="H54" s="77">
        <f>0.936-G53</f>
        <v>0.8663333333333334</v>
      </c>
      <c r="I54" s="78">
        <f>0.98-G53</f>
        <v>0.91033333333333333</v>
      </c>
      <c r="J54" s="78">
        <f>1.048-G53</f>
        <v>0.97833333333333339</v>
      </c>
      <c r="K54" s="78">
        <f t="shared" ref="K54:K55" si="44">3.5976*H54</f>
        <v>3.1167208</v>
      </c>
      <c r="L54" s="78">
        <f t="shared" si="43"/>
        <v>3.2750151999999999</v>
      </c>
      <c r="M54" s="78">
        <f t="shared" si="43"/>
        <v>3.5196520000000002</v>
      </c>
      <c r="N54" s="78">
        <f t="shared" si="32"/>
        <v>3.3037960000000002</v>
      </c>
      <c r="O54" s="78">
        <f t="shared" si="37"/>
        <v>0.1651898</v>
      </c>
      <c r="P54" s="78">
        <f t="shared" si="28"/>
        <v>1.1799271428571428E-2</v>
      </c>
      <c r="Q54" s="78">
        <f t="shared" si="29"/>
        <v>1.1799271428571428E-2</v>
      </c>
      <c r="R54" s="78">
        <f t="shared" si="30"/>
        <v>0.73155482857142862</v>
      </c>
      <c r="S54" s="159"/>
      <c r="T54" s="78"/>
      <c r="U54" s="121"/>
    </row>
    <row r="55" spans="2:29" x14ac:dyDescent="0.15">
      <c r="B55" s="59"/>
      <c r="C55" s="170"/>
      <c r="D55" s="84"/>
      <c r="E55" s="57"/>
      <c r="F55" s="105" t="s">
        <v>107</v>
      </c>
      <c r="G55" s="134"/>
      <c r="H55" s="77">
        <f>0.875-G53</f>
        <v>0.80533333333333335</v>
      </c>
      <c r="I55" s="78">
        <f>0.875-G53</f>
        <v>0.80533333333333335</v>
      </c>
      <c r="J55" s="78">
        <f>0.873-G53</f>
        <v>0.80333333333333334</v>
      </c>
      <c r="K55" s="78">
        <f t="shared" si="44"/>
        <v>2.8972671999999999</v>
      </c>
      <c r="L55" s="78">
        <f t="shared" si="43"/>
        <v>2.8972671999999999</v>
      </c>
      <c r="M55" s="78">
        <f t="shared" si="43"/>
        <v>2.890072</v>
      </c>
      <c r="N55" s="78">
        <f t="shared" si="32"/>
        <v>2.8948687999999998</v>
      </c>
      <c r="O55" s="78">
        <f t="shared" si="37"/>
        <v>0.14474344</v>
      </c>
      <c r="P55" s="78">
        <f t="shared" si="28"/>
        <v>1.0338817142857143E-2</v>
      </c>
      <c r="Q55" s="78">
        <f t="shared" si="29"/>
        <v>1.0338817142857143E-2</v>
      </c>
      <c r="R55" s="78">
        <f t="shared" si="30"/>
        <v>0.64100666285714292</v>
      </c>
      <c r="S55" s="159">
        <f>AVERAGE(R53:R55)</f>
        <v>0.67428731809523812</v>
      </c>
      <c r="T55" s="78">
        <f>STDEV(R53:R55)</f>
        <v>4.9812342814963453E-2</v>
      </c>
      <c r="U55" s="121">
        <f>T55/SQRT(3)</f>
        <v>2.8759169533185074E-2</v>
      </c>
    </row>
    <row r="56" spans="2:29" x14ac:dyDescent="0.15">
      <c r="B56" s="131" t="s">
        <v>38</v>
      </c>
      <c r="C56" s="172">
        <v>0.4465277777777778</v>
      </c>
      <c r="D56" s="169">
        <v>334.21666666666664</v>
      </c>
      <c r="E56" s="104">
        <v>15</v>
      </c>
      <c r="F56" s="164" t="s">
        <v>105</v>
      </c>
      <c r="G56" s="134">
        <v>7.2333333333333319E-2</v>
      </c>
      <c r="H56" s="96">
        <f>0.946-G56</f>
        <v>0.87366666666666659</v>
      </c>
      <c r="I56" s="97">
        <f>0.967-G56</f>
        <v>0.89466666666666661</v>
      </c>
      <c r="J56" s="97">
        <f>0.965-G56</f>
        <v>0.89266666666666661</v>
      </c>
      <c r="K56" s="78">
        <f>3.9395*H56</f>
        <v>3.4418098333333327</v>
      </c>
      <c r="L56" s="78">
        <f t="shared" ref="L56:M58" si="45">3.9395*I56</f>
        <v>3.5245393333333328</v>
      </c>
      <c r="M56" s="78">
        <f t="shared" si="45"/>
        <v>3.5166603333333328</v>
      </c>
      <c r="N56" s="78">
        <f t="shared" si="32"/>
        <v>3.4943364999999993</v>
      </c>
      <c r="O56" s="78">
        <f>N56/25</f>
        <v>0.13977345999999996</v>
      </c>
      <c r="P56" s="78">
        <f t="shared" si="28"/>
        <v>9.9838185714285679E-3</v>
      </c>
      <c r="Q56" s="78">
        <f t="shared" si="29"/>
        <v>9.9838185714285679E-3</v>
      </c>
      <c r="R56" s="78">
        <f t="shared" si="30"/>
        <v>0.61899675142857125</v>
      </c>
      <c r="S56" s="126"/>
      <c r="T56" s="104"/>
      <c r="U56" s="127"/>
    </row>
    <row r="57" spans="2:29" x14ac:dyDescent="0.15">
      <c r="B57" s="59"/>
      <c r="C57" s="170"/>
      <c r="D57" s="84"/>
      <c r="E57" s="57"/>
      <c r="F57" s="105" t="s">
        <v>106</v>
      </c>
      <c r="G57" s="134"/>
      <c r="H57" s="77">
        <f>0.942-G56</f>
        <v>0.86966666666666659</v>
      </c>
      <c r="I57" s="78">
        <f>0.967-G56</f>
        <v>0.89466666666666661</v>
      </c>
      <c r="J57" s="78">
        <f>0.985-G56</f>
        <v>0.91266666666666663</v>
      </c>
      <c r="K57" s="78">
        <f t="shared" ref="K57:K58" si="46">3.9395*H57</f>
        <v>3.4260518333333327</v>
      </c>
      <c r="L57" s="78">
        <f t="shared" si="45"/>
        <v>3.5245393333333328</v>
      </c>
      <c r="M57" s="78">
        <f t="shared" si="45"/>
        <v>3.595450333333333</v>
      </c>
      <c r="N57" s="78">
        <f t="shared" si="32"/>
        <v>3.515347166666666</v>
      </c>
      <c r="O57" s="78">
        <f t="shared" ref="O57:O61" si="47">N57/25</f>
        <v>0.14061388666666663</v>
      </c>
      <c r="P57" s="78">
        <f t="shared" si="28"/>
        <v>1.0043849047619045E-2</v>
      </c>
      <c r="Q57" s="78">
        <f t="shared" si="29"/>
        <v>1.0043849047619045E-2</v>
      </c>
      <c r="R57" s="78">
        <f t="shared" si="30"/>
        <v>0.62271864095238072</v>
      </c>
      <c r="S57" s="158"/>
      <c r="T57" s="57"/>
      <c r="U57" s="83"/>
    </row>
    <row r="58" spans="2:29" x14ac:dyDescent="0.15">
      <c r="B58" s="59"/>
      <c r="C58" s="170"/>
      <c r="D58" s="84"/>
      <c r="E58" s="57"/>
      <c r="F58" s="105" t="s">
        <v>107</v>
      </c>
      <c r="G58" s="134"/>
      <c r="H58" s="77">
        <f>0.985-G56</f>
        <v>0.91266666666666663</v>
      </c>
      <c r="I58" s="78">
        <f>0.989-G56</f>
        <v>0.91666666666666663</v>
      </c>
      <c r="J58" s="78">
        <f>1.069-G56</f>
        <v>0.99666666666666659</v>
      </c>
      <c r="K58" s="78">
        <f t="shared" si="46"/>
        <v>3.595450333333333</v>
      </c>
      <c r="L58" s="78">
        <f t="shared" si="45"/>
        <v>3.6112083333333329</v>
      </c>
      <c r="M58" s="78">
        <f t="shared" si="45"/>
        <v>3.926368333333333</v>
      </c>
      <c r="N58" s="78">
        <f t="shared" si="32"/>
        <v>3.7110089999999993</v>
      </c>
      <c r="O58" s="78">
        <f t="shared" si="47"/>
        <v>0.14844035999999997</v>
      </c>
      <c r="P58" s="78">
        <f t="shared" si="28"/>
        <v>1.0602882857142854E-2</v>
      </c>
      <c r="Q58" s="78">
        <f t="shared" si="29"/>
        <v>1.0602882857142854E-2</v>
      </c>
      <c r="R58" s="78">
        <f t="shared" si="30"/>
        <v>0.65737873714285699</v>
      </c>
      <c r="S58" s="124">
        <f>AVERAGE(R56:R58)</f>
        <v>0.63303137650793628</v>
      </c>
      <c r="T58" s="78">
        <f>STDEV(R56:R58)</f>
        <v>2.1167394568581754E-2</v>
      </c>
      <c r="U58" s="121">
        <f>T58/SQRT(3)</f>
        <v>1.2221000952213698E-2</v>
      </c>
    </row>
    <row r="59" spans="2:29" x14ac:dyDescent="0.15">
      <c r="B59" s="173" t="s">
        <v>42</v>
      </c>
      <c r="C59" s="170">
        <v>0.47638888888888892</v>
      </c>
      <c r="D59" s="84">
        <v>430.93333333333334</v>
      </c>
      <c r="E59" s="57">
        <v>19</v>
      </c>
      <c r="F59" s="164" t="s">
        <v>105</v>
      </c>
      <c r="G59" s="134">
        <v>6.6333333333333341E-2</v>
      </c>
      <c r="H59" s="77">
        <v>0.84699999999999998</v>
      </c>
      <c r="I59" s="78">
        <v>0.86</v>
      </c>
      <c r="J59" s="78">
        <v>0.86499999999999999</v>
      </c>
      <c r="K59" s="78">
        <f>4.0992*H59</f>
        <v>3.4720223999999997</v>
      </c>
      <c r="L59" s="78">
        <f t="shared" ref="L59:M61" si="48">4.0992*I59</f>
        <v>3.5253119999999996</v>
      </c>
      <c r="M59" s="78">
        <f t="shared" si="48"/>
        <v>3.5458079999999996</v>
      </c>
      <c r="N59" s="78">
        <f t="shared" si="32"/>
        <v>3.5143807999999996</v>
      </c>
      <c r="O59" s="78">
        <f t="shared" si="47"/>
        <v>0.14057523199999999</v>
      </c>
      <c r="P59" s="78">
        <f t="shared" si="28"/>
        <v>1.0041088E-2</v>
      </c>
      <c r="Q59" s="78">
        <f t="shared" si="29"/>
        <v>1.0041088E-2</v>
      </c>
      <c r="R59" s="78">
        <f t="shared" si="30"/>
        <v>0.62254745600000005</v>
      </c>
      <c r="S59" s="158"/>
      <c r="T59" s="57"/>
      <c r="U59" s="83"/>
    </row>
    <row r="60" spans="2:29" x14ac:dyDescent="0.15">
      <c r="B60" s="46"/>
      <c r="E60" s="57"/>
      <c r="F60" s="105" t="s">
        <v>106</v>
      </c>
      <c r="G60" s="134"/>
      <c r="H60" s="77">
        <v>0.61199999999999999</v>
      </c>
      <c r="I60" s="78">
        <v>0.6</v>
      </c>
      <c r="J60" s="78">
        <v>0.65800000000000003</v>
      </c>
      <c r="K60" s="78">
        <f t="shared" ref="K60:K61" si="49">4.0992*H60</f>
        <v>2.5087104</v>
      </c>
      <c r="L60" s="78">
        <f t="shared" si="48"/>
        <v>2.4595199999999999</v>
      </c>
      <c r="M60" s="78">
        <f t="shared" si="48"/>
        <v>2.6972735999999999</v>
      </c>
      <c r="N60" s="78">
        <f t="shared" si="32"/>
        <v>2.5551679999999997</v>
      </c>
      <c r="O60" s="78">
        <f t="shared" si="47"/>
        <v>0.10220671999999999</v>
      </c>
      <c r="P60" s="78">
        <f t="shared" si="28"/>
        <v>7.3004799999999989E-3</v>
      </c>
      <c r="Q60" s="78">
        <f t="shared" si="29"/>
        <v>7.3004799999999989E-3</v>
      </c>
      <c r="R60" s="78">
        <f t="shared" si="30"/>
        <v>0.45262975999999994</v>
      </c>
      <c r="S60" s="158"/>
      <c r="T60" s="57"/>
      <c r="U60" s="83"/>
    </row>
    <row r="61" spans="2:29" ht="14" thickBot="1" x14ac:dyDescent="0.2">
      <c r="B61" s="138"/>
      <c r="C61" s="160"/>
      <c r="D61" s="160"/>
      <c r="E61" s="160"/>
      <c r="F61" s="105" t="s">
        <v>107</v>
      </c>
      <c r="G61" s="161"/>
      <c r="H61" s="145">
        <v>0.63</v>
      </c>
      <c r="I61" s="106">
        <v>0.62</v>
      </c>
      <c r="J61" s="106">
        <v>0.628</v>
      </c>
      <c r="K61" s="106">
        <f t="shared" si="49"/>
        <v>2.5824959999999999</v>
      </c>
      <c r="L61" s="106">
        <f t="shared" si="48"/>
        <v>2.5415039999999998</v>
      </c>
      <c r="M61" s="106">
        <f t="shared" si="48"/>
        <v>2.5742976</v>
      </c>
      <c r="N61" s="106">
        <f t="shared" si="32"/>
        <v>2.5660992</v>
      </c>
      <c r="O61" s="106">
        <f t="shared" si="47"/>
        <v>0.102643968</v>
      </c>
      <c r="P61" s="106">
        <f t="shared" si="28"/>
        <v>7.3317119999999998E-3</v>
      </c>
      <c r="Q61" s="106">
        <f t="shared" si="29"/>
        <v>7.3317119999999998E-3</v>
      </c>
      <c r="R61" s="106">
        <f t="shared" si="30"/>
        <v>0.45456614400000001</v>
      </c>
      <c r="S61" s="162">
        <f>AVERAGE(R59:R61)</f>
        <v>0.5099144533333333</v>
      </c>
      <c r="T61" s="106">
        <f>STDEV(R59:R61)</f>
        <v>9.7547846532002006E-2</v>
      </c>
      <c r="U61" s="144">
        <f>T61/SQRT(3)</f>
        <v>5.6319275454119661E-2</v>
      </c>
    </row>
    <row r="62" spans="2:29" ht="17" thickBot="1" x14ac:dyDescent="0.2">
      <c r="B62" s="261" t="s">
        <v>80</v>
      </c>
      <c r="C62" s="262"/>
      <c r="D62" s="262"/>
      <c r="E62" s="262"/>
      <c r="F62" s="262"/>
      <c r="G62" s="262"/>
      <c r="H62" s="262"/>
      <c r="I62" s="262"/>
      <c r="J62" s="262"/>
      <c r="K62" s="262"/>
      <c r="L62" s="262"/>
      <c r="M62" s="262"/>
      <c r="N62" s="262"/>
      <c r="O62" s="262"/>
      <c r="P62" s="262"/>
      <c r="Q62" s="262"/>
      <c r="R62" s="262"/>
      <c r="S62" s="262"/>
      <c r="T62" s="262"/>
      <c r="U62" s="263"/>
      <c r="W62" s="257" t="s">
        <v>113</v>
      </c>
      <c r="X62" s="257"/>
      <c r="Y62" s="257"/>
    </row>
    <row r="63" spans="2:29" ht="30" x14ac:dyDescent="0.15">
      <c r="B63" s="114" t="s">
        <v>0</v>
      </c>
      <c r="C63" s="66" t="s">
        <v>1</v>
      </c>
      <c r="D63" s="66" t="s">
        <v>2</v>
      </c>
      <c r="E63" s="117" t="s">
        <v>17</v>
      </c>
      <c r="F63" s="116"/>
      <c r="G63" s="116" t="s">
        <v>18</v>
      </c>
      <c r="H63" s="258" t="s">
        <v>19</v>
      </c>
      <c r="I63" s="259"/>
      <c r="J63" s="259"/>
      <c r="K63" s="260" t="s">
        <v>103</v>
      </c>
      <c r="L63" s="260"/>
      <c r="M63" s="260"/>
      <c r="N63" s="66" t="s">
        <v>20</v>
      </c>
      <c r="O63" s="66" t="s">
        <v>21</v>
      </c>
      <c r="P63" s="66" t="s">
        <v>21</v>
      </c>
      <c r="Q63" s="66" t="s">
        <v>101</v>
      </c>
      <c r="R63" s="117" t="s">
        <v>101</v>
      </c>
      <c r="S63" s="66" t="s">
        <v>102</v>
      </c>
      <c r="T63" s="66" t="s">
        <v>89</v>
      </c>
      <c r="U63" s="115" t="s">
        <v>71</v>
      </c>
      <c r="W63" s="57" t="s">
        <v>2</v>
      </c>
      <c r="X63" s="76" t="str">
        <f>S63</f>
        <v>Average NO3 concentration</v>
      </c>
      <c r="Y63" s="76" t="str">
        <f>U63</f>
        <v>Standard error</v>
      </c>
      <c r="Z63" s="57"/>
      <c r="AA63" s="118"/>
      <c r="AB63" s="118"/>
      <c r="AC63" s="118"/>
    </row>
    <row r="64" spans="2:29" ht="15" thickBot="1" x14ac:dyDescent="0.2">
      <c r="B64" s="119"/>
      <c r="C64" s="156"/>
      <c r="D64" s="157"/>
      <c r="E64" s="157"/>
      <c r="F64" s="120"/>
      <c r="G64" s="120"/>
      <c r="H64" s="157"/>
      <c r="I64" s="157"/>
      <c r="J64" s="157"/>
      <c r="K64" s="74"/>
      <c r="L64" s="74"/>
      <c r="M64" s="74"/>
      <c r="N64" s="74" t="s">
        <v>22</v>
      </c>
      <c r="O64" s="74" t="s">
        <v>15</v>
      </c>
      <c r="P64" s="74" t="s">
        <v>23</v>
      </c>
      <c r="Q64" s="74" t="s">
        <v>23</v>
      </c>
      <c r="R64" s="72" t="s">
        <v>15</v>
      </c>
      <c r="S64" s="74" t="s">
        <v>15</v>
      </c>
      <c r="T64" s="74"/>
      <c r="U64" s="70"/>
      <c r="W64" s="84">
        <v>0</v>
      </c>
      <c r="X64" s="78">
        <f>S67</f>
        <v>1.5185297447619046</v>
      </c>
      <c r="Y64" s="78">
        <f>U67</f>
        <v>1.2966148571428636E-2</v>
      </c>
      <c r="Z64" s="78"/>
      <c r="AA64" s="118"/>
      <c r="AB64" s="118"/>
      <c r="AC64" s="118"/>
    </row>
    <row r="65" spans="2:29" x14ac:dyDescent="0.15">
      <c r="B65" s="173" t="s">
        <v>24</v>
      </c>
      <c r="C65" s="170">
        <v>0.5625</v>
      </c>
      <c r="D65" s="84">
        <v>0</v>
      </c>
      <c r="E65" s="57">
        <v>1</v>
      </c>
      <c r="F65" s="175" t="s">
        <v>105</v>
      </c>
      <c r="G65" s="165">
        <v>6.4666666666666664E-2</v>
      </c>
      <c r="H65" s="176">
        <f>1.617-G65</f>
        <v>1.5523333333333333</v>
      </c>
      <c r="I65" s="177">
        <f>1.647-G65</f>
        <v>1.5823333333333334</v>
      </c>
      <c r="J65" s="177">
        <f>1.625-G65</f>
        <v>1.5603333333333333</v>
      </c>
      <c r="K65" s="78">
        <f>3.0288*H65</f>
        <v>4.7017071999999995</v>
      </c>
      <c r="L65" s="78">
        <f t="shared" ref="L65:M67" si="50">3.0288*I65</f>
        <v>4.7925712000000003</v>
      </c>
      <c r="M65" s="78">
        <f t="shared" si="50"/>
        <v>4.7259376</v>
      </c>
      <c r="N65" s="78">
        <f>AVERAGE(K65:M65)</f>
        <v>4.7400719999999996</v>
      </c>
      <c r="O65" s="78">
        <f>N65/15</f>
        <v>0.31600479999999997</v>
      </c>
      <c r="P65" s="78">
        <f>O65/14</f>
        <v>2.2571771428571426E-2</v>
      </c>
      <c r="Q65" s="78">
        <f>P65</f>
        <v>2.2571771428571426E-2</v>
      </c>
      <c r="R65" s="78">
        <f>Q65*62</f>
        <v>1.3994498285714283</v>
      </c>
      <c r="S65" s="158"/>
      <c r="T65" s="57"/>
      <c r="U65" s="83"/>
      <c r="W65" s="84">
        <f>D68</f>
        <v>45</v>
      </c>
      <c r="X65" s="78">
        <f>S70</f>
        <v>1.3330280148148148</v>
      </c>
      <c r="Y65" s="78">
        <f>U70</f>
        <v>3.3576298059555164E-2</v>
      </c>
      <c r="Z65" s="78"/>
      <c r="AA65" s="154"/>
      <c r="AB65" s="154"/>
      <c r="AC65" s="154"/>
    </row>
    <row r="66" spans="2:29" x14ac:dyDescent="0.15">
      <c r="B66" s="59"/>
      <c r="C66" s="170"/>
      <c r="D66" s="84"/>
      <c r="E66" s="57"/>
      <c r="F66" s="105" t="s">
        <v>106</v>
      </c>
      <c r="G66" s="166"/>
      <c r="H66" s="77">
        <f>1.75-G65</f>
        <v>1.6853333333333333</v>
      </c>
      <c r="I66" s="78">
        <f>1.86-G65</f>
        <v>1.7953333333333334</v>
      </c>
      <c r="J66" s="78">
        <f>1.722-G65</f>
        <v>1.6573333333333333</v>
      </c>
      <c r="K66" s="78">
        <f t="shared" ref="K66:K67" si="51">3.0288*H66</f>
        <v>5.1045375999999996</v>
      </c>
      <c r="L66" s="78">
        <f t="shared" si="50"/>
        <v>5.4377056000000001</v>
      </c>
      <c r="M66" s="78">
        <f t="shared" si="50"/>
        <v>5.0197311999999998</v>
      </c>
      <c r="N66" s="78">
        <f>AVERAGE(K66:M66)</f>
        <v>5.1873247999999998</v>
      </c>
      <c r="O66" s="78">
        <f t="shared" ref="O66:O70" si="52">N66/15</f>
        <v>0.34582165333333331</v>
      </c>
      <c r="P66" s="78">
        <f t="shared" ref="P66:P91" si="53">O66/14</f>
        <v>2.4701546666666664E-2</v>
      </c>
      <c r="Q66" s="78">
        <f t="shared" ref="Q66:Q91" si="54">P66</f>
        <v>2.4701546666666664E-2</v>
      </c>
      <c r="R66" s="78">
        <f t="shared" ref="R66:R91" si="55">Q66*62</f>
        <v>1.5314958933333331</v>
      </c>
      <c r="S66" s="158"/>
      <c r="T66" s="57"/>
      <c r="U66" s="83"/>
      <c r="W66" s="84">
        <f>D71</f>
        <v>95.628052805280532</v>
      </c>
      <c r="X66" s="78">
        <f>S73</f>
        <v>1.1346617416666669</v>
      </c>
      <c r="Y66" s="78">
        <f>U73</f>
        <v>6.5459004480254948E-2</v>
      </c>
      <c r="Z66" s="78"/>
      <c r="AA66" s="154"/>
      <c r="AB66" s="154"/>
      <c r="AC66" s="154"/>
    </row>
    <row r="67" spans="2:29" x14ac:dyDescent="0.15">
      <c r="B67" s="59"/>
      <c r="C67" s="170"/>
      <c r="D67" s="84"/>
      <c r="E67" s="57"/>
      <c r="F67" s="105" t="s">
        <v>107</v>
      </c>
      <c r="G67" s="166"/>
      <c r="H67" s="77">
        <f>1.736-G65</f>
        <v>1.6713333333333333</v>
      </c>
      <c r="I67" s="78">
        <f>1.759-G65</f>
        <v>1.6943333333333332</v>
      </c>
      <c r="J67" s="78">
        <f>1.75-G65</f>
        <v>1.6853333333333333</v>
      </c>
      <c r="K67" s="78">
        <f t="shared" si="51"/>
        <v>5.0621343999999997</v>
      </c>
      <c r="L67" s="78">
        <f t="shared" si="50"/>
        <v>5.1317968</v>
      </c>
      <c r="M67" s="78">
        <f t="shared" si="50"/>
        <v>5.1045375999999996</v>
      </c>
      <c r="N67" s="78">
        <f>AVERAGE(K67:M67)</f>
        <v>5.0994895999999992</v>
      </c>
      <c r="O67" s="78">
        <f t="shared" si="52"/>
        <v>0.33996597333333328</v>
      </c>
      <c r="P67" s="78">
        <f t="shared" si="53"/>
        <v>2.4283283809523805E-2</v>
      </c>
      <c r="Q67" s="78">
        <f t="shared" si="54"/>
        <v>2.4283283809523805E-2</v>
      </c>
      <c r="R67" s="78">
        <f t="shared" si="55"/>
        <v>1.5055635961904759</v>
      </c>
      <c r="S67" s="159">
        <f>AVERAGE(R66:R67)</f>
        <v>1.5185297447619046</v>
      </c>
      <c r="T67" s="78">
        <f>STDEV(R66:R67)</f>
        <v>1.833690316145891E-2</v>
      </c>
      <c r="U67" s="121">
        <f>T67/SQRT(2)</f>
        <v>1.2966148571428636E-2</v>
      </c>
      <c r="W67" s="84">
        <f>D74</f>
        <v>140.21138613861388</v>
      </c>
      <c r="X67" s="78">
        <f>S76</f>
        <v>1.0451661858730157</v>
      </c>
      <c r="Y67" s="78">
        <f>U76</f>
        <v>1.8108508189878966E-2</v>
      </c>
      <c r="Z67" s="78"/>
      <c r="AA67" s="154"/>
      <c r="AB67" s="154"/>
      <c r="AC67" s="154"/>
    </row>
    <row r="68" spans="2:29" x14ac:dyDescent="0.15">
      <c r="B68" s="173" t="s">
        <v>26</v>
      </c>
      <c r="C68" s="170">
        <v>0.4375</v>
      </c>
      <c r="D68" s="84">
        <v>45</v>
      </c>
      <c r="E68" s="57">
        <v>3</v>
      </c>
      <c r="F68" s="105" t="s">
        <v>105</v>
      </c>
      <c r="G68" s="165">
        <v>7.4333333333333321E-2</v>
      </c>
      <c r="H68" s="96">
        <f>1.541-G68</f>
        <v>1.4666666666666666</v>
      </c>
      <c r="I68" s="97">
        <f>1.53-G68</f>
        <v>1.4556666666666667</v>
      </c>
      <c r="J68" s="97">
        <f>1.554-G68</f>
        <v>1.4796666666666667</v>
      </c>
      <c r="K68" s="78">
        <f>3.0065*H68</f>
        <v>4.4095333333333331</v>
      </c>
      <c r="L68" s="78">
        <f t="shared" ref="L68:M70" si="56">3.0065*I68</f>
        <v>4.3764618333333329</v>
      </c>
      <c r="M68" s="78">
        <f t="shared" si="56"/>
        <v>4.4486178333333335</v>
      </c>
      <c r="N68" s="78">
        <f t="shared" ref="N68:N91" si="57">AVERAGE(K68:M68)</f>
        <v>4.4115376666666668</v>
      </c>
      <c r="O68" s="78">
        <f t="shared" si="52"/>
        <v>0.29410251111111113</v>
      </c>
      <c r="P68" s="78">
        <f t="shared" si="53"/>
        <v>2.1007322222222225E-2</v>
      </c>
      <c r="Q68" s="78">
        <f t="shared" si="54"/>
        <v>2.1007322222222225E-2</v>
      </c>
      <c r="R68" s="78">
        <f t="shared" si="55"/>
        <v>1.3024539777777779</v>
      </c>
      <c r="S68" s="122"/>
      <c r="T68" s="97"/>
      <c r="U68" s="123"/>
      <c r="W68" s="84">
        <f>D77</f>
        <v>188.87805280528053</v>
      </c>
      <c r="X68" s="78">
        <f>S79</f>
        <v>0.85372432285714284</v>
      </c>
      <c r="Y68" s="78">
        <f>U79</f>
        <v>1.9686471097106476E-2</v>
      </c>
      <c r="Z68" s="78"/>
      <c r="AA68" s="154"/>
      <c r="AB68" s="154"/>
      <c r="AC68" s="154"/>
    </row>
    <row r="69" spans="2:29" x14ac:dyDescent="0.15">
      <c r="B69" s="59"/>
      <c r="C69" s="170"/>
      <c r="D69" s="84"/>
      <c r="E69" s="57"/>
      <c r="F69" s="105" t="s">
        <v>106</v>
      </c>
      <c r="G69" s="166"/>
      <c r="H69" s="77">
        <f>1.576-G68</f>
        <v>1.5016666666666667</v>
      </c>
      <c r="I69" s="78">
        <f>1.51-G68</f>
        <v>1.4356666666666666</v>
      </c>
      <c r="J69" s="78">
        <f>1.519-G68</f>
        <v>1.4446666666666665</v>
      </c>
      <c r="K69" s="78">
        <f t="shared" ref="K69:K70" si="58">3.0065*H69</f>
        <v>4.5147608333333338</v>
      </c>
      <c r="L69" s="78">
        <f t="shared" si="56"/>
        <v>4.3163318333333329</v>
      </c>
      <c r="M69" s="78">
        <f t="shared" si="56"/>
        <v>4.3433903333333328</v>
      </c>
      <c r="N69" s="78">
        <f t="shared" si="57"/>
        <v>4.3914943333333332</v>
      </c>
      <c r="O69" s="78">
        <f t="shared" si="52"/>
        <v>0.29276628888888889</v>
      </c>
      <c r="P69" s="78">
        <f t="shared" si="53"/>
        <v>2.0911877777777779E-2</v>
      </c>
      <c r="Q69" s="78">
        <f t="shared" si="54"/>
        <v>2.0911877777777779E-2</v>
      </c>
      <c r="R69" s="78">
        <f t="shared" si="55"/>
        <v>1.2965364222222222</v>
      </c>
      <c r="S69" s="159"/>
      <c r="T69" s="78"/>
      <c r="U69" s="121"/>
      <c r="W69" s="84">
        <f>D80</f>
        <v>237.4447194719472</v>
      </c>
      <c r="X69" s="78">
        <f>S82</f>
        <v>0.67065521293650798</v>
      </c>
      <c r="Y69" s="78">
        <f>U82</f>
        <v>1.7193124270221183E-2</v>
      </c>
      <c r="Z69" s="78"/>
      <c r="AA69" s="154"/>
      <c r="AB69" s="154"/>
      <c r="AC69" s="154"/>
    </row>
    <row r="70" spans="2:29" x14ac:dyDescent="0.15">
      <c r="B70" s="59"/>
      <c r="C70" s="170"/>
      <c r="D70" s="84"/>
      <c r="E70" s="57"/>
      <c r="F70" s="105" t="s">
        <v>107</v>
      </c>
      <c r="G70" s="166"/>
      <c r="H70" s="77">
        <f>1.605-G68</f>
        <v>1.5306666666666666</v>
      </c>
      <c r="I70" s="78">
        <f>1.652-G68</f>
        <v>1.5776666666666666</v>
      </c>
      <c r="J70" s="78">
        <f>1.698-G68</f>
        <v>1.6236666666666666</v>
      </c>
      <c r="K70" s="78">
        <f t="shared" si="58"/>
        <v>4.6019493333333328</v>
      </c>
      <c r="L70" s="78">
        <f t="shared" si="56"/>
        <v>4.7432548333333333</v>
      </c>
      <c r="M70" s="78">
        <f t="shared" si="56"/>
        <v>4.8815538333333333</v>
      </c>
      <c r="N70" s="78">
        <f t="shared" si="57"/>
        <v>4.7422526666666664</v>
      </c>
      <c r="O70" s="78">
        <f t="shared" si="52"/>
        <v>0.31615017777777776</v>
      </c>
      <c r="P70" s="78">
        <f t="shared" si="53"/>
        <v>2.2582155555555556E-2</v>
      </c>
      <c r="Q70" s="78">
        <f t="shared" si="54"/>
        <v>2.2582155555555556E-2</v>
      </c>
      <c r="R70" s="78">
        <f t="shared" si="55"/>
        <v>1.4000936444444445</v>
      </c>
      <c r="S70" s="124">
        <f>AVERAGE(R68:R70)</f>
        <v>1.3330280148148148</v>
      </c>
      <c r="T70" s="78">
        <f>STDEV(R68:R70)</f>
        <v>5.8155854169225848E-2</v>
      </c>
      <c r="U70" s="121">
        <f>T70/SQRT(3)</f>
        <v>3.3576298059555164E-2</v>
      </c>
      <c r="W70" s="84">
        <f>D83</f>
        <v>285.74471947194718</v>
      </c>
      <c r="X70" s="78">
        <f>S85</f>
        <v>0.54045659809523805</v>
      </c>
      <c r="Y70" s="78">
        <f>U85</f>
        <v>1.8601082710994001E-2</v>
      </c>
      <c r="Z70" s="78"/>
      <c r="AA70" s="154"/>
      <c r="AB70" s="154"/>
      <c r="AC70" s="154"/>
    </row>
    <row r="71" spans="2:29" x14ac:dyDescent="0.15">
      <c r="B71" s="59" t="s">
        <v>28</v>
      </c>
      <c r="C71" s="170">
        <v>0.55763888888888891</v>
      </c>
      <c r="D71" s="84">
        <v>95.628052805280532</v>
      </c>
      <c r="E71" s="57">
        <v>5</v>
      </c>
      <c r="F71" s="105" t="s">
        <v>105</v>
      </c>
      <c r="G71" s="166">
        <v>7.2666666666666671E-2</v>
      </c>
      <c r="H71" s="77">
        <f>1.545-G71</f>
        <v>1.4723333333333333</v>
      </c>
      <c r="I71" s="78">
        <f>1.571-G71</f>
        <v>1.4983333333333333</v>
      </c>
      <c r="J71" s="78">
        <f>1.562-G71</f>
        <v>1.4893333333333334</v>
      </c>
      <c r="K71" s="78">
        <f>3.1773*H71</f>
        <v>4.6780446999999992</v>
      </c>
      <c r="L71" s="78">
        <f t="shared" ref="L71:M73" si="59">3.1773*I71</f>
        <v>4.7606544999999993</v>
      </c>
      <c r="M71" s="78">
        <f t="shared" si="59"/>
        <v>4.7320587999999999</v>
      </c>
      <c r="N71" s="78">
        <f t="shared" si="57"/>
        <v>4.7235860000000001</v>
      </c>
      <c r="O71" s="78">
        <f>N71/20</f>
        <v>0.23617930000000001</v>
      </c>
      <c r="P71" s="78">
        <f t="shared" si="53"/>
        <v>1.6869950000000002E-2</v>
      </c>
      <c r="Q71" s="78">
        <f t="shared" si="54"/>
        <v>1.6869950000000002E-2</v>
      </c>
      <c r="R71" s="78">
        <f t="shared" si="55"/>
        <v>1.0459369000000001</v>
      </c>
      <c r="S71" s="159"/>
      <c r="T71" s="78"/>
      <c r="U71" s="121"/>
      <c r="W71" s="84">
        <f>D86</f>
        <v>333.24471947194718</v>
      </c>
      <c r="X71" s="78">
        <f>S88</f>
        <v>0.44546365238095237</v>
      </c>
      <c r="Y71" s="78">
        <f>U88</f>
        <v>2.756532607817215E-2</v>
      </c>
      <c r="Z71" s="78"/>
      <c r="AA71" s="154"/>
      <c r="AB71" s="154"/>
      <c r="AC71" s="154"/>
    </row>
    <row r="72" spans="2:29" ht="15" customHeight="1" x14ac:dyDescent="0.15">
      <c r="B72" s="59"/>
      <c r="C72" s="170"/>
      <c r="D72" s="84"/>
      <c r="E72" s="57"/>
      <c r="F72" s="105" t="s">
        <v>106</v>
      </c>
      <c r="G72" s="166"/>
      <c r="H72" s="77">
        <f>1.861-G71</f>
        <v>1.7883333333333333</v>
      </c>
      <c r="I72" s="78">
        <f>1.876-G71</f>
        <v>1.8033333333333332</v>
      </c>
      <c r="J72" s="78">
        <f>1.864-G71</f>
        <v>1.7913333333333334</v>
      </c>
      <c r="K72" s="78">
        <f t="shared" ref="K72:K73" si="60">3.1773*H72</f>
        <v>5.6820714999999993</v>
      </c>
      <c r="L72" s="78">
        <f t="shared" si="59"/>
        <v>5.7297309999999992</v>
      </c>
      <c r="M72" s="78">
        <f t="shared" si="59"/>
        <v>5.6916034</v>
      </c>
      <c r="N72" s="78">
        <f t="shared" si="57"/>
        <v>5.7011352999999998</v>
      </c>
      <c r="O72" s="78">
        <f>N72/20</f>
        <v>0.28505676499999999</v>
      </c>
      <c r="P72" s="78">
        <f t="shared" si="53"/>
        <v>2.0361197500000001E-2</v>
      </c>
      <c r="Q72" s="78">
        <f t="shared" si="54"/>
        <v>2.0361197500000001E-2</v>
      </c>
      <c r="R72" s="78">
        <f t="shared" si="55"/>
        <v>1.2623942450000001</v>
      </c>
      <c r="S72" s="159"/>
      <c r="T72" s="78"/>
      <c r="U72" s="121"/>
      <c r="W72" s="84">
        <f>D89</f>
        <v>430.01138613861383</v>
      </c>
      <c r="X72" s="78">
        <f>S91</f>
        <v>0.35984469333333324</v>
      </c>
      <c r="Y72" s="78">
        <f>U91</f>
        <v>1.2569675872212742E-2</v>
      </c>
      <c r="Z72" s="78"/>
      <c r="AA72" s="154"/>
      <c r="AB72" s="154"/>
      <c r="AC72" s="154"/>
    </row>
    <row r="73" spans="2:29" ht="15" customHeight="1" x14ac:dyDescent="0.15">
      <c r="B73" s="130"/>
      <c r="C73" s="171"/>
      <c r="D73" s="168"/>
      <c r="E73" s="91"/>
      <c r="F73" s="105" t="s">
        <v>107</v>
      </c>
      <c r="G73" s="167"/>
      <c r="H73" s="85">
        <f>1.584-G71</f>
        <v>1.5113333333333334</v>
      </c>
      <c r="I73" s="86">
        <f>1.617-G71</f>
        <v>1.5443333333333333</v>
      </c>
      <c r="J73" s="86">
        <f>1.689-G71</f>
        <v>1.6163333333333334</v>
      </c>
      <c r="K73" s="78">
        <f t="shared" si="60"/>
        <v>4.8019594000000003</v>
      </c>
      <c r="L73" s="78">
        <f t="shared" si="59"/>
        <v>4.9068103000000001</v>
      </c>
      <c r="M73" s="78">
        <f t="shared" si="59"/>
        <v>5.1355759000000001</v>
      </c>
      <c r="N73" s="78">
        <f t="shared" si="57"/>
        <v>4.9481152000000002</v>
      </c>
      <c r="O73" s="78">
        <f>N73/20</f>
        <v>0.24740576</v>
      </c>
      <c r="P73" s="78">
        <f t="shared" si="53"/>
        <v>1.7671840000000001E-2</v>
      </c>
      <c r="Q73" s="78">
        <f t="shared" si="54"/>
        <v>1.7671840000000001E-2</v>
      </c>
      <c r="R73" s="78">
        <f t="shared" si="55"/>
        <v>1.0956540800000001</v>
      </c>
      <c r="S73" s="124">
        <f>AVERAGE(R71:R73)</f>
        <v>1.1346617416666669</v>
      </c>
      <c r="T73" s="86">
        <f>STDEV(R71:R73)</f>
        <v>0.11337832157268032</v>
      </c>
      <c r="U73" s="125">
        <f>T73/SQRT(3)</f>
        <v>6.5459004480254948E-2</v>
      </c>
      <c r="W73" s="84"/>
      <c r="X73" s="78"/>
      <c r="Y73" s="78"/>
      <c r="Z73" s="78"/>
      <c r="AA73" s="154"/>
      <c r="AB73" s="154"/>
      <c r="AC73" s="154"/>
    </row>
    <row r="74" spans="2:29" x14ac:dyDescent="0.15">
      <c r="B74" s="173" t="s">
        <v>30</v>
      </c>
      <c r="C74" s="170">
        <v>0.4152777777777778</v>
      </c>
      <c r="D74" s="84">
        <v>140.21138613861388</v>
      </c>
      <c r="E74" s="57">
        <v>7</v>
      </c>
      <c r="F74" s="105" t="s">
        <v>105</v>
      </c>
      <c r="G74" s="166">
        <v>7.1333333333333346E-2</v>
      </c>
      <c r="H74" s="77">
        <f>1.502-G74</f>
        <v>1.4306666666666668</v>
      </c>
      <c r="I74" s="78">
        <f>1.557-G74</f>
        <v>1.4856666666666667</v>
      </c>
      <c r="J74" s="78">
        <f>1.502-G74</f>
        <v>1.4306666666666668</v>
      </c>
      <c r="K74" s="78">
        <f>3.1582*H74</f>
        <v>4.518331466666667</v>
      </c>
      <c r="L74" s="78">
        <f t="shared" ref="L74:M76" si="61">3.1582*I74</f>
        <v>4.6920324666666664</v>
      </c>
      <c r="M74" s="78">
        <f t="shared" si="61"/>
        <v>4.518331466666667</v>
      </c>
      <c r="N74" s="78">
        <f t="shared" si="57"/>
        <v>4.5762317999999995</v>
      </c>
      <c r="O74" s="78">
        <f t="shared" ref="O74:O85" si="62">N74/20</f>
        <v>0.22881158999999998</v>
      </c>
      <c r="P74" s="78">
        <f t="shared" si="53"/>
        <v>1.6343685E-2</v>
      </c>
      <c r="Q74" s="78">
        <f t="shared" si="54"/>
        <v>1.6343685E-2</v>
      </c>
      <c r="R74" s="78">
        <f t="shared" si="55"/>
        <v>1.0133084699999999</v>
      </c>
      <c r="S74" s="158"/>
      <c r="T74" s="57"/>
      <c r="U74" s="83"/>
      <c r="W74" s="57"/>
      <c r="X74" s="78"/>
      <c r="Y74" s="78"/>
      <c r="Z74" s="78"/>
      <c r="AA74" s="78"/>
    </row>
    <row r="75" spans="2:29" x14ac:dyDescent="0.15">
      <c r="B75" s="59"/>
      <c r="C75" s="170"/>
      <c r="D75" s="84"/>
      <c r="E75" s="57"/>
      <c r="F75" s="105" t="s">
        <v>106</v>
      </c>
      <c r="G75" s="166"/>
      <c r="H75" s="77">
        <f>1.535-G74</f>
        <v>1.4636666666666667</v>
      </c>
      <c r="I75" s="78">
        <f>1.6-G74</f>
        <v>1.5286666666666668</v>
      </c>
      <c r="J75" s="78">
        <f>1.567-G74</f>
        <v>1.4956666666666667</v>
      </c>
      <c r="K75" s="78">
        <f t="shared" ref="K75:K76" si="63">3.1582*H75</f>
        <v>4.6225520666666666</v>
      </c>
      <c r="L75" s="78">
        <f t="shared" si="61"/>
        <v>4.8278350666666672</v>
      </c>
      <c r="M75" s="78">
        <f t="shared" si="61"/>
        <v>4.7236144666666666</v>
      </c>
      <c r="N75" s="78">
        <f t="shared" si="57"/>
        <v>4.7246671999999998</v>
      </c>
      <c r="O75" s="78">
        <f t="shared" si="62"/>
        <v>0.23623336</v>
      </c>
      <c r="P75" s="78">
        <f t="shared" si="53"/>
        <v>1.6873811428571427E-2</v>
      </c>
      <c r="Q75" s="78">
        <f t="shared" si="54"/>
        <v>1.6873811428571427E-2</v>
      </c>
      <c r="R75" s="78">
        <f t="shared" si="55"/>
        <v>1.0461763085714284</v>
      </c>
      <c r="S75" s="158"/>
      <c r="T75" s="57"/>
      <c r="U75" s="83"/>
      <c r="W75" s="154"/>
      <c r="X75" s="154"/>
      <c r="Y75" s="154"/>
      <c r="Z75" s="78"/>
      <c r="AA75" s="78"/>
    </row>
    <row r="76" spans="2:29" x14ac:dyDescent="0.15">
      <c r="B76" s="59"/>
      <c r="C76" s="170"/>
      <c r="D76" s="84"/>
      <c r="E76" s="57"/>
      <c r="F76" s="105" t="s">
        <v>107</v>
      </c>
      <c r="G76" s="166"/>
      <c r="H76" s="77">
        <f>1.602-G74</f>
        <v>1.5306666666666668</v>
      </c>
      <c r="I76" s="78">
        <f>1.597-G74</f>
        <v>1.5256666666666667</v>
      </c>
      <c r="J76" s="78">
        <f>1.631-G74</f>
        <v>1.5596666666666668</v>
      </c>
      <c r="K76" s="78">
        <f t="shared" si="63"/>
        <v>4.8341514666666674</v>
      </c>
      <c r="L76" s="78">
        <f t="shared" si="61"/>
        <v>4.8183604666666664</v>
      </c>
      <c r="M76" s="78">
        <f t="shared" si="61"/>
        <v>4.9257392666666666</v>
      </c>
      <c r="N76" s="78">
        <f t="shared" si="57"/>
        <v>4.8594170666666665</v>
      </c>
      <c r="O76" s="78">
        <f t="shared" si="62"/>
        <v>0.24297085333333332</v>
      </c>
      <c r="P76" s="78">
        <f t="shared" si="53"/>
        <v>1.735506095238095E-2</v>
      </c>
      <c r="Q76" s="78">
        <f t="shared" si="54"/>
        <v>1.735506095238095E-2</v>
      </c>
      <c r="R76" s="78">
        <f t="shared" si="55"/>
        <v>1.076013779047619</v>
      </c>
      <c r="S76" s="124">
        <f>AVERAGE(R74:R76)</f>
        <v>1.0451661858730157</v>
      </c>
      <c r="T76" s="78">
        <f>STDEV(R74:R76)</f>
        <v>3.136485623414749E-2</v>
      </c>
      <c r="U76" s="121">
        <f>T76/SQRT(3)</f>
        <v>1.8108508189878966E-2</v>
      </c>
      <c r="Z76" s="78"/>
      <c r="AA76" s="78"/>
    </row>
    <row r="77" spans="2:29" x14ac:dyDescent="0.15">
      <c r="B77" s="59" t="s">
        <v>32</v>
      </c>
      <c r="C77" s="170">
        <v>0.44305555555555554</v>
      </c>
      <c r="D77" s="84">
        <v>188.87805280528053</v>
      </c>
      <c r="E77" s="57">
        <v>9</v>
      </c>
      <c r="F77" s="105" t="s">
        <v>105</v>
      </c>
      <c r="G77" s="166">
        <v>7.3999999999999996E-2</v>
      </c>
      <c r="H77" s="77">
        <f>1.298-G77</f>
        <v>1.224</v>
      </c>
      <c r="I77" s="78">
        <f>1.463-G77</f>
        <v>1.389</v>
      </c>
      <c r="J77" s="78">
        <f>1.285-G77</f>
        <v>1.2109999999999999</v>
      </c>
      <c r="K77" s="78">
        <f>3.0993*H77</f>
        <v>3.7935431999999998</v>
      </c>
      <c r="L77" s="78">
        <f t="shared" ref="L77:M79" si="64">3.0993*I77</f>
        <v>4.3049277000000004</v>
      </c>
      <c r="M77" s="78">
        <f t="shared" si="64"/>
        <v>3.7532522999999993</v>
      </c>
      <c r="N77" s="78">
        <f t="shared" si="57"/>
        <v>3.9505744000000003</v>
      </c>
      <c r="O77" s="78">
        <f t="shared" si="62"/>
        <v>0.19752872000000002</v>
      </c>
      <c r="P77" s="78">
        <f t="shared" si="53"/>
        <v>1.4109194285714288E-2</v>
      </c>
      <c r="Q77" s="78">
        <f t="shared" si="54"/>
        <v>1.4109194285714288E-2</v>
      </c>
      <c r="R77" s="78">
        <f t="shared" si="55"/>
        <v>0.87477004571428585</v>
      </c>
      <c r="S77" s="158"/>
      <c r="T77" s="57"/>
      <c r="U77" s="83"/>
      <c r="Z77" s="78"/>
      <c r="AA77" s="78"/>
    </row>
    <row r="78" spans="2:29" x14ac:dyDescent="0.15">
      <c r="B78" s="59"/>
      <c r="C78" s="170"/>
      <c r="D78" s="84"/>
      <c r="E78" s="57"/>
      <c r="F78" s="105" t="s">
        <v>106</v>
      </c>
      <c r="G78" s="166"/>
      <c r="H78" s="77">
        <f>1.384-G77</f>
        <v>1.3099999999999998</v>
      </c>
      <c r="I78" s="78">
        <f>1.35-G77</f>
        <v>1.276</v>
      </c>
      <c r="J78" s="78">
        <f>1.266-G77</f>
        <v>1.1919999999999999</v>
      </c>
      <c r="K78" s="78">
        <f t="shared" ref="K78:K79" si="65">3.0993*H78</f>
        <v>4.0600829999999997</v>
      </c>
      <c r="L78" s="78">
        <f t="shared" si="64"/>
        <v>3.9547067999999999</v>
      </c>
      <c r="M78" s="78">
        <f t="shared" si="64"/>
        <v>3.6943655999999998</v>
      </c>
      <c r="N78" s="78">
        <f t="shared" si="57"/>
        <v>3.9030517999999996</v>
      </c>
      <c r="O78" s="78">
        <f t="shared" si="62"/>
        <v>0.19515258999999999</v>
      </c>
      <c r="P78" s="78">
        <f t="shared" si="53"/>
        <v>1.3939470714285713E-2</v>
      </c>
      <c r="Q78" s="78">
        <f t="shared" si="54"/>
        <v>1.3939470714285713E-2</v>
      </c>
      <c r="R78" s="78">
        <f t="shared" si="55"/>
        <v>0.86424718428571423</v>
      </c>
      <c r="S78" s="158"/>
      <c r="T78" s="57"/>
      <c r="U78" s="83"/>
      <c r="Z78" s="78"/>
      <c r="AA78" s="78"/>
    </row>
    <row r="79" spans="2:29" x14ac:dyDescent="0.15">
      <c r="B79" s="59"/>
      <c r="C79" s="170"/>
      <c r="D79" s="84"/>
      <c r="E79" s="57"/>
      <c r="F79" s="105" t="s">
        <v>107</v>
      </c>
      <c r="G79" s="166"/>
      <c r="H79" s="77">
        <f>1.28-G77</f>
        <v>1.206</v>
      </c>
      <c r="I79" s="78">
        <f>1.279-G77</f>
        <v>1.2049999999999998</v>
      </c>
      <c r="J79" s="78">
        <f>1.257-G77</f>
        <v>1.1829999999999998</v>
      </c>
      <c r="K79" s="78">
        <f t="shared" si="65"/>
        <v>3.7377558</v>
      </c>
      <c r="L79" s="78">
        <f t="shared" si="64"/>
        <v>3.7346564999999994</v>
      </c>
      <c r="M79" s="78">
        <f t="shared" si="64"/>
        <v>3.6664718999999995</v>
      </c>
      <c r="N79" s="78">
        <f t="shared" si="57"/>
        <v>3.7129613999999997</v>
      </c>
      <c r="O79" s="78">
        <f t="shared" si="62"/>
        <v>0.18564807</v>
      </c>
      <c r="P79" s="78">
        <f t="shared" si="53"/>
        <v>1.3260576428571428E-2</v>
      </c>
      <c r="Q79" s="78">
        <f t="shared" si="54"/>
        <v>1.3260576428571428E-2</v>
      </c>
      <c r="R79" s="78">
        <f t="shared" si="55"/>
        <v>0.82215573857142854</v>
      </c>
      <c r="S79" s="159">
        <f>AVERAGE(R77:R79)</f>
        <v>0.85372432285714284</v>
      </c>
      <c r="T79" s="78">
        <f>STDEV(R77:R79)</f>
        <v>2.7840874420793926E-2</v>
      </c>
      <c r="U79" s="121">
        <f>T79/SQRT(2)</f>
        <v>1.9686471097106476E-2</v>
      </c>
      <c r="Z79" s="78"/>
      <c r="AA79" s="78"/>
    </row>
    <row r="80" spans="2:29" x14ac:dyDescent="0.15">
      <c r="B80" s="131" t="s">
        <v>34</v>
      </c>
      <c r="C80" s="172">
        <v>0.46666666666666662</v>
      </c>
      <c r="D80" s="169">
        <v>237.4447194719472</v>
      </c>
      <c r="E80" s="104">
        <v>11</v>
      </c>
      <c r="F80" s="105" t="s">
        <v>105</v>
      </c>
      <c r="G80" s="166">
        <v>6.533333333333334E-2</v>
      </c>
      <c r="H80" s="96">
        <f>0.922-G80</f>
        <v>0.85666666666666669</v>
      </c>
      <c r="I80" s="97">
        <f>1.019-G80</f>
        <v>0.95366666666666655</v>
      </c>
      <c r="J80" s="97">
        <f>0.911-G80</f>
        <v>0.84566666666666668</v>
      </c>
      <c r="K80" s="78">
        <f>3.3959*H80</f>
        <v>2.9091543333333334</v>
      </c>
      <c r="L80" s="78">
        <f t="shared" ref="L80:M82" si="66">3.3959*I80</f>
        <v>3.2385566333333329</v>
      </c>
      <c r="M80" s="78">
        <f t="shared" si="66"/>
        <v>2.8717994333333334</v>
      </c>
      <c r="N80" s="78">
        <f t="shared" si="57"/>
        <v>3.0065034666666666</v>
      </c>
      <c r="O80" s="78">
        <f t="shared" si="62"/>
        <v>0.15032517333333334</v>
      </c>
      <c r="P80" s="78">
        <f t="shared" si="53"/>
        <v>1.0737512380952382E-2</v>
      </c>
      <c r="Q80" s="78">
        <f t="shared" si="54"/>
        <v>1.0737512380952382E-2</v>
      </c>
      <c r="R80" s="78">
        <f t="shared" si="55"/>
        <v>0.66572576761904767</v>
      </c>
      <c r="S80" s="122"/>
      <c r="T80" s="97"/>
      <c r="U80" s="123"/>
      <c r="Z80" s="78"/>
      <c r="AA80" s="78"/>
    </row>
    <row r="81" spans="1:27" x14ac:dyDescent="0.15">
      <c r="B81" s="59"/>
      <c r="C81" s="170"/>
      <c r="D81" s="84"/>
      <c r="E81" s="57"/>
      <c r="F81" s="105" t="s">
        <v>106</v>
      </c>
      <c r="G81" s="166"/>
      <c r="H81" s="77">
        <f>0.893-G80</f>
        <v>0.82766666666666666</v>
      </c>
      <c r="I81" s="78">
        <f>1.012-G80</f>
        <v>0.94666666666666666</v>
      </c>
      <c r="J81" s="78">
        <f>1.072-G80</f>
        <v>1.0066666666666668</v>
      </c>
      <c r="K81" s="78">
        <f t="shared" ref="K81:K82" si="67">3.3959*H81</f>
        <v>2.8106732333333335</v>
      </c>
      <c r="L81" s="78">
        <f t="shared" si="66"/>
        <v>3.2147853333333334</v>
      </c>
      <c r="M81" s="78">
        <f t="shared" si="66"/>
        <v>3.4185393333333338</v>
      </c>
      <c r="N81" s="78">
        <f t="shared" si="57"/>
        <v>3.1479993000000004</v>
      </c>
      <c r="O81" s="78">
        <f t="shared" si="62"/>
        <v>0.15739996500000003</v>
      </c>
      <c r="P81" s="78">
        <f t="shared" si="53"/>
        <v>1.1242854642857144E-2</v>
      </c>
      <c r="Q81" s="78">
        <f t="shared" si="54"/>
        <v>1.1242854642857144E-2</v>
      </c>
      <c r="R81" s="78">
        <f t="shared" si="55"/>
        <v>0.69705698785714298</v>
      </c>
      <c r="S81" s="159"/>
      <c r="T81" s="78"/>
      <c r="U81" s="121"/>
      <c r="Z81" s="78"/>
      <c r="AA81" s="78"/>
    </row>
    <row r="82" spans="1:27" x14ac:dyDescent="0.15">
      <c r="B82" s="59"/>
      <c r="C82" s="170"/>
      <c r="D82" s="84"/>
      <c r="E82" s="57"/>
      <c r="F82" s="105" t="s">
        <v>107</v>
      </c>
      <c r="G82" s="166"/>
      <c r="H82" s="77">
        <f>0.902-G80</f>
        <v>0.83666666666666667</v>
      </c>
      <c r="I82" s="78">
        <f>0.899-G80</f>
        <v>0.83366666666666667</v>
      </c>
      <c r="J82" s="78">
        <f>0.985-G80</f>
        <v>0.91966666666666663</v>
      </c>
      <c r="K82" s="78">
        <f t="shared" si="67"/>
        <v>2.8412363333333333</v>
      </c>
      <c r="L82" s="78">
        <f t="shared" si="66"/>
        <v>2.8310486333333333</v>
      </c>
      <c r="M82" s="78">
        <f t="shared" si="66"/>
        <v>3.1230960333333333</v>
      </c>
      <c r="N82" s="78">
        <f t="shared" si="57"/>
        <v>2.9317936666666662</v>
      </c>
      <c r="O82" s="78">
        <f t="shared" si="62"/>
        <v>0.1465896833333333</v>
      </c>
      <c r="P82" s="78">
        <f t="shared" si="53"/>
        <v>1.0470691666666665E-2</v>
      </c>
      <c r="Q82" s="78">
        <f t="shared" si="54"/>
        <v>1.0470691666666665E-2</v>
      </c>
      <c r="R82" s="78">
        <f t="shared" si="55"/>
        <v>0.64918288333333329</v>
      </c>
      <c r="S82" s="124">
        <f>AVERAGE(R80:R82)</f>
        <v>0.67065521293650798</v>
      </c>
      <c r="T82" s="78">
        <f>STDEV(R80:R82)</f>
        <v>2.4314749522512821E-2</v>
      </c>
      <c r="U82" s="121">
        <f>T82/SQRT(2)</f>
        <v>1.7193124270221183E-2</v>
      </c>
      <c r="Z82" s="78"/>
      <c r="AA82" s="78"/>
    </row>
    <row r="83" spans="1:27" x14ac:dyDescent="0.15">
      <c r="B83" s="59" t="s">
        <v>36</v>
      </c>
      <c r="C83" s="170">
        <v>0.47916666666666669</v>
      </c>
      <c r="D83" s="84">
        <v>285.74471947194718</v>
      </c>
      <c r="E83" s="57">
        <v>13</v>
      </c>
      <c r="F83" s="105" t="s">
        <v>105</v>
      </c>
      <c r="G83" s="166">
        <v>6.9666666666666668E-2</v>
      </c>
      <c r="H83" s="77">
        <f>0.709-G83</f>
        <v>0.63933333333333331</v>
      </c>
      <c r="I83" s="78">
        <f>0.745-G83</f>
        <v>0.67533333333333334</v>
      </c>
      <c r="J83" s="78">
        <f>0.763-G83</f>
        <v>0.69333333333333336</v>
      </c>
      <c r="K83" s="78">
        <f>3.5976*H83</f>
        <v>2.3000655999999999</v>
      </c>
      <c r="L83" s="78">
        <f t="shared" ref="L83:M85" si="68">3.5976*I83</f>
        <v>2.4295792</v>
      </c>
      <c r="M83" s="78">
        <f t="shared" si="68"/>
        <v>2.4943360000000001</v>
      </c>
      <c r="N83" s="78">
        <f t="shared" si="57"/>
        <v>2.4079935999999997</v>
      </c>
      <c r="O83" s="78">
        <f t="shared" si="62"/>
        <v>0.12039967999999998</v>
      </c>
      <c r="P83" s="78">
        <f t="shared" si="53"/>
        <v>8.599977142857141E-3</v>
      </c>
      <c r="Q83" s="78">
        <f t="shared" si="54"/>
        <v>8.599977142857141E-3</v>
      </c>
      <c r="R83" s="78">
        <f t="shared" si="55"/>
        <v>0.53319858285714272</v>
      </c>
      <c r="S83" s="159"/>
      <c r="T83" s="78"/>
      <c r="U83" s="121"/>
      <c r="Z83" s="78"/>
      <c r="AA83" s="78"/>
    </row>
    <row r="84" spans="1:27" x14ac:dyDescent="0.15">
      <c r="B84" s="59"/>
      <c r="C84" s="170"/>
      <c r="D84" s="84"/>
      <c r="E84" s="57"/>
      <c r="F84" s="105" t="s">
        <v>106</v>
      </c>
      <c r="G84" s="166"/>
      <c r="H84" s="77">
        <f>0.7-G83</f>
        <v>0.6303333333333333</v>
      </c>
      <c r="I84" s="78">
        <f>0.734-G83</f>
        <v>0.66433333333333333</v>
      </c>
      <c r="J84" s="78">
        <f>0.705-G83</f>
        <v>0.63533333333333331</v>
      </c>
      <c r="K84" s="78">
        <f t="shared" ref="K84:K85" si="69">3.5976*H84</f>
        <v>2.2676871999999997</v>
      </c>
      <c r="L84" s="78">
        <f t="shared" si="68"/>
        <v>2.3900055999999998</v>
      </c>
      <c r="M84" s="78">
        <f t="shared" si="68"/>
        <v>2.2856752</v>
      </c>
      <c r="N84" s="78">
        <f t="shared" si="57"/>
        <v>2.3144559999999998</v>
      </c>
      <c r="O84" s="78">
        <f t="shared" si="62"/>
        <v>0.11572279999999999</v>
      </c>
      <c r="P84" s="78">
        <f t="shared" si="53"/>
        <v>8.2659142857142848E-3</v>
      </c>
      <c r="Q84" s="78">
        <f t="shared" si="54"/>
        <v>8.2659142857142848E-3</v>
      </c>
      <c r="R84" s="78">
        <f t="shared" si="55"/>
        <v>0.51248668571428568</v>
      </c>
      <c r="S84" s="159"/>
      <c r="T84" s="78"/>
      <c r="U84" s="121"/>
      <c r="Z84" s="78"/>
      <c r="AA84" s="78"/>
    </row>
    <row r="85" spans="1:27" x14ac:dyDescent="0.15">
      <c r="B85" s="59"/>
      <c r="C85" s="170"/>
      <c r="D85" s="84"/>
      <c r="E85" s="57"/>
      <c r="F85" s="105" t="s">
        <v>107</v>
      </c>
      <c r="G85" s="166"/>
      <c r="H85" s="77">
        <f>0.755-G83</f>
        <v>0.68533333333333335</v>
      </c>
      <c r="I85" s="78">
        <f>0.807-G83</f>
        <v>0.7373333333333334</v>
      </c>
      <c r="J85" s="78">
        <f>0.815-G83</f>
        <v>0.74533333333333329</v>
      </c>
      <c r="K85" s="78">
        <f t="shared" si="69"/>
        <v>2.4655551999999998</v>
      </c>
      <c r="L85" s="78">
        <f t="shared" si="68"/>
        <v>2.6526304000000001</v>
      </c>
      <c r="M85" s="78">
        <f t="shared" si="68"/>
        <v>2.6814111999999999</v>
      </c>
      <c r="N85" s="78">
        <f t="shared" si="57"/>
        <v>2.5998655999999998</v>
      </c>
      <c r="O85" s="78">
        <f t="shared" si="62"/>
        <v>0.12999327999999999</v>
      </c>
      <c r="P85" s="78">
        <f t="shared" si="53"/>
        <v>9.2852342857142854E-3</v>
      </c>
      <c r="Q85" s="78">
        <f t="shared" si="54"/>
        <v>9.2852342857142854E-3</v>
      </c>
      <c r="R85" s="78">
        <f t="shared" si="55"/>
        <v>0.57568452571428574</v>
      </c>
      <c r="S85" s="159">
        <f>AVERAGE(R83:R85)</f>
        <v>0.54045659809523805</v>
      </c>
      <c r="T85" s="78">
        <f>STDEV(R83:R85)</f>
        <v>3.2218020331232639E-2</v>
      </c>
      <c r="U85" s="121">
        <f>T85/SQRT(3)</f>
        <v>1.8601082710994001E-2</v>
      </c>
    </row>
    <row r="86" spans="1:27" x14ac:dyDescent="0.15">
      <c r="B86" s="131" t="s">
        <v>38</v>
      </c>
      <c r="C86" s="172">
        <v>0.45833333333333331</v>
      </c>
      <c r="D86" s="169">
        <v>333.24471947194718</v>
      </c>
      <c r="E86" s="104">
        <v>15</v>
      </c>
      <c r="F86" s="105" t="s">
        <v>105</v>
      </c>
      <c r="G86" s="166">
        <v>7.2333333333333319E-2</v>
      </c>
      <c r="H86" s="96">
        <f>0.686-G86</f>
        <v>0.61366666666666669</v>
      </c>
      <c r="I86" s="97">
        <f>0.652-G86</f>
        <v>0.57966666666666666</v>
      </c>
      <c r="J86" s="97">
        <f>0.676-G86</f>
        <v>0.60366666666666668</v>
      </c>
      <c r="K86" s="78">
        <f>3.9395*H86</f>
        <v>2.4175398333333331</v>
      </c>
      <c r="L86" s="78">
        <f t="shared" ref="L86:M88" si="70">3.9395*I86</f>
        <v>2.2835968333333332</v>
      </c>
      <c r="M86" s="78">
        <f t="shared" si="70"/>
        <v>2.3781448333333333</v>
      </c>
      <c r="N86" s="78">
        <f t="shared" si="57"/>
        <v>2.3597605000000001</v>
      </c>
      <c r="O86" s="78">
        <f>N86/25</f>
        <v>9.4390420000000003E-2</v>
      </c>
      <c r="P86" s="78">
        <f t="shared" si="53"/>
        <v>6.742172857142857E-3</v>
      </c>
      <c r="Q86" s="78">
        <f t="shared" si="54"/>
        <v>6.742172857142857E-3</v>
      </c>
      <c r="R86" s="78">
        <f t="shared" si="55"/>
        <v>0.41801471714285715</v>
      </c>
      <c r="S86" s="126"/>
      <c r="T86" s="104"/>
      <c r="U86" s="127"/>
    </row>
    <row r="87" spans="1:27" x14ac:dyDescent="0.15">
      <c r="B87" s="59"/>
      <c r="C87" s="170"/>
      <c r="D87" s="84"/>
      <c r="E87" s="57"/>
      <c r="F87" s="105" t="s">
        <v>106</v>
      </c>
      <c r="G87" s="166"/>
      <c r="H87" s="77">
        <f>0.693-G86</f>
        <v>0.62066666666666659</v>
      </c>
      <c r="I87" s="78">
        <f>0.663-G86</f>
        <v>0.59066666666666667</v>
      </c>
      <c r="J87" s="78">
        <f>0.657-G86</f>
        <v>0.58466666666666667</v>
      </c>
      <c r="K87" s="78">
        <f t="shared" ref="K87:K88" si="71">3.9395*H87</f>
        <v>2.445116333333333</v>
      </c>
      <c r="L87" s="78">
        <f t="shared" si="70"/>
        <v>2.326931333333333</v>
      </c>
      <c r="M87" s="78">
        <f t="shared" si="70"/>
        <v>2.3032943333333331</v>
      </c>
      <c r="N87" s="78">
        <f t="shared" si="57"/>
        <v>2.3584473333333329</v>
      </c>
      <c r="O87" s="78">
        <f t="shared" ref="O87:O91" si="72">N87/25</f>
        <v>9.4337893333333311E-2</v>
      </c>
      <c r="P87" s="78">
        <f t="shared" si="53"/>
        <v>6.7384209523809512E-3</v>
      </c>
      <c r="Q87" s="78">
        <f t="shared" si="54"/>
        <v>6.7384209523809512E-3</v>
      </c>
      <c r="R87" s="78">
        <f t="shared" si="55"/>
        <v>0.41778209904761898</v>
      </c>
      <c r="S87" s="158"/>
      <c r="T87" s="57"/>
      <c r="U87" s="83"/>
    </row>
    <row r="88" spans="1:27" x14ac:dyDescent="0.15">
      <c r="B88" s="59"/>
      <c r="C88" s="170"/>
      <c r="D88" s="84"/>
      <c r="E88" s="57"/>
      <c r="F88" s="105" t="s">
        <v>107</v>
      </c>
      <c r="G88" s="166"/>
      <c r="H88" s="77">
        <f>0.801-G86</f>
        <v>0.72866666666666668</v>
      </c>
      <c r="I88" s="78">
        <f>0.773-G86</f>
        <v>0.70066666666666666</v>
      </c>
      <c r="J88" s="78">
        <f>0.795-G86</f>
        <v>0.72266666666666668</v>
      </c>
      <c r="K88" s="78">
        <f t="shared" si="71"/>
        <v>2.8705823333333331</v>
      </c>
      <c r="L88" s="78">
        <f t="shared" si="70"/>
        <v>2.7602763333333331</v>
      </c>
      <c r="M88" s="78">
        <f t="shared" si="70"/>
        <v>2.8469453333333332</v>
      </c>
      <c r="N88" s="78">
        <f t="shared" si="57"/>
        <v>2.8259346666666665</v>
      </c>
      <c r="O88" s="78">
        <f t="shared" si="72"/>
        <v>0.11303738666666666</v>
      </c>
      <c r="P88" s="78">
        <f t="shared" si="53"/>
        <v>8.0740990476190471E-3</v>
      </c>
      <c r="Q88" s="78">
        <f t="shared" si="54"/>
        <v>8.0740990476190471E-3</v>
      </c>
      <c r="R88" s="78">
        <f t="shared" si="55"/>
        <v>0.50059414095238097</v>
      </c>
      <c r="S88" s="124">
        <f>AVERAGE(R86:R88)</f>
        <v>0.44546365238095237</v>
      </c>
      <c r="T88" s="78">
        <f>STDEV(R86:R88)</f>
        <v>4.7744545294597505E-2</v>
      </c>
      <c r="U88" s="121">
        <f>T88/SQRT(3)</f>
        <v>2.756532607817215E-2</v>
      </c>
    </row>
    <row r="89" spans="1:27" x14ac:dyDescent="0.15">
      <c r="B89" s="173" t="s">
        <v>42</v>
      </c>
      <c r="C89" s="170">
        <v>0.49027777777777781</v>
      </c>
      <c r="D89" s="84">
        <v>430.01138613861383</v>
      </c>
      <c r="E89" s="57">
        <v>19</v>
      </c>
      <c r="F89" s="105" t="s">
        <v>105</v>
      </c>
      <c r="G89" s="166">
        <v>6.6333333333333341E-2</v>
      </c>
      <c r="H89" s="77">
        <f>0.581-G89</f>
        <v>0.51466666666666661</v>
      </c>
      <c r="I89" s="78">
        <f>0.573-G89</f>
        <v>0.5066666666666666</v>
      </c>
      <c r="J89" s="78">
        <f>0.578-G89</f>
        <v>0.5116666666666666</v>
      </c>
      <c r="K89" s="78">
        <f>4.0992*H89</f>
        <v>2.1097215999999994</v>
      </c>
      <c r="L89" s="78">
        <f t="shared" ref="L89:M91" si="73">4.0992*I89</f>
        <v>2.0769279999999997</v>
      </c>
      <c r="M89" s="78">
        <f t="shared" si="73"/>
        <v>2.0974239999999997</v>
      </c>
      <c r="N89" s="78">
        <f t="shared" si="57"/>
        <v>2.0946911999999998</v>
      </c>
      <c r="O89" s="78">
        <f t="shared" si="72"/>
        <v>8.3787647999999992E-2</v>
      </c>
      <c r="P89" s="78">
        <f t="shared" si="53"/>
        <v>5.9848319999999998E-3</v>
      </c>
      <c r="Q89" s="78">
        <f t="shared" si="54"/>
        <v>5.9848319999999998E-3</v>
      </c>
      <c r="R89" s="78">
        <f t="shared" si="55"/>
        <v>0.371059584</v>
      </c>
      <c r="S89" s="158"/>
      <c r="T89" s="57"/>
      <c r="U89" s="83"/>
    </row>
    <row r="90" spans="1:27" x14ac:dyDescent="0.15">
      <c r="B90" s="59"/>
      <c r="F90" s="105" t="s">
        <v>106</v>
      </c>
      <c r="G90" s="166"/>
      <c r="H90" s="77">
        <f>0.522-G89</f>
        <v>0.45566666666666666</v>
      </c>
      <c r="I90" s="78">
        <f>0.525-G89</f>
        <v>0.45866666666666667</v>
      </c>
      <c r="J90" s="78">
        <f>0.535-G89</f>
        <v>0.46866666666666668</v>
      </c>
      <c r="K90" s="78">
        <f t="shared" ref="K90:K91" si="74">4.0992*H90</f>
        <v>1.8678687999999999</v>
      </c>
      <c r="L90" s="78">
        <f t="shared" si="73"/>
        <v>1.8801663999999998</v>
      </c>
      <c r="M90" s="78">
        <f t="shared" si="73"/>
        <v>1.9211583999999999</v>
      </c>
      <c r="N90" s="78">
        <f t="shared" si="57"/>
        <v>1.8897311999999999</v>
      </c>
      <c r="O90" s="78">
        <f t="shared" si="72"/>
        <v>7.5589247999999998E-2</v>
      </c>
      <c r="P90" s="78">
        <f t="shared" si="53"/>
        <v>5.3992319999999995E-3</v>
      </c>
      <c r="Q90" s="78">
        <f t="shared" si="54"/>
        <v>5.3992319999999995E-3</v>
      </c>
      <c r="R90" s="78">
        <f t="shared" si="55"/>
        <v>0.33475238399999996</v>
      </c>
      <c r="S90" s="158"/>
      <c r="T90" s="57"/>
      <c r="U90" s="83"/>
    </row>
    <row r="91" spans="1:27" ht="14" thickBot="1" x14ac:dyDescent="0.2">
      <c r="A91" s="49"/>
      <c r="B91" s="138"/>
      <c r="C91" s="160"/>
      <c r="D91" s="160"/>
      <c r="E91" s="160"/>
      <c r="F91" s="142" t="s">
        <v>107</v>
      </c>
      <c r="G91" s="161"/>
      <c r="H91" s="145">
        <f>0.584-G89</f>
        <v>0.51766666666666661</v>
      </c>
      <c r="I91" s="106">
        <f>0.596-G89</f>
        <v>0.52966666666666662</v>
      </c>
      <c r="J91" s="106">
        <f>0.563-G89</f>
        <v>0.49666666666666659</v>
      </c>
      <c r="K91" s="106">
        <f t="shared" si="74"/>
        <v>2.1220191999999996</v>
      </c>
      <c r="L91" s="106">
        <f t="shared" si="73"/>
        <v>2.1712095999999996</v>
      </c>
      <c r="M91" s="106">
        <f t="shared" si="73"/>
        <v>2.0359359999999995</v>
      </c>
      <c r="N91" s="106">
        <f t="shared" si="57"/>
        <v>2.1097215999999999</v>
      </c>
      <c r="O91" s="106">
        <f t="shared" si="72"/>
        <v>8.4388863999999994E-2</v>
      </c>
      <c r="P91" s="106">
        <f t="shared" si="53"/>
        <v>6.0277759999999994E-3</v>
      </c>
      <c r="Q91" s="106">
        <f t="shared" si="54"/>
        <v>6.0277759999999994E-3</v>
      </c>
      <c r="R91" s="106">
        <f t="shared" si="55"/>
        <v>0.37372211199999994</v>
      </c>
      <c r="S91" s="162">
        <f>AVERAGE(R89:R91)</f>
        <v>0.35984469333333324</v>
      </c>
      <c r="T91" s="106">
        <f>STDEV(R89:R91)</f>
        <v>2.1771317245345111E-2</v>
      </c>
      <c r="U91" s="144">
        <f>T91/SQRT(3)</f>
        <v>1.2569675872212742E-2</v>
      </c>
    </row>
    <row r="92" spans="1:27" x14ac:dyDescent="0.15">
      <c r="B92" s="57"/>
      <c r="C92" s="57"/>
      <c r="D92" s="57"/>
      <c r="E92" s="57"/>
      <c r="F92" s="57"/>
      <c r="G92" s="57"/>
      <c r="H92" s="57"/>
      <c r="I92" s="57"/>
      <c r="J92" s="57"/>
      <c r="K92" s="57"/>
      <c r="L92" s="57"/>
      <c r="M92" s="57"/>
      <c r="N92" s="57"/>
      <c r="O92" s="57"/>
      <c r="P92" s="57"/>
      <c r="Q92" s="57"/>
      <c r="R92" s="57"/>
      <c r="S92" s="57"/>
      <c r="T92" s="57"/>
      <c r="U92" s="57"/>
    </row>
    <row r="93" spans="1:27" x14ac:dyDescent="0.15">
      <c r="B93" s="57"/>
      <c r="C93" s="57"/>
      <c r="D93" s="57"/>
      <c r="E93" s="57"/>
      <c r="F93" s="57"/>
      <c r="G93" s="57"/>
      <c r="H93" s="57"/>
      <c r="I93" s="57"/>
      <c r="J93" s="57"/>
      <c r="K93" s="57"/>
      <c r="L93" s="57"/>
      <c r="M93" s="57"/>
      <c r="N93" s="57"/>
      <c r="O93" s="57"/>
      <c r="P93" s="57"/>
      <c r="Q93" s="57"/>
      <c r="R93" s="57"/>
      <c r="S93" s="57"/>
      <c r="T93" s="57"/>
      <c r="U93" s="57"/>
    </row>
    <row r="94" spans="1:27" x14ac:dyDescent="0.15">
      <c r="B94" s="57"/>
      <c r="C94" s="57"/>
      <c r="D94" s="57"/>
      <c r="E94" s="57"/>
      <c r="F94" s="57"/>
      <c r="G94" s="57"/>
      <c r="H94" s="57"/>
      <c r="I94" s="57"/>
      <c r="J94" s="57"/>
      <c r="K94" s="57"/>
      <c r="L94" s="57"/>
      <c r="M94" s="57"/>
      <c r="N94" s="57"/>
      <c r="O94" s="57"/>
      <c r="P94" s="57"/>
      <c r="Q94" s="57"/>
      <c r="R94" s="57"/>
      <c r="S94" s="57"/>
      <c r="T94" s="57"/>
      <c r="U94" s="57"/>
    </row>
    <row r="95" spans="1:27" x14ac:dyDescent="0.15">
      <c r="B95" s="57"/>
      <c r="C95" s="57"/>
      <c r="D95" s="57"/>
      <c r="E95" s="57"/>
      <c r="F95" s="57"/>
      <c r="G95" s="57"/>
      <c r="H95" s="57"/>
      <c r="I95" s="57"/>
      <c r="J95" s="57"/>
      <c r="K95" s="57"/>
      <c r="L95" s="57"/>
      <c r="M95" s="57"/>
      <c r="N95" s="57"/>
      <c r="O95" s="57"/>
      <c r="P95" s="57"/>
      <c r="Q95" s="57"/>
      <c r="R95" s="57"/>
      <c r="S95" s="57"/>
      <c r="T95" s="57"/>
      <c r="U95" s="57"/>
    </row>
    <row r="96" spans="1:27" x14ac:dyDescent="0.15">
      <c r="B96" s="57"/>
      <c r="C96" s="57"/>
      <c r="D96" s="57"/>
      <c r="E96" s="57"/>
      <c r="F96" s="57"/>
      <c r="G96" s="57"/>
      <c r="H96" s="57"/>
      <c r="I96" s="57"/>
      <c r="J96" s="57"/>
      <c r="K96" s="57"/>
      <c r="L96" s="57"/>
      <c r="M96" s="57"/>
      <c r="N96" s="57"/>
      <c r="O96" s="57"/>
      <c r="P96" s="57"/>
      <c r="Q96" s="57"/>
      <c r="R96" s="57"/>
      <c r="S96" s="57"/>
      <c r="T96" s="57"/>
      <c r="U96" s="57"/>
    </row>
    <row r="97" spans="2:21" x14ac:dyDescent="0.15">
      <c r="B97" s="57"/>
      <c r="C97" s="57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7"/>
      <c r="S97" s="57"/>
      <c r="T97" s="57"/>
      <c r="U97" s="57"/>
    </row>
    <row r="98" spans="2:21" x14ac:dyDescent="0.15">
      <c r="B98" s="57"/>
      <c r="C98" s="57"/>
      <c r="D98" s="57"/>
      <c r="E98" s="57"/>
      <c r="F98" s="57"/>
      <c r="G98" s="57"/>
      <c r="H98" s="57"/>
      <c r="I98" s="57"/>
      <c r="J98" s="57"/>
      <c r="K98" s="57"/>
      <c r="L98" s="57"/>
      <c r="M98" s="57"/>
      <c r="N98" s="57"/>
      <c r="O98" s="57"/>
      <c r="P98" s="57"/>
      <c r="Q98" s="57"/>
      <c r="R98" s="57"/>
      <c r="S98" s="57"/>
      <c r="T98" s="57"/>
      <c r="U98" s="57"/>
    </row>
    <row r="99" spans="2:21" x14ac:dyDescent="0.15">
      <c r="B99" s="57"/>
      <c r="C99" s="57"/>
      <c r="D99" s="57"/>
      <c r="E99" s="57"/>
      <c r="F99" s="57"/>
      <c r="G99" s="57"/>
      <c r="H99" s="57"/>
      <c r="I99" s="57"/>
      <c r="J99" s="57"/>
      <c r="K99" s="57"/>
      <c r="L99" s="57"/>
      <c r="M99" s="57"/>
      <c r="N99" s="57"/>
      <c r="O99" s="57"/>
      <c r="P99" s="57"/>
      <c r="Q99" s="57"/>
      <c r="R99" s="57"/>
      <c r="S99" s="57"/>
      <c r="T99" s="57"/>
      <c r="U99" s="57"/>
    </row>
    <row r="100" spans="2:21" x14ac:dyDescent="0.15">
      <c r="B100" s="57"/>
      <c r="C100" s="57"/>
      <c r="D100" s="57"/>
      <c r="E100" s="57"/>
      <c r="F100" s="57"/>
      <c r="G100" s="57"/>
      <c r="H100" s="57"/>
      <c r="I100" s="57"/>
      <c r="J100" s="57"/>
      <c r="K100" s="57"/>
      <c r="L100" s="57"/>
      <c r="M100" s="57"/>
      <c r="N100" s="57"/>
      <c r="O100" s="57"/>
      <c r="P100" s="57"/>
      <c r="Q100" s="57"/>
      <c r="R100" s="57"/>
      <c r="S100" s="57"/>
      <c r="T100" s="57"/>
      <c r="U100" s="57"/>
    </row>
    <row r="101" spans="2:21" x14ac:dyDescent="0.15">
      <c r="B101" s="57"/>
      <c r="C101" s="57"/>
      <c r="D101" s="57"/>
      <c r="E101" s="57"/>
      <c r="F101" s="57"/>
      <c r="G101" s="57"/>
      <c r="H101" s="57"/>
      <c r="I101" s="57"/>
      <c r="J101" s="57"/>
      <c r="K101" s="57"/>
      <c r="L101" s="57"/>
      <c r="M101" s="57"/>
      <c r="N101" s="57"/>
      <c r="O101" s="57"/>
      <c r="P101" s="57"/>
      <c r="Q101" s="57"/>
      <c r="R101" s="57"/>
      <c r="S101" s="57"/>
      <c r="T101" s="57"/>
      <c r="U101" s="57"/>
    </row>
    <row r="102" spans="2:21" x14ac:dyDescent="0.15">
      <c r="B102" s="57"/>
      <c r="C102" s="57"/>
      <c r="D102" s="57"/>
      <c r="E102" s="57"/>
      <c r="F102" s="57"/>
      <c r="G102" s="57"/>
      <c r="H102" s="57"/>
      <c r="I102" s="57"/>
      <c r="J102" s="57"/>
      <c r="K102" s="57"/>
      <c r="L102" s="57"/>
      <c r="M102" s="57"/>
      <c r="N102" s="57"/>
      <c r="O102" s="57"/>
      <c r="P102" s="57"/>
      <c r="Q102" s="57"/>
      <c r="R102" s="57"/>
      <c r="S102" s="57"/>
      <c r="T102" s="57"/>
      <c r="U102" s="57"/>
    </row>
    <row r="103" spans="2:21" x14ac:dyDescent="0.15">
      <c r="B103" s="57"/>
      <c r="C103" s="57"/>
      <c r="D103" s="57"/>
      <c r="E103" s="57"/>
      <c r="F103" s="57"/>
      <c r="G103" s="57"/>
      <c r="H103" s="57"/>
      <c r="I103" s="57"/>
      <c r="J103" s="57"/>
      <c r="K103" s="57"/>
      <c r="L103" s="57"/>
      <c r="M103" s="57"/>
      <c r="N103" s="57"/>
      <c r="O103" s="57"/>
      <c r="P103" s="57"/>
      <c r="Q103" s="57"/>
      <c r="R103" s="57"/>
      <c r="S103" s="57"/>
      <c r="T103" s="57"/>
      <c r="U103" s="57"/>
    </row>
    <row r="104" spans="2:21" x14ac:dyDescent="0.15">
      <c r="B104" s="57"/>
      <c r="C104" s="57"/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  <c r="P104" s="57"/>
      <c r="Q104" s="57"/>
      <c r="R104" s="57"/>
      <c r="S104" s="57"/>
      <c r="T104" s="57"/>
      <c r="U104" s="57"/>
    </row>
    <row r="105" spans="2:21" x14ac:dyDescent="0.15">
      <c r="B105" s="57"/>
      <c r="C105" s="57"/>
      <c r="D105" s="57"/>
      <c r="E105" s="57"/>
      <c r="F105" s="57"/>
      <c r="G105" s="57"/>
      <c r="H105" s="57"/>
      <c r="I105" s="57"/>
      <c r="J105" s="57"/>
      <c r="K105" s="57"/>
      <c r="L105" s="57"/>
      <c r="M105" s="57"/>
      <c r="N105" s="57"/>
      <c r="O105" s="57"/>
      <c r="P105" s="57"/>
      <c r="Q105" s="57"/>
      <c r="R105" s="57"/>
      <c r="S105" s="57"/>
      <c r="T105" s="57"/>
      <c r="U105" s="57"/>
    </row>
    <row r="106" spans="2:21" x14ac:dyDescent="0.15">
      <c r="B106" s="57"/>
      <c r="C106" s="57"/>
      <c r="D106" s="57"/>
      <c r="E106" s="57"/>
      <c r="F106" s="57"/>
      <c r="G106" s="57"/>
      <c r="H106" s="57"/>
      <c r="I106" s="57"/>
      <c r="J106" s="57"/>
      <c r="K106" s="57"/>
      <c r="L106" s="57"/>
      <c r="M106" s="57"/>
      <c r="N106" s="57"/>
      <c r="O106" s="57"/>
      <c r="P106" s="57"/>
      <c r="Q106" s="57"/>
      <c r="R106" s="57"/>
      <c r="S106" s="57"/>
      <c r="T106" s="57"/>
      <c r="U106" s="57"/>
    </row>
    <row r="107" spans="2:21" x14ac:dyDescent="0.15">
      <c r="B107" s="57"/>
      <c r="C107" s="57"/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  <c r="O107" s="57"/>
      <c r="P107" s="57"/>
      <c r="Q107" s="57"/>
      <c r="R107" s="57"/>
      <c r="S107" s="57"/>
      <c r="T107" s="57"/>
      <c r="U107" s="57"/>
    </row>
    <row r="108" spans="2:21" x14ac:dyDescent="0.15"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  <c r="O108" s="57"/>
      <c r="P108" s="57"/>
      <c r="Q108" s="57"/>
      <c r="R108" s="57"/>
      <c r="S108" s="57"/>
      <c r="T108" s="57"/>
      <c r="U108" s="57"/>
    </row>
    <row r="109" spans="2:21" x14ac:dyDescent="0.15">
      <c r="B109" s="57"/>
      <c r="C109" s="57"/>
      <c r="D109" s="57"/>
      <c r="E109" s="57"/>
      <c r="F109" s="57"/>
      <c r="G109" s="57"/>
      <c r="H109" s="57"/>
      <c r="I109" s="57"/>
      <c r="J109" s="57"/>
      <c r="K109" s="57"/>
      <c r="L109" s="57"/>
      <c r="M109" s="57"/>
      <c r="N109" s="57"/>
      <c r="O109" s="57"/>
      <c r="P109" s="57"/>
      <c r="Q109" s="57"/>
      <c r="R109" s="57"/>
      <c r="S109" s="57"/>
      <c r="T109" s="57"/>
      <c r="U109" s="57"/>
    </row>
    <row r="110" spans="2:21" x14ac:dyDescent="0.15">
      <c r="B110" s="57"/>
      <c r="C110" s="57"/>
      <c r="D110" s="57"/>
      <c r="E110" s="57"/>
      <c r="F110" s="57"/>
      <c r="G110" s="57"/>
      <c r="H110" s="57"/>
      <c r="I110" s="57"/>
      <c r="J110" s="57"/>
      <c r="K110" s="57"/>
      <c r="L110" s="57"/>
      <c r="M110" s="57"/>
      <c r="N110" s="57"/>
      <c r="O110" s="57"/>
      <c r="P110" s="57"/>
      <c r="Q110" s="57"/>
      <c r="R110" s="57"/>
      <c r="S110" s="57"/>
      <c r="T110" s="57"/>
      <c r="U110" s="57"/>
    </row>
    <row r="111" spans="2:21" x14ac:dyDescent="0.15">
      <c r="B111" s="57"/>
      <c r="C111" s="57"/>
      <c r="D111" s="57"/>
      <c r="E111" s="57"/>
      <c r="F111" s="57"/>
      <c r="G111" s="57"/>
      <c r="H111" s="57"/>
      <c r="I111" s="57"/>
      <c r="J111" s="57"/>
      <c r="K111" s="57"/>
      <c r="L111" s="57"/>
      <c r="M111" s="57"/>
      <c r="N111" s="57"/>
      <c r="O111" s="57"/>
      <c r="P111" s="57"/>
      <c r="Q111" s="57"/>
      <c r="R111" s="57"/>
      <c r="S111" s="57"/>
      <c r="T111" s="57"/>
      <c r="U111" s="57"/>
    </row>
    <row r="112" spans="2:21" x14ac:dyDescent="0.15">
      <c r="B112" s="57"/>
      <c r="C112" s="57"/>
      <c r="D112" s="57"/>
      <c r="E112" s="57"/>
      <c r="F112" s="57"/>
      <c r="G112" s="57"/>
      <c r="H112" s="57"/>
      <c r="I112" s="57"/>
      <c r="J112" s="57"/>
      <c r="K112" s="57"/>
      <c r="L112" s="57"/>
      <c r="M112" s="57"/>
      <c r="N112" s="57"/>
      <c r="O112" s="57"/>
      <c r="P112" s="57"/>
      <c r="Q112" s="57"/>
      <c r="R112" s="57"/>
      <c r="S112" s="57"/>
      <c r="T112" s="57"/>
      <c r="U112" s="57"/>
    </row>
    <row r="113" spans="2:21" x14ac:dyDescent="0.15">
      <c r="B113" s="57"/>
      <c r="C113" s="57"/>
      <c r="D113" s="57"/>
      <c r="E113" s="57"/>
      <c r="F113" s="57"/>
      <c r="G113" s="57"/>
      <c r="H113" s="57"/>
      <c r="I113" s="57"/>
      <c r="J113" s="57"/>
      <c r="K113" s="57"/>
      <c r="L113" s="57"/>
      <c r="M113" s="57"/>
      <c r="N113" s="57"/>
      <c r="O113" s="57"/>
      <c r="P113" s="57"/>
      <c r="Q113" s="57"/>
      <c r="R113" s="57"/>
      <c r="S113" s="57"/>
      <c r="T113" s="57"/>
      <c r="U113" s="57"/>
    </row>
    <row r="114" spans="2:21" x14ac:dyDescent="0.15">
      <c r="B114" s="57"/>
      <c r="C114" s="57"/>
      <c r="D114" s="57"/>
      <c r="E114" s="57"/>
      <c r="F114" s="57"/>
      <c r="G114" s="57"/>
      <c r="H114" s="57"/>
      <c r="I114" s="57"/>
      <c r="J114" s="57"/>
      <c r="K114" s="57"/>
      <c r="L114" s="57"/>
      <c r="M114" s="57"/>
      <c r="N114" s="57"/>
      <c r="O114" s="57"/>
      <c r="P114" s="57"/>
      <c r="Q114" s="57"/>
      <c r="R114" s="57"/>
      <c r="S114" s="57"/>
      <c r="T114" s="57"/>
      <c r="U114" s="57"/>
    </row>
    <row r="115" spans="2:21" x14ac:dyDescent="0.15">
      <c r="B115" s="57"/>
      <c r="C115" s="57"/>
      <c r="D115" s="57"/>
      <c r="E115" s="57"/>
      <c r="F115" s="57"/>
      <c r="G115" s="57"/>
      <c r="H115" s="57"/>
      <c r="I115" s="57"/>
      <c r="J115" s="57"/>
      <c r="K115" s="57"/>
      <c r="L115" s="57"/>
      <c r="M115" s="57"/>
      <c r="N115" s="57"/>
      <c r="O115" s="57"/>
      <c r="P115" s="57"/>
      <c r="Q115" s="57"/>
      <c r="R115" s="57"/>
      <c r="S115" s="57"/>
      <c r="T115" s="57"/>
      <c r="U115" s="57"/>
    </row>
    <row r="116" spans="2:21" x14ac:dyDescent="0.15">
      <c r="B116" s="57"/>
      <c r="C116" s="57"/>
      <c r="D116" s="57"/>
      <c r="E116" s="57"/>
      <c r="F116" s="57"/>
      <c r="G116" s="57"/>
      <c r="H116" s="57"/>
      <c r="I116" s="57"/>
      <c r="J116" s="57"/>
      <c r="K116" s="57"/>
      <c r="L116" s="57"/>
      <c r="M116" s="57"/>
      <c r="N116" s="57"/>
      <c r="O116" s="57"/>
      <c r="P116" s="57"/>
      <c r="Q116" s="57"/>
      <c r="R116" s="57"/>
      <c r="S116" s="57"/>
      <c r="T116" s="57"/>
      <c r="U116" s="57"/>
    </row>
    <row r="117" spans="2:21" x14ac:dyDescent="0.15">
      <c r="B117" s="57"/>
      <c r="C117" s="57"/>
      <c r="D117" s="57"/>
      <c r="E117" s="57"/>
      <c r="F117" s="57"/>
      <c r="G117" s="57"/>
      <c r="H117" s="57"/>
      <c r="I117" s="57"/>
      <c r="J117" s="57"/>
      <c r="K117" s="57"/>
      <c r="L117" s="57"/>
      <c r="M117" s="57"/>
      <c r="N117" s="57"/>
      <c r="O117" s="57"/>
      <c r="P117" s="57"/>
      <c r="Q117" s="57"/>
      <c r="R117" s="57"/>
      <c r="S117" s="57"/>
      <c r="T117" s="57"/>
      <c r="U117" s="57"/>
    </row>
    <row r="118" spans="2:21" x14ac:dyDescent="0.15">
      <c r="B118" s="57"/>
      <c r="C118" s="57"/>
      <c r="D118" s="57"/>
      <c r="E118" s="57"/>
      <c r="F118" s="57"/>
      <c r="G118" s="57"/>
      <c r="H118" s="57"/>
      <c r="I118" s="57"/>
      <c r="J118" s="57"/>
      <c r="K118" s="57"/>
      <c r="L118" s="57"/>
      <c r="M118" s="57"/>
      <c r="N118" s="57"/>
      <c r="O118" s="57"/>
      <c r="P118" s="57"/>
      <c r="Q118" s="57"/>
      <c r="R118" s="57"/>
      <c r="S118" s="57"/>
      <c r="T118" s="57"/>
      <c r="U118" s="57"/>
    </row>
    <row r="119" spans="2:21" x14ac:dyDescent="0.15">
      <c r="B119" s="57"/>
      <c r="C119" s="57"/>
      <c r="D119" s="57"/>
      <c r="E119" s="57"/>
      <c r="F119" s="57"/>
      <c r="G119" s="57"/>
      <c r="H119" s="57"/>
      <c r="I119" s="57"/>
      <c r="J119" s="57"/>
      <c r="K119" s="57"/>
      <c r="L119" s="57"/>
      <c r="M119" s="57"/>
      <c r="N119" s="57"/>
      <c r="O119" s="57"/>
      <c r="P119" s="57"/>
      <c r="Q119" s="57"/>
      <c r="R119" s="57"/>
      <c r="S119" s="57"/>
      <c r="T119" s="57"/>
      <c r="U119" s="57"/>
    </row>
    <row r="120" spans="2:21" x14ac:dyDescent="0.15">
      <c r="B120" s="57"/>
      <c r="C120" s="57"/>
      <c r="D120" s="57"/>
      <c r="E120" s="57"/>
      <c r="F120" s="57"/>
      <c r="G120" s="57"/>
      <c r="H120" s="57"/>
      <c r="I120" s="57"/>
      <c r="J120" s="57"/>
      <c r="K120" s="57"/>
      <c r="L120" s="57"/>
      <c r="M120" s="57"/>
      <c r="N120" s="57"/>
      <c r="O120" s="57"/>
      <c r="P120" s="57"/>
      <c r="Q120" s="57"/>
      <c r="R120" s="57"/>
      <c r="S120" s="57"/>
      <c r="T120" s="57"/>
      <c r="U120" s="57"/>
    </row>
    <row r="121" spans="2:21" x14ac:dyDescent="0.15">
      <c r="B121" s="57"/>
      <c r="C121" s="57"/>
      <c r="D121" s="57"/>
      <c r="E121" s="57"/>
      <c r="F121" s="57"/>
      <c r="G121" s="57"/>
      <c r="H121" s="57"/>
      <c r="I121" s="57"/>
      <c r="J121" s="57"/>
      <c r="K121" s="57"/>
      <c r="L121" s="57"/>
      <c r="M121" s="57"/>
      <c r="N121" s="57"/>
      <c r="O121" s="57"/>
      <c r="P121" s="57"/>
      <c r="Q121" s="57"/>
      <c r="R121" s="57"/>
      <c r="S121" s="57"/>
      <c r="T121" s="57"/>
      <c r="U121" s="57"/>
    </row>
    <row r="122" spans="2:21" x14ac:dyDescent="0.15">
      <c r="B122" s="57"/>
      <c r="C122" s="57"/>
      <c r="D122" s="57"/>
      <c r="E122" s="57"/>
      <c r="F122" s="57"/>
      <c r="G122" s="57"/>
      <c r="H122" s="57"/>
      <c r="I122" s="57"/>
      <c r="J122" s="57"/>
      <c r="K122" s="57"/>
      <c r="L122" s="57"/>
      <c r="M122" s="57"/>
      <c r="N122" s="57"/>
      <c r="O122" s="57"/>
      <c r="P122" s="57"/>
      <c r="Q122" s="57"/>
      <c r="R122" s="57"/>
      <c r="S122" s="57"/>
      <c r="T122" s="57"/>
      <c r="U122" s="57"/>
    </row>
    <row r="123" spans="2:21" x14ac:dyDescent="0.15">
      <c r="B123" s="57"/>
      <c r="C123" s="57"/>
      <c r="D123" s="57"/>
      <c r="E123" s="57"/>
      <c r="F123" s="57"/>
      <c r="G123" s="57"/>
      <c r="H123" s="57"/>
      <c r="I123" s="57"/>
      <c r="J123" s="57"/>
      <c r="K123" s="57"/>
      <c r="L123" s="57"/>
      <c r="M123" s="57"/>
      <c r="N123" s="57"/>
      <c r="O123" s="57"/>
      <c r="P123" s="57"/>
      <c r="Q123" s="57"/>
      <c r="R123" s="57"/>
      <c r="S123" s="57"/>
      <c r="T123" s="57"/>
      <c r="U123" s="57"/>
    </row>
    <row r="124" spans="2:21" x14ac:dyDescent="0.15">
      <c r="B124" s="57"/>
      <c r="C124" s="57"/>
      <c r="D124" s="57"/>
      <c r="E124" s="57"/>
      <c r="F124" s="57"/>
      <c r="G124" s="57"/>
      <c r="H124" s="57"/>
      <c r="I124" s="57"/>
      <c r="J124" s="57"/>
      <c r="K124" s="57"/>
      <c r="L124" s="57"/>
      <c r="M124" s="57"/>
      <c r="N124" s="57"/>
      <c r="O124" s="57"/>
      <c r="P124" s="57"/>
      <c r="Q124" s="57"/>
      <c r="R124" s="57"/>
      <c r="S124" s="57"/>
      <c r="T124" s="57"/>
      <c r="U124" s="57"/>
    </row>
    <row r="125" spans="2:21" x14ac:dyDescent="0.15">
      <c r="B125" s="57"/>
      <c r="C125" s="57"/>
      <c r="D125" s="57"/>
      <c r="E125" s="57"/>
      <c r="F125" s="57"/>
      <c r="G125" s="57"/>
      <c r="H125" s="57"/>
      <c r="I125" s="57"/>
      <c r="J125" s="57"/>
      <c r="K125" s="57"/>
      <c r="L125" s="57"/>
      <c r="M125" s="57"/>
      <c r="N125" s="57"/>
      <c r="O125" s="57"/>
      <c r="P125" s="57"/>
      <c r="Q125" s="57"/>
      <c r="R125" s="57"/>
      <c r="S125" s="57"/>
      <c r="T125" s="57"/>
      <c r="U125" s="57"/>
    </row>
    <row r="126" spans="2:21" x14ac:dyDescent="0.15">
      <c r="B126" s="57"/>
      <c r="C126" s="57"/>
      <c r="D126" s="57"/>
      <c r="E126" s="57"/>
      <c r="F126" s="57"/>
      <c r="G126" s="57"/>
      <c r="H126" s="57"/>
      <c r="I126" s="57"/>
      <c r="J126" s="57"/>
      <c r="K126" s="57"/>
      <c r="L126" s="57"/>
      <c r="M126" s="57"/>
      <c r="N126" s="57"/>
      <c r="O126" s="57"/>
      <c r="P126" s="57"/>
      <c r="Q126" s="57"/>
      <c r="R126" s="57"/>
      <c r="S126" s="57"/>
      <c r="T126" s="57"/>
      <c r="U126" s="57"/>
    </row>
    <row r="127" spans="2:21" x14ac:dyDescent="0.15">
      <c r="B127" s="57"/>
      <c r="C127" s="57"/>
      <c r="D127" s="57"/>
      <c r="E127" s="57"/>
      <c r="F127" s="57"/>
      <c r="G127" s="57"/>
      <c r="H127" s="57"/>
      <c r="I127" s="57"/>
      <c r="J127" s="57"/>
      <c r="K127" s="57"/>
      <c r="L127" s="57"/>
      <c r="M127" s="57"/>
      <c r="N127" s="57"/>
      <c r="O127" s="57"/>
      <c r="P127" s="57"/>
      <c r="Q127" s="57"/>
      <c r="R127" s="57"/>
      <c r="S127" s="57"/>
      <c r="T127" s="57"/>
      <c r="U127" s="57"/>
    </row>
    <row r="128" spans="2:21" x14ac:dyDescent="0.15">
      <c r="B128" s="57"/>
      <c r="C128" s="57"/>
      <c r="D128" s="57"/>
      <c r="E128" s="57"/>
      <c r="F128" s="57"/>
      <c r="G128" s="57"/>
      <c r="H128" s="57"/>
      <c r="I128" s="57"/>
      <c r="J128" s="57"/>
      <c r="K128" s="57"/>
      <c r="L128" s="57"/>
      <c r="M128" s="57"/>
      <c r="N128" s="57"/>
      <c r="O128" s="57"/>
      <c r="P128" s="57"/>
      <c r="Q128" s="57"/>
      <c r="R128" s="57"/>
      <c r="S128" s="57"/>
      <c r="T128" s="57"/>
      <c r="U128" s="57"/>
    </row>
    <row r="129" spans="2:21" x14ac:dyDescent="0.15">
      <c r="B129" s="57"/>
      <c r="C129" s="57"/>
      <c r="D129" s="57"/>
      <c r="E129" s="57"/>
      <c r="F129" s="57"/>
      <c r="G129" s="57"/>
      <c r="H129" s="57"/>
      <c r="I129" s="57"/>
      <c r="J129" s="57"/>
      <c r="K129" s="57"/>
      <c r="L129" s="57"/>
      <c r="M129" s="57"/>
      <c r="N129" s="57"/>
      <c r="O129" s="57"/>
      <c r="P129" s="57"/>
      <c r="Q129" s="57"/>
      <c r="R129" s="57"/>
      <c r="S129" s="57"/>
      <c r="T129" s="57"/>
      <c r="U129" s="57"/>
    </row>
    <row r="130" spans="2:21" x14ac:dyDescent="0.15">
      <c r="B130" s="57"/>
      <c r="C130" s="57"/>
      <c r="D130" s="57"/>
      <c r="E130" s="57"/>
      <c r="F130" s="57"/>
      <c r="G130" s="57"/>
      <c r="H130" s="57"/>
      <c r="I130" s="57"/>
      <c r="J130" s="57"/>
      <c r="K130" s="57"/>
      <c r="L130" s="57"/>
      <c r="M130" s="57"/>
      <c r="N130" s="57"/>
      <c r="O130" s="57"/>
      <c r="P130" s="57"/>
      <c r="Q130" s="57"/>
      <c r="R130" s="57"/>
      <c r="S130" s="57"/>
      <c r="T130" s="57"/>
      <c r="U130" s="57"/>
    </row>
    <row r="131" spans="2:21" x14ac:dyDescent="0.15">
      <c r="B131" s="57"/>
      <c r="C131" s="57"/>
      <c r="D131" s="57"/>
      <c r="E131" s="57"/>
      <c r="F131" s="57"/>
      <c r="G131" s="57"/>
      <c r="H131" s="57"/>
      <c r="I131" s="57"/>
      <c r="J131" s="57"/>
      <c r="K131" s="57"/>
      <c r="L131" s="57"/>
      <c r="M131" s="57"/>
      <c r="N131" s="57"/>
      <c r="O131" s="57"/>
      <c r="P131" s="57"/>
      <c r="Q131" s="57"/>
      <c r="R131" s="57"/>
      <c r="S131" s="57"/>
      <c r="T131" s="57"/>
      <c r="U131" s="57"/>
    </row>
    <row r="132" spans="2:21" x14ac:dyDescent="0.15">
      <c r="B132" s="57"/>
      <c r="C132" s="57"/>
      <c r="D132" s="57"/>
      <c r="E132" s="57"/>
      <c r="F132" s="57"/>
      <c r="G132" s="57"/>
      <c r="H132" s="57"/>
      <c r="I132" s="57"/>
      <c r="J132" s="57"/>
      <c r="K132" s="57"/>
      <c r="L132" s="57"/>
      <c r="M132" s="57"/>
      <c r="N132" s="57"/>
      <c r="O132" s="57"/>
      <c r="P132" s="57"/>
      <c r="Q132" s="57"/>
      <c r="R132" s="57"/>
      <c r="S132" s="57"/>
      <c r="T132" s="57"/>
      <c r="U132" s="57"/>
    </row>
    <row r="133" spans="2:21" x14ac:dyDescent="0.15">
      <c r="B133" s="57"/>
      <c r="C133" s="57"/>
      <c r="D133" s="57"/>
      <c r="E133" s="57"/>
      <c r="F133" s="57"/>
      <c r="G133" s="57"/>
      <c r="H133" s="57"/>
      <c r="I133" s="57"/>
      <c r="J133" s="57"/>
      <c r="K133" s="57"/>
      <c r="L133" s="57"/>
      <c r="M133" s="57"/>
      <c r="N133" s="57"/>
      <c r="O133" s="57"/>
      <c r="P133" s="57"/>
      <c r="Q133" s="57"/>
      <c r="R133" s="57"/>
      <c r="S133" s="57"/>
      <c r="T133" s="57"/>
      <c r="U133" s="57"/>
    </row>
    <row r="134" spans="2:21" x14ac:dyDescent="0.15"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  <c r="O134" s="57"/>
      <c r="P134" s="57"/>
      <c r="Q134" s="57"/>
      <c r="R134" s="57"/>
      <c r="S134" s="57"/>
      <c r="T134" s="57"/>
      <c r="U134" s="57"/>
    </row>
    <row r="135" spans="2:21" x14ac:dyDescent="0.15">
      <c r="B135" s="57"/>
      <c r="C135" s="57"/>
      <c r="D135" s="57"/>
      <c r="E135" s="57"/>
      <c r="F135" s="57"/>
      <c r="G135" s="57"/>
      <c r="H135" s="57"/>
      <c r="I135" s="57"/>
      <c r="J135" s="57"/>
      <c r="K135" s="57"/>
      <c r="L135" s="57"/>
      <c r="M135" s="57"/>
      <c r="N135" s="57"/>
      <c r="O135" s="57"/>
      <c r="P135" s="57"/>
      <c r="Q135" s="57"/>
      <c r="R135" s="57"/>
      <c r="S135" s="57"/>
      <c r="T135" s="57"/>
      <c r="U135" s="57"/>
    </row>
    <row r="136" spans="2:21" x14ac:dyDescent="0.15">
      <c r="B136" s="57"/>
      <c r="C136" s="57"/>
      <c r="D136" s="57"/>
      <c r="E136" s="57"/>
      <c r="F136" s="57"/>
      <c r="G136" s="57"/>
      <c r="H136" s="57"/>
      <c r="I136" s="57"/>
      <c r="J136" s="57"/>
      <c r="K136" s="57"/>
      <c r="L136" s="57"/>
      <c r="M136" s="57"/>
      <c r="N136" s="57"/>
      <c r="O136" s="57"/>
      <c r="P136" s="57"/>
      <c r="Q136" s="57"/>
      <c r="R136" s="57"/>
      <c r="S136" s="57"/>
      <c r="T136" s="57"/>
      <c r="U136" s="57"/>
    </row>
    <row r="137" spans="2:21" x14ac:dyDescent="0.15">
      <c r="B137" s="57"/>
      <c r="C137" s="57"/>
      <c r="D137" s="57"/>
      <c r="E137" s="57"/>
      <c r="F137" s="57"/>
      <c r="G137" s="57"/>
      <c r="H137" s="57"/>
      <c r="I137" s="57"/>
      <c r="J137" s="57"/>
      <c r="K137" s="57"/>
      <c r="L137" s="57"/>
      <c r="M137" s="57"/>
      <c r="N137" s="57"/>
      <c r="O137" s="57"/>
      <c r="P137" s="57"/>
      <c r="Q137" s="57"/>
      <c r="R137" s="57"/>
      <c r="S137" s="57"/>
      <c r="T137" s="57"/>
      <c r="U137" s="57"/>
    </row>
    <row r="138" spans="2:21" x14ac:dyDescent="0.15">
      <c r="B138" s="57"/>
      <c r="C138" s="57"/>
      <c r="D138" s="57"/>
      <c r="E138" s="57"/>
      <c r="F138" s="57"/>
      <c r="G138" s="57"/>
      <c r="H138" s="57"/>
      <c r="I138" s="57"/>
      <c r="J138" s="57"/>
      <c r="K138" s="57"/>
      <c r="L138" s="57"/>
      <c r="M138" s="57"/>
      <c r="N138" s="57"/>
      <c r="O138" s="57"/>
      <c r="P138" s="57"/>
      <c r="Q138" s="57"/>
      <c r="R138" s="57"/>
      <c r="S138" s="57"/>
      <c r="T138" s="57"/>
      <c r="U138" s="57"/>
    </row>
    <row r="139" spans="2:21" x14ac:dyDescent="0.15">
      <c r="B139" s="57"/>
      <c r="C139" s="57"/>
      <c r="D139" s="57"/>
      <c r="E139" s="57"/>
      <c r="F139" s="57"/>
      <c r="G139" s="57"/>
      <c r="H139" s="57"/>
      <c r="I139" s="57"/>
      <c r="J139" s="57"/>
      <c r="K139" s="57"/>
      <c r="L139" s="57"/>
      <c r="M139" s="57"/>
      <c r="N139" s="57"/>
      <c r="O139" s="57"/>
      <c r="P139" s="57"/>
      <c r="Q139" s="57"/>
      <c r="R139" s="57"/>
      <c r="S139" s="57"/>
      <c r="T139" s="57"/>
      <c r="U139" s="57"/>
    </row>
    <row r="140" spans="2:21" x14ac:dyDescent="0.15">
      <c r="B140" s="57"/>
      <c r="C140" s="57"/>
      <c r="D140" s="57"/>
      <c r="E140" s="57"/>
      <c r="F140" s="57"/>
      <c r="G140" s="57"/>
      <c r="H140" s="57"/>
      <c r="I140" s="57"/>
      <c r="J140" s="57"/>
      <c r="K140" s="57"/>
      <c r="L140" s="57"/>
      <c r="M140" s="57"/>
      <c r="N140" s="57"/>
      <c r="O140" s="57"/>
      <c r="P140" s="57"/>
      <c r="Q140" s="57"/>
      <c r="R140" s="57"/>
      <c r="S140" s="57"/>
      <c r="T140" s="57"/>
      <c r="U140" s="57"/>
    </row>
    <row r="141" spans="2:21" x14ac:dyDescent="0.15">
      <c r="B141" s="57"/>
      <c r="C141" s="57"/>
      <c r="D141" s="57"/>
      <c r="E141" s="57"/>
      <c r="F141" s="57"/>
      <c r="G141" s="57"/>
      <c r="H141" s="57"/>
      <c r="I141" s="57"/>
      <c r="J141" s="57"/>
      <c r="K141" s="57"/>
      <c r="L141" s="57"/>
      <c r="M141" s="57"/>
      <c r="N141" s="57"/>
      <c r="O141" s="57"/>
      <c r="P141" s="57"/>
      <c r="Q141" s="57"/>
      <c r="R141" s="57"/>
      <c r="S141" s="57"/>
      <c r="T141" s="57"/>
      <c r="U141" s="57"/>
    </row>
    <row r="142" spans="2:21" x14ac:dyDescent="0.15">
      <c r="B142" s="57"/>
      <c r="C142" s="57"/>
      <c r="D142" s="57"/>
      <c r="E142" s="57"/>
      <c r="F142" s="57"/>
      <c r="G142" s="57"/>
      <c r="H142" s="57"/>
      <c r="I142" s="57"/>
      <c r="J142" s="57"/>
      <c r="K142" s="57"/>
      <c r="L142" s="57"/>
      <c r="M142" s="57"/>
      <c r="N142" s="57"/>
      <c r="O142" s="57"/>
      <c r="P142" s="57"/>
      <c r="Q142" s="57"/>
      <c r="R142" s="57"/>
      <c r="S142" s="57"/>
      <c r="T142" s="57"/>
      <c r="U142" s="57"/>
    </row>
    <row r="143" spans="2:21" x14ac:dyDescent="0.15">
      <c r="B143" s="57"/>
      <c r="C143" s="57"/>
      <c r="D143" s="57"/>
      <c r="E143" s="57"/>
      <c r="F143" s="57"/>
      <c r="G143" s="57"/>
      <c r="H143" s="57"/>
      <c r="I143" s="57"/>
      <c r="J143" s="57"/>
      <c r="K143" s="57"/>
      <c r="L143" s="57"/>
      <c r="M143" s="57"/>
      <c r="N143" s="57"/>
      <c r="O143" s="57"/>
      <c r="P143" s="57"/>
      <c r="Q143" s="57"/>
      <c r="R143" s="57"/>
      <c r="S143" s="57"/>
      <c r="T143" s="57"/>
      <c r="U143" s="57"/>
    </row>
    <row r="144" spans="2:21" x14ac:dyDescent="0.15">
      <c r="B144" s="57"/>
      <c r="C144" s="57"/>
      <c r="D144" s="57"/>
      <c r="E144" s="57"/>
      <c r="F144" s="57"/>
      <c r="G144" s="57"/>
      <c r="H144" s="57"/>
      <c r="I144" s="57"/>
      <c r="J144" s="57"/>
      <c r="K144" s="57"/>
      <c r="L144" s="57"/>
      <c r="M144" s="57"/>
      <c r="N144" s="57"/>
      <c r="O144" s="57"/>
      <c r="P144" s="57"/>
      <c r="Q144" s="57"/>
      <c r="R144" s="57"/>
      <c r="S144" s="57"/>
      <c r="T144" s="57"/>
      <c r="U144" s="57"/>
    </row>
    <row r="145" spans="2:21" x14ac:dyDescent="0.15">
      <c r="B145" s="57"/>
      <c r="C145" s="57"/>
      <c r="D145" s="57"/>
      <c r="E145" s="57"/>
      <c r="F145" s="57"/>
      <c r="G145" s="57"/>
      <c r="H145" s="57"/>
      <c r="I145" s="57"/>
      <c r="J145" s="57"/>
      <c r="K145" s="57"/>
      <c r="L145" s="57"/>
      <c r="M145" s="57"/>
      <c r="N145" s="57"/>
      <c r="O145" s="57"/>
      <c r="P145" s="57"/>
      <c r="Q145" s="57"/>
      <c r="R145" s="57"/>
      <c r="S145" s="57"/>
      <c r="T145" s="57"/>
      <c r="U145" s="57"/>
    </row>
    <row r="146" spans="2:21" x14ac:dyDescent="0.15">
      <c r="B146" s="57"/>
      <c r="C146" s="57"/>
      <c r="D146" s="57"/>
      <c r="E146" s="57"/>
      <c r="F146" s="57"/>
      <c r="G146" s="57"/>
      <c r="H146" s="57"/>
      <c r="I146" s="57"/>
      <c r="J146" s="57"/>
      <c r="K146" s="57"/>
      <c r="L146" s="57"/>
      <c r="M146" s="57"/>
      <c r="N146" s="57"/>
      <c r="O146" s="57"/>
      <c r="P146" s="57"/>
      <c r="Q146" s="57"/>
      <c r="R146" s="57"/>
      <c r="S146" s="57"/>
      <c r="T146" s="57"/>
      <c r="U146" s="57"/>
    </row>
    <row r="147" spans="2:21" x14ac:dyDescent="0.15">
      <c r="B147" s="57"/>
      <c r="C147" s="57"/>
      <c r="D147" s="57"/>
      <c r="E147" s="57"/>
      <c r="F147" s="57"/>
      <c r="G147" s="57"/>
      <c r="H147" s="57"/>
      <c r="I147" s="57"/>
      <c r="J147" s="57"/>
      <c r="K147" s="57"/>
      <c r="L147" s="57"/>
      <c r="M147" s="57"/>
      <c r="N147" s="57"/>
      <c r="O147" s="57"/>
      <c r="P147" s="57"/>
      <c r="Q147" s="57"/>
      <c r="R147" s="57"/>
      <c r="S147" s="57"/>
      <c r="T147" s="57"/>
      <c r="U147" s="57"/>
    </row>
    <row r="148" spans="2:21" x14ac:dyDescent="0.15">
      <c r="B148" s="57"/>
      <c r="C148" s="57"/>
      <c r="D148" s="57"/>
      <c r="E148" s="57"/>
      <c r="F148" s="57"/>
      <c r="G148" s="57"/>
      <c r="H148" s="57"/>
      <c r="I148" s="57"/>
      <c r="J148" s="57"/>
      <c r="K148" s="57"/>
      <c r="L148" s="57"/>
      <c r="M148" s="57"/>
      <c r="N148" s="57"/>
      <c r="O148" s="57"/>
      <c r="P148" s="57"/>
      <c r="Q148" s="57"/>
      <c r="R148" s="57"/>
      <c r="S148" s="57"/>
      <c r="T148" s="57"/>
      <c r="U148" s="57"/>
    </row>
    <row r="149" spans="2:21" x14ac:dyDescent="0.15">
      <c r="B149" s="57"/>
      <c r="C149" s="57"/>
      <c r="D149" s="57"/>
      <c r="E149" s="57"/>
      <c r="F149" s="57"/>
      <c r="G149" s="57"/>
      <c r="H149" s="57"/>
      <c r="I149" s="57"/>
      <c r="J149" s="57"/>
      <c r="K149" s="57"/>
      <c r="L149" s="57"/>
      <c r="M149" s="57"/>
      <c r="N149" s="57"/>
      <c r="O149" s="57"/>
      <c r="P149" s="57"/>
      <c r="Q149" s="57"/>
      <c r="R149" s="57"/>
      <c r="S149" s="57"/>
      <c r="T149" s="57"/>
      <c r="U149" s="57"/>
    </row>
    <row r="150" spans="2:21" x14ac:dyDescent="0.15">
      <c r="B150" s="57"/>
      <c r="C150" s="57"/>
      <c r="D150" s="57"/>
      <c r="E150" s="57"/>
      <c r="F150" s="57"/>
      <c r="G150" s="57"/>
      <c r="H150" s="57"/>
      <c r="I150" s="57"/>
      <c r="J150" s="57"/>
      <c r="K150" s="57"/>
      <c r="L150" s="57"/>
      <c r="M150" s="57"/>
      <c r="N150" s="57"/>
      <c r="O150" s="57"/>
      <c r="P150" s="57"/>
      <c r="Q150" s="57"/>
      <c r="R150" s="57"/>
      <c r="S150" s="57"/>
      <c r="T150" s="57"/>
      <c r="U150" s="57"/>
    </row>
    <row r="151" spans="2:21" x14ac:dyDescent="0.15">
      <c r="B151" s="57"/>
      <c r="C151" s="57"/>
      <c r="D151" s="57"/>
      <c r="E151" s="57"/>
      <c r="F151" s="57"/>
      <c r="G151" s="57"/>
      <c r="H151" s="57"/>
      <c r="I151" s="57"/>
      <c r="J151" s="57"/>
      <c r="K151" s="57"/>
      <c r="L151" s="57"/>
      <c r="M151" s="57"/>
      <c r="N151" s="57"/>
      <c r="O151" s="57"/>
      <c r="P151" s="57"/>
      <c r="Q151" s="57"/>
      <c r="R151" s="57"/>
      <c r="S151" s="57"/>
      <c r="T151" s="57"/>
      <c r="U151" s="57"/>
    </row>
    <row r="152" spans="2:21" x14ac:dyDescent="0.15">
      <c r="B152" s="57"/>
      <c r="C152" s="57"/>
      <c r="D152" s="57"/>
      <c r="E152" s="57"/>
      <c r="F152" s="57"/>
      <c r="G152" s="57"/>
      <c r="H152" s="57"/>
      <c r="I152" s="57"/>
      <c r="J152" s="57"/>
      <c r="K152" s="57"/>
      <c r="L152" s="57"/>
      <c r="M152" s="57"/>
      <c r="N152" s="57"/>
      <c r="O152" s="57"/>
      <c r="P152" s="57"/>
      <c r="Q152" s="57"/>
      <c r="R152" s="57"/>
      <c r="S152" s="57"/>
      <c r="T152" s="57"/>
      <c r="U152" s="57"/>
    </row>
    <row r="153" spans="2:21" x14ac:dyDescent="0.15">
      <c r="B153" s="57"/>
      <c r="C153" s="57"/>
      <c r="D153" s="57"/>
      <c r="E153" s="57"/>
      <c r="F153" s="57"/>
      <c r="G153" s="57"/>
      <c r="H153" s="57"/>
      <c r="I153" s="57"/>
      <c r="J153" s="57"/>
      <c r="K153" s="57"/>
      <c r="L153" s="57"/>
      <c r="M153" s="57"/>
      <c r="N153" s="57"/>
      <c r="O153" s="57"/>
      <c r="P153" s="57"/>
      <c r="Q153" s="57"/>
      <c r="R153" s="57"/>
      <c r="S153" s="57"/>
      <c r="T153" s="57"/>
      <c r="U153" s="57"/>
    </row>
    <row r="154" spans="2:21" x14ac:dyDescent="0.15">
      <c r="B154" s="57"/>
      <c r="C154" s="57"/>
      <c r="D154" s="57"/>
      <c r="E154" s="57"/>
      <c r="F154" s="57"/>
      <c r="G154" s="57"/>
      <c r="H154" s="57"/>
      <c r="I154" s="57"/>
      <c r="J154" s="57"/>
      <c r="K154" s="57"/>
      <c r="L154" s="57"/>
      <c r="M154" s="57"/>
      <c r="N154" s="57"/>
      <c r="O154" s="57"/>
      <c r="P154" s="57"/>
      <c r="Q154" s="57"/>
      <c r="R154" s="57"/>
      <c r="S154" s="57"/>
      <c r="T154" s="57"/>
      <c r="U154" s="57"/>
    </row>
    <row r="155" spans="2:21" x14ac:dyDescent="0.15">
      <c r="B155" s="57"/>
      <c r="C155" s="57"/>
      <c r="D155" s="57"/>
      <c r="E155" s="57"/>
      <c r="F155" s="57"/>
      <c r="G155" s="57"/>
      <c r="H155" s="57"/>
      <c r="I155" s="57"/>
      <c r="J155" s="57"/>
      <c r="K155" s="57"/>
      <c r="L155" s="57"/>
      <c r="M155" s="57"/>
      <c r="N155" s="57"/>
      <c r="O155" s="57"/>
      <c r="P155" s="57"/>
      <c r="Q155" s="57"/>
      <c r="R155" s="57"/>
      <c r="S155" s="57"/>
      <c r="T155" s="57"/>
      <c r="U155" s="57"/>
    </row>
    <row r="156" spans="2:21" x14ac:dyDescent="0.15">
      <c r="B156" s="57"/>
      <c r="C156" s="57"/>
      <c r="D156" s="57"/>
      <c r="E156" s="57"/>
      <c r="F156" s="57"/>
      <c r="G156" s="57"/>
      <c r="H156" s="57"/>
      <c r="I156" s="57"/>
      <c r="J156" s="57"/>
      <c r="K156" s="57"/>
      <c r="L156" s="57"/>
      <c r="M156" s="57"/>
      <c r="N156" s="57"/>
      <c r="O156" s="57"/>
      <c r="P156" s="57"/>
      <c r="Q156" s="57"/>
      <c r="R156" s="57"/>
      <c r="S156" s="57"/>
      <c r="T156" s="57"/>
      <c r="U156" s="57"/>
    </row>
    <row r="157" spans="2:21" x14ac:dyDescent="0.15">
      <c r="B157" s="57"/>
      <c r="C157" s="57"/>
      <c r="D157" s="57"/>
      <c r="E157" s="57"/>
      <c r="F157" s="57"/>
      <c r="G157" s="57"/>
      <c r="H157" s="57"/>
      <c r="I157" s="57"/>
      <c r="J157" s="57"/>
      <c r="K157" s="57"/>
      <c r="L157" s="57"/>
      <c r="M157" s="57"/>
      <c r="N157" s="57"/>
      <c r="O157" s="57"/>
      <c r="P157" s="57"/>
      <c r="Q157" s="57"/>
      <c r="R157" s="57"/>
      <c r="S157" s="57"/>
      <c r="T157" s="57"/>
      <c r="U157" s="57"/>
    </row>
    <row r="158" spans="2:21" x14ac:dyDescent="0.15">
      <c r="B158" s="57"/>
      <c r="C158" s="57"/>
      <c r="D158" s="57"/>
      <c r="E158" s="57"/>
      <c r="F158" s="57"/>
      <c r="G158" s="57"/>
      <c r="H158" s="57"/>
      <c r="I158" s="57"/>
      <c r="J158" s="57"/>
      <c r="K158" s="57"/>
      <c r="L158" s="57"/>
      <c r="M158" s="57"/>
      <c r="N158" s="57"/>
      <c r="O158" s="57"/>
      <c r="P158" s="57"/>
      <c r="Q158" s="57"/>
      <c r="R158" s="57"/>
      <c r="S158" s="57"/>
      <c r="T158" s="57"/>
      <c r="U158" s="57"/>
    </row>
    <row r="159" spans="2:21" x14ac:dyDescent="0.15">
      <c r="B159" s="57"/>
      <c r="C159" s="57"/>
      <c r="D159" s="57"/>
      <c r="E159" s="57"/>
      <c r="F159" s="57"/>
      <c r="G159" s="57"/>
      <c r="H159" s="57"/>
      <c r="I159" s="57"/>
      <c r="J159" s="57"/>
      <c r="K159" s="57"/>
      <c r="L159" s="57"/>
      <c r="M159" s="57"/>
      <c r="N159" s="57"/>
      <c r="O159" s="57"/>
      <c r="P159" s="57"/>
      <c r="Q159" s="57"/>
      <c r="R159" s="57"/>
      <c r="S159" s="57"/>
      <c r="T159" s="57"/>
      <c r="U159" s="57"/>
    </row>
    <row r="160" spans="2:21" x14ac:dyDescent="0.15"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  <c r="O160" s="57"/>
      <c r="P160" s="57"/>
      <c r="Q160" s="57"/>
      <c r="R160" s="57"/>
      <c r="S160" s="57"/>
      <c r="T160" s="57"/>
      <c r="U160" s="57"/>
    </row>
    <row r="161" spans="2:21" x14ac:dyDescent="0.15">
      <c r="B161" s="57"/>
      <c r="C161" s="57"/>
      <c r="D161" s="57"/>
      <c r="E161" s="57"/>
      <c r="F161" s="57"/>
      <c r="G161" s="57"/>
      <c r="H161" s="57"/>
      <c r="I161" s="57"/>
      <c r="J161" s="57"/>
      <c r="K161" s="57"/>
      <c r="L161" s="57"/>
      <c r="M161" s="57"/>
      <c r="N161" s="57"/>
      <c r="O161" s="57"/>
      <c r="P161" s="57"/>
      <c r="Q161" s="57"/>
      <c r="R161" s="57"/>
      <c r="S161" s="57"/>
      <c r="T161" s="57"/>
      <c r="U161" s="57"/>
    </row>
    <row r="162" spans="2:21" x14ac:dyDescent="0.15">
      <c r="B162" s="57"/>
      <c r="C162" s="57"/>
      <c r="D162" s="57"/>
      <c r="E162" s="57"/>
      <c r="F162" s="57"/>
      <c r="G162" s="57"/>
      <c r="H162" s="57"/>
      <c r="I162" s="57"/>
      <c r="J162" s="57"/>
      <c r="K162" s="57"/>
      <c r="L162" s="57"/>
      <c r="M162" s="57"/>
      <c r="N162" s="57"/>
      <c r="O162" s="57"/>
      <c r="P162" s="57"/>
      <c r="Q162" s="57"/>
      <c r="R162" s="57"/>
      <c r="S162" s="57"/>
      <c r="T162" s="57"/>
      <c r="U162" s="57"/>
    </row>
    <row r="163" spans="2:21" x14ac:dyDescent="0.15">
      <c r="B163" s="57"/>
      <c r="C163" s="57"/>
      <c r="D163" s="57"/>
      <c r="E163" s="57"/>
      <c r="F163" s="57"/>
      <c r="G163" s="57"/>
      <c r="H163" s="57"/>
      <c r="I163" s="57"/>
      <c r="J163" s="57"/>
      <c r="K163" s="57"/>
      <c r="L163" s="57"/>
      <c r="M163" s="57"/>
      <c r="N163" s="57"/>
      <c r="O163" s="57"/>
      <c r="P163" s="57"/>
      <c r="Q163" s="57"/>
      <c r="R163" s="57"/>
      <c r="S163" s="57"/>
      <c r="T163" s="57"/>
      <c r="U163" s="57"/>
    </row>
    <row r="164" spans="2:21" x14ac:dyDescent="0.15">
      <c r="B164" s="57"/>
      <c r="C164" s="57"/>
      <c r="D164" s="57"/>
      <c r="E164" s="57"/>
      <c r="F164" s="57"/>
      <c r="G164" s="57"/>
      <c r="H164" s="57"/>
      <c r="I164" s="57"/>
      <c r="J164" s="57"/>
      <c r="K164" s="57"/>
      <c r="L164" s="57"/>
      <c r="M164" s="57"/>
      <c r="N164" s="57"/>
      <c r="O164" s="57"/>
      <c r="P164" s="57"/>
      <c r="Q164" s="57"/>
      <c r="R164" s="57"/>
      <c r="S164" s="57"/>
      <c r="T164" s="57"/>
      <c r="U164" s="57"/>
    </row>
    <row r="165" spans="2:21" x14ac:dyDescent="0.15">
      <c r="B165" s="57"/>
      <c r="C165" s="57"/>
      <c r="D165" s="57"/>
      <c r="E165" s="57"/>
      <c r="F165" s="57"/>
      <c r="G165" s="57"/>
      <c r="H165" s="57"/>
      <c r="I165" s="57"/>
      <c r="J165" s="57"/>
      <c r="K165" s="57"/>
      <c r="L165" s="57"/>
      <c r="M165" s="57"/>
      <c r="N165" s="57"/>
      <c r="O165" s="57"/>
      <c r="P165" s="57"/>
      <c r="Q165" s="57"/>
      <c r="R165" s="57"/>
      <c r="S165" s="57"/>
      <c r="T165" s="57"/>
      <c r="U165" s="57"/>
    </row>
    <row r="166" spans="2:21" x14ac:dyDescent="0.15">
      <c r="B166" s="57"/>
      <c r="C166" s="57"/>
      <c r="D166" s="57"/>
      <c r="E166" s="57"/>
      <c r="F166" s="57"/>
      <c r="G166" s="57"/>
      <c r="H166" s="57"/>
      <c r="I166" s="57"/>
      <c r="J166" s="57"/>
      <c r="K166" s="57"/>
      <c r="L166" s="57"/>
      <c r="M166" s="57"/>
      <c r="N166" s="57"/>
      <c r="O166" s="57"/>
      <c r="P166" s="57"/>
      <c r="Q166" s="57"/>
      <c r="R166" s="57"/>
      <c r="S166" s="57"/>
      <c r="T166" s="57"/>
      <c r="U166" s="57"/>
    </row>
    <row r="167" spans="2:21" x14ac:dyDescent="0.15">
      <c r="B167" s="57"/>
      <c r="C167" s="57"/>
      <c r="D167" s="57"/>
      <c r="E167" s="57"/>
      <c r="F167" s="57"/>
      <c r="G167" s="57"/>
      <c r="H167" s="57"/>
      <c r="I167" s="57"/>
      <c r="J167" s="57"/>
      <c r="K167" s="57"/>
      <c r="L167" s="57"/>
      <c r="M167" s="57"/>
      <c r="N167" s="57"/>
      <c r="O167" s="57"/>
      <c r="P167" s="57"/>
      <c r="Q167" s="57"/>
      <c r="R167" s="57"/>
      <c r="S167" s="57"/>
      <c r="T167" s="57"/>
      <c r="U167" s="57"/>
    </row>
    <row r="168" spans="2:21" x14ac:dyDescent="0.15">
      <c r="B168" s="57"/>
      <c r="C168" s="57"/>
      <c r="D168" s="57"/>
      <c r="E168" s="57"/>
      <c r="F168" s="57"/>
      <c r="G168" s="57"/>
      <c r="H168" s="57"/>
      <c r="I168" s="57"/>
      <c r="J168" s="57"/>
      <c r="K168" s="57"/>
      <c r="L168" s="57"/>
      <c r="M168" s="57"/>
      <c r="N168" s="57"/>
      <c r="O168" s="57"/>
      <c r="P168" s="57"/>
      <c r="Q168" s="57"/>
      <c r="R168" s="57"/>
      <c r="S168" s="57"/>
      <c r="T168" s="57"/>
      <c r="U168" s="57"/>
    </row>
    <row r="169" spans="2:21" x14ac:dyDescent="0.15">
      <c r="B169" s="57"/>
      <c r="C169" s="57"/>
      <c r="D169" s="57"/>
      <c r="E169" s="57"/>
      <c r="F169" s="57"/>
      <c r="G169" s="57"/>
      <c r="H169" s="57"/>
      <c r="I169" s="57"/>
      <c r="J169" s="57"/>
      <c r="K169" s="57"/>
      <c r="L169" s="57"/>
      <c r="M169" s="57"/>
      <c r="N169" s="57"/>
      <c r="O169" s="57"/>
      <c r="P169" s="57"/>
      <c r="Q169" s="57"/>
      <c r="R169" s="57"/>
      <c r="S169" s="57"/>
      <c r="T169" s="57"/>
      <c r="U169" s="57"/>
    </row>
    <row r="170" spans="2:21" x14ac:dyDescent="0.15">
      <c r="B170" s="57"/>
      <c r="C170" s="57"/>
      <c r="D170" s="57"/>
      <c r="E170" s="57"/>
      <c r="F170" s="57"/>
      <c r="G170" s="57"/>
      <c r="H170" s="57"/>
      <c r="I170" s="57"/>
      <c r="J170" s="57"/>
      <c r="K170" s="57"/>
      <c r="L170" s="57"/>
      <c r="M170" s="57"/>
      <c r="N170" s="57"/>
      <c r="O170" s="57"/>
      <c r="P170" s="57"/>
      <c r="Q170" s="57"/>
      <c r="R170" s="57"/>
      <c r="S170" s="57"/>
      <c r="T170" s="57"/>
      <c r="U170" s="57"/>
    </row>
    <row r="171" spans="2:21" x14ac:dyDescent="0.15">
      <c r="B171" s="57"/>
      <c r="C171" s="57"/>
      <c r="D171" s="57"/>
      <c r="E171" s="57"/>
      <c r="F171" s="57"/>
      <c r="G171" s="57"/>
      <c r="H171" s="57"/>
      <c r="I171" s="57"/>
      <c r="J171" s="57"/>
      <c r="K171" s="57"/>
      <c r="L171" s="57"/>
      <c r="M171" s="57"/>
      <c r="N171" s="57"/>
      <c r="O171" s="57"/>
      <c r="P171" s="57"/>
      <c r="Q171" s="57"/>
      <c r="R171" s="57"/>
      <c r="S171" s="57"/>
      <c r="T171" s="57"/>
      <c r="U171" s="57"/>
    </row>
    <row r="172" spans="2:21" x14ac:dyDescent="0.15">
      <c r="B172" s="57"/>
      <c r="C172" s="57"/>
      <c r="D172" s="57"/>
      <c r="E172" s="57"/>
      <c r="F172" s="57"/>
      <c r="G172" s="57"/>
      <c r="H172" s="57"/>
      <c r="I172" s="57"/>
      <c r="J172" s="57"/>
      <c r="K172" s="57"/>
      <c r="L172" s="57"/>
      <c r="M172" s="57"/>
      <c r="N172" s="57"/>
      <c r="O172" s="57"/>
      <c r="P172" s="57"/>
      <c r="Q172" s="57"/>
      <c r="R172" s="57"/>
      <c r="S172" s="57"/>
      <c r="T172" s="57"/>
      <c r="U172" s="57"/>
    </row>
    <row r="173" spans="2:21" x14ac:dyDescent="0.15">
      <c r="B173" s="57"/>
      <c r="C173" s="57"/>
      <c r="D173" s="57"/>
      <c r="E173" s="57"/>
      <c r="F173" s="57"/>
      <c r="G173" s="57"/>
      <c r="H173" s="57"/>
      <c r="I173" s="57"/>
      <c r="J173" s="57"/>
      <c r="K173" s="57"/>
      <c r="L173" s="57"/>
      <c r="M173" s="57"/>
      <c r="N173" s="57"/>
      <c r="O173" s="57"/>
      <c r="P173" s="57"/>
      <c r="Q173" s="57"/>
      <c r="R173" s="57"/>
      <c r="S173" s="57"/>
      <c r="T173" s="57"/>
      <c r="U173" s="57"/>
    </row>
    <row r="174" spans="2:21" x14ac:dyDescent="0.15">
      <c r="B174" s="57"/>
      <c r="C174" s="57"/>
      <c r="D174" s="57"/>
      <c r="E174" s="57"/>
      <c r="F174" s="57"/>
      <c r="G174" s="57"/>
      <c r="H174" s="57"/>
      <c r="I174" s="57"/>
      <c r="J174" s="57"/>
      <c r="K174" s="57"/>
      <c r="L174" s="57"/>
      <c r="M174" s="57"/>
      <c r="N174" s="57"/>
      <c r="O174" s="57"/>
      <c r="P174" s="57"/>
      <c r="Q174" s="57"/>
      <c r="R174" s="57"/>
      <c r="S174" s="57"/>
      <c r="T174" s="57"/>
      <c r="U174" s="57"/>
    </row>
    <row r="175" spans="2:21" x14ac:dyDescent="0.15">
      <c r="B175" s="57"/>
      <c r="C175" s="57"/>
      <c r="D175" s="57"/>
      <c r="E175" s="57"/>
      <c r="F175" s="57"/>
      <c r="G175" s="57"/>
      <c r="H175" s="57"/>
      <c r="I175" s="57"/>
      <c r="J175" s="57"/>
      <c r="K175" s="57"/>
      <c r="L175" s="57"/>
      <c r="M175" s="57"/>
      <c r="N175" s="57"/>
      <c r="O175" s="57"/>
      <c r="P175" s="57"/>
      <c r="Q175" s="57"/>
      <c r="R175" s="57"/>
      <c r="S175" s="57"/>
      <c r="T175" s="57"/>
      <c r="U175" s="57"/>
    </row>
    <row r="176" spans="2:21" x14ac:dyDescent="0.15">
      <c r="B176" s="57"/>
      <c r="C176" s="57"/>
      <c r="D176" s="57"/>
      <c r="E176" s="57"/>
      <c r="F176" s="57"/>
      <c r="G176" s="57"/>
      <c r="H176" s="57"/>
      <c r="I176" s="57"/>
      <c r="J176" s="57"/>
      <c r="K176" s="57"/>
      <c r="L176" s="57"/>
      <c r="M176" s="57"/>
      <c r="N176" s="57"/>
      <c r="O176" s="57"/>
      <c r="P176" s="57"/>
      <c r="Q176" s="57"/>
      <c r="R176" s="57"/>
      <c r="S176" s="57"/>
      <c r="T176" s="57"/>
      <c r="U176" s="57"/>
    </row>
    <row r="177" spans="2:21" x14ac:dyDescent="0.15">
      <c r="B177" s="57"/>
      <c r="C177" s="57"/>
      <c r="D177" s="57"/>
      <c r="E177" s="57"/>
      <c r="F177" s="57"/>
      <c r="G177" s="57"/>
      <c r="H177" s="57"/>
      <c r="I177" s="57"/>
      <c r="J177" s="57"/>
      <c r="K177" s="57"/>
      <c r="L177" s="57"/>
      <c r="M177" s="57"/>
      <c r="N177" s="57"/>
      <c r="O177" s="57"/>
      <c r="P177" s="57"/>
      <c r="Q177" s="57"/>
      <c r="R177" s="57"/>
      <c r="S177" s="57"/>
      <c r="T177" s="57"/>
      <c r="U177" s="57"/>
    </row>
    <row r="178" spans="2:21" x14ac:dyDescent="0.15">
      <c r="B178" s="57"/>
      <c r="C178" s="57"/>
      <c r="D178" s="57"/>
      <c r="E178" s="57"/>
      <c r="F178" s="57"/>
      <c r="G178" s="57"/>
      <c r="H178" s="57"/>
      <c r="I178" s="57"/>
      <c r="J178" s="57"/>
      <c r="K178" s="57"/>
      <c r="L178" s="57"/>
      <c r="M178" s="57"/>
      <c r="N178" s="57"/>
      <c r="O178" s="57"/>
      <c r="P178" s="57"/>
      <c r="Q178" s="57"/>
      <c r="R178" s="57"/>
      <c r="S178" s="57"/>
      <c r="T178" s="57"/>
      <c r="U178" s="57"/>
    </row>
    <row r="179" spans="2:21" x14ac:dyDescent="0.15">
      <c r="B179" s="57"/>
      <c r="C179" s="57"/>
      <c r="D179" s="57"/>
      <c r="E179" s="57"/>
      <c r="F179" s="57"/>
      <c r="G179" s="57"/>
      <c r="H179" s="57"/>
      <c r="I179" s="57"/>
      <c r="J179" s="57"/>
      <c r="K179" s="57"/>
      <c r="L179" s="57"/>
      <c r="M179" s="57"/>
      <c r="N179" s="57"/>
      <c r="O179" s="57"/>
      <c r="P179" s="57"/>
      <c r="Q179" s="57"/>
      <c r="R179" s="57"/>
      <c r="S179" s="57"/>
      <c r="T179" s="57"/>
      <c r="U179" s="57"/>
    </row>
    <row r="180" spans="2:21" x14ac:dyDescent="0.15">
      <c r="B180" s="57"/>
      <c r="C180" s="57"/>
      <c r="D180" s="57"/>
      <c r="E180" s="57"/>
      <c r="F180" s="57"/>
      <c r="G180" s="57"/>
      <c r="H180" s="57"/>
      <c r="I180" s="57"/>
      <c r="J180" s="57"/>
      <c r="K180" s="57"/>
      <c r="L180" s="57"/>
      <c r="M180" s="57"/>
      <c r="N180" s="57"/>
      <c r="O180" s="57"/>
      <c r="P180" s="57"/>
      <c r="Q180" s="57"/>
      <c r="R180" s="57"/>
      <c r="S180" s="57"/>
      <c r="T180" s="57"/>
      <c r="U180" s="57"/>
    </row>
    <row r="181" spans="2:21" x14ac:dyDescent="0.15">
      <c r="B181" s="57"/>
      <c r="C181" s="57"/>
      <c r="D181" s="57"/>
      <c r="E181" s="57"/>
      <c r="F181" s="57"/>
      <c r="G181" s="57"/>
      <c r="H181" s="57"/>
      <c r="I181" s="57"/>
      <c r="J181" s="57"/>
      <c r="K181" s="57"/>
      <c r="L181" s="57"/>
      <c r="M181" s="57"/>
      <c r="N181" s="57"/>
      <c r="O181" s="57"/>
      <c r="P181" s="57"/>
      <c r="Q181" s="57"/>
      <c r="R181" s="57"/>
      <c r="S181" s="57"/>
      <c r="T181" s="57"/>
      <c r="U181" s="57"/>
    </row>
    <row r="182" spans="2:21" x14ac:dyDescent="0.15">
      <c r="B182" s="57"/>
      <c r="C182" s="57"/>
      <c r="D182" s="57"/>
      <c r="E182" s="57"/>
      <c r="F182" s="57"/>
      <c r="G182" s="57"/>
      <c r="H182" s="57"/>
      <c r="I182" s="57"/>
      <c r="J182" s="57"/>
      <c r="K182" s="57"/>
      <c r="L182" s="57"/>
      <c r="M182" s="57"/>
      <c r="N182" s="57"/>
      <c r="O182" s="57"/>
      <c r="P182" s="57"/>
      <c r="Q182" s="57"/>
      <c r="R182" s="57"/>
      <c r="S182" s="57"/>
      <c r="T182" s="57"/>
      <c r="U182" s="57"/>
    </row>
    <row r="183" spans="2:21" x14ac:dyDescent="0.15">
      <c r="B183" s="57"/>
      <c r="C183" s="57"/>
      <c r="D183" s="57"/>
      <c r="E183" s="57"/>
      <c r="F183" s="57"/>
      <c r="G183" s="57"/>
      <c r="H183" s="57"/>
      <c r="I183" s="57"/>
      <c r="J183" s="57"/>
      <c r="K183" s="57"/>
      <c r="L183" s="57"/>
      <c r="M183" s="57"/>
      <c r="N183" s="57"/>
      <c r="O183" s="57"/>
      <c r="P183" s="57"/>
      <c r="Q183" s="57"/>
      <c r="R183" s="57"/>
      <c r="S183" s="57"/>
      <c r="T183" s="57"/>
      <c r="U183" s="57"/>
    </row>
    <row r="184" spans="2:21" x14ac:dyDescent="0.15">
      <c r="B184" s="57"/>
      <c r="C184" s="57"/>
      <c r="D184" s="57"/>
      <c r="E184" s="57"/>
      <c r="F184" s="57"/>
      <c r="G184" s="57"/>
      <c r="H184" s="57"/>
      <c r="I184" s="57"/>
      <c r="J184" s="57"/>
      <c r="K184" s="57"/>
      <c r="L184" s="57"/>
      <c r="M184" s="57"/>
      <c r="N184" s="57"/>
      <c r="O184" s="57"/>
      <c r="P184" s="57"/>
      <c r="Q184" s="57"/>
      <c r="R184" s="57"/>
      <c r="S184" s="57"/>
      <c r="T184" s="57"/>
      <c r="U184" s="57"/>
    </row>
    <row r="185" spans="2:21" x14ac:dyDescent="0.15">
      <c r="B185" s="57"/>
      <c r="C185" s="57"/>
      <c r="D185" s="57"/>
      <c r="E185" s="57"/>
      <c r="F185" s="57"/>
      <c r="G185" s="57"/>
      <c r="H185" s="57"/>
      <c r="I185" s="57"/>
      <c r="J185" s="57"/>
      <c r="K185" s="57"/>
      <c r="L185" s="57"/>
      <c r="M185" s="57"/>
      <c r="N185" s="57"/>
      <c r="O185" s="57"/>
      <c r="P185" s="57"/>
      <c r="Q185" s="57"/>
      <c r="R185" s="57"/>
      <c r="S185" s="57"/>
      <c r="T185" s="57"/>
      <c r="U185" s="57"/>
    </row>
    <row r="186" spans="2:21" x14ac:dyDescent="0.15"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  <c r="O186" s="57"/>
      <c r="P186" s="57"/>
      <c r="Q186" s="57"/>
      <c r="R186" s="57"/>
      <c r="S186" s="57"/>
      <c r="T186" s="57"/>
      <c r="U186" s="57"/>
    </row>
    <row r="187" spans="2:21" x14ac:dyDescent="0.15">
      <c r="B187" s="57"/>
      <c r="C187" s="57"/>
      <c r="D187" s="57"/>
      <c r="E187" s="57"/>
      <c r="F187" s="57"/>
      <c r="G187" s="57"/>
      <c r="H187" s="57"/>
      <c r="I187" s="57"/>
      <c r="J187" s="57"/>
      <c r="K187" s="57"/>
      <c r="L187" s="57"/>
      <c r="M187" s="57"/>
      <c r="N187" s="57"/>
      <c r="O187" s="57"/>
      <c r="P187" s="57"/>
      <c r="Q187" s="57"/>
      <c r="R187" s="57"/>
      <c r="S187" s="57"/>
      <c r="T187" s="57"/>
      <c r="U187" s="57"/>
    </row>
    <row r="188" spans="2:21" x14ac:dyDescent="0.15">
      <c r="B188" s="57"/>
      <c r="C188" s="57"/>
      <c r="D188" s="57"/>
      <c r="E188" s="57"/>
      <c r="F188" s="57"/>
      <c r="G188" s="57"/>
      <c r="H188" s="57"/>
      <c r="I188" s="57"/>
      <c r="J188" s="57"/>
      <c r="K188" s="57"/>
      <c r="L188" s="57"/>
      <c r="M188" s="57"/>
      <c r="N188" s="57"/>
      <c r="O188" s="57"/>
      <c r="P188" s="57"/>
      <c r="Q188" s="57"/>
      <c r="R188" s="57"/>
      <c r="S188" s="57"/>
      <c r="T188" s="57"/>
      <c r="U188" s="57"/>
    </row>
    <row r="189" spans="2:21" x14ac:dyDescent="0.15">
      <c r="B189" s="57"/>
      <c r="C189" s="57"/>
      <c r="D189" s="57"/>
      <c r="E189" s="57"/>
      <c r="F189" s="57"/>
      <c r="G189" s="57"/>
      <c r="H189" s="57"/>
      <c r="I189" s="57"/>
      <c r="J189" s="57"/>
      <c r="K189" s="57"/>
      <c r="L189" s="57"/>
      <c r="M189" s="57"/>
      <c r="N189" s="57"/>
      <c r="O189" s="57"/>
      <c r="P189" s="57"/>
      <c r="Q189" s="57"/>
      <c r="R189" s="57"/>
      <c r="S189" s="57"/>
      <c r="T189" s="57"/>
      <c r="U189" s="57"/>
    </row>
    <row r="190" spans="2:21" x14ac:dyDescent="0.15">
      <c r="B190" s="57"/>
      <c r="C190" s="57"/>
      <c r="D190" s="57"/>
      <c r="E190" s="57"/>
      <c r="F190" s="57"/>
      <c r="G190" s="57"/>
      <c r="H190" s="57"/>
      <c r="I190" s="57"/>
      <c r="J190" s="57"/>
      <c r="K190" s="57"/>
      <c r="L190" s="57"/>
      <c r="M190" s="57"/>
      <c r="N190" s="57"/>
      <c r="O190" s="57"/>
      <c r="P190" s="57"/>
      <c r="Q190" s="57"/>
      <c r="R190" s="57"/>
      <c r="S190" s="57"/>
      <c r="T190" s="57"/>
      <c r="U190" s="57"/>
    </row>
    <row r="191" spans="2:21" x14ac:dyDescent="0.15">
      <c r="B191" s="57"/>
      <c r="C191" s="57"/>
      <c r="D191" s="57"/>
      <c r="E191" s="57"/>
      <c r="F191" s="57"/>
      <c r="G191" s="57"/>
      <c r="H191" s="57"/>
      <c r="I191" s="57"/>
      <c r="J191" s="57"/>
      <c r="K191" s="57"/>
      <c r="L191" s="57"/>
      <c r="M191" s="57"/>
      <c r="N191" s="57"/>
      <c r="O191" s="57"/>
      <c r="P191" s="57"/>
      <c r="Q191" s="57"/>
      <c r="R191" s="57"/>
      <c r="S191" s="57"/>
      <c r="T191" s="57"/>
      <c r="U191" s="57"/>
    </row>
    <row r="192" spans="2:21" x14ac:dyDescent="0.15">
      <c r="B192" s="57"/>
      <c r="C192" s="57"/>
      <c r="D192" s="57"/>
      <c r="E192" s="57"/>
      <c r="F192" s="57"/>
      <c r="G192" s="57"/>
      <c r="H192" s="57"/>
      <c r="I192" s="57"/>
      <c r="J192" s="57"/>
      <c r="K192" s="57"/>
      <c r="L192" s="57"/>
      <c r="M192" s="57"/>
      <c r="N192" s="57"/>
      <c r="O192" s="57"/>
      <c r="P192" s="57"/>
      <c r="Q192" s="57"/>
      <c r="R192" s="57"/>
      <c r="S192" s="57"/>
      <c r="T192" s="57"/>
      <c r="U192" s="57"/>
    </row>
    <row r="193" spans="2:21" x14ac:dyDescent="0.15">
      <c r="B193" s="57"/>
      <c r="C193" s="57"/>
      <c r="D193" s="57"/>
      <c r="E193" s="57"/>
      <c r="F193" s="57"/>
      <c r="G193" s="57"/>
      <c r="H193" s="57"/>
      <c r="I193" s="57"/>
      <c r="J193" s="57"/>
      <c r="K193" s="57"/>
      <c r="L193" s="57"/>
      <c r="M193" s="57"/>
      <c r="N193" s="57"/>
      <c r="O193" s="57"/>
      <c r="P193" s="57"/>
      <c r="Q193" s="57"/>
      <c r="R193" s="57"/>
      <c r="S193" s="57"/>
      <c r="T193" s="57"/>
      <c r="U193" s="57"/>
    </row>
    <row r="194" spans="2:21" x14ac:dyDescent="0.15">
      <c r="B194" s="57"/>
      <c r="C194" s="57"/>
      <c r="D194" s="57"/>
      <c r="E194" s="57"/>
      <c r="F194" s="57"/>
      <c r="G194" s="57"/>
      <c r="H194" s="57"/>
      <c r="I194" s="57"/>
      <c r="J194" s="57"/>
      <c r="K194" s="57"/>
      <c r="L194" s="57"/>
      <c r="M194" s="57"/>
      <c r="N194" s="57"/>
      <c r="O194" s="57"/>
      <c r="P194" s="57"/>
      <c r="Q194" s="57"/>
      <c r="R194" s="57"/>
      <c r="S194" s="57"/>
      <c r="T194" s="57"/>
      <c r="U194" s="57"/>
    </row>
    <row r="195" spans="2:21" x14ac:dyDescent="0.15">
      <c r="B195" s="57"/>
      <c r="C195" s="57"/>
      <c r="D195" s="57"/>
      <c r="E195" s="57"/>
      <c r="F195" s="57"/>
      <c r="G195" s="57"/>
      <c r="H195" s="57"/>
      <c r="I195" s="57"/>
      <c r="J195" s="57"/>
      <c r="K195" s="57"/>
      <c r="L195" s="57"/>
      <c r="M195" s="57"/>
      <c r="N195" s="57"/>
      <c r="O195" s="57"/>
      <c r="P195" s="57"/>
      <c r="Q195" s="57"/>
      <c r="R195" s="57"/>
      <c r="S195" s="57"/>
      <c r="T195" s="57"/>
      <c r="U195" s="57"/>
    </row>
    <row r="196" spans="2:21" x14ac:dyDescent="0.15">
      <c r="B196" s="57"/>
      <c r="C196" s="57"/>
      <c r="D196" s="57"/>
      <c r="E196" s="57"/>
      <c r="F196" s="57"/>
      <c r="G196" s="57"/>
      <c r="H196" s="57"/>
      <c r="I196" s="57"/>
      <c r="J196" s="57"/>
      <c r="K196" s="57"/>
      <c r="L196" s="57"/>
      <c r="M196" s="57"/>
      <c r="N196" s="57"/>
      <c r="O196" s="57"/>
      <c r="P196" s="57"/>
      <c r="Q196" s="57"/>
      <c r="R196" s="57"/>
      <c r="S196" s="57"/>
      <c r="T196" s="57"/>
      <c r="U196" s="57"/>
    </row>
    <row r="197" spans="2:21" x14ac:dyDescent="0.15">
      <c r="B197" s="57"/>
      <c r="C197" s="57"/>
      <c r="D197" s="57"/>
      <c r="E197" s="57"/>
      <c r="F197" s="57"/>
      <c r="G197" s="57"/>
      <c r="H197" s="57"/>
      <c r="I197" s="57"/>
      <c r="J197" s="57"/>
      <c r="K197" s="57"/>
      <c r="L197" s="57"/>
      <c r="M197" s="57"/>
      <c r="N197" s="57"/>
      <c r="O197" s="57"/>
      <c r="P197" s="57"/>
      <c r="Q197" s="57"/>
      <c r="R197" s="57"/>
      <c r="S197" s="57"/>
      <c r="T197" s="57"/>
      <c r="U197" s="57"/>
    </row>
    <row r="198" spans="2:21" x14ac:dyDescent="0.15">
      <c r="B198" s="57"/>
      <c r="C198" s="57"/>
      <c r="D198" s="57"/>
      <c r="E198" s="57"/>
      <c r="F198" s="57"/>
      <c r="G198" s="57"/>
      <c r="H198" s="57"/>
      <c r="I198" s="57"/>
      <c r="J198" s="57"/>
      <c r="K198" s="57"/>
      <c r="L198" s="57"/>
      <c r="M198" s="57"/>
      <c r="N198" s="57"/>
      <c r="O198" s="57"/>
      <c r="P198" s="57"/>
      <c r="Q198" s="57"/>
      <c r="R198" s="57"/>
      <c r="S198" s="57"/>
      <c r="T198" s="57"/>
      <c r="U198" s="57"/>
    </row>
    <row r="199" spans="2:21" x14ac:dyDescent="0.15">
      <c r="B199" s="57"/>
      <c r="C199" s="57"/>
      <c r="D199" s="57"/>
      <c r="E199" s="57"/>
      <c r="F199" s="57"/>
      <c r="G199" s="57"/>
      <c r="H199" s="57"/>
      <c r="I199" s="57"/>
      <c r="J199" s="57"/>
      <c r="K199" s="57"/>
      <c r="L199" s="57"/>
      <c r="M199" s="57"/>
      <c r="N199" s="57"/>
      <c r="O199" s="57"/>
      <c r="P199" s="57"/>
      <c r="Q199" s="57"/>
      <c r="R199" s="57"/>
      <c r="S199" s="57"/>
      <c r="T199" s="57"/>
      <c r="U199" s="57"/>
    </row>
    <row r="200" spans="2:21" x14ac:dyDescent="0.15">
      <c r="B200" s="57"/>
      <c r="C200" s="57"/>
      <c r="D200" s="57"/>
      <c r="E200" s="57"/>
      <c r="F200" s="57"/>
      <c r="G200" s="57"/>
      <c r="H200" s="57"/>
      <c r="I200" s="57"/>
      <c r="J200" s="57"/>
      <c r="K200" s="57"/>
      <c r="L200" s="57"/>
      <c r="M200" s="57"/>
      <c r="N200" s="57"/>
      <c r="O200" s="57"/>
      <c r="P200" s="57"/>
      <c r="Q200" s="57"/>
      <c r="R200" s="57"/>
      <c r="S200" s="57"/>
      <c r="T200" s="57"/>
      <c r="U200" s="57"/>
    </row>
    <row r="201" spans="2:21" x14ac:dyDescent="0.15">
      <c r="B201" s="57"/>
      <c r="C201" s="57"/>
      <c r="D201" s="57"/>
      <c r="E201" s="57"/>
      <c r="F201" s="57"/>
      <c r="G201" s="57"/>
      <c r="H201" s="57"/>
      <c r="I201" s="57"/>
      <c r="J201" s="57"/>
      <c r="K201" s="57"/>
      <c r="L201" s="57"/>
      <c r="M201" s="57"/>
      <c r="N201" s="57"/>
      <c r="O201" s="57"/>
      <c r="P201" s="57"/>
      <c r="Q201" s="57"/>
      <c r="R201" s="57"/>
      <c r="S201" s="57"/>
      <c r="T201" s="57"/>
      <c r="U201" s="57"/>
    </row>
    <row r="202" spans="2:21" x14ac:dyDescent="0.15">
      <c r="B202" s="57"/>
      <c r="C202" s="57"/>
      <c r="D202" s="57"/>
      <c r="E202" s="57"/>
      <c r="F202" s="57"/>
      <c r="G202" s="57"/>
      <c r="H202" s="57"/>
      <c r="I202" s="57"/>
      <c r="J202" s="57"/>
      <c r="K202" s="57"/>
      <c r="L202" s="57"/>
      <c r="M202" s="57"/>
      <c r="N202" s="57"/>
      <c r="O202" s="57"/>
      <c r="P202" s="57"/>
      <c r="Q202" s="57"/>
      <c r="R202" s="57"/>
      <c r="S202" s="57"/>
      <c r="T202" s="57"/>
      <c r="U202" s="57"/>
    </row>
    <row r="203" spans="2:21" x14ac:dyDescent="0.15">
      <c r="B203" s="57"/>
      <c r="C203" s="57"/>
      <c r="D203" s="57"/>
      <c r="E203" s="57"/>
      <c r="F203" s="57"/>
      <c r="G203" s="57"/>
      <c r="H203" s="57"/>
      <c r="I203" s="57"/>
      <c r="J203" s="57"/>
      <c r="K203" s="57"/>
      <c r="L203" s="57"/>
      <c r="M203" s="57"/>
      <c r="N203" s="57"/>
      <c r="O203" s="57"/>
      <c r="P203" s="57"/>
      <c r="Q203" s="57"/>
      <c r="R203" s="57"/>
      <c r="S203" s="57"/>
      <c r="T203" s="57"/>
      <c r="U203" s="57"/>
    </row>
    <row r="204" spans="2:21" x14ac:dyDescent="0.15">
      <c r="B204" s="57"/>
      <c r="C204" s="57"/>
      <c r="D204" s="57"/>
      <c r="E204" s="57"/>
      <c r="F204" s="57"/>
      <c r="G204" s="57"/>
      <c r="H204" s="57"/>
      <c r="I204" s="57"/>
      <c r="J204" s="57"/>
      <c r="K204" s="57"/>
      <c r="L204" s="57"/>
      <c r="M204" s="57"/>
      <c r="N204" s="57"/>
      <c r="O204" s="57"/>
      <c r="P204" s="57"/>
      <c r="Q204" s="57"/>
      <c r="R204" s="57"/>
      <c r="S204" s="57"/>
      <c r="T204" s="57"/>
      <c r="U204" s="57"/>
    </row>
    <row r="205" spans="2:21" x14ac:dyDescent="0.15">
      <c r="B205" s="57"/>
      <c r="C205" s="57"/>
      <c r="D205" s="57"/>
      <c r="E205" s="57"/>
      <c r="F205" s="57"/>
      <c r="G205" s="57"/>
      <c r="H205" s="57"/>
      <c r="I205" s="57"/>
      <c r="J205" s="57"/>
      <c r="K205" s="57"/>
      <c r="L205" s="57"/>
      <c r="M205" s="57"/>
      <c r="N205" s="57"/>
      <c r="O205" s="57"/>
      <c r="P205" s="57"/>
      <c r="Q205" s="57"/>
      <c r="R205" s="57"/>
      <c r="S205" s="57"/>
      <c r="T205" s="57"/>
      <c r="U205" s="57"/>
    </row>
    <row r="206" spans="2:21" x14ac:dyDescent="0.15">
      <c r="B206" s="57"/>
      <c r="C206" s="57"/>
      <c r="D206" s="57"/>
      <c r="E206" s="57"/>
      <c r="F206" s="57"/>
      <c r="G206" s="57"/>
      <c r="H206" s="57"/>
      <c r="I206" s="57"/>
      <c r="J206" s="57"/>
      <c r="K206" s="57"/>
      <c r="L206" s="57"/>
      <c r="M206" s="57"/>
      <c r="N206" s="57"/>
      <c r="O206" s="57"/>
      <c r="P206" s="57"/>
      <c r="Q206" s="57"/>
      <c r="R206" s="57"/>
      <c r="S206" s="57"/>
      <c r="T206" s="57"/>
      <c r="U206" s="57"/>
    </row>
    <row r="207" spans="2:21" x14ac:dyDescent="0.15">
      <c r="B207" s="57"/>
      <c r="C207" s="57"/>
      <c r="D207" s="57"/>
      <c r="E207" s="57"/>
      <c r="F207" s="57"/>
      <c r="G207" s="57"/>
      <c r="H207" s="57"/>
      <c r="I207" s="57"/>
      <c r="J207" s="57"/>
      <c r="K207" s="57"/>
      <c r="L207" s="57"/>
      <c r="M207" s="57"/>
      <c r="N207" s="57"/>
      <c r="O207" s="57"/>
      <c r="P207" s="57"/>
      <c r="Q207" s="57"/>
      <c r="R207" s="57"/>
      <c r="S207" s="57"/>
      <c r="T207" s="57"/>
      <c r="U207" s="57"/>
    </row>
    <row r="208" spans="2:21" x14ac:dyDescent="0.15">
      <c r="B208" s="57"/>
      <c r="C208" s="57"/>
      <c r="D208" s="57"/>
      <c r="E208" s="57"/>
      <c r="F208" s="57"/>
      <c r="G208" s="57"/>
      <c r="H208" s="57"/>
      <c r="I208" s="57"/>
      <c r="J208" s="57"/>
      <c r="K208" s="57"/>
      <c r="L208" s="57"/>
      <c r="M208" s="57"/>
      <c r="N208" s="57"/>
      <c r="O208" s="57"/>
      <c r="P208" s="57"/>
      <c r="Q208" s="57"/>
      <c r="R208" s="57"/>
      <c r="S208" s="57"/>
      <c r="T208" s="57"/>
      <c r="U208" s="57"/>
    </row>
    <row r="209" spans="2:21" x14ac:dyDescent="0.15">
      <c r="B209" s="57"/>
      <c r="C209" s="57"/>
      <c r="D209" s="57"/>
      <c r="E209" s="57"/>
      <c r="F209" s="57"/>
      <c r="G209" s="57"/>
      <c r="H209" s="57"/>
      <c r="I209" s="57"/>
      <c r="J209" s="57"/>
      <c r="K209" s="57"/>
      <c r="L209" s="57"/>
      <c r="M209" s="57"/>
      <c r="N209" s="57"/>
      <c r="O209" s="57"/>
      <c r="P209" s="57"/>
      <c r="Q209" s="57"/>
      <c r="R209" s="57"/>
      <c r="S209" s="57"/>
      <c r="T209" s="57"/>
      <c r="U209" s="57"/>
    </row>
    <row r="210" spans="2:21" x14ac:dyDescent="0.15">
      <c r="B210" s="57"/>
      <c r="C210" s="57"/>
      <c r="D210" s="57"/>
      <c r="E210" s="57"/>
      <c r="F210" s="57"/>
      <c r="G210" s="57"/>
      <c r="H210" s="57"/>
      <c r="I210" s="57"/>
      <c r="J210" s="57"/>
      <c r="K210" s="57"/>
      <c r="L210" s="57"/>
      <c r="M210" s="57"/>
      <c r="N210" s="57"/>
      <c r="O210" s="57"/>
      <c r="P210" s="57"/>
      <c r="Q210" s="57"/>
      <c r="R210" s="57"/>
      <c r="S210" s="57"/>
      <c r="T210" s="57"/>
      <c r="U210" s="57"/>
    </row>
    <row r="211" spans="2:21" x14ac:dyDescent="0.15">
      <c r="B211" s="57"/>
      <c r="C211" s="57"/>
      <c r="D211" s="57"/>
      <c r="E211" s="57"/>
      <c r="F211" s="57"/>
      <c r="G211" s="57"/>
      <c r="H211" s="57"/>
      <c r="I211" s="57"/>
      <c r="J211" s="57"/>
      <c r="K211" s="57"/>
      <c r="L211" s="57"/>
      <c r="M211" s="57"/>
      <c r="N211" s="57"/>
      <c r="O211" s="57"/>
      <c r="P211" s="57"/>
      <c r="Q211" s="57"/>
      <c r="R211" s="57"/>
      <c r="S211" s="57"/>
      <c r="T211" s="57"/>
      <c r="U211" s="57"/>
    </row>
    <row r="212" spans="2:21" x14ac:dyDescent="0.15"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  <c r="O212" s="57"/>
      <c r="P212" s="57"/>
      <c r="Q212" s="57"/>
      <c r="R212" s="57"/>
      <c r="S212" s="57"/>
      <c r="T212" s="57"/>
      <c r="U212" s="57"/>
    </row>
    <row r="213" spans="2:21" x14ac:dyDescent="0.15">
      <c r="B213" s="57"/>
      <c r="C213" s="57"/>
      <c r="D213" s="57"/>
      <c r="E213" s="57"/>
      <c r="F213" s="57"/>
      <c r="G213" s="57"/>
      <c r="H213" s="57"/>
      <c r="I213" s="57"/>
      <c r="J213" s="57"/>
      <c r="K213" s="57"/>
      <c r="L213" s="57"/>
      <c r="M213" s="57"/>
      <c r="N213" s="57"/>
      <c r="O213" s="57"/>
      <c r="P213" s="57"/>
      <c r="Q213" s="57"/>
      <c r="R213" s="57"/>
      <c r="S213" s="57"/>
      <c r="T213" s="57"/>
      <c r="U213" s="57"/>
    </row>
    <row r="214" spans="2:21" x14ac:dyDescent="0.15">
      <c r="B214" s="57"/>
      <c r="C214" s="57"/>
      <c r="D214" s="57"/>
      <c r="E214" s="57"/>
      <c r="F214" s="57"/>
      <c r="G214" s="57"/>
      <c r="H214" s="57"/>
      <c r="I214" s="57"/>
      <c r="J214" s="57"/>
      <c r="K214" s="57"/>
      <c r="L214" s="57"/>
      <c r="M214" s="57"/>
      <c r="N214" s="57"/>
      <c r="O214" s="57"/>
      <c r="P214" s="57"/>
      <c r="Q214" s="57"/>
      <c r="R214" s="57"/>
      <c r="S214" s="57"/>
      <c r="T214" s="57"/>
      <c r="U214" s="57"/>
    </row>
    <row r="215" spans="2:21" x14ac:dyDescent="0.15">
      <c r="B215" s="57"/>
      <c r="C215" s="57"/>
      <c r="D215" s="57"/>
      <c r="E215" s="57"/>
      <c r="F215" s="57"/>
      <c r="G215" s="57"/>
      <c r="H215" s="57"/>
      <c r="I215" s="57"/>
      <c r="J215" s="57"/>
      <c r="K215" s="57"/>
      <c r="L215" s="57"/>
      <c r="M215" s="57"/>
      <c r="N215" s="57"/>
      <c r="O215" s="57"/>
      <c r="P215" s="57"/>
      <c r="Q215" s="57"/>
      <c r="R215" s="57"/>
      <c r="S215" s="57"/>
      <c r="T215" s="57"/>
      <c r="U215" s="57"/>
    </row>
    <row r="216" spans="2:21" x14ac:dyDescent="0.15">
      <c r="B216" s="57"/>
      <c r="C216" s="57"/>
      <c r="D216" s="57"/>
      <c r="E216" s="57"/>
      <c r="F216" s="57"/>
      <c r="G216" s="57"/>
      <c r="H216" s="57"/>
      <c r="I216" s="57"/>
      <c r="J216" s="57"/>
      <c r="K216" s="57"/>
      <c r="L216" s="57"/>
      <c r="M216" s="57"/>
      <c r="N216" s="57"/>
      <c r="O216" s="57"/>
      <c r="P216" s="57"/>
      <c r="Q216" s="57"/>
      <c r="R216" s="57"/>
      <c r="S216" s="57"/>
      <c r="T216" s="57"/>
      <c r="U216" s="57"/>
    </row>
    <row r="217" spans="2:21" x14ac:dyDescent="0.15">
      <c r="B217" s="57"/>
      <c r="C217" s="57"/>
      <c r="D217" s="57"/>
      <c r="E217" s="57"/>
      <c r="F217" s="57"/>
      <c r="G217" s="57"/>
      <c r="H217" s="57"/>
      <c r="I217" s="57"/>
      <c r="J217" s="57"/>
      <c r="K217" s="57"/>
      <c r="L217" s="57"/>
      <c r="M217" s="57"/>
      <c r="N217" s="57"/>
      <c r="O217" s="57"/>
      <c r="P217" s="57"/>
      <c r="Q217" s="57"/>
      <c r="R217" s="57"/>
      <c r="S217" s="57"/>
      <c r="T217" s="57"/>
      <c r="U217" s="57"/>
    </row>
    <row r="218" spans="2:21" x14ac:dyDescent="0.15">
      <c r="B218" s="57"/>
      <c r="C218" s="57"/>
      <c r="D218" s="57"/>
      <c r="E218" s="57"/>
      <c r="F218" s="57"/>
      <c r="G218" s="57"/>
      <c r="H218" s="57"/>
      <c r="I218" s="57"/>
      <c r="J218" s="57"/>
      <c r="K218" s="57"/>
      <c r="L218" s="57"/>
      <c r="M218" s="57"/>
      <c r="N218" s="57"/>
      <c r="O218" s="57"/>
      <c r="P218" s="57"/>
      <c r="Q218" s="57"/>
      <c r="R218" s="57"/>
      <c r="S218" s="57"/>
      <c r="T218" s="57"/>
      <c r="U218" s="57"/>
    </row>
    <row r="219" spans="2:21" x14ac:dyDescent="0.15">
      <c r="B219" s="57"/>
      <c r="C219" s="57"/>
      <c r="D219" s="57"/>
      <c r="E219" s="57"/>
      <c r="F219" s="57"/>
      <c r="G219" s="57"/>
      <c r="H219" s="57"/>
      <c r="I219" s="57"/>
      <c r="J219" s="57"/>
      <c r="K219" s="57"/>
      <c r="L219" s="57"/>
      <c r="M219" s="57"/>
      <c r="N219" s="57"/>
      <c r="O219" s="57"/>
      <c r="P219" s="57"/>
      <c r="Q219" s="57"/>
      <c r="R219" s="57"/>
      <c r="S219" s="57"/>
      <c r="T219" s="57"/>
      <c r="U219" s="57"/>
    </row>
    <row r="220" spans="2:21" x14ac:dyDescent="0.15">
      <c r="B220" s="57"/>
      <c r="C220" s="57"/>
      <c r="D220" s="57"/>
      <c r="E220" s="57"/>
      <c r="F220" s="57"/>
      <c r="G220" s="57"/>
      <c r="H220" s="57"/>
      <c r="I220" s="57"/>
      <c r="J220" s="57"/>
      <c r="K220" s="57"/>
      <c r="L220" s="57"/>
      <c r="M220" s="57"/>
      <c r="N220" s="57"/>
      <c r="O220" s="57"/>
      <c r="P220" s="57"/>
      <c r="Q220" s="57"/>
      <c r="R220" s="57"/>
      <c r="S220" s="57"/>
      <c r="T220" s="57"/>
      <c r="U220" s="57"/>
    </row>
    <row r="221" spans="2:21" x14ac:dyDescent="0.15">
      <c r="B221" s="57"/>
      <c r="C221" s="57"/>
      <c r="D221" s="57"/>
      <c r="E221" s="57"/>
      <c r="F221" s="57"/>
      <c r="G221" s="57"/>
      <c r="H221" s="57"/>
      <c r="I221" s="57"/>
      <c r="J221" s="57"/>
      <c r="K221" s="57"/>
      <c r="L221" s="57"/>
      <c r="M221" s="57"/>
      <c r="N221" s="57"/>
      <c r="O221" s="57"/>
      <c r="P221" s="57"/>
      <c r="Q221" s="57"/>
      <c r="R221" s="57"/>
      <c r="S221" s="57"/>
      <c r="T221" s="57"/>
      <c r="U221" s="57"/>
    </row>
    <row r="222" spans="2:21" x14ac:dyDescent="0.15">
      <c r="B222" s="57"/>
      <c r="C222" s="57"/>
      <c r="D222" s="57"/>
      <c r="E222" s="57"/>
      <c r="F222" s="57"/>
      <c r="G222" s="57"/>
      <c r="H222" s="57"/>
      <c r="I222" s="57"/>
      <c r="J222" s="57"/>
      <c r="K222" s="57"/>
      <c r="L222" s="57"/>
      <c r="M222" s="57"/>
      <c r="N222" s="57"/>
      <c r="O222" s="57"/>
      <c r="P222" s="57"/>
      <c r="Q222" s="57"/>
      <c r="R222" s="57"/>
      <c r="S222" s="57"/>
      <c r="T222" s="57"/>
      <c r="U222" s="57"/>
    </row>
    <row r="223" spans="2:21" x14ac:dyDescent="0.15">
      <c r="B223" s="57"/>
      <c r="C223" s="57"/>
      <c r="D223" s="57"/>
      <c r="E223" s="57"/>
      <c r="F223" s="57"/>
      <c r="G223" s="57"/>
      <c r="H223" s="57"/>
      <c r="I223" s="57"/>
      <c r="J223" s="57"/>
      <c r="K223" s="57"/>
      <c r="L223" s="57"/>
      <c r="M223" s="57"/>
      <c r="N223" s="57"/>
      <c r="O223" s="57"/>
      <c r="P223" s="57"/>
      <c r="Q223" s="57"/>
      <c r="R223" s="57"/>
      <c r="S223" s="57"/>
      <c r="T223" s="57"/>
      <c r="U223" s="57"/>
    </row>
    <row r="224" spans="2:21" x14ac:dyDescent="0.15">
      <c r="B224" s="57"/>
      <c r="C224" s="57"/>
      <c r="D224" s="57"/>
      <c r="E224" s="57"/>
      <c r="F224" s="57"/>
      <c r="G224" s="57"/>
      <c r="H224" s="57"/>
      <c r="I224" s="57"/>
      <c r="J224" s="57"/>
      <c r="K224" s="57"/>
      <c r="L224" s="57"/>
      <c r="M224" s="57"/>
      <c r="N224" s="57"/>
      <c r="O224" s="57"/>
      <c r="P224" s="57"/>
      <c r="Q224" s="57"/>
      <c r="R224" s="57"/>
      <c r="S224" s="57"/>
      <c r="T224" s="57"/>
      <c r="U224" s="57"/>
    </row>
    <row r="225" spans="2:21" x14ac:dyDescent="0.15">
      <c r="B225" s="57"/>
      <c r="C225" s="57"/>
      <c r="D225" s="57"/>
      <c r="E225" s="57"/>
      <c r="F225" s="57"/>
      <c r="G225" s="57"/>
      <c r="H225" s="57"/>
      <c r="I225" s="57"/>
      <c r="J225" s="57"/>
      <c r="K225" s="57"/>
      <c r="L225" s="57"/>
      <c r="M225" s="57"/>
      <c r="N225" s="57"/>
      <c r="O225" s="57"/>
      <c r="P225" s="57"/>
      <c r="Q225" s="57"/>
      <c r="R225" s="57"/>
      <c r="S225" s="57"/>
      <c r="T225" s="57"/>
      <c r="U225" s="57"/>
    </row>
    <row r="226" spans="2:21" x14ac:dyDescent="0.15">
      <c r="B226" s="57"/>
      <c r="C226" s="57"/>
      <c r="D226" s="57"/>
      <c r="E226" s="57"/>
      <c r="F226" s="57"/>
      <c r="G226" s="57"/>
      <c r="H226" s="57"/>
      <c r="I226" s="57"/>
      <c r="J226" s="57"/>
      <c r="K226" s="57"/>
      <c r="L226" s="57"/>
      <c r="M226" s="57"/>
      <c r="N226" s="57"/>
      <c r="O226" s="57"/>
      <c r="P226" s="57"/>
      <c r="Q226" s="57"/>
      <c r="R226" s="57"/>
      <c r="S226" s="57"/>
      <c r="T226" s="57"/>
      <c r="U226" s="57"/>
    </row>
    <row r="227" spans="2:21" x14ac:dyDescent="0.15">
      <c r="B227" s="57"/>
      <c r="C227" s="57"/>
      <c r="D227" s="57"/>
      <c r="E227" s="57"/>
      <c r="F227" s="57"/>
      <c r="G227" s="57"/>
      <c r="H227" s="57"/>
      <c r="I227" s="57"/>
      <c r="J227" s="57"/>
      <c r="K227" s="57"/>
      <c r="L227" s="57"/>
      <c r="M227" s="57"/>
      <c r="N227" s="57"/>
      <c r="O227" s="57"/>
      <c r="P227" s="57"/>
      <c r="Q227" s="57"/>
      <c r="R227" s="57"/>
      <c r="S227" s="57"/>
      <c r="T227" s="57"/>
      <c r="U227" s="57"/>
    </row>
    <row r="228" spans="2:21" x14ac:dyDescent="0.15">
      <c r="B228" s="57"/>
      <c r="C228" s="57"/>
      <c r="D228" s="57"/>
      <c r="E228" s="57"/>
      <c r="F228" s="57"/>
      <c r="G228" s="57"/>
      <c r="H228" s="57"/>
      <c r="I228" s="57"/>
      <c r="J228" s="57"/>
      <c r="K228" s="57"/>
      <c r="L228" s="57"/>
      <c r="M228" s="57"/>
      <c r="N228" s="57"/>
      <c r="O228" s="57"/>
      <c r="P228" s="57"/>
      <c r="Q228" s="57"/>
      <c r="R228" s="57"/>
      <c r="S228" s="57"/>
      <c r="T228" s="57"/>
      <c r="U228" s="57"/>
    </row>
    <row r="229" spans="2:21" x14ac:dyDescent="0.15">
      <c r="B229" s="57"/>
      <c r="C229" s="57"/>
      <c r="D229" s="57"/>
      <c r="E229" s="57"/>
      <c r="F229" s="57"/>
      <c r="G229" s="57"/>
      <c r="H229" s="57"/>
      <c r="I229" s="57"/>
      <c r="J229" s="57"/>
      <c r="K229" s="57"/>
      <c r="L229" s="57"/>
      <c r="M229" s="57"/>
      <c r="N229" s="57"/>
      <c r="O229" s="57"/>
      <c r="P229" s="57"/>
      <c r="Q229" s="57"/>
      <c r="R229" s="57"/>
      <c r="S229" s="57"/>
      <c r="T229" s="57"/>
      <c r="U229" s="57"/>
    </row>
    <row r="230" spans="2:21" x14ac:dyDescent="0.15">
      <c r="B230" s="57"/>
      <c r="C230" s="57"/>
      <c r="D230" s="57"/>
      <c r="E230" s="57"/>
      <c r="F230" s="57"/>
      <c r="G230" s="57"/>
      <c r="H230" s="57"/>
      <c r="I230" s="57"/>
      <c r="J230" s="57"/>
      <c r="K230" s="57"/>
      <c r="L230" s="57"/>
      <c r="M230" s="57"/>
      <c r="N230" s="57"/>
      <c r="O230" s="57"/>
      <c r="P230" s="57"/>
      <c r="Q230" s="57"/>
      <c r="R230" s="57"/>
      <c r="S230" s="57"/>
      <c r="T230" s="57"/>
      <c r="U230" s="57"/>
    </row>
    <row r="231" spans="2:21" x14ac:dyDescent="0.15">
      <c r="B231" s="57"/>
      <c r="C231" s="57"/>
      <c r="D231" s="57"/>
      <c r="E231" s="57"/>
      <c r="F231" s="57"/>
      <c r="G231" s="57"/>
      <c r="H231" s="57"/>
      <c r="I231" s="57"/>
      <c r="J231" s="57"/>
      <c r="K231" s="57"/>
      <c r="L231" s="57"/>
      <c r="M231" s="57"/>
      <c r="N231" s="57"/>
      <c r="O231" s="57"/>
      <c r="P231" s="57"/>
      <c r="Q231" s="57"/>
      <c r="R231" s="57"/>
      <c r="S231" s="57"/>
      <c r="T231" s="57"/>
      <c r="U231" s="57"/>
    </row>
    <row r="232" spans="2:21" x14ac:dyDescent="0.15">
      <c r="B232" s="57"/>
      <c r="C232" s="57"/>
      <c r="D232" s="57"/>
      <c r="E232" s="57"/>
      <c r="F232" s="57"/>
      <c r="G232" s="57"/>
      <c r="H232" s="57"/>
      <c r="I232" s="57"/>
      <c r="J232" s="57"/>
      <c r="K232" s="57"/>
      <c r="L232" s="57"/>
      <c r="M232" s="57"/>
      <c r="N232" s="57"/>
      <c r="O232" s="57"/>
      <c r="P232" s="57"/>
      <c r="Q232" s="57"/>
      <c r="R232" s="57"/>
      <c r="S232" s="57"/>
      <c r="T232" s="57"/>
      <c r="U232" s="57"/>
    </row>
    <row r="233" spans="2:21" x14ac:dyDescent="0.15">
      <c r="B233" s="57"/>
      <c r="C233" s="57"/>
      <c r="D233" s="57"/>
      <c r="E233" s="57"/>
      <c r="F233" s="57"/>
      <c r="G233" s="57"/>
      <c r="H233" s="57"/>
      <c r="I233" s="57"/>
      <c r="J233" s="57"/>
      <c r="K233" s="57"/>
      <c r="L233" s="57"/>
      <c r="M233" s="57"/>
      <c r="N233" s="57"/>
      <c r="O233" s="57"/>
      <c r="P233" s="57"/>
      <c r="Q233" s="57"/>
      <c r="R233" s="57"/>
      <c r="S233" s="57"/>
      <c r="T233" s="57"/>
      <c r="U233" s="57"/>
    </row>
    <row r="234" spans="2:21" x14ac:dyDescent="0.15">
      <c r="B234" s="57"/>
      <c r="C234" s="57"/>
      <c r="D234" s="57"/>
      <c r="E234" s="57"/>
      <c r="F234" s="57"/>
      <c r="G234" s="57"/>
      <c r="H234" s="57"/>
      <c r="I234" s="57"/>
      <c r="J234" s="57"/>
      <c r="K234" s="57"/>
      <c r="L234" s="57"/>
      <c r="M234" s="57"/>
      <c r="N234" s="57"/>
      <c r="O234" s="57"/>
      <c r="P234" s="57"/>
      <c r="Q234" s="57"/>
      <c r="R234" s="57"/>
      <c r="S234" s="57"/>
      <c r="T234" s="57"/>
      <c r="U234" s="57"/>
    </row>
    <row r="235" spans="2:21" x14ac:dyDescent="0.15">
      <c r="B235" s="57"/>
      <c r="C235" s="57"/>
      <c r="D235" s="57"/>
      <c r="E235" s="57"/>
      <c r="F235" s="57"/>
      <c r="G235" s="57"/>
      <c r="H235" s="57"/>
      <c r="I235" s="57"/>
      <c r="J235" s="57"/>
      <c r="K235" s="57"/>
      <c r="L235" s="57"/>
      <c r="M235" s="57"/>
      <c r="N235" s="57"/>
      <c r="O235" s="57"/>
      <c r="P235" s="57"/>
      <c r="Q235" s="57"/>
      <c r="R235" s="57"/>
      <c r="S235" s="57"/>
      <c r="T235" s="57"/>
      <c r="U235" s="57"/>
    </row>
    <row r="236" spans="2:21" x14ac:dyDescent="0.15">
      <c r="B236" s="57"/>
      <c r="C236" s="57"/>
      <c r="D236" s="57"/>
      <c r="E236" s="57"/>
      <c r="F236" s="57"/>
      <c r="G236" s="57"/>
      <c r="H236" s="57"/>
      <c r="I236" s="57"/>
      <c r="J236" s="57"/>
      <c r="K236" s="57"/>
      <c r="L236" s="57"/>
      <c r="M236" s="57"/>
      <c r="N236" s="57"/>
      <c r="O236" s="57"/>
      <c r="P236" s="57"/>
      <c r="Q236" s="57"/>
      <c r="R236" s="57"/>
      <c r="S236" s="57"/>
      <c r="T236" s="57"/>
      <c r="U236" s="57"/>
    </row>
    <row r="237" spans="2:21" x14ac:dyDescent="0.15">
      <c r="B237" s="57"/>
      <c r="C237" s="57"/>
      <c r="D237" s="57"/>
      <c r="E237" s="57"/>
      <c r="F237" s="57"/>
      <c r="G237" s="57"/>
      <c r="H237" s="57"/>
      <c r="I237" s="57"/>
      <c r="J237" s="57"/>
      <c r="K237" s="57"/>
      <c r="L237" s="57"/>
      <c r="M237" s="57"/>
      <c r="N237" s="57"/>
      <c r="O237" s="57"/>
      <c r="P237" s="57"/>
      <c r="Q237" s="57"/>
      <c r="R237" s="57"/>
      <c r="S237" s="57"/>
      <c r="T237" s="57"/>
      <c r="U237" s="57"/>
    </row>
    <row r="238" spans="2:21" x14ac:dyDescent="0.15"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  <c r="O238" s="57"/>
      <c r="P238" s="57"/>
      <c r="Q238" s="57"/>
      <c r="R238" s="57"/>
      <c r="S238" s="57"/>
      <c r="T238" s="57"/>
      <c r="U238" s="57"/>
    </row>
    <row r="239" spans="2:21" x14ac:dyDescent="0.15">
      <c r="B239" s="57"/>
      <c r="C239" s="57"/>
      <c r="D239" s="57"/>
      <c r="E239" s="57"/>
      <c r="F239" s="57"/>
      <c r="G239" s="57"/>
      <c r="H239" s="57"/>
      <c r="I239" s="57"/>
      <c r="J239" s="57"/>
      <c r="K239" s="57"/>
      <c r="L239" s="57"/>
      <c r="M239" s="57"/>
      <c r="N239" s="57"/>
      <c r="O239" s="57"/>
      <c r="P239" s="57"/>
      <c r="Q239" s="57"/>
      <c r="R239" s="57"/>
      <c r="S239" s="57"/>
      <c r="T239" s="57"/>
      <c r="U239" s="57"/>
    </row>
    <row r="240" spans="2:21" x14ac:dyDescent="0.15">
      <c r="B240" s="57"/>
      <c r="C240" s="57"/>
      <c r="D240" s="57"/>
      <c r="E240" s="57"/>
      <c r="F240" s="57"/>
      <c r="G240" s="57"/>
      <c r="H240" s="57"/>
      <c r="I240" s="57"/>
      <c r="J240" s="57"/>
      <c r="K240" s="57"/>
      <c r="L240" s="57"/>
      <c r="M240" s="57"/>
      <c r="N240" s="57"/>
      <c r="O240" s="57"/>
      <c r="P240" s="57"/>
      <c r="Q240" s="57"/>
      <c r="R240" s="57"/>
      <c r="S240" s="57"/>
      <c r="T240" s="57"/>
      <c r="U240" s="57"/>
    </row>
    <row r="241" spans="2:21" x14ac:dyDescent="0.15">
      <c r="B241" s="57"/>
      <c r="C241" s="57"/>
      <c r="D241" s="57"/>
      <c r="E241" s="57"/>
      <c r="F241" s="57"/>
      <c r="G241" s="57"/>
      <c r="H241" s="57"/>
      <c r="I241" s="57"/>
      <c r="J241" s="57"/>
      <c r="K241" s="57"/>
      <c r="L241" s="57"/>
      <c r="M241" s="57"/>
      <c r="N241" s="57"/>
      <c r="O241" s="57"/>
      <c r="P241" s="57"/>
      <c r="Q241" s="57"/>
      <c r="R241" s="57"/>
      <c r="S241" s="57"/>
      <c r="T241" s="57"/>
      <c r="U241" s="57"/>
    </row>
    <row r="242" spans="2:21" x14ac:dyDescent="0.15">
      <c r="B242" s="57"/>
      <c r="C242" s="57"/>
      <c r="D242" s="57"/>
      <c r="E242" s="57"/>
      <c r="F242" s="57"/>
      <c r="G242" s="57"/>
      <c r="H242" s="57"/>
      <c r="I242" s="57"/>
      <c r="J242" s="57"/>
      <c r="K242" s="57"/>
      <c r="L242" s="57"/>
      <c r="M242" s="57"/>
      <c r="N242" s="57"/>
      <c r="O242" s="57"/>
      <c r="P242" s="57"/>
      <c r="Q242" s="57"/>
      <c r="R242" s="57"/>
      <c r="S242" s="57"/>
      <c r="T242" s="57"/>
      <c r="U242" s="57"/>
    </row>
    <row r="243" spans="2:21" x14ac:dyDescent="0.15">
      <c r="B243" s="57"/>
      <c r="C243" s="57"/>
      <c r="D243" s="57"/>
      <c r="E243" s="57"/>
      <c r="F243" s="57"/>
      <c r="G243" s="57"/>
      <c r="H243" s="57"/>
      <c r="I243" s="57"/>
      <c r="J243" s="57"/>
      <c r="K243" s="57"/>
      <c r="L243" s="57"/>
      <c r="M243" s="57"/>
      <c r="N243" s="57"/>
      <c r="O243" s="57"/>
      <c r="P243" s="57"/>
      <c r="Q243" s="57"/>
      <c r="R243" s="57"/>
      <c r="S243" s="57"/>
      <c r="T243" s="57"/>
      <c r="U243" s="57"/>
    </row>
    <row r="244" spans="2:21" x14ac:dyDescent="0.15">
      <c r="B244" s="57"/>
      <c r="C244" s="57"/>
      <c r="D244" s="57"/>
      <c r="E244" s="57"/>
      <c r="F244" s="57"/>
      <c r="G244" s="57"/>
      <c r="H244" s="57"/>
      <c r="I244" s="57"/>
      <c r="J244" s="57"/>
      <c r="K244" s="57"/>
      <c r="L244" s="57"/>
      <c r="M244" s="57"/>
      <c r="N244" s="57"/>
      <c r="O244" s="57"/>
      <c r="P244" s="57"/>
      <c r="Q244" s="57"/>
      <c r="R244" s="57"/>
      <c r="S244" s="57"/>
      <c r="T244" s="57"/>
      <c r="U244" s="57"/>
    </row>
    <row r="245" spans="2:21" x14ac:dyDescent="0.15">
      <c r="B245" s="57"/>
      <c r="C245" s="57"/>
      <c r="D245" s="57"/>
      <c r="E245" s="57"/>
      <c r="F245" s="57"/>
      <c r="G245" s="57"/>
      <c r="H245" s="57"/>
      <c r="I245" s="57"/>
      <c r="J245" s="57"/>
      <c r="K245" s="57"/>
      <c r="L245" s="57"/>
      <c r="M245" s="57"/>
      <c r="N245" s="57"/>
      <c r="O245" s="57"/>
      <c r="P245" s="57"/>
      <c r="Q245" s="57"/>
      <c r="R245" s="57"/>
      <c r="S245" s="57"/>
      <c r="T245" s="57"/>
      <c r="U245" s="57"/>
    </row>
    <row r="246" spans="2:21" x14ac:dyDescent="0.15">
      <c r="B246" s="57"/>
      <c r="C246" s="57"/>
      <c r="D246" s="57"/>
      <c r="E246" s="57"/>
      <c r="F246" s="57"/>
      <c r="G246" s="57"/>
      <c r="H246" s="57"/>
      <c r="I246" s="57"/>
      <c r="J246" s="57"/>
      <c r="K246" s="57"/>
      <c r="L246" s="57"/>
      <c r="M246" s="57"/>
      <c r="N246" s="57"/>
      <c r="O246" s="57"/>
      <c r="P246" s="57"/>
      <c r="Q246" s="57"/>
      <c r="R246" s="57"/>
      <c r="S246" s="57"/>
      <c r="T246" s="57"/>
      <c r="U246" s="57"/>
    </row>
    <row r="247" spans="2:21" x14ac:dyDescent="0.15">
      <c r="B247" s="57"/>
      <c r="C247" s="57"/>
      <c r="D247" s="57"/>
      <c r="E247" s="57"/>
      <c r="F247" s="57"/>
      <c r="G247" s="57"/>
      <c r="H247" s="57"/>
      <c r="I247" s="57"/>
      <c r="J247" s="57"/>
      <c r="K247" s="57"/>
      <c r="L247" s="57"/>
      <c r="M247" s="57"/>
      <c r="N247" s="57"/>
      <c r="O247" s="57"/>
      <c r="P247" s="57"/>
      <c r="Q247" s="57"/>
      <c r="R247" s="57"/>
      <c r="S247" s="57"/>
      <c r="T247" s="57"/>
      <c r="U247" s="57"/>
    </row>
    <row r="248" spans="2:21" x14ac:dyDescent="0.15">
      <c r="B248" s="57"/>
      <c r="C248" s="57"/>
      <c r="D248" s="57"/>
      <c r="E248" s="57"/>
      <c r="F248" s="57"/>
      <c r="G248" s="57"/>
      <c r="H248" s="57"/>
      <c r="I248" s="57"/>
      <c r="J248" s="57"/>
      <c r="K248" s="57"/>
      <c r="L248" s="57"/>
      <c r="M248" s="57"/>
      <c r="N248" s="57"/>
      <c r="O248" s="57"/>
      <c r="P248" s="57"/>
      <c r="Q248" s="57"/>
      <c r="R248" s="57"/>
      <c r="S248" s="57"/>
      <c r="T248" s="57"/>
      <c r="U248" s="57"/>
    </row>
    <row r="249" spans="2:21" x14ac:dyDescent="0.15">
      <c r="B249" s="57"/>
      <c r="C249" s="57"/>
      <c r="D249" s="57"/>
      <c r="E249" s="57"/>
      <c r="F249" s="57"/>
      <c r="G249" s="57"/>
      <c r="H249" s="57"/>
      <c r="I249" s="57"/>
      <c r="J249" s="57"/>
      <c r="K249" s="57"/>
      <c r="L249" s="57"/>
      <c r="M249" s="57"/>
      <c r="N249" s="57"/>
      <c r="O249" s="57"/>
      <c r="P249" s="57"/>
      <c r="Q249" s="57"/>
      <c r="R249" s="57"/>
      <c r="S249" s="57"/>
      <c r="T249" s="57"/>
      <c r="U249" s="57"/>
    </row>
    <row r="250" spans="2:21" x14ac:dyDescent="0.15">
      <c r="B250" s="57"/>
      <c r="C250" s="57"/>
      <c r="D250" s="57"/>
      <c r="E250" s="57"/>
      <c r="F250" s="57"/>
      <c r="G250" s="57"/>
      <c r="H250" s="57"/>
      <c r="I250" s="57"/>
      <c r="J250" s="57"/>
      <c r="K250" s="57"/>
      <c r="L250" s="57"/>
      <c r="M250" s="57"/>
      <c r="N250" s="57"/>
      <c r="O250" s="57"/>
      <c r="P250" s="57"/>
      <c r="Q250" s="57"/>
      <c r="R250" s="57"/>
      <c r="S250" s="57"/>
      <c r="T250" s="57"/>
      <c r="U250" s="57"/>
    </row>
    <row r="251" spans="2:21" x14ac:dyDescent="0.15">
      <c r="B251" s="57"/>
      <c r="C251" s="57"/>
      <c r="D251" s="57"/>
      <c r="E251" s="57"/>
      <c r="F251" s="57"/>
      <c r="G251" s="57"/>
      <c r="H251" s="57"/>
      <c r="I251" s="57"/>
      <c r="J251" s="57"/>
      <c r="K251" s="57"/>
      <c r="L251" s="57"/>
      <c r="M251" s="57"/>
      <c r="N251" s="57"/>
      <c r="O251" s="57"/>
      <c r="P251" s="57"/>
      <c r="Q251" s="57"/>
      <c r="R251" s="57"/>
      <c r="S251" s="57"/>
      <c r="T251" s="57"/>
      <c r="U251" s="57"/>
    </row>
    <row r="252" spans="2:21" x14ac:dyDescent="0.15">
      <c r="B252" s="57"/>
      <c r="C252" s="57"/>
      <c r="D252" s="57"/>
      <c r="E252" s="57"/>
      <c r="F252" s="57"/>
      <c r="G252" s="57"/>
      <c r="H252" s="57"/>
      <c r="I252" s="57"/>
      <c r="J252" s="57"/>
      <c r="K252" s="57"/>
      <c r="L252" s="57"/>
      <c r="M252" s="57"/>
      <c r="N252" s="57"/>
      <c r="O252" s="57"/>
      <c r="P252" s="57"/>
      <c r="Q252" s="57"/>
      <c r="R252" s="57"/>
      <c r="S252" s="57"/>
      <c r="T252" s="57"/>
      <c r="U252" s="57"/>
    </row>
    <row r="253" spans="2:21" x14ac:dyDescent="0.15">
      <c r="B253" s="57"/>
      <c r="C253" s="57"/>
      <c r="D253" s="57"/>
      <c r="E253" s="57"/>
      <c r="F253" s="57"/>
      <c r="G253" s="57"/>
      <c r="H253" s="57"/>
      <c r="I253" s="57"/>
      <c r="J253" s="57"/>
      <c r="K253" s="57"/>
      <c r="L253" s="57"/>
      <c r="M253" s="57"/>
      <c r="N253" s="57"/>
      <c r="O253" s="57"/>
      <c r="P253" s="57"/>
      <c r="Q253" s="57"/>
      <c r="R253" s="57"/>
      <c r="S253" s="57"/>
      <c r="T253" s="57"/>
      <c r="U253" s="57"/>
    </row>
    <row r="254" spans="2:21" x14ac:dyDescent="0.15">
      <c r="B254" s="57"/>
      <c r="C254" s="57"/>
      <c r="D254" s="57"/>
      <c r="E254" s="57"/>
      <c r="F254" s="57"/>
      <c r="G254" s="57"/>
      <c r="H254" s="57"/>
      <c r="I254" s="57"/>
      <c r="J254" s="57"/>
      <c r="K254" s="57"/>
      <c r="L254" s="57"/>
      <c r="M254" s="57"/>
      <c r="N254" s="57"/>
      <c r="O254" s="57"/>
      <c r="P254" s="57"/>
      <c r="Q254" s="57"/>
      <c r="R254" s="57"/>
      <c r="S254" s="57"/>
      <c r="T254" s="57"/>
      <c r="U254" s="57"/>
    </row>
    <row r="255" spans="2:21" x14ac:dyDescent="0.15">
      <c r="B255" s="57"/>
      <c r="C255" s="57"/>
      <c r="D255" s="57"/>
      <c r="E255" s="57"/>
      <c r="F255" s="57"/>
      <c r="G255" s="57"/>
      <c r="H255" s="57"/>
      <c r="I255" s="57"/>
      <c r="J255" s="57"/>
      <c r="K255" s="57"/>
      <c r="L255" s="57"/>
      <c r="M255" s="57"/>
      <c r="N255" s="57"/>
      <c r="O255" s="57"/>
      <c r="P255" s="57"/>
      <c r="Q255" s="57"/>
      <c r="R255" s="57"/>
      <c r="S255" s="57"/>
      <c r="T255" s="57"/>
      <c r="U255" s="57"/>
    </row>
    <row r="256" spans="2:21" x14ac:dyDescent="0.15">
      <c r="B256" s="57"/>
      <c r="C256" s="57"/>
      <c r="D256" s="57"/>
      <c r="E256" s="57"/>
      <c r="F256" s="57"/>
      <c r="G256" s="57"/>
      <c r="H256" s="57"/>
      <c r="I256" s="57"/>
      <c r="J256" s="57"/>
      <c r="K256" s="57"/>
      <c r="L256" s="57"/>
      <c r="M256" s="57"/>
      <c r="N256" s="57"/>
      <c r="O256" s="57"/>
      <c r="P256" s="57"/>
      <c r="Q256" s="57"/>
      <c r="R256" s="57"/>
      <c r="S256" s="57"/>
      <c r="T256" s="57"/>
      <c r="U256" s="57"/>
    </row>
    <row r="257" spans="2:21" x14ac:dyDescent="0.15">
      <c r="B257" s="57"/>
      <c r="C257" s="57"/>
      <c r="D257" s="57"/>
      <c r="E257" s="57"/>
      <c r="F257" s="57"/>
      <c r="G257" s="57"/>
      <c r="H257" s="57"/>
      <c r="I257" s="57"/>
      <c r="J257" s="57"/>
      <c r="K257" s="57"/>
      <c r="L257" s="57"/>
      <c r="M257" s="57"/>
      <c r="N257" s="57"/>
      <c r="O257" s="57"/>
      <c r="P257" s="57"/>
      <c r="Q257" s="57"/>
      <c r="R257" s="57"/>
      <c r="S257" s="57"/>
      <c r="T257" s="57"/>
      <c r="U257" s="57"/>
    </row>
    <row r="258" spans="2:21" x14ac:dyDescent="0.15">
      <c r="B258" s="57"/>
      <c r="C258" s="57"/>
      <c r="D258" s="57"/>
      <c r="E258" s="57"/>
      <c r="F258" s="57"/>
      <c r="G258" s="57"/>
      <c r="H258" s="57"/>
      <c r="I258" s="57"/>
      <c r="J258" s="57"/>
      <c r="K258" s="57"/>
      <c r="L258" s="57"/>
      <c r="M258" s="57"/>
      <c r="N258" s="57"/>
      <c r="O258" s="57"/>
      <c r="P258" s="57"/>
      <c r="Q258" s="57"/>
      <c r="R258" s="57"/>
      <c r="S258" s="57"/>
      <c r="T258" s="57"/>
      <c r="U258" s="57"/>
    </row>
    <row r="259" spans="2:21" x14ac:dyDescent="0.15">
      <c r="B259" s="57"/>
      <c r="C259" s="57"/>
      <c r="D259" s="57"/>
      <c r="E259" s="57"/>
      <c r="F259" s="57"/>
      <c r="G259" s="57"/>
      <c r="H259" s="57"/>
      <c r="I259" s="57"/>
      <c r="J259" s="57"/>
      <c r="K259" s="57"/>
      <c r="L259" s="57"/>
      <c r="M259" s="57"/>
      <c r="N259" s="57"/>
      <c r="O259" s="57"/>
      <c r="P259" s="57"/>
      <c r="Q259" s="57"/>
      <c r="R259" s="57"/>
      <c r="S259" s="57"/>
      <c r="T259" s="57"/>
      <c r="U259" s="57"/>
    </row>
    <row r="260" spans="2:21" x14ac:dyDescent="0.15">
      <c r="B260" s="57"/>
      <c r="C260" s="57"/>
      <c r="D260" s="57"/>
      <c r="E260" s="57"/>
      <c r="F260" s="57"/>
      <c r="G260" s="57"/>
      <c r="H260" s="57"/>
      <c r="I260" s="57"/>
      <c r="J260" s="57"/>
      <c r="K260" s="57"/>
      <c r="L260" s="57"/>
      <c r="M260" s="57"/>
      <c r="N260" s="57"/>
      <c r="O260" s="57"/>
      <c r="P260" s="57"/>
      <c r="Q260" s="57"/>
      <c r="R260" s="57"/>
      <c r="S260" s="57"/>
      <c r="T260" s="57"/>
      <c r="U260" s="57"/>
    </row>
    <row r="261" spans="2:21" x14ac:dyDescent="0.15">
      <c r="B261" s="57"/>
      <c r="C261" s="57"/>
      <c r="D261" s="57"/>
      <c r="E261" s="57"/>
      <c r="F261" s="57"/>
      <c r="G261" s="57"/>
      <c r="H261" s="57"/>
      <c r="I261" s="57"/>
      <c r="J261" s="57"/>
      <c r="K261" s="57"/>
      <c r="L261" s="57"/>
      <c r="M261" s="57"/>
      <c r="N261" s="57"/>
      <c r="O261" s="57"/>
      <c r="P261" s="57"/>
      <c r="Q261" s="57"/>
      <c r="R261" s="57"/>
      <c r="S261" s="57"/>
      <c r="T261" s="57"/>
      <c r="U261" s="57"/>
    </row>
    <row r="262" spans="2:21" x14ac:dyDescent="0.15">
      <c r="B262" s="57"/>
      <c r="C262" s="57"/>
      <c r="D262" s="57"/>
      <c r="E262" s="57"/>
      <c r="F262" s="57"/>
      <c r="G262" s="57"/>
      <c r="H262" s="57"/>
      <c r="I262" s="57"/>
      <c r="J262" s="57"/>
      <c r="K262" s="57"/>
      <c r="L262" s="57"/>
      <c r="M262" s="57"/>
      <c r="N262" s="57"/>
      <c r="O262" s="57"/>
      <c r="P262" s="57"/>
      <c r="Q262" s="57"/>
      <c r="R262" s="57"/>
      <c r="S262" s="57"/>
      <c r="T262" s="57"/>
      <c r="U262" s="57"/>
    </row>
    <row r="263" spans="2:21" x14ac:dyDescent="0.15">
      <c r="B263" s="57"/>
      <c r="C263" s="57"/>
      <c r="D263" s="57"/>
      <c r="E263" s="57"/>
      <c r="F263" s="57"/>
      <c r="G263" s="57"/>
      <c r="H263" s="57"/>
      <c r="I263" s="57"/>
      <c r="J263" s="57"/>
      <c r="K263" s="57"/>
      <c r="L263" s="57"/>
      <c r="M263" s="57"/>
      <c r="N263" s="57"/>
      <c r="O263" s="57"/>
      <c r="P263" s="57"/>
      <c r="Q263" s="57"/>
      <c r="R263" s="57"/>
      <c r="S263" s="57"/>
      <c r="T263" s="57"/>
      <c r="U263" s="57"/>
    </row>
    <row r="264" spans="2:21" x14ac:dyDescent="0.15"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  <c r="O264" s="57"/>
      <c r="P264" s="57"/>
      <c r="Q264" s="57"/>
      <c r="R264" s="57"/>
      <c r="S264" s="57"/>
      <c r="T264" s="57"/>
      <c r="U264" s="57"/>
    </row>
    <row r="265" spans="2:21" x14ac:dyDescent="0.15">
      <c r="B265" s="57"/>
      <c r="C265" s="57"/>
      <c r="D265" s="57"/>
      <c r="E265" s="57"/>
      <c r="F265" s="57"/>
      <c r="G265" s="57"/>
      <c r="H265" s="57"/>
      <c r="I265" s="57"/>
      <c r="J265" s="57"/>
      <c r="K265" s="57"/>
      <c r="L265" s="57"/>
      <c r="M265" s="57"/>
      <c r="N265" s="57"/>
      <c r="O265" s="57"/>
      <c r="P265" s="57"/>
      <c r="Q265" s="57"/>
      <c r="R265" s="57"/>
      <c r="S265" s="57"/>
      <c r="T265" s="57"/>
      <c r="U265" s="57"/>
    </row>
    <row r="266" spans="2:21" x14ac:dyDescent="0.15">
      <c r="B266" s="57"/>
      <c r="C266" s="57"/>
      <c r="D266" s="57"/>
      <c r="E266" s="57"/>
      <c r="F266" s="57"/>
      <c r="G266" s="57"/>
      <c r="H266" s="57"/>
      <c r="I266" s="57"/>
      <c r="J266" s="57"/>
      <c r="K266" s="57"/>
      <c r="L266" s="57"/>
      <c r="M266" s="57"/>
      <c r="N266" s="57"/>
      <c r="O266" s="57"/>
      <c r="P266" s="57"/>
      <c r="Q266" s="57"/>
      <c r="R266" s="57"/>
      <c r="S266" s="57"/>
      <c r="T266" s="57"/>
      <c r="U266" s="57"/>
    </row>
    <row r="267" spans="2:21" x14ac:dyDescent="0.15">
      <c r="B267" s="57"/>
      <c r="C267" s="57"/>
      <c r="D267" s="57"/>
      <c r="E267" s="57"/>
      <c r="F267" s="57"/>
      <c r="G267" s="57"/>
      <c r="H267" s="57"/>
      <c r="I267" s="57"/>
      <c r="J267" s="57"/>
      <c r="K267" s="57"/>
      <c r="L267" s="57"/>
      <c r="M267" s="57"/>
      <c r="N267" s="57"/>
      <c r="O267" s="57"/>
      <c r="P267" s="57"/>
      <c r="Q267" s="57"/>
      <c r="R267" s="57"/>
      <c r="S267" s="57"/>
      <c r="T267" s="57"/>
      <c r="U267" s="57"/>
    </row>
    <row r="268" spans="2:21" x14ac:dyDescent="0.15">
      <c r="B268" s="57"/>
      <c r="C268" s="57"/>
      <c r="D268" s="57"/>
      <c r="E268" s="57"/>
      <c r="F268" s="57"/>
      <c r="G268" s="57"/>
      <c r="H268" s="57"/>
      <c r="I268" s="57"/>
      <c r="J268" s="57"/>
      <c r="K268" s="57"/>
      <c r="L268" s="57"/>
      <c r="M268" s="57"/>
      <c r="N268" s="57"/>
      <c r="O268" s="57"/>
      <c r="P268" s="57"/>
      <c r="Q268" s="57"/>
      <c r="R268" s="57"/>
      <c r="S268" s="57"/>
      <c r="T268" s="57"/>
      <c r="U268" s="57"/>
    </row>
    <row r="269" spans="2:21" x14ac:dyDescent="0.15">
      <c r="B269" s="57"/>
      <c r="C269" s="57"/>
      <c r="D269" s="57"/>
      <c r="E269" s="57"/>
      <c r="F269" s="57"/>
      <c r="G269" s="57"/>
      <c r="H269" s="57"/>
      <c r="I269" s="57"/>
      <c r="J269" s="57"/>
      <c r="K269" s="57"/>
      <c r="L269" s="57"/>
      <c r="M269" s="57"/>
      <c r="N269" s="57"/>
      <c r="O269" s="57"/>
      <c r="P269" s="57"/>
      <c r="Q269" s="57"/>
      <c r="R269" s="57"/>
      <c r="S269" s="57"/>
      <c r="T269" s="57"/>
      <c r="U269" s="57"/>
    </row>
    <row r="270" spans="2:21" x14ac:dyDescent="0.15">
      <c r="B270" s="57"/>
      <c r="C270" s="57"/>
      <c r="D270" s="57"/>
      <c r="E270" s="57"/>
      <c r="F270" s="57"/>
      <c r="G270" s="57"/>
      <c r="H270" s="57"/>
      <c r="I270" s="57"/>
      <c r="J270" s="57"/>
      <c r="K270" s="57"/>
      <c r="L270" s="57"/>
      <c r="M270" s="57"/>
      <c r="N270" s="57"/>
      <c r="O270" s="57"/>
      <c r="P270" s="57"/>
      <c r="Q270" s="57"/>
      <c r="R270" s="57"/>
      <c r="S270" s="57"/>
      <c r="T270" s="57"/>
      <c r="U270" s="57"/>
    </row>
    <row r="271" spans="2:21" x14ac:dyDescent="0.15">
      <c r="B271" s="57"/>
      <c r="C271" s="57"/>
      <c r="D271" s="57"/>
      <c r="E271" s="57"/>
      <c r="F271" s="57"/>
      <c r="G271" s="57"/>
      <c r="H271" s="57"/>
      <c r="I271" s="57"/>
      <c r="J271" s="57"/>
      <c r="K271" s="57"/>
      <c r="L271" s="57"/>
      <c r="M271" s="57"/>
      <c r="N271" s="57"/>
      <c r="O271" s="57"/>
      <c r="P271" s="57"/>
      <c r="Q271" s="57"/>
      <c r="R271" s="57"/>
      <c r="S271" s="57"/>
      <c r="T271" s="57"/>
      <c r="U271" s="57"/>
    </row>
    <row r="272" spans="2:21" x14ac:dyDescent="0.15">
      <c r="B272" s="57"/>
      <c r="C272" s="57"/>
      <c r="D272" s="57"/>
      <c r="E272" s="57"/>
      <c r="F272" s="57"/>
      <c r="G272" s="57"/>
      <c r="H272" s="57"/>
      <c r="I272" s="57"/>
      <c r="J272" s="57"/>
      <c r="K272" s="57"/>
      <c r="L272" s="57"/>
      <c r="M272" s="57"/>
      <c r="N272" s="57"/>
      <c r="O272" s="57"/>
      <c r="P272" s="57"/>
      <c r="Q272" s="57"/>
      <c r="R272" s="57"/>
      <c r="S272" s="57"/>
      <c r="T272" s="57"/>
      <c r="U272" s="57"/>
    </row>
    <row r="273" spans="2:21" x14ac:dyDescent="0.15">
      <c r="B273" s="57"/>
      <c r="C273" s="57"/>
      <c r="D273" s="57"/>
      <c r="E273" s="57"/>
      <c r="F273" s="57"/>
      <c r="G273" s="57"/>
      <c r="H273" s="57"/>
      <c r="I273" s="57"/>
      <c r="J273" s="57"/>
      <c r="K273" s="57"/>
      <c r="L273" s="57"/>
      <c r="M273" s="57"/>
      <c r="N273" s="57"/>
      <c r="O273" s="57"/>
      <c r="P273" s="57"/>
      <c r="Q273" s="57"/>
      <c r="R273" s="57"/>
      <c r="S273" s="57"/>
      <c r="T273" s="57"/>
      <c r="U273" s="57"/>
    </row>
    <row r="274" spans="2:21" x14ac:dyDescent="0.15">
      <c r="B274" s="57"/>
      <c r="C274" s="57"/>
      <c r="D274" s="57"/>
      <c r="E274" s="57"/>
      <c r="F274" s="57"/>
      <c r="G274" s="57"/>
      <c r="H274" s="57"/>
      <c r="I274" s="57"/>
      <c r="J274" s="57"/>
      <c r="K274" s="57"/>
      <c r="L274" s="57"/>
      <c r="M274" s="57"/>
      <c r="N274" s="57"/>
      <c r="O274" s="57"/>
      <c r="P274" s="57"/>
      <c r="Q274" s="57"/>
      <c r="R274" s="57"/>
      <c r="S274" s="57"/>
      <c r="T274" s="57"/>
      <c r="U274" s="57"/>
    </row>
    <row r="275" spans="2:21" x14ac:dyDescent="0.15">
      <c r="B275" s="57"/>
      <c r="C275" s="57"/>
      <c r="D275" s="57"/>
      <c r="E275" s="57"/>
      <c r="F275" s="57"/>
      <c r="G275" s="57"/>
      <c r="H275" s="57"/>
      <c r="I275" s="57"/>
      <c r="J275" s="57"/>
      <c r="K275" s="57"/>
      <c r="L275" s="57"/>
      <c r="M275" s="57"/>
      <c r="N275" s="57"/>
      <c r="O275" s="57"/>
      <c r="P275" s="57"/>
      <c r="Q275" s="57"/>
      <c r="R275" s="57"/>
      <c r="S275" s="57"/>
      <c r="T275" s="57"/>
      <c r="U275" s="57"/>
    </row>
    <row r="276" spans="2:21" x14ac:dyDescent="0.15">
      <c r="B276" s="57"/>
      <c r="C276" s="57"/>
      <c r="D276" s="57"/>
      <c r="E276" s="57"/>
      <c r="F276" s="57"/>
      <c r="G276" s="57"/>
      <c r="H276" s="57"/>
      <c r="I276" s="57"/>
      <c r="J276" s="57"/>
      <c r="K276" s="57"/>
      <c r="L276" s="57"/>
      <c r="M276" s="57"/>
      <c r="N276" s="57"/>
      <c r="O276" s="57"/>
      <c r="P276" s="57"/>
      <c r="Q276" s="57"/>
      <c r="R276" s="57"/>
      <c r="S276" s="57"/>
      <c r="T276" s="57"/>
      <c r="U276" s="57"/>
    </row>
    <row r="277" spans="2:21" x14ac:dyDescent="0.15">
      <c r="B277" s="57"/>
      <c r="C277" s="57"/>
      <c r="D277" s="57"/>
      <c r="E277" s="57"/>
      <c r="F277" s="57"/>
      <c r="G277" s="57"/>
      <c r="H277" s="57"/>
      <c r="I277" s="57"/>
      <c r="J277" s="57"/>
      <c r="K277" s="57"/>
      <c r="L277" s="57"/>
      <c r="M277" s="57"/>
      <c r="N277" s="57"/>
      <c r="O277" s="57"/>
      <c r="P277" s="57"/>
      <c r="Q277" s="57"/>
      <c r="R277" s="57"/>
      <c r="S277" s="57"/>
      <c r="T277" s="57"/>
      <c r="U277" s="57"/>
    </row>
    <row r="278" spans="2:21" x14ac:dyDescent="0.15">
      <c r="B278" s="57"/>
      <c r="C278" s="57"/>
      <c r="D278" s="57"/>
      <c r="E278" s="57"/>
      <c r="F278" s="57"/>
      <c r="G278" s="57"/>
      <c r="H278" s="57"/>
      <c r="I278" s="57"/>
      <c r="J278" s="57"/>
      <c r="K278" s="57"/>
      <c r="L278" s="57"/>
      <c r="M278" s="57"/>
      <c r="N278" s="57"/>
      <c r="O278" s="57"/>
      <c r="P278" s="57"/>
      <c r="Q278" s="57"/>
      <c r="R278" s="57"/>
      <c r="S278" s="57"/>
      <c r="T278" s="57"/>
      <c r="U278" s="57"/>
    </row>
    <row r="279" spans="2:21" x14ac:dyDescent="0.15">
      <c r="B279" s="57"/>
      <c r="C279" s="57"/>
      <c r="D279" s="57"/>
      <c r="E279" s="57"/>
      <c r="F279" s="57"/>
      <c r="G279" s="57"/>
      <c r="H279" s="57"/>
      <c r="I279" s="57"/>
      <c r="J279" s="57"/>
      <c r="K279" s="57"/>
      <c r="L279" s="57"/>
      <c r="M279" s="57"/>
      <c r="N279" s="57"/>
      <c r="O279" s="57"/>
      <c r="P279" s="57"/>
      <c r="Q279" s="57"/>
      <c r="R279" s="57"/>
      <c r="S279" s="57"/>
      <c r="T279" s="57"/>
      <c r="U279" s="57"/>
    </row>
    <row r="280" spans="2:21" x14ac:dyDescent="0.15">
      <c r="B280" s="57"/>
      <c r="C280" s="57"/>
      <c r="D280" s="57"/>
      <c r="E280" s="57"/>
      <c r="F280" s="57"/>
      <c r="G280" s="57"/>
      <c r="H280" s="57"/>
      <c r="I280" s="57"/>
      <c r="J280" s="57"/>
      <c r="K280" s="57"/>
      <c r="L280" s="57"/>
      <c r="M280" s="57"/>
      <c r="N280" s="57"/>
      <c r="O280" s="57"/>
      <c r="P280" s="57"/>
      <c r="Q280" s="57"/>
      <c r="R280" s="57"/>
      <c r="S280" s="57"/>
      <c r="T280" s="57"/>
      <c r="U280" s="57"/>
    </row>
    <row r="281" spans="2:21" x14ac:dyDescent="0.15">
      <c r="B281" s="57"/>
      <c r="C281" s="57"/>
      <c r="D281" s="57"/>
      <c r="E281" s="57"/>
      <c r="F281" s="57"/>
      <c r="G281" s="57"/>
      <c r="H281" s="57"/>
      <c r="I281" s="57"/>
      <c r="J281" s="57"/>
      <c r="K281" s="57"/>
      <c r="L281" s="57"/>
      <c r="M281" s="57"/>
      <c r="N281" s="57"/>
      <c r="O281" s="57"/>
      <c r="P281" s="57"/>
      <c r="Q281" s="57"/>
      <c r="R281" s="57"/>
      <c r="S281" s="57"/>
      <c r="T281" s="57"/>
      <c r="U281" s="57"/>
    </row>
    <row r="282" spans="2:21" x14ac:dyDescent="0.15">
      <c r="B282" s="57"/>
      <c r="C282" s="57"/>
      <c r="D282" s="57"/>
      <c r="E282" s="57"/>
      <c r="F282" s="57"/>
      <c r="G282" s="57"/>
      <c r="H282" s="57"/>
      <c r="I282" s="57"/>
      <c r="J282" s="57"/>
      <c r="K282" s="57"/>
      <c r="L282" s="57"/>
      <c r="M282" s="57"/>
      <c r="N282" s="57"/>
      <c r="O282" s="57"/>
      <c r="P282" s="57"/>
      <c r="Q282" s="57"/>
      <c r="R282" s="57"/>
      <c r="S282" s="57"/>
      <c r="T282" s="57"/>
      <c r="U282" s="57"/>
    </row>
    <row r="283" spans="2:21" x14ac:dyDescent="0.15">
      <c r="B283" s="57"/>
      <c r="C283" s="57"/>
      <c r="D283" s="57"/>
      <c r="E283" s="57"/>
      <c r="F283" s="57"/>
      <c r="G283" s="57"/>
      <c r="H283" s="57"/>
      <c r="I283" s="57"/>
      <c r="J283" s="57"/>
      <c r="K283" s="57"/>
      <c r="L283" s="57"/>
      <c r="M283" s="57"/>
      <c r="N283" s="57"/>
      <c r="O283" s="57"/>
      <c r="P283" s="57"/>
      <c r="Q283" s="57"/>
      <c r="R283" s="57"/>
      <c r="S283" s="57"/>
      <c r="T283" s="57"/>
      <c r="U283" s="57"/>
    </row>
    <row r="284" spans="2:21" x14ac:dyDescent="0.15">
      <c r="B284" s="57"/>
      <c r="C284" s="57"/>
      <c r="D284" s="57"/>
      <c r="E284" s="57"/>
      <c r="F284" s="57"/>
      <c r="G284" s="57"/>
      <c r="H284" s="57"/>
      <c r="I284" s="57"/>
      <c r="J284" s="57"/>
      <c r="K284" s="57"/>
      <c r="L284" s="57"/>
      <c r="M284" s="57"/>
      <c r="N284" s="57"/>
      <c r="O284" s="57"/>
      <c r="P284" s="57"/>
      <c r="Q284" s="57"/>
      <c r="R284" s="57"/>
      <c r="S284" s="57"/>
      <c r="T284" s="57"/>
      <c r="U284" s="57"/>
    </row>
    <row r="285" spans="2:21" x14ac:dyDescent="0.15">
      <c r="B285" s="57"/>
      <c r="C285" s="57"/>
      <c r="D285" s="57"/>
      <c r="E285" s="57"/>
      <c r="F285" s="57"/>
      <c r="G285" s="57"/>
      <c r="H285" s="57"/>
      <c r="I285" s="57"/>
      <c r="J285" s="57"/>
      <c r="K285" s="57"/>
      <c r="L285" s="57"/>
      <c r="M285" s="57"/>
      <c r="N285" s="57"/>
      <c r="O285" s="57"/>
      <c r="P285" s="57"/>
      <c r="Q285" s="57"/>
      <c r="R285" s="57"/>
      <c r="S285" s="57"/>
      <c r="T285" s="57"/>
      <c r="U285" s="57"/>
    </row>
    <row r="286" spans="2:21" x14ac:dyDescent="0.15">
      <c r="B286" s="57"/>
      <c r="C286" s="57"/>
      <c r="D286" s="57"/>
      <c r="E286" s="57"/>
      <c r="F286" s="57"/>
      <c r="G286" s="57"/>
      <c r="H286" s="57"/>
      <c r="I286" s="57"/>
      <c r="J286" s="57"/>
      <c r="K286" s="57"/>
      <c r="L286" s="57"/>
      <c r="M286" s="57"/>
      <c r="N286" s="57"/>
      <c r="O286" s="57"/>
      <c r="P286" s="57"/>
      <c r="Q286" s="57"/>
      <c r="R286" s="57"/>
      <c r="S286" s="57"/>
      <c r="T286" s="57"/>
      <c r="U286" s="57"/>
    </row>
    <row r="287" spans="2:21" x14ac:dyDescent="0.15">
      <c r="B287" s="57"/>
      <c r="C287" s="57"/>
      <c r="D287" s="57"/>
      <c r="E287" s="57"/>
      <c r="F287" s="57"/>
      <c r="G287" s="57"/>
      <c r="H287" s="57"/>
      <c r="I287" s="57"/>
      <c r="J287" s="57"/>
      <c r="K287" s="57"/>
      <c r="L287" s="57"/>
      <c r="M287" s="57"/>
      <c r="N287" s="57"/>
      <c r="O287" s="57"/>
      <c r="P287" s="57"/>
      <c r="Q287" s="57"/>
      <c r="R287" s="57"/>
      <c r="S287" s="57"/>
      <c r="T287" s="57"/>
      <c r="U287" s="57"/>
    </row>
    <row r="288" spans="2:21" x14ac:dyDescent="0.15">
      <c r="B288" s="57"/>
      <c r="C288" s="57"/>
      <c r="D288" s="57"/>
      <c r="E288" s="57"/>
      <c r="F288" s="57"/>
      <c r="G288" s="57"/>
      <c r="H288" s="57"/>
      <c r="I288" s="57"/>
      <c r="J288" s="57"/>
      <c r="K288" s="57"/>
      <c r="L288" s="57"/>
      <c r="M288" s="57"/>
      <c r="N288" s="57"/>
      <c r="O288" s="57"/>
      <c r="P288" s="57"/>
      <c r="Q288" s="57"/>
      <c r="R288" s="57"/>
      <c r="S288" s="57"/>
      <c r="T288" s="57"/>
      <c r="U288" s="57"/>
    </row>
    <row r="289" spans="2:21" x14ac:dyDescent="0.15">
      <c r="B289" s="57"/>
      <c r="C289" s="57"/>
      <c r="D289" s="57"/>
      <c r="E289" s="57"/>
      <c r="F289" s="57"/>
      <c r="G289" s="57"/>
      <c r="H289" s="57"/>
      <c r="I289" s="57"/>
      <c r="J289" s="57"/>
      <c r="K289" s="57"/>
      <c r="L289" s="57"/>
      <c r="M289" s="57"/>
      <c r="N289" s="57"/>
      <c r="O289" s="57"/>
      <c r="P289" s="57"/>
      <c r="Q289" s="57"/>
      <c r="R289" s="57"/>
      <c r="S289" s="57"/>
      <c r="T289" s="57"/>
      <c r="U289" s="57"/>
    </row>
    <row r="290" spans="2:21" x14ac:dyDescent="0.15"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  <c r="O290" s="57"/>
      <c r="P290" s="57"/>
      <c r="Q290" s="57"/>
      <c r="R290" s="57"/>
      <c r="S290" s="57"/>
      <c r="T290" s="57"/>
      <c r="U290" s="57"/>
    </row>
    <row r="291" spans="2:21" x14ac:dyDescent="0.15">
      <c r="B291" s="57"/>
      <c r="C291" s="57"/>
      <c r="D291" s="57"/>
      <c r="E291" s="57"/>
      <c r="F291" s="57"/>
      <c r="G291" s="57"/>
      <c r="H291" s="57"/>
      <c r="I291" s="57"/>
      <c r="J291" s="57"/>
      <c r="K291" s="57"/>
      <c r="L291" s="57"/>
      <c r="M291" s="57"/>
      <c r="N291" s="57"/>
      <c r="O291" s="57"/>
      <c r="P291" s="57"/>
      <c r="Q291" s="57"/>
      <c r="R291" s="57"/>
      <c r="S291" s="57"/>
      <c r="T291" s="57"/>
      <c r="U291" s="57"/>
    </row>
    <row r="292" spans="2:21" x14ac:dyDescent="0.15">
      <c r="B292" s="57"/>
      <c r="C292" s="57"/>
      <c r="D292" s="57"/>
      <c r="E292" s="57"/>
      <c r="F292" s="57"/>
      <c r="G292" s="57"/>
      <c r="H292" s="57"/>
      <c r="I292" s="57"/>
      <c r="J292" s="57"/>
      <c r="K292" s="57"/>
      <c r="L292" s="57"/>
      <c r="M292" s="57"/>
      <c r="N292" s="57"/>
      <c r="O292" s="57"/>
      <c r="P292" s="57"/>
      <c r="Q292" s="57"/>
      <c r="R292" s="57"/>
      <c r="S292" s="57"/>
      <c r="T292" s="57"/>
      <c r="U292" s="57"/>
    </row>
    <row r="293" spans="2:21" x14ac:dyDescent="0.15">
      <c r="B293" s="57"/>
      <c r="C293" s="57"/>
      <c r="D293" s="57"/>
      <c r="E293" s="57"/>
      <c r="F293" s="57"/>
      <c r="G293" s="57"/>
      <c r="H293" s="57"/>
      <c r="I293" s="57"/>
      <c r="J293" s="57"/>
      <c r="K293" s="57"/>
      <c r="L293" s="57"/>
      <c r="M293" s="57"/>
      <c r="N293" s="57"/>
      <c r="O293" s="57"/>
      <c r="P293" s="57"/>
      <c r="Q293" s="57"/>
      <c r="R293" s="57"/>
      <c r="S293" s="57"/>
      <c r="T293" s="57"/>
      <c r="U293" s="57"/>
    </row>
    <row r="294" spans="2:21" x14ac:dyDescent="0.15">
      <c r="B294" s="57"/>
      <c r="C294" s="57"/>
      <c r="D294" s="57"/>
      <c r="E294" s="57"/>
      <c r="F294" s="57"/>
      <c r="G294" s="57"/>
      <c r="H294" s="57"/>
      <c r="I294" s="57"/>
      <c r="J294" s="57"/>
      <c r="K294" s="57"/>
      <c r="L294" s="57"/>
      <c r="M294" s="57"/>
      <c r="N294" s="57"/>
      <c r="O294" s="57"/>
      <c r="P294" s="57"/>
      <c r="Q294" s="57"/>
      <c r="R294" s="57"/>
      <c r="S294" s="57"/>
      <c r="T294" s="57"/>
      <c r="U294" s="57"/>
    </row>
    <row r="295" spans="2:21" x14ac:dyDescent="0.15">
      <c r="B295" s="57"/>
      <c r="C295" s="57"/>
      <c r="D295" s="57"/>
      <c r="E295" s="57"/>
      <c r="F295" s="57"/>
      <c r="G295" s="57"/>
      <c r="H295" s="57"/>
      <c r="I295" s="57"/>
      <c r="J295" s="57"/>
      <c r="K295" s="57"/>
      <c r="L295" s="57"/>
      <c r="M295" s="57"/>
      <c r="N295" s="57"/>
      <c r="O295" s="57"/>
      <c r="P295" s="57"/>
      <c r="Q295" s="57"/>
      <c r="R295" s="57"/>
      <c r="S295" s="57"/>
      <c r="T295" s="57"/>
      <c r="U295" s="57"/>
    </row>
    <row r="296" spans="2:21" x14ac:dyDescent="0.15">
      <c r="B296" s="57"/>
      <c r="C296" s="57"/>
      <c r="D296" s="57"/>
      <c r="E296" s="57"/>
      <c r="F296" s="57"/>
      <c r="G296" s="57"/>
      <c r="H296" s="57"/>
      <c r="I296" s="57"/>
      <c r="J296" s="57"/>
      <c r="K296" s="57"/>
      <c r="L296" s="57"/>
      <c r="M296" s="57"/>
      <c r="N296" s="57"/>
      <c r="O296" s="57"/>
      <c r="P296" s="57"/>
      <c r="Q296" s="57"/>
      <c r="R296" s="57"/>
      <c r="S296" s="57"/>
      <c r="T296" s="57"/>
      <c r="U296" s="57"/>
    </row>
    <row r="297" spans="2:21" x14ac:dyDescent="0.15">
      <c r="B297" s="57"/>
      <c r="C297" s="57"/>
      <c r="D297" s="57"/>
      <c r="E297" s="57"/>
      <c r="F297" s="57"/>
      <c r="G297" s="57"/>
      <c r="H297" s="57"/>
      <c r="I297" s="57"/>
      <c r="J297" s="57"/>
      <c r="K297" s="57"/>
      <c r="L297" s="57"/>
      <c r="M297" s="57"/>
      <c r="N297" s="57"/>
      <c r="O297" s="57"/>
      <c r="P297" s="57"/>
      <c r="Q297" s="57"/>
      <c r="R297" s="57"/>
      <c r="S297" s="57"/>
      <c r="T297" s="57"/>
      <c r="U297" s="57"/>
    </row>
    <row r="298" spans="2:21" x14ac:dyDescent="0.15">
      <c r="B298" s="57"/>
      <c r="C298" s="57"/>
      <c r="D298" s="57"/>
      <c r="E298" s="57"/>
      <c r="F298" s="57"/>
      <c r="G298" s="57"/>
      <c r="H298" s="57"/>
      <c r="I298" s="57"/>
      <c r="J298" s="57"/>
      <c r="K298" s="57"/>
      <c r="L298" s="57"/>
      <c r="M298" s="57"/>
      <c r="N298" s="57"/>
      <c r="O298" s="57"/>
      <c r="P298" s="57"/>
      <c r="Q298" s="57"/>
      <c r="R298" s="57"/>
      <c r="S298" s="57"/>
      <c r="T298" s="57"/>
      <c r="U298" s="57"/>
    </row>
    <row r="299" spans="2:21" x14ac:dyDescent="0.15">
      <c r="B299" s="57"/>
      <c r="C299" s="57"/>
      <c r="D299" s="57"/>
      <c r="E299" s="57"/>
      <c r="F299" s="57"/>
      <c r="G299" s="57"/>
      <c r="H299" s="57"/>
      <c r="I299" s="57"/>
      <c r="J299" s="57"/>
      <c r="K299" s="57"/>
      <c r="L299" s="57"/>
      <c r="M299" s="57"/>
      <c r="N299" s="57"/>
      <c r="O299" s="57"/>
      <c r="P299" s="57"/>
      <c r="Q299" s="57"/>
      <c r="R299" s="57"/>
      <c r="S299" s="57"/>
      <c r="T299" s="57"/>
      <c r="U299" s="57"/>
    </row>
    <row r="300" spans="2:21" x14ac:dyDescent="0.15">
      <c r="B300" s="57"/>
      <c r="C300" s="57"/>
      <c r="D300" s="57"/>
      <c r="E300" s="57"/>
      <c r="F300" s="57"/>
      <c r="G300" s="57"/>
      <c r="H300" s="57"/>
      <c r="I300" s="57"/>
      <c r="J300" s="57"/>
      <c r="K300" s="57"/>
      <c r="L300" s="57"/>
      <c r="M300" s="57"/>
      <c r="N300" s="57"/>
      <c r="O300" s="57"/>
      <c r="P300" s="57"/>
      <c r="Q300" s="57"/>
      <c r="R300" s="57"/>
      <c r="S300" s="57"/>
      <c r="T300" s="57"/>
      <c r="U300" s="57"/>
    </row>
    <row r="301" spans="2:21" x14ac:dyDescent="0.15">
      <c r="B301" s="57"/>
      <c r="C301" s="57"/>
      <c r="D301" s="57"/>
      <c r="E301" s="57"/>
      <c r="F301" s="57"/>
      <c r="G301" s="57"/>
      <c r="H301" s="57"/>
      <c r="I301" s="57"/>
      <c r="J301" s="57"/>
      <c r="K301" s="57"/>
      <c r="L301" s="57"/>
      <c r="M301" s="57"/>
      <c r="N301" s="57"/>
      <c r="O301" s="57"/>
      <c r="P301" s="57"/>
      <c r="Q301" s="57"/>
      <c r="R301" s="57"/>
      <c r="S301" s="57"/>
      <c r="T301" s="57"/>
      <c r="U301" s="57"/>
    </row>
    <row r="302" spans="2:21" x14ac:dyDescent="0.15">
      <c r="B302" s="57"/>
      <c r="C302" s="57"/>
      <c r="D302" s="57"/>
      <c r="E302" s="57"/>
      <c r="F302" s="57"/>
      <c r="G302" s="57"/>
      <c r="H302" s="57"/>
      <c r="I302" s="57"/>
      <c r="J302" s="57"/>
      <c r="K302" s="57"/>
      <c r="L302" s="57"/>
      <c r="M302" s="57"/>
      <c r="N302" s="57"/>
      <c r="O302" s="57"/>
      <c r="P302" s="57"/>
      <c r="Q302" s="57"/>
      <c r="R302" s="57"/>
      <c r="S302" s="57"/>
      <c r="T302" s="57"/>
      <c r="U302" s="57"/>
    </row>
    <row r="303" spans="2:21" x14ac:dyDescent="0.15">
      <c r="B303" s="57"/>
      <c r="C303" s="57"/>
      <c r="D303" s="57"/>
      <c r="E303" s="57"/>
      <c r="F303" s="57"/>
      <c r="G303" s="57"/>
      <c r="H303" s="57"/>
      <c r="I303" s="57"/>
      <c r="J303" s="57"/>
      <c r="K303" s="57"/>
      <c r="L303" s="57"/>
      <c r="M303" s="57"/>
      <c r="N303" s="57"/>
      <c r="O303" s="57"/>
      <c r="P303" s="57"/>
      <c r="Q303" s="57"/>
      <c r="R303" s="57"/>
      <c r="S303" s="57"/>
      <c r="T303" s="57"/>
      <c r="U303" s="57"/>
    </row>
    <row r="304" spans="2:21" x14ac:dyDescent="0.15">
      <c r="B304" s="57"/>
      <c r="C304" s="57"/>
      <c r="D304" s="57"/>
      <c r="E304" s="57"/>
      <c r="F304" s="57"/>
      <c r="G304" s="57"/>
      <c r="H304" s="57"/>
      <c r="I304" s="57"/>
      <c r="J304" s="57"/>
      <c r="K304" s="57"/>
      <c r="L304" s="57"/>
      <c r="M304" s="57"/>
      <c r="N304" s="57"/>
      <c r="O304" s="57"/>
      <c r="P304" s="57"/>
      <c r="Q304" s="57"/>
      <c r="R304" s="57"/>
      <c r="S304" s="57"/>
      <c r="T304" s="57"/>
      <c r="U304" s="57"/>
    </row>
    <row r="305" spans="2:21" x14ac:dyDescent="0.15">
      <c r="B305" s="57"/>
      <c r="C305" s="57"/>
      <c r="D305" s="57"/>
      <c r="E305" s="57"/>
      <c r="F305" s="57"/>
      <c r="G305" s="57"/>
      <c r="H305" s="57"/>
      <c r="I305" s="57"/>
      <c r="J305" s="57"/>
      <c r="K305" s="57"/>
      <c r="L305" s="57"/>
      <c r="M305" s="57"/>
      <c r="N305" s="57"/>
      <c r="O305" s="57"/>
      <c r="P305" s="57"/>
      <c r="Q305" s="57"/>
      <c r="R305" s="57"/>
      <c r="S305" s="57"/>
      <c r="T305" s="57"/>
      <c r="U305" s="57"/>
    </row>
    <row r="306" spans="2:21" x14ac:dyDescent="0.15">
      <c r="B306" s="57"/>
      <c r="C306" s="57"/>
      <c r="D306" s="57"/>
      <c r="E306" s="57"/>
      <c r="F306" s="57"/>
      <c r="G306" s="57"/>
      <c r="H306" s="57"/>
      <c r="I306" s="57"/>
      <c r="J306" s="57"/>
      <c r="K306" s="57"/>
      <c r="L306" s="57"/>
      <c r="M306" s="57"/>
      <c r="N306" s="57"/>
      <c r="O306" s="57"/>
      <c r="P306" s="57"/>
      <c r="Q306" s="57"/>
      <c r="R306" s="57"/>
      <c r="S306" s="57"/>
      <c r="T306" s="57"/>
      <c r="U306" s="57"/>
    </row>
    <row r="307" spans="2:21" x14ac:dyDescent="0.15">
      <c r="B307" s="57"/>
      <c r="C307" s="57"/>
      <c r="D307" s="57"/>
      <c r="E307" s="57"/>
      <c r="F307" s="57"/>
      <c r="G307" s="57"/>
      <c r="H307" s="57"/>
      <c r="I307" s="57"/>
      <c r="J307" s="57"/>
      <c r="K307" s="57"/>
      <c r="L307" s="57"/>
      <c r="M307" s="57"/>
      <c r="N307" s="57"/>
      <c r="O307" s="57"/>
      <c r="P307" s="57"/>
      <c r="Q307" s="57"/>
      <c r="R307" s="57"/>
      <c r="S307" s="57"/>
      <c r="T307" s="57"/>
      <c r="U307" s="57"/>
    </row>
    <row r="308" spans="2:21" x14ac:dyDescent="0.15">
      <c r="B308" s="57"/>
      <c r="C308" s="57"/>
      <c r="D308" s="57"/>
      <c r="E308" s="57"/>
      <c r="F308" s="57"/>
      <c r="G308" s="57"/>
      <c r="H308" s="57"/>
      <c r="I308" s="57"/>
      <c r="J308" s="57"/>
      <c r="K308" s="57"/>
      <c r="L308" s="57"/>
      <c r="M308" s="57"/>
      <c r="N308" s="57"/>
      <c r="O308" s="57"/>
      <c r="P308" s="57"/>
      <c r="Q308" s="57"/>
      <c r="R308" s="57"/>
      <c r="S308" s="57"/>
      <c r="T308" s="57"/>
      <c r="U308" s="57"/>
    </row>
    <row r="309" spans="2:21" x14ac:dyDescent="0.15">
      <c r="B309" s="57"/>
      <c r="C309" s="57"/>
      <c r="D309" s="57"/>
      <c r="E309" s="57"/>
      <c r="F309" s="57"/>
      <c r="G309" s="57"/>
      <c r="H309" s="57"/>
      <c r="I309" s="57"/>
      <c r="J309" s="57"/>
      <c r="K309" s="57"/>
      <c r="L309" s="57"/>
      <c r="M309" s="57"/>
      <c r="N309" s="57"/>
      <c r="O309" s="57"/>
      <c r="P309" s="57"/>
      <c r="Q309" s="57"/>
      <c r="R309" s="57"/>
      <c r="S309" s="57"/>
      <c r="T309" s="57"/>
      <c r="U309" s="57"/>
    </row>
    <row r="310" spans="2:21" x14ac:dyDescent="0.15">
      <c r="B310" s="57"/>
      <c r="C310" s="57"/>
      <c r="D310" s="57"/>
      <c r="E310" s="57"/>
      <c r="F310" s="57"/>
      <c r="G310" s="57"/>
      <c r="H310" s="57"/>
      <c r="I310" s="57"/>
      <c r="J310" s="57"/>
      <c r="K310" s="57"/>
      <c r="L310" s="57"/>
      <c r="M310" s="57"/>
      <c r="N310" s="57"/>
      <c r="O310" s="57"/>
      <c r="P310" s="57"/>
      <c r="Q310" s="57"/>
      <c r="R310" s="57"/>
      <c r="S310" s="57"/>
      <c r="T310" s="57"/>
      <c r="U310" s="57"/>
    </row>
    <row r="311" spans="2:21" x14ac:dyDescent="0.15">
      <c r="B311" s="57"/>
      <c r="C311" s="57"/>
      <c r="D311" s="57"/>
      <c r="E311" s="57"/>
      <c r="F311" s="57"/>
      <c r="G311" s="57"/>
      <c r="H311" s="57"/>
      <c r="I311" s="57"/>
      <c r="J311" s="57"/>
      <c r="K311" s="57"/>
      <c r="L311" s="57"/>
      <c r="M311" s="57"/>
      <c r="N311" s="57"/>
      <c r="O311" s="57"/>
      <c r="P311" s="57"/>
      <c r="Q311" s="57"/>
      <c r="R311" s="57"/>
      <c r="S311" s="57"/>
      <c r="T311" s="57"/>
      <c r="U311" s="57"/>
    </row>
    <row r="312" spans="2:21" x14ac:dyDescent="0.15">
      <c r="B312" s="57"/>
      <c r="C312" s="57"/>
      <c r="D312" s="57"/>
      <c r="E312" s="57"/>
      <c r="F312" s="57"/>
      <c r="G312" s="57"/>
      <c r="H312" s="57"/>
      <c r="I312" s="57"/>
      <c r="J312" s="57"/>
      <c r="K312" s="57"/>
      <c r="L312" s="57"/>
      <c r="M312" s="57"/>
      <c r="N312" s="57"/>
      <c r="O312" s="57"/>
      <c r="P312" s="57"/>
      <c r="Q312" s="57"/>
      <c r="R312" s="57"/>
      <c r="S312" s="57"/>
      <c r="T312" s="57"/>
      <c r="U312" s="57"/>
    </row>
    <row r="313" spans="2:21" x14ac:dyDescent="0.15">
      <c r="B313" s="57"/>
      <c r="C313" s="57"/>
      <c r="D313" s="57"/>
      <c r="E313" s="57"/>
      <c r="F313" s="57"/>
      <c r="G313" s="57"/>
      <c r="H313" s="57"/>
      <c r="I313" s="57"/>
      <c r="J313" s="57"/>
      <c r="K313" s="57"/>
      <c r="L313" s="57"/>
      <c r="M313" s="57"/>
      <c r="N313" s="57"/>
      <c r="O313" s="57"/>
      <c r="P313" s="57"/>
      <c r="Q313" s="57"/>
      <c r="R313" s="57"/>
      <c r="S313" s="57"/>
      <c r="T313" s="57"/>
      <c r="U313" s="57"/>
    </row>
    <row r="314" spans="2:21" x14ac:dyDescent="0.15">
      <c r="B314" s="57"/>
      <c r="C314" s="57"/>
      <c r="D314" s="57"/>
      <c r="E314" s="57"/>
      <c r="F314" s="57"/>
      <c r="G314" s="57"/>
      <c r="H314" s="57"/>
      <c r="I314" s="57"/>
      <c r="J314" s="57"/>
      <c r="K314" s="57"/>
      <c r="L314" s="57"/>
      <c r="M314" s="57"/>
      <c r="N314" s="57"/>
      <c r="O314" s="57"/>
      <c r="P314" s="57"/>
      <c r="Q314" s="57"/>
      <c r="R314" s="57"/>
      <c r="S314" s="57"/>
      <c r="T314" s="57"/>
      <c r="U314" s="57"/>
    </row>
    <row r="315" spans="2:21" x14ac:dyDescent="0.15">
      <c r="B315" s="57"/>
      <c r="C315" s="57"/>
      <c r="D315" s="57"/>
      <c r="E315" s="57"/>
      <c r="F315" s="57"/>
      <c r="G315" s="57"/>
      <c r="H315" s="57"/>
      <c r="I315" s="57"/>
      <c r="J315" s="57"/>
      <c r="K315" s="57"/>
      <c r="L315" s="57"/>
      <c r="M315" s="57"/>
      <c r="N315" s="57"/>
      <c r="O315" s="57"/>
      <c r="P315" s="57"/>
      <c r="Q315" s="57"/>
      <c r="R315" s="57"/>
      <c r="S315" s="57"/>
      <c r="T315" s="57"/>
      <c r="U315" s="57"/>
    </row>
    <row r="316" spans="2:21" x14ac:dyDescent="0.15">
      <c r="B316" s="57"/>
      <c r="C316" s="57"/>
      <c r="D316" s="57"/>
      <c r="E316" s="57"/>
      <c r="F316" s="57"/>
      <c r="G316" s="57"/>
      <c r="H316" s="57"/>
      <c r="I316" s="57"/>
      <c r="J316" s="57"/>
      <c r="K316" s="57"/>
      <c r="L316" s="57"/>
      <c r="M316" s="57"/>
      <c r="N316" s="57"/>
      <c r="O316" s="57"/>
      <c r="P316" s="57"/>
      <c r="Q316" s="57"/>
      <c r="R316" s="57"/>
      <c r="S316" s="57"/>
      <c r="T316" s="57"/>
      <c r="U316" s="57"/>
    </row>
    <row r="317" spans="2:21" x14ac:dyDescent="0.15">
      <c r="B317" s="57"/>
      <c r="C317" s="57"/>
      <c r="D317" s="57"/>
      <c r="E317" s="57"/>
      <c r="F317" s="57"/>
      <c r="G317" s="57"/>
      <c r="H317" s="57"/>
      <c r="I317" s="57"/>
      <c r="J317" s="57"/>
      <c r="K317" s="57"/>
      <c r="L317" s="57"/>
      <c r="M317" s="57"/>
      <c r="N317" s="57"/>
      <c r="O317" s="57"/>
      <c r="P317" s="57"/>
      <c r="Q317" s="57"/>
      <c r="R317" s="57"/>
      <c r="S317" s="57"/>
      <c r="T317" s="57"/>
      <c r="U317" s="57"/>
    </row>
    <row r="318" spans="2:21" x14ac:dyDescent="0.15">
      <c r="B318" s="57"/>
      <c r="C318" s="57"/>
      <c r="D318" s="57"/>
      <c r="E318" s="57"/>
      <c r="F318" s="57"/>
      <c r="G318" s="57"/>
      <c r="H318" s="57"/>
      <c r="I318" s="57"/>
      <c r="J318" s="57"/>
      <c r="K318" s="57"/>
      <c r="L318" s="57"/>
      <c r="M318" s="57"/>
      <c r="N318" s="57"/>
      <c r="O318" s="57"/>
      <c r="P318" s="57"/>
      <c r="Q318" s="57"/>
      <c r="R318" s="57"/>
      <c r="S318" s="57"/>
      <c r="T318" s="57"/>
      <c r="U318" s="57"/>
    </row>
    <row r="319" spans="2:21" x14ac:dyDescent="0.15">
      <c r="B319" s="57"/>
      <c r="C319" s="57"/>
      <c r="D319" s="57"/>
      <c r="E319" s="57"/>
      <c r="F319" s="57"/>
      <c r="G319" s="57"/>
      <c r="H319" s="57"/>
      <c r="I319" s="57"/>
      <c r="J319" s="57"/>
      <c r="K319" s="57"/>
      <c r="L319" s="57"/>
      <c r="M319" s="57"/>
      <c r="N319" s="57"/>
      <c r="O319" s="57"/>
      <c r="P319" s="57"/>
      <c r="Q319" s="57"/>
      <c r="R319" s="57"/>
      <c r="S319" s="57"/>
      <c r="T319" s="57"/>
      <c r="U319" s="57"/>
    </row>
    <row r="320" spans="2:21" x14ac:dyDescent="0.15">
      <c r="B320" s="57"/>
      <c r="C320" s="57"/>
      <c r="D320" s="57"/>
      <c r="E320" s="57"/>
      <c r="F320" s="57"/>
      <c r="G320" s="57"/>
      <c r="H320" s="57"/>
      <c r="I320" s="57"/>
      <c r="J320" s="57"/>
      <c r="K320" s="57"/>
      <c r="L320" s="57"/>
      <c r="M320" s="57"/>
      <c r="N320" s="57"/>
      <c r="O320" s="57"/>
      <c r="P320" s="57"/>
      <c r="Q320" s="57"/>
      <c r="R320" s="57"/>
      <c r="S320" s="57"/>
      <c r="T320" s="57"/>
      <c r="U320" s="57"/>
    </row>
    <row r="321" spans="2:21" x14ac:dyDescent="0.15">
      <c r="B321" s="57"/>
      <c r="C321" s="57"/>
      <c r="D321" s="57"/>
      <c r="E321" s="57"/>
      <c r="F321" s="57"/>
      <c r="G321" s="57"/>
      <c r="H321" s="57"/>
      <c r="I321" s="57"/>
      <c r="J321" s="57"/>
      <c r="K321" s="57"/>
      <c r="L321" s="57"/>
      <c r="M321" s="57"/>
      <c r="N321" s="57"/>
      <c r="O321" s="57"/>
      <c r="P321" s="57"/>
      <c r="Q321" s="57"/>
      <c r="R321" s="57"/>
      <c r="S321" s="57"/>
      <c r="T321" s="57"/>
      <c r="U321" s="57"/>
    </row>
    <row r="322" spans="2:21" x14ac:dyDescent="0.15">
      <c r="B322" s="57"/>
      <c r="C322" s="57"/>
      <c r="D322" s="57"/>
      <c r="E322" s="57"/>
      <c r="F322" s="57"/>
      <c r="G322" s="57"/>
      <c r="H322" s="57"/>
      <c r="I322" s="57"/>
      <c r="J322" s="57"/>
      <c r="K322" s="57"/>
      <c r="L322" s="57"/>
      <c r="M322" s="57"/>
      <c r="N322" s="57"/>
      <c r="O322" s="57"/>
      <c r="P322" s="57"/>
      <c r="Q322" s="57"/>
      <c r="R322" s="57"/>
      <c r="S322" s="57"/>
      <c r="T322" s="57"/>
      <c r="U322" s="57"/>
    </row>
    <row r="323" spans="2:21" x14ac:dyDescent="0.15">
      <c r="B323" s="57"/>
      <c r="C323" s="57"/>
      <c r="D323" s="57"/>
      <c r="E323" s="57"/>
      <c r="F323" s="57"/>
      <c r="G323" s="57"/>
      <c r="H323" s="57"/>
      <c r="I323" s="57"/>
      <c r="J323" s="57"/>
      <c r="K323" s="57"/>
      <c r="L323" s="57"/>
      <c r="M323" s="57"/>
      <c r="N323" s="57"/>
      <c r="O323" s="57"/>
      <c r="P323" s="57"/>
      <c r="Q323" s="57"/>
      <c r="R323" s="57"/>
      <c r="S323" s="57"/>
      <c r="T323" s="57"/>
      <c r="U323" s="57"/>
    </row>
    <row r="324" spans="2:21" x14ac:dyDescent="0.15">
      <c r="B324" s="57"/>
      <c r="C324" s="57"/>
      <c r="D324" s="57"/>
      <c r="E324" s="57"/>
      <c r="F324" s="57"/>
      <c r="G324" s="57"/>
      <c r="H324" s="57"/>
      <c r="I324" s="57"/>
      <c r="J324" s="57"/>
      <c r="K324" s="57"/>
      <c r="L324" s="57"/>
      <c r="M324" s="57"/>
      <c r="N324" s="57"/>
      <c r="O324" s="57"/>
      <c r="P324" s="57"/>
      <c r="Q324" s="57"/>
      <c r="R324" s="57"/>
      <c r="S324" s="57"/>
      <c r="T324" s="57"/>
      <c r="U324" s="57"/>
    </row>
    <row r="325" spans="2:21" x14ac:dyDescent="0.15">
      <c r="B325" s="57"/>
      <c r="C325" s="57"/>
      <c r="D325" s="57"/>
      <c r="E325" s="57"/>
      <c r="F325" s="57"/>
      <c r="G325" s="57"/>
      <c r="H325" s="57"/>
      <c r="I325" s="57"/>
      <c r="J325" s="57"/>
      <c r="K325" s="57"/>
      <c r="L325" s="57"/>
      <c r="M325" s="57"/>
      <c r="N325" s="57"/>
      <c r="O325" s="57"/>
      <c r="P325" s="57"/>
      <c r="Q325" s="57"/>
      <c r="R325" s="57"/>
      <c r="S325" s="57"/>
      <c r="T325" s="57"/>
      <c r="U325" s="57"/>
    </row>
    <row r="326" spans="2:21" x14ac:dyDescent="0.15">
      <c r="B326" s="57"/>
      <c r="C326" s="57"/>
      <c r="D326" s="57"/>
      <c r="E326" s="57"/>
      <c r="F326" s="57"/>
      <c r="G326" s="57"/>
      <c r="H326" s="57"/>
      <c r="I326" s="57"/>
      <c r="J326" s="57"/>
      <c r="K326" s="57"/>
      <c r="L326" s="57"/>
      <c r="M326" s="57"/>
      <c r="N326" s="57"/>
      <c r="O326" s="57"/>
      <c r="P326" s="57"/>
      <c r="Q326" s="57"/>
      <c r="R326" s="57"/>
      <c r="S326" s="57"/>
      <c r="T326" s="57"/>
      <c r="U326" s="57"/>
    </row>
    <row r="327" spans="2:21" x14ac:dyDescent="0.15">
      <c r="B327" s="57"/>
      <c r="C327" s="57"/>
      <c r="D327" s="57"/>
      <c r="E327" s="57"/>
      <c r="F327" s="57"/>
      <c r="G327" s="57"/>
      <c r="H327" s="57"/>
      <c r="I327" s="57"/>
      <c r="J327" s="57"/>
      <c r="K327" s="57"/>
      <c r="L327" s="57"/>
      <c r="M327" s="57"/>
      <c r="N327" s="57"/>
      <c r="O327" s="57"/>
      <c r="P327" s="57"/>
      <c r="Q327" s="57"/>
      <c r="R327" s="57"/>
      <c r="S327" s="57"/>
      <c r="T327" s="57"/>
      <c r="U327" s="57"/>
    </row>
    <row r="328" spans="2:21" x14ac:dyDescent="0.15">
      <c r="B328" s="57"/>
      <c r="C328" s="57"/>
      <c r="D328" s="57"/>
      <c r="E328" s="57"/>
      <c r="F328" s="57"/>
      <c r="G328" s="57"/>
      <c r="H328" s="57"/>
      <c r="I328" s="57"/>
      <c r="J328" s="57"/>
      <c r="K328" s="57"/>
      <c r="L328" s="57"/>
      <c r="M328" s="57"/>
      <c r="N328" s="57"/>
      <c r="O328" s="57"/>
      <c r="P328" s="57"/>
      <c r="Q328" s="57"/>
      <c r="R328" s="57"/>
      <c r="S328" s="57"/>
      <c r="T328" s="57"/>
      <c r="U328" s="57"/>
    </row>
    <row r="329" spans="2:21" x14ac:dyDescent="0.15">
      <c r="B329" s="57"/>
      <c r="C329" s="57"/>
      <c r="D329" s="57"/>
      <c r="E329" s="57"/>
      <c r="F329" s="57"/>
      <c r="G329" s="57"/>
      <c r="H329" s="57"/>
      <c r="I329" s="57"/>
      <c r="J329" s="57"/>
      <c r="K329" s="57"/>
      <c r="L329" s="57"/>
      <c r="M329" s="57"/>
      <c r="N329" s="57"/>
      <c r="O329" s="57"/>
      <c r="P329" s="57"/>
      <c r="Q329" s="57"/>
      <c r="R329" s="57"/>
      <c r="S329" s="57"/>
      <c r="T329" s="57"/>
      <c r="U329" s="57"/>
    </row>
    <row r="330" spans="2:21" x14ac:dyDescent="0.15">
      <c r="B330" s="57"/>
      <c r="C330" s="57"/>
      <c r="D330" s="57"/>
      <c r="E330" s="57"/>
      <c r="F330" s="57"/>
      <c r="G330" s="57"/>
      <c r="H330" s="57"/>
      <c r="I330" s="57"/>
      <c r="J330" s="57"/>
      <c r="K330" s="57"/>
      <c r="L330" s="57"/>
      <c r="M330" s="57"/>
      <c r="N330" s="57"/>
      <c r="O330" s="57"/>
      <c r="P330" s="57"/>
      <c r="Q330" s="57"/>
      <c r="R330" s="57"/>
      <c r="S330" s="57"/>
      <c r="T330" s="57"/>
      <c r="U330" s="57"/>
    </row>
    <row r="331" spans="2:21" x14ac:dyDescent="0.15">
      <c r="B331" s="57"/>
      <c r="C331" s="57"/>
      <c r="D331" s="57"/>
      <c r="E331" s="57"/>
      <c r="F331" s="57"/>
      <c r="G331" s="57"/>
      <c r="H331" s="57"/>
      <c r="I331" s="57"/>
      <c r="J331" s="57"/>
      <c r="K331" s="57"/>
      <c r="L331" s="57"/>
      <c r="M331" s="57"/>
      <c r="N331" s="57"/>
      <c r="O331" s="57"/>
      <c r="P331" s="57"/>
      <c r="Q331" s="57"/>
      <c r="R331" s="57"/>
      <c r="S331" s="57"/>
      <c r="T331" s="57"/>
      <c r="U331" s="57"/>
    </row>
    <row r="332" spans="2:21" x14ac:dyDescent="0.15">
      <c r="B332" s="57"/>
      <c r="C332" s="57"/>
      <c r="D332" s="57"/>
      <c r="E332" s="57"/>
      <c r="F332" s="57"/>
      <c r="G332" s="57"/>
      <c r="H332" s="57"/>
      <c r="I332" s="57"/>
      <c r="J332" s="57"/>
      <c r="K332" s="57"/>
      <c r="L332" s="57"/>
      <c r="M332" s="57"/>
      <c r="N332" s="57"/>
      <c r="O332" s="57"/>
      <c r="P332" s="57"/>
      <c r="Q332" s="57"/>
      <c r="R332" s="57"/>
      <c r="S332" s="57"/>
      <c r="T332" s="57"/>
      <c r="U332" s="57"/>
    </row>
    <row r="333" spans="2:21" x14ac:dyDescent="0.15">
      <c r="B333" s="57"/>
      <c r="C333" s="57"/>
      <c r="D333" s="57"/>
      <c r="E333" s="57"/>
      <c r="F333" s="57"/>
      <c r="G333" s="57"/>
      <c r="H333" s="57"/>
      <c r="I333" s="57"/>
      <c r="J333" s="57"/>
      <c r="K333" s="57"/>
      <c r="L333" s="57"/>
      <c r="M333" s="57"/>
      <c r="N333" s="57"/>
      <c r="O333" s="57"/>
      <c r="P333" s="57"/>
      <c r="Q333" s="57"/>
      <c r="R333" s="57"/>
      <c r="S333" s="57"/>
      <c r="T333" s="57"/>
      <c r="U333" s="57"/>
    </row>
    <row r="334" spans="2:21" x14ac:dyDescent="0.15">
      <c r="B334" s="57"/>
      <c r="C334" s="57"/>
      <c r="D334" s="57"/>
      <c r="E334" s="57"/>
      <c r="F334" s="57"/>
      <c r="G334" s="57"/>
      <c r="H334" s="57"/>
      <c r="I334" s="57"/>
      <c r="J334" s="57"/>
      <c r="K334" s="57"/>
      <c r="L334" s="57"/>
      <c r="M334" s="57"/>
      <c r="N334" s="57"/>
      <c r="O334" s="57"/>
      <c r="P334" s="57"/>
      <c r="Q334" s="57"/>
      <c r="R334" s="57"/>
      <c r="S334" s="57"/>
      <c r="T334" s="57"/>
      <c r="U334" s="57"/>
    </row>
    <row r="335" spans="2:21" x14ac:dyDescent="0.15">
      <c r="B335" s="57"/>
      <c r="C335" s="57"/>
      <c r="D335" s="57"/>
      <c r="E335" s="57"/>
      <c r="F335" s="57"/>
      <c r="G335" s="57"/>
      <c r="H335" s="57"/>
      <c r="I335" s="57"/>
      <c r="J335" s="57"/>
      <c r="K335" s="57"/>
      <c r="L335" s="57"/>
      <c r="M335" s="57"/>
      <c r="N335" s="57"/>
      <c r="O335" s="57"/>
      <c r="P335" s="57"/>
      <c r="Q335" s="57"/>
      <c r="R335" s="57"/>
      <c r="S335" s="57"/>
      <c r="T335" s="57"/>
      <c r="U335" s="57"/>
    </row>
    <row r="336" spans="2:21" x14ac:dyDescent="0.15">
      <c r="B336" s="57"/>
      <c r="C336" s="57"/>
      <c r="D336" s="57"/>
      <c r="E336" s="57"/>
      <c r="F336" s="57"/>
      <c r="G336" s="57"/>
      <c r="H336" s="57"/>
      <c r="I336" s="57"/>
      <c r="J336" s="57"/>
      <c r="K336" s="57"/>
      <c r="L336" s="57"/>
      <c r="M336" s="57"/>
      <c r="N336" s="57"/>
      <c r="O336" s="57"/>
      <c r="P336" s="57"/>
      <c r="Q336" s="57"/>
      <c r="R336" s="57"/>
      <c r="S336" s="57"/>
      <c r="T336" s="57"/>
      <c r="U336" s="57"/>
    </row>
    <row r="337" spans="2:21" x14ac:dyDescent="0.15">
      <c r="B337" s="57"/>
      <c r="C337" s="57"/>
      <c r="D337" s="57"/>
      <c r="E337" s="57"/>
      <c r="F337" s="57"/>
      <c r="G337" s="57"/>
      <c r="H337" s="57"/>
      <c r="I337" s="57"/>
      <c r="J337" s="57"/>
      <c r="K337" s="57"/>
      <c r="L337" s="57"/>
      <c r="M337" s="57"/>
      <c r="N337" s="57"/>
      <c r="O337" s="57"/>
      <c r="P337" s="57"/>
      <c r="Q337" s="57"/>
      <c r="R337" s="57"/>
      <c r="S337" s="57"/>
      <c r="T337" s="57"/>
      <c r="U337" s="57"/>
    </row>
    <row r="338" spans="2:21" x14ac:dyDescent="0.15">
      <c r="B338" s="57"/>
      <c r="C338" s="57"/>
      <c r="D338" s="57"/>
      <c r="E338" s="57"/>
      <c r="F338" s="57"/>
      <c r="G338" s="57"/>
      <c r="H338" s="57"/>
      <c r="I338" s="57"/>
      <c r="J338" s="57"/>
      <c r="K338" s="57"/>
      <c r="L338" s="57"/>
      <c r="M338" s="57"/>
      <c r="N338" s="57"/>
      <c r="O338" s="57"/>
      <c r="P338" s="57"/>
      <c r="Q338" s="57"/>
      <c r="R338" s="57"/>
      <c r="S338" s="57"/>
      <c r="T338" s="57"/>
      <c r="U338" s="57"/>
    </row>
    <row r="339" spans="2:21" x14ac:dyDescent="0.15">
      <c r="B339" s="57"/>
      <c r="C339" s="57"/>
      <c r="D339" s="57"/>
      <c r="E339" s="57"/>
      <c r="F339" s="57"/>
      <c r="G339" s="57"/>
      <c r="H339" s="57"/>
      <c r="I339" s="57"/>
      <c r="J339" s="57"/>
      <c r="K339" s="57"/>
      <c r="L339" s="57"/>
      <c r="M339" s="57"/>
      <c r="N339" s="57"/>
      <c r="O339" s="57"/>
      <c r="P339" s="57"/>
      <c r="Q339" s="57"/>
      <c r="R339" s="57"/>
      <c r="S339" s="57"/>
      <c r="T339" s="57"/>
      <c r="U339" s="57"/>
    </row>
    <row r="340" spans="2:21" x14ac:dyDescent="0.15">
      <c r="B340" s="57"/>
      <c r="C340" s="57"/>
      <c r="D340" s="57"/>
      <c r="E340" s="57"/>
      <c r="F340" s="57"/>
      <c r="G340" s="57"/>
      <c r="H340" s="57"/>
      <c r="I340" s="57"/>
      <c r="J340" s="57"/>
      <c r="K340" s="57"/>
      <c r="L340" s="57"/>
      <c r="M340" s="57"/>
      <c r="N340" s="57"/>
      <c r="O340" s="57"/>
      <c r="P340" s="57"/>
      <c r="Q340" s="57"/>
      <c r="R340" s="57"/>
      <c r="S340" s="57"/>
      <c r="T340" s="57"/>
      <c r="U340" s="57"/>
    </row>
    <row r="341" spans="2:21" x14ac:dyDescent="0.15">
      <c r="B341" s="57"/>
      <c r="C341" s="57"/>
      <c r="D341" s="57"/>
      <c r="E341" s="57"/>
      <c r="F341" s="57"/>
      <c r="G341" s="57"/>
      <c r="H341" s="57"/>
      <c r="I341" s="57"/>
      <c r="J341" s="57"/>
      <c r="K341" s="57"/>
      <c r="L341" s="57"/>
      <c r="M341" s="57"/>
      <c r="N341" s="57"/>
      <c r="O341" s="57"/>
      <c r="P341" s="57"/>
      <c r="Q341" s="57"/>
      <c r="R341" s="57"/>
      <c r="S341" s="57"/>
      <c r="T341" s="57"/>
      <c r="U341" s="57"/>
    </row>
    <row r="342" spans="2:21" x14ac:dyDescent="0.15">
      <c r="B342" s="57"/>
      <c r="C342" s="57"/>
      <c r="D342" s="57"/>
      <c r="E342" s="57"/>
      <c r="F342" s="57"/>
      <c r="G342" s="57"/>
      <c r="H342" s="57"/>
      <c r="I342" s="57"/>
      <c r="J342" s="57"/>
      <c r="K342" s="57"/>
      <c r="L342" s="57"/>
      <c r="M342" s="57"/>
      <c r="N342" s="57"/>
      <c r="O342" s="57"/>
      <c r="P342" s="57"/>
      <c r="Q342" s="57"/>
      <c r="R342" s="57"/>
      <c r="S342" s="57"/>
      <c r="T342" s="57"/>
      <c r="U342" s="57"/>
    </row>
    <row r="343" spans="2:21" x14ac:dyDescent="0.15">
      <c r="B343" s="57"/>
      <c r="C343" s="57"/>
      <c r="D343" s="57"/>
      <c r="E343" s="57"/>
      <c r="F343" s="57"/>
      <c r="G343" s="57"/>
      <c r="H343" s="57"/>
      <c r="I343" s="57"/>
      <c r="J343" s="57"/>
      <c r="K343" s="57"/>
      <c r="L343" s="57"/>
      <c r="M343" s="57"/>
      <c r="N343" s="57"/>
      <c r="O343" s="57"/>
      <c r="P343" s="57"/>
      <c r="Q343" s="57"/>
      <c r="R343" s="57"/>
      <c r="S343" s="57"/>
      <c r="T343" s="57"/>
      <c r="U343" s="57"/>
    </row>
    <row r="344" spans="2:21" x14ac:dyDescent="0.15">
      <c r="B344" s="57"/>
      <c r="C344" s="57"/>
      <c r="D344" s="57"/>
      <c r="E344" s="57"/>
      <c r="F344" s="57"/>
      <c r="G344" s="57"/>
      <c r="H344" s="57"/>
      <c r="I344" s="57"/>
      <c r="J344" s="57"/>
      <c r="K344" s="57"/>
      <c r="L344" s="57"/>
      <c r="M344" s="57"/>
      <c r="N344" s="57"/>
      <c r="O344" s="57"/>
      <c r="P344" s="57"/>
      <c r="Q344" s="57"/>
      <c r="R344" s="57"/>
      <c r="S344" s="57"/>
      <c r="T344" s="57"/>
      <c r="U344" s="57"/>
    </row>
    <row r="345" spans="2:21" x14ac:dyDescent="0.15">
      <c r="B345" s="57"/>
      <c r="C345" s="57"/>
      <c r="D345" s="57"/>
      <c r="E345" s="57"/>
      <c r="F345" s="57"/>
      <c r="G345" s="57"/>
      <c r="H345" s="57"/>
      <c r="I345" s="57"/>
      <c r="J345" s="57"/>
      <c r="K345" s="57"/>
      <c r="L345" s="57"/>
      <c r="M345" s="57"/>
      <c r="N345" s="57"/>
      <c r="O345" s="57"/>
      <c r="P345" s="57"/>
      <c r="Q345" s="57"/>
      <c r="R345" s="57"/>
      <c r="S345" s="57"/>
      <c r="T345" s="57"/>
      <c r="U345" s="57"/>
    </row>
    <row r="346" spans="2:21" x14ac:dyDescent="0.15">
      <c r="B346" s="57"/>
      <c r="C346" s="57"/>
      <c r="D346" s="57"/>
      <c r="E346" s="57"/>
      <c r="F346" s="57"/>
      <c r="G346" s="57"/>
      <c r="H346" s="57"/>
      <c r="I346" s="57"/>
      <c r="J346" s="57"/>
      <c r="K346" s="57"/>
      <c r="L346" s="57"/>
      <c r="M346" s="57"/>
      <c r="N346" s="57"/>
      <c r="O346" s="57"/>
      <c r="P346" s="57"/>
      <c r="Q346" s="57"/>
      <c r="R346" s="57"/>
      <c r="S346" s="57"/>
      <c r="T346" s="57"/>
      <c r="U346" s="57"/>
    </row>
    <row r="347" spans="2:21" x14ac:dyDescent="0.15">
      <c r="B347" s="57"/>
      <c r="C347" s="57"/>
      <c r="D347" s="57"/>
      <c r="E347" s="57"/>
      <c r="F347" s="57"/>
      <c r="G347" s="57"/>
      <c r="H347" s="57"/>
      <c r="I347" s="57"/>
      <c r="J347" s="57"/>
      <c r="K347" s="57"/>
      <c r="L347" s="57"/>
      <c r="M347" s="57"/>
      <c r="N347" s="57"/>
      <c r="O347" s="57"/>
      <c r="P347" s="57"/>
      <c r="Q347" s="57"/>
      <c r="R347" s="57"/>
      <c r="S347" s="57"/>
      <c r="T347" s="57"/>
      <c r="U347" s="57"/>
    </row>
    <row r="348" spans="2:21" x14ac:dyDescent="0.15">
      <c r="B348" s="57"/>
      <c r="C348" s="57"/>
      <c r="D348" s="57"/>
      <c r="E348" s="57"/>
      <c r="F348" s="57"/>
      <c r="G348" s="57"/>
      <c r="H348" s="57"/>
      <c r="I348" s="57"/>
      <c r="J348" s="57"/>
      <c r="K348" s="57"/>
      <c r="L348" s="57"/>
      <c r="M348" s="57"/>
      <c r="N348" s="57"/>
      <c r="O348" s="57"/>
      <c r="P348" s="57"/>
      <c r="Q348" s="57"/>
      <c r="R348" s="57"/>
      <c r="S348" s="57"/>
      <c r="T348" s="57"/>
      <c r="U348" s="57"/>
    </row>
    <row r="349" spans="2:21" x14ac:dyDescent="0.15">
      <c r="B349" s="57"/>
      <c r="C349" s="57"/>
      <c r="D349" s="57"/>
      <c r="E349" s="57"/>
      <c r="F349" s="57"/>
      <c r="G349" s="57"/>
      <c r="H349" s="57"/>
      <c r="I349" s="57"/>
      <c r="J349" s="57"/>
      <c r="K349" s="57"/>
      <c r="L349" s="57"/>
      <c r="M349" s="57"/>
      <c r="N349" s="57"/>
      <c r="O349" s="57"/>
      <c r="P349" s="57"/>
      <c r="Q349" s="57"/>
      <c r="R349" s="57"/>
      <c r="S349" s="57"/>
      <c r="T349" s="57"/>
      <c r="U349" s="57"/>
    </row>
    <row r="350" spans="2:21" x14ac:dyDescent="0.15">
      <c r="B350" s="57"/>
      <c r="C350" s="57"/>
      <c r="D350" s="57"/>
      <c r="E350" s="57"/>
      <c r="F350" s="57"/>
      <c r="G350" s="57"/>
      <c r="H350" s="57"/>
      <c r="I350" s="57"/>
      <c r="J350" s="57"/>
      <c r="K350" s="57"/>
      <c r="L350" s="57"/>
      <c r="M350" s="57"/>
      <c r="N350" s="57"/>
      <c r="O350" s="57"/>
      <c r="P350" s="57"/>
      <c r="Q350" s="57"/>
      <c r="R350" s="57"/>
      <c r="S350" s="57"/>
      <c r="T350" s="57"/>
      <c r="U350" s="57"/>
    </row>
    <row r="351" spans="2:21" x14ac:dyDescent="0.15">
      <c r="B351" s="57"/>
      <c r="C351" s="57"/>
      <c r="D351" s="57"/>
      <c r="E351" s="57"/>
      <c r="F351" s="57"/>
      <c r="G351" s="57"/>
      <c r="H351" s="57"/>
      <c r="I351" s="57"/>
      <c r="J351" s="57"/>
      <c r="K351" s="57"/>
      <c r="L351" s="57"/>
      <c r="M351" s="57"/>
      <c r="N351" s="57"/>
      <c r="O351" s="57"/>
      <c r="P351" s="57"/>
      <c r="Q351" s="57"/>
      <c r="R351" s="57"/>
      <c r="S351" s="57"/>
      <c r="T351" s="57"/>
      <c r="U351" s="57"/>
    </row>
    <row r="352" spans="2:21" x14ac:dyDescent="0.15">
      <c r="B352" s="57"/>
      <c r="C352" s="57"/>
      <c r="D352" s="57"/>
      <c r="E352" s="57"/>
      <c r="F352" s="57"/>
      <c r="G352" s="57"/>
      <c r="H352" s="57"/>
      <c r="I352" s="57"/>
      <c r="J352" s="57"/>
      <c r="K352" s="57"/>
      <c r="L352" s="57"/>
      <c r="M352" s="57"/>
      <c r="N352" s="57"/>
      <c r="O352" s="57"/>
      <c r="P352" s="57"/>
      <c r="Q352" s="57"/>
      <c r="R352" s="57"/>
      <c r="S352" s="57"/>
      <c r="T352" s="57"/>
      <c r="U352" s="57"/>
    </row>
    <row r="353" spans="2:21" x14ac:dyDescent="0.15">
      <c r="B353" s="57"/>
      <c r="C353" s="57"/>
      <c r="D353" s="57"/>
      <c r="E353" s="57"/>
      <c r="F353" s="57"/>
      <c r="G353" s="57"/>
      <c r="H353" s="57"/>
      <c r="I353" s="57"/>
      <c r="J353" s="57"/>
      <c r="K353" s="57"/>
      <c r="L353" s="57"/>
      <c r="M353" s="57"/>
      <c r="N353" s="57"/>
      <c r="O353" s="57"/>
      <c r="P353" s="57"/>
      <c r="Q353" s="57"/>
      <c r="R353" s="57"/>
      <c r="S353" s="57"/>
      <c r="T353" s="57"/>
      <c r="U353" s="57"/>
    </row>
    <row r="354" spans="2:21" x14ac:dyDescent="0.15">
      <c r="B354" s="57"/>
      <c r="C354" s="57"/>
      <c r="D354" s="57"/>
      <c r="E354" s="57"/>
      <c r="F354" s="57"/>
      <c r="G354" s="57"/>
      <c r="H354" s="57"/>
      <c r="I354" s="57"/>
      <c r="J354" s="57"/>
      <c r="K354" s="57"/>
      <c r="L354" s="57"/>
      <c r="M354" s="57"/>
      <c r="N354" s="57"/>
      <c r="O354" s="57"/>
      <c r="P354" s="57"/>
      <c r="Q354" s="57"/>
      <c r="R354" s="57"/>
      <c r="S354" s="57"/>
      <c r="T354" s="57"/>
      <c r="U354" s="57"/>
    </row>
    <row r="355" spans="2:21" x14ac:dyDescent="0.15">
      <c r="B355" s="57"/>
      <c r="C355" s="57"/>
      <c r="D355" s="57"/>
      <c r="E355" s="57"/>
      <c r="F355" s="57"/>
      <c r="G355" s="57"/>
      <c r="H355" s="57"/>
      <c r="I355" s="57"/>
      <c r="J355" s="57"/>
      <c r="K355" s="57"/>
      <c r="L355" s="57"/>
      <c r="M355" s="57"/>
      <c r="N355" s="57"/>
      <c r="O355" s="57"/>
      <c r="P355" s="57"/>
      <c r="Q355" s="57"/>
      <c r="R355" s="57"/>
      <c r="S355" s="57"/>
      <c r="T355" s="57"/>
      <c r="U355" s="57"/>
    </row>
    <row r="356" spans="2:21" x14ac:dyDescent="0.15">
      <c r="B356" s="57"/>
      <c r="C356" s="57"/>
      <c r="D356" s="57"/>
      <c r="E356" s="57"/>
      <c r="F356" s="57"/>
      <c r="G356" s="57"/>
      <c r="H356" s="57"/>
      <c r="I356" s="57"/>
      <c r="J356" s="57"/>
      <c r="K356" s="57"/>
      <c r="L356" s="57"/>
      <c r="M356" s="57"/>
      <c r="N356" s="57"/>
      <c r="O356" s="57"/>
      <c r="P356" s="57"/>
      <c r="Q356" s="57"/>
      <c r="R356" s="57"/>
      <c r="S356" s="57"/>
      <c r="T356" s="57"/>
      <c r="U356" s="57"/>
    </row>
    <row r="357" spans="2:21" x14ac:dyDescent="0.15">
      <c r="B357" s="57"/>
      <c r="C357" s="57"/>
      <c r="D357" s="57"/>
      <c r="E357" s="57"/>
      <c r="F357" s="57"/>
      <c r="G357" s="57"/>
      <c r="H357" s="57"/>
      <c r="I357" s="57"/>
      <c r="J357" s="57"/>
      <c r="K357" s="57"/>
      <c r="L357" s="57"/>
      <c r="M357" s="57"/>
      <c r="N357" s="57"/>
      <c r="O357" s="57"/>
      <c r="P357" s="57"/>
      <c r="Q357" s="57"/>
      <c r="R357" s="57"/>
      <c r="S357" s="57"/>
      <c r="T357" s="57"/>
      <c r="U357" s="57"/>
    </row>
    <row r="358" spans="2:21" x14ac:dyDescent="0.15">
      <c r="B358" s="57"/>
      <c r="C358" s="57"/>
      <c r="D358" s="57"/>
      <c r="E358" s="57"/>
      <c r="F358" s="57"/>
      <c r="G358" s="57"/>
      <c r="H358" s="57"/>
      <c r="I358" s="57"/>
      <c r="J358" s="57"/>
      <c r="K358" s="57"/>
      <c r="L358" s="57"/>
      <c r="M358" s="57"/>
      <c r="N358" s="57"/>
      <c r="O358" s="57"/>
      <c r="P358" s="57"/>
      <c r="Q358" s="57"/>
      <c r="R358" s="57"/>
      <c r="S358" s="57"/>
      <c r="T358" s="57"/>
      <c r="U358" s="57"/>
    </row>
    <row r="359" spans="2:21" x14ac:dyDescent="0.15">
      <c r="B359" s="57"/>
      <c r="C359" s="57"/>
      <c r="D359" s="57"/>
      <c r="E359" s="57"/>
      <c r="F359" s="57"/>
      <c r="G359" s="57"/>
      <c r="H359" s="57"/>
      <c r="I359" s="57"/>
      <c r="J359" s="57"/>
      <c r="K359" s="57"/>
      <c r="L359" s="57"/>
      <c r="M359" s="57"/>
      <c r="N359" s="57"/>
      <c r="O359" s="57"/>
      <c r="P359" s="57"/>
      <c r="Q359" s="57"/>
      <c r="R359" s="57"/>
      <c r="S359" s="57"/>
      <c r="T359" s="57"/>
      <c r="U359" s="57"/>
    </row>
    <row r="360" spans="2:21" x14ac:dyDescent="0.15">
      <c r="B360" s="57"/>
      <c r="C360" s="57"/>
      <c r="D360" s="57"/>
      <c r="E360" s="57"/>
      <c r="F360" s="57"/>
      <c r="G360" s="57"/>
      <c r="H360" s="57"/>
      <c r="I360" s="57"/>
      <c r="J360" s="57"/>
      <c r="K360" s="57"/>
      <c r="L360" s="57"/>
      <c r="M360" s="57"/>
      <c r="N360" s="57"/>
      <c r="O360" s="57"/>
      <c r="P360" s="57"/>
      <c r="Q360" s="57"/>
      <c r="R360" s="57"/>
      <c r="S360" s="57"/>
      <c r="T360" s="57"/>
      <c r="U360" s="57"/>
    </row>
    <row r="361" spans="2:21" x14ac:dyDescent="0.15">
      <c r="B361" s="57"/>
      <c r="C361" s="57"/>
      <c r="D361" s="57"/>
      <c r="E361" s="57"/>
      <c r="F361" s="57"/>
      <c r="G361" s="57"/>
      <c r="H361" s="57"/>
      <c r="I361" s="57"/>
      <c r="J361" s="57"/>
      <c r="K361" s="57"/>
      <c r="L361" s="57"/>
      <c r="M361" s="57"/>
      <c r="N361" s="57"/>
      <c r="O361" s="57"/>
      <c r="P361" s="57"/>
      <c r="Q361" s="57"/>
      <c r="R361" s="57"/>
      <c r="S361" s="57"/>
      <c r="T361" s="57"/>
      <c r="U361" s="57"/>
    </row>
    <row r="362" spans="2:21" x14ac:dyDescent="0.15">
      <c r="B362" s="57"/>
      <c r="C362" s="57"/>
      <c r="D362" s="57"/>
      <c r="E362" s="57"/>
      <c r="F362" s="57"/>
      <c r="G362" s="57"/>
      <c r="H362" s="57"/>
      <c r="I362" s="57"/>
      <c r="J362" s="57"/>
      <c r="K362" s="57"/>
      <c r="L362" s="57"/>
      <c r="M362" s="57"/>
      <c r="N362" s="57"/>
      <c r="O362" s="57"/>
      <c r="P362" s="57"/>
      <c r="Q362" s="57"/>
      <c r="R362" s="57"/>
      <c r="S362" s="57"/>
      <c r="T362" s="57"/>
      <c r="U362" s="57"/>
    </row>
    <row r="363" spans="2:21" x14ac:dyDescent="0.15">
      <c r="B363" s="57"/>
      <c r="C363" s="57"/>
      <c r="D363" s="57"/>
      <c r="E363" s="57"/>
      <c r="F363" s="57"/>
      <c r="G363" s="57"/>
      <c r="H363" s="57"/>
      <c r="I363" s="57"/>
      <c r="J363" s="57"/>
      <c r="K363" s="57"/>
      <c r="L363" s="57"/>
      <c r="M363" s="57"/>
      <c r="N363" s="57"/>
      <c r="O363" s="57"/>
      <c r="P363" s="57"/>
      <c r="Q363" s="57"/>
      <c r="R363" s="57"/>
      <c r="S363" s="57"/>
      <c r="T363" s="57"/>
      <c r="U363" s="57"/>
    </row>
    <row r="364" spans="2:21" x14ac:dyDescent="0.15">
      <c r="B364" s="57"/>
      <c r="C364" s="57"/>
      <c r="D364" s="57"/>
      <c r="E364" s="57"/>
      <c r="F364" s="57"/>
      <c r="G364" s="57"/>
      <c r="H364" s="57"/>
      <c r="I364" s="57"/>
      <c r="J364" s="57"/>
      <c r="K364" s="57"/>
      <c r="L364" s="57"/>
      <c r="M364" s="57"/>
      <c r="N364" s="57"/>
      <c r="O364" s="57"/>
      <c r="P364" s="57"/>
      <c r="Q364" s="57"/>
      <c r="R364" s="57"/>
      <c r="S364" s="57"/>
      <c r="T364" s="57"/>
      <c r="U364" s="57"/>
    </row>
    <row r="365" spans="2:21" x14ac:dyDescent="0.15">
      <c r="B365" s="57"/>
      <c r="C365" s="57"/>
      <c r="D365" s="57"/>
      <c r="E365" s="57"/>
      <c r="F365" s="57"/>
      <c r="G365" s="57"/>
      <c r="H365" s="57"/>
      <c r="I365" s="57"/>
      <c r="J365" s="57"/>
      <c r="K365" s="57"/>
      <c r="L365" s="57"/>
      <c r="M365" s="57"/>
      <c r="N365" s="57"/>
      <c r="O365" s="57"/>
      <c r="P365" s="57"/>
      <c r="Q365" s="57"/>
      <c r="R365" s="57"/>
      <c r="S365" s="57"/>
      <c r="T365" s="57"/>
      <c r="U365" s="57"/>
    </row>
    <row r="366" spans="2:21" x14ac:dyDescent="0.15">
      <c r="B366" s="57"/>
      <c r="C366" s="57"/>
      <c r="D366" s="57"/>
      <c r="E366" s="57"/>
      <c r="F366" s="57"/>
      <c r="G366" s="57"/>
      <c r="H366" s="57"/>
      <c r="I366" s="57"/>
      <c r="J366" s="57"/>
      <c r="K366" s="57"/>
      <c r="L366" s="57"/>
      <c r="M366" s="57"/>
      <c r="N366" s="57"/>
      <c r="O366" s="57"/>
      <c r="P366" s="57"/>
      <c r="Q366" s="57"/>
      <c r="R366" s="57"/>
      <c r="S366" s="57"/>
      <c r="T366" s="57"/>
      <c r="U366" s="57"/>
    </row>
    <row r="367" spans="2:21" x14ac:dyDescent="0.15">
      <c r="B367" s="57"/>
      <c r="C367" s="57"/>
      <c r="D367" s="57"/>
      <c r="E367" s="57"/>
      <c r="F367" s="57"/>
      <c r="G367" s="57"/>
      <c r="H367" s="57"/>
      <c r="I367" s="57"/>
      <c r="J367" s="57"/>
      <c r="K367" s="57"/>
      <c r="L367" s="57"/>
      <c r="M367" s="57"/>
      <c r="N367" s="57"/>
      <c r="O367" s="57"/>
      <c r="P367" s="57"/>
      <c r="Q367" s="57"/>
      <c r="R367" s="57"/>
      <c r="S367" s="57"/>
      <c r="T367" s="57"/>
      <c r="U367" s="57"/>
    </row>
    <row r="368" spans="2:21" x14ac:dyDescent="0.15">
      <c r="B368" s="57"/>
      <c r="C368" s="57"/>
      <c r="D368" s="57"/>
      <c r="E368" s="57"/>
      <c r="F368" s="57"/>
      <c r="G368" s="57"/>
      <c r="H368" s="57"/>
      <c r="I368" s="57"/>
      <c r="J368" s="57"/>
      <c r="K368" s="57"/>
      <c r="L368" s="57"/>
      <c r="M368" s="57"/>
      <c r="N368" s="57"/>
      <c r="O368" s="57"/>
      <c r="P368" s="57"/>
      <c r="Q368" s="57"/>
      <c r="R368" s="57"/>
      <c r="S368" s="57"/>
      <c r="T368" s="57"/>
      <c r="U368" s="57"/>
    </row>
    <row r="369" spans="2:21" x14ac:dyDescent="0.15">
      <c r="B369" s="57"/>
      <c r="C369" s="57"/>
      <c r="D369" s="57"/>
      <c r="E369" s="57"/>
      <c r="F369" s="57"/>
      <c r="G369" s="57"/>
      <c r="H369" s="57"/>
      <c r="I369" s="57"/>
      <c r="J369" s="57"/>
      <c r="K369" s="57"/>
      <c r="L369" s="57"/>
      <c r="M369" s="57"/>
      <c r="N369" s="57"/>
      <c r="O369" s="57"/>
      <c r="P369" s="57"/>
      <c r="Q369" s="57"/>
      <c r="R369" s="57"/>
      <c r="S369" s="57"/>
      <c r="T369" s="57"/>
      <c r="U369" s="57"/>
    </row>
    <row r="370" spans="2:21" x14ac:dyDescent="0.15">
      <c r="B370" s="57"/>
      <c r="C370" s="57"/>
      <c r="D370" s="57"/>
      <c r="E370" s="57"/>
      <c r="F370" s="57"/>
      <c r="G370" s="57"/>
      <c r="H370" s="57"/>
      <c r="I370" s="57"/>
      <c r="J370" s="57"/>
      <c r="K370" s="57"/>
      <c r="L370" s="57"/>
      <c r="M370" s="57"/>
      <c r="N370" s="57"/>
      <c r="O370" s="57"/>
      <c r="P370" s="57"/>
      <c r="Q370" s="57"/>
      <c r="R370" s="57"/>
      <c r="S370" s="57"/>
      <c r="T370" s="57"/>
      <c r="U370" s="57"/>
    </row>
    <row r="371" spans="2:21" x14ac:dyDescent="0.15">
      <c r="B371" s="57"/>
      <c r="C371" s="57"/>
      <c r="D371" s="57"/>
      <c r="E371" s="57"/>
      <c r="F371" s="57"/>
      <c r="G371" s="57"/>
      <c r="H371" s="57"/>
      <c r="I371" s="57"/>
      <c r="J371" s="57"/>
      <c r="K371" s="57"/>
      <c r="L371" s="57"/>
      <c r="M371" s="57"/>
      <c r="N371" s="57"/>
      <c r="O371" s="57"/>
      <c r="P371" s="57"/>
      <c r="Q371" s="57"/>
      <c r="R371" s="57"/>
      <c r="S371" s="57"/>
      <c r="T371" s="57"/>
      <c r="U371" s="57"/>
    </row>
    <row r="372" spans="2:21" x14ac:dyDescent="0.15">
      <c r="B372" s="57"/>
      <c r="C372" s="57"/>
      <c r="D372" s="57"/>
      <c r="E372" s="57"/>
      <c r="F372" s="57"/>
      <c r="G372" s="57"/>
      <c r="H372" s="57"/>
      <c r="I372" s="57"/>
      <c r="J372" s="57"/>
      <c r="K372" s="57"/>
      <c r="L372" s="57"/>
      <c r="M372" s="57"/>
      <c r="N372" s="57"/>
      <c r="O372" s="57"/>
      <c r="P372" s="57"/>
      <c r="Q372" s="57"/>
      <c r="R372" s="57"/>
      <c r="S372" s="57"/>
      <c r="T372" s="57"/>
      <c r="U372" s="57"/>
    </row>
    <row r="373" spans="2:21" x14ac:dyDescent="0.15">
      <c r="B373" s="57"/>
      <c r="C373" s="57"/>
      <c r="D373" s="57"/>
      <c r="E373" s="57"/>
      <c r="F373" s="57"/>
      <c r="G373" s="57"/>
      <c r="H373" s="57"/>
      <c r="I373" s="57"/>
      <c r="J373" s="57"/>
      <c r="K373" s="57"/>
      <c r="L373" s="57"/>
      <c r="M373" s="57"/>
      <c r="N373" s="57"/>
      <c r="O373" s="57"/>
      <c r="P373" s="57"/>
      <c r="Q373" s="57"/>
      <c r="R373" s="57"/>
      <c r="S373" s="57"/>
      <c r="T373" s="57"/>
      <c r="U373" s="57"/>
    </row>
    <row r="374" spans="2:21" x14ac:dyDescent="0.15">
      <c r="B374" s="57"/>
      <c r="C374" s="57"/>
      <c r="D374" s="57"/>
      <c r="E374" s="57"/>
      <c r="F374" s="57"/>
      <c r="G374" s="57"/>
      <c r="H374" s="57"/>
      <c r="I374" s="57"/>
      <c r="J374" s="57"/>
      <c r="K374" s="57"/>
      <c r="L374" s="57"/>
      <c r="M374" s="57"/>
      <c r="N374" s="57"/>
      <c r="O374" s="57"/>
      <c r="P374" s="57"/>
      <c r="Q374" s="57"/>
      <c r="R374" s="57"/>
      <c r="S374" s="57"/>
      <c r="T374" s="57"/>
      <c r="U374" s="57"/>
    </row>
    <row r="375" spans="2:21" x14ac:dyDescent="0.15">
      <c r="B375" s="57"/>
      <c r="C375" s="57"/>
      <c r="D375" s="57"/>
      <c r="E375" s="57"/>
      <c r="F375" s="57"/>
      <c r="G375" s="57"/>
      <c r="H375" s="57"/>
      <c r="I375" s="57"/>
      <c r="J375" s="57"/>
      <c r="K375" s="57"/>
      <c r="L375" s="57"/>
      <c r="M375" s="57"/>
      <c r="N375" s="57"/>
      <c r="O375" s="57"/>
      <c r="P375" s="57"/>
      <c r="Q375" s="57"/>
      <c r="R375" s="57"/>
      <c r="S375" s="57"/>
      <c r="T375" s="57"/>
      <c r="U375" s="57"/>
    </row>
    <row r="376" spans="2:21" x14ac:dyDescent="0.15">
      <c r="B376" s="57"/>
      <c r="C376" s="57"/>
      <c r="D376" s="57"/>
      <c r="E376" s="57"/>
      <c r="F376" s="57"/>
      <c r="G376" s="57"/>
      <c r="H376" s="57"/>
      <c r="I376" s="57"/>
      <c r="J376" s="57"/>
      <c r="K376" s="57"/>
      <c r="L376" s="57"/>
      <c r="M376" s="57"/>
      <c r="N376" s="57"/>
      <c r="O376" s="57"/>
      <c r="P376" s="57"/>
      <c r="Q376" s="57"/>
      <c r="R376" s="57"/>
      <c r="S376" s="57"/>
      <c r="T376" s="57"/>
      <c r="U376" s="57"/>
    </row>
    <row r="377" spans="2:21" x14ac:dyDescent="0.15">
      <c r="B377" s="57"/>
      <c r="C377" s="57"/>
      <c r="D377" s="57"/>
      <c r="E377" s="57"/>
      <c r="F377" s="57"/>
      <c r="G377" s="57"/>
      <c r="H377" s="57"/>
      <c r="I377" s="57"/>
      <c r="J377" s="57"/>
      <c r="K377" s="57"/>
      <c r="L377" s="57"/>
      <c r="M377" s="57"/>
      <c r="N377" s="57"/>
      <c r="O377" s="57"/>
      <c r="P377" s="57"/>
      <c r="Q377" s="57"/>
      <c r="R377" s="57"/>
      <c r="S377" s="57"/>
      <c r="T377" s="57"/>
      <c r="U377" s="57"/>
    </row>
    <row r="378" spans="2:21" x14ac:dyDescent="0.15">
      <c r="B378" s="57"/>
      <c r="C378" s="57"/>
      <c r="D378" s="57"/>
      <c r="E378" s="57"/>
      <c r="F378" s="57"/>
      <c r="G378" s="57"/>
      <c r="H378" s="57"/>
      <c r="I378" s="57"/>
      <c r="J378" s="57"/>
      <c r="K378" s="57"/>
      <c r="L378" s="57"/>
      <c r="M378" s="57"/>
      <c r="N378" s="57"/>
      <c r="O378" s="57"/>
      <c r="P378" s="57"/>
      <c r="Q378" s="57"/>
      <c r="R378" s="57"/>
      <c r="S378" s="57"/>
      <c r="T378" s="57"/>
      <c r="U378" s="57"/>
    </row>
    <row r="379" spans="2:21" x14ac:dyDescent="0.15">
      <c r="B379" s="57"/>
      <c r="C379" s="57"/>
      <c r="D379" s="57"/>
      <c r="E379" s="57"/>
      <c r="F379" s="57"/>
      <c r="G379" s="57"/>
      <c r="H379" s="57"/>
      <c r="I379" s="57"/>
      <c r="J379" s="57"/>
      <c r="K379" s="57"/>
      <c r="L379" s="57"/>
      <c r="M379" s="57"/>
      <c r="N379" s="57"/>
      <c r="O379" s="57"/>
      <c r="P379" s="57"/>
      <c r="Q379" s="57"/>
      <c r="R379" s="57"/>
      <c r="S379" s="57"/>
      <c r="T379" s="57"/>
      <c r="U379" s="57"/>
    </row>
    <row r="380" spans="2:21" x14ac:dyDescent="0.15">
      <c r="B380" s="57"/>
      <c r="C380" s="57"/>
      <c r="D380" s="57"/>
      <c r="E380" s="57"/>
      <c r="F380" s="57"/>
      <c r="G380" s="57"/>
      <c r="H380" s="57"/>
      <c r="I380" s="57"/>
      <c r="J380" s="57"/>
      <c r="K380" s="57"/>
      <c r="L380" s="57"/>
      <c r="M380" s="57"/>
      <c r="N380" s="57"/>
      <c r="O380" s="57"/>
      <c r="P380" s="57"/>
      <c r="Q380" s="57"/>
      <c r="R380" s="57"/>
      <c r="S380" s="57"/>
      <c r="T380" s="57"/>
      <c r="U380" s="57"/>
    </row>
    <row r="381" spans="2:21" x14ac:dyDescent="0.15">
      <c r="B381" s="57"/>
      <c r="C381" s="57"/>
      <c r="D381" s="57"/>
      <c r="E381" s="57"/>
      <c r="F381" s="57"/>
      <c r="G381" s="57"/>
      <c r="H381" s="57"/>
      <c r="I381" s="57"/>
      <c r="J381" s="57"/>
      <c r="K381" s="57"/>
      <c r="L381" s="57"/>
      <c r="M381" s="57"/>
      <c r="N381" s="57"/>
      <c r="O381" s="57"/>
      <c r="P381" s="57"/>
      <c r="Q381" s="57"/>
      <c r="R381" s="57"/>
      <c r="S381" s="57"/>
      <c r="T381" s="57"/>
      <c r="U381" s="57"/>
    </row>
    <row r="382" spans="2:21" x14ac:dyDescent="0.15">
      <c r="B382" s="57"/>
      <c r="C382" s="57"/>
      <c r="D382" s="57"/>
      <c r="E382" s="57"/>
      <c r="F382" s="57"/>
      <c r="G382" s="57"/>
      <c r="H382" s="57"/>
      <c r="I382" s="57"/>
      <c r="J382" s="57"/>
      <c r="K382" s="57"/>
      <c r="L382" s="57"/>
      <c r="M382" s="57"/>
      <c r="N382" s="57"/>
      <c r="O382" s="57"/>
      <c r="P382" s="57"/>
      <c r="Q382" s="57"/>
      <c r="R382" s="57"/>
      <c r="S382" s="57"/>
      <c r="T382" s="57"/>
      <c r="U382" s="57"/>
    </row>
    <row r="383" spans="2:21" x14ac:dyDescent="0.15">
      <c r="B383" s="57"/>
      <c r="C383" s="57"/>
      <c r="D383" s="57"/>
      <c r="E383" s="57"/>
      <c r="F383" s="57"/>
      <c r="G383" s="57"/>
      <c r="H383" s="57"/>
      <c r="I383" s="57"/>
      <c r="J383" s="57"/>
      <c r="K383" s="57"/>
      <c r="L383" s="57"/>
      <c r="M383" s="57"/>
      <c r="N383" s="57"/>
      <c r="O383" s="57"/>
      <c r="P383" s="57"/>
      <c r="Q383" s="57"/>
      <c r="R383" s="57"/>
      <c r="S383" s="57"/>
      <c r="T383" s="57"/>
      <c r="U383" s="57"/>
    </row>
    <row r="384" spans="2:21" x14ac:dyDescent="0.15">
      <c r="B384" s="57"/>
      <c r="C384" s="57"/>
      <c r="D384" s="57"/>
      <c r="E384" s="57"/>
      <c r="F384" s="57"/>
      <c r="G384" s="57"/>
      <c r="H384" s="57"/>
      <c r="I384" s="57"/>
      <c r="J384" s="57"/>
      <c r="K384" s="57"/>
      <c r="L384" s="57"/>
      <c r="M384" s="57"/>
      <c r="N384" s="57"/>
      <c r="O384" s="57"/>
      <c r="P384" s="57"/>
      <c r="Q384" s="57"/>
      <c r="R384" s="57"/>
      <c r="S384" s="57"/>
      <c r="T384" s="57"/>
      <c r="U384" s="57"/>
    </row>
    <row r="385" spans="2:21" x14ac:dyDescent="0.15">
      <c r="B385" s="57"/>
      <c r="C385" s="57"/>
      <c r="D385" s="57"/>
      <c r="E385" s="57"/>
      <c r="F385" s="57"/>
      <c r="G385" s="57"/>
      <c r="H385" s="57"/>
      <c r="I385" s="57"/>
      <c r="J385" s="57"/>
      <c r="K385" s="57"/>
      <c r="L385" s="57"/>
      <c r="M385" s="57"/>
      <c r="N385" s="57"/>
      <c r="O385" s="57"/>
      <c r="P385" s="57"/>
      <c r="Q385" s="57"/>
      <c r="R385" s="57"/>
      <c r="S385" s="57"/>
      <c r="T385" s="57"/>
      <c r="U385" s="57"/>
    </row>
    <row r="386" spans="2:21" x14ac:dyDescent="0.15">
      <c r="B386" s="57"/>
      <c r="C386" s="57"/>
      <c r="D386" s="57"/>
      <c r="E386" s="57"/>
      <c r="F386" s="57"/>
      <c r="G386" s="57"/>
      <c r="H386" s="57"/>
      <c r="I386" s="57"/>
      <c r="J386" s="57"/>
      <c r="K386" s="57"/>
      <c r="L386" s="57"/>
      <c r="M386" s="57"/>
      <c r="N386" s="57"/>
      <c r="O386" s="57"/>
      <c r="P386" s="57"/>
      <c r="Q386" s="57"/>
      <c r="R386" s="57"/>
      <c r="S386" s="57"/>
      <c r="T386" s="57"/>
      <c r="U386" s="57"/>
    </row>
    <row r="387" spans="2:21" x14ac:dyDescent="0.15">
      <c r="B387" s="57"/>
      <c r="C387" s="57"/>
      <c r="D387" s="57"/>
      <c r="E387" s="57"/>
      <c r="F387" s="57"/>
      <c r="G387" s="57"/>
      <c r="H387" s="57"/>
      <c r="I387" s="57"/>
      <c r="J387" s="57"/>
      <c r="K387" s="57"/>
      <c r="L387" s="57"/>
      <c r="M387" s="57"/>
      <c r="N387" s="57"/>
      <c r="O387" s="57"/>
      <c r="P387" s="57"/>
      <c r="Q387" s="57"/>
      <c r="R387" s="57"/>
      <c r="S387" s="57"/>
      <c r="T387" s="57"/>
      <c r="U387" s="57"/>
    </row>
    <row r="388" spans="2:21" x14ac:dyDescent="0.15">
      <c r="B388" s="57"/>
      <c r="C388" s="57"/>
      <c r="D388" s="57"/>
      <c r="E388" s="57"/>
      <c r="F388" s="57"/>
      <c r="G388" s="57"/>
      <c r="H388" s="57"/>
      <c r="I388" s="57"/>
      <c r="J388" s="57"/>
      <c r="K388" s="57"/>
      <c r="L388" s="57"/>
      <c r="M388" s="57"/>
      <c r="N388" s="57"/>
      <c r="O388" s="57"/>
      <c r="P388" s="57"/>
      <c r="Q388" s="57"/>
      <c r="R388" s="57"/>
      <c r="S388" s="57"/>
      <c r="T388" s="57"/>
      <c r="U388" s="57"/>
    </row>
    <row r="389" spans="2:21" x14ac:dyDescent="0.15">
      <c r="B389" s="57"/>
      <c r="C389" s="57"/>
      <c r="D389" s="57"/>
      <c r="E389" s="57"/>
      <c r="F389" s="57"/>
      <c r="G389" s="57"/>
      <c r="H389" s="57"/>
      <c r="I389" s="57"/>
      <c r="J389" s="57"/>
      <c r="K389" s="57"/>
      <c r="L389" s="57"/>
      <c r="M389" s="57"/>
      <c r="N389" s="57"/>
      <c r="O389" s="57"/>
      <c r="P389" s="57"/>
      <c r="Q389" s="57"/>
      <c r="R389" s="57"/>
      <c r="S389" s="57"/>
      <c r="T389" s="57"/>
      <c r="U389" s="57"/>
    </row>
    <row r="390" spans="2:21" x14ac:dyDescent="0.15">
      <c r="B390" s="57"/>
      <c r="C390" s="57"/>
      <c r="D390" s="57"/>
      <c r="E390" s="57"/>
      <c r="F390" s="57"/>
      <c r="G390" s="57"/>
      <c r="H390" s="57"/>
      <c r="I390" s="57"/>
      <c r="J390" s="57"/>
      <c r="K390" s="57"/>
      <c r="L390" s="57"/>
      <c r="M390" s="57"/>
      <c r="N390" s="57"/>
      <c r="O390" s="57"/>
      <c r="P390" s="57"/>
      <c r="Q390" s="57"/>
      <c r="R390" s="57"/>
      <c r="S390" s="57"/>
      <c r="T390" s="57"/>
      <c r="U390" s="57"/>
    </row>
    <row r="391" spans="2:21" x14ac:dyDescent="0.15">
      <c r="B391" s="57"/>
      <c r="C391" s="57"/>
      <c r="D391" s="57"/>
      <c r="E391" s="57"/>
      <c r="F391" s="57"/>
      <c r="G391" s="57"/>
      <c r="H391" s="57"/>
      <c r="I391" s="57"/>
      <c r="J391" s="57"/>
      <c r="K391" s="57"/>
      <c r="L391" s="57"/>
      <c r="M391" s="57"/>
      <c r="N391" s="57"/>
      <c r="O391" s="57"/>
      <c r="P391" s="57"/>
      <c r="Q391" s="57"/>
      <c r="R391" s="57"/>
      <c r="S391" s="57"/>
      <c r="T391" s="57"/>
      <c r="U391" s="57"/>
    </row>
    <row r="392" spans="2:21" x14ac:dyDescent="0.15">
      <c r="B392" s="57"/>
      <c r="C392" s="57"/>
      <c r="D392" s="57"/>
      <c r="E392" s="57"/>
      <c r="F392" s="57"/>
      <c r="G392" s="57"/>
      <c r="H392" s="57"/>
      <c r="I392" s="57"/>
      <c r="J392" s="57"/>
      <c r="K392" s="57"/>
      <c r="L392" s="57"/>
      <c r="M392" s="57"/>
      <c r="N392" s="57"/>
      <c r="O392" s="57"/>
      <c r="P392" s="57"/>
      <c r="Q392" s="57"/>
      <c r="R392" s="57"/>
      <c r="S392" s="57"/>
      <c r="T392" s="57"/>
      <c r="U392" s="57"/>
    </row>
    <row r="393" spans="2:21" x14ac:dyDescent="0.15">
      <c r="B393" s="57"/>
      <c r="C393" s="57"/>
      <c r="D393" s="57"/>
      <c r="E393" s="57"/>
      <c r="F393" s="57"/>
      <c r="G393" s="57"/>
      <c r="H393" s="57"/>
      <c r="I393" s="57"/>
      <c r="J393" s="57"/>
      <c r="K393" s="57"/>
      <c r="L393" s="57"/>
      <c r="M393" s="57"/>
      <c r="N393" s="57"/>
      <c r="O393" s="57"/>
      <c r="P393" s="57"/>
      <c r="Q393" s="57"/>
      <c r="R393" s="57"/>
      <c r="S393" s="57"/>
      <c r="T393" s="57"/>
      <c r="U393" s="57"/>
    </row>
    <row r="394" spans="2:21" x14ac:dyDescent="0.15">
      <c r="B394" s="57"/>
      <c r="C394" s="57"/>
      <c r="D394" s="57"/>
      <c r="E394" s="57"/>
      <c r="F394" s="57"/>
      <c r="G394" s="57"/>
      <c r="H394" s="57"/>
      <c r="I394" s="57"/>
      <c r="J394" s="57"/>
      <c r="K394" s="57"/>
      <c r="L394" s="57"/>
      <c r="M394" s="57"/>
      <c r="N394" s="57"/>
      <c r="O394" s="57"/>
      <c r="P394" s="57"/>
      <c r="Q394" s="57"/>
      <c r="R394" s="57"/>
      <c r="S394" s="57"/>
      <c r="T394" s="57"/>
      <c r="U394" s="57"/>
    </row>
    <row r="395" spans="2:21" x14ac:dyDescent="0.15">
      <c r="B395" s="57"/>
      <c r="C395" s="57"/>
      <c r="D395" s="57"/>
      <c r="E395" s="57"/>
      <c r="F395" s="57"/>
      <c r="G395" s="57"/>
      <c r="H395" s="57"/>
      <c r="I395" s="57"/>
      <c r="J395" s="57"/>
      <c r="K395" s="57"/>
      <c r="L395" s="57"/>
      <c r="M395" s="57"/>
      <c r="N395" s="57"/>
      <c r="O395" s="57"/>
      <c r="P395" s="57"/>
      <c r="Q395" s="57"/>
      <c r="R395" s="57"/>
      <c r="S395" s="57"/>
      <c r="T395" s="57"/>
      <c r="U395" s="57"/>
    </row>
    <row r="396" spans="2:21" x14ac:dyDescent="0.15">
      <c r="B396" s="57"/>
      <c r="C396" s="57"/>
      <c r="D396" s="57"/>
      <c r="E396" s="57"/>
      <c r="F396" s="57"/>
      <c r="G396" s="57"/>
      <c r="H396" s="57"/>
      <c r="I396" s="57"/>
      <c r="J396" s="57"/>
      <c r="K396" s="57"/>
      <c r="L396" s="57"/>
      <c r="M396" s="57"/>
      <c r="N396" s="57"/>
      <c r="O396" s="57"/>
      <c r="P396" s="57"/>
      <c r="Q396" s="57"/>
      <c r="R396" s="57"/>
      <c r="S396" s="57"/>
      <c r="T396" s="57"/>
      <c r="U396" s="57"/>
    </row>
    <row r="397" spans="2:21" x14ac:dyDescent="0.15">
      <c r="B397" s="57"/>
      <c r="C397" s="57"/>
      <c r="D397" s="57"/>
      <c r="E397" s="57"/>
      <c r="F397" s="57"/>
      <c r="G397" s="57"/>
      <c r="H397" s="57"/>
      <c r="I397" s="57"/>
      <c r="J397" s="57"/>
      <c r="K397" s="57"/>
      <c r="L397" s="57"/>
      <c r="M397" s="57"/>
      <c r="N397" s="57"/>
      <c r="O397" s="57"/>
      <c r="P397" s="57"/>
      <c r="Q397" s="57"/>
      <c r="R397" s="57"/>
      <c r="S397" s="57"/>
      <c r="T397" s="57"/>
      <c r="U397" s="57"/>
    </row>
    <row r="398" spans="2:21" x14ac:dyDescent="0.15">
      <c r="B398" s="57"/>
      <c r="C398" s="57"/>
      <c r="D398" s="57"/>
      <c r="E398" s="57"/>
      <c r="F398" s="57"/>
      <c r="G398" s="57"/>
      <c r="H398" s="57"/>
      <c r="I398" s="57"/>
      <c r="J398" s="57"/>
      <c r="K398" s="57"/>
      <c r="L398" s="57"/>
      <c r="M398" s="57"/>
      <c r="N398" s="57"/>
      <c r="O398" s="57"/>
      <c r="P398" s="57"/>
      <c r="Q398" s="57"/>
      <c r="R398" s="57"/>
      <c r="S398" s="57"/>
      <c r="T398" s="57"/>
      <c r="U398" s="57"/>
    </row>
    <row r="399" spans="2:21" x14ac:dyDescent="0.15">
      <c r="B399" s="57"/>
      <c r="C399" s="57"/>
      <c r="D399" s="57"/>
      <c r="E399" s="57"/>
      <c r="F399" s="57"/>
      <c r="G399" s="57"/>
      <c r="H399" s="57"/>
      <c r="I399" s="57"/>
      <c r="J399" s="57"/>
      <c r="K399" s="57"/>
      <c r="L399" s="57"/>
      <c r="M399" s="57"/>
      <c r="N399" s="57"/>
      <c r="O399" s="57"/>
      <c r="P399" s="57"/>
      <c r="Q399" s="57"/>
      <c r="R399" s="57"/>
      <c r="S399" s="57"/>
      <c r="T399" s="57"/>
      <c r="U399" s="57"/>
    </row>
    <row r="400" spans="2:21" x14ac:dyDescent="0.15">
      <c r="B400" s="57"/>
      <c r="C400" s="57"/>
      <c r="D400" s="57"/>
      <c r="E400" s="57"/>
      <c r="F400" s="57"/>
      <c r="G400" s="57"/>
      <c r="H400" s="57"/>
      <c r="I400" s="57"/>
      <c r="J400" s="57"/>
      <c r="K400" s="57"/>
      <c r="L400" s="57"/>
      <c r="M400" s="57"/>
      <c r="N400" s="57"/>
      <c r="O400" s="57"/>
      <c r="P400" s="57"/>
      <c r="Q400" s="57"/>
      <c r="R400" s="57"/>
      <c r="S400" s="57"/>
      <c r="T400" s="57"/>
      <c r="U400" s="57"/>
    </row>
    <row r="401" spans="2:21" x14ac:dyDescent="0.15">
      <c r="B401" s="57"/>
      <c r="C401" s="57"/>
      <c r="D401" s="57"/>
      <c r="E401" s="57"/>
      <c r="F401" s="57"/>
      <c r="G401" s="57"/>
      <c r="H401" s="57"/>
      <c r="I401" s="57"/>
      <c r="J401" s="57"/>
      <c r="K401" s="57"/>
      <c r="L401" s="57"/>
      <c r="M401" s="57"/>
      <c r="N401" s="57"/>
      <c r="O401" s="57"/>
      <c r="P401" s="57"/>
      <c r="Q401" s="57"/>
      <c r="R401" s="57"/>
      <c r="S401" s="57"/>
      <c r="T401" s="57"/>
      <c r="U401" s="57"/>
    </row>
    <row r="402" spans="2:21" x14ac:dyDescent="0.15">
      <c r="B402" s="57"/>
      <c r="C402" s="57"/>
      <c r="D402" s="57"/>
      <c r="E402" s="57"/>
      <c r="F402" s="57"/>
      <c r="G402" s="57"/>
      <c r="H402" s="57"/>
      <c r="I402" s="57"/>
      <c r="J402" s="57"/>
      <c r="K402" s="57"/>
      <c r="L402" s="57"/>
      <c r="M402" s="57"/>
      <c r="N402" s="57"/>
      <c r="O402" s="57"/>
      <c r="P402" s="57"/>
      <c r="Q402" s="57"/>
      <c r="R402" s="57"/>
      <c r="S402" s="57"/>
      <c r="T402" s="57"/>
      <c r="U402" s="57"/>
    </row>
    <row r="403" spans="2:21" x14ac:dyDescent="0.15">
      <c r="B403" s="57"/>
      <c r="C403" s="57"/>
      <c r="D403" s="57"/>
      <c r="E403" s="57"/>
      <c r="F403" s="57"/>
      <c r="G403" s="57"/>
      <c r="H403" s="57"/>
      <c r="I403" s="57"/>
      <c r="J403" s="57"/>
      <c r="K403" s="57"/>
      <c r="L403" s="57"/>
      <c r="M403" s="57"/>
      <c r="N403" s="57"/>
      <c r="O403" s="57"/>
      <c r="P403" s="57"/>
      <c r="Q403" s="57"/>
      <c r="R403" s="57"/>
      <c r="S403" s="57"/>
      <c r="T403" s="57"/>
      <c r="U403" s="57"/>
    </row>
    <row r="404" spans="2:21" x14ac:dyDescent="0.15">
      <c r="B404" s="57"/>
      <c r="C404" s="57"/>
      <c r="D404" s="57"/>
      <c r="E404" s="57"/>
      <c r="F404" s="57"/>
      <c r="G404" s="57"/>
      <c r="H404" s="57"/>
      <c r="I404" s="57"/>
      <c r="J404" s="57"/>
      <c r="K404" s="57"/>
      <c r="L404" s="57"/>
      <c r="M404" s="57"/>
      <c r="N404" s="57"/>
      <c r="O404" s="57"/>
      <c r="P404" s="57"/>
      <c r="Q404" s="57"/>
      <c r="R404" s="57"/>
      <c r="S404" s="57"/>
      <c r="T404" s="57"/>
      <c r="U404" s="57"/>
    </row>
    <row r="405" spans="2:21" x14ac:dyDescent="0.15">
      <c r="B405" s="57"/>
      <c r="C405" s="57"/>
      <c r="D405" s="57"/>
      <c r="E405" s="57"/>
      <c r="F405" s="57"/>
      <c r="G405" s="57"/>
      <c r="H405" s="57"/>
      <c r="I405" s="57"/>
      <c r="J405" s="57"/>
      <c r="K405" s="57"/>
      <c r="L405" s="57"/>
      <c r="M405" s="57"/>
      <c r="N405" s="57"/>
      <c r="O405" s="57"/>
      <c r="P405" s="57"/>
      <c r="Q405" s="57"/>
      <c r="R405" s="57"/>
      <c r="S405" s="57"/>
      <c r="T405" s="57"/>
      <c r="U405" s="57"/>
    </row>
    <row r="406" spans="2:21" x14ac:dyDescent="0.15">
      <c r="B406" s="57"/>
      <c r="C406" s="57"/>
      <c r="D406" s="57"/>
      <c r="E406" s="57"/>
      <c r="F406" s="57"/>
      <c r="G406" s="57"/>
      <c r="H406" s="57"/>
      <c r="I406" s="57"/>
      <c r="J406" s="57"/>
      <c r="K406" s="57"/>
      <c r="L406" s="57"/>
      <c r="M406" s="57"/>
      <c r="N406" s="57"/>
      <c r="O406" s="57"/>
      <c r="P406" s="57"/>
      <c r="Q406" s="57"/>
      <c r="R406" s="57"/>
      <c r="S406" s="57"/>
      <c r="T406" s="57"/>
      <c r="U406" s="57"/>
    </row>
    <row r="407" spans="2:21" x14ac:dyDescent="0.15">
      <c r="B407" s="57"/>
      <c r="C407" s="57"/>
      <c r="D407" s="57"/>
      <c r="E407" s="57"/>
      <c r="F407" s="57"/>
      <c r="G407" s="57"/>
      <c r="H407" s="57"/>
      <c r="I407" s="57"/>
      <c r="J407" s="57"/>
      <c r="K407" s="57"/>
      <c r="L407" s="57"/>
      <c r="M407" s="57"/>
      <c r="N407" s="57"/>
      <c r="O407" s="57"/>
      <c r="P407" s="57"/>
      <c r="Q407" s="57"/>
      <c r="R407" s="57"/>
      <c r="S407" s="57"/>
      <c r="T407" s="57"/>
      <c r="U407" s="57"/>
    </row>
    <row r="408" spans="2:21" x14ac:dyDescent="0.15">
      <c r="B408" s="57"/>
      <c r="C408" s="57"/>
      <c r="D408" s="57"/>
      <c r="E408" s="57"/>
      <c r="F408" s="57"/>
      <c r="G408" s="57"/>
      <c r="H408" s="57"/>
      <c r="I408" s="57"/>
      <c r="J408" s="57"/>
      <c r="K408" s="57"/>
      <c r="L408" s="57"/>
      <c r="M408" s="57"/>
      <c r="N408" s="57"/>
      <c r="O408" s="57"/>
      <c r="P408" s="57"/>
      <c r="Q408" s="57"/>
      <c r="R408" s="57"/>
      <c r="S408" s="57"/>
      <c r="T408" s="57"/>
      <c r="U408" s="57"/>
    </row>
    <row r="409" spans="2:21" x14ac:dyDescent="0.15">
      <c r="B409" s="57"/>
      <c r="C409" s="57"/>
      <c r="D409" s="57"/>
      <c r="E409" s="57"/>
      <c r="F409" s="57"/>
      <c r="G409" s="57"/>
      <c r="H409" s="57"/>
      <c r="I409" s="57"/>
      <c r="J409" s="57"/>
      <c r="K409" s="57"/>
      <c r="L409" s="57"/>
      <c r="M409" s="57"/>
      <c r="N409" s="57"/>
      <c r="O409" s="57"/>
      <c r="P409" s="57"/>
      <c r="Q409" s="57"/>
      <c r="R409" s="57"/>
      <c r="S409" s="57"/>
      <c r="T409" s="57"/>
      <c r="U409" s="57"/>
    </row>
    <row r="410" spans="2:21" x14ac:dyDescent="0.15">
      <c r="B410" s="57"/>
      <c r="C410" s="57"/>
      <c r="D410" s="57"/>
      <c r="E410" s="57"/>
      <c r="F410" s="57"/>
      <c r="G410" s="57"/>
      <c r="H410" s="57"/>
      <c r="I410" s="57"/>
      <c r="J410" s="57"/>
      <c r="K410" s="57"/>
      <c r="L410" s="57"/>
      <c r="M410" s="57"/>
      <c r="N410" s="57"/>
      <c r="O410" s="57"/>
      <c r="P410" s="57"/>
      <c r="Q410" s="57"/>
      <c r="R410" s="57"/>
      <c r="S410" s="57"/>
      <c r="T410" s="57"/>
      <c r="U410" s="57"/>
    </row>
    <row r="411" spans="2:21" x14ac:dyDescent="0.15">
      <c r="B411" s="57"/>
      <c r="C411" s="57"/>
      <c r="D411" s="57"/>
      <c r="E411" s="57"/>
      <c r="F411" s="57"/>
      <c r="G411" s="57"/>
      <c r="H411" s="57"/>
      <c r="I411" s="57"/>
      <c r="J411" s="57"/>
      <c r="K411" s="57"/>
      <c r="L411" s="57"/>
      <c r="M411" s="57"/>
      <c r="N411" s="57"/>
      <c r="O411" s="57"/>
      <c r="P411" s="57"/>
      <c r="Q411" s="57"/>
      <c r="R411" s="57"/>
      <c r="S411" s="57"/>
      <c r="T411" s="57"/>
      <c r="U411" s="57"/>
    </row>
    <row r="412" spans="2:21" x14ac:dyDescent="0.15">
      <c r="B412" s="57"/>
      <c r="C412" s="57"/>
      <c r="D412" s="57"/>
      <c r="E412" s="57"/>
      <c r="F412" s="57"/>
      <c r="G412" s="57"/>
      <c r="H412" s="57"/>
      <c r="I412" s="57"/>
      <c r="J412" s="57"/>
      <c r="K412" s="57"/>
      <c r="L412" s="57"/>
      <c r="M412" s="57"/>
      <c r="N412" s="57"/>
      <c r="O412" s="57"/>
      <c r="P412" s="57"/>
      <c r="Q412" s="57"/>
      <c r="R412" s="57"/>
      <c r="S412" s="57"/>
      <c r="T412" s="57"/>
      <c r="U412" s="57"/>
    </row>
    <row r="413" spans="2:21" x14ac:dyDescent="0.15">
      <c r="B413" s="57"/>
      <c r="C413" s="57"/>
      <c r="D413" s="57"/>
      <c r="E413" s="57"/>
      <c r="F413" s="57"/>
      <c r="G413" s="57"/>
      <c r="H413" s="57"/>
      <c r="I413" s="57"/>
      <c r="J413" s="57"/>
      <c r="K413" s="57"/>
      <c r="L413" s="57"/>
      <c r="M413" s="57"/>
      <c r="N413" s="57"/>
      <c r="O413" s="57"/>
      <c r="P413" s="57"/>
      <c r="Q413" s="57"/>
      <c r="R413" s="57"/>
      <c r="S413" s="57"/>
      <c r="T413" s="57"/>
      <c r="U413" s="57"/>
    </row>
    <row r="414" spans="2:21" x14ac:dyDescent="0.15">
      <c r="B414" s="57"/>
      <c r="C414" s="57"/>
      <c r="D414" s="57"/>
      <c r="E414" s="57"/>
      <c r="F414" s="57"/>
      <c r="G414" s="57"/>
      <c r="H414" s="57"/>
      <c r="I414" s="57"/>
      <c r="J414" s="57"/>
      <c r="K414" s="57"/>
      <c r="L414" s="57"/>
      <c r="M414" s="57"/>
      <c r="N414" s="57"/>
      <c r="O414" s="57"/>
      <c r="P414" s="57"/>
      <c r="Q414" s="57"/>
      <c r="R414" s="57"/>
      <c r="S414" s="57"/>
      <c r="T414" s="57"/>
      <c r="U414" s="57"/>
    </row>
    <row r="415" spans="2:21" x14ac:dyDescent="0.15">
      <c r="B415" s="57"/>
      <c r="C415" s="57"/>
      <c r="D415" s="57"/>
      <c r="E415" s="57"/>
      <c r="F415" s="57"/>
      <c r="G415" s="57"/>
      <c r="H415" s="57"/>
      <c r="I415" s="57"/>
      <c r="J415" s="57"/>
      <c r="K415" s="57"/>
      <c r="L415" s="57"/>
      <c r="M415" s="57"/>
      <c r="N415" s="57"/>
      <c r="O415" s="57"/>
      <c r="P415" s="57"/>
      <c r="Q415" s="57"/>
      <c r="R415" s="57"/>
      <c r="S415" s="57"/>
      <c r="T415" s="57"/>
      <c r="U415" s="57"/>
    </row>
    <row r="416" spans="2:21" x14ac:dyDescent="0.15">
      <c r="B416" s="57"/>
      <c r="C416" s="57"/>
      <c r="D416" s="57"/>
      <c r="E416" s="57"/>
      <c r="F416" s="57"/>
      <c r="G416" s="57"/>
      <c r="H416" s="57"/>
      <c r="I416" s="57"/>
      <c r="J416" s="57"/>
      <c r="K416" s="57"/>
      <c r="L416" s="57"/>
      <c r="M416" s="57"/>
      <c r="N416" s="57"/>
      <c r="O416" s="57"/>
      <c r="P416" s="57"/>
      <c r="Q416" s="57"/>
      <c r="R416" s="57"/>
      <c r="S416" s="57"/>
      <c r="T416" s="57"/>
      <c r="U416" s="57"/>
    </row>
    <row r="417" spans="2:21" x14ac:dyDescent="0.15">
      <c r="B417" s="57"/>
      <c r="C417" s="57"/>
      <c r="D417" s="57"/>
      <c r="E417" s="57"/>
      <c r="F417" s="57"/>
      <c r="G417" s="57"/>
      <c r="H417" s="57"/>
      <c r="I417" s="57"/>
      <c r="J417" s="57"/>
      <c r="K417" s="57"/>
      <c r="L417" s="57"/>
      <c r="M417" s="57"/>
      <c r="N417" s="57"/>
      <c r="O417" s="57"/>
      <c r="P417" s="57"/>
      <c r="Q417" s="57"/>
      <c r="R417" s="57"/>
      <c r="S417" s="57"/>
      <c r="T417" s="57"/>
      <c r="U417" s="57"/>
    </row>
    <row r="418" spans="2:21" x14ac:dyDescent="0.15">
      <c r="B418" s="57"/>
      <c r="C418" s="57"/>
      <c r="D418" s="57"/>
      <c r="E418" s="57"/>
      <c r="F418" s="57"/>
      <c r="G418" s="57"/>
      <c r="H418" s="57"/>
      <c r="I418" s="57"/>
      <c r="J418" s="57"/>
      <c r="K418" s="57"/>
      <c r="L418" s="57"/>
      <c r="M418" s="57"/>
      <c r="N418" s="57"/>
      <c r="O418" s="57"/>
      <c r="P418" s="57"/>
      <c r="Q418" s="57"/>
      <c r="R418" s="57"/>
      <c r="S418" s="57"/>
      <c r="T418" s="57"/>
      <c r="U418" s="57"/>
    </row>
    <row r="419" spans="2:21" x14ac:dyDescent="0.15">
      <c r="B419" s="57"/>
      <c r="C419" s="57"/>
      <c r="D419" s="57"/>
      <c r="E419" s="57"/>
      <c r="F419" s="57"/>
      <c r="G419" s="57"/>
      <c r="H419" s="57"/>
      <c r="I419" s="57"/>
      <c r="J419" s="57"/>
      <c r="K419" s="57"/>
      <c r="L419" s="57"/>
      <c r="M419" s="57"/>
      <c r="N419" s="57"/>
      <c r="O419" s="57"/>
      <c r="P419" s="57"/>
      <c r="Q419" s="57"/>
      <c r="R419" s="57"/>
      <c r="S419" s="57"/>
      <c r="T419" s="57"/>
      <c r="U419" s="57"/>
    </row>
    <row r="420" spans="2:21" x14ac:dyDescent="0.15">
      <c r="B420" s="57"/>
      <c r="C420" s="57"/>
      <c r="D420" s="57"/>
      <c r="E420" s="57"/>
      <c r="F420" s="57"/>
      <c r="G420" s="57"/>
      <c r="H420" s="57"/>
      <c r="I420" s="57"/>
      <c r="J420" s="57"/>
      <c r="K420" s="57"/>
      <c r="L420" s="57"/>
      <c r="M420" s="57"/>
      <c r="N420" s="57"/>
      <c r="O420" s="57"/>
      <c r="P420" s="57"/>
      <c r="Q420" s="57"/>
      <c r="R420" s="57"/>
      <c r="S420" s="57"/>
      <c r="T420" s="57"/>
      <c r="U420" s="57"/>
    </row>
    <row r="421" spans="2:21" x14ac:dyDescent="0.15">
      <c r="B421" s="57"/>
      <c r="C421" s="57"/>
      <c r="D421" s="57"/>
      <c r="E421" s="57"/>
      <c r="F421" s="57"/>
      <c r="G421" s="57"/>
      <c r="H421" s="57"/>
      <c r="I421" s="57"/>
      <c r="J421" s="57"/>
      <c r="K421" s="57"/>
      <c r="L421" s="57"/>
      <c r="M421" s="57"/>
      <c r="N421" s="57"/>
      <c r="O421" s="57"/>
      <c r="P421" s="57"/>
      <c r="Q421" s="57"/>
      <c r="R421" s="57"/>
      <c r="S421" s="57"/>
      <c r="T421" s="57"/>
      <c r="U421" s="57"/>
    </row>
    <row r="422" spans="2:21" x14ac:dyDescent="0.15">
      <c r="B422" s="57"/>
      <c r="C422" s="57"/>
      <c r="D422" s="57"/>
      <c r="E422" s="57"/>
      <c r="F422" s="57"/>
      <c r="G422" s="57"/>
      <c r="H422" s="57"/>
      <c r="I422" s="57"/>
      <c r="J422" s="57"/>
      <c r="K422" s="57"/>
      <c r="L422" s="57"/>
      <c r="M422" s="57"/>
      <c r="N422" s="57"/>
      <c r="O422" s="57"/>
      <c r="P422" s="57"/>
      <c r="Q422" s="57"/>
      <c r="R422" s="57"/>
      <c r="S422" s="57"/>
      <c r="T422" s="57"/>
      <c r="U422" s="57"/>
    </row>
    <row r="423" spans="2:21" x14ac:dyDescent="0.15">
      <c r="B423" s="57"/>
      <c r="C423" s="57"/>
      <c r="D423" s="57"/>
      <c r="E423" s="57"/>
      <c r="F423" s="57"/>
      <c r="G423" s="57"/>
      <c r="H423" s="57"/>
      <c r="I423" s="57"/>
      <c r="J423" s="57"/>
      <c r="K423" s="57"/>
      <c r="L423" s="57"/>
      <c r="M423" s="57"/>
      <c r="N423" s="57"/>
      <c r="O423" s="57"/>
      <c r="P423" s="57"/>
      <c r="Q423" s="57"/>
      <c r="R423" s="57"/>
      <c r="S423" s="57"/>
      <c r="T423" s="57"/>
      <c r="U423" s="57"/>
    </row>
    <row r="424" spans="2:21" x14ac:dyDescent="0.15">
      <c r="B424" s="57"/>
      <c r="C424" s="57"/>
      <c r="D424" s="57"/>
      <c r="E424" s="57"/>
      <c r="F424" s="57"/>
      <c r="G424" s="57"/>
      <c r="H424" s="57"/>
      <c r="I424" s="57"/>
      <c r="J424" s="57"/>
      <c r="K424" s="57"/>
      <c r="L424" s="57"/>
      <c r="M424" s="57"/>
      <c r="N424" s="57"/>
      <c r="O424" s="57"/>
      <c r="P424" s="57"/>
      <c r="Q424" s="57"/>
      <c r="R424" s="57"/>
      <c r="S424" s="57"/>
      <c r="T424" s="57"/>
      <c r="U424" s="57"/>
    </row>
    <row r="425" spans="2:21" x14ac:dyDescent="0.15">
      <c r="B425" s="57"/>
      <c r="C425" s="57"/>
      <c r="D425" s="57"/>
      <c r="E425" s="57"/>
      <c r="F425" s="57"/>
      <c r="G425" s="57"/>
      <c r="H425" s="57"/>
      <c r="I425" s="57"/>
      <c r="J425" s="57"/>
      <c r="K425" s="57"/>
      <c r="L425" s="57"/>
      <c r="M425" s="57"/>
      <c r="N425" s="57"/>
      <c r="O425" s="57"/>
      <c r="P425" s="57"/>
      <c r="Q425" s="57"/>
      <c r="R425" s="57"/>
      <c r="S425" s="57"/>
      <c r="T425" s="57"/>
      <c r="U425" s="57"/>
    </row>
    <row r="426" spans="2:21" x14ac:dyDescent="0.15">
      <c r="B426" s="57"/>
      <c r="C426" s="57"/>
      <c r="D426" s="57"/>
      <c r="E426" s="57"/>
      <c r="F426" s="57"/>
      <c r="G426" s="57"/>
      <c r="H426" s="57"/>
      <c r="I426" s="57"/>
      <c r="J426" s="57"/>
      <c r="K426" s="57"/>
      <c r="L426" s="57"/>
      <c r="M426" s="57"/>
      <c r="N426" s="57"/>
      <c r="O426" s="57"/>
      <c r="P426" s="57"/>
      <c r="Q426" s="57"/>
      <c r="R426" s="57"/>
      <c r="S426" s="57"/>
      <c r="T426" s="57"/>
      <c r="U426" s="57"/>
    </row>
    <row r="427" spans="2:21" x14ac:dyDescent="0.15">
      <c r="B427" s="57"/>
      <c r="C427" s="57"/>
      <c r="D427" s="57"/>
      <c r="E427" s="57"/>
      <c r="F427" s="57"/>
      <c r="G427" s="57"/>
      <c r="H427" s="57"/>
      <c r="I427" s="57"/>
      <c r="J427" s="57"/>
      <c r="K427" s="57"/>
      <c r="L427" s="57"/>
      <c r="M427" s="57"/>
      <c r="N427" s="57"/>
      <c r="O427" s="57"/>
      <c r="P427" s="57"/>
      <c r="Q427" s="57"/>
      <c r="R427" s="57"/>
      <c r="S427" s="57"/>
      <c r="T427" s="57"/>
      <c r="U427" s="57"/>
    </row>
    <row r="428" spans="2:21" x14ac:dyDescent="0.15">
      <c r="B428" s="57"/>
      <c r="C428" s="57"/>
      <c r="D428" s="57"/>
      <c r="E428" s="57"/>
      <c r="F428" s="57"/>
      <c r="G428" s="57"/>
      <c r="H428" s="57"/>
      <c r="I428" s="57"/>
      <c r="J428" s="57"/>
      <c r="K428" s="57"/>
      <c r="L428" s="57"/>
      <c r="M428" s="57"/>
      <c r="N428" s="57"/>
      <c r="O428" s="57"/>
      <c r="P428" s="57"/>
      <c r="Q428" s="57"/>
      <c r="R428" s="57"/>
      <c r="S428" s="57"/>
      <c r="T428" s="57"/>
      <c r="U428" s="57"/>
    </row>
    <row r="429" spans="2:21" x14ac:dyDescent="0.15">
      <c r="B429" s="57"/>
      <c r="C429" s="57"/>
      <c r="D429" s="57"/>
      <c r="E429" s="57"/>
      <c r="F429" s="57"/>
      <c r="G429" s="57"/>
      <c r="H429" s="57"/>
      <c r="I429" s="57"/>
      <c r="J429" s="57"/>
      <c r="K429" s="57"/>
      <c r="L429" s="57"/>
      <c r="M429" s="57"/>
      <c r="N429" s="57"/>
      <c r="O429" s="57"/>
      <c r="P429" s="57"/>
      <c r="Q429" s="57"/>
      <c r="R429" s="57"/>
      <c r="S429" s="57"/>
      <c r="T429" s="57"/>
      <c r="U429" s="57"/>
    </row>
    <row r="430" spans="2:21" x14ac:dyDescent="0.15">
      <c r="B430" s="57"/>
      <c r="C430" s="57"/>
      <c r="D430" s="57"/>
      <c r="E430" s="57"/>
      <c r="F430" s="57"/>
      <c r="G430" s="57"/>
      <c r="H430" s="57"/>
      <c r="I430" s="57"/>
      <c r="J430" s="57"/>
      <c r="K430" s="57"/>
      <c r="L430" s="57"/>
      <c r="M430" s="57"/>
      <c r="N430" s="57"/>
      <c r="O430" s="57"/>
      <c r="P430" s="57"/>
      <c r="Q430" s="57"/>
      <c r="R430" s="57"/>
      <c r="S430" s="57"/>
      <c r="T430" s="57"/>
      <c r="U430" s="57"/>
    </row>
    <row r="431" spans="2:21" x14ac:dyDescent="0.15">
      <c r="B431" s="57"/>
      <c r="C431" s="57"/>
      <c r="D431" s="57"/>
      <c r="E431" s="57"/>
      <c r="F431" s="57"/>
      <c r="G431" s="57"/>
      <c r="H431" s="57"/>
      <c r="I431" s="57"/>
      <c r="J431" s="57"/>
      <c r="K431" s="57"/>
      <c r="L431" s="57"/>
      <c r="M431" s="57"/>
      <c r="N431" s="57"/>
      <c r="O431" s="57"/>
      <c r="P431" s="57"/>
      <c r="Q431" s="57"/>
      <c r="R431" s="57"/>
      <c r="S431" s="57"/>
      <c r="T431" s="57"/>
      <c r="U431" s="57"/>
    </row>
    <row r="432" spans="2:21" x14ac:dyDescent="0.15">
      <c r="B432" s="57"/>
      <c r="C432" s="57"/>
      <c r="D432" s="57"/>
      <c r="E432" s="57"/>
      <c r="F432" s="57"/>
      <c r="G432" s="57"/>
      <c r="H432" s="57"/>
      <c r="I432" s="57"/>
      <c r="J432" s="57"/>
      <c r="K432" s="57"/>
      <c r="L432" s="57"/>
      <c r="M432" s="57"/>
      <c r="N432" s="57"/>
      <c r="O432" s="57"/>
      <c r="P432" s="57"/>
      <c r="Q432" s="57"/>
      <c r="R432" s="57"/>
      <c r="S432" s="57"/>
      <c r="T432" s="57"/>
      <c r="U432" s="57"/>
    </row>
    <row r="433" spans="2:21" x14ac:dyDescent="0.15">
      <c r="B433" s="57"/>
      <c r="C433" s="57"/>
      <c r="D433" s="57"/>
      <c r="E433" s="57"/>
      <c r="F433" s="57"/>
      <c r="G433" s="57"/>
      <c r="H433" s="57"/>
      <c r="I433" s="57"/>
      <c r="J433" s="57"/>
      <c r="K433" s="57"/>
      <c r="L433" s="57"/>
      <c r="M433" s="57"/>
      <c r="N433" s="57"/>
      <c r="O433" s="57"/>
      <c r="P433" s="57"/>
      <c r="Q433" s="57"/>
      <c r="R433" s="57"/>
      <c r="S433" s="57"/>
      <c r="T433" s="57"/>
      <c r="U433" s="57"/>
    </row>
    <row r="434" spans="2:21" x14ac:dyDescent="0.15">
      <c r="B434" s="57"/>
      <c r="C434" s="57"/>
      <c r="D434" s="57"/>
      <c r="E434" s="57"/>
      <c r="F434" s="57"/>
      <c r="G434" s="57"/>
      <c r="H434" s="57"/>
      <c r="I434" s="57"/>
      <c r="J434" s="57"/>
      <c r="K434" s="57"/>
      <c r="L434" s="57"/>
      <c r="M434" s="57"/>
      <c r="N434" s="57"/>
      <c r="O434" s="57"/>
      <c r="P434" s="57"/>
      <c r="Q434" s="57"/>
      <c r="R434" s="57"/>
      <c r="S434" s="57"/>
      <c r="T434" s="57"/>
      <c r="U434" s="57"/>
    </row>
    <row r="435" spans="2:21" x14ac:dyDescent="0.15">
      <c r="B435" s="57"/>
      <c r="C435" s="57"/>
      <c r="D435" s="57"/>
      <c r="E435" s="57"/>
      <c r="F435" s="57"/>
      <c r="G435" s="57"/>
      <c r="H435" s="57"/>
      <c r="I435" s="57"/>
      <c r="J435" s="57"/>
      <c r="K435" s="57"/>
      <c r="L435" s="57"/>
      <c r="M435" s="57"/>
      <c r="N435" s="57"/>
      <c r="O435" s="57"/>
      <c r="P435" s="57"/>
      <c r="Q435" s="57"/>
      <c r="R435" s="57"/>
      <c r="S435" s="57"/>
      <c r="T435" s="57"/>
      <c r="U435" s="57"/>
    </row>
    <row r="436" spans="2:21" x14ac:dyDescent="0.15">
      <c r="B436" s="57"/>
      <c r="C436" s="57"/>
      <c r="D436" s="57"/>
      <c r="E436" s="57"/>
      <c r="F436" s="57"/>
      <c r="G436" s="57"/>
      <c r="H436" s="57"/>
      <c r="I436" s="57"/>
      <c r="J436" s="57"/>
      <c r="K436" s="57"/>
      <c r="L436" s="57"/>
      <c r="M436" s="57"/>
      <c r="N436" s="57"/>
      <c r="O436" s="57"/>
      <c r="P436" s="57"/>
      <c r="Q436" s="57"/>
      <c r="R436" s="57"/>
      <c r="S436" s="57"/>
      <c r="T436" s="57"/>
      <c r="U436" s="57"/>
    </row>
    <row r="437" spans="2:21" x14ac:dyDescent="0.15">
      <c r="B437" s="57"/>
      <c r="C437" s="57"/>
      <c r="D437" s="57"/>
      <c r="E437" s="57"/>
      <c r="F437" s="57"/>
      <c r="G437" s="57"/>
      <c r="H437" s="57"/>
      <c r="I437" s="57"/>
      <c r="J437" s="57"/>
      <c r="K437" s="57"/>
      <c r="L437" s="57"/>
      <c r="M437" s="57"/>
      <c r="N437" s="57"/>
      <c r="O437" s="57"/>
      <c r="P437" s="57"/>
      <c r="Q437" s="57"/>
      <c r="R437" s="57"/>
      <c r="S437" s="57"/>
      <c r="T437" s="57"/>
      <c r="U437" s="57"/>
    </row>
    <row r="438" spans="2:21" x14ac:dyDescent="0.15">
      <c r="B438" s="57"/>
      <c r="C438" s="57"/>
      <c r="D438" s="57"/>
      <c r="E438" s="57"/>
      <c r="F438" s="57"/>
      <c r="G438" s="57"/>
      <c r="H438" s="57"/>
      <c r="I438" s="57"/>
      <c r="J438" s="57"/>
      <c r="K438" s="57"/>
      <c r="L438" s="57"/>
      <c r="M438" s="57"/>
      <c r="N438" s="57"/>
      <c r="O438" s="57"/>
      <c r="P438" s="57"/>
      <c r="Q438" s="57"/>
      <c r="R438" s="57"/>
      <c r="S438" s="57"/>
      <c r="T438" s="57"/>
      <c r="U438" s="57"/>
    </row>
    <row r="439" spans="2:21" x14ac:dyDescent="0.15">
      <c r="B439" s="57"/>
      <c r="C439" s="57"/>
      <c r="D439" s="57"/>
      <c r="E439" s="57"/>
      <c r="F439" s="57"/>
      <c r="G439" s="57"/>
      <c r="H439" s="57"/>
      <c r="I439" s="57"/>
      <c r="J439" s="57"/>
      <c r="K439" s="57"/>
      <c r="L439" s="57"/>
      <c r="M439" s="57"/>
      <c r="N439" s="57"/>
      <c r="O439" s="57"/>
      <c r="P439" s="57"/>
      <c r="Q439" s="57"/>
      <c r="R439" s="57"/>
      <c r="S439" s="57"/>
      <c r="T439" s="57"/>
      <c r="U439" s="57"/>
    </row>
    <row r="440" spans="2:21" x14ac:dyDescent="0.15">
      <c r="B440" s="57"/>
      <c r="C440" s="57"/>
      <c r="D440" s="57"/>
      <c r="E440" s="57"/>
      <c r="F440" s="57"/>
      <c r="G440" s="57"/>
      <c r="H440" s="57"/>
      <c r="I440" s="57"/>
      <c r="J440" s="57"/>
      <c r="K440" s="57"/>
      <c r="L440" s="57"/>
      <c r="M440" s="57"/>
      <c r="N440" s="57"/>
      <c r="O440" s="57"/>
      <c r="P440" s="57"/>
      <c r="Q440" s="57"/>
      <c r="R440" s="57"/>
      <c r="S440" s="57"/>
      <c r="T440" s="57"/>
      <c r="U440" s="57"/>
    </row>
    <row r="441" spans="2:21" x14ac:dyDescent="0.15">
      <c r="B441" s="57"/>
      <c r="C441" s="57"/>
      <c r="D441" s="57"/>
      <c r="E441" s="57"/>
      <c r="F441" s="57"/>
      <c r="G441" s="57"/>
      <c r="H441" s="57"/>
      <c r="I441" s="57"/>
      <c r="J441" s="57"/>
      <c r="K441" s="57"/>
      <c r="L441" s="57"/>
      <c r="M441" s="57"/>
      <c r="N441" s="57"/>
      <c r="O441" s="57"/>
      <c r="P441" s="57"/>
      <c r="Q441" s="57"/>
      <c r="R441" s="57"/>
      <c r="S441" s="57"/>
      <c r="T441" s="57"/>
      <c r="U441" s="57"/>
    </row>
    <row r="442" spans="2:21" x14ac:dyDescent="0.15">
      <c r="B442" s="57"/>
      <c r="C442" s="57"/>
      <c r="D442" s="57"/>
      <c r="E442" s="57"/>
      <c r="F442" s="57"/>
      <c r="G442" s="57"/>
      <c r="H442" s="57"/>
      <c r="I442" s="57"/>
      <c r="J442" s="57"/>
      <c r="K442" s="57"/>
      <c r="L442" s="57"/>
      <c r="M442" s="57"/>
      <c r="N442" s="57"/>
      <c r="O442" s="57"/>
      <c r="P442" s="57"/>
      <c r="Q442" s="57"/>
      <c r="R442" s="57"/>
      <c r="S442" s="57"/>
      <c r="T442" s="57"/>
      <c r="U442" s="57"/>
    </row>
    <row r="443" spans="2:21" x14ac:dyDescent="0.15">
      <c r="B443" s="57"/>
      <c r="C443" s="57"/>
      <c r="D443" s="57"/>
      <c r="E443" s="57"/>
      <c r="F443" s="57"/>
      <c r="G443" s="57"/>
      <c r="H443" s="57"/>
      <c r="I443" s="57"/>
      <c r="J443" s="57"/>
      <c r="K443" s="57"/>
      <c r="L443" s="57"/>
      <c r="M443" s="57"/>
      <c r="N443" s="57"/>
      <c r="O443" s="57"/>
      <c r="P443" s="57"/>
      <c r="Q443" s="57"/>
      <c r="R443" s="57"/>
      <c r="S443" s="57"/>
      <c r="T443" s="57"/>
      <c r="U443" s="57"/>
    </row>
    <row r="444" spans="2:21" x14ac:dyDescent="0.15">
      <c r="B444" s="57"/>
      <c r="C444" s="57"/>
      <c r="D444" s="57"/>
      <c r="E444" s="57"/>
      <c r="F444" s="57"/>
      <c r="G444" s="57"/>
      <c r="H444" s="57"/>
      <c r="I444" s="57"/>
      <c r="J444" s="57"/>
      <c r="K444" s="57"/>
      <c r="L444" s="57"/>
      <c r="M444" s="57"/>
      <c r="N444" s="57"/>
      <c r="O444" s="57"/>
      <c r="P444" s="57"/>
      <c r="Q444" s="57"/>
      <c r="R444" s="57"/>
      <c r="S444" s="57"/>
      <c r="T444" s="57"/>
      <c r="U444" s="57"/>
    </row>
    <row r="445" spans="2:21" x14ac:dyDescent="0.15">
      <c r="B445" s="57"/>
      <c r="C445" s="57"/>
      <c r="D445" s="57"/>
      <c r="E445" s="57"/>
      <c r="F445" s="57"/>
      <c r="G445" s="57"/>
      <c r="H445" s="57"/>
      <c r="I445" s="57"/>
      <c r="J445" s="57"/>
      <c r="K445" s="57"/>
      <c r="L445" s="57"/>
      <c r="M445" s="57"/>
      <c r="N445" s="57"/>
      <c r="O445" s="57"/>
      <c r="P445" s="57"/>
      <c r="Q445" s="57"/>
      <c r="R445" s="57"/>
      <c r="S445" s="57"/>
      <c r="T445" s="57"/>
      <c r="U445" s="57"/>
    </row>
    <row r="446" spans="2:21" x14ac:dyDescent="0.15">
      <c r="B446" s="57"/>
      <c r="C446" s="57"/>
      <c r="D446" s="57"/>
      <c r="E446" s="57"/>
      <c r="F446" s="57"/>
      <c r="G446" s="57"/>
      <c r="H446" s="57"/>
      <c r="I446" s="57"/>
      <c r="J446" s="57"/>
      <c r="K446" s="57"/>
      <c r="L446" s="57"/>
      <c r="M446" s="57"/>
      <c r="N446" s="57"/>
      <c r="O446" s="57"/>
      <c r="P446" s="57"/>
      <c r="Q446" s="57"/>
      <c r="R446" s="57"/>
      <c r="S446" s="57"/>
      <c r="T446" s="57"/>
      <c r="U446" s="57"/>
    </row>
    <row r="447" spans="2:21" x14ac:dyDescent="0.15">
      <c r="B447" s="57"/>
      <c r="C447" s="57"/>
      <c r="D447" s="57"/>
      <c r="E447" s="57"/>
      <c r="F447" s="57"/>
      <c r="G447" s="57"/>
      <c r="H447" s="57"/>
      <c r="I447" s="57"/>
      <c r="J447" s="57"/>
      <c r="K447" s="57"/>
      <c r="L447" s="57"/>
      <c r="M447" s="57"/>
      <c r="N447" s="57"/>
      <c r="O447" s="57"/>
      <c r="P447" s="57"/>
      <c r="Q447" s="57"/>
      <c r="R447" s="57"/>
      <c r="S447" s="57"/>
      <c r="T447" s="57"/>
      <c r="U447" s="57"/>
    </row>
    <row r="448" spans="2:21" x14ac:dyDescent="0.15">
      <c r="B448" s="57"/>
      <c r="C448" s="57"/>
      <c r="D448" s="57"/>
      <c r="E448" s="57"/>
      <c r="F448" s="57"/>
      <c r="G448" s="57"/>
      <c r="H448" s="57"/>
      <c r="I448" s="57"/>
      <c r="J448" s="57"/>
      <c r="K448" s="57"/>
      <c r="L448" s="57"/>
      <c r="M448" s="57"/>
      <c r="N448" s="57"/>
      <c r="O448" s="57"/>
      <c r="P448" s="57"/>
      <c r="Q448" s="57"/>
      <c r="R448" s="57"/>
      <c r="S448" s="57"/>
      <c r="T448" s="57"/>
      <c r="U448" s="57"/>
    </row>
    <row r="449" spans="2:21" x14ac:dyDescent="0.15">
      <c r="B449" s="57"/>
      <c r="C449" s="57"/>
      <c r="D449" s="57"/>
      <c r="E449" s="57"/>
      <c r="F449" s="57"/>
      <c r="G449" s="57"/>
      <c r="H449" s="57"/>
      <c r="I449" s="57"/>
      <c r="J449" s="57"/>
      <c r="K449" s="57"/>
      <c r="L449" s="57"/>
      <c r="M449" s="57"/>
      <c r="N449" s="57"/>
      <c r="O449" s="57"/>
      <c r="P449" s="57"/>
      <c r="Q449" s="57"/>
      <c r="R449" s="57"/>
      <c r="S449" s="57"/>
      <c r="T449" s="57"/>
      <c r="U449" s="57"/>
    </row>
    <row r="450" spans="2:21" x14ac:dyDescent="0.15">
      <c r="B450" s="57"/>
      <c r="C450" s="57"/>
      <c r="D450" s="57"/>
      <c r="E450" s="57"/>
      <c r="F450" s="57"/>
      <c r="G450" s="57"/>
      <c r="H450" s="57"/>
      <c r="I450" s="57"/>
      <c r="J450" s="57"/>
      <c r="K450" s="57"/>
      <c r="L450" s="57"/>
      <c r="M450" s="57"/>
      <c r="N450" s="57"/>
      <c r="O450" s="57"/>
      <c r="P450" s="57"/>
      <c r="Q450" s="57"/>
      <c r="R450" s="57"/>
      <c r="S450" s="57"/>
      <c r="T450" s="57"/>
      <c r="U450" s="57"/>
    </row>
    <row r="451" spans="2:21" x14ac:dyDescent="0.15">
      <c r="B451" s="57"/>
      <c r="C451" s="57"/>
      <c r="D451" s="57"/>
      <c r="E451" s="57"/>
      <c r="F451" s="57"/>
      <c r="G451" s="57"/>
      <c r="H451" s="57"/>
      <c r="I451" s="57"/>
      <c r="J451" s="57"/>
      <c r="K451" s="57"/>
      <c r="L451" s="57"/>
      <c r="M451" s="57"/>
      <c r="N451" s="57"/>
      <c r="O451" s="57"/>
      <c r="P451" s="57"/>
      <c r="Q451" s="57"/>
      <c r="R451" s="57"/>
      <c r="S451" s="57"/>
      <c r="T451" s="57"/>
      <c r="U451" s="57"/>
    </row>
    <row r="452" spans="2:21" x14ac:dyDescent="0.15">
      <c r="B452" s="57"/>
      <c r="C452" s="57"/>
      <c r="D452" s="57"/>
      <c r="E452" s="57"/>
      <c r="F452" s="57"/>
      <c r="G452" s="57"/>
      <c r="H452" s="57"/>
      <c r="I452" s="57"/>
      <c r="J452" s="57"/>
      <c r="K452" s="57"/>
      <c r="L452" s="57"/>
      <c r="M452" s="57"/>
      <c r="N452" s="57"/>
      <c r="O452" s="57"/>
      <c r="P452" s="57"/>
      <c r="Q452" s="57"/>
      <c r="R452" s="57"/>
      <c r="S452" s="57"/>
      <c r="T452" s="57"/>
      <c r="U452" s="57"/>
    </row>
    <row r="453" spans="2:21" x14ac:dyDescent="0.15">
      <c r="B453" s="57"/>
      <c r="C453" s="57"/>
      <c r="D453" s="57"/>
      <c r="E453" s="57"/>
      <c r="F453" s="57"/>
      <c r="G453" s="57"/>
      <c r="H453" s="57"/>
      <c r="I453" s="57"/>
      <c r="J453" s="57"/>
      <c r="K453" s="57"/>
      <c r="L453" s="57"/>
      <c r="M453" s="57"/>
      <c r="N453" s="57"/>
      <c r="O453" s="57"/>
      <c r="P453" s="57"/>
      <c r="Q453" s="57"/>
      <c r="R453" s="57"/>
      <c r="S453" s="57"/>
      <c r="T453" s="57"/>
      <c r="U453" s="57"/>
    </row>
    <row r="454" spans="2:21" x14ac:dyDescent="0.15">
      <c r="B454" s="57"/>
      <c r="C454" s="57"/>
      <c r="D454" s="57"/>
      <c r="E454" s="57"/>
      <c r="F454" s="57"/>
      <c r="G454" s="57"/>
      <c r="H454" s="57"/>
      <c r="I454" s="57"/>
      <c r="J454" s="57"/>
      <c r="K454" s="57"/>
      <c r="L454" s="57"/>
      <c r="M454" s="57"/>
      <c r="N454" s="57"/>
      <c r="O454" s="57"/>
      <c r="P454" s="57"/>
      <c r="Q454" s="57"/>
      <c r="R454" s="57"/>
      <c r="S454" s="57"/>
      <c r="T454" s="57"/>
      <c r="U454" s="57"/>
    </row>
    <row r="455" spans="2:21" x14ac:dyDescent="0.15">
      <c r="B455" s="57"/>
      <c r="C455" s="57"/>
      <c r="D455" s="57"/>
      <c r="E455" s="57"/>
      <c r="F455" s="57"/>
      <c r="G455" s="57"/>
      <c r="H455" s="57"/>
      <c r="I455" s="57"/>
      <c r="J455" s="57"/>
      <c r="K455" s="57"/>
      <c r="L455" s="57"/>
      <c r="M455" s="57"/>
      <c r="N455" s="57"/>
      <c r="O455" s="57"/>
      <c r="P455" s="57"/>
      <c r="Q455" s="57"/>
      <c r="R455" s="57"/>
      <c r="S455" s="57"/>
      <c r="T455" s="57"/>
      <c r="U455" s="57"/>
    </row>
    <row r="456" spans="2:21" x14ac:dyDescent="0.15">
      <c r="B456" s="57"/>
      <c r="C456" s="57"/>
      <c r="D456" s="57"/>
      <c r="E456" s="57"/>
      <c r="F456" s="57"/>
      <c r="G456" s="57"/>
      <c r="H456" s="57"/>
      <c r="I456" s="57"/>
      <c r="J456" s="57"/>
      <c r="K456" s="57"/>
      <c r="L456" s="57"/>
      <c r="M456" s="57"/>
      <c r="N456" s="57"/>
      <c r="O456" s="57"/>
      <c r="P456" s="57"/>
      <c r="Q456" s="57"/>
      <c r="R456" s="57"/>
      <c r="S456" s="57"/>
      <c r="T456" s="57"/>
      <c r="U456" s="57"/>
    </row>
    <row r="457" spans="2:21" x14ac:dyDescent="0.15">
      <c r="B457" s="57"/>
      <c r="C457" s="57"/>
      <c r="D457" s="57"/>
      <c r="E457" s="57"/>
      <c r="F457" s="57"/>
      <c r="G457" s="57"/>
      <c r="H457" s="57"/>
      <c r="I457" s="57"/>
      <c r="J457" s="57"/>
      <c r="K457" s="57"/>
      <c r="L457" s="57"/>
      <c r="M457" s="57"/>
      <c r="N457" s="57"/>
      <c r="O457" s="57"/>
      <c r="P457" s="57"/>
      <c r="Q457" s="57"/>
      <c r="R457" s="57"/>
      <c r="S457" s="57"/>
      <c r="T457" s="57"/>
      <c r="U457" s="57"/>
    </row>
    <row r="458" spans="2:21" x14ac:dyDescent="0.15">
      <c r="B458" s="57"/>
      <c r="C458" s="57"/>
      <c r="D458" s="57"/>
      <c r="E458" s="57"/>
      <c r="F458" s="57"/>
      <c r="G458" s="57"/>
      <c r="H458" s="57"/>
      <c r="I458" s="57"/>
      <c r="J458" s="57"/>
      <c r="K458" s="57"/>
      <c r="L458" s="57"/>
      <c r="M458" s="57"/>
      <c r="N458" s="57"/>
      <c r="O458" s="57"/>
      <c r="P458" s="57"/>
      <c r="Q458" s="57"/>
      <c r="R458" s="57"/>
      <c r="S458" s="57"/>
      <c r="T458" s="57"/>
      <c r="U458" s="57"/>
    </row>
    <row r="459" spans="2:21" x14ac:dyDescent="0.15">
      <c r="B459" s="57"/>
      <c r="C459" s="57"/>
      <c r="D459" s="57"/>
      <c r="E459" s="57"/>
      <c r="F459" s="57"/>
      <c r="G459" s="57"/>
      <c r="H459" s="57"/>
      <c r="I459" s="57"/>
      <c r="J459" s="57"/>
      <c r="K459" s="57"/>
      <c r="L459" s="57"/>
      <c r="M459" s="57"/>
      <c r="N459" s="57"/>
      <c r="O459" s="57"/>
      <c r="P459" s="57"/>
      <c r="Q459" s="57"/>
      <c r="R459" s="57"/>
      <c r="S459" s="57"/>
      <c r="T459" s="57"/>
      <c r="U459" s="57"/>
    </row>
    <row r="460" spans="2:21" x14ac:dyDescent="0.15">
      <c r="B460" s="57"/>
      <c r="C460" s="57"/>
      <c r="D460" s="57"/>
      <c r="E460" s="57"/>
      <c r="F460" s="57"/>
      <c r="G460" s="57"/>
      <c r="H460" s="57"/>
      <c r="I460" s="57"/>
      <c r="J460" s="57"/>
      <c r="K460" s="57"/>
      <c r="L460" s="57"/>
      <c r="M460" s="57"/>
      <c r="N460" s="57"/>
      <c r="O460" s="57"/>
      <c r="P460" s="57"/>
      <c r="Q460" s="57"/>
      <c r="R460" s="57"/>
      <c r="S460" s="57"/>
      <c r="T460" s="57"/>
      <c r="U460" s="57"/>
    </row>
    <row r="461" spans="2:21" x14ac:dyDescent="0.15">
      <c r="B461" s="57"/>
      <c r="C461" s="57"/>
      <c r="D461" s="57"/>
      <c r="E461" s="57"/>
      <c r="F461" s="57"/>
      <c r="G461" s="57"/>
      <c r="H461" s="57"/>
      <c r="I461" s="57"/>
      <c r="J461" s="57"/>
      <c r="K461" s="57"/>
      <c r="L461" s="57"/>
      <c r="M461" s="57"/>
      <c r="N461" s="57"/>
      <c r="O461" s="57"/>
      <c r="P461" s="57"/>
      <c r="Q461" s="57"/>
      <c r="R461" s="57"/>
      <c r="S461" s="57"/>
      <c r="T461" s="57"/>
      <c r="U461" s="57"/>
    </row>
    <row r="462" spans="2:21" x14ac:dyDescent="0.15">
      <c r="B462" s="57"/>
      <c r="C462" s="57"/>
      <c r="D462" s="57"/>
      <c r="E462" s="57"/>
      <c r="F462" s="57"/>
      <c r="G462" s="57"/>
      <c r="H462" s="57"/>
      <c r="I462" s="57"/>
      <c r="J462" s="57"/>
      <c r="K462" s="57"/>
      <c r="L462" s="57"/>
      <c r="M462" s="57"/>
      <c r="N462" s="57"/>
      <c r="O462" s="57"/>
      <c r="P462" s="57"/>
      <c r="Q462" s="57"/>
      <c r="R462" s="57"/>
      <c r="S462" s="57"/>
      <c r="T462" s="57"/>
      <c r="U462" s="57"/>
    </row>
    <row r="463" spans="2:21" x14ac:dyDescent="0.15">
      <c r="B463" s="57"/>
      <c r="C463" s="57"/>
      <c r="D463" s="57"/>
      <c r="E463" s="57"/>
      <c r="F463" s="57"/>
      <c r="G463" s="57"/>
      <c r="H463" s="57"/>
      <c r="I463" s="57"/>
      <c r="J463" s="57"/>
      <c r="K463" s="57"/>
      <c r="L463" s="57"/>
      <c r="M463" s="57"/>
      <c r="N463" s="57"/>
      <c r="O463" s="57"/>
      <c r="P463" s="57"/>
      <c r="Q463" s="57"/>
      <c r="R463" s="57"/>
      <c r="S463" s="57"/>
      <c r="T463" s="57"/>
      <c r="U463" s="57"/>
    </row>
    <row r="464" spans="2:21" x14ac:dyDescent="0.15">
      <c r="B464" s="57"/>
      <c r="C464" s="57"/>
      <c r="D464" s="57"/>
      <c r="E464" s="57"/>
      <c r="F464" s="57"/>
      <c r="G464" s="57"/>
      <c r="H464" s="57"/>
      <c r="I464" s="57"/>
      <c r="J464" s="57"/>
      <c r="K464" s="57"/>
      <c r="L464" s="57"/>
      <c r="M464" s="57"/>
      <c r="N464" s="57"/>
      <c r="O464" s="57"/>
      <c r="P464" s="57"/>
      <c r="Q464" s="57"/>
      <c r="R464" s="57"/>
      <c r="S464" s="57"/>
      <c r="T464" s="57"/>
      <c r="U464" s="57"/>
    </row>
    <row r="465" spans="2:21" x14ac:dyDescent="0.15">
      <c r="B465" s="57"/>
      <c r="C465" s="57"/>
      <c r="D465" s="57"/>
      <c r="E465" s="57"/>
      <c r="F465" s="57"/>
      <c r="G465" s="57"/>
      <c r="H465" s="57"/>
      <c r="I465" s="57"/>
      <c r="J465" s="57"/>
      <c r="K465" s="57"/>
      <c r="L465" s="57"/>
      <c r="M465" s="57"/>
      <c r="N465" s="57"/>
      <c r="O465" s="57"/>
      <c r="P465" s="57"/>
      <c r="Q465" s="57"/>
      <c r="R465" s="57"/>
      <c r="S465" s="57"/>
      <c r="T465" s="57"/>
      <c r="U465" s="57"/>
    </row>
    <row r="466" spans="2:21" x14ac:dyDescent="0.15">
      <c r="B466" s="57"/>
      <c r="C466" s="57"/>
      <c r="D466" s="57"/>
      <c r="E466" s="57"/>
      <c r="F466" s="57"/>
      <c r="G466" s="57"/>
      <c r="H466" s="57"/>
      <c r="I466" s="57"/>
      <c r="J466" s="57"/>
      <c r="K466" s="57"/>
      <c r="L466" s="57"/>
      <c r="M466" s="57"/>
      <c r="N466" s="57"/>
      <c r="O466" s="57"/>
      <c r="P466" s="57"/>
      <c r="Q466" s="57"/>
      <c r="R466" s="57"/>
      <c r="S466" s="57"/>
      <c r="T466" s="57"/>
      <c r="U466" s="57"/>
    </row>
    <row r="467" spans="2:21" x14ac:dyDescent="0.15">
      <c r="B467" s="57"/>
      <c r="C467" s="57"/>
      <c r="D467" s="57"/>
      <c r="E467" s="57"/>
      <c r="F467" s="57"/>
      <c r="G467" s="57"/>
      <c r="H467" s="57"/>
      <c r="I467" s="57"/>
      <c r="J467" s="57"/>
      <c r="K467" s="57"/>
      <c r="L467" s="57"/>
      <c r="M467" s="57"/>
      <c r="N467" s="57"/>
      <c r="O467" s="57"/>
      <c r="P467" s="57"/>
      <c r="Q467" s="57"/>
      <c r="R467" s="57"/>
      <c r="S467" s="57"/>
      <c r="T467" s="57"/>
      <c r="U467" s="57"/>
    </row>
    <row r="468" spans="2:21" x14ac:dyDescent="0.15">
      <c r="B468" s="57"/>
      <c r="C468" s="57"/>
      <c r="D468" s="57"/>
      <c r="E468" s="57"/>
      <c r="F468" s="57"/>
      <c r="G468" s="57"/>
      <c r="H468" s="57"/>
      <c r="I468" s="57"/>
      <c r="J468" s="57"/>
      <c r="K468" s="57"/>
      <c r="L468" s="57"/>
      <c r="M468" s="57"/>
      <c r="N468" s="57"/>
      <c r="O468" s="57"/>
      <c r="P468" s="57"/>
      <c r="Q468" s="57"/>
      <c r="R468" s="57"/>
      <c r="S468" s="57"/>
      <c r="T468" s="57"/>
      <c r="U468" s="57"/>
    </row>
    <row r="469" spans="2:21" x14ac:dyDescent="0.15">
      <c r="B469" s="57"/>
      <c r="C469" s="57"/>
      <c r="D469" s="57"/>
      <c r="E469" s="57"/>
      <c r="F469" s="57"/>
      <c r="G469" s="57"/>
      <c r="H469" s="57"/>
      <c r="I469" s="57"/>
      <c r="J469" s="57"/>
      <c r="K469" s="57"/>
      <c r="L469" s="57"/>
      <c r="M469" s="57"/>
      <c r="N469" s="57"/>
      <c r="O469" s="57"/>
      <c r="P469" s="57"/>
      <c r="Q469" s="57"/>
      <c r="R469" s="57"/>
      <c r="S469" s="57"/>
      <c r="T469" s="57"/>
      <c r="U469" s="57"/>
    </row>
    <row r="470" spans="2:21" x14ac:dyDescent="0.15">
      <c r="B470" s="57"/>
      <c r="C470" s="57"/>
      <c r="D470" s="57"/>
      <c r="E470" s="57"/>
      <c r="F470" s="57"/>
      <c r="G470" s="57"/>
      <c r="H470" s="57"/>
      <c r="I470" s="57"/>
      <c r="J470" s="57"/>
      <c r="K470" s="57"/>
      <c r="L470" s="57"/>
      <c r="M470" s="57"/>
      <c r="N470" s="57"/>
      <c r="O470" s="57"/>
      <c r="P470" s="57"/>
      <c r="Q470" s="57"/>
      <c r="R470" s="57"/>
      <c r="S470" s="57"/>
      <c r="T470" s="57"/>
      <c r="U470" s="57"/>
    </row>
    <row r="471" spans="2:21" x14ac:dyDescent="0.15">
      <c r="B471" s="57"/>
      <c r="C471" s="57"/>
      <c r="D471" s="57"/>
      <c r="E471" s="57"/>
      <c r="F471" s="57"/>
      <c r="G471" s="57"/>
      <c r="H471" s="57"/>
      <c r="I471" s="57"/>
      <c r="J471" s="57"/>
      <c r="K471" s="57"/>
      <c r="L471" s="57"/>
      <c r="M471" s="57"/>
      <c r="N471" s="57"/>
      <c r="O471" s="57"/>
      <c r="P471" s="57"/>
      <c r="Q471" s="57"/>
      <c r="R471" s="57"/>
      <c r="S471" s="57"/>
      <c r="T471" s="57"/>
      <c r="U471" s="57"/>
    </row>
    <row r="472" spans="2:21" x14ac:dyDescent="0.15">
      <c r="B472" s="57"/>
      <c r="C472" s="57"/>
      <c r="D472" s="57"/>
      <c r="E472" s="57"/>
      <c r="F472" s="57"/>
      <c r="G472" s="57"/>
      <c r="H472" s="57"/>
      <c r="I472" s="57"/>
      <c r="J472" s="57"/>
      <c r="K472" s="57"/>
      <c r="L472" s="57"/>
      <c r="M472" s="57"/>
      <c r="N472" s="57"/>
      <c r="O472" s="57"/>
      <c r="P472" s="57"/>
      <c r="Q472" s="57"/>
      <c r="R472" s="57"/>
      <c r="S472" s="57"/>
      <c r="T472" s="57"/>
      <c r="U472" s="57"/>
    </row>
    <row r="473" spans="2:21" x14ac:dyDescent="0.15">
      <c r="B473" s="57"/>
      <c r="C473" s="57"/>
      <c r="D473" s="57"/>
      <c r="E473" s="57"/>
      <c r="F473" s="57"/>
      <c r="G473" s="57"/>
      <c r="H473" s="57"/>
      <c r="I473" s="57"/>
      <c r="J473" s="57"/>
      <c r="K473" s="57"/>
      <c r="L473" s="57"/>
      <c r="M473" s="57"/>
      <c r="N473" s="57"/>
      <c r="O473" s="57"/>
      <c r="P473" s="57"/>
      <c r="Q473" s="57"/>
      <c r="R473" s="57"/>
      <c r="S473" s="57"/>
      <c r="T473" s="57"/>
      <c r="U473" s="57"/>
    </row>
    <row r="474" spans="2:21" x14ac:dyDescent="0.15">
      <c r="B474" s="57"/>
      <c r="C474" s="57"/>
      <c r="D474" s="57"/>
      <c r="E474" s="57"/>
      <c r="F474" s="57"/>
      <c r="G474" s="57"/>
      <c r="H474" s="57"/>
      <c r="I474" s="57"/>
      <c r="J474" s="57"/>
      <c r="K474" s="57"/>
      <c r="L474" s="57"/>
      <c r="M474" s="57"/>
      <c r="N474" s="57"/>
      <c r="O474" s="57"/>
      <c r="P474" s="57"/>
      <c r="Q474" s="57"/>
      <c r="R474" s="57"/>
      <c r="S474" s="57"/>
      <c r="T474" s="57"/>
      <c r="U474" s="57"/>
    </row>
    <row r="475" spans="2:21" x14ac:dyDescent="0.15">
      <c r="B475" s="57"/>
      <c r="C475" s="57"/>
      <c r="D475" s="57"/>
      <c r="E475" s="57"/>
      <c r="F475" s="57"/>
      <c r="G475" s="57"/>
      <c r="H475" s="57"/>
      <c r="I475" s="57"/>
      <c r="J475" s="57"/>
      <c r="K475" s="57"/>
      <c r="L475" s="57"/>
      <c r="M475" s="57"/>
      <c r="N475" s="57"/>
      <c r="O475" s="57"/>
      <c r="P475" s="57"/>
      <c r="Q475" s="57"/>
      <c r="R475" s="57"/>
      <c r="S475" s="57"/>
      <c r="T475" s="57"/>
      <c r="U475" s="57"/>
    </row>
    <row r="476" spans="2:21" x14ac:dyDescent="0.15">
      <c r="B476" s="57"/>
      <c r="C476" s="57"/>
      <c r="D476" s="57"/>
      <c r="E476" s="57"/>
      <c r="F476" s="57"/>
      <c r="G476" s="57"/>
      <c r="H476" s="57"/>
      <c r="I476" s="57"/>
      <c r="J476" s="57"/>
      <c r="K476" s="57"/>
      <c r="L476" s="57"/>
      <c r="M476" s="57"/>
      <c r="N476" s="57"/>
      <c r="O476" s="57"/>
      <c r="P476" s="57"/>
      <c r="Q476" s="57"/>
      <c r="R476" s="57"/>
      <c r="S476" s="57"/>
      <c r="T476" s="57"/>
      <c r="U476" s="57"/>
    </row>
    <row r="477" spans="2:21" x14ac:dyDescent="0.15">
      <c r="B477" s="57"/>
      <c r="C477" s="57"/>
      <c r="D477" s="57"/>
      <c r="E477" s="57"/>
      <c r="F477" s="57"/>
      <c r="G477" s="57"/>
      <c r="H477" s="57"/>
      <c r="I477" s="57"/>
      <c r="J477" s="57"/>
      <c r="K477" s="57"/>
      <c r="L477" s="57"/>
      <c r="M477" s="57"/>
      <c r="N477" s="57"/>
      <c r="O477" s="57"/>
      <c r="P477" s="57"/>
      <c r="Q477" s="57"/>
      <c r="R477" s="57"/>
      <c r="S477" s="57"/>
      <c r="T477" s="57"/>
      <c r="U477" s="57"/>
    </row>
    <row r="478" spans="2:21" x14ac:dyDescent="0.15">
      <c r="B478" s="57"/>
      <c r="C478" s="57"/>
      <c r="D478" s="57"/>
      <c r="E478" s="57"/>
      <c r="F478" s="57"/>
      <c r="G478" s="57"/>
      <c r="H478" s="57"/>
      <c r="I478" s="57"/>
      <c r="J478" s="57"/>
      <c r="K478" s="57"/>
      <c r="L478" s="57"/>
      <c r="M478" s="57"/>
      <c r="N478" s="57"/>
      <c r="O478" s="57"/>
      <c r="P478" s="57"/>
      <c r="Q478" s="57"/>
      <c r="R478" s="57"/>
      <c r="S478" s="57"/>
      <c r="T478" s="57"/>
      <c r="U478" s="57"/>
    </row>
    <row r="479" spans="2:21" x14ac:dyDescent="0.15">
      <c r="B479" s="57"/>
      <c r="C479" s="57"/>
      <c r="D479" s="57"/>
      <c r="E479" s="57"/>
      <c r="F479" s="57"/>
      <c r="G479" s="57"/>
      <c r="H479" s="57"/>
      <c r="I479" s="57"/>
      <c r="J479" s="57"/>
      <c r="K479" s="57"/>
      <c r="L479" s="57"/>
      <c r="M479" s="57"/>
      <c r="N479" s="57"/>
      <c r="O479" s="57"/>
      <c r="P479" s="57"/>
      <c r="Q479" s="57"/>
      <c r="R479" s="57"/>
      <c r="S479" s="57"/>
      <c r="T479" s="57"/>
      <c r="U479" s="57"/>
    </row>
    <row r="480" spans="2:21" x14ac:dyDescent="0.15">
      <c r="B480" s="57"/>
      <c r="C480" s="57"/>
      <c r="D480" s="57"/>
      <c r="E480" s="57"/>
      <c r="F480" s="57"/>
      <c r="G480" s="57"/>
      <c r="H480" s="57"/>
      <c r="I480" s="57"/>
      <c r="J480" s="57"/>
      <c r="K480" s="57"/>
      <c r="L480" s="57"/>
      <c r="M480" s="57"/>
      <c r="N480" s="57"/>
      <c r="O480" s="57"/>
      <c r="P480" s="57"/>
      <c r="Q480" s="57"/>
      <c r="R480" s="57"/>
      <c r="S480" s="57"/>
      <c r="T480" s="57"/>
      <c r="U480" s="57"/>
    </row>
    <row r="481" spans="2:21" x14ac:dyDescent="0.15">
      <c r="B481" s="57"/>
      <c r="C481" s="57"/>
      <c r="D481" s="57"/>
      <c r="E481" s="57"/>
      <c r="F481" s="57"/>
      <c r="G481" s="57"/>
      <c r="H481" s="57"/>
      <c r="I481" s="57"/>
      <c r="J481" s="57"/>
      <c r="K481" s="57"/>
      <c r="L481" s="57"/>
      <c r="M481" s="57"/>
      <c r="N481" s="57"/>
      <c r="O481" s="57"/>
      <c r="P481" s="57"/>
      <c r="Q481" s="57"/>
      <c r="R481" s="57"/>
      <c r="S481" s="57"/>
      <c r="T481" s="57"/>
      <c r="U481" s="57"/>
    </row>
    <row r="482" spans="2:21" x14ac:dyDescent="0.15">
      <c r="B482" s="57"/>
      <c r="C482" s="57"/>
      <c r="D482" s="57"/>
      <c r="E482" s="57"/>
      <c r="F482" s="57"/>
      <c r="G482" s="57"/>
      <c r="H482" s="57"/>
      <c r="I482" s="57"/>
      <c r="J482" s="57"/>
      <c r="K482" s="57"/>
      <c r="L482" s="57"/>
      <c r="M482" s="57"/>
      <c r="N482" s="57"/>
      <c r="O482" s="57"/>
      <c r="P482" s="57"/>
      <c r="Q482" s="57"/>
      <c r="R482" s="57"/>
      <c r="S482" s="57"/>
      <c r="T482" s="57"/>
      <c r="U482" s="57"/>
    </row>
    <row r="483" spans="2:21" x14ac:dyDescent="0.15">
      <c r="B483" s="57"/>
      <c r="C483" s="57"/>
      <c r="D483" s="57"/>
      <c r="E483" s="57"/>
      <c r="F483" s="57"/>
      <c r="G483" s="57"/>
      <c r="H483" s="57"/>
      <c r="I483" s="57"/>
      <c r="J483" s="57"/>
      <c r="K483" s="57"/>
      <c r="L483" s="57"/>
      <c r="M483" s="57"/>
      <c r="N483" s="57"/>
      <c r="O483" s="57"/>
      <c r="P483" s="57"/>
      <c r="Q483" s="57"/>
      <c r="R483" s="57"/>
      <c r="S483" s="57"/>
      <c r="T483" s="57"/>
      <c r="U483" s="57"/>
    </row>
    <row r="484" spans="2:21" x14ac:dyDescent="0.15">
      <c r="B484" s="57"/>
      <c r="C484" s="57"/>
      <c r="D484" s="57"/>
      <c r="E484" s="57"/>
      <c r="F484" s="57"/>
      <c r="G484" s="57"/>
      <c r="H484" s="57"/>
      <c r="I484" s="57"/>
      <c r="J484" s="57"/>
      <c r="K484" s="57"/>
      <c r="L484" s="57"/>
      <c r="M484" s="57"/>
      <c r="N484" s="57"/>
      <c r="O484" s="57"/>
      <c r="P484" s="57"/>
      <c r="Q484" s="57"/>
      <c r="R484" s="57"/>
      <c r="S484" s="57"/>
      <c r="T484" s="57"/>
      <c r="U484" s="57"/>
    </row>
    <row r="485" spans="2:21" x14ac:dyDescent="0.15">
      <c r="B485" s="57"/>
      <c r="C485" s="57"/>
      <c r="D485" s="57"/>
      <c r="E485" s="57"/>
      <c r="F485" s="57"/>
      <c r="G485" s="57"/>
      <c r="H485" s="57"/>
      <c r="I485" s="57"/>
      <c r="J485" s="57"/>
      <c r="K485" s="57"/>
      <c r="L485" s="57"/>
      <c r="M485" s="57"/>
      <c r="N485" s="57"/>
      <c r="O485" s="57"/>
      <c r="P485" s="57"/>
      <c r="Q485" s="57"/>
      <c r="R485" s="57"/>
      <c r="S485" s="57"/>
      <c r="T485" s="57"/>
      <c r="U485" s="57"/>
    </row>
    <row r="486" spans="2:21" x14ac:dyDescent="0.15">
      <c r="B486" s="57"/>
      <c r="C486" s="57"/>
      <c r="D486" s="57"/>
      <c r="E486" s="57"/>
      <c r="F486" s="57"/>
      <c r="G486" s="57"/>
      <c r="H486" s="57"/>
      <c r="I486" s="57"/>
      <c r="J486" s="57"/>
      <c r="K486" s="57"/>
      <c r="L486" s="57"/>
      <c r="M486" s="57"/>
      <c r="N486" s="57"/>
      <c r="O486" s="57"/>
      <c r="P486" s="57"/>
      <c r="Q486" s="57"/>
      <c r="R486" s="57"/>
      <c r="S486" s="57"/>
      <c r="T486" s="57"/>
      <c r="U486" s="57"/>
    </row>
    <row r="487" spans="2:21" x14ac:dyDescent="0.15">
      <c r="B487" s="57"/>
      <c r="C487" s="57"/>
      <c r="D487" s="57"/>
      <c r="E487" s="57"/>
      <c r="F487" s="57"/>
      <c r="G487" s="57"/>
      <c r="H487" s="57"/>
      <c r="I487" s="57"/>
      <c r="J487" s="57"/>
      <c r="K487" s="57"/>
      <c r="L487" s="57"/>
      <c r="M487" s="57"/>
      <c r="N487" s="57"/>
      <c r="O487" s="57"/>
      <c r="P487" s="57"/>
      <c r="Q487" s="57"/>
      <c r="R487" s="57"/>
      <c r="S487" s="57"/>
      <c r="T487" s="57"/>
      <c r="U487" s="57"/>
    </row>
    <row r="488" spans="2:21" x14ac:dyDescent="0.15">
      <c r="B488" s="57"/>
      <c r="C488" s="57"/>
      <c r="D488" s="57"/>
      <c r="E488" s="57"/>
      <c r="F488" s="57"/>
      <c r="G488" s="57"/>
      <c r="H488" s="57"/>
      <c r="I488" s="57"/>
      <c r="J488" s="57"/>
      <c r="K488" s="57"/>
      <c r="L488" s="57"/>
      <c r="M488" s="57"/>
      <c r="N488" s="57"/>
      <c r="O488" s="57"/>
      <c r="P488" s="57"/>
      <c r="Q488" s="57"/>
      <c r="R488" s="57"/>
      <c r="S488" s="57"/>
      <c r="T488" s="57"/>
      <c r="U488" s="57"/>
    </row>
    <row r="489" spans="2:21" x14ac:dyDescent="0.15">
      <c r="B489" s="57"/>
      <c r="C489" s="57"/>
      <c r="D489" s="57"/>
      <c r="E489" s="57"/>
      <c r="F489" s="57"/>
      <c r="G489" s="57"/>
      <c r="H489" s="57"/>
      <c r="I489" s="57"/>
      <c r="J489" s="57"/>
      <c r="K489" s="57"/>
      <c r="L489" s="57"/>
      <c r="M489" s="57"/>
      <c r="N489" s="57"/>
      <c r="O489" s="57"/>
      <c r="P489" s="57"/>
      <c r="Q489" s="57"/>
      <c r="R489" s="57"/>
      <c r="S489" s="57"/>
      <c r="T489" s="57"/>
      <c r="U489" s="57"/>
    </row>
    <row r="490" spans="2:21" x14ac:dyDescent="0.15">
      <c r="B490" s="57"/>
      <c r="C490" s="57"/>
      <c r="D490" s="57"/>
      <c r="E490" s="57"/>
      <c r="F490" s="57"/>
      <c r="G490" s="57"/>
      <c r="H490" s="57"/>
      <c r="I490" s="57"/>
      <c r="J490" s="57"/>
      <c r="K490" s="57"/>
      <c r="L490" s="57"/>
      <c r="M490" s="57"/>
      <c r="N490" s="57"/>
      <c r="O490" s="57"/>
      <c r="P490" s="57"/>
      <c r="Q490" s="57"/>
      <c r="R490" s="57"/>
      <c r="S490" s="57"/>
      <c r="T490" s="57"/>
      <c r="U490" s="57"/>
    </row>
    <row r="491" spans="2:21" x14ac:dyDescent="0.15">
      <c r="B491" s="57"/>
      <c r="C491" s="57"/>
      <c r="D491" s="57"/>
      <c r="E491" s="57"/>
      <c r="F491" s="57"/>
      <c r="G491" s="57"/>
      <c r="H491" s="57"/>
      <c r="I491" s="57"/>
      <c r="J491" s="57"/>
      <c r="K491" s="57"/>
      <c r="L491" s="57"/>
      <c r="M491" s="57"/>
      <c r="N491" s="57"/>
      <c r="O491" s="57"/>
      <c r="P491" s="57"/>
      <c r="Q491" s="57"/>
      <c r="R491" s="57"/>
      <c r="S491" s="57"/>
      <c r="T491" s="57"/>
      <c r="U491" s="57"/>
    </row>
    <row r="492" spans="2:21" x14ac:dyDescent="0.15">
      <c r="B492" s="57"/>
      <c r="C492" s="57"/>
      <c r="D492" s="57"/>
      <c r="E492" s="57"/>
      <c r="F492" s="57"/>
      <c r="G492" s="57"/>
      <c r="H492" s="57"/>
      <c r="I492" s="57"/>
      <c r="J492" s="57"/>
      <c r="K492" s="57"/>
      <c r="L492" s="57"/>
      <c r="M492" s="57"/>
      <c r="N492" s="57"/>
      <c r="O492" s="57"/>
      <c r="P492" s="57"/>
      <c r="Q492" s="57"/>
      <c r="R492" s="57"/>
      <c r="S492" s="57"/>
      <c r="T492" s="57"/>
      <c r="U492" s="57"/>
    </row>
    <row r="493" spans="2:21" x14ac:dyDescent="0.15">
      <c r="B493" s="57"/>
      <c r="C493" s="57"/>
      <c r="D493" s="57"/>
      <c r="E493" s="57"/>
      <c r="F493" s="57"/>
      <c r="G493" s="57"/>
      <c r="H493" s="57"/>
      <c r="I493" s="57"/>
      <c r="J493" s="57"/>
      <c r="K493" s="57"/>
      <c r="L493" s="57"/>
      <c r="M493" s="57"/>
      <c r="N493" s="57"/>
      <c r="O493" s="57"/>
      <c r="P493" s="57"/>
      <c r="Q493" s="57"/>
      <c r="R493" s="57"/>
      <c r="S493" s="57"/>
      <c r="T493" s="57"/>
      <c r="U493" s="57"/>
    </row>
    <row r="494" spans="2:21" x14ac:dyDescent="0.15">
      <c r="B494" s="57"/>
      <c r="C494" s="57"/>
      <c r="D494" s="57"/>
      <c r="E494" s="57"/>
      <c r="F494" s="57"/>
      <c r="G494" s="57"/>
      <c r="H494" s="57"/>
      <c r="I494" s="57"/>
      <c r="J494" s="57"/>
      <c r="K494" s="57"/>
      <c r="L494" s="57"/>
      <c r="M494" s="57"/>
      <c r="N494" s="57"/>
      <c r="O494" s="57"/>
      <c r="P494" s="57"/>
      <c r="Q494" s="57"/>
      <c r="R494" s="57"/>
      <c r="S494" s="57"/>
      <c r="T494" s="57"/>
      <c r="U494" s="57"/>
    </row>
    <row r="495" spans="2:21" x14ac:dyDescent="0.15">
      <c r="B495" s="57"/>
      <c r="C495" s="57"/>
      <c r="D495" s="57"/>
      <c r="E495" s="57"/>
      <c r="F495" s="57"/>
      <c r="G495" s="57"/>
      <c r="H495" s="57"/>
      <c r="I495" s="57"/>
      <c r="J495" s="57"/>
      <c r="K495" s="57"/>
      <c r="L495" s="57"/>
      <c r="M495" s="57"/>
      <c r="N495" s="57"/>
      <c r="O495" s="57"/>
      <c r="P495" s="57"/>
      <c r="Q495" s="57"/>
      <c r="R495" s="57"/>
      <c r="S495" s="57"/>
      <c r="T495" s="57"/>
      <c r="U495" s="57"/>
    </row>
    <row r="496" spans="2:21" x14ac:dyDescent="0.15">
      <c r="B496" s="57"/>
      <c r="C496" s="57"/>
      <c r="D496" s="57"/>
      <c r="E496" s="57"/>
      <c r="F496" s="57"/>
      <c r="G496" s="57"/>
      <c r="H496" s="57"/>
      <c r="I496" s="57"/>
      <c r="J496" s="57"/>
      <c r="K496" s="57"/>
      <c r="L496" s="57"/>
      <c r="M496" s="57"/>
      <c r="N496" s="57"/>
      <c r="O496" s="57"/>
      <c r="P496" s="57"/>
      <c r="Q496" s="57"/>
      <c r="R496" s="57"/>
      <c r="S496" s="57"/>
      <c r="T496" s="57"/>
      <c r="U496" s="57"/>
    </row>
    <row r="497" spans="2:21" x14ac:dyDescent="0.15">
      <c r="B497" s="57"/>
      <c r="C497" s="57"/>
      <c r="D497" s="57"/>
      <c r="E497" s="57"/>
      <c r="F497" s="57"/>
      <c r="G497" s="57"/>
      <c r="H497" s="57"/>
      <c r="I497" s="57"/>
      <c r="J497" s="57"/>
      <c r="K497" s="57"/>
      <c r="L497" s="57"/>
      <c r="M497" s="57"/>
      <c r="N497" s="57"/>
      <c r="O497" s="57"/>
      <c r="P497" s="57"/>
      <c r="Q497" s="57"/>
      <c r="R497" s="57"/>
      <c r="S497" s="57"/>
      <c r="T497" s="57"/>
      <c r="U497" s="57"/>
    </row>
    <row r="498" spans="2:21" x14ac:dyDescent="0.15">
      <c r="B498" s="57"/>
      <c r="C498" s="57"/>
      <c r="D498" s="57"/>
      <c r="E498" s="57"/>
      <c r="F498" s="57"/>
      <c r="G498" s="57"/>
      <c r="H498" s="57"/>
      <c r="I498" s="57"/>
      <c r="J498" s="57"/>
      <c r="K498" s="57"/>
      <c r="L498" s="57"/>
      <c r="M498" s="57"/>
      <c r="N498" s="57"/>
      <c r="O498" s="57"/>
      <c r="P498" s="57"/>
      <c r="Q498" s="57"/>
      <c r="R498" s="57"/>
      <c r="S498" s="57"/>
      <c r="T498" s="57"/>
      <c r="U498" s="57"/>
    </row>
    <row r="499" spans="2:21" x14ac:dyDescent="0.15">
      <c r="B499" s="57"/>
      <c r="C499" s="57"/>
      <c r="D499" s="57"/>
      <c r="E499" s="57"/>
      <c r="F499" s="57"/>
      <c r="G499" s="57"/>
      <c r="H499" s="57"/>
      <c r="I499" s="57"/>
      <c r="J499" s="57"/>
      <c r="K499" s="57"/>
      <c r="L499" s="57"/>
      <c r="M499" s="57"/>
      <c r="N499" s="57"/>
      <c r="O499" s="57"/>
      <c r="P499" s="57"/>
      <c r="Q499" s="57"/>
      <c r="R499" s="57"/>
      <c r="S499" s="57"/>
      <c r="T499" s="57"/>
      <c r="U499" s="57"/>
    </row>
    <row r="500" spans="2:21" x14ac:dyDescent="0.15">
      <c r="B500" s="57"/>
      <c r="C500" s="57"/>
      <c r="D500" s="57"/>
      <c r="E500" s="57"/>
      <c r="F500" s="57"/>
      <c r="G500" s="57"/>
      <c r="H500" s="57"/>
      <c r="I500" s="57"/>
      <c r="J500" s="57"/>
      <c r="K500" s="57"/>
      <c r="L500" s="57"/>
      <c r="M500" s="57"/>
      <c r="N500" s="57"/>
      <c r="O500" s="57"/>
      <c r="P500" s="57"/>
      <c r="Q500" s="57"/>
      <c r="R500" s="57"/>
      <c r="S500" s="57"/>
      <c r="T500" s="57"/>
      <c r="U500" s="57"/>
    </row>
    <row r="501" spans="2:21" x14ac:dyDescent="0.15">
      <c r="B501" s="57"/>
      <c r="C501" s="57"/>
      <c r="D501" s="57"/>
      <c r="E501" s="57"/>
      <c r="F501" s="57"/>
      <c r="G501" s="57"/>
      <c r="H501" s="57"/>
      <c r="I501" s="57"/>
      <c r="J501" s="57"/>
      <c r="K501" s="57"/>
      <c r="L501" s="57"/>
      <c r="M501" s="57"/>
      <c r="N501" s="57"/>
      <c r="O501" s="57"/>
      <c r="P501" s="57"/>
      <c r="Q501" s="57"/>
      <c r="R501" s="57"/>
      <c r="S501" s="57"/>
      <c r="T501" s="57"/>
      <c r="U501" s="57"/>
    </row>
    <row r="502" spans="2:21" x14ac:dyDescent="0.15">
      <c r="B502" s="57"/>
      <c r="C502" s="57"/>
      <c r="D502" s="57"/>
      <c r="E502" s="57"/>
      <c r="F502" s="57"/>
      <c r="G502" s="57"/>
      <c r="H502" s="57"/>
      <c r="I502" s="57"/>
      <c r="J502" s="57"/>
      <c r="K502" s="57"/>
      <c r="L502" s="57"/>
      <c r="M502" s="57"/>
      <c r="N502" s="57"/>
      <c r="O502" s="57"/>
      <c r="P502" s="57"/>
      <c r="Q502" s="57"/>
      <c r="R502" s="57"/>
      <c r="S502" s="57"/>
      <c r="T502" s="57"/>
      <c r="U502" s="57"/>
    </row>
    <row r="503" spans="2:21" x14ac:dyDescent="0.15">
      <c r="B503" s="57"/>
      <c r="C503" s="57"/>
      <c r="D503" s="57"/>
      <c r="E503" s="57"/>
      <c r="F503" s="57"/>
      <c r="G503" s="57"/>
      <c r="H503" s="57"/>
      <c r="I503" s="57"/>
      <c r="J503" s="57"/>
      <c r="K503" s="57"/>
      <c r="L503" s="57"/>
      <c r="M503" s="57"/>
      <c r="N503" s="57"/>
      <c r="O503" s="57"/>
      <c r="P503" s="57"/>
      <c r="Q503" s="57"/>
      <c r="R503" s="57"/>
      <c r="S503" s="57"/>
      <c r="T503" s="57"/>
      <c r="U503" s="57"/>
    </row>
    <row r="504" spans="2:21" x14ac:dyDescent="0.15">
      <c r="B504" s="57"/>
      <c r="C504" s="57"/>
      <c r="D504" s="57"/>
      <c r="E504" s="57"/>
      <c r="F504" s="57"/>
      <c r="G504" s="57"/>
      <c r="H504" s="57"/>
      <c r="I504" s="57"/>
      <c r="J504" s="57"/>
      <c r="K504" s="57"/>
      <c r="L504" s="57"/>
      <c r="M504" s="57"/>
      <c r="N504" s="57"/>
      <c r="O504" s="57"/>
      <c r="P504" s="57"/>
      <c r="Q504" s="57"/>
      <c r="R504" s="57"/>
      <c r="S504" s="57"/>
      <c r="T504" s="57"/>
      <c r="U504" s="57"/>
    </row>
    <row r="505" spans="2:21" x14ac:dyDescent="0.15">
      <c r="B505" s="57"/>
      <c r="C505" s="57"/>
      <c r="D505" s="57"/>
      <c r="E505" s="57"/>
      <c r="F505" s="57"/>
      <c r="G505" s="57"/>
      <c r="H505" s="57"/>
      <c r="I505" s="57"/>
      <c r="J505" s="57"/>
      <c r="K505" s="57"/>
      <c r="L505" s="57"/>
      <c r="M505" s="57"/>
      <c r="N505" s="57"/>
      <c r="O505" s="57"/>
      <c r="P505" s="57"/>
      <c r="Q505" s="57"/>
      <c r="R505" s="57"/>
      <c r="S505" s="57"/>
      <c r="T505" s="57"/>
      <c r="U505" s="57"/>
    </row>
    <row r="506" spans="2:21" x14ac:dyDescent="0.15">
      <c r="B506" s="57"/>
      <c r="C506" s="57"/>
      <c r="D506" s="57"/>
      <c r="E506" s="57"/>
      <c r="F506" s="57"/>
      <c r="G506" s="57"/>
      <c r="H506" s="57"/>
      <c r="I506" s="57"/>
      <c r="J506" s="57"/>
      <c r="K506" s="57"/>
      <c r="L506" s="57"/>
      <c r="M506" s="57"/>
      <c r="N506" s="57"/>
      <c r="O506" s="57"/>
      <c r="P506" s="57"/>
      <c r="Q506" s="57"/>
      <c r="R506" s="57"/>
      <c r="S506" s="57"/>
      <c r="T506" s="57"/>
      <c r="U506" s="57"/>
    </row>
    <row r="507" spans="2:21" x14ac:dyDescent="0.15">
      <c r="B507" s="57"/>
      <c r="C507" s="57"/>
      <c r="D507" s="57"/>
      <c r="E507" s="57"/>
      <c r="F507" s="57"/>
      <c r="G507" s="57"/>
      <c r="H507" s="57"/>
      <c r="I507" s="57"/>
      <c r="J507" s="57"/>
      <c r="K507" s="57"/>
      <c r="L507" s="57"/>
      <c r="M507" s="57"/>
      <c r="N507" s="57"/>
      <c r="O507" s="57"/>
      <c r="P507" s="57"/>
      <c r="Q507" s="57"/>
      <c r="R507" s="57"/>
      <c r="S507" s="57"/>
      <c r="T507" s="57"/>
      <c r="U507" s="57"/>
    </row>
    <row r="508" spans="2:21" x14ac:dyDescent="0.15">
      <c r="B508" s="57"/>
      <c r="C508" s="57"/>
      <c r="D508" s="57"/>
      <c r="E508" s="57"/>
      <c r="F508" s="57"/>
      <c r="G508" s="57"/>
      <c r="H508" s="57"/>
      <c r="I508" s="57"/>
      <c r="J508" s="57"/>
      <c r="K508" s="57"/>
      <c r="L508" s="57"/>
      <c r="M508" s="57"/>
      <c r="N508" s="57"/>
      <c r="O508" s="57"/>
      <c r="P508" s="57"/>
      <c r="Q508" s="57"/>
      <c r="R508" s="57"/>
      <c r="S508" s="57"/>
      <c r="T508" s="57"/>
      <c r="U508" s="57"/>
    </row>
    <row r="509" spans="2:21" x14ac:dyDescent="0.15">
      <c r="B509" s="57"/>
      <c r="C509" s="57"/>
      <c r="D509" s="57"/>
      <c r="E509" s="57"/>
      <c r="F509" s="57"/>
      <c r="G509" s="57"/>
      <c r="H509" s="57"/>
      <c r="I509" s="57"/>
      <c r="J509" s="57"/>
      <c r="K509" s="57"/>
      <c r="L509" s="57"/>
      <c r="M509" s="57"/>
      <c r="N509" s="57"/>
      <c r="O509" s="57"/>
      <c r="P509" s="57"/>
      <c r="Q509" s="57"/>
      <c r="R509" s="57"/>
      <c r="S509" s="57"/>
      <c r="T509" s="57"/>
      <c r="U509" s="57"/>
    </row>
    <row r="510" spans="2:21" x14ac:dyDescent="0.15">
      <c r="B510" s="57"/>
      <c r="C510" s="57"/>
      <c r="D510" s="57"/>
      <c r="E510" s="57"/>
      <c r="F510" s="57"/>
      <c r="G510" s="57"/>
      <c r="H510" s="57"/>
      <c r="I510" s="57"/>
      <c r="J510" s="57"/>
      <c r="K510" s="57"/>
      <c r="L510" s="57"/>
      <c r="M510" s="57"/>
      <c r="N510" s="57"/>
      <c r="O510" s="57"/>
      <c r="P510" s="57"/>
      <c r="Q510" s="57"/>
      <c r="R510" s="57"/>
      <c r="S510" s="57"/>
      <c r="T510" s="57"/>
      <c r="U510" s="57"/>
    </row>
    <row r="511" spans="2:21" x14ac:dyDescent="0.15">
      <c r="B511" s="57"/>
      <c r="C511" s="57"/>
      <c r="D511" s="57"/>
      <c r="E511" s="57"/>
      <c r="F511" s="57"/>
      <c r="G511" s="57"/>
      <c r="H511" s="57"/>
      <c r="I511" s="57"/>
      <c r="J511" s="57"/>
      <c r="K511" s="57"/>
      <c r="L511" s="57"/>
      <c r="M511" s="57"/>
      <c r="N511" s="57"/>
      <c r="O511" s="57"/>
      <c r="P511" s="57"/>
      <c r="Q511" s="57"/>
      <c r="R511" s="57"/>
      <c r="S511" s="57"/>
      <c r="T511" s="57"/>
      <c r="U511" s="57"/>
    </row>
    <row r="512" spans="2:21" x14ac:dyDescent="0.15">
      <c r="B512" s="57"/>
      <c r="C512" s="57"/>
      <c r="D512" s="57"/>
      <c r="E512" s="57"/>
      <c r="F512" s="57"/>
      <c r="G512" s="57"/>
      <c r="H512" s="57"/>
      <c r="I512" s="57"/>
      <c r="J512" s="57"/>
      <c r="K512" s="57"/>
      <c r="L512" s="57"/>
      <c r="M512" s="57"/>
      <c r="N512" s="57"/>
      <c r="O512" s="57"/>
      <c r="P512" s="57"/>
      <c r="Q512" s="57"/>
      <c r="R512" s="57"/>
      <c r="S512" s="57"/>
      <c r="T512" s="57"/>
      <c r="U512" s="57"/>
    </row>
    <row r="513" spans="2:21" x14ac:dyDescent="0.15">
      <c r="B513" s="57"/>
      <c r="C513" s="57"/>
      <c r="D513" s="57"/>
      <c r="E513" s="57"/>
      <c r="F513" s="57"/>
      <c r="G513" s="57"/>
      <c r="H513" s="57"/>
      <c r="I513" s="57"/>
      <c r="J513" s="57"/>
      <c r="K513" s="57"/>
      <c r="L513" s="57"/>
      <c r="M513" s="57"/>
      <c r="N513" s="57"/>
      <c r="O513" s="57"/>
      <c r="P513" s="57"/>
      <c r="Q513" s="57"/>
      <c r="R513" s="57"/>
      <c r="S513" s="57"/>
      <c r="T513" s="57"/>
      <c r="U513" s="57"/>
    </row>
    <row r="514" spans="2:21" x14ac:dyDescent="0.15">
      <c r="B514" s="57"/>
      <c r="C514" s="57"/>
      <c r="D514" s="57"/>
      <c r="E514" s="57"/>
      <c r="F514" s="57"/>
      <c r="G514" s="57"/>
      <c r="H514" s="57"/>
      <c r="I514" s="57"/>
      <c r="J514" s="57"/>
      <c r="K514" s="57"/>
      <c r="L514" s="57"/>
      <c r="M514" s="57"/>
      <c r="N514" s="57"/>
      <c r="O514" s="57"/>
      <c r="P514" s="57"/>
      <c r="Q514" s="57"/>
      <c r="R514" s="57"/>
      <c r="S514" s="57"/>
      <c r="T514" s="57"/>
      <c r="U514" s="57"/>
    </row>
    <row r="515" spans="2:21" x14ac:dyDescent="0.15">
      <c r="B515" s="57"/>
      <c r="C515" s="57"/>
      <c r="D515" s="57"/>
      <c r="E515" s="57"/>
      <c r="F515" s="57"/>
      <c r="G515" s="57"/>
      <c r="H515" s="57"/>
      <c r="I515" s="57"/>
      <c r="J515" s="57"/>
      <c r="K515" s="57"/>
      <c r="L515" s="57"/>
      <c r="M515" s="57"/>
      <c r="N515" s="57"/>
      <c r="O515" s="57"/>
      <c r="P515" s="57"/>
      <c r="Q515" s="57"/>
      <c r="R515" s="57"/>
      <c r="S515" s="57"/>
      <c r="T515" s="57"/>
      <c r="U515" s="57"/>
    </row>
    <row r="516" spans="2:21" x14ac:dyDescent="0.15">
      <c r="B516" s="57"/>
      <c r="C516" s="57"/>
      <c r="D516" s="57"/>
      <c r="E516" s="57"/>
      <c r="F516" s="57"/>
      <c r="G516" s="57"/>
      <c r="H516" s="57"/>
      <c r="I516" s="57"/>
      <c r="J516" s="57"/>
      <c r="K516" s="57"/>
      <c r="L516" s="57"/>
      <c r="M516" s="57"/>
      <c r="N516" s="57"/>
      <c r="O516" s="57"/>
      <c r="P516" s="57"/>
      <c r="Q516" s="57"/>
      <c r="R516" s="57"/>
      <c r="S516" s="57"/>
      <c r="T516" s="57"/>
      <c r="U516" s="57"/>
    </row>
    <row r="517" spans="2:21" x14ac:dyDescent="0.15">
      <c r="B517" s="57"/>
      <c r="C517" s="57"/>
      <c r="D517" s="57"/>
      <c r="E517" s="57"/>
      <c r="F517" s="57"/>
      <c r="G517" s="57"/>
      <c r="H517" s="57"/>
      <c r="I517" s="57"/>
      <c r="J517" s="57"/>
      <c r="K517" s="57"/>
      <c r="L517" s="57"/>
      <c r="M517" s="57"/>
      <c r="N517" s="57"/>
      <c r="O517" s="57"/>
      <c r="P517" s="57"/>
      <c r="Q517" s="57"/>
      <c r="R517" s="57"/>
      <c r="S517" s="57"/>
      <c r="T517" s="57"/>
      <c r="U517" s="57"/>
    </row>
    <row r="518" spans="2:21" x14ac:dyDescent="0.15">
      <c r="B518" s="57"/>
      <c r="C518" s="57"/>
      <c r="D518" s="57"/>
      <c r="E518" s="57"/>
      <c r="F518" s="57"/>
      <c r="G518" s="57"/>
      <c r="H518" s="57"/>
      <c r="I518" s="57"/>
      <c r="J518" s="57"/>
      <c r="K518" s="57"/>
      <c r="L518" s="57"/>
      <c r="M518" s="57"/>
      <c r="N518" s="57"/>
      <c r="O518" s="57"/>
      <c r="P518" s="57"/>
      <c r="Q518" s="57"/>
      <c r="R518" s="57"/>
      <c r="S518" s="57"/>
      <c r="T518" s="57"/>
      <c r="U518" s="57"/>
    </row>
    <row r="519" spans="2:21" x14ac:dyDescent="0.15">
      <c r="B519" s="57"/>
      <c r="C519" s="57"/>
      <c r="D519" s="57"/>
      <c r="E519" s="57"/>
      <c r="F519" s="57"/>
      <c r="G519" s="57"/>
      <c r="H519" s="57"/>
      <c r="I519" s="57"/>
      <c r="J519" s="57"/>
      <c r="K519" s="57"/>
      <c r="L519" s="57"/>
      <c r="M519" s="57"/>
      <c r="N519" s="57"/>
      <c r="O519" s="57"/>
      <c r="P519" s="57"/>
      <c r="Q519" s="57"/>
      <c r="R519" s="57"/>
      <c r="S519" s="57"/>
      <c r="T519" s="57"/>
      <c r="U519" s="57"/>
    </row>
    <row r="520" spans="2:21" x14ac:dyDescent="0.15">
      <c r="B520" s="57"/>
      <c r="C520" s="57"/>
      <c r="D520" s="57"/>
      <c r="E520" s="57"/>
      <c r="F520" s="57"/>
      <c r="G520" s="57"/>
      <c r="H520" s="57"/>
      <c r="I520" s="57"/>
      <c r="J520" s="57"/>
      <c r="K520" s="57"/>
      <c r="L520" s="57"/>
      <c r="M520" s="57"/>
      <c r="N520" s="57"/>
      <c r="O520" s="57"/>
      <c r="P520" s="57"/>
      <c r="Q520" s="57"/>
      <c r="R520" s="57"/>
      <c r="S520" s="57"/>
      <c r="T520" s="57"/>
      <c r="U520" s="57"/>
    </row>
    <row r="521" spans="2:21" x14ac:dyDescent="0.15">
      <c r="B521" s="57"/>
      <c r="C521" s="57"/>
      <c r="D521" s="57"/>
      <c r="E521" s="57"/>
      <c r="F521" s="57"/>
      <c r="G521" s="57"/>
      <c r="H521" s="57"/>
      <c r="I521" s="57"/>
      <c r="J521" s="57"/>
      <c r="K521" s="57"/>
      <c r="L521" s="57"/>
      <c r="M521" s="57"/>
      <c r="N521" s="57"/>
      <c r="O521" s="57"/>
      <c r="P521" s="57"/>
      <c r="Q521" s="57"/>
      <c r="R521" s="57"/>
      <c r="S521" s="57"/>
      <c r="T521" s="57"/>
      <c r="U521" s="57"/>
    </row>
    <row r="522" spans="2:21" x14ac:dyDescent="0.15">
      <c r="B522" s="57"/>
      <c r="C522" s="57"/>
      <c r="D522" s="57"/>
      <c r="E522" s="57"/>
      <c r="F522" s="57"/>
      <c r="G522" s="57"/>
      <c r="H522" s="57"/>
      <c r="I522" s="57"/>
      <c r="J522" s="57"/>
      <c r="K522" s="57"/>
      <c r="L522" s="57"/>
      <c r="M522" s="57"/>
      <c r="N522" s="57"/>
      <c r="O522" s="57"/>
      <c r="P522" s="57"/>
      <c r="Q522" s="57"/>
      <c r="R522" s="57"/>
      <c r="S522" s="57"/>
      <c r="T522" s="57"/>
      <c r="U522" s="57"/>
    </row>
    <row r="523" spans="2:21" x14ac:dyDescent="0.15">
      <c r="B523" s="57"/>
      <c r="C523" s="57"/>
      <c r="D523" s="57"/>
      <c r="E523" s="57"/>
      <c r="F523" s="57"/>
      <c r="G523" s="57"/>
      <c r="H523" s="57"/>
      <c r="I523" s="57"/>
      <c r="J523" s="57"/>
      <c r="K523" s="57"/>
      <c r="L523" s="57"/>
      <c r="M523" s="57"/>
      <c r="N523" s="57"/>
      <c r="O523" s="57"/>
      <c r="P523" s="57"/>
      <c r="Q523" s="57"/>
      <c r="R523" s="57"/>
      <c r="S523" s="57"/>
      <c r="T523" s="57"/>
      <c r="U523" s="57"/>
    </row>
    <row r="524" spans="2:21" x14ac:dyDescent="0.15">
      <c r="B524" s="57"/>
      <c r="C524" s="57"/>
      <c r="D524" s="57"/>
      <c r="E524" s="57"/>
      <c r="F524" s="57"/>
      <c r="G524" s="57"/>
      <c r="H524" s="57"/>
      <c r="I524" s="57"/>
      <c r="J524" s="57"/>
      <c r="K524" s="57"/>
      <c r="L524" s="57"/>
      <c r="M524" s="57"/>
      <c r="N524" s="57"/>
      <c r="O524" s="57"/>
      <c r="P524" s="57"/>
      <c r="Q524" s="57"/>
      <c r="R524" s="57"/>
      <c r="S524" s="57"/>
      <c r="T524" s="57"/>
      <c r="U524" s="57"/>
    </row>
    <row r="525" spans="2:21" x14ac:dyDescent="0.15">
      <c r="B525" s="57"/>
      <c r="C525" s="57"/>
      <c r="D525" s="57"/>
      <c r="E525" s="57"/>
      <c r="F525" s="57"/>
      <c r="G525" s="57"/>
      <c r="H525" s="57"/>
      <c r="I525" s="57"/>
      <c r="J525" s="57"/>
      <c r="K525" s="57"/>
      <c r="L525" s="57"/>
      <c r="M525" s="57"/>
      <c r="N525" s="57"/>
      <c r="O525" s="57"/>
      <c r="P525" s="57"/>
      <c r="Q525" s="57"/>
      <c r="R525" s="57"/>
      <c r="S525" s="57"/>
      <c r="T525" s="57"/>
      <c r="U525" s="57"/>
    </row>
    <row r="526" spans="2:21" x14ac:dyDescent="0.15">
      <c r="B526" s="57"/>
      <c r="C526" s="57"/>
      <c r="D526" s="57"/>
      <c r="E526" s="57"/>
      <c r="F526" s="57"/>
      <c r="G526" s="57"/>
      <c r="H526" s="57"/>
      <c r="I526" s="57"/>
      <c r="J526" s="57"/>
      <c r="K526" s="57"/>
      <c r="L526" s="57"/>
      <c r="M526" s="57"/>
      <c r="N526" s="57"/>
      <c r="O526" s="57"/>
      <c r="P526" s="57"/>
      <c r="Q526" s="57"/>
      <c r="R526" s="57"/>
      <c r="S526" s="57"/>
      <c r="T526" s="57"/>
      <c r="U526" s="57"/>
    </row>
    <row r="527" spans="2:21" x14ac:dyDescent="0.15">
      <c r="B527" s="57"/>
      <c r="C527" s="57"/>
      <c r="D527" s="57"/>
      <c r="E527" s="57"/>
      <c r="F527" s="57"/>
      <c r="G527" s="57"/>
      <c r="H527" s="57"/>
      <c r="I527" s="57"/>
      <c r="J527" s="57"/>
      <c r="K527" s="57"/>
      <c r="L527" s="57"/>
      <c r="M527" s="57"/>
      <c r="N527" s="57"/>
      <c r="O527" s="57"/>
      <c r="P527" s="57"/>
      <c r="Q527" s="57"/>
      <c r="R527" s="57"/>
      <c r="S527" s="57"/>
      <c r="T527" s="57"/>
      <c r="U527" s="57"/>
    </row>
    <row r="528" spans="2:21" x14ac:dyDescent="0.15">
      <c r="B528" s="57"/>
      <c r="C528" s="57"/>
      <c r="D528" s="57"/>
      <c r="E528" s="57"/>
      <c r="F528" s="57"/>
      <c r="G528" s="57"/>
      <c r="H528" s="57"/>
      <c r="I528" s="57"/>
      <c r="J528" s="57"/>
      <c r="K528" s="57"/>
      <c r="L528" s="57"/>
      <c r="M528" s="57"/>
      <c r="N528" s="57"/>
      <c r="O528" s="57"/>
      <c r="P528" s="57"/>
      <c r="Q528" s="57"/>
      <c r="R528" s="57"/>
      <c r="S528" s="57"/>
      <c r="T528" s="57"/>
      <c r="U528" s="57"/>
    </row>
    <row r="529" spans="2:21" x14ac:dyDescent="0.15">
      <c r="B529" s="57"/>
      <c r="C529" s="57"/>
      <c r="D529" s="57"/>
      <c r="E529" s="57"/>
      <c r="F529" s="57"/>
      <c r="G529" s="57"/>
      <c r="H529" s="57"/>
      <c r="I529" s="57"/>
      <c r="J529" s="57"/>
      <c r="K529" s="57"/>
      <c r="L529" s="57"/>
      <c r="M529" s="57"/>
      <c r="N529" s="57"/>
      <c r="O529" s="57"/>
      <c r="P529" s="57"/>
      <c r="Q529" s="57"/>
      <c r="R529" s="57"/>
      <c r="S529" s="57"/>
      <c r="T529" s="57"/>
      <c r="U529" s="57"/>
    </row>
    <row r="530" spans="2:21" x14ac:dyDescent="0.15">
      <c r="B530" s="57"/>
      <c r="C530" s="57"/>
      <c r="D530" s="57"/>
      <c r="E530" s="57"/>
      <c r="F530" s="57"/>
      <c r="G530" s="57"/>
      <c r="H530" s="57"/>
      <c r="I530" s="57"/>
      <c r="J530" s="57"/>
      <c r="K530" s="57"/>
      <c r="L530" s="57"/>
      <c r="M530" s="57"/>
      <c r="N530" s="57"/>
      <c r="O530" s="57"/>
      <c r="P530" s="57"/>
      <c r="Q530" s="57"/>
      <c r="R530" s="57"/>
      <c r="S530" s="57"/>
      <c r="T530" s="57"/>
      <c r="U530" s="57"/>
    </row>
    <row r="531" spans="2:21" x14ac:dyDescent="0.15">
      <c r="B531" s="57"/>
      <c r="C531" s="57"/>
      <c r="D531" s="57"/>
      <c r="E531" s="57"/>
      <c r="F531" s="57"/>
      <c r="G531" s="57"/>
      <c r="H531" s="57"/>
      <c r="I531" s="57"/>
      <c r="J531" s="57"/>
      <c r="K531" s="57"/>
      <c r="L531" s="57"/>
      <c r="M531" s="57"/>
      <c r="N531" s="57"/>
      <c r="O531" s="57"/>
      <c r="P531" s="57"/>
      <c r="Q531" s="57"/>
      <c r="R531" s="57"/>
      <c r="S531" s="57"/>
      <c r="T531" s="57"/>
      <c r="U531" s="57"/>
    </row>
    <row r="532" spans="2:21" x14ac:dyDescent="0.15">
      <c r="B532" s="57"/>
      <c r="C532" s="57"/>
      <c r="D532" s="57"/>
      <c r="E532" s="57"/>
      <c r="F532" s="57"/>
      <c r="G532" s="57"/>
      <c r="H532" s="57"/>
      <c r="I532" s="57"/>
      <c r="J532" s="57"/>
      <c r="K532" s="57"/>
      <c r="L532" s="57"/>
      <c r="M532" s="57"/>
      <c r="N532" s="57"/>
      <c r="O532" s="57"/>
      <c r="P532" s="57"/>
      <c r="Q532" s="57"/>
      <c r="R532" s="57"/>
      <c r="S532" s="57"/>
      <c r="T532" s="57"/>
      <c r="U532" s="57"/>
    </row>
    <row r="533" spans="2:21" x14ac:dyDescent="0.15">
      <c r="B533" s="57"/>
      <c r="C533" s="57"/>
      <c r="D533" s="57"/>
      <c r="E533" s="57"/>
      <c r="F533" s="57"/>
      <c r="G533" s="57"/>
      <c r="H533" s="57"/>
      <c r="I533" s="57"/>
      <c r="J533" s="57"/>
      <c r="K533" s="57"/>
      <c r="L533" s="57"/>
      <c r="M533" s="57"/>
      <c r="N533" s="57"/>
      <c r="O533" s="57"/>
      <c r="P533" s="57"/>
      <c r="Q533" s="57"/>
      <c r="R533" s="57"/>
      <c r="S533" s="57"/>
      <c r="T533" s="57"/>
      <c r="U533" s="57"/>
    </row>
    <row r="534" spans="2:21" x14ac:dyDescent="0.15">
      <c r="B534" s="57"/>
      <c r="C534" s="57"/>
      <c r="D534" s="57"/>
      <c r="E534" s="57"/>
      <c r="F534" s="57"/>
      <c r="G534" s="57"/>
      <c r="H534" s="57"/>
      <c r="I534" s="57"/>
      <c r="J534" s="57"/>
      <c r="K534" s="57"/>
      <c r="L534" s="57"/>
      <c r="M534" s="57"/>
      <c r="N534" s="57"/>
      <c r="O534" s="57"/>
      <c r="P534" s="57"/>
      <c r="Q534" s="57"/>
      <c r="R534" s="57"/>
      <c r="S534" s="57"/>
      <c r="T534" s="57"/>
      <c r="U534" s="57"/>
    </row>
    <row r="535" spans="2:21" x14ac:dyDescent="0.15">
      <c r="B535" s="57"/>
      <c r="C535" s="57"/>
      <c r="D535" s="57"/>
      <c r="E535" s="57"/>
      <c r="F535" s="57"/>
      <c r="G535" s="57"/>
      <c r="H535" s="57"/>
      <c r="I535" s="57"/>
      <c r="J535" s="57"/>
      <c r="K535" s="57"/>
      <c r="L535" s="57"/>
      <c r="M535" s="57"/>
      <c r="N535" s="57"/>
      <c r="O535" s="57"/>
      <c r="P535" s="57"/>
      <c r="Q535" s="57"/>
      <c r="R535" s="57"/>
      <c r="S535" s="57"/>
      <c r="T535" s="57"/>
      <c r="U535" s="57"/>
    </row>
    <row r="536" spans="2:21" x14ac:dyDescent="0.15">
      <c r="B536" s="57"/>
      <c r="C536" s="57"/>
      <c r="D536" s="57"/>
      <c r="E536" s="57"/>
      <c r="F536" s="57"/>
      <c r="G536" s="57"/>
      <c r="H536" s="57"/>
      <c r="I536" s="57"/>
      <c r="J536" s="57"/>
      <c r="K536" s="57"/>
      <c r="L536" s="57"/>
      <c r="M536" s="57"/>
      <c r="N536" s="57"/>
      <c r="O536" s="57"/>
      <c r="P536" s="57"/>
      <c r="Q536" s="57"/>
      <c r="R536" s="57"/>
      <c r="S536" s="57"/>
      <c r="T536" s="57"/>
      <c r="U536" s="57"/>
    </row>
    <row r="537" spans="2:21" x14ac:dyDescent="0.15">
      <c r="B537" s="57"/>
      <c r="C537" s="57"/>
      <c r="D537" s="57"/>
      <c r="E537" s="57"/>
      <c r="F537" s="57"/>
      <c r="G537" s="57"/>
      <c r="H537" s="57"/>
      <c r="I537" s="57"/>
      <c r="J537" s="57"/>
      <c r="K537" s="57"/>
      <c r="L537" s="57"/>
      <c r="M537" s="57"/>
      <c r="N537" s="57"/>
      <c r="O537" s="57"/>
      <c r="P537" s="57"/>
      <c r="Q537" s="57"/>
      <c r="R537" s="57"/>
      <c r="S537" s="57"/>
      <c r="T537" s="57"/>
      <c r="U537" s="57"/>
    </row>
    <row r="538" spans="2:21" x14ac:dyDescent="0.15">
      <c r="B538" s="57"/>
      <c r="C538" s="57"/>
      <c r="D538" s="57"/>
      <c r="E538" s="57"/>
      <c r="F538" s="57"/>
      <c r="G538" s="57"/>
      <c r="H538" s="57"/>
      <c r="I538" s="57"/>
      <c r="J538" s="57"/>
      <c r="K538" s="57"/>
      <c r="L538" s="57"/>
      <c r="M538" s="57"/>
      <c r="N538" s="57"/>
      <c r="O538" s="57"/>
      <c r="P538" s="57"/>
      <c r="Q538" s="57"/>
      <c r="R538" s="57"/>
      <c r="S538" s="57"/>
      <c r="T538" s="57"/>
      <c r="U538" s="57"/>
    </row>
    <row r="539" spans="2:21" x14ac:dyDescent="0.15">
      <c r="B539" s="57"/>
      <c r="C539" s="57"/>
      <c r="D539" s="57"/>
      <c r="E539" s="57"/>
      <c r="F539" s="57"/>
      <c r="G539" s="57"/>
      <c r="H539" s="57"/>
      <c r="I539" s="57"/>
      <c r="J539" s="57"/>
      <c r="K539" s="57"/>
      <c r="L539" s="57"/>
      <c r="M539" s="57"/>
      <c r="N539" s="57"/>
      <c r="O539" s="57"/>
      <c r="P539" s="57"/>
      <c r="Q539" s="57"/>
      <c r="R539" s="57"/>
      <c r="S539" s="57"/>
      <c r="T539" s="57"/>
      <c r="U539" s="57"/>
    </row>
    <row r="540" spans="2:21" x14ac:dyDescent="0.15">
      <c r="B540" s="57"/>
      <c r="C540" s="57"/>
      <c r="D540" s="57"/>
      <c r="E540" s="57"/>
      <c r="F540" s="57"/>
      <c r="G540" s="57"/>
      <c r="H540" s="57"/>
      <c r="I540" s="57"/>
      <c r="J540" s="57"/>
      <c r="K540" s="57"/>
      <c r="L540" s="57"/>
      <c r="M540" s="57"/>
      <c r="N540" s="57"/>
      <c r="O540" s="57"/>
      <c r="P540" s="57"/>
      <c r="Q540" s="57"/>
      <c r="R540" s="57"/>
      <c r="S540" s="57"/>
      <c r="T540" s="57"/>
      <c r="U540" s="57"/>
    </row>
    <row r="541" spans="2:21" x14ac:dyDescent="0.15">
      <c r="B541" s="57"/>
      <c r="C541" s="57"/>
      <c r="D541" s="57"/>
      <c r="E541" s="57"/>
      <c r="F541" s="57"/>
      <c r="G541" s="57"/>
      <c r="H541" s="57"/>
      <c r="I541" s="57"/>
      <c r="J541" s="57"/>
      <c r="K541" s="57"/>
      <c r="L541" s="57"/>
      <c r="M541" s="57"/>
      <c r="N541" s="57"/>
      <c r="O541" s="57"/>
      <c r="P541" s="57"/>
      <c r="Q541" s="57"/>
      <c r="R541" s="57"/>
      <c r="S541" s="57"/>
      <c r="T541" s="57"/>
      <c r="U541" s="57"/>
    </row>
    <row r="542" spans="2:21" x14ac:dyDescent="0.15">
      <c r="B542" s="57"/>
      <c r="C542" s="57"/>
      <c r="D542" s="57"/>
      <c r="E542" s="57"/>
      <c r="F542" s="57"/>
      <c r="G542" s="57"/>
      <c r="H542" s="57"/>
      <c r="I542" s="57"/>
      <c r="J542" s="57"/>
      <c r="K542" s="57"/>
      <c r="L542" s="57"/>
      <c r="M542" s="57"/>
      <c r="N542" s="57"/>
      <c r="O542" s="57"/>
      <c r="P542" s="57"/>
      <c r="Q542" s="57"/>
      <c r="R542" s="57"/>
      <c r="S542" s="57"/>
      <c r="T542" s="57"/>
      <c r="U542" s="57"/>
    </row>
    <row r="543" spans="2:21" x14ac:dyDescent="0.15">
      <c r="B543" s="57"/>
      <c r="C543" s="57"/>
      <c r="D543" s="57"/>
      <c r="E543" s="57"/>
      <c r="F543" s="57"/>
      <c r="G543" s="57"/>
      <c r="H543" s="57"/>
      <c r="I543" s="57"/>
      <c r="J543" s="57"/>
      <c r="K543" s="57"/>
      <c r="L543" s="57"/>
      <c r="M543" s="57"/>
      <c r="N543" s="57"/>
      <c r="O543" s="57"/>
      <c r="P543" s="57"/>
      <c r="Q543" s="57"/>
      <c r="R543" s="57"/>
      <c r="S543" s="57"/>
      <c r="T543" s="57"/>
      <c r="U543" s="57"/>
    </row>
    <row r="544" spans="2:21" x14ac:dyDescent="0.15">
      <c r="B544" s="57"/>
      <c r="C544" s="57"/>
      <c r="D544" s="57"/>
      <c r="E544" s="57"/>
      <c r="F544" s="57"/>
      <c r="G544" s="57"/>
      <c r="H544" s="57"/>
      <c r="I544" s="57"/>
      <c r="J544" s="57"/>
      <c r="K544" s="57"/>
      <c r="L544" s="57"/>
      <c r="M544" s="57"/>
      <c r="N544" s="57"/>
      <c r="O544" s="57"/>
      <c r="P544" s="57"/>
      <c r="Q544" s="57"/>
      <c r="R544" s="57"/>
      <c r="S544" s="57"/>
      <c r="T544" s="57"/>
      <c r="U544" s="57"/>
    </row>
    <row r="545" spans="2:21" x14ac:dyDescent="0.15">
      <c r="B545" s="57"/>
      <c r="C545" s="57"/>
      <c r="D545" s="57"/>
      <c r="E545" s="57"/>
      <c r="F545" s="57"/>
      <c r="G545" s="57"/>
      <c r="H545" s="57"/>
      <c r="I545" s="57"/>
      <c r="J545" s="57"/>
      <c r="K545" s="57"/>
      <c r="L545" s="57"/>
      <c r="M545" s="57"/>
      <c r="N545" s="57"/>
      <c r="O545" s="57"/>
      <c r="P545" s="57"/>
      <c r="Q545" s="57"/>
      <c r="R545" s="57"/>
      <c r="S545" s="57"/>
      <c r="T545" s="57"/>
      <c r="U545" s="57"/>
    </row>
    <row r="546" spans="2:21" x14ac:dyDescent="0.15">
      <c r="B546" s="57"/>
      <c r="C546" s="57"/>
      <c r="D546" s="57"/>
      <c r="E546" s="57"/>
      <c r="F546" s="57"/>
      <c r="G546" s="57"/>
      <c r="H546" s="57"/>
      <c r="I546" s="57"/>
      <c r="J546" s="57"/>
      <c r="K546" s="57"/>
      <c r="L546" s="57"/>
      <c r="M546" s="57"/>
      <c r="N546" s="57"/>
      <c r="O546" s="57"/>
      <c r="P546" s="57"/>
      <c r="Q546" s="57"/>
      <c r="R546" s="57"/>
      <c r="S546" s="57"/>
      <c r="T546" s="57"/>
      <c r="U546" s="57"/>
    </row>
    <row r="547" spans="2:21" x14ac:dyDescent="0.15">
      <c r="B547" s="57"/>
      <c r="C547" s="57"/>
      <c r="D547" s="57"/>
      <c r="E547" s="57"/>
      <c r="F547" s="57"/>
      <c r="G547" s="57"/>
      <c r="H547" s="57"/>
      <c r="I547" s="57"/>
      <c r="J547" s="57"/>
      <c r="K547" s="57"/>
      <c r="L547" s="57"/>
      <c r="M547" s="57"/>
      <c r="N547" s="57"/>
      <c r="O547" s="57"/>
      <c r="P547" s="57"/>
      <c r="Q547" s="57"/>
      <c r="R547" s="57"/>
      <c r="S547" s="57"/>
      <c r="T547" s="57"/>
      <c r="U547" s="57"/>
    </row>
    <row r="548" spans="2:21" x14ac:dyDescent="0.15">
      <c r="B548" s="57"/>
      <c r="C548" s="57"/>
      <c r="D548" s="57"/>
      <c r="E548" s="57"/>
      <c r="F548" s="57"/>
      <c r="G548" s="57"/>
      <c r="H548" s="57"/>
      <c r="I548" s="57"/>
      <c r="J548" s="57"/>
      <c r="K548" s="57"/>
      <c r="L548" s="57"/>
      <c r="M548" s="57"/>
      <c r="N548" s="57"/>
      <c r="O548" s="57"/>
      <c r="P548" s="57"/>
      <c r="Q548" s="57"/>
      <c r="R548" s="57"/>
      <c r="S548" s="57"/>
      <c r="T548" s="57"/>
      <c r="U548" s="57"/>
    </row>
    <row r="549" spans="2:21" x14ac:dyDescent="0.15">
      <c r="B549" s="57"/>
      <c r="C549" s="57"/>
      <c r="D549" s="57"/>
      <c r="E549" s="57"/>
      <c r="F549" s="57"/>
      <c r="G549" s="57"/>
      <c r="H549" s="57"/>
      <c r="I549" s="57"/>
      <c r="J549" s="57"/>
      <c r="K549" s="57"/>
      <c r="L549" s="57"/>
      <c r="M549" s="57"/>
      <c r="N549" s="57"/>
      <c r="O549" s="57"/>
      <c r="P549" s="57"/>
      <c r="Q549" s="57"/>
      <c r="R549" s="57"/>
      <c r="S549" s="57"/>
      <c r="T549" s="57"/>
      <c r="U549" s="57"/>
    </row>
    <row r="550" spans="2:21" x14ac:dyDescent="0.15">
      <c r="B550" s="57"/>
      <c r="C550" s="57"/>
      <c r="D550" s="57"/>
      <c r="E550" s="57"/>
      <c r="F550" s="57"/>
      <c r="G550" s="57"/>
      <c r="H550" s="57"/>
      <c r="I550" s="57"/>
      <c r="J550" s="57"/>
      <c r="K550" s="57"/>
      <c r="L550" s="57"/>
      <c r="M550" s="57"/>
      <c r="N550" s="57"/>
      <c r="O550" s="57"/>
      <c r="P550" s="57"/>
      <c r="Q550" s="57"/>
      <c r="R550" s="57"/>
      <c r="S550" s="57"/>
      <c r="T550" s="57"/>
      <c r="U550" s="57"/>
    </row>
    <row r="551" spans="2:21" x14ac:dyDescent="0.15">
      <c r="B551" s="57"/>
      <c r="C551" s="57"/>
      <c r="D551" s="57"/>
      <c r="E551" s="57"/>
      <c r="F551" s="57"/>
      <c r="G551" s="57"/>
      <c r="H551" s="57"/>
      <c r="I551" s="57"/>
      <c r="J551" s="57"/>
      <c r="K551" s="57"/>
      <c r="L551" s="57"/>
      <c r="M551" s="57"/>
      <c r="N551" s="57"/>
      <c r="O551" s="57"/>
      <c r="P551" s="57"/>
      <c r="Q551" s="57"/>
      <c r="R551" s="57"/>
      <c r="S551" s="57"/>
      <c r="T551" s="57"/>
      <c r="U551" s="57"/>
    </row>
    <row r="552" spans="2:21" x14ac:dyDescent="0.15">
      <c r="B552" s="57"/>
      <c r="C552" s="57"/>
      <c r="D552" s="57"/>
      <c r="E552" s="57"/>
      <c r="F552" s="57"/>
      <c r="G552" s="57"/>
      <c r="H552" s="57"/>
      <c r="I552" s="57"/>
      <c r="J552" s="57"/>
      <c r="K552" s="57"/>
      <c r="L552" s="57"/>
      <c r="M552" s="57"/>
      <c r="N552" s="57"/>
      <c r="O552" s="57"/>
      <c r="P552" s="57"/>
      <c r="Q552" s="57"/>
      <c r="R552" s="57"/>
      <c r="S552" s="57"/>
      <c r="T552" s="57"/>
      <c r="U552" s="57"/>
    </row>
    <row r="553" spans="2:21" x14ac:dyDescent="0.15">
      <c r="B553" s="57"/>
      <c r="C553" s="57"/>
      <c r="D553" s="57"/>
      <c r="E553" s="57"/>
      <c r="F553" s="57"/>
      <c r="G553" s="57"/>
      <c r="H553" s="57"/>
      <c r="I553" s="57"/>
      <c r="J553" s="57"/>
      <c r="K553" s="57"/>
      <c r="L553" s="57"/>
      <c r="M553" s="57"/>
      <c r="N553" s="57"/>
      <c r="O553" s="57"/>
      <c r="P553" s="57"/>
      <c r="Q553" s="57"/>
      <c r="R553" s="57"/>
      <c r="S553" s="57"/>
      <c r="T553" s="57"/>
      <c r="U553" s="57"/>
    </row>
    <row r="554" spans="2:21" x14ac:dyDescent="0.15">
      <c r="B554" s="57"/>
      <c r="C554" s="57"/>
      <c r="D554" s="57"/>
      <c r="E554" s="57"/>
      <c r="F554" s="57"/>
      <c r="G554" s="57"/>
      <c r="H554" s="57"/>
      <c r="I554" s="57"/>
      <c r="J554" s="57"/>
      <c r="K554" s="57"/>
      <c r="L554" s="57"/>
      <c r="M554" s="57"/>
      <c r="N554" s="57"/>
      <c r="O554" s="57"/>
      <c r="P554" s="57"/>
      <c r="Q554" s="57"/>
      <c r="R554" s="57"/>
      <c r="S554" s="57"/>
      <c r="T554" s="57"/>
      <c r="U554" s="57"/>
    </row>
    <row r="555" spans="2:21" x14ac:dyDescent="0.15">
      <c r="B555" s="57"/>
      <c r="C555" s="57"/>
      <c r="D555" s="57"/>
      <c r="E555" s="57"/>
      <c r="F555" s="57"/>
      <c r="G555" s="57"/>
      <c r="H555" s="57"/>
      <c r="I555" s="57"/>
      <c r="J555" s="57"/>
      <c r="K555" s="57"/>
      <c r="L555" s="57"/>
      <c r="M555" s="57"/>
      <c r="N555" s="57"/>
      <c r="O555" s="57"/>
      <c r="P555" s="57"/>
      <c r="Q555" s="57"/>
      <c r="R555" s="57"/>
      <c r="S555" s="57"/>
      <c r="T555" s="57"/>
      <c r="U555" s="57"/>
    </row>
    <row r="556" spans="2:21" x14ac:dyDescent="0.15">
      <c r="B556" s="57"/>
      <c r="C556" s="57"/>
      <c r="D556" s="57"/>
      <c r="E556" s="57"/>
      <c r="F556" s="57"/>
      <c r="G556" s="57"/>
      <c r="H556" s="57"/>
      <c r="I556" s="57"/>
      <c r="J556" s="57"/>
      <c r="K556" s="57"/>
      <c r="L556" s="57"/>
      <c r="M556" s="57"/>
      <c r="N556" s="57"/>
      <c r="O556" s="57"/>
      <c r="P556" s="57"/>
      <c r="Q556" s="57"/>
      <c r="R556" s="57"/>
      <c r="S556" s="57"/>
      <c r="T556" s="57"/>
      <c r="U556" s="57"/>
    </row>
    <row r="557" spans="2:21" x14ac:dyDescent="0.15">
      <c r="B557" s="57"/>
      <c r="C557" s="57"/>
      <c r="D557" s="57"/>
      <c r="E557" s="57"/>
      <c r="F557" s="57"/>
      <c r="G557" s="57"/>
      <c r="H557" s="57"/>
      <c r="I557" s="57"/>
      <c r="J557" s="57"/>
      <c r="K557" s="57"/>
      <c r="L557" s="57"/>
      <c r="M557" s="57"/>
      <c r="N557" s="57"/>
      <c r="O557" s="57"/>
      <c r="P557" s="57"/>
      <c r="Q557" s="57"/>
      <c r="R557" s="57"/>
      <c r="S557" s="57"/>
      <c r="T557" s="57"/>
      <c r="U557" s="57"/>
    </row>
    <row r="558" spans="2:21" x14ac:dyDescent="0.15">
      <c r="B558" s="57"/>
      <c r="C558" s="57"/>
      <c r="D558" s="57"/>
      <c r="E558" s="57"/>
      <c r="F558" s="57"/>
      <c r="G558" s="57"/>
      <c r="H558" s="57"/>
      <c r="I558" s="57"/>
      <c r="J558" s="57"/>
      <c r="K558" s="57"/>
      <c r="L558" s="57"/>
      <c r="M558" s="57"/>
      <c r="N558" s="57"/>
      <c r="O558" s="57"/>
      <c r="P558" s="57"/>
      <c r="Q558" s="57"/>
      <c r="R558" s="57"/>
      <c r="S558" s="57"/>
      <c r="T558" s="57"/>
      <c r="U558" s="57"/>
    </row>
    <row r="559" spans="2:21" x14ac:dyDescent="0.15">
      <c r="B559" s="57"/>
      <c r="C559" s="57"/>
      <c r="D559" s="57"/>
      <c r="E559" s="57"/>
      <c r="F559" s="57"/>
      <c r="G559" s="57"/>
      <c r="H559" s="57"/>
      <c r="I559" s="57"/>
      <c r="J559" s="57"/>
      <c r="K559" s="57"/>
      <c r="L559" s="57"/>
      <c r="M559" s="57"/>
      <c r="N559" s="57"/>
      <c r="O559" s="57"/>
      <c r="P559" s="57"/>
      <c r="Q559" s="57"/>
      <c r="R559" s="57"/>
      <c r="S559" s="57"/>
      <c r="T559" s="57"/>
      <c r="U559" s="57"/>
    </row>
    <row r="560" spans="2:21" x14ac:dyDescent="0.15">
      <c r="B560" s="57"/>
      <c r="C560" s="57"/>
      <c r="D560" s="57"/>
      <c r="E560" s="57"/>
      <c r="F560" s="57"/>
      <c r="G560" s="57"/>
      <c r="H560" s="57"/>
      <c r="I560" s="57"/>
      <c r="J560" s="57"/>
      <c r="K560" s="57"/>
      <c r="L560" s="57"/>
      <c r="M560" s="57"/>
      <c r="N560" s="57"/>
      <c r="O560" s="57"/>
      <c r="P560" s="57"/>
      <c r="Q560" s="57"/>
      <c r="R560" s="57"/>
      <c r="S560" s="57"/>
      <c r="T560" s="57"/>
      <c r="U560" s="57"/>
    </row>
    <row r="561" spans="2:21" x14ac:dyDescent="0.15">
      <c r="B561" s="57"/>
      <c r="C561" s="57"/>
      <c r="D561" s="57"/>
      <c r="E561" s="57"/>
      <c r="F561" s="57"/>
      <c r="G561" s="57"/>
      <c r="H561" s="57"/>
      <c r="I561" s="57"/>
      <c r="J561" s="57"/>
      <c r="K561" s="57"/>
      <c r="L561" s="57"/>
      <c r="M561" s="57"/>
      <c r="N561" s="57"/>
      <c r="O561" s="57"/>
      <c r="P561" s="57"/>
      <c r="Q561" s="57"/>
      <c r="R561" s="57"/>
      <c r="S561" s="57"/>
      <c r="T561" s="57"/>
      <c r="U561" s="57"/>
    </row>
    <row r="562" spans="2:21" x14ac:dyDescent="0.15">
      <c r="B562" s="57"/>
      <c r="C562" s="57"/>
      <c r="D562" s="57"/>
      <c r="E562" s="57"/>
      <c r="F562" s="57"/>
      <c r="G562" s="57"/>
      <c r="H562" s="57"/>
      <c r="I562" s="57"/>
      <c r="J562" s="57"/>
      <c r="K562" s="57"/>
      <c r="L562" s="57"/>
      <c r="M562" s="57"/>
      <c r="N562" s="57"/>
      <c r="O562" s="57"/>
      <c r="P562" s="57"/>
      <c r="Q562" s="57"/>
      <c r="R562" s="57"/>
      <c r="S562" s="57"/>
      <c r="T562" s="57"/>
      <c r="U562" s="57"/>
    </row>
    <row r="563" spans="2:21" x14ac:dyDescent="0.15">
      <c r="B563" s="57"/>
      <c r="C563" s="57"/>
      <c r="D563" s="57"/>
      <c r="E563" s="57"/>
      <c r="F563" s="57"/>
      <c r="G563" s="57"/>
      <c r="H563" s="57"/>
      <c r="I563" s="57"/>
      <c r="J563" s="57"/>
      <c r="K563" s="57"/>
      <c r="L563" s="57"/>
      <c r="M563" s="57"/>
      <c r="N563" s="57"/>
      <c r="O563" s="57"/>
      <c r="P563" s="57"/>
      <c r="Q563" s="57"/>
      <c r="R563" s="57"/>
      <c r="S563" s="57"/>
      <c r="T563" s="57"/>
      <c r="U563" s="57"/>
    </row>
    <row r="564" spans="2:21" x14ac:dyDescent="0.15">
      <c r="B564" s="57"/>
      <c r="C564" s="57"/>
      <c r="D564" s="57"/>
      <c r="E564" s="57"/>
      <c r="F564" s="57"/>
      <c r="G564" s="57"/>
      <c r="H564" s="57"/>
      <c r="I564" s="57"/>
      <c r="J564" s="57"/>
      <c r="K564" s="57"/>
      <c r="L564" s="57"/>
      <c r="M564" s="57"/>
      <c r="N564" s="57"/>
      <c r="O564" s="57"/>
      <c r="P564" s="57"/>
      <c r="Q564" s="57"/>
      <c r="R564" s="57"/>
      <c r="S564" s="57"/>
      <c r="T564" s="57"/>
      <c r="U564" s="57"/>
    </row>
    <row r="565" spans="2:21" x14ac:dyDescent="0.15">
      <c r="B565" s="57"/>
      <c r="C565" s="57"/>
      <c r="D565" s="57"/>
      <c r="E565" s="57"/>
      <c r="F565" s="57"/>
      <c r="G565" s="57"/>
      <c r="H565" s="57"/>
      <c r="I565" s="57"/>
      <c r="J565" s="57"/>
      <c r="K565" s="57"/>
      <c r="L565" s="57"/>
      <c r="M565" s="57"/>
      <c r="N565" s="57"/>
      <c r="O565" s="57"/>
      <c r="P565" s="57"/>
      <c r="Q565" s="57"/>
      <c r="R565" s="57"/>
      <c r="S565" s="57"/>
      <c r="T565" s="57"/>
      <c r="U565" s="57"/>
    </row>
    <row r="566" spans="2:21" x14ac:dyDescent="0.15">
      <c r="B566" s="57"/>
      <c r="C566" s="57"/>
      <c r="D566" s="57"/>
      <c r="E566" s="57"/>
      <c r="F566" s="57"/>
      <c r="G566" s="57"/>
      <c r="H566" s="57"/>
      <c r="I566" s="57"/>
      <c r="J566" s="57"/>
      <c r="K566" s="57"/>
      <c r="L566" s="57"/>
      <c r="M566" s="57"/>
      <c r="N566" s="57"/>
      <c r="O566" s="57"/>
      <c r="P566" s="57"/>
      <c r="Q566" s="57"/>
      <c r="R566" s="57"/>
      <c r="S566" s="57"/>
      <c r="T566" s="57"/>
      <c r="U566" s="57"/>
    </row>
    <row r="567" spans="2:21" x14ac:dyDescent="0.15">
      <c r="B567" s="57"/>
      <c r="C567" s="57"/>
      <c r="D567" s="57"/>
      <c r="E567" s="57"/>
      <c r="F567" s="57"/>
      <c r="G567" s="57"/>
      <c r="H567" s="57"/>
      <c r="I567" s="57"/>
      <c r="J567" s="57"/>
      <c r="K567" s="57"/>
      <c r="L567" s="57"/>
      <c r="M567" s="57"/>
      <c r="N567" s="57"/>
      <c r="O567" s="57"/>
      <c r="P567" s="57"/>
      <c r="Q567" s="57"/>
      <c r="R567" s="57"/>
      <c r="S567" s="57"/>
      <c r="T567" s="57"/>
      <c r="U567" s="57"/>
    </row>
    <row r="568" spans="2:21" x14ac:dyDescent="0.15">
      <c r="B568" s="57"/>
      <c r="C568" s="57"/>
      <c r="D568" s="57"/>
      <c r="E568" s="57"/>
      <c r="F568" s="57"/>
      <c r="G568" s="57"/>
      <c r="H568" s="57"/>
      <c r="I568" s="57"/>
      <c r="J568" s="57"/>
      <c r="K568" s="57"/>
      <c r="L568" s="57"/>
      <c r="M568" s="57"/>
      <c r="N568" s="57"/>
      <c r="O568" s="57"/>
      <c r="P568" s="57"/>
      <c r="Q568" s="57"/>
      <c r="R568" s="57"/>
      <c r="S568" s="57"/>
      <c r="T568" s="57"/>
      <c r="U568" s="57"/>
    </row>
    <row r="569" spans="2:21" x14ac:dyDescent="0.15">
      <c r="B569" s="57"/>
      <c r="C569" s="57"/>
      <c r="D569" s="57"/>
      <c r="E569" s="57"/>
      <c r="F569" s="57"/>
      <c r="G569" s="57"/>
      <c r="H569" s="57"/>
      <c r="I569" s="57"/>
      <c r="J569" s="57"/>
      <c r="K569" s="57"/>
      <c r="L569" s="57"/>
      <c r="M569" s="57"/>
      <c r="N569" s="57"/>
      <c r="O569" s="57"/>
      <c r="P569" s="57"/>
      <c r="Q569" s="57"/>
      <c r="R569" s="57"/>
      <c r="S569" s="57"/>
      <c r="T569" s="57"/>
      <c r="U569" s="57"/>
    </row>
    <row r="570" spans="2:21" x14ac:dyDescent="0.15">
      <c r="B570" s="57"/>
      <c r="C570" s="57"/>
      <c r="D570" s="57"/>
      <c r="E570" s="57"/>
      <c r="F570" s="57"/>
      <c r="G570" s="57"/>
      <c r="H570" s="57"/>
      <c r="I570" s="57"/>
      <c r="J570" s="57"/>
      <c r="K570" s="57"/>
      <c r="L570" s="57"/>
      <c r="M570" s="57"/>
      <c r="N570" s="57"/>
      <c r="O570" s="57"/>
      <c r="P570" s="57"/>
      <c r="Q570" s="57"/>
      <c r="R570" s="57"/>
      <c r="S570" s="57"/>
      <c r="T570" s="57"/>
      <c r="U570" s="57"/>
    </row>
    <row r="571" spans="2:21" x14ac:dyDescent="0.15">
      <c r="B571" s="57"/>
      <c r="C571" s="57"/>
      <c r="D571" s="57"/>
      <c r="E571" s="57"/>
      <c r="F571" s="57"/>
      <c r="G571" s="57"/>
      <c r="H571" s="57"/>
      <c r="I571" s="57"/>
      <c r="J571" s="57"/>
      <c r="K571" s="57"/>
      <c r="L571" s="57"/>
      <c r="M571" s="57"/>
      <c r="N571" s="57"/>
      <c r="O571" s="57"/>
      <c r="P571" s="57"/>
      <c r="Q571" s="57"/>
      <c r="R571" s="57"/>
      <c r="S571" s="57"/>
      <c r="T571" s="57"/>
      <c r="U571" s="57"/>
    </row>
    <row r="572" spans="2:21" x14ac:dyDescent="0.15">
      <c r="B572" s="57"/>
      <c r="C572" s="57"/>
      <c r="D572" s="57"/>
      <c r="E572" s="57"/>
      <c r="F572" s="57"/>
      <c r="G572" s="57"/>
      <c r="H572" s="57"/>
      <c r="I572" s="57"/>
      <c r="J572" s="57"/>
      <c r="K572" s="57"/>
      <c r="L572" s="57"/>
      <c r="M572" s="57"/>
      <c r="N572" s="57"/>
      <c r="O572" s="57"/>
      <c r="P572" s="57"/>
      <c r="Q572" s="57"/>
      <c r="R572" s="57"/>
      <c r="S572" s="57"/>
      <c r="T572" s="57"/>
      <c r="U572" s="57"/>
    </row>
    <row r="573" spans="2:21" x14ac:dyDescent="0.15">
      <c r="B573" s="57"/>
      <c r="C573" s="57"/>
      <c r="D573" s="57"/>
      <c r="E573" s="57"/>
      <c r="F573" s="57"/>
      <c r="G573" s="57"/>
      <c r="H573" s="57"/>
      <c r="I573" s="57"/>
      <c r="J573" s="57"/>
      <c r="K573" s="57"/>
      <c r="L573" s="57"/>
      <c r="M573" s="57"/>
      <c r="N573" s="57"/>
      <c r="O573" s="57"/>
      <c r="P573" s="57"/>
      <c r="Q573" s="57"/>
      <c r="R573" s="57"/>
      <c r="S573" s="57"/>
      <c r="T573" s="57"/>
      <c r="U573" s="57"/>
    </row>
    <row r="574" spans="2:21" x14ac:dyDescent="0.15">
      <c r="B574" s="57"/>
      <c r="C574" s="57"/>
      <c r="D574" s="57"/>
      <c r="E574" s="57"/>
      <c r="F574" s="57"/>
      <c r="G574" s="57"/>
      <c r="H574" s="57"/>
      <c r="I574" s="57"/>
      <c r="J574" s="57"/>
      <c r="K574" s="57"/>
      <c r="L574" s="57"/>
      <c r="M574" s="57"/>
      <c r="N574" s="57"/>
      <c r="O574" s="57"/>
      <c r="P574" s="57"/>
      <c r="Q574" s="57"/>
      <c r="R574" s="57"/>
      <c r="S574" s="57"/>
      <c r="T574" s="57"/>
      <c r="U574" s="57"/>
    </row>
    <row r="575" spans="2:21" x14ac:dyDescent="0.15">
      <c r="B575" s="57"/>
      <c r="C575" s="57"/>
      <c r="D575" s="57"/>
      <c r="E575" s="57"/>
      <c r="F575" s="57"/>
      <c r="G575" s="57"/>
      <c r="H575" s="57"/>
      <c r="I575" s="57"/>
      <c r="J575" s="57"/>
      <c r="K575" s="57"/>
      <c r="L575" s="57"/>
      <c r="M575" s="57"/>
      <c r="N575" s="57"/>
      <c r="O575" s="57"/>
      <c r="P575" s="57"/>
      <c r="Q575" s="57"/>
      <c r="R575" s="57"/>
      <c r="S575" s="57"/>
      <c r="T575" s="57"/>
      <c r="U575" s="57"/>
    </row>
    <row r="576" spans="2:21" x14ac:dyDescent="0.15">
      <c r="B576" s="57"/>
      <c r="C576" s="57"/>
      <c r="D576" s="57"/>
      <c r="E576" s="57"/>
      <c r="F576" s="57"/>
      <c r="G576" s="57"/>
      <c r="H576" s="57"/>
      <c r="I576" s="57"/>
      <c r="J576" s="57"/>
      <c r="K576" s="57"/>
      <c r="L576" s="57"/>
      <c r="M576" s="57"/>
      <c r="N576" s="57"/>
      <c r="O576" s="57"/>
      <c r="P576" s="57"/>
      <c r="Q576" s="57"/>
      <c r="R576" s="57"/>
      <c r="S576" s="57"/>
      <c r="T576" s="57"/>
      <c r="U576" s="57"/>
    </row>
    <row r="577" spans="2:21" x14ac:dyDescent="0.15">
      <c r="B577" s="57"/>
      <c r="C577" s="57"/>
      <c r="D577" s="57"/>
      <c r="E577" s="57"/>
      <c r="F577" s="57"/>
      <c r="G577" s="57"/>
      <c r="H577" s="57"/>
      <c r="I577" s="57"/>
      <c r="J577" s="57"/>
      <c r="K577" s="57"/>
      <c r="L577" s="57"/>
      <c r="M577" s="57"/>
      <c r="N577" s="57"/>
      <c r="O577" s="57"/>
      <c r="P577" s="57"/>
      <c r="Q577" s="57"/>
      <c r="R577" s="57"/>
      <c r="S577" s="57"/>
      <c r="T577" s="57"/>
      <c r="U577" s="57"/>
    </row>
    <row r="578" spans="2:21" x14ac:dyDescent="0.15">
      <c r="B578" s="57"/>
      <c r="C578" s="57"/>
      <c r="D578" s="57"/>
      <c r="E578" s="57"/>
      <c r="F578" s="57"/>
      <c r="G578" s="57"/>
      <c r="H578" s="57"/>
      <c r="I578" s="57"/>
      <c r="J578" s="57"/>
      <c r="K578" s="57"/>
      <c r="L578" s="57"/>
      <c r="M578" s="57"/>
      <c r="N578" s="57"/>
      <c r="O578" s="57"/>
      <c r="P578" s="57"/>
      <c r="Q578" s="57"/>
      <c r="R578" s="57"/>
      <c r="S578" s="57"/>
      <c r="T578" s="57"/>
      <c r="U578" s="57"/>
    </row>
    <row r="579" spans="2:21" x14ac:dyDescent="0.15">
      <c r="B579" s="57"/>
      <c r="C579" s="57"/>
      <c r="D579" s="57"/>
      <c r="E579" s="57"/>
      <c r="F579" s="57"/>
      <c r="G579" s="57"/>
      <c r="H579" s="57"/>
      <c r="I579" s="57"/>
      <c r="J579" s="57"/>
      <c r="K579" s="57"/>
      <c r="L579" s="57"/>
      <c r="M579" s="57"/>
      <c r="N579" s="57"/>
      <c r="O579" s="57"/>
      <c r="P579" s="57"/>
      <c r="Q579" s="57"/>
      <c r="R579" s="57"/>
      <c r="S579" s="57"/>
      <c r="T579" s="57"/>
      <c r="U579" s="57"/>
    </row>
    <row r="580" spans="2:21" x14ac:dyDescent="0.15">
      <c r="B580" s="57"/>
      <c r="C580" s="57"/>
      <c r="D580" s="57"/>
      <c r="E580" s="57"/>
      <c r="F580" s="57"/>
      <c r="G580" s="57"/>
      <c r="H580" s="57"/>
      <c r="I580" s="57"/>
      <c r="J580" s="57"/>
      <c r="K580" s="57"/>
      <c r="L580" s="57"/>
      <c r="M580" s="57"/>
      <c r="N580" s="57"/>
      <c r="O580" s="57"/>
      <c r="P580" s="57"/>
      <c r="Q580" s="57"/>
      <c r="R580" s="57"/>
      <c r="S580" s="57"/>
      <c r="T580" s="57"/>
      <c r="U580" s="57"/>
    </row>
    <row r="581" spans="2:21" x14ac:dyDescent="0.15">
      <c r="B581" s="57"/>
      <c r="C581" s="57"/>
      <c r="D581" s="57"/>
      <c r="E581" s="57"/>
      <c r="F581" s="57"/>
      <c r="G581" s="57"/>
      <c r="H581" s="57"/>
      <c r="I581" s="57"/>
      <c r="J581" s="57"/>
      <c r="K581" s="57"/>
      <c r="L581" s="57"/>
      <c r="M581" s="57"/>
      <c r="N581" s="57"/>
      <c r="O581" s="57"/>
      <c r="P581" s="57"/>
      <c r="Q581" s="57"/>
      <c r="R581" s="57"/>
      <c r="S581" s="57"/>
      <c r="T581" s="57"/>
      <c r="U581" s="57"/>
    </row>
    <row r="582" spans="2:21" x14ac:dyDescent="0.15">
      <c r="B582" s="57"/>
      <c r="C582" s="57"/>
      <c r="D582" s="57"/>
      <c r="E582" s="57"/>
      <c r="F582" s="57"/>
      <c r="G582" s="57"/>
      <c r="H582" s="57"/>
      <c r="I582" s="57"/>
      <c r="J582" s="57"/>
      <c r="K582" s="57"/>
      <c r="L582" s="57"/>
      <c r="M582" s="57"/>
      <c r="N582" s="57"/>
      <c r="O582" s="57"/>
      <c r="P582" s="57"/>
      <c r="Q582" s="57"/>
      <c r="R582" s="57"/>
      <c r="S582" s="57"/>
      <c r="T582" s="57"/>
      <c r="U582" s="57"/>
    </row>
    <row r="583" spans="2:21" x14ac:dyDescent="0.15">
      <c r="B583" s="57"/>
      <c r="C583" s="57"/>
      <c r="D583" s="57"/>
      <c r="E583" s="57"/>
      <c r="F583" s="57"/>
      <c r="G583" s="57"/>
      <c r="H583" s="57"/>
      <c r="I583" s="57"/>
      <c r="J583" s="57"/>
      <c r="K583" s="57"/>
      <c r="L583" s="57"/>
      <c r="M583" s="57"/>
      <c r="N583" s="57"/>
      <c r="O583" s="57"/>
      <c r="P583" s="57"/>
      <c r="Q583" s="57"/>
      <c r="R583" s="57"/>
      <c r="S583" s="57"/>
      <c r="T583" s="57"/>
      <c r="U583" s="57"/>
    </row>
    <row r="584" spans="2:21" x14ac:dyDescent="0.15">
      <c r="B584" s="57"/>
      <c r="C584" s="57"/>
      <c r="D584" s="57"/>
      <c r="E584" s="57"/>
      <c r="F584" s="57"/>
      <c r="G584" s="57"/>
      <c r="H584" s="57"/>
      <c r="I584" s="57"/>
      <c r="J584" s="57"/>
      <c r="K584" s="57"/>
      <c r="L584" s="57"/>
      <c r="M584" s="57"/>
      <c r="N584" s="57"/>
      <c r="O584" s="57"/>
      <c r="P584" s="57"/>
      <c r="Q584" s="57"/>
      <c r="R584" s="57"/>
      <c r="S584" s="57"/>
      <c r="T584" s="57"/>
      <c r="U584" s="57"/>
    </row>
    <row r="585" spans="2:21" x14ac:dyDescent="0.15">
      <c r="B585" s="57"/>
      <c r="C585" s="57"/>
      <c r="D585" s="57"/>
      <c r="E585" s="57"/>
      <c r="F585" s="57"/>
      <c r="G585" s="57"/>
      <c r="H585" s="57"/>
      <c r="I585" s="57"/>
      <c r="J585" s="57"/>
      <c r="K585" s="57"/>
      <c r="L585" s="57"/>
      <c r="M585" s="57"/>
      <c r="N585" s="57"/>
      <c r="O585" s="57"/>
      <c r="P585" s="57"/>
      <c r="Q585" s="57"/>
      <c r="R585" s="57"/>
      <c r="S585" s="57"/>
      <c r="T585" s="57"/>
      <c r="U585" s="57"/>
    </row>
    <row r="586" spans="2:21" x14ac:dyDescent="0.15">
      <c r="B586" s="57"/>
      <c r="C586" s="57"/>
      <c r="D586" s="57"/>
      <c r="E586" s="57"/>
      <c r="F586" s="57"/>
      <c r="G586" s="57"/>
      <c r="H586" s="57"/>
      <c r="I586" s="57"/>
      <c r="J586" s="57"/>
      <c r="K586" s="57"/>
      <c r="L586" s="57"/>
      <c r="M586" s="57"/>
      <c r="N586" s="57"/>
      <c r="O586" s="57"/>
      <c r="P586" s="57"/>
      <c r="Q586" s="57"/>
      <c r="R586" s="57"/>
      <c r="S586" s="57"/>
      <c r="T586" s="57"/>
      <c r="U586" s="57"/>
    </row>
    <row r="587" spans="2:21" x14ac:dyDescent="0.15">
      <c r="B587" s="57"/>
      <c r="C587" s="57"/>
      <c r="D587" s="57"/>
      <c r="E587" s="57"/>
      <c r="F587" s="57"/>
      <c r="G587" s="57"/>
      <c r="H587" s="57"/>
      <c r="I587" s="57"/>
      <c r="J587" s="57"/>
      <c r="K587" s="57"/>
      <c r="L587" s="57"/>
      <c r="M587" s="57"/>
      <c r="N587" s="57"/>
      <c r="O587" s="57"/>
      <c r="P587" s="57"/>
      <c r="Q587" s="57"/>
      <c r="R587" s="57"/>
      <c r="S587" s="57"/>
      <c r="T587" s="57"/>
      <c r="U587" s="57"/>
    </row>
    <row r="588" spans="2:21" x14ac:dyDescent="0.15">
      <c r="B588" s="57"/>
      <c r="C588" s="57"/>
      <c r="D588" s="57"/>
      <c r="E588" s="57"/>
      <c r="F588" s="57"/>
      <c r="G588" s="57"/>
      <c r="H588" s="57"/>
      <c r="I588" s="57"/>
      <c r="J588" s="57"/>
      <c r="K588" s="57"/>
      <c r="L588" s="57"/>
      <c r="M588" s="57"/>
      <c r="N588" s="57"/>
      <c r="O588" s="57"/>
      <c r="P588" s="57"/>
      <c r="Q588" s="57"/>
      <c r="R588" s="57"/>
      <c r="S588" s="57"/>
      <c r="T588" s="57"/>
      <c r="U588" s="57"/>
    </row>
    <row r="589" spans="2:21" x14ac:dyDescent="0.15">
      <c r="B589" s="57"/>
      <c r="C589" s="57"/>
      <c r="D589" s="57"/>
      <c r="E589" s="57"/>
      <c r="F589" s="57"/>
      <c r="G589" s="57"/>
      <c r="H589" s="57"/>
      <c r="I589" s="57"/>
      <c r="J589" s="57"/>
      <c r="K589" s="57"/>
      <c r="L589" s="57"/>
      <c r="M589" s="57"/>
      <c r="N589" s="57"/>
      <c r="O589" s="57"/>
      <c r="P589" s="57"/>
      <c r="Q589" s="57"/>
      <c r="R589" s="57"/>
      <c r="S589" s="57"/>
      <c r="T589" s="57"/>
      <c r="U589" s="57"/>
    </row>
    <row r="590" spans="2:21" x14ac:dyDescent="0.15">
      <c r="B590" s="57"/>
      <c r="C590" s="57"/>
      <c r="D590" s="57"/>
      <c r="E590" s="57"/>
      <c r="F590" s="57"/>
      <c r="G590" s="57"/>
      <c r="H590" s="57"/>
      <c r="I590" s="57"/>
      <c r="J590" s="57"/>
      <c r="K590" s="57"/>
      <c r="L590" s="57"/>
      <c r="M590" s="57"/>
      <c r="N590" s="57"/>
      <c r="O590" s="57"/>
      <c r="P590" s="57"/>
      <c r="Q590" s="57"/>
      <c r="R590" s="57"/>
      <c r="S590" s="57"/>
      <c r="T590" s="57"/>
      <c r="U590" s="57"/>
    </row>
    <row r="591" spans="2:21" x14ac:dyDescent="0.15">
      <c r="B591" s="57"/>
      <c r="C591" s="57"/>
      <c r="D591" s="57"/>
      <c r="E591" s="57"/>
      <c r="F591" s="57"/>
      <c r="G591" s="57"/>
      <c r="H591" s="57"/>
      <c r="I591" s="57"/>
      <c r="J591" s="57"/>
      <c r="K591" s="57"/>
      <c r="L591" s="57"/>
      <c r="M591" s="57"/>
      <c r="N591" s="57"/>
      <c r="O591" s="57"/>
      <c r="P591" s="57"/>
      <c r="Q591" s="57"/>
      <c r="R591" s="57"/>
      <c r="S591" s="57"/>
      <c r="T591" s="57"/>
      <c r="U591" s="57"/>
    </row>
    <row r="592" spans="2:21" x14ac:dyDescent="0.15">
      <c r="B592" s="57"/>
      <c r="C592" s="57"/>
      <c r="D592" s="57"/>
      <c r="E592" s="57"/>
      <c r="F592" s="57"/>
      <c r="G592" s="57"/>
      <c r="H592" s="57"/>
      <c r="I592" s="57"/>
      <c r="J592" s="57"/>
      <c r="K592" s="57"/>
      <c r="L592" s="57"/>
      <c r="M592" s="57"/>
      <c r="N592" s="57"/>
      <c r="O592" s="57"/>
      <c r="P592" s="57"/>
      <c r="Q592" s="57"/>
      <c r="R592" s="57"/>
      <c r="S592" s="57"/>
      <c r="T592" s="57"/>
      <c r="U592" s="57"/>
    </row>
    <row r="593" spans="2:21" x14ac:dyDescent="0.15">
      <c r="B593" s="57"/>
      <c r="C593" s="57"/>
      <c r="D593" s="57"/>
      <c r="E593" s="57"/>
      <c r="F593" s="57"/>
      <c r="G593" s="57"/>
      <c r="H593" s="57"/>
      <c r="I593" s="57"/>
      <c r="J593" s="57"/>
      <c r="K593" s="57"/>
      <c r="L593" s="57"/>
      <c r="M593" s="57"/>
      <c r="N593" s="57"/>
      <c r="O593" s="57"/>
      <c r="P593" s="57"/>
      <c r="Q593" s="57"/>
      <c r="R593" s="57"/>
      <c r="S593" s="57"/>
      <c r="T593" s="57"/>
      <c r="U593" s="57"/>
    </row>
    <row r="594" spans="2:21" x14ac:dyDescent="0.15">
      <c r="B594" s="57"/>
      <c r="C594" s="57"/>
      <c r="D594" s="57"/>
      <c r="E594" s="57"/>
      <c r="F594" s="57"/>
      <c r="G594" s="57"/>
      <c r="H594" s="57"/>
      <c r="I594" s="57"/>
      <c r="J594" s="57"/>
      <c r="K594" s="57"/>
      <c r="L594" s="57"/>
      <c r="M594" s="57"/>
      <c r="N594" s="57"/>
      <c r="O594" s="57"/>
      <c r="P594" s="57"/>
      <c r="Q594" s="57"/>
      <c r="R594" s="57"/>
      <c r="S594" s="57"/>
      <c r="T594" s="57"/>
      <c r="U594" s="57"/>
    </row>
    <row r="595" spans="2:21" x14ac:dyDescent="0.15">
      <c r="B595" s="57"/>
      <c r="C595" s="57"/>
      <c r="D595" s="57"/>
      <c r="E595" s="57"/>
      <c r="F595" s="57"/>
      <c r="G595" s="57"/>
      <c r="H595" s="57"/>
      <c r="I595" s="57"/>
      <c r="J595" s="57"/>
      <c r="K595" s="57"/>
      <c r="L595" s="57"/>
      <c r="M595" s="57"/>
      <c r="N595" s="57"/>
      <c r="O595" s="57"/>
      <c r="P595" s="57"/>
      <c r="Q595" s="57"/>
      <c r="R595" s="57"/>
      <c r="S595" s="57"/>
      <c r="T595" s="57"/>
      <c r="U595" s="57"/>
    </row>
    <row r="596" spans="2:21" x14ac:dyDescent="0.15">
      <c r="B596" s="57"/>
      <c r="C596" s="57"/>
      <c r="D596" s="57"/>
      <c r="E596" s="57"/>
      <c r="F596" s="57"/>
      <c r="G596" s="57"/>
      <c r="H596" s="57"/>
      <c r="I596" s="57"/>
      <c r="J596" s="57"/>
      <c r="K596" s="57"/>
      <c r="L596" s="57"/>
      <c r="M596" s="57"/>
      <c r="N596" s="57"/>
      <c r="O596" s="57"/>
      <c r="P596" s="57"/>
      <c r="Q596" s="57"/>
      <c r="R596" s="57"/>
      <c r="S596" s="57"/>
      <c r="T596" s="57"/>
      <c r="U596" s="57"/>
    </row>
    <row r="597" spans="2:21" x14ac:dyDescent="0.15">
      <c r="B597" s="57"/>
      <c r="C597" s="57"/>
      <c r="D597" s="57"/>
      <c r="E597" s="57"/>
      <c r="F597" s="57"/>
      <c r="G597" s="57"/>
      <c r="H597" s="57"/>
      <c r="I597" s="57"/>
      <c r="J597" s="57"/>
      <c r="K597" s="57"/>
      <c r="L597" s="57"/>
      <c r="M597" s="57"/>
      <c r="N597" s="57"/>
      <c r="O597" s="57"/>
      <c r="P597" s="57"/>
      <c r="Q597" s="57"/>
      <c r="R597" s="57"/>
      <c r="S597" s="57"/>
      <c r="T597" s="57"/>
      <c r="U597" s="57"/>
    </row>
    <row r="598" spans="2:21" x14ac:dyDescent="0.15">
      <c r="B598" s="57"/>
      <c r="C598" s="57"/>
      <c r="D598" s="57"/>
      <c r="E598" s="57"/>
      <c r="F598" s="57"/>
      <c r="G598" s="57"/>
      <c r="H598" s="57"/>
      <c r="I598" s="57"/>
      <c r="J598" s="57"/>
      <c r="K598" s="57"/>
      <c r="L598" s="57"/>
      <c r="M598" s="57"/>
      <c r="N598" s="57"/>
      <c r="O598" s="57"/>
      <c r="P598" s="57"/>
      <c r="Q598" s="57"/>
      <c r="R598" s="57"/>
      <c r="S598" s="57"/>
      <c r="T598" s="57"/>
      <c r="U598" s="57"/>
    </row>
    <row r="599" spans="2:21" x14ac:dyDescent="0.15">
      <c r="B599" s="57"/>
      <c r="C599" s="57"/>
      <c r="D599" s="57"/>
      <c r="E599" s="57"/>
      <c r="F599" s="57"/>
      <c r="G599" s="57"/>
      <c r="H599" s="57"/>
      <c r="I599" s="57"/>
      <c r="J599" s="57"/>
      <c r="K599" s="57"/>
      <c r="L599" s="57"/>
      <c r="M599" s="57"/>
      <c r="N599" s="57"/>
      <c r="O599" s="57"/>
      <c r="P599" s="57"/>
      <c r="Q599" s="57"/>
      <c r="R599" s="57"/>
      <c r="S599" s="57"/>
      <c r="T599" s="57"/>
      <c r="U599" s="57"/>
    </row>
    <row r="600" spans="2:21" x14ac:dyDescent="0.15">
      <c r="B600" s="57"/>
      <c r="C600" s="57"/>
      <c r="D600" s="57"/>
      <c r="E600" s="57"/>
      <c r="F600" s="57"/>
      <c r="G600" s="57"/>
      <c r="H600" s="57"/>
      <c r="I600" s="57"/>
      <c r="J600" s="57"/>
      <c r="K600" s="57"/>
      <c r="L600" s="57"/>
      <c r="M600" s="57"/>
      <c r="N600" s="57"/>
      <c r="O600" s="57"/>
      <c r="P600" s="57"/>
      <c r="Q600" s="57"/>
      <c r="R600" s="57"/>
      <c r="S600" s="57"/>
      <c r="T600" s="57"/>
      <c r="U600" s="57"/>
    </row>
    <row r="601" spans="2:21" x14ac:dyDescent="0.15">
      <c r="B601" s="57"/>
      <c r="C601" s="57"/>
      <c r="D601" s="57"/>
      <c r="E601" s="57"/>
      <c r="F601" s="57"/>
      <c r="G601" s="57"/>
      <c r="H601" s="57"/>
      <c r="I601" s="57"/>
      <c r="J601" s="57"/>
      <c r="K601" s="57"/>
      <c r="L601" s="57"/>
      <c r="M601" s="57"/>
      <c r="N601" s="57"/>
      <c r="O601" s="57"/>
      <c r="P601" s="57"/>
      <c r="Q601" s="57"/>
      <c r="R601" s="57"/>
      <c r="S601" s="57"/>
      <c r="T601" s="57"/>
      <c r="U601" s="57"/>
    </row>
    <row r="602" spans="2:21" x14ac:dyDescent="0.15">
      <c r="B602" s="57"/>
      <c r="C602" s="57"/>
      <c r="D602" s="57"/>
      <c r="E602" s="57"/>
      <c r="F602" s="57"/>
      <c r="G602" s="57"/>
      <c r="H602" s="57"/>
      <c r="I602" s="57"/>
      <c r="J602" s="57"/>
      <c r="K602" s="57"/>
      <c r="L602" s="57"/>
      <c r="M602" s="57"/>
      <c r="N602" s="57"/>
      <c r="O602" s="57"/>
      <c r="P602" s="57"/>
      <c r="Q602" s="57"/>
      <c r="R602" s="57"/>
      <c r="S602" s="57"/>
      <c r="T602" s="57"/>
      <c r="U602" s="57"/>
    </row>
    <row r="603" spans="2:21" x14ac:dyDescent="0.15">
      <c r="B603" s="57"/>
      <c r="C603" s="57"/>
      <c r="D603" s="57"/>
      <c r="E603" s="57"/>
      <c r="F603" s="57"/>
      <c r="G603" s="57"/>
      <c r="H603" s="57"/>
      <c r="I603" s="57"/>
      <c r="J603" s="57"/>
      <c r="K603" s="57"/>
      <c r="L603" s="57"/>
      <c r="M603" s="57"/>
      <c r="N603" s="57"/>
      <c r="O603" s="57"/>
      <c r="P603" s="57"/>
      <c r="Q603" s="57"/>
      <c r="R603" s="57"/>
      <c r="S603" s="57"/>
      <c r="T603" s="57"/>
      <c r="U603" s="57"/>
    </row>
    <row r="604" spans="2:21" x14ac:dyDescent="0.15">
      <c r="B604" s="57"/>
      <c r="C604" s="57"/>
      <c r="D604" s="57"/>
      <c r="E604" s="57"/>
      <c r="F604" s="57"/>
      <c r="G604" s="57"/>
      <c r="H604" s="57"/>
      <c r="I604" s="57"/>
      <c r="J604" s="57"/>
      <c r="K604" s="57"/>
      <c r="L604" s="57"/>
      <c r="M604" s="57"/>
      <c r="N604" s="57"/>
      <c r="O604" s="57"/>
      <c r="P604" s="57"/>
      <c r="Q604" s="57"/>
      <c r="R604" s="57"/>
      <c r="S604" s="57"/>
      <c r="T604" s="57"/>
      <c r="U604" s="57"/>
    </row>
  </sheetData>
  <mergeCells count="16">
    <mergeCell ref="H4:J4"/>
    <mergeCell ref="K4:M4"/>
    <mergeCell ref="A1:U1"/>
    <mergeCell ref="B2:U2"/>
    <mergeCell ref="Z2:AA2"/>
    <mergeCell ref="H3:J3"/>
    <mergeCell ref="K3:M3"/>
    <mergeCell ref="W2:Y2"/>
    <mergeCell ref="W32:Y32"/>
    <mergeCell ref="W62:Y62"/>
    <mergeCell ref="H63:J63"/>
    <mergeCell ref="K63:M63"/>
    <mergeCell ref="B62:U62"/>
    <mergeCell ref="B32:U32"/>
    <mergeCell ref="H33:J33"/>
    <mergeCell ref="K33:M33"/>
  </mergeCells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2A6789-0192-594B-800C-AEFA1907809B}">
  <dimension ref="A1:AC604"/>
  <sheetViews>
    <sheetView zoomScaleNormal="100" workbookViewId="0">
      <selection sqref="A1:U1"/>
    </sheetView>
  </sheetViews>
  <sheetFormatPr baseColWidth="10" defaultColWidth="9.1640625" defaultRowHeight="13" x14ac:dyDescent="0.15"/>
  <cols>
    <col min="1" max="1" width="76.5" style="5" customWidth="1"/>
    <col min="2" max="2" width="10.33203125" style="5" bestFit="1" customWidth="1"/>
    <col min="3" max="10" width="9.1640625" style="5"/>
    <col min="11" max="14" width="9.6640625" style="5" bestFit="1" customWidth="1"/>
    <col min="15" max="15" width="12.1640625" style="5" customWidth="1"/>
    <col min="16" max="16" width="12.5" style="5" bestFit="1" customWidth="1"/>
    <col min="17" max="18" width="13.6640625" style="5" customWidth="1"/>
    <col min="19" max="19" width="14.5" style="5" customWidth="1"/>
    <col min="20" max="21" width="10.5" style="5" bestFit="1" customWidth="1"/>
    <col min="22" max="23" width="9.1640625" style="5"/>
    <col min="24" max="24" width="12.33203125" style="5" customWidth="1"/>
    <col min="25" max="16384" width="9.1640625" style="5"/>
  </cols>
  <sheetData>
    <row r="1" spans="1:29" ht="17" thickBot="1" x14ac:dyDescent="0.2">
      <c r="A1" s="266" t="s">
        <v>104</v>
      </c>
      <c r="B1" s="267"/>
      <c r="C1" s="267"/>
      <c r="D1" s="267"/>
      <c r="E1" s="267"/>
      <c r="F1" s="267"/>
      <c r="G1" s="267"/>
      <c r="H1" s="267"/>
      <c r="I1" s="267"/>
      <c r="J1" s="267"/>
      <c r="K1" s="267"/>
      <c r="L1" s="267"/>
      <c r="M1" s="267"/>
      <c r="N1" s="267"/>
      <c r="O1" s="267"/>
      <c r="P1" s="267"/>
      <c r="Q1" s="267"/>
      <c r="R1" s="267"/>
      <c r="S1" s="267"/>
      <c r="T1" s="267"/>
      <c r="U1" s="268"/>
    </row>
    <row r="2" spans="1:29" ht="16" customHeight="1" thickBot="1" x14ac:dyDescent="0.2">
      <c r="A2" s="155"/>
      <c r="B2" s="261" t="s">
        <v>69</v>
      </c>
      <c r="C2" s="262"/>
      <c r="D2" s="262"/>
      <c r="E2" s="262"/>
      <c r="F2" s="262"/>
      <c r="G2" s="262"/>
      <c r="H2" s="262"/>
      <c r="I2" s="262"/>
      <c r="J2" s="262"/>
      <c r="K2" s="262"/>
      <c r="L2" s="262"/>
      <c r="M2" s="262"/>
      <c r="N2" s="262"/>
      <c r="O2" s="262"/>
      <c r="P2" s="262"/>
      <c r="Q2" s="262"/>
      <c r="R2" s="262"/>
      <c r="S2" s="262"/>
      <c r="T2" s="262"/>
      <c r="U2" s="263"/>
      <c r="W2" s="257" t="s">
        <v>113</v>
      </c>
      <c r="X2" s="257"/>
      <c r="Y2" s="257"/>
      <c r="Z2" s="257"/>
      <c r="AA2" s="257"/>
    </row>
    <row r="3" spans="1:29" ht="33.75" customHeight="1" x14ac:dyDescent="0.15">
      <c r="A3" s="46"/>
      <c r="B3" s="114" t="s">
        <v>0</v>
      </c>
      <c r="C3" s="66" t="s">
        <v>1</v>
      </c>
      <c r="D3" s="66" t="s">
        <v>2</v>
      </c>
      <c r="E3" s="117" t="s">
        <v>17</v>
      </c>
      <c r="F3" s="116"/>
      <c r="G3" s="116" t="s">
        <v>18</v>
      </c>
      <c r="H3" s="258" t="s">
        <v>99</v>
      </c>
      <c r="I3" s="259"/>
      <c r="J3" s="259"/>
      <c r="K3" s="260" t="s">
        <v>100</v>
      </c>
      <c r="L3" s="260"/>
      <c r="M3" s="260"/>
      <c r="N3" s="66" t="s">
        <v>20</v>
      </c>
      <c r="O3" s="66" t="s">
        <v>21</v>
      </c>
      <c r="P3" s="66" t="s">
        <v>21</v>
      </c>
      <c r="Q3" s="66" t="s">
        <v>101</v>
      </c>
      <c r="R3" s="117" t="s">
        <v>101</v>
      </c>
      <c r="S3" s="66" t="s">
        <v>102</v>
      </c>
      <c r="T3" s="66" t="s">
        <v>89</v>
      </c>
      <c r="U3" s="115" t="s">
        <v>71</v>
      </c>
      <c r="W3" s="57" t="s">
        <v>2</v>
      </c>
      <c r="X3" s="76" t="str">
        <f>S3</f>
        <v>Average NO3 concentration</v>
      </c>
      <c r="Y3" s="76" t="str">
        <f>U3</f>
        <v>Standard error</v>
      </c>
      <c r="Z3" s="57"/>
      <c r="AA3" s="118"/>
      <c r="AB3" s="118"/>
      <c r="AC3" s="118"/>
    </row>
    <row r="4" spans="1:29" ht="15" customHeight="1" x14ac:dyDescent="0.15">
      <c r="A4" s="46"/>
      <c r="B4" s="119"/>
      <c r="C4" s="156"/>
      <c r="D4" s="157"/>
      <c r="E4" s="157"/>
      <c r="F4" s="120"/>
      <c r="G4" s="120"/>
      <c r="H4" s="264" t="s">
        <v>13</v>
      </c>
      <c r="I4" s="264"/>
      <c r="J4" s="265"/>
      <c r="K4" s="219" t="s">
        <v>22</v>
      </c>
      <c r="L4" s="221"/>
      <c r="M4" s="220"/>
      <c r="N4" s="74" t="s">
        <v>22</v>
      </c>
      <c r="O4" s="74" t="s">
        <v>15</v>
      </c>
      <c r="P4" s="74" t="s">
        <v>23</v>
      </c>
      <c r="Q4" s="74" t="s">
        <v>23</v>
      </c>
      <c r="R4" s="72" t="s">
        <v>15</v>
      </c>
      <c r="S4" s="74" t="s">
        <v>15</v>
      </c>
      <c r="T4" s="74"/>
      <c r="U4" s="70"/>
      <c r="W4" s="84">
        <v>0</v>
      </c>
      <c r="X4" s="78">
        <f>S7</f>
        <v>1.5605082717460317</v>
      </c>
      <c r="Y4" s="78">
        <f>U7</f>
        <v>4.5630501841004312E-2</v>
      </c>
      <c r="Z4" s="78"/>
      <c r="AA4" s="118"/>
      <c r="AB4" s="118"/>
      <c r="AC4" s="118"/>
    </row>
    <row r="5" spans="1:29" x14ac:dyDescent="0.15">
      <c r="A5" s="46"/>
      <c r="B5" s="173" t="s">
        <v>24</v>
      </c>
      <c r="C5" s="170">
        <v>0.47916666666666669</v>
      </c>
      <c r="D5" s="84">
        <v>0</v>
      </c>
      <c r="E5" s="57">
        <v>1</v>
      </c>
      <c r="F5" s="105" t="s">
        <v>105</v>
      </c>
      <c r="G5" s="174">
        <v>6.4666666666666664E-2</v>
      </c>
      <c r="H5" s="176">
        <f>1.887-G5</f>
        <v>1.8223333333333334</v>
      </c>
      <c r="I5" s="177">
        <f>1.873-G5</f>
        <v>1.8083333333333333</v>
      </c>
      <c r="J5" s="177">
        <f>1.972-G5</f>
        <v>1.9073333333333333</v>
      </c>
      <c r="K5" s="78">
        <f>3.0288*H5</f>
        <v>5.5194831999999998</v>
      </c>
      <c r="L5" s="78">
        <f t="shared" ref="L5:M7" si="0">3.0288*I5</f>
        <v>5.4770799999999999</v>
      </c>
      <c r="M5" s="78">
        <f t="shared" si="0"/>
        <v>5.7769311999999999</v>
      </c>
      <c r="N5" s="78">
        <f>AVERAGE(K5:M5)</f>
        <v>5.5911648000000005</v>
      </c>
      <c r="O5" s="78">
        <f>N5/15</f>
        <v>0.37274432000000002</v>
      </c>
      <c r="P5" s="78">
        <f>O5/14</f>
        <v>2.6624594285714287E-2</v>
      </c>
      <c r="Q5" s="78">
        <f>P5</f>
        <v>2.6624594285714287E-2</v>
      </c>
      <c r="R5" s="78">
        <f>Q5*62</f>
        <v>1.6507248457142858</v>
      </c>
      <c r="S5" s="158"/>
      <c r="T5" s="57"/>
      <c r="U5" s="83"/>
      <c r="W5" s="84">
        <f>D8</f>
        <v>46.5</v>
      </c>
      <c r="X5" s="78">
        <f>S10</f>
        <v>1.4884624740740742</v>
      </c>
      <c r="Y5" s="78">
        <f>U10</f>
        <v>1.6403955461898174E-2</v>
      </c>
      <c r="Z5" s="78"/>
      <c r="AA5" s="154"/>
      <c r="AB5" s="154"/>
      <c r="AC5" s="154"/>
    </row>
    <row r="6" spans="1:29" x14ac:dyDescent="0.15">
      <c r="A6" s="46"/>
      <c r="B6" s="59"/>
      <c r="C6" s="170"/>
      <c r="D6" s="84"/>
      <c r="E6" s="57"/>
      <c r="F6" s="105" t="s">
        <v>106</v>
      </c>
      <c r="G6" s="134"/>
      <c r="H6" s="77">
        <f>1.696-G5</f>
        <v>1.6313333333333333</v>
      </c>
      <c r="I6" s="78">
        <f>1.765-G5</f>
        <v>1.7003333333333333</v>
      </c>
      <c r="J6" s="78">
        <f>1.777-G5</f>
        <v>1.7123333333333333</v>
      </c>
      <c r="K6" s="78">
        <f t="shared" ref="K6:K7" si="1">3.0288*H6</f>
        <v>4.9409824000000002</v>
      </c>
      <c r="L6" s="78">
        <f t="shared" si="0"/>
        <v>5.1499695999999995</v>
      </c>
      <c r="M6" s="78">
        <f t="shared" si="0"/>
        <v>5.1863151999999992</v>
      </c>
      <c r="N6" s="78">
        <f>AVERAGE(K6:M6)</f>
        <v>5.0924223999999993</v>
      </c>
      <c r="O6" s="78">
        <f t="shared" ref="O6:O10" si="2">N6/15</f>
        <v>0.33949482666666664</v>
      </c>
      <c r="P6" s="78">
        <f t="shared" ref="P6:P31" si="3">O6/14</f>
        <v>2.4249630476190474E-2</v>
      </c>
      <c r="Q6" s="78">
        <f t="shared" ref="Q6:Q31" si="4">P6</f>
        <v>2.4249630476190474E-2</v>
      </c>
      <c r="R6" s="78">
        <f t="shared" ref="R6:R31" si="5">Q6*62</f>
        <v>1.5034770895238094</v>
      </c>
      <c r="S6" s="158"/>
      <c r="T6" s="57"/>
      <c r="U6" s="83"/>
      <c r="W6" s="84">
        <f>D11</f>
        <v>97.366666666666674</v>
      </c>
      <c r="X6" s="78">
        <f>S13</f>
        <v>1.42069187</v>
      </c>
      <c r="Y6" s="78">
        <f>U13</f>
        <v>5.5525274853632713E-2</v>
      </c>
      <c r="Z6" s="78"/>
      <c r="AA6" s="154"/>
      <c r="AB6" s="154"/>
      <c r="AC6" s="154"/>
    </row>
    <row r="7" spans="1:29" x14ac:dyDescent="0.15">
      <c r="A7" s="46"/>
      <c r="B7" s="59"/>
      <c r="C7" s="170"/>
      <c r="D7" s="84"/>
      <c r="E7" s="57"/>
      <c r="F7" s="105" t="s">
        <v>107</v>
      </c>
      <c r="G7" s="134"/>
      <c r="H7" s="77">
        <f>1.76-G5</f>
        <v>1.6953333333333334</v>
      </c>
      <c r="I7" s="78">
        <f>1.763-G5</f>
        <v>1.6983333333333333</v>
      </c>
      <c r="J7" s="78">
        <f>1.795-G5</f>
        <v>1.7303333333333333</v>
      </c>
      <c r="K7" s="78">
        <f t="shared" si="1"/>
        <v>5.1348256000000001</v>
      </c>
      <c r="L7" s="78">
        <f t="shared" si="0"/>
        <v>5.1439119999999994</v>
      </c>
      <c r="M7" s="78">
        <f t="shared" si="0"/>
        <v>5.2408335999999993</v>
      </c>
      <c r="N7" s="78">
        <f>AVERAGE(K7:M7)</f>
        <v>5.1731903999999993</v>
      </c>
      <c r="O7" s="78">
        <f t="shared" si="2"/>
        <v>0.34487935999999997</v>
      </c>
      <c r="P7" s="78">
        <f t="shared" si="3"/>
        <v>2.4634239999999998E-2</v>
      </c>
      <c r="Q7" s="78">
        <f t="shared" si="4"/>
        <v>2.4634239999999998E-2</v>
      </c>
      <c r="R7" s="78">
        <f t="shared" si="5"/>
        <v>1.5273228799999998</v>
      </c>
      <c r="S7" s="159">
        <f>AVERAGE(R5:R7)</f>
        <v>1.5605082717460317</v>
      </c>
      <c r="T7" s="78">
        <f>STDEV(R5:R7)</f>
        <v>7.9034347563484653E-2</v>
      </c>
      <c r="U7" s="121">
        <f>T7/SQRT(3)</f>
        <v>4.5630501841004312E-2</v>
      </c>
      <c r="W7" s="84">
        <f>D14</f>
        <v>141.85000000000002</v>
      </c>
      <c r="X7" s="78">
        <f>S16</f>
        <v>1.2700350388888888</v>
      </c>
      <c r="Y7" s="78">
        <f>U16</f>
        <v>2.4898045059288419E-2</v>
      </c>
      <c r="Z7" s="78"/>
      <c r="AA7" s="154"/>
      <c r="AB7" s="154"/>
      <c r="AC7" s="154"/>
    </row>
    <row r="8" spans="1:29" x14ac:dyDescent="0.15">
      <c r="A8" s="46"/>
      <c r="B8" s="173" t="s">
        <v>26</v>
      </c>
      <c r="C8" s="170">
        <v>0.41666666666666669</v>
      </c>
      <c r="D8" s="84">
        <v>46.5</v>
      </c>
      <c r="E8" s="57">
        <v>3</v>
      </c>
      <c r="F8" s="105" t="s">
        <v>105</v>
      </c>
      <c r="G8" s="174">
        <v>7.4333333333333321E-2</v>
      </c>
      <c r="H8" s="96">
        <f>1.835-G8</f>
        <v>1.7606666666666666</v>
      </c>
      <c r="I8" s="97">
        <f>1.637-G8</f>
        <v>1.5626666666666666</v>
      </c>
      <c r="J8" s="97">
        <f>1.779-G8</f>
        <v>1.7046666666666666</v>
      </c>
      <c r="K8" s="78">
        <f>3.0065*H8</f>
        <v>5.2934443333333334</v>
      </c>
      <c r="L8" s="78">
        <f t="shared" ref="L8:M10" si="6">3.0065*I8</f>
        <v>4.6981573333333335</v>
      </c>
      <c r="M8" s="78">
        <f t="shared" si="6"/>
        <v>5.125080333333333</v>
      </c>
      <c r="N8" s="78">
        <f t="shared" ref="N8:N31" si="7">AVERAGE(K8:M8)</f>
        <v>5.038894</v>
      </c>
      <c r="O8" s="78">
        <f t="shared" si="2"/>
        <v>0.33592626666666664</v>
      </c>
      <c r="P8" s="78">
        <f t="shared" si="3"/>
        <v>2.399473333333333E-2</v>
      </c>
      <c r="Q8" s="78">
        <f t="shared" si="4"/>
        <v>2.399473333333333E-2</v>
      </c>
      <c r="R8" s="78">
        <f t="shared" si="5"/>
        <v>1.4876734666666664</v>
      </c>
      <c r="S8" s="122"/>
      <c r="T8" s="97"/>
      <c r="U8" s="123"/>
      <c r="W8" s="84">
        <f>D17</f>
        <v>190.53333333333336</v>
      </c>
      <c r="X8" s="78">
        <f>S19</f>
        <v>1.0644865619047621</v>
      </c>
      <c r="Y8" s="78">
        <f>U19</f>
        <v>3.213385249892891E-2</v>
      </c>
      <c r="Z8" s="78"/>
      <c r="AA8" s="154"/>
      <c r="AB8" s="154"/>
      <c r="AC8" s="154"/>
    </row>
    <row r="9" spans="1:29" x14ac:dyDescent="0.15">
      <c r="A9" s="46"/>
      <c r="B9" s="59"/>
      <c r="C9" s="170"/>
      <c r="D9" s="84"/>
      <c r="E9" s="57"/>
      <c r="F9" s="105" t="s">
        <v>106</v>
      </c>
      <c r="G9" s="134"/>
      <c r="H9" s="77">
        <f>1.807-G8</f>
        <v>1.7326666666666666</v>
      </c>
      <c r="I9" s="78">
        <f>1.78-G8</f>
        <v>1.7056666666666667</v>
      </c>
      <c r="J9" s="78">
        <f>1.764-G8</f>
        <v>1.6896666666666667</v>
      </c>
      <c r="K9" s="78">
        <f t="shared" ref="K9:K10" si="8">3.0065*H9</f>
        <v>5.2092623333333332</v>
      </c>
      <c r="L9" s="78">
        <f t="shared" si="6"/>
        <v>5.1280868333333336</v>
      </c>
      <c r="M9" s="78">
        <f t="shared" si="6"/>
        <v>5.0799828333333332</v>
      </c>
      <c r="N9" s="78">
        <f t="shared" si="7"/>
        <v>5.1391106666666664</v>
      </c>
      <c r="O9" s="78">
        <f t="shared" si="2"/>
        <v>0.34260737777777778</v>
      </c>
      <c r="P9" s="78">
        <f t="shared" si="3"/>
        <v>2.4471955555555557E-2</v>
      </c>
      <c r="Q9" s="78">
        <f t="shared" si="4"/>
        <v>2.4471955555555557E-2</v>
      </c>
      <c r="R9" s="78">
        <f t="shared" si="5"/>
        <v>1.5172612444444444</v>
      </c>
      <c r="S9" s="159"/>
      <c r="T9" s="78"/>
      <c r="U9" s="121"/>
      <c r="W9" s="84">
        <f>D20</f>
        <v>238.93333333333334</v>
      </c>
      <c r="X9" s="78">
        <f>S22</f>
        <v>0.94528380206349227</v>
      </c>
      <c r="Y9" s="78">
        <f>U22</f>
        <v>4.0124930934083522E-2</v>
      </c>
      <c r="Z9" s="78"/>
      <c r="AA9" s="154"/>
      <c r="AB9" s="154"/>
      <c r="AC9" s="154"/>
    </row>
    <row r="10" spans="1:29" x14ac:dyDescent="0.15">
      <c r="A10" s="46"/>
      <c r="B10" s="59"/>
      <c r="C10" s="170"/>
      <c r="D10" s="84"/>
      <c r="E10" s="57"/>
      <c r="F10" s="105" t="s">
        <v>107</v>
      </c>
      <c r="G10" s="134"/>
      <c r="H10" s="77">
        <f>1.794-G8</f>
        <v>1.7196666666666667</v>
      </c>
      <c r="I10" s="78">
        <f>1.693-G8</f>
        <v>1.6186666666666667</v>
      </c>
      <c r="J10" s="78">
        <f>1.672-G8</f>
        <v>1.5976666666666666</v>
      </c>
      <c r="K10" s="78">
        <f t="shared" si="8"/>
        <v>5.1701778333333337</v>
      </c>
      <c r="L10" s="78">
        <f t="shared" si="6"/>
        <v>4.866521333333333</v>
      </c>
      <c r="M10" s="78">
        <f t="shared" si="6"/>
        <v>4.8033848333333333</v>
      </c>
      <c r="N10" s="78">
        <f t="shared" si="7"/>
        <v>4.9466946666666667</v>
      </c>
      <c r="O10" s="78">
        <f t="shared" si="2"/>
        <v>0.32977964444444446</v>
      </c>
      <c r="P10" s="78">
        <f t="shared" si="3"/>
        <v>2.3555688888888891E-2</v>
      </c>
      <c r="Q10" s="78">
        <f t="shared" si="4"/>
        <v>2.3555688888888891E-2</v>
      </c>
      <c r="R10" s="78">
        <f t="shared" si="5"/>
        <v>1.4604527111111112</v>
      </c>
      <c r="S10" s="124">
        <f>AVERAGE(R8:R10)</f>
        <v>1.4884624740740742</v>
      </c>
      <c r="T10" s="78">
        <f>STDEV(R8:R10)</f>
        <v>2.8412484305104624E-2</v>
      </c>
      <c r="U10" s="121">
        <f>T10/SQRT(3)</f>
        <v>1.6403955461898174E-2</v>
      </c>
      <c r="W10" s="84">
        <f>D23</f>
        <v>287.41666666666669</v>
      </c>
      <c r="X10" s="78">
        <f>S25</f>
        <v>0.76241909580952383</v>
      </c>
      <c r="Y10" s="78">
        <f>U25</f>
        <v>3.4603053574936989E-2</v>
      </c>
      <c r="Z10" s="78"/>
      <c r="AA10" s="154"/>
      <c r="AB10" s="154"/>
      <c r="AC10" s="154"/>
    </row>
    <row r="11" spans="1:29" x14ac:dyDescent="0.15">
      <c r="A11" s="46"/>
      <c r="B11" s="59" t="s">
        <v>28</v>
      </c>
      <c r="C11" s="170">
        <v>0.53611111111111109</v>
      </c>
      <c r="D11" s="84">
        <v>97.366666666666674</v>
      </c>
      <c r="E11" s="57">
        <v>5</v>
      </c>
      <c r="F11" s="105" t="s">
        <v>105</v>
      </c>
      <c r="G11" s="134">
        <v>7.2666666666666671E-2</v>
      </c>
      <c r="H11" s="77">
        <f>2.317-G11</f>
        <v>2.2443333333333335</v>
      </c>
      <c r="I11" s="78">
        <f>2.272-G11</f>
        <v>2.1993333333333331</v>
      </c>
      <c r="J11" s="78">
        <f>2.157-G11</f>
        <v>2.0843333333333334</v>
      </c>
      <c r="K11" s="78">
        <f>3.1773*H11</f>
        <v>7.1309203000000005</v>
      </c>
      <c r="L11" s="78">
        <f t="shared" ref="L11:M13" si="9">3.1773*I11</f>
        <v>6.9879417999999989</v>
      </c>
      <c r="M11" s="78">
        <f t="shared" si="9"/>
        <v>6.6225522999999997</v>
      </c>
      <c r="N11" s="78">
        <f t="shared" si="7"/>
        <v>6.9138048000000003</v>
      </c>
      <c r="O11" s="78">
        <f>N11/20</f>
        <v>0.34569024000000004</v>
      </c>
      <c r="P11" s="78">
        <f t="shared" si="3"/>
        <v>2.4692160000000001E-2</v>
      </c>
      <c r="Q11" s="78">
        <f t="shared" si="4"/>
        <v>2.4692160000000001E-2</v>
      </c>
      <c r="R11" s="78">
        <f t="shared" si="5"/>
        <v>1.5309139200000002</v>
      </c>
      <c r="S11" s="159"/>
      <c r="T11" s="78"/>
      <c r="U11" s="121"/>
      <c r="W11" s="84">
        <f>D26</f>
        <v>334.93333333333334</v>
      </c>
      <c r="X11" s="78">
        <f>S28</f>
        <v>0.65355604644444443</v>
      </c>
      <c r="Y11" s="78">
        <f>U28</f>
        <v>3.0389100707810678E-3</v>
      </c>
      <c r="Z11" s="78"/>
      <c r="AA11" s="154"/>
      <c r="AB11" s="154"/>
      <c r="AC11" s="154"/>
    </row>
    <row r="12" spans="1:29" ht="15" customHeight="1" x14ac:dyDescent="0.15">
      <c r="A12" s="46"/>
      <c r="B12" s="59"/>
      <c r="C12" s="170"/>
      <c r="D12" s="84"/>
      <c r="E12" s="57"/>
      <c r="F12" s="105" t="s">
        <v>106</v>
      </c>
      <c r="G12" s="134"/>
      <c r="H12" s="77">
        <f>1.996-G11</f>
        <v>1.9233333333333333</v>
      </c>
      <c r="I12" s="78">
        <f>1.998-G11</f>
        <v>1.9253333333333333</v>
      </c>
      <c r="J12" s="78">
        <f>1.997-G11</f>
        <v>1.9243333333333335</v>
      </c>
      <c r="K12" s="78">
        <f t="shared" ref="K12:K13" si="10">3.1773*H12</f>
        <v>6.1110069999999999</v>
      </c>
      <c r="L12" s="78">
        <f t="shared" si="9"/>
        <v>6.1173615999999997</v>
      </c>
      <c r="M12" s="78">
        <f t="shared" si="9"/>
        <v>6.1141842999999998</v>
      </c>
      <c r="N12" s="78">
        <f t="shared" si="7"/>
        <v>6.1141843000000007</v>
      </c>
      <c r="O12" s="78">
        <f>N12/20</f>
        <v>0.30570921500000003</v>
      </c>
      <c r="P12" s="78">
        <f t="shared" si="3"/>
        <v>2.1836372500000003E-2</v>
      </c>
      <c r="Q12" s="78">
        <f t="shared" si="4"/>
        <v>2.1836372500000003E-2</v>
      </c>
      <c r="R12" s="78">
        <f t="shared" si="5"/>
        <v>1.3538550950000001</v>
      </c>
      <c r="S12" s="159"/>
      <c r="T12" s="78"/>
      <c r="U12" s="121"/>
      <c r="W12" s="84">
        <f>D29</f>
        <v>431.53333333333336</v>
      </c>
      <c r="X12" s="78">
        <f>S31</f>
        <v>0.52766464000000002</v>
      </c>
      <c r="Y12" s="78">
        <f>U31</f>
        <v>9.6819199999997896E-4</v>
      </c>
      <c r="Z12" s="78"/>
      <c r="AA12" s="154"/>
      <c r="AB12" s="154"/>
      <c r="AC12" s="154"/>
    </row>
    <row r="13" spans="1:29" ht="15" customHeight="1" x14ac:dyDescent="0.15">
      <c r="A13" s="46"/>
      <c r="B13" s="130"/>
      <c r="C13" s="171"/>
      <c r="D13" s="168"/>
      <c r="E13" s="91"/>
      <c r="F13" s="105" t="s">
        <v>107</v>
      </c>
      <c r="G13" s="135"/>
      <c r="H13" s="85">
        <f>2.099-G11</f>
        <v>2.0263333333333335</v>
      </c>
      <c r="I13" s="86">
        <f>1.996-G11</f>
        <v>1.9233333333333333</v>
      </c>
      <c r="J13" s="86">
        <f>1.996-G11</f>
        <v>1.9233333333333333</v>
      </c>
      <c r="K13" s="78">
        <f t="shared" si="10"/>
        <v>6.4382689000000006</v>
      </c>
      <c r="L13" s="78">
        <f t="shared" si="9"/>
        <v>6.1110069999999999</v>
      </c>
      <c r="M13" s="78">
        <f t="shared" si="9"/>
        <v>6.1110069999999999</v>
      </c>
      <c r="N13" s="78">
        <f t="shared" si="7"/>
        <v>6.2200943000000004</v>
      </c>
      <c r="O13" s="78">
        <f>N13/20</f>
        <v>0.31100471500000004</v>
      </c>
      <c r="P13" s="78">
        <f t="shared" si="3"/>
        <v>2.2214622500000003E-2</v>
      </c>
      <c r="Q13" s="78">
        <f t="shared" si="4"/>
        <v>2.2214622500000003E-2</v>
      </c>
      <c r="R13" s="78">
        <f t="shared" si="5"/>
        <v>1.3773065950000003</v>
      </c>
      <c r="S13" s="124">
        <f>AVERAGE(R11:R13)</f>
        <v>1.42069187</v>
      </c>
      <c r="T13" s="86">
        <f>STDEV(R11:R13)</f>
        <v>9.6172597150718409E-2</v>
      </c>
      <c r="U13" s="125">
        <f>T13/SQRT(3)</f>
        <v>5.5525274853632713E-2</v>
      </c>
      <c r="W13" s="84"/>
      <c r="X13" s="78"/>
      <c r="Y13" s="78"/>
      <c r="Z13" s="78"/>
      <c r="AA13" s="154"/>
      <c r="AB13" s="154"/>
      <c r="AC13" s="154"/>
    </row>
    <row r="14" spans="1:29" x14ac:dyDescent="0.15">
      <c r="A14" s="46"/>
      <c r="B14" s="173" t="s">
        <v>30</v>
      </c>
      <c r="C14" s="170">
        <v>0.38958333333333334</v>
      </c>
      <c r="D14" s="84">
        <v>141.85000000000002</v>
      </c>
      <c r="E14" s="57">
        <v>7</v>
      </c>
      <c r="F14" s="105" t="s">
        <v>105</v>
      </c>
      <c r="G14" s="134">
        <v>7.1333333333333346E-2</v>
      </c>
      <c r="H14" s="77">
        <f>1.792-G14</f>
        <v>1.7206666666666668</v>
      </c>
      <c r="I14" s="78">
        <f>1.796-G14</f>
        <v>1.7246666666666668</v>
      </c>
      <c r="J14" s="78">
        <f>1.889-G14</f>
        <v>1.8176666666666668</v>
      </c>
      <c r="K14" s="78">
        <f>3.1582*H14</f>
        <v>5.4342094666666672</v>
      </c>
      <c r="L14" s="78">
        <f t="shared" ref="L14:M16" si="11">3.1582*I14</f>
        <v>5.4468422666666667</v>
      </c>
      <c r="M14" s="78">
        <f t="shared" si="11"/>
        <v>5.7405548666666668</v>
      </c>
      <c r="N14" s="78">
        <f t="shared" si="7"/>
        <v>5.5405355333333333</v>
      </c>
      <c r="O14" s="78">
        <f t="shared" ref="O14:O25" si="12">N14/20</f>
        <v>0.27702677666666664</v>
      </c>
      <c r="P14" s="78">
        <f t="shared" si="3"/>
        <v>1.9787626904761903E-2</v>
      </c>
      <c r="Q14" s="78">
        <f t="shared" si="4"/>
        <v>1.9787626904761903E-2</v>
      </c>
      <c r="R14" s="78">
        <f t="shared" si="5"/>
        <v>1.2268328680952381</v>
      </c>
      <c r="S14" s="158"/>
      <c r="T14" s="57"/>
      <c r="U14" s="83"/>
      <c r="W14" s="154"/>
      <c r="Z14" s="78"/>
      <c r="AA14" s="78"/>
    </row>
    <row r="15" spans="1:29" x14ac:dyDescent="0.15">
      <c r="B15" s="59"/>
      <c r="C15" s="170"/>
      <c r="D15" s="84"/>
      <c r="E15" s="57"/>
      <c r="F15" s="105" t="s">
        <v>106</v>
      </c>
      <c r="G15" s="134"/>
      <c r="H15" s="77">
        <f>1.882-G14</f>
        <v>1.8106666666666666</v>
      </c>
      <c r="I15" s="78">
        <f>1.979-G14</f>
        <v>1.9076666666666668</v>
      </c>
      <c r="J15" s="78">
        <f>1.986-G14</f>
        <v>1.9146666666666667</v>
      </c>
      <c r="K15" s="78">
        <f t="shared" ref="K15:K16" si="13">3.1582*H15</f>
        <v>5.7184474666666665</v>
      </c>
      <c r="L15" s="78">
        <f t="shared" si="11"/>
        <v>6.024792866666667</v>
      </c>
      <c r="M15" s="78">
        <f t="shared" si="11"/>
        <v>6.0469002666666665</v>
      </c>
      <c r="N15" s="78">
        <f t="shared" si="7"/>
        <v>5.9300468666666672</v>
      </c>
      <c r="O15" s="78">
        <f t="shared" si="12"/>
        <v>0.29650234333333336</v>
      </c>
      <c r="P15" s="78">
        <f t="shared" si="3"/>
        <v>2.1178738809523812E-2</v>
      </c>
      <c r="Q15" s="78">
        <f t="shared" si="4"/>
        <v>2.1178738809523812E-2</v>
      </c>
      <c r="R15" s="78">
        <f t="shared" si="5"/>
        <v>1.3130818061904763</v>
      </c>
      <c r="S15" s="158"/>
      <c r="T15" s="57"/>
      <c r="U15" s="83"/>
      <c r="Z15" s="78"/>
      <c r="AA15" s="78"/>
    </row>
    <row r="16" spans="1:29" x14ac:dyDescent="0.15">
      <c r="B16" s="59"/>
      <c r="C16" s="170"/>
      <c r="D16" s="84"/>
      <c r="E16" s="57"/>
      <c r="F16" s="105" t="s">
        <v>107</v>
      </c>
      <c r="G16" s="134"/>
      <c r="H16" s="77">
        <f>1.795-G14</f>
        <v>1.7236666666666667</v>
      </c>
      <c r="I16" s="78">
        <f>1.893-G14</f>
        <v>1.8216666666666668</v>
      </c>
      <c r="J16" s="78">
        <f>1.975-G14</f>
        <v>1.9036666666666668</v>
      </c>
      <c r="K16" s="78">
        <f t="shared" si="13"/>
        <v>5.4436840666666662</v>
      </c>
      <c r="L16" s="78">
        <f t="shared" si="11"/>
        <v>5.7531876666666664</v>
      </c>
      <c r="M16" s="78">
        <f t="shared" si="11"/>
        <v>6.0121600666666666</v>
      </c>
      <c r="N16" s="78">
        <f t="shared" si="7"/>
        <v>5.736343933333333</v>
      </c>
      <c r="O16" s="78">
        <f t="shared" si="12"/>
        <v>0.28681719666666666</v>
      </c>
      <c r="P16" s="78">
        <f t="shared" si="3"/>
        <v>2.048694261904762E-2</v>
      </c>
      <c r="Q16" s="78">
        <f t="shared" si="4"/>
        <v>2.048694261904762E-2</v>
      </c>
      <c r="R16" s="78">
        <f t="shared" si="5"/>
        <v>1.2701904423809525</v>
      </c>
      <c r="S16" s="124">
        <f>AVERAGE(R14:R16)</f>
        <v>1.2700350388888888</v>
      </c>
      <c r="T16" s="78">
        <f>STDEV(R14:R16)</f>
        <v>4.3124679051826799E-2</v>
      </c>
      <c r="U16" s="121">
        <f>T16/SQRT(3)</f>
        <v>2.4898045059288419E-2</v>
      </c>
      <c r="Z16" s="78"/>
      <c r="AA16" s="78"/>
    </row>
    <row r="17" spans="2:27" x14ac:dyDescent="0.15">
      <c r="B17" s="59" t="s">
        <v>32</v>
      </c>
      <c r="C17" s="170">
        <v>0.41805555555555557</v>
      </c>
      <c r="D17" s="84">
        <v>190.53333333333336</v>
      </c>
      <c r="E17" s="57">
        <v>9</v>
      </c>
      <c r="F17" s="105" t="s">
        <v>105</v>
      </c>
      <c r="G17" s="134">
        <v>7.3999999999999996E-2</v>
      </c>
      <c r="H17" s="77">
        <f>1.653-G17</f>
        <v>1.579</v>
      </c>
      <c r="I17" s="78">
        <f>1.693-G17</f>
        <v>1.619</v>
      </c>
      <c r="J17" s="78">
        <f>1.695-G17</f>
        <v>1.621</v>
      </c>
      <c r="K17" s="78">
        <f>3.0993*H17</f>
        <v>4.8937946999999999</v>
      </c>
      <c r="L17" s="78">
        <f t="shared" ref="L17:M19" si="14">3.0993*I17</f>
        <v>5.0177667000000001</v>
      </c>
      <c r="M17" s="78">
        <f t="shared" si="14"/>
        <v>5.0239652999999995</v>
      </c>
      <c r="N17" s="78">
        <f t="shared" si="7"/>
        <v>4.9785089000000005</v>
      </c>
      <c r="O17" s="78">
        <f t="shared" si="12"/>
        <v>0.24892544500000002</v>
      </c>
      <c r="P17" s="78">
        <f t="shared" si="3"/>
        <v>1.7780388928571429E-2</v>
      </c>
      <c r="Q17" s="78">
        <f t="shared" si="4"/>
        <v>1.7780388928571429E-2</v>
      </c>
      <c r="R17" s="78">
        <f t="shared" si="5"/>
        <v>1.1023841135714285</v>
      </c>
      <c r="S17" s="158"/>
      <c r="T17" s="57"/>
      <c r="U17" s="83"/>
      <c r="Z17" s="78"/>
      <c r="AA17" s="78"/>
    </row>
    <row r="18" spans="2:27" x14ac:dyDescent="0.15">
      <c r="B18" s="59"/>
      <c r="C18" s="170"/>
      <c r="D18" s="84"/>
      <c r="E18" s="57"/>
      <c r="F18" s="105" t="s">
        <v>106</v>
      </c>
      <c r="G18" s="134"/>
      <c r="H18" s="77">
        <f>1.591-G17</f>
        <v>1.5169999999999999</v>
      </c>
      <c r="I18" s="78">
        <f>1.699-G17</f>
        <v>1.625</v>
      </c>
      <c r="J18" s="78">
        <f>1.699-G17</f>
        <v>1.625</v>
      </c>
      <c r="K18" s="78">
        <f t="shared" ref="K18:K19" si="15">3.0993*H18</f>
        <v>4.7016380999999994</v>
      </c>
      <c r="L18" s="78">
        <f t="shared" si="14"/>
        <v>5.0363625000000001</v>
      </c>
      <c r="M18" s="78">
        <f t="shared" si="14"/>
        <v>5.0363625000000001</v>
      </c>
      <c r="N18" s="78">
        <f t="shared" si="7"/>
        <v>4.9247876999999995</v>
      </c>
      <c r="O18" s="78">
        <f t="shared" si="12"/>
        <v>0.24623938499999998</v>
      </c>
      <c r="P18" s="78">
        <f t="shared" si="3"/>
        <v>1.7588527499999999E-2</v>
      </c>
      <c r="Q18" s="78">
        <f t="shared" si="4"/>
        <v>1.7588527499999999E-2</v>
      </c>
      <c r="R18" s="78">
        <f t="shared" si="5"/>
        <v>1.0904887050000001</v>
      </c>
      <c r="S18" s="158"/>
      <c r="T18" s="57"/>
      <c r="U18" s="83"/>
      <c r="Z18" s="78"/>
      <c r="AA18" s="78"/>
    </row>
    <row r="19" spans="2:27" x14ac:dyDescent="0.15">
      <c r="B19" s="59"/>
      <c r="C19" s="170"/>
      <c r="D19" s="84"/>
      <c r="E19" s="57"/>
      <c r="F19" s="105" t="s">
        <v>107</v>
      </c>
      <c r="G19" s="134"/>
      <c r="H19" s="77">
        <f>1.578-G17</f>
        <v>1.504</v>
      </c>
      <c r="I19" s="78">
        <f>1.597-G17</f>
        <v>1.5229999999999999</v>
      </c>
      <c r="J19" s="78">
        <f>1.421-G17</f>
        <v>1.347</v>
      </c>
      <c r="K19" s="78">
        <f t="shared" si="15"/>
        <v>4.6613471999999998</v>
      </c>
      <c r="L19" s="78">
        <f t="shared" si="14"/>
        <v>4.7202338999999993</v>
      </c>
      <c r="M19" s="78">
        <f t="shared" si="14"/>
        <v>4.1747570999999999</v>
      </c>
      <c r="N19" s="78">
        <f t="shared" si="7"/>
        <v>4.5187793999999997</v>
      </c>
      <c r="O19" s="78">
        <f t="shared" si="12"/>
        <v>0.22593896999999999</v>
      </c>
      <c r="P19" s="78">
        <f t="shared" si="3"/>
        <v>1.6138497857142855E-2</v>
      </c>
      <c r="Q19" s="78">
        <f t="shared" si="4"/>
        <v>1.6138497857142855E-2</v>
      </c>
      <c r="R19" s="78">
        <f t="shared" si="5"/>
        <v>1.0005868671428571</v>
      </c>
      <c r="S19" s="159">
        <f>AVERAGE(R17:R19)</f>
        <v>1.0644865619047621</v>
      </c>
      <c r="T19" s="78">
        <f>STDEV(R17:R19)</f>
        <v>5.5657465171068995E-2</v>
      </c>
      <c r="U19" s="121">
        <f>T19/SQRT(3)</f>
        <v>3.213385249892891E-2</v>
      </c>
      <c r="Z19" s="78"/>
      <c r="AA19" s="78"/>
    </row>
    <row r="20" spans="2:27" x14ac:dyDescent="0.15">
      <c r="B20" s="131" t="s">
        <v>34</v>
      </c>
      <c r="C20" s="172">
        <v>0.43472222222222223</v>
      </c>
      <c r="D20" s="169">
        <v>238.93333333333334</v>
      </c>
      <c r="E20" s="104">
        <v>11</v>
      </c>
      <c r="F20" s="105" t="s">
        <v>105</v>
      </c>
      <c r="G20" s="134">
        <v>6.533333333333334E-2</v>
      </c>
      <c r="H20" s="96">
        <f>1.215-G20</f>
        <v>1.1496666666666668</v>
      </c>
      <c r="I20" s="97">
        <f>1.253-G20</f>
        <v>1.1876666666666666</v>
      </c>
      <c r="J20" s="97">
        <f>1.18-G20</f>
        <v>1.1146666666666667</v>
      </c>
      <c r="K20" s="78">
        <f>3.3959*H20</f>
        <v>3.9041530333333339</v>
      </c>
      <c r="L20" s="78">
        <f t="shared" ref="L20:M22" si="16">3.3959*I20</f>
        <v>4.0331972333333335</v>
      </c>
      <c r="M20" s="78">
        <f t="shared" si="16"/>
        <v>3.7852965333333337</v>
      </c>
      <c r="N20" s="78">
        <f t="shared" si="7"/>
        <v>3.907548933333334</v>
      </c>
      <c r="O20" s="78">
        <f t="shared" si="12"/>
        <v>0.1953774466666667</v>
      </c>
      <c r="P20" s="78">
        <f t="shared" si="3"/>
        <v>1.3955531904761908E-2</v>
      </c>
      <c r="Q20" s="78">
        <f t="shared" si="4"/>
        <v>1.3955531904761908E-2</v>
      </c>
      <c r="R20" s="78">
        <f t="shared" si="5"/>
        <v>0.86524297809523831</v>
      </c>
      <c r="S20" s="122"/>
      <c r="T20" s="97"/>
      <c r="U20" s="123"/>
      <c r="Z20" s="78"/>
      <c r="AA20" s="78"/>
    </row>
    <row r="21" spans="2:27" x14ac:dyDescent="0.15">
      <c r="B21" s="59"/>
      <c r="C21" s="170"/>
      <c r="D21" s="84"/>
      <c r="E21" s="57"/>
      <c r="F21" s="105" t="s">
        <v>106</v>
      </c>
      <c r="G21" s="134"/>
      <c r="H21" s="77">
        <f>1.495-G20</f>
        <v>1.4296666666666669</v>
      </c>
      <c r="I21" s="78">
        <f>1.511-G20</f>
        <v>1.4456666666666667</v>
      </c>
      <c r="J21" s="78">
        <f>1.101-G20</f>
        <v>1.0356666666666667</v>
      </c>
      <c r="K21" s="78">
        <f t="shared" ref="K21:K22" si="17">3.3959*H21</f>
        <v>4.8550050333333346</v>
      </c>
      <c r="L21" s="78">
        <f t="shared" si="16"/>
        <v>4.9093394333333338</v>
      </c>
      <c r="M21" s="78">
        <f t="shared" si="16"/>
        <v>3.5170204333333337</v>
      </c>
      <c r="N21" s="78">
        <f t="shared" si="7"/>
        <v>4.4271216333333339</v>
      </c>
      <c r="O21" s="78">
        <f t="shared" si="12"/>
        <v>0.2213560816666667</v>
      </c>
      <c r="P21" s="78">
        <f t="shared" si="3"/>
        <v>1.5811148690476194E-2</v>
      </c>
      <c r="Q21" s="78">
        <f t="shared" si="4"/>
        <v>1.5811148690476194E-2</v>
      </c>
      <c r="R21" s="78">
        <f t="shared" si="5"/>
        <v>0.98029121880952408</v>
      </c>
      <c r="S21" s="159"/>
      <c r="T21" s="78"/>
      <c r="U21" s="121"/>
      <c r="Z21" s="78"/>
      <c r="AA21" s="78"/>
    </row>
    <row r="22" spans="2:27" x14ac:dyDescent="0.15">
      <c r="B22" s="59"/>
      <c r="C22" s="170"/>
      <c r="D22" s="84"/>
      <c r="E22" s="57"/>
      <c r="F22" s="105" t="s">
        <v>107</v>
      </c>
      <c r="G22" s="134"/>
      <c r="H22" s="77">
        <f>1.395-G20</f>
        <v>1.3296666666666668</v>
      </c>
      <c r="I22" s="78">
        <f>1.758-G20</f>
        <v>1.6926666666666668</v>
      </c>
      <c r="J22" s="78">
        <f>0.994-G20</f>
        <v>0.92866666666666664</v>
      </c>
      <c r="K22" s="78">
        <f t="shared" si="17"/>
        <v>4.5154150333333343</v>
      </c>
      <c r="L22" s="78">
        <f t="shared" si="16"/>
        <v>5.7481267333333337</v>
      </c>
      <c r="M22" s="78">
        <f t="shared" si="16"/>
        <v>3.1536591333333335</v>
      </c>
      <c r="N22" s="78">
        <f t="shared" si="7"/>
        <v>4.4724003000000003</v>
      </c>
      <c r="O22" s="78">
        <f t="shared" si="12"/>
        <v>0.22362001500000001</v>
      </c>
      <c r="P22" s="78">
        <f t="shared" si="3"/>
        <v>1.5972858214285714E-2</v>
      </c>
      <c r="Q22" s="78">
        <f t="shared" si="4"/>
        <v>1.5972858214285714E-2</v>
      </c>
      <c r="R22" s="78">
        <f t="shared" si="5"/>
        <v>0.99031720928571421</v>
      </c>
      <c r="S22" s="124">
        <f>AVERAGE(R20:R22)</f>
        <v>0.94528380206349227</v>
      </c>
      <c r="T22" s="78">
        <f>STDEV(R20:R22)</f>
        <v>6.9498419028024783E-2</v>
      </c>
      <c r="U22" s="121">
        <f>T22/SQRT(3)</f>
        <v>4.0124930934083522E-2</v>
      </c>
      <c r="Z22" s="78"/>
      <c r="AA22" s="78"/>
    </row>
    <row r="23" spans="2:27" x14ac:dyDescent="0.15">
      <c r="B23" s="59" t="s">
        <v>36</v>
      </c>
      <c r="C23" s="170">
        <v>0.4548611111111111</v>
      </c>
      <c r="D23" s="84">
        <v>287.41666666666669</v>
      </c>
      <c r="E23" s="57">
        <v>13</v>
      </c>
      <c r="F23" s="105" t="s">
        <v>105</v>
      </c>
      <c r="G23" s="134">
        <v>6.9666666666666668E-2</v>
      </c>
      <c r="H23" s="77">
        <f>0.992-G23</f>
        <v>0.92233333333333334</v>
      </c>
      <c r="I23" s="78">
        <f>1.1935-G23</f>
        <v>1.1238333333333332</v>
      </c>
      <c r="J23" s="78">
        <f>1.1532-G23</f>
        <v>1.0835333333333332</v>
      </c>
      <c r="K23" s="78">
        <f>3.5976*H23</f>
        <v>3.3181864000000001</v>
      </c>
      <c r="L23" s="78">
        <f t="shared" ref="L23:M25" si="18">3.5976*I23</f>
        <v>4.0431027999999998</v>
      </c>
      <c r="M23" s="78">
        <f t="shared" si="18"/>
        <v>3.8981195199999994</v>
      </c>
      <c r="N23" s="78">
        <f t="shared" si="7"/>
        <v>3.7531362399999999</v>
      </c>
      <c r="O23" s="78">
        <f t="shared" si="12"/>
        <v>0.18765681200000001</v>
      </c>
      <c r="P23" s="78">
        <f t="shared" si="3"/>
        <v>1.3404058E-2</v>
      </c>
      <c r="Q23" s="78">
        <f t="shared" si="4"/>
        <v>1.3404058E-2</v>
      </c>
      <c r="R23" s="78">
        <f t="shared" si="5"/>
        <v>0.831051596</v>
      </c>
      <c r="S23" s="159"/>
      <c r="T23" s="78"/>
      <c r="U23" s="121"/>
      <c r="Z23" s="78"/>
      <c r="AA23" s="78"/>
    </row>
    <row r="24" spans="2:27" x14ac:dyDescent="0.15">
      <c r="B24" s="59"/>
      <c r="C24" s="170"/>
      <c r="D24" s="84"/>
      <c r="E24" s="57"/>
      <c r="F24" s="105" t="s">
        <v>106</v>
      </c>
      <c r="G24" s="134"/>
      <c r="H24" s="77">
        <f>0.992-G23</f>
        <v>0.92233333333333334</v>
      </c>
      <c r="I24" s="78">
        <f>0.996-G23</f>
        <v>0.92633333333333334</v>
      </c>
      <c r="J24" s="78">
        <f>0.992-G23</f>
        <v>0.92233333333333334</v>
      </c>
      <c r="K24" s="78">
        <f t="shared" ref="K24:K25" si="19">3.5976*H24</f>
        <v>3.3181864000000001</v>
      </c>
      <c r="L24" s="78">
        <f t="shared" si="18"/>
        <v>3.3325768</v>
      </c>
      <c r="M24" s="78">
        <f t="shared" si="18"/>
        <v>3.3181864000000001</v>
      </c>
      <c r="N24" s="78">
        <f t="shared" si="7"/>
        <v>3.3229831999999999</v>
      </c>
      <c r="O24" s="78">
        <f t="shared" si="12"/>
        <v>0.16614915999999999</v>
      </c>
      <c r="P24" s="78">
        <f t="shared" si="3"/>
        <v>1.1867797142857142E-2</v>
      </c>
      <c r="Q24" s="78">
        <f t="shared" si="4"/>
        <v>1.1867797142857142E-2</v>
      </c>
      <c r="R24" s="78">
        <f t="shared" si="5"/>
        <v>0.73580342285714284</v>
      </c>
      <c r="S24" s="159"/>
      <c r="T24" s="78"/>
      <c r="U24" s="121"/>
      <c r="W24" s="57"/>
      <c r="X24" s="78"/>
      <c r="Y24" s="78"/>
      <c r="Z24" s="78"/>
      <c r="AA24" s="78"/>
    </row>
    <row r="25" spans="2:27" x14ac:dyDescent="0.15">
      <c r="B25" s="59"/>
      <c r="C25" s="170"/>
      <c r="D25" s="84"/>
      <c r="E25" s="57"/>
      <c r="F25" s="105" t="s">
        <v>107</v>
      </c>
      <c r="G25" s="134"/>
      <c r="H25" s="77">
        <f>0.935-G23</f>
        <v>0.8653333333333334</v>
      </c>
      <c r="I25" s="78">
        <f>0.991-G23</f>
        <v>0.92133333333333334</v>
      </c>
      <c r="J25" s="78">
        <f>0.996-G23</f>
        <v>0.92633333333333334</v>
      </c>
      <c r="K25" s="78">
        <f t="shared" si="19"/>
        <v>3.1131232</v>
      </c>
      <c r="L25" s="78">
        <f t="shared" si="18"/>
        <v>3.3145888000000001</v>
      </c>
      <c r="M25" s="78">
        <f t="shared" si="18"/>
        <v>3.3325768</v>
      </c>
      <c r="N25" s="78">
        <f t="shared" si="7"/>
        <v>3.2534296</v>
      </c>
      <c r="O25" s="78">
        <f t="shared" si="12"/>
        <v>0.16267148000000001</v>
      </c>
      <c r="P25" s="78">
        <f t="shared" si="3"/>
        <v>1.161939142857143E-2</v>
      </c>
      <c r="Q25" s="78">
        <f t="shared" si="4"/>
        <v>1.161939142857143E-2</v>
      </c>
      <c r="R25" s="78">
        <f t="shared" si="5"/>
        <v>0.72040226857142864</v>
      </c>
      <c r="S25" s="159">
        <f>AVERAGE(R23:R25)</f>
        <v>0.76241909580952383</v>
      </c>
      <c r="T25" s="78">
        <f>STDEV(R23:R25)</f>
        <v>5.993424688881873E-2</v>
      </c>
      <c r="U25" s="121">
        <f>T25/SQRT(3)</f>
        <v>3.4603053574936989E-2</v>
      </c>
    </row>
    <row r="26" spans="2:27" x14ac:dyDescent="0.15">
      <c r="B26" s="131" t="s">
        <v>38</v>
      </c>
      <c r="C26" s="172">
        <v>0.43472222222222223</v>
      </c>
      <c r="D26" s="169">
        <v>334.93333333333334</v>
      </c>
      <c r="E26" s="104">
        <v>15</v>
      </c>
      <c r="F26" s="105" t="s">
        <v>105</v>
      </c>
      <c r="G26" s="134">
        <v>7.2333333333333319E-2</v>
      </c>
      <c r="H26" s="96">
        <f>0.993-G26</f>
        <v>0.92066666666666663</v>
      </c>
      <c r="I26" s="97">
        <f>0.994-G26</f>
        <v>0.92166666666666663</v>
      </c>
      <c r="J26" s="97">
        <f>0.996-G26</f>
        <v>0.92366666666666664</v>
      </c>
      <c r="K26" s="78">
        <f>3.9395*H26</f>
        <v>3.6269663333333328</v>
      </c>
      <c r="L26" s="78">
        <f t="shared" ref="L26:M28" si="20">3.9395*I26</f>
        <v>3.6309058333333328</v>
      </c>
      <c r="M26" s="78">
        <f t="shared" si="20"/>
        <v>3.6387848333333328</v>
      </c>
      <c r="N26" s="78">
        <f t="shared" si="7"/>
        <v>3.6322189999999992</v>
      </c>
      <c r="O26" s="78">
        <f>N26/25</f>
        <v>0.14528875999999996</v>
      </c>
      <c r="P26" s="78">
        <f t="shared" si="3"/>
        <v>1.0377768571428568E-2</v>
      </c>
      <c r="Q26" s="78">
        <f t="shared" si="4"/>
        <v>1.0377768571428568E-2</v>
      </c>
      <c r="R26" s="78">
        <f t="shared" si="5"/>
        <v>0.64342165142857122</v>
      </c>
      <c r="S26" s="126"/>
      <c r="T26" s="104"/>
      <c r="U26" s="127"/>
    </row>
    <row r="27" spans="2:27" x14ac:dyDescent="0.15">
      <c r="B27" s="59"/>
      <c r="C27" s="170"/>
      <c r="D27" s="84"/>
      <c r="E27" s="57"/>
      <c r="F27" s="105" t="s">
        <v>106</v>
      </c>
      <c r="G27" s="134"/>
      <c r="H27" s="77">
        <f>0.962-G26</f>
        <v>0.88966666666666661</v>
      </c>
      <c r="I27" s="78">
        <f>0.992-G26</f>
        <v>0.91966666666666663</v>
      </c>
      <c r="J27" s="78">
        <f>0.997-G26</f>
        <v>0.92466666666666664</v>
      </c>
      <c r="K27" s="78">
        <f t="shared" ref="K27:K28" si="21">3.9395*H27</f>
        <v>3.5048418333333329</v>
      </c>
      <c r="L27" s="78">
        <f t="shared" si="20"/>
        <v>3.6230268333333329</v>
      </c>
      <c r="M27" s="78">
        <f t="shared" si="20"/>
        <v>3.6427243333333332</v>
      </c>
      <c r="N27" s="78">
        <f t="shared" si="7"/>
        <v>3.5901976666666666</v>
      </c>
      <c r="O27" s="78">
        <f>N27/25</f>
        <v>0.14360790666666667</v>
      </c>
      <c r="P27" s="78">
        <f t="shared" si="3"/>
        <v>1.025770761904762E-2</v>
      </c>
      <c r="Q27" s="78">
        <f t="shared" si="4"/>
        <v>1.025770761904762E-2</v>
      </c>
      <c r="R27" s="78">
        <f t="shared" si="5"/>
        <v>0.63597787238095249</v>
      </c>
      <c r="S27" s="158"/>
      <c r="T27" s="57"/>
      <c r="U27" s="83"/>
    </row>
    <row r="28" spans="2:27" x14ac:dyDescent="0.15">
      <c r="B28" s="59"/>
      <c r="C28" s="170"/>
      <c r="D28" s="84"/>
      <c r="E28" s="57"/>
      <c r="F28" s="105" t="s">
        <v>107</v>
      </c>
      <c r="G28" s="134"/>
      <c r="H28" s="77">
        <f>0.979-G26</f>
        <v>0.90666666666666662</v>
      </c>
      <c r="I28" s="78">
        <f>0.999-G26</f>
        <v>0.92666666666666664</v>
      </c>
      <c r="J28" s="78">
        <f>1.1677-G26</f>
        <v>1.0953666666666666</v>
      </c>
      <c r="K28" s="78">
        <f t="shared" si="21"/>
        <v>3.5718133333333331</v>
      </c>
      <c r="L28" s="78">
        <f t="shared" si="20"/>
        <v>3.6506033333333332</v>
      </c>
      <c r="M28" s="78">
        <f t="shared" si="20"/>
        <v>4.3151969833333332</v>
      </c>
      <c r="N28" s="78">
        <f t="shared" si="7"/>
        <v>3.8458712166666662</v>
      </c>
      <c r="O28" s="78">
        <f>N28/25</f>
        <v>0.15383484866666663</v>
      </c>
      <c r="P28" s="78">
        <f t="shared" si="3"/>
        <v>1.0988203476190474E-2</v>
      </c>
      <c r="Q28" s="78">
        <f t="shared" si="4"/>
        <v>1.0988203476190474E-2</v>
      </c>
      <c r="R28" s="78">
        <f t="shared" si="5"/>
        <v>0.68126861552380946</v>
      </c>
      <c r="S28" s="124">
        <f>AVERAGE(R26:R28)</f>
        <v>0.65355604644444443</v>
      </c>
      <c r="T28" s="78">
        <f>STDEV(R26:R27)</f>
        <v>5.2635466422255419E-3</v>
      </c>
      <c r="U28" s="121">
        <f>T28/SQRT(3)</f>
        <v>3.0389100707810678E-3</v>
      </c>
    </row>
    <row r="29" spans="2:27" x14ac:dyDescent="0.15">
      <c r="B29" s="59" t="s">
        <v>42</v>
      </c>
      <c r="C29" s="170">
        <v>0.4597222222222222</v>
      </c>
      <c r="D29" s="84">
        <v>431.53333333333336</v>
      </c>
      <c r="E29" s="57">
        <v>19</v>
      </c>
      <c r="F29" s="105" t="s">
        <v>105</v>
      </c>
      <c r="G29" s="134">
        <v>6.6333333333333341E-2</v>
      </c>
      <c r="H29" s="77">
        <f>0.794-G29</f>
        <v>0.72766666666666668</v>
      </c>
      <c r="I29" s="78">
        <f>0.798-G29</f>
        <v>0.73166666666666669</v>
      </c>
      <c r="J29" s="78">
        <f>0.795-G29</f>
        <v>0.72866666666666668</v>
      </c>
      <c r="K29" s="78">
        <f>4.0992*H29</f>
        <v>2.9828511999999998</v>
      </c>
      <c r="L29" s="78">
        <f t="shared" ref="L29:M31" si="22">4.0992*I29</f>
        <v>2.9992479999999997</v>
      </c>
      <c r="M29" s="78">
        <f t="shared" si="22"/>
        <v>2.9869504</v>
      </c>
      <c r="N29" s="78">
        <f t="shared" si="7"/>
        <v>2.9896832</v>
      </c>
      <c r="O29" s="78">
        <f t="shared" ref="O29:O31" si="23">N29/25</f>
        <v>0.11958732799999999</v>
      </c>
      <c r="P29" s="78">
        <f t="shared" si="3"/>
        <v>8.5419520000000002E-3</v>
      </c>
      <c r="Q29" s="78">
        <f t="shared" si="4"/>
        <v>8.5419520000000002E-3</v>
      </c>
      <c r="R29" s="78">
        <f t="shared" si="5"/>
        <v>0.52960102399999998</v>
      </c>
      <c r="S29" s="158"/>
      <c r="T29" s="57"/>
      <c r="U29" s="83"/>
    </row>
    <row r="30" spans="2:27" x14ac:dyDescent="0.15">
      <c r="B30" s="46"/>
      <c r="D30" s="84"/>
      <c r="F30" s="105" t="s">
        <v>106</v>
      </c>
      <c r="G30" s="105"/>
      <c r="H30" s="77">
        <f>0.793-G29</f>
        <v>0.72666666666666668</v>
      </c>
      <c r="I30" s="78">
        <f>0.79-G29</f>
        <v>0.72366666666666668</v>
      </c>
      <c r="J30" s="78">
        <f>0.792-G29</f>
        <v>0.72566666666666668</v>
      </c>
      <c r="K30" s="78">
        <f t="shared" ref="K30:K31" si="24">4.0992*H30</f>
        <v>2.9787520000000001</v>
      </c>
      <c r="L30" s="78">
        <f t="shared" si="22"/>
        <v>2.9664543999999999</v>
      </c>
      <c r="M30" s="78">
        <f t="shared" si="22"/>
        <v>2.9746527999999999</v>
      </c>
      <c r="N30" s="78">
        <f t="shared" si="7"/>
        <v>2.9732863999999997</v>
      </c>
      <c r="O30" s="78">
        <f t="shared" si="23"/>
        <v>0.11893145599999999</v>
      </c>
      <c r="P30" s="78">
        <f t="shared" si="3"/>
        <v>8.4951039999999998E-3</v>
      </c>
      <c r="Q30" s="78">
        <f t="shared" si="4"/>
        <v>8.4951039999999998E-3</v>
      </c>
      <c r="R30" s="78">
        <f t="shared" si="5"/>
        <v>0.52669644800000004</v>
      </c>
      <c r="S30" s="158"/>
      <c r="T30" s="57"/>
      <c r="U30" s="83"/>
    </row>
    <row r="31" spans="2:27" ht="14" thickBot="1" x14ac:dyDescent="0.2">
      <c r="B31" s="138"/>
      <c r="C31" s="160"/>
      <c r="D31" s="160"/>
      <c r="E31" s="160"/>
      <c r="F31" s="105" t="s">
        <v>107</v>
      </c>
      <c r="G31" s="161"/>
      <c r="H31" s="145">
        <f>0.793-G29</f>
        <v>0.72666666666666668</v>
      </c>
      <c r="I31" s="106">
        <f>0.792-G29</f>
        <v>0.72566666666666668</v>
      </c>
      <c r="J31" s="106">
        <f>0.79-G29</f>
        <v>0.72366666666666668</v>
      </c>
      <c r="K31" s="106">
        <f t="shared" si="24"/>
        <v>2.9787520000000001</v>
      </c>
      <c r="L31" s="106">
        <f t="shared" si="22"/>
        <v>2.9746527999999999</v>
      </c>
      <c r="M31" s="106">
        <f t="shared" si="22"/>
        <v>2.9664543999999999</v>
      </c>
      <c r="N31" s="106">
        <f t="shared" si="7"/>
        <v>2.9732863999999997</v>
      </c>
      <c r="O31" s="106">
        <f t="shared" si="23"/>
        <v>0.11893145599999999</v>
      </c>
      <c r="P31" s="106">
        <f t="shared" si="3"/>
        <v>8.4951039999999998E-3</v>
      </c>
      <c r="Q31" s="106">
        <f t="shared" si="4"/>
        <v>8.4951039999999998E-3</v>
      </c>
      <c r="R31" s="106">
        <f t="shared" si="5"/>
        <v>0.52669644800000004</v>
      </c>
      <c r="S31" s="162">
        <f>AVERAGE(R29:R31)</f>
        <v>0.52766464000000002</v>
      </c>
      <c r="T31" s="106">
        <f>STDEV(R29:R31)</f>
        <v>1.6769577354816898E-3</v>
      </c>
      <c r="U31" s="144">
        <f>T31/SQRT(3)</f>
        <v>9.6819199999997896E-4</v>
      </c>
    </row>
    <row r="32" spans="2:27" ht="17" thickBot="1" x14ac:dyDescent="0.2">
      <c r="B32" s="261" t="s">
        <v>78</v>
      </c>
      <c r="C32" s="262"/>
      <c r="D32" s="262"/>
      <c r="E32" s="262"/>
      <c r="F32" s="262"/>
      <c r="G32" s="262"/>
      <c r="H32" s="262"/>
      <c r="I32" s="262"/>
      <c r="J32" s="262"/>
      <c r="K32" s="262"/>
      <c r="L32" s="262"/>
      <c r="M32" s="262"/>
      <c r="N32" s="262"/>
      <c r="O32" s="262"/>
      <c r="P32" s="262"/>
      <c r="Q32" s="262"/>
      <c r="R32" s="262"/>
      <c r="S32" s="262"/>
      <c r="T32" s="262"/>
      <c r="U32" s="263"/>
      <c r="W32" s="257" t="s">
        <v>113</v>
      </c>
      <c r="X32" s="257"/>
      <c r="Y32" s="257"/>
    </row>
    <row r="33" spans="2:29" ht="30" x14ac:dyDescent="0.15">
      <c r="B33" s="114" t="s">
        <v>0</v>
      </c>
      <c r="C33" s="66" t="s">
        <v>1</v>
      </c>
      <c r="D33" s="66" t="s">
        <v>2</v>
      </c>
      <c r="E33" s="117" t="s">
        <v>17</v>
      </c>
      <c r="F33" s="116"/>
      <c r="G33" s="116" t="s">
        <v>18</v>
      </c>
      <c r="H33" s="258" t="s">
        <v>19</v>
      </c>
      <c r="I33" s="259"/>
      <c r="J33" s="259"/>
      <c r="K33" s="260" t="s">
        <v>103</v>
      </c>
      <c r="L33" s="260"/>
      <c r="M33" s="260"/>
      <c r="N33" s="66" t="s">
        <v>20</v>
      </c>
      <c r="O33" s="66" t="s">
        <v>21</v>
      </c>
      <c r="P33" s="66" t="s">
        <v>21</v>
      </c>
      <c r="Q33" s="66" t="s">
        <v>101</v>
      </c>
      <c r="R33" s="117" t="s">
        <v>101</v>
      </c>
      <c r="S33" s="66" t="s">
        <v>102</v>
      </c>
      <c r="T33" s="66" t="s">
        <v>89</v>
      </c>
      <c r="U33" s="115" t="s">
        <v>71</v>
      </c>
      <c r="W33" s="57" t="s">
        <v>2</v>
      </c>
      <c r="X33" s="76" t="str">
        <f>S33</f>
        <v>Average NO3 concentration</v>
      </c>
      <c r="Y33" s="76" t="str">
        <f>U33</f>
        <v>Standard error</v>
      </c>
      <c r="Z33" s="57"/>
      <c r="AA33" s="118"/>
      <c r="AB33" s="118"/>
      <c r="AC33" s="118"/>
    </row>
    <row r="34" spans="2:29" ht="14" x14ac:dyDescent="0.15">
      <c r="B34" s="119"/>
      <c r="C34" s="156"/>
      <c r="D34" s="157"/>
      <c r="E34" s="157"/>
      <c r="F34" s="120"/>
      <c r="G34" s="120"/>
      <c r="H34" s="157"/>
      <c r="I34" s="157"/>
      <c r="J34" s="157"/>
      <c r="K34" s="74"/>
      <c r="L34" s="74"/>
      <c r="M34" s="74"/>
      <c r="N34" s="74" t="s">
        <v>22</v>
      </c>
      <c r="O34" s="74" t="s">
        <v>15</v>
      </c>
      <c r="P34" s="74" t="s">
        <v>23</v>
      </c>
      <c r="Q34" s="74" t="s">
        <v>23</v>
      </c>
      <c r="R34" s="72" t="s">
        <v>15</v>
      </c>
      <c r="S34" s="74" t="s">
        <v>15</v>
      </c>
      <c r="T34" s="74"/>
      <c r="U34" s="70"/>
      <c r="W34" s="84">
        <v>0</v>
      </c>
      <c r="X34" s="78">
        <f>S37</f>
        <v>1.5981316300529098</v>
      </c>
      <c r="Y34" s="78">
        <f>U37</f>
        <v>5.4878377286387232E-2</v>
      </c>
      <c r="Z34" s="78"/>
      <c r="AA34" s="118"/>
      <c r="AB34" s="118"/>
      <c r="AC34" s="118"/>
    </row>
    <row r="35" spans="2:29" x14ac:dyDescent="0.15">
      <c r="B35" s="173" t="s">
        <v>24</v>
      </c>
      <c r="C35" s="170">
        <v>0.52083333333333337</v>
      </c>
      <c r="D35" s="84">
        <v>0</v>
      </c>
      <c r="E35" s="57">
        <v>1</v>
      </c>
      <c r="F35" s="105" t="s">
        <v>105</v>
      </c>
      <c r="G35" s="174">
        <v>6.4666666666666664E-2</v>
      </c>
      <c r="H35" s="176">
        <f>1.974-G35</f>
        <v>1.9093333333333333</v>
      </c>
      <c r="I35" s="129">
        <v>1.8680000000000001</v>
      </c>
      <c r="J35" s="129">
        <v>1.89</v>
      </c>
      <c r="K35" s="78">
        <f>3.0288*H35</f>
        <v>5.7829888</v>
      </c>
      <c r="L35" s="78">
        <f t="shared" ref="L35:M37" si="25">3.0288*I35</f>
        <v>5.6577983999999999</v>
      </c>
      <c r="M35" s="78">
        <f t="shared" si="25"/>
        <v>5.7244319999999993</v>
      </c>
      <c r="N35" s="78">
        <f>AVERAGE(K35:M35)</f>
        <v>5.7217397333333331</v>
      </c>
      <c r="O35" s="78">
        <f>N35/15</f>
        <v>0.38144931555555556</v>
      </c>
      <c r="P35" s="78">
        <f>O35/14</f>
        <v>2.7246379682539682E-2</v>
      </c>
      <c r="Q35" s="78">
        <f>P35</f>
        <v>2.7246379682539682E-2</v>
      </c>
      <c r="R35" s="78">
        <f>Q35*62</f>
        <v>1.6892755403174602</v>
      </c>
      <c r="S35" s="158"/>
      <c r="T35" s="57"/>
      <c r="U35" s="83"/>
      <c r="W35" s="84">
        <f>D38</f>
        <v>45.733333333333334</v>
      </c>
      <c r="X35" s="78">
        <f>S40</f>
        <v>1.4945772814814815</v>
      </c>
      <c r="Y35" s="78">
        <f>U40</f>
        <v>4.4938478631499738E-2</v>
      </c>
      <c r="Z35" s="78"/>
      <c r="AA35" s="154"/>
      <c r="AB35" s="154"/>
      <c r="AC35" s="154"/>
    </row>
    <row r="36" spans="2:29" x14ac:dyDescent="0.15">
      <c r="B36" s="59"/>
      <c r="C36" s="170"/>
      <c r="D36" s="84"/>
      <c r="E36" s="57"/>
      <c r="F36" s="105" t="s">
        <v>106</v>
      </c>
      <c r="G36" s="134"/>
      <c r="H36" s="77">
        <f>1.811-G35</f>
        <v>1.7463333333333333</v>
      </c>
      <c r="I36" s="78">
        <v>1.776</v>
      </c>
      <c r="J36" s="78">
        <v>1.8640000000000001</v>
      </c>
      <c r="K36" s="78">
        <f t="shared" ref="K36:K37" si="26">3.0288*H36</f>
        <v>5.2892944000000002</v>
      </c>
      <c r="L36" s="78">
        <f t="shared" si="25"/>
        <v>5.3791488000000003</v>
      </c>
      <c r="M36" s="78">
        <f t="shared" si="25"/>
        <v>5.6456832000000006</v>
      </c>
      <c r="N36" s="78">
        <f>AVERAGE(K36:M36)</f>
        <v>5.4380421333333331</v>
      </c>
      <c r="O36" s="78">
        <f t="shared" ref="O36:O40" si="27">N36/15</f>
        <v>0.36253614222222219</v>
      </c>
      <c r="P36" s="78">
        <f t="shared" ref="P36:P61" si="28">O36/14</f>
        <v>2.5895438730158728E-2</v>
      </c>
      <c r="Q36" s="78">
        <f t="shared" ref="Q36:Q61" si="29">P36</f>
        <v>2.5895438730158728E-2</v>
      </c>
      <c r="R36" s="78">
        <f t="shared" ref="R36:R61" si="30">Q36*62</f>
        <v>1.6055172012698411</v>
      </c>
      <c r="S36" s="158"/>
      <c r="T36" s="57"/>
      <c r="U36" s="83"/>
      <c r="W36" s="84">
        <f>D41</f>
        <v>96.6</v>
      </c>
      <c r="X36" s="78">
        <f>S43</f>
        <v>1.3991164899999997</v>
      </c>
      <c r="Y36" s="78">
        <f>U43</f>
        <v>6.9141104697248351E-2</v>
      </c>
      <c r="Z36" s="78"/>
      <c r="AA36" s="154"/>
      <c r="AB36" s="154"/>
      <c r="AC36" s="154"/>
    </row>
    <row r="37" spans="2:29" x14ac:dyDescent="0.15">
      <c r="B37" s="59"/>
      <c r="C37" s="170"/>
      <c r="D37" s="84"/>
      <c r="E37" s="57"/>
      <c r="F37" s="105" t="s">
        <v>107</v>
      </c>
      <c r="G37" s="134"/>
      <c r="H37" s="77">
        <v>1.758</v>
      </c>
      <c r="I37" s="78">
        <v>1.581</v>
      </c>
      <c r="J37" s="78">
        <v>1.6919999999999999</v>
      </c>
      <c r="K37" s="78">
        <f t="shared" si="26"/>
        <v>5.3246304000000002</v>
      </c>
      <c r="L37" s="78">
        <f t="shared" si="25"/>
        <v>4.7885327999999996</v>
      </c>
      <c r="M37" s="78">
        <f t="shared" si="25"/>
        <v>5.1247295999999993</v>
      </c>
      <c r="N37" s="78">
        <f>AVERAGE(K37:M37)</f>
        <v>5.0792975999999994</v>
      </c>
      <c r="O37" s="78">
        <f t="shared" si="27"/>
        <v>0.33861983999999995</v>
      </c>
      <c r="P37" s="78">
        <f t="shared" si="28"/>
        <v>2.4187131428571425E-2</v>
      </c>
      <c r="Q37" s="78">
        <f t="shared" si="29"/>
        <v>2.4187131428571425E-2</v>
      </c>
      <c r="R37" s="78">
        <f t="shared" si="30"/>
        <v>1.4996021485714284</v>
      </c>
      <c r="S37" s="159">
        <f>AVERAGE(R35:R37)</f>
        <v>1.5981316300529098</v>
      </c>
      <c r="T37" s="78">
        <f>STDEV(R35:R37)</f>
        <v>9.5052137696956529E-2</v>
      </c>
      <c r="U37" s="121">
        <f>T37/SQRT(3)</f>
        <v>5.4878377286387232E-2</v>
      </c>
      <c r="W37" s="84">
        <f>D44</f>
        <v>141.13333333333333</v>
      </c>
      <c r="X37" s="78">
        <f>S46</f>
        <v>1.1764821366666667</v>
      </c>
      <c r="Y37" s="78">
        <f>U46</f>
        <v>1.5159608659462346E-2</v>
      </c>
      <c r="Z37" s="78"/>
      <c r="AA37" s="154"/>
      <c r="AB37" s="154"/>
      <c r="AC37" s="154"/>
    </row>
    <row r="38" spans="2:29" x14ac:dyDescent="0.15">
      <c r="B38" s="173" t="s">
        <v>26</v>
      </c>
      <c r="C38" s="170">
        <v>0.42638888888888887</v>
      </c>
      <c r="D38" s="84">
        <v>45.733333333333334</v>
      </c>
      <c r="E38" s="57">
        <v>3</v>
      </c>
      <c r="F38" s="105" t="s">
        <v>105</v>
      </c>
      <c r="G38" s="174">
        <v>7.4333333333333321E-2</v>
      </c>
      <c r="H38" s="96">
        <v>1.881</v>
      </c>
      <c r="I38" s="97">
        <v>1.7909999999999999</v>
      </c>
      <c r="J38" s="97">
        <v>1.671</v>
      </c>
      <c r="K38" s="78">
        <f>3.0065*H38</f>
        <v>5.6552264999999995</v>
      </c>
      <c r="L38" s="78">
        <f t="shared" ref="L38:M40" si="31">3.0065*I38</f>
        <v>5.3846414999999999</v>
      </c>
      <c r="M38" s="78">
        <f t="shared" si="31"/>
        <v>5.0238614999999998</v>
      </c>
      <c r="N38" s="78">
        <f t="shared" ref="N38:N61" si="32">AVERAGE(K38:M38)</f>
        <v>5.3545764999999994</v>
      </c>
      <c r="O38" s="78">
        <f t="shared" si="27"/>
        <v>0.35697176666666663</v>
      </c>
      <c r="P38" s="78">
        <f t="shared" si="28"/>
        <v>2.5497983333333332E-2</v>
      </c>
      <c r="Q38" s="78">
        <f t="shared" si="29"/>
        <v>2.5497983333333332E-2</v>
      </c>
      <c r="R38" s="78">
        <f t="shared" si="30"/>
        <v>1.5808749666666666</v>
      </c>
      <c r="S38" s="122"/>
      <c r="T38" s="97"/>
      <c r="U38" s="123"/>
      <c r="W38" s="84">
        <f>D47</f>
        <v>189.79999999999998</v>
      </c>
      <c r="X38" s="78">
        <f>S49</f>
        <v>1.0130922966666667</v>
      </c>
      <c r="Y38" s="78">
        <f>U49</f>
        <v>1.4222493292084618E-2</v>
      </c>
      <c r="Z38" s="78"/>
      <c r="AA38" s="154"/>
      <c r="AB38" s="154"/>
      <c r="AC38" s="154"/>
    </row>
    <row r="39" spans="2:29" x14ac:dyDescent="0.15">
      <c r="B39" s="59"/>
      <c r="C39" s="170"/>
      <c r="D39" s="84"/>
      <c r="E39" s="57"/>
      <c r="F39" s="105" t="s">
        <v>106</v>
      </c>
      <c r="G39" s="134"/>
      <c r="H39" s="77">
        <v>1.7589999999999999</v>
      </c>
      <c r="I39" s="78">
        <v>1.726</v>
      </c>
      <c r="J39" s="78">
        <v>1.494</v>
      </c>
      <c r="K39" s="78">
        <f t="shared" ref="K39:K40" si="33">3.0065*H39</f>
        <v>5.2884335</v>
      </c>
      <c r="L39" s="78">
        <f t="shared" si="31"/>
        <v>5.1892189999999996</v>
      </c>
      <c r="M39" s="78">
        <f t="shared" si="31"/>
        <v>4.4917109999999996</v>
      </c>
      <c r="N39" s="78">
        <f t="shared" si="32"/>
        <v>4.9897878333333336</v>
      </c>
      <c r="O39" s="78">
        <f t="shared" si="27"/>
        <v>0.33265252222222225</v>
      </c>
      <c r="P39" s="78">
        <f t="shared" si="28"/>
        <v>2.3760894444444448E-2</v>
      </c>
      <c r="Q39" s="78">
        <f t="shared" si="29"/>
        <v>2.3760894444444448E-2</v>
      </c>
      <c r="R39" s="78">
        <f t="shared" si="30"/>
        <v>1.4731754555555558</v>
      </c>
      <c r="S39" s="159"/>
      <c r="T39" s="78"/>
      <c r="U39" s="121"/>
      <c r="W39" s="84">
        <f>D50</f>
        <v>238.64999999999998</v>
      </c>
      <c r="X39" s="78">
        <f>S52</f>
        <v>0.8812010129365081</v>
      </c>
      <c r="Y39" s="78">
        <f>U52</f>
        <v>2.5073886598219582E-2</v>
      </c>
      <c r="Z39" s="78"/>
      <c r="AA39" s="154"/>
      <c r="AB39" s="154"/>
      <c r="AC39" s="154"/>
    </row>
    <row r="40" spans="2:29" x14ac:dyDescent="0.15">
      <c r="B40" s="59"/>
      <c r="C40" s="170"/>
      <c r="D40" s="84"/>
      <c r="E40" s="57"/>
      <c r="F40" s="105" t="s">
        <v>107</v>
      </c>
      <c r="G40" s="134"/>
      <c r="H40" s="77">
        <v>1.8680000000000001</v>
      </c>
      <c r="I40" s="78">
        <v>1.679</v>
      </c>
      <c r="J40" s="78">
        <v>1.2849999999999999</v>
      </c>
      <c r="K40" s="78">
        <f t="shared" si="33"/>
        <v>5.616142</v>
      </c>
      <c r="L40" s="78">
        <f t="shared" si="31"/>
        <v>5.0479134999999999</v>
      </c>
      <c r="M40" s="78">
        <f t="shared" si="31"/>
        <v>3.8633524999999995</v>
      </c>
      <c r="N40" s="78">
        <f t="shared" si="32"/>
        <v>4.8424693333333328</v>
      </c>
      <c r="O40" s="78">
        <f t="shared" si="27"/>
        <v>0.32283128888888885</v>
      </c>
      <c r="P40" s="78">
        <f t="shared" si="28"/>
        <v>2.3059377777777775E-2</v>
      </c>
      <c r="Q40" s="78">
        <f t="shared" si="29"/>
        <v>2.3059377777777775E-2</v>
      </c>
      <c r="R40" s="78">
        <f t="shared" si="30"/>
        <v>1.4296814222222221</v>
      </c>
      <c r="S40" s="124">
        <f>AVERAGE(R38:R40)</f>
        <v>1.4945772814814815</v>
      </c>
      <c r="T40" s="78">
        <f>STDEV(R38:R40)</f>
        <v>7.7835728204605853E-2</v>
      </c>
      <c r="U40" s="121">
        <f>T40/SQRT(3)</f>
        <v>4.4938478631499738E-2</v>
      </c>
      <c r="W40" s="84">
        <f>D53</f>
        <v>286.68333333333328</v>
      </c>
      <c r="X40" s="78">
        <f>S55</f>
        <v>0.73934391809523792</v>
      </c>
      <c r="Y40" s="78">
        <f>U55</f>
        <v>3.260176660989586E-2</v>
      </c>
      <c r="Z40" s="78"/>
      <c r="AA40" s="154"/>
      <c r="AB40" s="154"/>
      <c r="AC40" s="154"/>
    </row>
    <row r="41" spans="2:29" x14ac:dyDescent="0.15">
      <c r="B41" s="59" t="s">
        <v>28</v>
      </c>
      <c r="C41" s="170">
        <v>0.54583333333333328</v>
      </c>
      <c r="D41" s="84">
        <v>96.6</v>
      </c>
      <c r="E41" s="57">
        <v>5</v>
      </c>
      <c r="F41" s="105" t="s">
        <v>105</v>
      </c>
      <c r="G41" s="134">
        <v>7.2666666666666671E-2</v>
      </c>
      <c r="H41" s="77">
        <f>2.07-G41</f>
        <v>1.9973333333333332</v>
      </c>
      <c r="I41" s="78">
        <f>2.094-G41</f>
        <v>2.0213333333333332</v>
      </c>
      <c r="J41" s="78">
        <f>2.186-G41</f>
        <v>2.1133333333333333</v>
      </c>
      <c r="K41" s="78">
        <f>3.1773*H41</f>
        <v>6.3461271999999989</v>
      </c>
      <c r="L41" s="78">
        <f t="shared" ref="L41:M43" si="34">3.1773*I41</f>
        <v>6.4223823999999992</v>
      </c>
      <c r="M41" s="78">
        <f t="shared" si="34"/>
        <v>6.7146939999999997</v>
      </c>
      <c r="N41" s="78">
        <f t="shared" si="32"/>
        <v>6.4944011999999987</v>
      </c>
      <c r="O41" s="78">
        <f>N41/20</f>
        <v>0.32472005999999992</v>
      </c>
      <c r="P41" s="78">
        <f t="shared" si="28"/>
        <v>2.3194289999999996E-2</v>
      </c>
      <c r="Q41" s="78">
        <f t="shared" si="29"/>
        <v>2.3194289999999996E-2</v>
      </c>
      <c r="R41" s="78">
        <f t="shared" si="30"/>
        <v>1.4380459799999998</v>
      </c>
      <c r="S41" s="159"/>
      <c r="T41" s="78"/>
      <c r="U41" s="121"/>
      <c r="W41" s="84">
        <f>D56</f>
        <v>334.21666666666664</v>
      </c>
      <c r="X41" s="78">
        <f>S58</f>
        <v>0.62457958571428573</v>
      </c>
      <c r="Y41" s="78">
        <f>U58</f>
        <v>1.9608109505997461E-2</v>
      </c>
      <c r="Z41" s="78"/>
      <c r="AA41" s="154"/>
      <c r="AB41" s="154"/>
      <c r="AC41" s="154"/>
    </row>
    <row r="42" spans="2:29" ht="15" customHeight="1" x14ac:dyDescent="0.15">
      <c r="B42" s="59"/>
      <c r="C42" s="170"/>
      <c r="D42" s="84"/>
      <c r="E42" s="57"/>
      <c r="F42" s="105" t="s">
        <v>106</v>
      </c>
      <c r="G42" s="134"/>
      <c r="H42" s="77">
        <f>2.063-G41</f>
        <v>1.9903333333333335</v>
      </c>
      <c r="I42" s="78">
        <f>2.092-G41</f>
        <v>2.0193333333333334</v>
      </c>
      <c r="J42" s="78">
        <f>2.436-G41</f>
        <v>2.3633333333333333</v>
      </c>
      <c r="K42" s="78">
        <f t="shared" ref="K42:K43" si="35">3.1773*H42</f>
        <v>6.3238861000000002</v>
      </c>
      <c r="L42" s="78">
        <f t="shared" si="34"/>
        <v>6.4160278000000002</v>
      </c>
      <c r="M42" s="78">
        <f t="shared" si="34"/>
        <v>7.5090189999999994</v>
      </c>
      <c r="N42" s="78">
        <f t="shared" si="32"/>
        <v>6.7496442999999999</v>
      </c>
      <c r="O42" s="78">
        <f>N42/20</f>
        <v>0.33748221499999997</v>
      </c>
      <c r="P42" s="78">
        <f t="shared" si="28"/>
        <v>2.4105872499999997E-2</v>
      </c>
      <c r="Q42" s="78">
        <f t="shared" si="29"/>
        <v>2.4105872499999997E-2</v>
      </c>
      <c r="R42" s="78">
        <f t="shared" si="30"/>
        <v>1.4945640949999999</v>
      </c>
      <c r="S42" s="159"/>
      <c r="T42" s="78"/>
      <c r="U42" s="121"/>
      <c r="W42" s="84">
        <f>D59</f>
        <v>430.93333333333334</v>
      </c>
      <c r="X42" s="78">
        <f>S61</f>
        <v>0.50273369600000006</v>
      </c>
      <c r="Y42" s="78">
        <f>U61</f>
        <v>4.1756612411943998E-2</v>
      </c>
      <c r="Z42" s="78"/>
      <c r="AA42" s="154"/>
      <c r="AB42" s="154"/>
      <c r="AC42" s="154"/>
    </row>
    <row r="43" spans="2:29" ht="15" customHeight="1" x14ac:dyDescent="0.15">
      <c r="B43" s="130"/>
      <c r="C43" s="171"/>
      <c r="D43" s="168"/>
      <c r="E43" s="91"/>
      <c r="F43" s="105" t="s">
        <v>107</v>
      </c>
      <c r="G43" s="135"/>
      <c r="H43" s="85">
        <f>1.896-G41</f>
        <v>1.8233333333333333</v>
      </c>
      <c r="I43" s="86">
        <f>1.715-G41</f>
        <v>1.6423333333333334</v>
      </c>
      <c r="J43" s="86">
        <f>2-G41</f>
        <v>1.9273333333333333</v>
      </c>
      <c r="K43" s="78">
        <f t="shared" si="35"/>
        <v>5.7932769999999998</v>
      </c>
      <c r="L43" s="78">
        <f t="shared" si="34"/>
        <v>5.2181857000000003</v>
      </c>
      <c r="M43" s="78">
        <f t="shared" si="34"/>
        <v>6.1237161999999996</v>
      </c>
      <c r="N43" s="78">
        <f t="shared" si="32"/>
        <v>5.7117262999999996</v>
      </c>
      <c r="O43" s="78">
        <f>N43/20</f>
        <v>0.28558631499999998</v>
      </c>
      <c r="P43" s="78">
        <f t="shared" si="28"/>
        <v>2.0399022499999999E-2</v>
      </c>
      <c r="Q43" s="78">
        <f t="shared" si="29"/>
        <v>2.0399022499999999E-2</v>
      </c>
      <c r="R43" s="78">
        <f t="shared" si="30"/>
        <v>1.2647393949999999</v>
      </c>
      <c r="S43" s="124">
        <f>AVERAGE(R41:R43)</f>
        <v>1.3991164899999997</v>
      </c>
      <c r="T43" s="86">
        <f>STDEV(R41:R43)</f>
        <v>0.1197559062270733</v>
      </c>
      <c r="U43" s="125">
        <f>T43/SQRT(3)</f>
        <v>6.9141104697248351E-2</v>
      </c>
      <c r="W43" s="84"/>
      <c r="X43" s="78"/>
      <c r="Y43" s="78"/>
      <c r="Z43" s="78"/>
      <c r="AA43" s="154"/>
      <c r="AB43" s="154"/>
      <c r="AC43" s="154"/>
    </row>
    <row r="44" spans="2:29" x14ac:dyDescent="0.15">
      <c r="B44" s="173" t="s">
        <v>30</v>
      </c>
      <c r="C44" s="170">
        <v>0.40138888888888885</v>
      </c>
      <c r="D44" s="84">
        <v>141.13333333333333</v>
      </c>
      <c r="E44" s="57">
        <v>7</v>
      </c>
      <c r="F44" s="105" t="s">
        <v>105</v>
      </c>
      <c r="G44" s="134">
        <v>7.1333333333333346E-2</v>
      </c>
      <c r="H44" s="77">
        <f>1.749-G44</f>
        <v>1.6776666666666669</v>
      </c>
      <c r="I44" s="78">
        <f>1.75-G44</f>
        <v>1.6786666666666668</v>
      </c>
      <c r="J44" s="78">
        <f>1.734-G44</f>
        <v>1.6626666666666667</v>
      </c>
      <c r="K44" s="78">
        <f>3.1582*H44</f>
        <v>5.2984068666666673</v>
      </c>
      <c r="L44" s="78">
        <f t="shared" ref="L44:M46" si="36">3.1582*I44</f>
        <v>5.3015650666666669</v>
      </c>
      <c r="M44" s="78">
        <f t="shared" si="36"/>
        <v>5.2510338666666669</v>
      </c>
      <c r="N44" s="78">
        <f t="shared" si="32"/>
        <v>5.2836686000000004</v>
      </c>
      <c r="O44" s="78">
        <f t="shared" ref="O44:O55" si="37">N44/20</f>
        <v>0.26418343</v>
      </c>
      <c r="P44" s="78">
        <f t="shared" si="28"/>
        <v>1.8870245000000001E-2</v>
      </c>
      <c r="Q44" s="78">
        <f t="shared" si="29"/>
        <v>1.8870245000000001E-2</v>
      </c>
      <c r="R44" s="78">
        <f t="shared" si="30"/>
        <v>1.16995519</v>
      </c>
      <c r="S44" s="158"/>
      <c r="T44" s="57"/>
      <c r="U44" s="83"/>
      <c r="W44" s="154"/>
    </row>
    <row r="45" spans="2:29" x14ac:dyDescent="0.15">
      <c r="B45" s="59"/>
      <c r="C45" s="170"/>
      <c r="D45" s="84"/>
      <c r="E45" s="57"/>
      <c r="F45" s="105" t="s">
        <v>106</v>
      </c>
      <c r="G45" s="134"/>
      <c r="H45" s="77">
        <f>1.743-G44</f>
        <v>1.6716666666666669</v>
      </c>
      <c r="I45" s="78">
        <f>1.879-G44</f>
        <v>1.8076666666666668</v>
      </c>
      <c r="J45" s="78">
        <f>1.763-G44</f>
        <v>1.6916666666666667</v>
      </c>
      <c r="K45" s="78">
        <f t="shared" ref="K45:K46" si="38">3.1582*H45</f>
        <v>5.2794576666666675</v>
      </c>
      <c r="L45" s="78">
        <f t="shared" si="36"/>
        <v>5.7089728666666666</v>
      </c>
      <c r="M45" s="78">
        <f t="shared" si="36"/>
        <v>5.3426216666666662</v>
      </c>
      <c r="N45" s="78">
        <f t="shared" si="32"/>
        <v>5.443684066666667</v>
      </c>
      <c r="O45" s="78">
        <f t="shared" si="37"/>
        <v>0.27218420333333337</v>
      </c>
      <c r="P45" s="78">
        <f t="shared" si="28"/>
        <v>1.9441728809523811E-2</v>
      </c>
      <c r="Q45" s="78">
        <f t="shared" si="29"/>
        <v>1.9441728809523811E-2</v>
      </c>
      <c r="R45" s="78">
        <f t="shared" si="30"/>
        <v>1.2053871861904764</v>
      </c>
      <c r="S45" s="158"/>
      <c r="T45" s="57"/>
      <c r="U45" s="83"/>
    </row>
    <row r="46" spans="2:29" x14ac:dyDescent="0.15">
      <c r="B46" s="59"/>
      <c r="C46" s="170"/>
      <c r="D46" s="84"/>
      <c r="E46" s="57"/>
      <c r="F46" s="105" t="s">
        <v>107</v>
      </c>
      <c r="G46" s="134"/>
      <c r="H46" s="77">
        <f>1.716-G44</f>
        <v>1.6446666666666667</v>
      </c>
      <c r="I46" s="78">
        <f>1.737-G44</f>
        <v>1.6656666666666669</v>
      </c>
      <c r="J46" s="78">
        <f>1.712-G44</f>
        <v>1.6406666666666667</v>
      </c>
      <c r="K46" s="78">
        <f t="shared" si="38"/>
        <v>5.1941862666666667</v>
      </c>
      <c r="L46" s="78">
        <f t="shared" si="36"/>
        <v>5.2605084666666668</v>
      </c>
      <c r="M46" s="78">
        <f t="shared" si="36"/>
        <v>5.1815534666666663</v>
      </c>
      <c r="N46" s="78">
        <f t="shared" si="32"/>
        <v>5.2120827333333333</v>
      </c>
      <c r="O46" s="78">
        <f t="shared" si="37"/>
        <v>0.26060413666666665</v>
      </c>
      <c r="P46" s="78">
        <f t="shared" si="28"/>
        <v>1.8614581190476188E-2</v>
      </c>
      <c r="Q46" s="78">
        <f t="shared" si="29"/>
        <v>1.8614581190476188E-2</v>
      </c>
      <c r="R46" s="78">
        <f t="shared" si="30"/>
        <v>1.1541040338095236</v>
      </c>
      <c r="S46" s="124">
        <f>AVERAGE(R44:R46)</f>
        <v>1.1764821366666667</v>
      </c>
      <c r="T46" s="78">
        <f>STDEV(R44:R46)</f>
        <v>2.6257212421049898E-2</v>
      </c>
      <c r="U46" s="121">
        <f>T46/SQRT(3)</f>
        <v>1.5159608659462346E-2</v>
      </c>
    </row>
    <row r="47" spans="2:29" x14ac:dyDescent="0.15">
      <c r="B47" s="59" t="s">
        <v>32</v>
      </c>
      <c r="C47" s="170">
        <v>0.4291666666666667</v>
      </c>
      <c r="D47" s="84">
        <v>189.79999999999998</v>
      </c>
      <c r="E47" s="57">
        <v>9</v>
      </c>
      <c r="F47" s="105" t="s">
        <v>105</v>
      </c>
      <c r="G47" s="134">
        <v>7.3999999999999996E-2</v>
      </c>
      <c r="H47" s="77">
        <v>1.5169999999999999</v>
      </c>
      <c r="I47" s="78">
        <v>1.5269999999999999</v>
      </c>
      <c r="J47" s="78">
        <v>1.5089999999999999</v>
      </c>
      <c r="K47" s="78">
        <f>3.0993*H47</f>
        <v>4.7016380999999994</v>
      </c>
      <c r="L47" s="78">
        <f t="shared" ref="L47:M49" si="39">3.0993*I47</f>
        <v>4.7326310999999999</v>
      </c>
      <c r="M47" s="78">
        <f t="shared" si="39"/>
        <v>4.6768436999999992</v>
      </c>
      <c r="N47" s="78">
        <f t="shared" si="32"/>
        <v>4.7037042999999992</v>
      </c>
      <c r="O47" s="78">
        <f t="shared" si="37"/>
        <v>0.23518521499999995</v>
      </c>
      <c r="P47" s="78">
        <f t="shared" si="28"/>
        <v>1.6798943928571425E-2</v>
      </c>
      <c r="Q47" s="78">
        <f t="shared" si="29"/>
        <v>1.6798943928571425E-2</v>
      </c>
      <c r="R47" s="78">
        <f t="shared" si="30"/>
        <v>1.0415345235714284</v>
      </c>
      <c r="S47" s="158"/>
      <c r="T47" s="57"/>
      <c r="U47" s="83"/>
    </row>
    <row r="48" spans="2:29" x14ac:dyDescent="0.15">
      <c r="B48" s="59"/>
      <c r="C48" s="170"/>
      <c r="D48" s="84"/>
      <c r="E48" s="57"/>
      <c r="F48" s="105" t="s">
        <v>106</v>
      </c>
      <c r="G48" s="134"/>
      <c r="H48" s="77">
        <v>1.415</v>
      </c>
      <c r="I48" s="78">
        <v>1.4890000000000001</v>
      </c>
      <c r="J48" s="78">
        <v>1.4610000000000001</v>
      </c>
      <c r="K48" s="78">
        <f t="shared" ref="K48:K49" si="40">3.0993*H48</f>
        <v>4.3855095000000004</v>
      </c>
      <c r="L48" s="78">
        <f t="shared" si="39"/>
        <v>4.6148577</v>
      </c>
      <c r="M48" s="78">
        <f t="shared" si="39"/>
        <v>4.5280773000000005</v>
      </c>
      <c r="N48" s="78">
        <f t="shared" si="32"/>
        <v>4.5094814999999997</v>
      </c>
      <c r="O48" s="78">
        <f t="shared" si="37"/>
        <v>0.225474075</v>
      </c>
      <c r="P48" s="78">
        <f t="shared" si="28"/>
        <v>1.6105291071428572E-2</v>
      </c>
      <c r="Q48" s="78">
        <f t="shared" si="29"/>
        <v>1.6105291071428572E-2</v>
      </c>
      <c r="R48" s="78">
        <f t="shared" si="30"/>
        <v>0.99852804642857151</v>
      </c>
      <c r="S48" s="158"/>
      <c r="T48" s="57"/>
      <c r="U48" s="83"/>
    </row>
    <row r="49" spans="2:29" x14ac:dyDescent="0.15">
      <c r="B49" s="59"/>
      <c r="C49" s="170"/>
      <c r="D49" s="84"/>
      <c r="E49" s="57"/>
      <c r="F49" s="105" t="s">
        <v>107</v>
      </c>
      <c r="G49" s="134"/>
      <c r="H49" s="77">
        <v>1.429</v>
      </c>
      <c r="I49" s="78">
        <v>1.4610000000000001</v>
      </c>
      <c r="J49" s="78">
        <v>1.478</v>
      </c>
      <c r="K49" s="78">
        <f t="shared" si="40"/>
        <v>4.4288996999999997</v>
      </c>
      <c r="L49" s="78">
        <f t="shared" si="39"/>
        <v>4.5280773000000005</v>
      </c>
      <c r="M49" s="78">
        <f t="shared" si="39"/>
        <v>4.5807653999999998</v>
      </c>
      <c r="N49" s="78">
        <f t="shared" si="32"/>
        <v>4.5125807999999994</v>
      </c>
      <c r="O49" s="78">
        <f t="shared" si="37"/>
        <v>0.22562903999999998</v>
      </c>
      <c r="P49" s="78">
        <f t="shared" si="28"/>
        <v>1.611636E-2</v>
      </c>
      <c r="Q49" s="78">
        <f t="shared" si="29"/>
        <v>1.611636E-2</v>
      </c>
      <c r="R49" s="78">
        <f t="shared" si="30"/>
        <v>0.99921431999999999</v>
      </c>
      <c r="S49" s="159">
        <f>AVERAGE(R47:R49)</f>
        <v>1.0130922966666667</v>
      </c>
      <c r="T49" s="78">
        <f>STDEV(R47:R49)</f>
        <v>2.4634080992198101E-2</v>
      </c>
      <c r="U49" s="121">
        <f>T49/SQRT(3)</f>
        <v>1.4222493292084618E-2</v>
      </c>
    </row>
    <row r="50" spans="2:29" x14ac:dyDescent="0.15">
      <c r="B50" s="131" t="s">
        <v>34</v>
      </c>
      <c r="C50" s="172">
        <v>0.46458333333333335</v>
      </c>
      <c r="D50" s="169">
        <v>238.64999999999998</v>
      </c>
      <c r="E50" s="104">
        <v>11</v>
      </c>
      <c r="F50" s="105" t="s">
        <v>105</v>
      </c>
      <c r="G50" s="134">
        <v>6.533333333333334E-2</v>
      </c>
      <c r="H50" s="96">
        <v>1.2569999999999999</v>
      </c>
      <c r="I50" s="97">
        <v>1.1950000000000001</v>
      </c>
      <c r="J50" s="97">
        <v>1.2010000000000001</v>
      </c>
      <c r="K50" s="78">
        <f>3.3959*H50</f>
        <v>4.2686462999999994</v>
      </c>
      <c r="L50" s="78">
        <f t="shared" ref="L50:M52" si="41">3.3959*I50</f>
        <v>4.0581005000000001</v>
      </c>
      <c r="M50" s="78">
        <f t="shared" si="41"/>
        <v>4.0784759000000008</v>
      </c>
      <c r="N50" s="78">
        <f t="shared" si="32"/>
        <v>4.1350742333333335</v>
      </c>
      <c r="O50" s="78">
        <f t="shared" si="37"/>
        <v>0.20675371166666667</v>
      </c>
      <c r="P50" s="78">
        <f t="shared" si="28"/>
        <v>1.4768122261904762E-2</v>
      </c>
      <c r="Q50" s="78">
        <f t="shared" si="29"/>
        <v>1.4768122261904762E-2</v>
      </c>
      <c r="R50" s="78">
        <f t="shared" si="30"/>
        <v>0.9156235802380952</v>
      </c>
      <c r="S50" s="122"/>
      <c r="T50" s="97"/>
      <c r="U50" s="123"/>
    </row>
    <row r="51" spans="2:29" x14ac:dyDescent="0.15">
      <c r="B51" s="59"/>
      <c r="C51" s="170"/>
      <c r="D51" s="84"/>
      <c r="E51" s="57"/>
      <c r="F51" s="105" t="s">
        <v>106</v>
      </c>
      <c r="G51" s="134"/>
      <c r="H51" s="77">
        <v>1.1719999999999999</v>
      </c>
      <c r="I51" s="78">
        <v>1.21</v>
      </c>
      <c r="J51" s="78">
        <v>1.1910000000000001</v>
      </c>
      <c r="K51" s="78">
        <f t="shared" ref="K51:K52" si="42">3.3959*H51</f>
        <v>3.9799948000000001</v>
      </c>
      <c r="L51" s="78">
        <f t="shared" si="41"/>
        <v>4.1090390000000001</v>
      </c>
      <c r="M51" s="78">
        <f t="shared" si="41"/>
        <v>4.0445169000000005</v>
      </c>
      <c r="N51" s="78">
        <f t="shared" si="32"/>
        <v>4.0445169000000005</v>
      </c>
      <c r="O51" s="78">
        <f t="shared" si="37"/>
        <v>0.20222584500000002</v>
      </c>
      <c r="P51" s="78">
        <f t="shared" si="28"/>
        <v>1.4444703214285716E-2</v>
      </c>
      <c r="Q51" s="78">
        <f t="shared" si="29"/>
        <v>1.4444703214285716E-2</v>
      </c>
      <c r="R51" s="78">
        <f t="shared" si="30"/>
        <v>0.89557159928571439</v>
      </c>
      <c r="S51" s="159"/>
      <c r="T51" s="78"/>
      <c r="U51" s="121"/>
    </row>
    <row r="52" spans="2:29" x14ac:dyDescent="0.15">
      <c r="B52" s="59"/>
      <c r="C52" s="170"/>
      <c r="D52" s="84"/>
      <c r="E52" s="57"/>
      <c r="F52" s="105" t="s">
        <v>107</v>
      </c>
      <c r="G52" s="134"/>
      <c r="H52" s="77">
        <v>1.0860000000000001</v>
      </c>
      <c r="I52" s="78">
        <v>1.1220000000000001</v>
      </c>
      <c r="J52" s="78">
        <v>1.113</v>
      </c>
      <c r="K52" s="78">
        <f t="shared" si="42"/>
        <v>3.6879474000000005</v>
      </c>
      <c r="L52" s="78">
        <f t="shared" si="41"/>
        <v>3.8101998000000004</v>
      </c>
      <c r="M52" s="78">
        <f t="shared" si="41"/>
        <v>3.7796367000000002</v>
      </c>
      <c r="N52" s="78">
        <f t="shared" si="32"/>
        <v>3.7592613000000004</v>
      </c>
      <c r="O52" s="78">
        <f t="shared" si="37"/>
        <v>0.18796306500000001</v>
      </c>
      <c r="P52" s="78">
        <f t="shared" si="28"/>
        <v>1.3425933214285715E-2</v>
      </c>
      <c r="Q52" s="78">
        <f t="shared" si="29"/>
        <v>1.3425933214285715E-2</v>
      </c>
      <c r="R52" s="78">
        <f t="shared" si="30"/>
        <v>0.83240785928571437</v>
      </c>
      <c r="S52" s="124">
        <f>AVERAGE(R50:R52)</f>
        <v>0.8812010129365081</v>
      </c>
      <c r="T52" s="78">
        <f>STDEV(R50:R52)</f>
        <v>4.3429245531336674E-2</v>
      </c>
      <c r="U52" s="121">
        <f>T52/SQRT(3)</f>
        <v>2.5073886598219582E-2</v>
      </c>
    </row>
    <row r="53" spans="2:29" x14ac:dyDescent="0.15">
      <c r="B53" s="59" t="s">
        <v>36</v>
      </c>
      <c r="C53" s="170">
        <v>0.46597222222222223</v>
      </c>
      <c r="D53" s="84">
        <v>286.68333333333328</v>
      </c>
      <c r="E53" s="57">
        <v>13</v>
      </c>
      <c r="F53" s="105" t="s">
        <v>105</v>
      </c>
      <c r="G53" s="134">
        <v>6.9666666666666668E-2</v>
      </c>
      <c r="H53" s="77">
        <f>1.064-G53</f>
        <v>0.9943333333333334</v>
      </c>
      <c r="I53" s="78">
        <f>1.078-G53</f>
        <v>1.0083333333333333</v>
      </c>
      <c r="J53" s="78">
        <f>1.083-G53</f>
        <v>1.0133333333333332</v>
      </c>
      <c r="K53" s="78">
        <f>3.5976*H53</f>
        <v>3.5772136000000003</v>
      </c>
      <c r="L53" s="78">
        <f t="shared" ref="L53:M55" si="43">3.5976*I53</f>
        <v>3.6275799999999996</v>
      </c>
      <c r="M53" s="78">
        <f t="shared" si="43"/>
        <v>3.6455679999999995</v>
      </c>
      <c r="N53" s="78">
        <f t="shared" si="32"/>
        <v>3.6167871999999996</v>
      </c>
      <c r="O53" s="78">
        <f t="shared" si="37"/>
        <v>0.18083935999999998</v>
      </c>
      <c r="P53" s="78">
        <f t="shared" si="28"/>
        <v>1.2917097142857142E-2</v>
      </c>
      <c r="Q53" s="78">
        <f t="shared" si="29"/>
        <v>1.2917097142857142E-2</v>
      </c>
      <c r="R53" s="78">
        <f t="shared" si="30"/>
        <v>0.80086002285714275</v>
      </c>
      <c r="S53" s="159"/>
      <c r="T53" s="78"/>
      <c r="U53" s="121"/>
    </row>
    <row r="54" spans="2:29" x14ac:dyDescent="0.15">
      <c r="B54" s="59"/>
      <c r="C54" s="170"/>
      <c r="D54" s="84"/>
      <c r="E54" s="57"/>
      <c r="F54" s="105" t="s">
        <v>106</v>
      </c>
      <c r="G54" s="134"/>
      <c r="H54" s="77">
        <f>0.907-G53</f>
        <v>0.83733333333333337</v>
      </c>
      <c r="I54" s="78">
        <f>0.949-G53</f>
        <v>0.8793333333333333</v>
      </c>
      <c r="J54" s="78">
        <f>0.951-G53</f>
        <v>0.8813333333333333</v>
      </c>
      <c r="K54" s="78">
        <f t="shared" ref="K54:K55" si="44">3.5976*H54</f>
        <v>3.0123904000000001</v>
      </c>
      <c r="L54" s="78">
        <f t="shared" si="43"/>
        <v>3.1634895999999997</v>
      </c>
      <c r="M54" s="78">
        <f t="shared" si="43"/>
        <v>3.1706847999999996</v>
      </c>
      <c r="N54" s="78">
        <f t="shared" si="32"/>
        <v>3.1155215999999997</v>
      </c>
      <c r="O54" s="78">
        <f t="shared" si="37"/>
        <v>0.15577607999999998</v>
      </c>
      <c r="P54" s="78">
        <f t="shared" si="28"/>
        <v>1.1126862857142856E-2</v>
      </c>
      <c r="Q54" s="78">
        <f t="shared" si="29"/>
        <v>1.1126862857142856E-2</v>
      </c>
      <c r="R54" s="78">
        <f t="shared" si="30"/>
        <v>0.68986549714285705</v>
      </c>
      <c r="S54" s="159"/>
      <c r="T54" s="78"/>
      <c r="U54" s="121"/>
    </row>
    <row r="55" spans="2:29" x14ac:dyDescent="0.15">
      <c r="B55" s="59"/>
      <c r="C55" s="170"/>
      <c r="D55" s="84"/>
      <c r="E55" s="57"/>
      <c r="F55" s="105" t="s">
        <v>107</v>
      </c>
      <c r="G55" s="134"/>
      <c r="H55" s="77">
        <f>0.966-G53</f>
        <v>0.89633333333333332</v>
      </c>
      <c r="I55" s="78">
        <f>0.986-G53</f>
        <v>0.91633333333333333</v>
      </c>
      <c r="J55" s="78">
        <f>0.996-G53</f>
        <v>0.92633333333333334</v>
      </c>
      <c r="K55" s="78">
        <f t="shared" si="44"/>
        <v>3.2246487999999998</v>
      </c>
      <c r="L55" s="78">
        <f t="shared" si="43"/>
        <v>3.2966007999999998</v>
      </c>
      <c r="M55" s="78">
        <f t="shared" si="43"/>
        <v>3.3325768</v>
      </c>
      <c r="N55" s="78">
        <f t="shared" si="32"/>
        <v>3.2846087999999996</v>
      </c>
      <c r="O55" s="78">
        <f t="shared" si="37"/>
        <v>0.16423043999999998</v>
      </c>
      <c r="P55" s="78">
        <f t="shared" si="28"/>
        <v>1.1730745714285713E-2</v>
      </c>
      <c r="Q55" s="78">
        <f t="shared" si="29"/>
        <v>1.1730745714285713E-2</v>
      </c>
      <c r="R55" s="78">
        <f t="shared" si="30"/>
        <v>0.72730623428571417</v>
      </c>
      <c r="S55" s="159">
        <f>AVERAGE(R53:R55)</f>
        <v>0.73934391809523792</v>
      </c>
      <c r="T55" s="78">
        <f>STDEV(R53:R55)</f>
        <v>5.6467916184842176E-2</v>
      </c>
      <c r="U55" s="121">
        <f>T55/SQRT(3)</f>
        <v>3.260176660989586E-2</v>
      </c>
    </row>
    <row r="56" spans="2:29" x14ac:dyDescent="0.15">
      <c r="B56" s="131" t="s">
        <v>38</v>
      </c>
      <c r="C56" s="172">
        <v>0.4465277777777778</v>
      </c>
      <c r="D56" s="169">
        <v>334.21666666666664</v>
      </c>
      <c r="E56" s="104">
        <v>15</v>
      </c>
      <c r="F56" s="105" t="s">
        <v>105</v>
      </c>
      <c r="G56" s="134">
        <v>7.2333333333333319E-2</v>
      </c>
      <c r="H56" s="96">
        <f>1.003-G56</f>
        <v>0.93066666666666653</v>
      </c>
      <c r="I56" s="97">
        <f>1.031-G56</f>
        <v>0.95866666666666656</v>
      </c>
      <c r="J56" s="97">
        <f>1.014-G56</f>
        <v>0.94166666666666665</v>
      </c>
      <c r="K56" s="78">
        <f>3.9395*H56</f>
        <v>3.6663613333333327</v>
      </c>
      <c r="L56" s="78">
        <f t="shared" ref="L56:M58" si="45">3.9395*I56</f>
        <v>3.7766673333333327</v>
      </c>
      <c r="M56" s="78">
        <f t="shared" si="45"/>
        <v>3.709695833333333</v>
      </c>
      <c r="N56" s="78">
        <f t="shared" si="32"/>
        <v>3.7175748333333325</v>
      </c>
      <c r="O56" s="78">
        <f>N56/25</f>
        <v>0.14870299333333331</v>
      </c>
      <c r="P56" s="78">
        <f t="shared" si="28"/>
        <v>1.062164238095238E-2</v>
      </c>
      <c r="Q56" s="78">
        <f t="shared" si="29"/>
        <v>1.062164238095238E-2</v>
      </c>
      <c r="R56" s="78">
        <f t="shared" si="30"/>
        <v>0.65854182761904756</v>
      </c>
      <c r="S56" s="126"/>
      <c r="T56" s="104"/>
      <c r="U56" s="127"/>
    </row>
    <row r="57" spans="2:29" x14ac:dyDescent="0.15">
      <c r="B57" s="59"/>
      <c r="C57" s="170"/>
      <c r="D57" s="84"/>
      <c r="E57" s="57"/>
      <c r="F57" s="105" t="s">
        <v>106</v>
      </c>
      <c r="G57" s="134"/>
      <c r="H57" s="77">
        <f>0.959-G56</f>
        <v>0.8866666666666666</v>
      </c>
      <c r="I57" s="78">
        <f>0.971-G56</f>
        <v>0.89866666666666661</v>
      </c>
      <c r="J57" s="78">
        <f>0.972-G56</f>
        <v>0.89966666666666661</v>
      </c>
      <c r="K57" s="78">
        <f t="shared" ref="K57:K58" si="46">3.9395*H57</f>
        <v>3.4930233333333329</v>
      </c>
      <c r="L57" s="78">
        <f t="shared" si="45"/>
        <v>3.5402973333333327</v>
      </c>
      <c r="M57" s="78">
        <f t="shared" si="45"/>
        <v>3.5442368333333327</v>
      </c>
      <c r="N57" s="78">
        <f t="shared" si="32"/>
        <v>3.5258524999999992</v>
      </c>
      <c r="O57" s="78">
        <f t="shared" ref="O57:O61" si="47">N57/25</f>
        <v>0.14103409999999997</v>
      </c>
      <c r="P57" s="78">
        <f t="shared" si="28"/>
        <v>1.0073864285714284E-2</v>
      </c>
      <c r="Q57" s="78">
        <f t="shared" si="29"/>
        <v>1.0073864285714284E-2</v>
      </c>
      <c r="R57" s="78">
        <f t="shared" si="30"/>
        <v>0.62457958571428562</v>
      </c>
      <c r="S57" s="158"/>
      <c r="T57" s="57"/>
      <c r="U57" s="83"/>
    </row>
    <row r="58" spans="2:29" x14ac:dyDescent="0.15">
      <c r="B58" s="59"/>
      <c r="C58" s="170"/>
      <c r="D58" s="84"/>
      <c r="E58" s="57"/>
      <c r="F58" s="105" t="s">
        <v>107</v>
      </c>
      <c r="G58" s="134"/>
      <c r="H58" s="77">
        <f>0.868-G56</f>
        <v>0.79566666666666663</v>
      </c>
      <c r="I58" s="78">
        <f>0.983-G56</f>
        <v>0.91066666666666662</v>
      </c>
      <c r="J58" s="78">
        <f>0.905-G56</f>
        <v>0.83266666666666667</v>
      </c>
      <c r="K58" s="78">
        <f t="shared" si="46"/>
        <v>3.134528833333333</v>
      </c>
      <c r="L58" s="78">
        <f t="shared" si="45"/>
        <v>3.587571333333333</v>
      </c>
      <c r="M58" s="78">
        <f t="shared" si="45"/>
        <v>3.2802903333333333</v>
      </c>
      <c r="N58" s="78">
        <f t="shared" si="32"/>
        <v>3.3341301666666663</v>
      </c>
      <c r="O58" s="78">
        <f t="shared" si="47"/>
        <v>0.13336520666666665</v>
      </c>
      <c r="P58" s="78">
        <f t="shared" si="28"/>
        <v>9.52608619047619E-3</v>
      </c>
      <c r="Q58" s="78">
        <f t="shared" si="29"/>
        <v>9.52608619047619E-3</v>
      </c>
      <c r="R58" s="78">
        <f t="shared" si="30"/>
        <v>0.5906173438095238</v>
      </c>
      <c r="S58" s="124">
        <f>AVERAGE(R56:R58)</f>
        <v>0.62457958571428573</v>
      </c>
      <c r="T58" s="78">
        <f>STDEV(R56:R58)</f>
        <v>3.3962241904761881E-2</v>
      </c>
      <c r="U58" s="121">
        <f>T58/SQRT(3)</f>
        <v>1.9608109505997461E-2</v>
      </c>
    </row>
    <row r="59" spans="2:29" x14ac:dyDescent="0.15">
      <c r="B59" s="173" t="s">
        <v>42</v>
      </c>
      <c r="C59" s="170">
        <v>0.47638888888888892</v>
      </c>
      <c r="D59" s="84">
        <v>430.93333333333334</v>
      </c>
      <c r="E59" s="57">
        <v>19</v>
      </c>
      <c r="F59" s="105" t="s">
        <v>105</v>
      </c>
      <c r="G59" s="134">
        <v>6.6333333333333341E-2</v>
      </c>
      <c r="H59" s="77">
        <v>0.85399999999999998</v>
      </c>
      <c r="I59" s="78">
        <v>0.77500000000000002</v>
      </c>
      <c r="J59" s="78">
        <v>0.78600000000000003</v>
      </c>
      <c r="K59" s="78">
        <f>4.0992*H59</f>
        <v>3.5007167999999997</v>
      </c>
      <c r="L59" s="78">
        <f t="shared" ref="L59:M61" si="48">4.0992*I59</f>
        <v>3.1768799999999997</v>
      </c>
      <c r="M59" s="78">
        <f t="shared" si="48"/>
        <v>3.2219712</v>
      </c>
      <c r="N59" s="78">
        <f t="shared" si="32"/>
        <v>3.2998560000000001</v>
      </c>
      <c r="O59" s="78">
        <f t="shared" si="47"/>
        <v>0.13199424000000001</v>
      </c>
      <c r="P59" s="78">
        <f t="shared" si="28"/>
        <v>9.4281600000000014E-3</v>
      </c>
      <c r="Q59" s="78">
        <f t="shared" si="29"/>
        <v>9.4281600000000014E-3</v>
      </c>
      <c r="R59" s="78">
        <f t="shared" si="30"/>
        <v>0.58454592000000005</v>
      </c>
      <c r="S59" s="158"/>
      <c r="T59" s="57"/>
      <c r="U59" s="83"/>
    </row>
    <row r="60" spans="2:29" x14ac:dyDescent="0.15">
      <c r="B60" s="59"/>
      <c r="C60" s="170"/>
      <c r="F60" s="105" t="s">
        <v>106</v>
      </c>
      <c r="G60" s="105"/>
      <c r="H60" s="77">
        <v>0.66500000000000004</v>
      </c>
      <c r="I60" s="78">
        <v>0.59399999999999997</v>
      </c>
      <c r="J60" s="78">
        <v>0.58899999999999997</v>
      </c>
      <c r="K60" s="78">
        <f t="shared" ref="K60:K61" si="49">4.0992*H60</f>
        <v>2.7259679999999999</v>
      </c>
      <c r="L60" s="78">
        <f t="shared" si="48"/>
        <v>2.4349247999999997</v>
      </c>
      <c r="M60" s="78">
        <f t="shared" si="48"/>
        <v>2.4144287999999996</v>
      </c>
      <c r="N60" s="78">
        <f t="shared" si="32"/>
        <v>2.5251071999999994</v>
      </c>
      <c r="O60" s="78">
        <f t="shared" si="47"/>
        <v>0.10100428799999998</v>
      </c>
      <c r="P60" s="78">
        <f t="shared" si="28"/>
        <v>7.2145919999999988E-3</v>
      </c>
      <c r="Q60" s="78">
        <f t="shared" si="29"/>
        <v>7.2145919999999988E-3</v>
      </c>
      <c r="R60" s="78">
        <f t="shared" si="30"/>
        <v>0.44730470399999994</v>
      </c>
      <c r="S60" s="158"/>
      <c r="T60" s="57"/>
      <c r="U60" s="83"/>
    </row>
    <row r="61" spans="2:29" ht="14" thickBot="1" x14ac:dyDescent="0.2">
      <c r="B61" s="138"/>
      <c r="C61" s="160"/>
      <c r="D61" s="160"/>
      <c r="E61" s="160"/>
      <c r="F61" s="105" t="s">
        <v>107</v>
      </c>
      <c r="G61" s="161"/>
      <c r="H61" s="145">
        <v>0.68600000000000005</v>
      </c>
      <c r="I61" s="106">
        <v>0.65</v>
      </c>
      <c r="J61" s="106">
        <v>0.63200000000000001</v>
      </c>
      <c r="K61" s="106">
        <f t="shared" si="49"/>
        <v>2.8120512</v>
      </c>
      <c r="L61" s="106">
        <f t="shared" si="48"/>
        <v>2.6644799999999997</v>
      </c>
      <c r="M61" s="106">
        <f t="shared" si="48"/>
        <v>2.5906943999999998</v>
      </c>
      <c r="N61" s="106">
        <f t="shared" si="32"/>
        <v>2.6890752</v>
      </c>
      <c r="O61" s="106">
        <f t="shared" si="47"/>
        <v>0.107563008</v>
      </c>
      <c r="P61" s="106">
        <f t="shared" si="28"/>
        <v>7.683072E-3</v>
      </c>
      <c r="Q61" s="106">
        <f t="shared" si="29"/>
        <v>7.683072E-3</v>
      </c>
      <c r="R61" s="106">
        <f t="shared" si="30"/>
        <v>0.47635046399999997</v>
      </c>
      <c r="S61" s="162">
        <f>AVERAGE(R59:R61)</f>
        <v>0.50273369600000006</v>
      </c>
      <c r="T61" s="106">
        <f>STDEV(R59:R61)</f>
        <v>7.2324574249448201E-2</v>
      </c>
      <c r="U61" s="144">
        <f>T61/SQRT(3)</f>
        <v>4.1756612411943998E-2</v>
      </c>
    </row>
    <row r="62" spans="2:29" ht="17" thickBot="1" x14ac:dyDescent="0.2">
      <c r="B62" s="261" t="s">
        <v>80</v>
      </c>
      <c r="C62" s="262"/>
      <c r="D62" s="262"/>
      <c r="E62" s="262"/>
      <c r="F62" s="262"/>
      <c r="G62" s="262"/>
      <c r="H62" s="262"/>
      <c r="I62" s="262"/>
      <c r="J62" s="262"/>
      <c r="K62" s="262"/>
      <c r="L62" s="262"/>
      <c r="M62" s="262"/>
      <c r="N62" s="262"/>
      <c r="O62" s="262"/>
      <c r="P62" s="262"/>
      <c r="Q62" s="262"/>
      <c r="R62" s="262"/>
      <c r="S62" s="262"/>
      <c r="T62" s="262"/>
      <c r="U62" s="263"/>
      <c r="W62" s="257" t="s">
        <v>113</v>
      </c>
      <c r="X62" s="257"/>
      <c r="Y62" s="257"/>
    </row>
    <row r="63" spans="2:29" ht="30" x14ac:dyDescent="0.15">
      <c r="B63" s="114" t="s">
        <v>0</v>
      </c>
      <c r="C63" s="66" t="s">
        <v>1</v>
      </c>
      <c r="D63" s="66" t="s">
        <v>2</v>
      </c>
      <c r="E63" s="117" t="s">
        <v>17</v>
      </c>
      <c r="F63" s="116"/>
      <c r="G63" s="116" t="s">
        <v>18</v>
      </c>
      <c r="H63" s="258" t="s">
        <v>19</v>
      </c>
      <c r="I63" s="259"/>
      <c r="J63" s="259"/>
      <c r="K63" s="260" t="s">
        <v>103</v>
      </c>
      <c r="L63" s="260"/>
      <c r="M63" s="260"/>
      <c r="N63" s="66" t="s">
        <v>20</v>
      </c>
      <c r="O63" s="66" t="s">
        <v>21</v>
      </c>
      <c r="P63" s="66" t="s">
        <v>21</v>
      </c>
      <c r="Q63" s="66" t="s">
        <v>101</v>
      </c>
      <c r="R63" s="117" t="s">
        <v>101</v>
      </c>
      <c r="S63" s="66" t="s">
        <v>102</v>
      </c>
      <c r="T63" s="66" t="s">
        <v>89</v>
      </c>
      <c r="U63" s="115" t="s">
        <v>71</v>
      </c>
      <c r="W63" s="57" t="s">
        <v>2</v>
      </c>
      <c r="X63" s="76" t="str">
        <f>S63</f>
        <v>Average NO3 concentration</v>
      </c>
      <c r="Y63" s="76" t="str">
        <f>U63</f>
        <v>Standard error</v>
      </c>
      <c r="Z63" s="57"/>
      <c r="AA63" s="118"/>
      <c r="AB63" s="118"/>
      <c r="AC63" s="118"/>
    </row>
    <row r="64" spans="2:29" ht="14" x14ac:dyDescent="0.15">
      <c r="B64" s="119"/>
      <c r="C64" s="156"/>
      <c r="D64" s="157"/>
      <c r="E64" s="157"/>
      <c r="F64" s="120"/>
      <c r="G64" s="120"/>
      <c r="H64" s="157"/>
      <c r="I64" s="157"/>
      <c r="J64" s="157"/>
      <c r="K64" s="74"/>
      <c r="L64" s="74"/>
      <c r="M64" s="74"/>
      <c r="N64" s="74" t="s">
        <v>22</v>
      </c>
      <c r="O64" s="74" t="s">
        <v>15</v>
      </c>
      <c r="P64" s="74" t="s">
        <v>23</v>
      </c>
      <c r="Q64" s="74" t="s">
        <v>23</v>
      </c>
      <c r="R64" s="72" t="s">
        <v>15</v>
      </c>
      <c r="S64" s="74" t="s">
        <v>15</v>
      </c>
      <c r="T64" s="74"/>
      <c r="U64" s="70"/>
      <c r="W64" s="84">
        <v>0</v>
      </c>
      <c r="X64" s="78">
        <f>S67</f>
        <v>1.531893323174603</v>
      </c>
      <c r="Y64" s="78">
        <f>U67</f>
        <v>1.235872618572087E-2</v>
      </c>
      <c r="Z64" s="78"/>
      <c r="AA64" s="118"/>
      <c r="AB64" s="118"/>
      <c r="AC64" s="118"/>
    </row>
    <row r="65" spans="2:29" x14ac:dyDescent="0.15">
      <c r="B65" s="44" t="s">
        <v>24</v>
      </c>
      <c r="C65" s="39">
        <v>0.5625</v>
      </c>
      <c r="D65" s="5">
        <v>0</v>
      </c>
      <c r="E65" s="5">
        <v>1</v>
      </c>
      <c r="F65" s="136" t="s">
        <v>105</v>
      </c>
      <c r="G65" s="133">
        <v>6.4666666666666664E-2</v>
      </c>
      <c r="H65" s="128">
        <v>1.6970000000000001</v>
      </c>
      <c r="I65" s="129">
        <v>1.7210000000000001</v>
      </c>
      <c r="J65" s="129">
        <v>1.748</v>
      </c>
      <c r="K65" s="78">
        <f>3.0288*H65</f>
        <v>5.1398736000000005</v>
      </c>
      <c r="L65" s="78">
        <f t="shared" ref="L65:M67" si="50">3.0288*I65</f>
        <v>5.2125648</v>
      </c>
      <c r="M65" s="78">
        <f t="shared" si="50"/>
        <v>5.2943423999999997</v>
      </c>
      <c r="N65" s="78">
        <f>AVERAGE(K65:M65)</f>
        <v>5.2155936000000001</v>
      </c>
      <c r="O65" s="78">
        <f>N65/15</f>
        <v>0.34770624</v>
      </c>
      <c r="P65" s="78">
        <f>O65/14</f>
        <v>2.4836159999999999E-2</v>
      </c>
      <c r="Q65" s="78">
        <f>P65</f>
        <v>2.4836159999999999E-2</v>
      </c>
      <c r="R65" s="78">
        <f>Q65*62</f>
        <v>1.53984192</v>
      </c>
      <c r="S65" s="158"/>
      <c r="T65" s="57"/>
      <c r="U65" s="83"/>
      <c r="W65" s="84">
        <f>D68</f>
        <v>45</v>
      </c>
      <c r="X65" s="78">
        <f>S70</f>
        <v>1.3257296962962961</v>
      </c>
      <c r="Y65" s="78">
        <f>U70</f>
        <v>1.5560408339952449E-2</v>
      </c>
      <c r="Z65" s="78"/>
      <c r="AA65" s="154"/>
      <c r="AB65" s="154"/>
      <c r="AC65" s="154"/>
    </row>
    <row r="66" spans="2:29" x14ac:dyDescent="0.15">
      <c r="B66" s="59"/>
      <c r="C66" s="57"/>
      <c r="D66" s="57"/>
      <c r="E66" s="57"/>
      <c r="F66" s="105" t="s">
        <v>106</v>
      </c>
      <c r="G66" s="134"/>
      <c r="H66" s="77">
        <v>1.661</v>
      </c>
      <c r="I66" s="78">
        <v>1.696</v>
      </c>
      <c r="J66" s="78">
        <v>1.7010000000000001</v>
      </c>
      <c r="K66" s="78">
        <f t="shared" ref="K66:K67" si="51">3.0288*H66</f>
        <v>5.0308368000000003</v>
      </c>
      <c r="L66" s="78">
        <f t="shared" si="50"/>
        <v>5.1368447999999995</v>
      </c>
      <c r="M66" s="78">
        <f t="shared" si="50"/>
        <v>5.1519887999999998</v>
      </c>
      <c r="N66" s="78">
        <f>AVERAGE(K66:M66)</f>
        <v>5.1065567999999999</v>
      </c>
      <c r="O66" s="78">
        <f t="shared" ref="O66:O70" si="52">N66/15</f>
        <v>0.34043711999999998</v>
      </c>
      <c r="P66" s="78">
        <f t="shared" ref="P66:P91" si="53">O66/14</f>
        <v>2.4316937142857143E-2</v>
      </c>
      <c r="Q66" s="78">
        <f t="shared" ref="Q66:Q91" si="54">P66</f>
        <v>2.4316937142857143E-2</v>
      </c>
      <c r="R66" s="78">
        <f t="shared" ref="R66:R91" si="55">Q66*62</f>
        <v>1.507650102857143</v>
      </c>
      <c r="S66" s="158"/>
      <c r="T66" s="57"/>
      <c r="U66" s="83"/>
      <c r="W66" s="84">
        <f>D71</f>
        <v>95.628052805280532</v>
      </c>
      <c r="X66" s="78">
        <f>S73</f>
        <v>1.2119735199999999</v>
      </c>
      <c r="Y66" s="78">
        <f>U73</f>
        <v>3.0082281554439132E-2</v>
      </c>
      <c r="Z66" s="78"/>
      <c r="AA66" s="154"/>
      <c r="AB66" s="154"/>
      <c r="AC66" s="154"/>
    </row>
    <row r="67" spans="2:29" x14ac:dyDescent="0.15">
      <c r="B67" s="59"/>
      <c r="C67" s="57"/>
      <c r="D67" s="57"/>
      <c r="E67" s="57"/>
      <c r="F67" s="105" t="s">
        <v>107</v>
      </c>
      <c r="G67" s="134"/>
      <c r="H67" s="77">
        <v>1.7270000000000001</v>
      </c>
      <c r="I67" s="78">
        <v>1.722</v>
      </c>
      <c r="J67" s="78">
        <v>1.7450000000000001</v>
      </c>
      <c r="K67" s="78">
        <f t="shared" si="51"/>
        <v>5.2307376000000003</v>
      </c>
      <c r="L67" s="78">
        <f t="shared" si="50"/>
        <v>5.2155936000000001</v>
      </c>
      <c r="M67" s="78">
        <f t="shared" si="50"/>
        <v>5.2852560000000004</v>
      </c>
      <c r="N67" s="78">
        <f>AVERAGE(K67:M67)</f>
        <v>5.2438624000000003</v>
      </c>
      <c r="O67" s="78">
        <f t="shared" si="52"/>
        <v>0.34959082666666669</v>
      </c>
      <c r="P67" s="78">
        <f t="shared" si="53"/>
        <v>2.4970773333333335E-2</v>
      </c>
      <c r="Q67" s="78">
        <f t="shared" si="54"/>
        <v>2.4970773333333335E-2</v>
      </c>
      <c r="R67" s="78">
        <f t="shared" si="55"/>
        <v>1.5481879466666668</v>
      </c>
      <c r="S67" s="159">
        <f>AVERAGE(R65:R67)</f>
        <v>1.531893323174603</v>
      </c>
      <c r="T67" s="78">
        <f>STDEV(R65:R67)</f>
        <v>2.1405941670500462E-2</v>
      </c>
      <c r="U67" s="121">
        <f>T67/SQRT(3)</f>
        <v>1.235872618572087E-2</v>
      </c>
      <c r="W67" s="84">
        <f>D74</f>
        <v>140.21138613861388</v>
      </c>
      <c r="X67" s="78">
        <f>S76</f>
        <v>0.99706880507936502</v>
      </c>
      <c r="Y67" s="78">
        <f>U76</f>
        <v>2.699137665583597E-2</v>
      </c>
      <c r="Z67" s="78"/>
      <c r="AA67" s="154"/>
      <c r="AB67" s="154"/>
      <c r="AC67" s="154"/>
    </row>
    <row r="68" spans="2:29" x14ac:dyDescent="0.15">
      <c r="B68" s="44" t="s">
        <v>26</v>
      </c>
      <c r="C68" s="39">
        <v>0.4375</v>
      </c>
      <c r="D68" s="5">
        <v>45</v>
      </c>
      <c r="E68" s="5">
        <v>3</v>
      </c>
      <c r="F68" s="136" t="s">
        <v>105</v>
      </c>
      <c r="G68" s="133">
        <v>7.4333333333333321E-2</v>
      </c>
      <c r="H68" s="96">
        <v>1.5089999999999999</v>
      </c>
      <c r="I68" s="97">
        <v>1.5229999999999999</v>
      </c>
      <c r="J68" s="97">
        <v>1.51</v>
      </c>
      <c r="K68" s="78">
        <f>3.0065*H68</f>
        <v>4.5368084999999994</v>
      </c>
      <c r="L68" s="78">
        <f t="shared" ref="L68:M70" si="56">3.0065*I68</f>
        <v>4.5788994999999995</v>
      </c>
      <c r="M68" s="78">
        <f t="shared" si="56"/>
        <v>4.5398149999999999</v>
      </c>
      <c r="N68" s="78">
        <f t="shared" ref="N68:N91" si="57">AVERAGE(K68:M68)</f>
        <v>4.5518409999999996</v>
      </c>
      <c r="O68" s="78">
        <f t="shared" si="52"/>
        <v>0.30345606666666664</v>
      </c>
      <c r="P68" s="78">
        <f t="shared" si="53"/>
        <v>2.1675433333333331E-2</v>
      </c>
      <c r="Q68" s="78">
        <f t="shared" si="54"/>
        <v>2.1675433333333331E-2</v>
      </c>
      <c r="R68" s="78">
        <f t="shared" si="55"/>
        <v>1.3438768666666665</v>
      </c>
      <c r="S68" s="122"/>
      <c r="T68" s="97"/>
      <c r="U68" s="123"/>
      <c r="W68" s="84">
        <f>D77</f>
        <v>188.87805280528053</v>
      </c>
      <c r="X68" s="78">
        <f>S79</f>
        <v>0.79859367928571423</v>
      </c>
      <c r="Y68" s="78">
        <f>U79</f>
        <v>1.2185158980298986E-2</v>
      </c>
      <c r="Z68" s="78"/>
      <c r="AA68" s="154"/>
      <c r="AB68" s="154"/>
      <c r="AC68" s="154"/>
    </row>
    <row r="69" spans="2:29" x14ac:dyDescent="0.15">
      <c r="B69" s="59"/>
      <c r="C69" s="57"/>
      <c r="D69" s="57"/>
      <c r="E69" s="57"/>
      <c r="F69" s="105" t="s">
        <v>106</v>
      </c>
      <c r="G69" s="134"/>
      <c r="H69" s="77">
        <v>1.5409999999999999</v>
      </c>
      <c r="I69" s="78">
        <v>1.5409999999999999</v>
      </c>
      <c r="J69" s="78">
        <v>1.4419999999999999</v>
      </c>
      <c r="K69" s="78">
        <f t="shared" ref="K69:K70" si="58">3.0065*H69</f>
        <v>4.6330165000000001</v>
      </c>
      <c r="L69" s="78">
        <f t="shared" si="56"/>
        <v>4.6330165000000001</v>
      </c>
      <c r="M69" s="78">
        <f t="shared" si="56"/>
        <v>4.3353729999999997</v>
      </c>
      <c r="N69" s="78">
        <f t="shared" si="57"/>
        <v>4.5338020000000006</v>
      </c>
      <c r="O69" s="78">
        <f t="shared" si="52"/>
        <v>0.30225346666666669</v>
      </c>
      <c r="P69" s="78">
        <f t="shared" si="53"/>
        <v>2.1589533333333334E-2</v>
      </c>
      <c r="Q69" s="78">
        <f t="shared" si="54"/>
        <v>2.1589533333333334E-2</v>
      </c>
      <c r="R69" s="78">
        <f t="shared" si="55"/>
        <v>1.3385510666666667</v>
      </c>
      <c r="S69" s="159"/>
      <c r="T69" s="78"/>
      <c r="U69" s="121"/>
      <c r="W69" s="84">
        <f>D80</f>
        <v>237.4447194719472</v>
      </c>
      <c r="X69" s="78">
        <f>S82</f>
        <v>0.72788690857142857</v>
      </c>
      <c r="Y69" s="78">
        <f>U82</f>
        <v>4.3348884169863822E-2</v>
      </c>
      <c r="Z69" s="78"/>
      <c r="AA69" s="154"/>
      <c r="AB69" s="154"/>
      <c r="AC69" s="154"/>
    </row>
    <row r="70" spans="2:29" x14ac:dyDescent="0.15">
      <c r="B70" s="59"/>
      <c r="C70" s="57"/>
      <c r="D70" s="57"/>
      <c r="E70" s="57"/>
      <c r="F70" s="105" t="s">
        <v>107</v>
      </c>
      <c r="G70" s="134"/>
      <c r="H70" s="77">
        <v>1.49</v>
      </c>
      <c r="I70" s="78">
        <v>1.4650000000000001</v>
      </c>
      <c r="J70" s="78">
        <v>1.421</v>
      </c>
      <c r="K70" s="78">
        <f t="shared" si="58"/>
        <v>4.4796849999999999</v>
      </c>
      <c r="L70" s="78">
        <f t="shared" si="56"/>
        <v>4.4045225000000006</v>
      </c>
      <c r="M70" s="78">
        <f t="shared" si="56"/>
        <v>4.2722365</v>
      </c>
      <c r="N70" s="78">
        <f t="shared" si="57"/>
        <v>4.3854813333333338</v>
      </c>
      <c r="O70" s="78">
        <f t="shared" si="52"/>
        <v>0.29236542222222223</v>
      </c>
      <c r="P70" s="78">
        <f t="shared" si="53"/>
        <v>2.0883244444444445E-2</v>
      </c>
      <c r="Q70" s="78">
        <f t="shared" si="54"/>
        <v>2.0883244444444445E-2</v>
      </c>
      <c r="R70" s="78">
        <f t="shared" si="55"/>
        <v>1.2947611555555556</v>
      </c>
      <c r="S70" s="124">
        <f>AVERAGE(R68:R70)</f>
        <v>1.3257296962962961</v>
      </c>
      <c r="T70" s="78">
        <f>STDEV(R68:R70)</f>
        <v>2.6951417831316132E-2</v>
      </c>
      <c r="U70" s="121">
        <f>T70/SQRT(3)</f>
        <v>1.5560408339952449E-2</v>
      </c>
      <c r="W70" s="84">
        <f>D83</f>
        <v>285.74471947194718</v>
      </c>
      <c r="X70" s="78">
        <f>S85</f>
        <v>0.56479750285714281</v>
      </c>
      <c r="Y70" s="78">
        <f>U85</f>
        <v>7.0787607195274979E-2</v>
      </c>
      <c r="Z70" s="78"/>
      <c r="AA70" s="154"/>
      <c r="AB70" s="154"/>
      <c r="AC70" s="154"/>
    </row>
    <row r="71" spans="2:29" x14ac:dyDescent="0.15">
      <c r="B71" s="59" t="s">
        <v>28</v>
      </c>
      <c r="C71" s="143">
        <v>0.55763888888888891</v>
      </c>
      <c r="D71" s="57">
        <v>95.628052805280532</v>
      </c>
      <c r="E71" s="57">
        <v>5</v>
      </c>
      <c r="F71" s="136" t="s">
        <v>105</v>
      </c>
      <c r="G71" s="134">
        <v>7.2666666666666671E-2</v>
      </c>
      <c r="H71" s="77">
        <f>1.757-G71</f>
        <v>1.6843333333333332</v>
      </c>
      <c r="I71" s="78">
        <f>1.799-G71</f>
        <v>1.7263333333333333</v>
      </c>
      <c r="J71" s="78">
        <f>1.759-G71</f>
        <v>1.6863333333333332</v>
      </c>
      <c r="K71" s="78">
        <f>3.1773*H71</f>
        <v>5.3516322999999995</v>
      </c>
      <c r="L71" s="78">
        <f t="shared" ref="L71:M73" si="59">3.1773*I71</f>
        <v>5.4850788999999995</v>
      </c>
      <c r="M71" s="78">
        <f t="shared" si="59"/>
        <v>5.3579868999999993</v>
      </c>
      <c r="N71" s="78">
        <f t="shared" si="57"/>
        <v>5.3982327000000003</v>
      </c>
      <c r="O71" s="78">
        <f>N71/20</f>
        <v>0.26991163500000004</v>
      </c>
      <c r="P71" s="78">
        <f t="shared" si="53"/>
        <v>1.9279402500000004E-2</v>
      </c>
      <c r="Q71" s="78">
        <f t="shared" si="54"/>
        <v>1.9279402500000004E-2</v>
      </c>
      <c r="R71" s="78">
        <f t="shared" si="55"/>
        <v>1.1953229550000002</v>
      </c>
      <c r="S71" s="159"/>
      <c r="T71" s="78"/>
      <c r="U71" s="121"/>
      <c r="W71" s="84">
        <f>D86</f>
        <v>333.24471947194718</v>
      </c>
      <c r="X71" s="78">
        <f>S88</f>
        <v>0.49183219269841266</v>
      </c>
      <c r="Y71" s="78">
        <f>U88</f>
        <v>8.6885617904838165E-3</v>
      </c>
      <c r="Z71" s="78"/>
      <c r="AA71" s="154"/>
      <c r="AB71" s="154"/>
      <c r="AC71" s="154"/>
    </row>
    <row r="72" spans="2:29" ht="15" customHeight="1" x14ac:dyDescent="0.15">
      <c r="B72" s="59"/>
      <c r="C72" s="57"/>
      <c r="D72" s="57"/>
      <c r="E72" s="57"/>
      <c r="F72" s="105" t="s">
        <v>106</v>
      </c>
      <c r="G72" s="134"/>
      <c r="H72" s="77">
        <f>1.872-G71</f>
        <v>1.7993333333333335</v>
      </c>
      <c r="I72" s="78">
        <f>1.95-G71</f>
        <v>1.8773333333333333</v>
      </c>
      <c r="J72" s="78">
        <f>1.813-G71</f>
        <v>1.7403333333333333</v>
      </c>
      <c r="K72" s="78">
        <f t="shared" ref="K72:K73" si="60">3.1773*H72</f>
        <v>5.7170218000000004</v>
      </c>
      <c r="L72" s="78">
        <f t="shared" si="59"/>
        <v>5.9648511999999991</v>
      </c>
      <c r="M72" s="78">
        <f t="shared" si="59"/>
        <v>5.5295610999999996</v>
      </c>
      <c r="N72" s="78">
        <f t="shared" si="57"/>
        <v>5.7371446999999991</v>
      </c>
      <c r="O72" s="78">
        <f>N72/20</f>
        <v>0.28685723499999993</v>
      </c>
      <c r="P72" s="78">
        <f t="shared" si="53"/>
        <v>2.0489802499999994E-2</v>
      </c>
      <c r="Q72" s="78">
        <f t="shared" si="54"/>
        <v>2.0489802499999994E-2</v>
      </c>
      <c r="R72" s="78">
        <f t="shared" si="55"/>
        <v>1.2703677549999997</v>
      </c>
      <c r="S72" s="159"/>
      <c r="T72" s="78"/>
      <c r="U72" s="121"/>
      <c r="W72" s="84">
        <f>D89</f>
        <v>430.01138613861383</v>
      </c>
      <c r="X72" s="78">
        <f>S91</f>
        <v>0.31450103466666662</v>
      </c>
      <c r="Y72" s="78">
        <f>U91</f>
        <v>2.4573667485013793E-2</v>
      </c>
      <c r="Z72" s="78"/>
      <c r="AA72" s="154"/>
      <c r="AB72" s="154"/>
      <c r="AC72" s="154"/>
    </row>
    <row r="73" spans="2:29" ht="15" customHeight="1" x14ac:dyDescent="0.15">
      <c r="B73" s="130"/>
      <c r="C73" s="91"/>
      <c r="D73" s="91"/>
      <c r="E73" s="91"/>
      <c r="F73" s="105" t="s">
        <v>107</v>
      </c>
      <c r="G73" s="135"/>
      <c r="H73" s="85">
        <f>1.712-G71</f>
        <v>1.6393333333333333</v>
      </c>
      <c r="I73" s="86">
        <f>1.719-G71</f>
        <v>1.6463333333333334</v>
      </c>
      <c r="J73" s="86">
        <f>1.777-G71</f>
        <v>1.7043333333333333</v>
      </c>
      <c r="K73" s="78">
        <f t="shared" si="60"/>
        <v>5.2086537999999996</v>
      </c>
      <c r="L73" s="78">
        <f t="shared" si="59"/>
        <v>5.2308949</v>
      </c>
      <c r="M73" s="78">
        <f t="shared" si="59"/>
        <v>5.4151782999999991</v>
      </c>
      <c r="N73" s="78">
        <f t="shared" si="57"/>
        <v>5.2849089999999999</v>
      </c>
      <c r="O73" s="78">
        <f>N73/20</f>
        <v>0.26424544999999999</v>
      </c>
      <c r="P73" s="78">
        <f t="shared" si="53"/>
        <v>1.8874675E-2</v>
      </c>
      <c r="Q73" s="78">
        <f t="shared" si="54"/>
        <v>1.8874675E-2</v>
      </c>
      <c r="R73" s="78">
        <f t="shared" si="55"/>
        <v>1.1702298500000001</v>
      </c>
      <c r="S73" s="124">
        <f>AVERAGE(R71:R73)</f>
        <v>1.2119735199999999</v>
      </c>
      <c r="T73" s="86">
        <f>STDEV(R71:R73)</f>
        <v>5.2104040059880639E-2</v>
      </c>
      <c r="U73" s="125">
        <f>T73/SQRT(3)</f>
        <v>3.0082281554439132E-2</v>
      </c>
      <c r="W73" s="84"/>
      <c r="X73" s="78"/>
      <c r="Y73" s="78"/>
      <c r="Z73" s="78"/>
      <c r="AA73" s="154"/>
      <c r="AB73" s="154"/>
      <c r="AC73" s="154"/>
    </row>
    <row r="74" spans="2:29" x14ac:dyDescent="0.15">
      <c r="B74" s="44" t="s">
        <v>30</v>
      </c>
      <c r="C74" s="39">
        <v>0.4152777777777778</v>
      </c>
      <c r="D74" s="5">
        <v>140.21138613861388</v>
      </c>
      <c r="E74" s="5">
        <v>7</v>
      </c>
      <c r="F74" s="136" t="s">
        <v>105</v>
      </c>
      <c r="G74" s="134">
        <v>7.1333333333333346E-2</v>
      </c>
      <c r="H74" s="77">
        <v>1.403</v>
      </c>
      <c r="I74" s="78">
        <v>1.4159999999999999</v>
      </c>
      <c r="J74" s="78">
        <v>1.4119999999999999</v>
      </c>
      <c r="K74" s="78">
        <f>3.1582*H74</f>
        <v>4.4309545999999997</v>
      </c>
      <c r="L74" s="78">
        <f t="shared" ref="L74:M76" si="61">3.1582*I74</f>
        <v>4.4720111999999999</v>
      </c>
      <c r="M74" s="78">
        <f t="shared" si="61"/>
        <v>4.4593783999999994</v>
      </c>
      <c r="N74" s="78">
        <f t="shared" si="57"/>
        <v>4.4541147333333333</v>
      </c>
      <c r="O74" s="78">
        <f t="shared" ref="O74:O85" si="62">N74/20</f>
        <v>0.22270573666666665</v>
      </c>
      <c r="P74" s="78">
        <f t="shared" si="53"/>
        <v>1.5907552619047617E-2</v>
      </c>
      <c r="Q74" s="78">
        <f t="shared" si="54"/>
        <v>1.5907552619047617E-2</v>
      </c>
      <c r="R74" s="78">
        <f t="shared" si="55"/>
        <v>0.98626826238095222</v>
      </c>
      <c r="S74" s="158"/>
      <c r="T74" s="57"/>
      <c r="U74" s="83"/>
      <c r="W74" s="57"/>
      <c r="X74" s="78"/>
      <c r="Y74" s="78"/>
      <c r="Z74" s="78"/>
      <c r="AA74" s="78"/>
    </row>
    <row r="75" spans="2:29" x14ac:dyDescent="0.15">
      <c r="B75" s="59"/>
      <c r="C75" s="57"/>
      <c r="D75" s="57"/>
      <c r="E75" s="57"/>
      <c r="F75" s="105" t="s">
        <v>106</v>
      </c>
      <c r="G75" s="105"/>
      <c r="H75" s="77">
        <v>1.488</v>
      </c>
      <c r="I75" s="78">
        <v>1.4890000000000001</v>
      </c>
      <c r="J75" s="78">
        <v>1.52</v>
      </c>
      <c r="K75" s="78">
        <f t="shared" ref="K75:K76" si="63">3.1582*H75</f>
        <v>4.6994015999999998</v>
      </c>
      <c r="L75" s="78">
        <f t="shared" si="61"/>
        <v>4.7025598000000004</v>
      </c>
      <c r="M75" s="78">
        <f t="shared" si="61"/>
        <v>4.8004639999999998</v>
      </c>
      <c r="N75" s="78">
        <f t="shared" si="57"/>
        <v>4.7341418000000006</v>
      </c>
      <c r="O75" s="78">
        <f t="shared" si="62"/>
        <v>0.23670709000000004</v>
      </c>
      <c r="P75" s="78">
        <f t="shared" si="53"/>
        <v>1.6907649285714289E-2</v>
      </c>
      <c r="Q75" s="78">
        <f t="shared" si="54"/>
        <v>1.6907649285714289E-2</v>
      </c>
      <c r="R75" s="78">
        <f t="shared" si="55"/>
        <v>1.0482742557142859</v>
      </c>
      <c r="S75" s="158"/>
      <c r="T75" s="57"/>
      <c r="U75" s="83"/>
      <c r="Z75" s="78"/>
      <c r="AA75" s="78"/>
    </row>
    <row r="76" spans="2:29" x14ac:dyDescent="0.15">
      <c r="B76" s="59"/>
      <c r="C76" s="57"/>
      <c r="D76" s="57"/>
      <c r="E76" s="57"/>
      <c r="F76" s="105" t="s">
        <v>107</v>
      </c>
      <c r="G76" s="105"/>
      <c r="H76" s="77">
        <v>1.349</v>
      </c>
      <c r="I76" s="78">
        <v>1.355</v>
      </c>
      <c r="J76" s="78">
        <v>1.4</v>
      </c>
      <c r="K76" s="78">
        <f t="shared" si="63"/>
        <v>4.2604118</v>
      </c>
      <c r="L76" s="78">
        <f t="shared" si="61"/>
        <v>4.2793609999999997</v>
      </c>
      <c r="M76" s="78">
        <f t="shared" si="61"/>
        <v>4.4214799999999999</v>
      </c>
      <c r="N76" s="78">
        <f t="shared" si="57"/>
        <v>4.3204175999999999</v>
      </c>
      <c r="O76" s="78">
        <f t="shared" si="62"/>
        <v>0.21602088</v>
      </c>
      <c r="P76" s="78">
        <f t="shared" si="53"/>
        <v>1.5430062857142856E-2</v>
      </c>
      <c r="Q76" s="78">
        <f t="shared" si="54"/>
        <v>1.5430062857142856E-2</v>
      </c>
      <c r="R76" s="78">
        <f t="shared" si="55"/>
        <v>0.95666389714285704</v>
      </c>
      <c r="S76" s="124">
        <f>AVERAGE(R74:R76)</f>
        <v>0.99706880507936502</v>
      </c>
      <c r="T76" s="78">
        <f>STDEV(R74:R76)</f>
        <v>4.6750435734136432E-2</v>
      </c>
      <c r="U76" s="121">
        <f>T76/SQRT(3)</f>
        <v>2.699137665583597E-2</v>
      </c>
      <c r="W76" s="154"/>
      <c r="Z76" s="78"/>
      <c r="AA76" s="78"/>
    </row>
    <row r="77" spans="2:29" x14ac:dyDescent="0.15">
      <c r="B77" s="59" t="s">
        <v>32</v>
      </c>
      <c r="C77" s="143">
        <v>0.44305555555555554</v>
      </c>
      <c r="D77" s="57">
        <v>188.87805280528053</v>
      </c>
      <c r="E77" s="57">
        <v>9</v>
      </c>
      <c r="F77" s="136" t="s">
        <v>105</v>
      </c>
      <c r="G77" s="134">
        <v>7.3999999999999996E-2</v>
      </c>
      <c r="H77" s="77">
        <v>1.1599999999999999</v>
      </c>
      <c r="I77" s="78">
        <v>1.181</v>
      </c>
      <c r="J77" s="78">
        <v>1.1819999999999999</v>
      </c>
      <c r="K77" s="78">
        <f>3.0993*H77</f>
        <v>3.5951879999999998</v>
      </c>
      <c r="L77" s="78">
        <f t="shared" ref="L77:M79" si="64">3.0993*I77</f>
        <v>3.6602733000000001</v>
      </c>
      <c r="M77" s="78">
        <f t="shared" si="64"/>
        <v>3.6633725999999998</v>
      </c>
      <c r="N77" s="78">
        <f t="shared" si="57"/>
        <v>3.6396112999999999</v>
      </c>
      <c r="O77" s="78">
        <f t="shared" si="62"/>
        <v>0.18198056499999998</v>
      </c>
      <c r="P77" s="78">
        <f t="shared" si="53"/>
        <v>1.2998611785714284E-2</v>
      </c>
      <c r="Q77" s="78">
        <f t="shared" si="54"/>
        <v>1.2998611785714284E-2</v>
      </c>
      <c r="R77" s="78">
        <f t="shared" si="55"/>
        <v>0.80591393071428563</v>
      </c>
      <c r="S77" s="158"/>
      <c r="T77" s="57"/>
      <c r="U77" s="83"/>
      <c r="Z77" s="78"/>
      <c r="AA77" s="78"/>
    </row>
    <row r="78" spans="2:29" x14ac:dyDescent="0.15">
      <c r="B78" s="59"/>
      <c r="C78" s="57"/>
      <c r="D78" s="57"/>
      <c r="E78" s="57"/>
      <c r="F78" s="105" t="s">
        <v>106</v>
      </c>
      <c r="G78" s="105"/>
      <c r="H78" s="77">
        <v>1.161</v>
      </c>
      <c r="I78" s="78">
        <v>1.1870000000000001</v>
      </c>
      <c r="J78" s="78">
        <v>1.2150000000000001</v>
      </c>
      <c r="K78" s="78">
        <f t="shared" ref="K78:K79" si="65">3.0993*H78</f>
        <v>3.5982873</v>
      </c>
      <c r="L78" s="78">
        <f t="shared" si="64"/>
        <v>3.6788691</v>
      </c>
      <c r="M78" s="78">
        <f t="shared" si="64"/>
        <v>3.7656495000000003</v>
      </c>
      <c r="N78" s="78">
        <f t="shared" si="57"/>
        <v>3.6809353000000002</v>
      </c>
      <c r="O78" s="78">
        <f t="shared" si="62"/>
        <v>0.184046765</v>
      </c>
      <c r="P78" s="78">
        <f t="shared" si="53"/>
        <v>1.31461975E-2</v>
      </c>
      <c r="Q78" s="78">
        <f t="shared" si="54"/>
        <v>1.31461975E-2</v>
      </c>
      <c r="R78" s="78">
        <f t="shared" si="55"/>
        <v>0.81506424499999997</v>
      </c>
      <c r="S78" s="158"/>
      <c r="T78" s="57"/>
      <c r="U78" s="83"/>
      <c r="Z78" s="78"/>
      <c r="AA78" s="78"/>
    </row>
    <row r="79" spans="2:29" x14ac:dyDescent="0.15">
      <c r="B79" s="59"/>
      <c r="C79" s="57"/>
      <c r="D79" s="57"/>
      <c r="E79" s="57"/>
      <c r="F79" s="105" t="s">
        <v>107</v>
      </c>
      <c r="G79" s="105"/>
      <c r="H79" s="77">
        <v>1.115</v>
      </c>
      <c r="I79" s="78">
        <v>1.109</v>
      </c>
      <c r="J79" s="78">
        <v>1.163</v>
      </c>
      <c r="K79" s="78">
        <f t="shared" si="65"/>
        <v>3.4557194999999998</v>
      </c>
      <c r="L79" s="78">
        <f t="shared" si="64"/>
        <v>3.4371236999999999</v>
      </c>
      <c r="M79" s="78">
        <f t="shared" si="64"/>
        <v>3.6044859000000002</v>
      </c>
      <c r="N79" s="78">
        <f t="shared" si="57"/>
        <v>3.4991097</v>
      </c>
      <c r="O79" s="78">
        <f t="shared" si="62"/>
        <v>0.17495548499999999</v>
      </c>
      <c r="P79" s="78">
        <f t="shared" si="53"/>
        <v>1.2496820357142857E-2</v>
      </c>
      <c r="Q79" s="78">
        <f t="shared" si="54"/>
        <v>1.2496820357142857E-2</v>
      </c>
      <c r="R79" s="78">
        <f t="shared" si="55"/>
        <v>0.77480286214285721</v>
      </c>
      <c r="S79" s="159">
        <f>AVERAGE(R77:R79)</f>
        <v>0.79859367928571423</v>
      </c>
      <c r="T79" s="78">
        <f>STDEV(R77:R79)</f>
        <v>2.1105314452182014E-2</v>
      </c>
      <c r="U79" s="121">
        <f>T79/SQRT(3)</f>
        <v>1.2185158980298986E-2</v>
      </c>
      <c r="Z79" s="78"/>
      <c r="AA79" s="78"/>
    </row>
    <row r="80" spans="2:29" x14ac:dyDescent="0.15">
      <c r="B80" s="131" t="s">
        <v>34</v>
      </c>
      <c r="C80" s="132">
        <v>0.46666666666666662</v>
      </c>
      <c r="D80" s="104">
        <v>237.4447194719472</v>
      </c>
      <c r="E80" s="104">
        <v>11</v>
      </c>
      <c r="F80" s="136" t="s">
        <v>105</v>
      </c>
      <c r="G80" s="134">
        <v>6.533333333333334E-2</v>
      </c>
      <c r="H80" s="96">
        <f>0.911-G80</f>
        <v>0.84566666666666668</v>
      </c>
      <c r="I80" s="97">
        <f>0.923-G80</f>
        <v>0.85766666666666669</v>
      </c>
      <c r="J80" s="97">
        <f>0.927-G80</f>
        <v>0.86166666666666669</v>
      </c>
      <c r="K80" s="78">
        <f>3.3959*H80</f>
        <v>2.8717994333333334</v>
      </c>
      <c r="L80" s="78">
        <f t="shared" ref="L80:M82" si="66">3.3959*I80</f>
        <v>2.9125502333333335</v>
      </c>
      <c r="M80" s="78">
        <f t="shared" si="66"/>
        <v>2.9261338333333335</v>
      </c>
      <c r="N80" s="78">
        <f t="shared" si="57"/>
        <v>2.9034945000000003</v>
      </c>
      <c r="O80" s="78">
        <f t="shared" si="62"/>
        <v>0.145174725</v>
      </c>
      <c r="P80" s="78">
        <f t="shared" si="53"/>
        <v>1.0369623214285714E-2</v>
      </c>
      <c r="Q80" s="78">
        <f t="shared" si="54"/>
        <v>1.0369623214285714E-2</v>
      </c>
      <c r="R80" s="78">
        <f t="shared" si="55"/>
        <v>0.6429166392857143</v>
      </c>
      <c r="S80" s="122"/>
      <c r="T80" s="97"/>
      <c r="U80" s="123"/>
      <c r="Z80" s="78"/>
      <c r="AA80" s="78"/>
    </row>
    <row r="81" spans="1:27" x14ac:dyDescent="0.15">
      <c r="B81" s="59"/>
      <c r="C81" s="57"/>
      <c r="D81" s="57"/>
      <c r="E81" s="57"/>
      <c r="F81" s="105" t="s">
        <v>106</v>
      </c>
      <c r="G81" s="134"/>
      <c r="H81" s="77">
        <f>1.112-G80</f>
        <v>1.0466666666666669</v>
      </c>
      <c r="I81" s="78">
        <f>1.114-G80</f>
        <v>1.0486666666666669</v>
      </c>
      <c r="J81" s="78">
        <f>1.103-G80</f>
        <v>1.0376666666666667</v>
      </c>
      <c r="K81" s="78">
        <f t="shared" ref="K81:K82" si="67">3.3959*H81</f>
        <v>3.5543753333333341</v>
      </c>
      <c r="L81" s="78">
        <f t="shared" si="66"/>
        <v>3.5611671333333343</v>
      </c>
      <c r="M81" s="78">
        <f t="shared" si="66"/>
        <v>3.5238122333333339</v>
      </c>
      <c r="N81" s="78">
        <f t="shared" si="57"/>
        <v>3.5464515666666672</v>
      </c>
      <c r="O81" s="78">
        <f t="shared" si="62"/>
        <v>0.17732257833333337</v>
      </c>
      <c r="P81" s="78">
        <f t="shared" si="53"/>
        <v>1.2665898452380956E-2</v>
      </c>
      <c r="Q81" s="78">
        <f t="shared" si="54"/>
        <v>1.2665898452380956E-2</v>
      </c>
      <c r="R81" s="78">
        <f t="shared" si="55"/>
        <v>0.78528570404761922</v>
      </c>
      <c r="S81" s="159"/>
      <c r="T81" s="78"/>
      <c r="U81" s="121"/>
      <c r="Z81" s="78"/>
      <c r="AA81" s="78"/>
    </row>
    <row r="82" spans="1:27" x14ac:dyDescent="0.15">
      <c r="B82" s="59"/>
      <c r="C82" s="57"/>
      <c r="D82" s="57"/>
      <c r="E82" s="57"/>
      <c r="F82" s="105" t="s">
        <v>107</v>
      </c>
      <c r="G82" s="134"/>
      <c r="H82" s="77">
        <f>1.078-G80</f>
        <v>1.0126666666666668</v>
      </c>
      <c r="I82" s="78">
        <f>1.083-G80</f>
        <v>1.0176666666666667</v>
      </c>
      <c r="J82" s="78">
        <f>1.049-G80</f>
        <v>0.98366666666666658</v>
      </c>
      <c r="K82" s="78">
        <f t="shared" si="67"/>
        <v>3.4389147333333341</v>
      </c>
      <c r="L82" s="78">
        <f t="shared" si="66"/>
        <v>3.4558942333333338</v>
      </c>
      <c r="M82" s="78">
        <f t="shared" si="66"/>
        <v>3.3404336333333333</v>
      </c>
      <c r="N82" s="78">
        <f t="shared" si="57"/>
        <v>3.4117475333333336</v>
      </c>
      <c r="O82" s="78">
        <f t="shared" si="62"/>
        <v>0.17058737666666668</v>
      </c>
      <c r="P82" s="78">
        <f t="shared" si="53"/>
        <v>1.218481261904762E-2</v>
      </c>
      <c r="Q82" s="78">
        <f t="shared" si="54"/>
        <v>1.218481261904762E-2</v>
      </c>
      <c r="R82" s="78">
        <f t="shared" si="55"/>
        <v>0.75545838238095242</v>
      </c>
      <c r="S82" s="124">
        <f>AVERAGE(R80:R82)</f>
        <v>0.72788690857142857</v>
      </c>
      <c r="T82" s="78">
        <f>STDEV(R80:R82)</f>
        <v>7.5082469833622351E-2</v>
      </c>
      <c r="U82" s="121">
        <f>T82/SQRT(3)</f>
        <v>4.3348884169863822E-2</v>
      </c>
      <c r="Z82" s="78"/>
      <c r="AA82" s="78"/>
    </row>
    <row r="83" spans="1:27" x14ac:dyDescent="0.15">
      <c r="B83" s="59" t="s">
        <v>36</v>
      </c>
      <c r="C83" s="143">
        <v>0.47916666666666669</v>
      </c>
      <c r="D83" s="57">
        <v>285.74471947194718</v>
      </c>
      <c r="E83" s="57">
        <v>13</v>
      </c>
      <c r="F83" s="136" t="s">
        <v>105</v>
      </c>
      <c r="G83" s="134">
        <v>6.9666666666666668E-2</v>
      </c>
      <c r="H83" s="77">
        <f>0.905-G83</f>
        <v>0.83533333333333337</v>
      </c>
      <c r="I83" s="78">
        <f>0.808-G83</f>
        <v>0.7383333333333334</v>
      </c>
      <c r="J83" s="78">
        <f>0.805-G83</f>
        <v>0.73533333333333339</v>
      </c>
      <c r="K83" s="78">
        <f>3.5976*H83</f>
        <v>3.0051952000000002</v>
      </c>
      <c r="L83" s="78">
        <f t="shared" ref="L83:M85" si="68">3.5976*I83</f>
        <v>2.656228</v>
      </c>
      <c r="M83" s="78">
        <f t="shared" si="68"/>
        <v>2.6454352000000001</v>
      </c>
      <c r="N83" s="78">
        <f t="shared" si="57"/>
        <v>2.7689527999999997</v>
      </c>
      <c r="O83" s="78">
        <f t="shared" si="62"/>
        <v>0.13844763999999998</v>
      </c>
      <c r="P83" s="78">
        <f t="shared" si="53"/>
        <v>9.8891171428571421E-3</v>
      </c>
      <c r="Q83" s="78">
        <f t="shared" si="54"/>
        <v>9.8891171428571421E-3</v>
      </c>
      <c r="R83" s="78">
        <f t="shared" si="55"/>
        <v>0.61312526285714286</v>
      </c>
      <c r="S83" s="159"/>
      <c r="T83" s="78"/>
      <c r="U83" s="121"/>
      <c r="Z83" s="78"/>
      <c r="AA83" s="78"/>
    </row>
    <row r="84" spans="1:27" x14ac:dyDescent="0.15">
      <c r="B84" s="59"/>
      <c r="C84" s="57"/>
      <c r="D84" s="57"/>
      <c r="E84" s="57"/>
      <c r="F84" s="105" t="s">
        <v>106</v>
      </c>
      <c r="G84" s="134"/>
      <c r="H84" s="77">
        <f>0.6-G83</f>
        <v>0.53033333333333332</v>
      </c>
      <c r="I84" s="78">
        <f>0.607-G83</f>
        <v>0.53733333333333333</v>
      </c>
      <c r="J84" s="78">
        <f>0.604-G83</f>
        <v>0.53433333333333333</v>
      </c>
      <c r="K84" s="78">
        <f t="shared" ref="K84:K85" si="69">3.5976*H84</f>
        <v>1.9079271999999998</v>
      </c>
      <c r="L84" s="78">
        <f t="shared" si="68"/>
        <v>1.9331103999999999</v>
      </c>
      <c r="M84" s="78">
        <f t="shared" si="68"/>
        <v>1.9223176</v>
      </c>
      <c r="N84" s="78">
        <f t="shared" si="57"/>
        <v>1.9211183999999999</v>
      </c>
      <c r="O84" s="78">
        <f t="shared" si="62"/>
        <v>9.6055919999999989E-2</v>
      </c>
      <c r="P84" s="78">
        <f t="shared" si="53"/>
        <v>6.8611371428571417E-3</v>
      </c>
      <c r="Q84" s="78">
        <f t="shared" si="54"/>
        <v>6.8611371428571417E-3</v>
      </c>
      <c r="R84" s="78">
        <f t="shared" si="55"/>
        <v>0.4253905028571428</v>
      </c>
      <c r="S84" s="159"/>
      <c r="T84" s="78"/>
      <c r="U84" s="121"/>
      <c r="Z84" s="78"/>
      <c r="AA84" s="78"/>
    </row>
    <row r="85" spans="1:27" x14ac:dyDescent="0.15">
      <c r="B85" s="59"/>
      <c r="C85" s="57"/>
      <c r="D85" s="57"/>
      <c r="E85" s="57"/>
      <c r="F85" s="105" t="s">
        <v>107</v>
      </c>
      <c r="G85" s="134"/>
      <c r="H85" s="77">
        <f>0.862-G83</f>
        <v>0.79233333333333333</v>
      </c>
      <c r="I85" s="78">
        <f>0.863-G83</f>
        <v>0.79333333333333333</v>
      </c>
      <c r="J85" s="78">
        <f>0.954-G83</f>
        <v>0.8843333333333333</v>
      </c>
      <c r="K85" s="78">
        <f t="shared" si="69"/>
        <v>2.8504983999999998</v>
      </c>
      <c r="L85" s="78">
        <f t="shared" si="68"/>
        <v>2.8540959999999997</v>
      </c>
      <c r="M85" s="78">
        <f t="shared" si="68"/>
        <v>3.1814776</v>
      </c>
      <c r="N85" s="78">
        <f t="shared" si="57"/>
        <v>2.9620239999999995</v>
      </c>
      <c r="O85" s="78">
        <f t="shared" si="62"/>
        <v>0.14810119999999999</v>
      </c>
      <c r="P85" s="78">
        <f t="shared" si="53"/>
        <v>1.0578657142857143E-2</v>
      </c>
      <c r="Q85" s="78">
        <f t="shared" si="54"/>
        <v>1.0578657142857143E-2</v>
      </c>
      <c r="R85" s="78">
        <f t="shared" si="55"/>
        <v>0.65587674285714281</v>
      </c>
      <c r="S85" s="159">
        <f>AVERAGE(R83:R85)</f>
        <v>0.56479750285714281</v>
      </c>
      <c r="T85" s="78">
        <f>STDEV(R83:R85)</f>
        <v>0.12260773220844449</v>
      </c>
      <c r="U85" s="121">
        <f>T85/SQRT(3)</f>
        <v>7.0787607195274979E-2</v>
      </c>
    </row>
    <row r="86" spans="1:27" x14ac:dyDescent="0.15">
      <c r="B86" s="131" t="s">
        <v>38</v>
      </c>
      <c r="C86" s="132">
        <v>0.45833333333333331</v>
      </c>
      <c r="D86" s="104">
        <v>333.24471947194718</v>
      </c>
      <c r="E86" s="104">
        <v>15</v>
      </c>
      <c r="F86" s="136" t="s">
        <v>105</v>
      </c>
      <c r="G86" s="134">
        <v>7.2333333333333319E-2</v>
      </c>
      <c r="H86" s="96">
        <v>0.67900000000000005</v>
      </c>
      <c r="I86" s="97">
        <v>0.69899999999999995</v>
      </c>
      <c r="J86" s="97">
        <v>0.70099999999999996</v>
      </c>
      <c r="K86" s="78">
        <f>3.9395*H86</f>
        <v>2.6749205000000003</v>
      </c>
      <c r="L86" s="78">
        <f t="shared" ref="L86:M88" si="70">3.9395*I86</f>
        <v>2.7537104999999995</v>
      </c>
      <c r="M86" s="78">
        <f t="shared" si="70"/>
        <v>2.7615894999999995</v>
      </c>
      <c r="N86" s="78">
        <f t="shared" si="57"/>
        <v>2.7300734999999996</v>
      </c>
      <c r="O86" s="78">
        <f>N86/25</f>
        <v>0.10920293999999998</v>
      </c>
      <c r="P86" s="78">
        <f t="shared" si="53"/>
        <v>7.8002099999999993E-3</v>
      </c>
      <c r="Q86" s="78">
        <f t="shared" si="54"/>
        <v>7.8002099999999993E-3</v>
      </c>
      <c r="R86" s="78">
        <f t="shared" si="55"/>
        <v>0.48361301999999995</v>
      </c>
      <c r="S86" s="126"/>
      <c r="T86" s="104"/>
      <c r="U86" s="127"/>
    </row>
    <row r="87" spans="1:27" x14ac:dyDescent="0.15">
      <c r="B87" s="59"/>
      <c r="C87" s="57"/>
      <c r="D87" s="57"/>
      <c r="E87" s="57"/>
      <c r="F87" s="105" t="s">
        <v>106</v>
      </c>
      <c r="G87" s="134"/>
      <c r="H87" s="77">
        <v>0.69</v>
      </c>
      <c r="I87" s="78">
        <v>0.68600000000000005</v>
      </c>
      <c r="J87" s="78">
        <v>0.69899999999999995</v>
      </c>
      <c r="K87" s="78">
        <f t="shared" ref="K87:K88" si="71">3.9395*H87</f>
        <v>2.7182549999999996</v>
      </c>
      <c r="L87" s="78">
        <f t="shared" si="70"/>
        <v>2.7024970000000001</v>
      </c>
      <c r="M87" s="78">
        <f t="shared" si="70"/>
        <v>2.7537104999999995</v>
      </c>
      <c r="N87" s="78">
        <f t="shared" si="57"/>
        <v>2.7248208333333337</v>
      </c>
      <c r="O87" s="78">
        <f t="shared" ref="O87:O91" si="72">N87/25</f>
        <v>0.10899283333333334</v>
      </c>
      <c r="P87" s="78">
        <f t="shared" si="53"/>
        <v>7.7852023809523814E-3</v>
      </c>
      <c r="Q87" s="78">
        <f t="shared" si="54"/>
        <v>7.7852023809523814E-3</v>
      </c>
      <c r="R87" s="78">
        <f t="shared" si="55"/>
        <v>0.48268254761904766</v>
      </c>
      <c r="S87" s="158"/>
      <c r="T87" s="57"/>
      <c r="U87" s="83"/>
    </row>
    <row r="88" spans="1:27" x14ac:dyDescent="0.15">
      <c r="B88" s="59"/>
      <c r="C88" s="57"/>
      <c r="D88" s="57"/>
      <c r="E88" s="57"/>
      <c r="F88" s="105" t="s">
        <v>107</v>
      </c>
      <c r="G88" s="134"/>
      <c r="H88" s="77">
        <v>0.71399999999999997</v>
      </c>
      <c r="I88" s="78">
        <v>0.71699999999999997</v>
      </c>
      <c r="J88" s="78">
        <v>0.75800000000000001</v>
      </c>
      <c r="K88" s="78">
        <f t="shared" si="71"/>
        <v>2.8128029999999997</v>
      </c>
      <c r="L88" s="78">
        <f t="shared" si="70"/>
        <v>2.8246214999999997</v>
      </c>
      <c r="M88" s="78">
        <f t="shared" si="70"/>
        <v>2.9861409999999999</v>
      </c>
      <c r="N88" s="78">
        <f t="shared" si="57"/>
        <v>2.8745218333333331</v>
      </c>
      <c r="O88" s="78">
        <f t="shared" si="72"/>
        <v>0.11498087333333333</v>
      </c>
      <c r="P88" s="78">
        <f t="shared" si="53"/>
        <v>8.2129195238095243E-3</v>
      </c>
      <c r="Q88" s="78">
        <f t="shared" si="54"/>
        <v>8.2129195238095243E-3</v>
      </c>
      <c r="R88" s="78">
        <f t="shared" si="55"/>
        <v>0.50920101047619049</v>
      </c>
      <c r="S88" s="124">
        <f>AVERAGE(R86:R88)</f>
        <v>0.49183219269841266</v>
      </c>
      <c r="T88" s="78">
        <f>STDEV(R86:R88)</f>
        <v>1.5049030465819584E-2</v>
      </c>
      <c r="U88" s="121">
        <f>T88/SQRT(3)</f>
        <v>8.6885617904838165E-3</v>
      </c>
    </row>
    <row r="89" spans="1:27" x14ac:dyDescent="0.15">
      <c r="B89" s="44" t="s">
        <v>42</v>
      </c>
      <c r="C89" s="39">
        <v>0.49027777777777781</v>
      </c>
      <c r="D89" s="40">
        <v>430.01138613861383</v>
      </c>
      <c r="E89" s="5">
        <v>19</v>
      </c>
      <c r="F89" s="136" t="s">
        <v>105</v>
      </c>
      <c r="G89" s="134">
        <v>6.6333333333333341E-2</v>
      </c>
      <c r="H89" s="77">
        <v>0.50800000000000001</v>
      </c>
      <c r="I89" s="78">
        <v>0.496</v>
      </c>
      <c r="J89" s="78">
        <v>0.49</v>
      </c>
      <c r="K89" s="78">
        <f>4.0992*H89</f>
        <v>2.0823936000000001</v>
      </c>
      <c r="L89" s="78">
        <f t="shared" ref="L89:M91" si="73">4.0992*I89</f>
        <v>2.0332032</v>
      </c>
      <c r="M89" s="78">
        <f t="shared" si="73"/>
        <v>2.0086079999999997</v>
      </c>
      <c r="N89" s="78">
        <f t="shared" si="57"/>
        <v>2.0414015999999999</v>
      </c>
      <c r="O89" s="78">
        <f t="shared" si="72"/>
        <v>8.1656064E-2</v>
      </c>
      <c r="P89" s="78">
        <f t="shared" si="53"/>
        <v>5.8325759999999999E-3</v>
      </c>
      <c r="Q89" s="78">
        <f t="shared" si="54"/>
        <v>5.8325759999999999E-3</v>
      </c>
      <c r="R89" s="78">
        <f t="shared" si="55"/>
        <v>0.36161971199999998</v>
      </c>
      <c r="S89" s="158"/>
      <c r="T89" s="57"/>
      <c r="U89" s="83"/>
    </row>
    <row r="90" spans="1:27" x14ac:dyDescent="0.15">
      <c r="B90" s="46"/>
      <c r="F90" s="105" t="s">
        <v>106</v>
      </c>
      <c r="G90" s="105"/>
      <c r="H90" s="77">
        <v>0.35499999999999998</v>
      </c>
      <c r="I90" s="78">
        <v>0.442</v>
      </c>
      <c r="J90" s="78">
        <v>0.35499999999999998</v>
      </c>
      <c r="K90" s="78">
        <f t="shared" ref="K90:K91" si="74">4.0992*H90</f>
        <v>1.4552159999999998</v>
      </c>
      <c r="L90" s="78">
        <f t="shared" si="73"/>
        <v>1.8118463999999999</v>
      </c>
      <c r="M90" s="78">
        <f t="shared" si="73"/>
        <v>1.4552159999999998</v>
      </c>
      <c r="N90" s="78">
        <f t="shared" si="57"/>
        <v>1.5740927999999998</v>
      </c>
      <c r="O90" s="78">
        <f t="shared" si="72"/>
        <v>6.2963711999999991E-2</v>
      </c>
      <c r="P90" s="78">
        <f t="shared" si="53"/>
        <v>4.4974079999999996E-3</v>
      </c>
      <c r="Q90" s="78">
        <f t="shared" si="54"/>
        <v>4.4974079999999996E-3</v>
      </c>
      <c r="R90" s="78">
        <f t="shared" si="55"/>
        <v>0.27883929599999996</v>
      </c>
      <c r="S90" s="158"/>
      <c r="T90" s="57"/>
      <c r="U90" s="83"/>
    </row>
    <row r="91" spans="1:27" ht="14" thickBot="1" x14ac:dyDescent="0.2">
      <c r="A91" s="49"/>
      <c r="B91" s="138"/>
      <c r="C91" s="160"/>
      <c r="D91" s="160"/>
      <c r="E91" s="160"/>
      <c r="F91" s="105" t="s">
        <v>107</v>
      </c>
      <c r="G91" s="161"/>
      <c r="H91" s="145">
        <v>0.44400000000000001</v>
      </c>
      <c r="I91" s="106">
        <v>0.39900000000000002</v>
      </c>
      <c r="J91" s="106">
        <v>0.40899999999999997</v>
      </c>
      <c r="K91" s="106">
        <f t="shared" si="74"/>
        <v>1.8200447999999998</v>
      </c>
      <c r="L91" s="106">
        <f t="shared" si="73"/>
        <v>1.6355808000000001</v>
      </c>
      <c r="M91" s="106">
        <f t="shared" si="73"/>
        <v>1.6765727999999998</v>
      </c>
      <c r="N91" s="106">
        <f t="shared" si="57"/>
        <v>1.7107327999999999</v>
      </c>
      <c r="O91" s="106">
        <f t="shared" si="72"/>
        <v>6.8429311999999992E-2</v>
      </c>
      <c r="P91" s="106">
        <f t="shared" si="53"/>
        <v>4.8878079999999996E-3</v>
      </c>
      <c r="Q91" s="106">
        <f t="shared" si="54"/>
        <v>4.8878079999999996E-3</v>
      </c>
      <c r="R91" s="106">
        <f t="shared" si="55"/>
        <v>0.30304409599999999</v>
      </c>
      <c r="S91" s="162">
        <f>AVERAGE(R89:R91)</f>
        <v>0.31450103466666662</v>
      </c>
      <c r="T91" s="106">
        <f>STDEV(R89:R91)</f>
        <v>4.2562840612347198E-2</v>
      </c>
      <c r="U91" s="144">
        <f>T91/SQRT(3)</f>
        <v>2.4573667485013793E-2</v>
      </c>
    </row>
    <row r="92" spans="1:27" x14ac:dyDescent="0.15">
      <c r="B92" s="57"/>
      <c r="C92" s="57"/>
      <c r="D92" s="57"/>
      <c r="E92" s="57"/>
      <c r="F92" s="57"/>
      <c r="G92" s="57"/>
      <c r="H92" s="57"/>
      <c r="I92" s="57"/>
      <c r="J92" s="57"/>
      <c r="K92" s="57"/>
      <c r="L92" s="57"/>
      <c r="M92" s="57"/>
      <c r="N92" s="57"/>
      <c r="O92" s="57"/>
      <c r="P92" s="57"/>
      <c r="Q92" s="57"/>
      <c r="R92" s="57"/>
      <c r="S92" s="57"/>
      <c r="T92" s="57"/>
      <c r="U92" s="57"/>
    </row>
    <row r="93" spans="1:27" x14ac:dyDescent="0.15">
      <c r="B93" s="57"/>
      <c r="C93" s="57"/>
      <c r="D93" s="57"/>
      <c r="E93" s="57"/>
      <c r="F93" s="57"/>
      <c r="G93" s="57"/>
      <c r="H93" s="57"/>
      <c r="I93" s="57"/>
      <c r="J93" s="57"/>
      <c r="K93" s="57"/>
      <c r="L93" s="57"/>
      <c r="M93" s="57"/>
      <c r="N93" s="57"/>
      <c r="O93" s="57"/>
      <c r="P93" s="57"/>
      <c r="Q93" s="57"/>
      <c r="R93" s="57"/>
      <c r="S93" s="57"/>
      <c r="T93" s="57"/>
      <c r="U93" s="57"/>
    </row>
    <row r="94" spans="1:27" x14ac:dyDescent="0.15">
      <c r="B94" s="57"/>
      <c r="C94" s="57"/>
      <c r="D94" s="57"/>
      <c r="E94" s="57"/>
      <c r="F94" s="57"/>
      <c r="G94" s="57"/>
      <c r="H94" s="57"/>
      <c r="I94" s="57"/>
      <c r="J94" s="57"/>
      <c r="K94" s="57"/>
      <c r="L94" s="57"/>
      <c r="M94" s="57"/>
      <c r="N94" s="57"/>
      <c r="O94" s="57"/>
      <c r="P94" s="57"/>
      <c r="Q94" s="57"/>
      <c r="R94" s="57"/>
      <c r="S94" s="57"/>
      <c r="T94" s="57"/>
      <c r="U94" s="57"/>
    </row>
    <row r="95" spans="1:27" x14ac:dyDescent="0.15">
      <c r="B95" s="57"/>
      <c r="C95" s="57"/>
      <c r="D95" s="57"/>
      <c r="E95" s="57"/>
      <c r="F95" s="57"/>
      <c r="G95" s="57"/>
      <c r="H95" s="57"/>
      <c r="I95" s="57"/>
      <c r="J95" s="57"/>
      <c r="K95" s="57"/>
      <c r="L95" s="57"/>
      <c r="M95" s="57"/>
      <c r="N95" s="57"/>
      <c r="O95" s="57"/>
      <c r="P95" s="57"/>
      <c r="Q95" s="57"/>
      <c r="R95" s="57"/>
      <c r="S95" s="57"/>
      <c r="T95" s="57"/>
      <c r="U95" s="57"/>
    </row>
    <row r="96" spans="1:27" x14ac:dyDescent="0.15">
      <c r="B96" s="57"/>
      <c r="C96" s="57"/>
      <c r="D96" s="57"/>
      <c r="E96" s="57"/>
      <c r="F96" s="57"/>
      <c r="G96" s="57"/>
      <c r="H96" s="57"/>
      <c r="I96" s="57"/>
      <c r="J96" s="57"/>
      <c r="K96" s="57"/>
      <c r="L96" s="57"/>
      <c r="M96" s="57"/>
      <c r="N96" s="57"/>
      <c r="O96" s="57"/>
      <c r="P96" s="57"/>
      <c r="Q96" s="57"/>
      <c r="R96" s="57"/>
      <c r="S96" s="57"/>
      <c r="T96" s="57"/>
      <c r="U96" s="57"/>
    </row>
    <row r="97" spans="2:21" x14ac:dyDescent="0.15">
      <c r="B97" s="57"/>
      <c r="C97" s="57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7"/>
      <c r="S97" s="57"/>
      <c r="T97" s="57"/>
      <c r="U97" s="57"/>
    </row>
    <row r="98" spans="2:21" x14ac:dyDescent="0.15">
      <c r="B98" s="57"/>
      <c r="C98" s="57"/>
      <c r="D98" s="57"/>
      <c r="E98" s="57"/>
      <c r="F98" s="57"/>
      <c r="G98" s="57"/>
      <c r="H98" s="57"/>
      <c r="I98" s="57"/>
      <c r="J98" s="57"/>
      <c r="K98" s="57"/>
      <c r="L98" s="57"/>
      <c r="M98" s="57"/>
      <c r="N98" s="57"/>
      <c r="O98" s="57"/>
      <c r="P98" s="57"/>
      <c r="Q98" s="57"/>
      <c r="R98" s="57"/>
      <c r="S98" s="57"/>
      <c r="T98" s="57"/>
      <c r="U98" s="57"/>
    </row>
    <row r="99" spans="2:21" x14ac:dyDescent="0.15">
      <c r="B99" s="57"/>
      <c r="C99" s="57"/>
      <c r="D99" s="57"/>
      <c r="E99" s="57"/>
      <c r="F99" s="57"/>
      <c r="G99" s="57"/>
      <c r="H99" s="57"/>
      <c r="I99" s="57"/>
      <c r="J99" s="57"/>
      <c r="K99" s="57"/>
      <c r="L99" s="57"/>
      <c r="M99" s="57"/>
      <c r="N99" s="57"/>
      <c r="O99" s="57"/>
      <c r="P99" s="57"/>
      <c r="Q99" s="57"/>
      <c r="R99" s="57"/>
      <c r="S99" s="57"/>
      <c r="T99" s="57"/>
      <c r="U99" s="57"/>
    </row>
    <row r="100" spans="2:21" x14ac:dyDescent="0.15">
      <c r="B100" s="57"/>
      <c r="C100" s="57"/>
      <c r="D100" s="57"/>
      <c r="E100" s="57"/>
      <c r="F100" s="57"/>
      <c r="G100" s="57"/>
      <c r="H100" s="57"/>
      <c r="I100" s="57"/>
      <c r="J100" s="57"/>
      <c r="K100" s="57"/>
      <c r="L100" s="57"/>
      <c r="M100" s="57"/>
      <c r="N100" s="57"/>
      <c r="O100" s="57"/>
      <c r="P100" s="57"/>
      <c r="Q100" s="57"/>
      <c r="R100" s="57"/>
      <c r="S100" s="57"/>
      <c r="T100" s="57"/>
      <c r="U100" s="57"/>
    </row>
    <row r="101" spans="2:21" x14ac:dyDescent="0.15">
      <c r="B101" s="57"/>
      <c r="C101" s="57"/>
      <c r="D101" s="57"/>
      <c r="E101" s="57"/>
      <c r="F101" s="57"/>
      <c r="G101" s="57"/>
      <c r="H101" s="57"/>
      <c r="I101" s="57"/>
      <c r="J101" s="57"/>
      <c r="K101" s="57"/>
      <c r="L101" s="57"/>
      <c r="M101" s="57"/>
      <c r="N101" s="57"/>
      <c r="O101" s="57"/>
      <c r="P101" s="57"/>
      <c r="Q101" s="57"/>
      <c r="R101" s="57"/>
      <c r="S101" s="57"/>
      <c r="T101" s="57"/>
      <c r="U101" s="57"/>
    </row>
    <row r="102" spans="2:21" x14ac:dyDescent="0.15">
      <c r="B102" s="57"/>
      <c r="C102" s="57"/>
      <c r="D102" s="57"/>
      <c r="E102" s="57"/>
      <c r="F102" s="57"/>
      <c r="G102" s="57"/>
      <c r="H102" s="57"/>
      <c r="I102" s="57"/>
      <c r="J102" s="57"/>
      <c r="K102" s="57"/>
      <c r="L102" s="57"/>
      <c r="M102" s="57"/>
      <c r="N102" s="57"/>
      <c r="O102" s="57"/>
      <c r="P102" s="57"/>
      <c r="Q102" s="57"/>
      <c r="R102" s="57"/>
      <c r="S102" s="57"/>
      <c r="T102" s="57"/>
      <c r="U102" s="57"/>
    </row>
    <row r="103" spans="2:21" x14ac:dyDescent="0.15">
      <c r="B103" s="57"/>
      <c r="C103" s="57"/>
      <c r="D103" s="57"/>
      <c r="E103" s="57"/>
      <c r="F103" s="57"/>
      <c r="G103" s="57"/>
      <c r="H103" s="57"/>
      <c r="I103" s="57"/>
      <c r="J103" s="57"/>
      <c r="K103" s="57"/>
      <c r="L103" s="57"/>
      <c r="M103" s="57"/>
      <c r="N103" s="57"/>
      <c r="O103" s="57"/>
      <c r="P103" s="57"/>
      <c r="Q103" s="57"/>
      <c r="R103" s="57"/>
      <c r="S103" s="57"/>
      <c r="T103" s="57"/>
      <c r="U103" s="57"/>
    </row>
    <row r="104" spans="2:21" x14ac:dyDescent="0.15">
      <c r="B104" s="57"/>
      <c r="C104" s="57"/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  <c r="P104" s="57"/>
      <c r="Q104" s="57"/>
      <c r="R104" s="57"/>
      <c r="S104" s="57"/>
      <c r="T104" s="57"/>
      <c r="U104" s="57"/>
    </row>
    <row r="105" spans="2:21" x14ac:dyDescent="0.15">
      <c r="B105" s="57"/>
      <c r="C105" s="57"/>
      <c r="D105" s="57"/>
      <c r="E105" s="57"/>
      <c r="F105" s="57"/>
      <c r="G105" s="57"/>
      <c r="H105" s="57"/>
      <c r="I105" s="57"/>
      <c r="J105" s="57"/>
      <c r="K105" s="57"/>
      <c r="L105" s="57"/>
      <c r="M105" s="57"/>
      <c r="N105" s="57"/>
      <c r="O105" s="57"/>
      <c r="P105" s="57"/>
      <c r="Q105" s="57"/>
      <c r="R105" s="57"/>
      <c r="S105" s="57"/>
      <c r="T105" s="57"/>
      <c r="U105" s="57"/>
    </row>
    <row r="106" spans="2:21" x14ac:dyDescent="0.15">
      <c r="B106" s="57"/>
      <c r="C106" s="57"/>
      <c r="D106" s="57"/>
      <c r="E106" s="57"/>
      <c r="F106" s="57"/>
      <c r="G106" s="57"/>
      <c r="H106" s="57"/>
      <c r="I106" s="57"/>
      <c r="J106" s="57"/>
      <c r="K106" s="57"/>
      <c r="L106" s="57"/>
      <c r="M106" s="57"/>
      <c r="N106" s="57"/>
      <c r="O106" s="57"/>
      <c r="P106" s="57"/>
      <c r="Q106" s="57"/>
      <c r="R106" s="57"/>
      <c r="S106" s="57"/>
      <c r="T106" s="57"/>
      <c r="U106" s="57"/>
    </row>
    <row r="107" spans="2:21" x14ac:dyDescent="0.15">
      <c r="B107" s="57"/>
      <c r="C107" s="57"/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  <c r="O107" s="57"/>
      <c r="P107" s="57"/>
      <c r="Q107" s="57"/>
      <c r="R107" s="57"/>
      <c r="S107" s="57"/>
      <c r="T107" s="57"/>
      <c r="U107" s="57"/>
    </row>
    <row r="108" spans="2:21" x14ac:dyDescent="0.15"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  <c r="O108" s="57"/>
      <c r="P108" s="57"/>
      <c r="Q108" s="57"/>
      <c r="R108" s="57"/>
      <c r="S108" s="57"/>
      <c r="T108" s="57"/>
      <c r="U108" s="57"/>
    </row>
    <row r="109" spans="2:21" x14ac:dyDescent="0.15">
      <c r="B109" s="57"/>
      <c r="C109" s="57"/>
      <c r="D109" s="57"/>
      <c r="E109" s="57"/>
      <c r="F109" s="57"/>
      <c r="G109" s="57"/>
      <c r="H109" s="57"/>
      <c r="I109" s="57"/>
      <c r="J109" s="57"/>
      <c r="K109" s="57"/>
      <c r="L109" s="57"/>
      <c r="M109" s="57"/>
      <c r="N109" s="57"/>
      <c r="O109" s="57"/>
      <c r="P109" s="57"/>
      <c r="Q109" s="57"/>
      <c r="R109" s="57"/>
      <c r="S109" s="57"/>
      <c r="T109" s="57"/>
      <c r="U109" s="57"/>
    </row>
    <row r="110" spans="2:21" x14ac:dyDescent="0.15">
      <c r="B110" s="57"/>
      <c r="C110" s="57"/>
      <c r="D110" s="57"/>
      <c r="E110" s="57"/>
      <c r="F110" s="57"/>
      <c r="G110" s="57"/>
      <c r="H110" s="57"/>
      <c r="I110" s="57"/>
      <c r="J110" s="57"/>
      <c r="K110" s="57"/>
      <c r="L110" s="57"/>
      <c r="M110" s="57"/>
      <c r="N110" s="57"/>
      <c r="O110" s="57"/>
      <c r="P110" s="57"/>
      <c r="Q110" s="57"/>
      <c r="R110" s="57"/>
      <c r="S110" s="57"/>
      <c r="T110" s="57"/>
      <c r="U110" s="57"/>
    </row>
    <row r="111" spans="2:21" x14ac:dyDescent="0.15">
      <c r="B111" s="57"/>
      <c r="C111" s="57"/>
      <c r="D111" s="57"/>
      <c r="E111" s="57"/>
      <c r="F111" s="57"/>
      <c r="G111" s="57"/>
      <c r="H111" s="57"/>
      <c r="I111" s="57"/>
      <c r="J111" s="57"/>
      <c r="K111" s="57"/>
      <c r="L111" s="57"/>
      <c r="M111" s="57"/>
      <c r="N111" s="57"/>
      <c r="O111" s="57"/>
      <c r="P111" s="57"/>
      <c r="Q111" s="57"/>
      <c r="R111" s="57"/>
      <c r="S111" s="57"/>
      <c r="T111" s="57"/>
      <c r="U111" s="57"/>
    </row>
    <row r="112" spans="2:21" x14ac:dyDescent="0.15">
      <c r="B112" s="57"/>
      <c r="C112" s="57"/>
      <c r="D112" s="57"/>
      <c r="E112" s="57"/>
      <c r="F112" s="57"/>
      <c r="G112" s="57"/>
      <c r="H112" s="57"/>
      <c r="I112" s="57"/>
      <c r="J112" s="57"/>
      <c r="K112" s="57"/>
      <c r="L112" s="57"/>
      <c r="M112" s="57"/>
      <c r="N112" s="57"/>
      <c r="O112" s="57"/>
      <c r="P112" s="57"/>
      <c r="Q112" s="57"/>
      <c r="R112" s="57"/>
      <c r="S112" s="57"/>
      <c r="T112" s="57"/>
      <c r="U112" s="57"/>
    </row>
    <row r="113" spans="2:21" x14ac:dyDescent="0.15">
      <c r="B113" s="57"/>
      <c r="C113" s="57"/>
      <c r="D113" s="57"/>
      <c r="E113" s="57"/>
      <c r="F113" s="57"/>
      <c r="G113" s="57"/>
      <c r="H113" s="57"/>
      <c r="I113" s="57"/>
      <c r="J113" s="57"/>
      <c r="K113" s="57"/>
      <c r="L113" s="57"/>
      <c r="M113" s="57"/>
      <c r="N113" s="57"/>
      <c r="O113" s="57"/>
      <c r="P113" s="57"/>
      <c r="Q113" s="57"/>
      <c r="R113" s="57"/>
      <c r="S113" s="57"/>
      <c r="T113" s="57"/>
      <c r="U113" s="57"/>
    </row>
    <row r="114" spans="2:21" x14ac:dyDescent="0.15">
      <c r="B114" s="57"/>
      <c r="C114" s="57"/>
      <c r="D114" s="57"/>
      <c r="E114" s="57"/>
      <c r="F114" s="57"/>
      <c r="G114" s="57"/>
      <c r="H114" s="57"/>
      <c r="I114" s="57"/>
      <c r="J114" s="57"/>
      <c r="K114" s="57"/>
      <c r="L114" s="57"/>
      <c r="M114" s="57"/>
      <c r="N114" s="57"/>
      <c r="O114" s="57"/>
      <c r="P114" s="57"/>
      <c r="Q114" s="57"/>
      <c r="R114" s="57"/>
      <c r="S114" s="57"/>
      <c r="T114" s="57"/>
      <c r="U114" s="57"/>
    </row>
    <row r="115" spans="2:21" x14ac:dyDescent="0.15">
      <c r="B115" s="57"/>
      <c r="C115" s="57"/>
      <c r="D115" s="57"/>
      <c r="E115" s="57"/>
      <c r="F115" s="57"/>
      <c r="G115" s="57"/>
      <c r="H115" s="57"/>
      <c r="I115" s="57"/>
      <c r="J115" s="57"/>
      <c r="K115" s="57"/>
      <c r="L115" s="57"/>
      <c r="M115" s="57"/>
      <c r="N115" s="57"/>
      <c r="O115" s="57"/>
      <c r="P115" s="57"/>
      <c r="Q115" s="57"/>
      <c r="R115" s="57"/>
      <c r="S115" s="57"/>
      <c r="T115" s="57"/>
      <c r="U115" s="57"/>
    </row>
    <row r="116" spans="2:21" x14ac:dyDescent="0.15">
      <c r="B116" s="57"/>
      <c r="C116" s="57"/>
      <c r="D116" s="57"/>
      <c r="E116" s="57"/>
      <c r="F116" s="57"/>
      <c r="G116" s="57"/>
      <c r="H116" s="57"/>
      <c r="I116" s="57"/>
      <c r="J116" s="57"/>
      <c r="K116" s="57"/>
      <c r="L116" s="57"/>
      <c r="M116" s="57"/>
      <c r="N116" s="57"/>
      <c r="O116" s="57"/>
      <c r="P116" s="57"/>
      <c r="Q116" s="57"/>
      <c r="R116" s="57"/>
      <c r="S116" s="57"/>
      <c r="T116" s="57"/>
      <c r="U116" s="57"/>
    </row>
    <row r="117" spans="2:21" x14ac:dyDescent="0.15">
      <c r="B117" s="57"/>
      <c r="C117" s="57"/>
      <c r="D117" s="57"/>
      <c r="E117" s="57"/>
      <c r="F117" s="57"/>
      <c r="G117" s="57"/>
      <c r="H117" s="57"/>
      <c r="I117" s="57"/>
      <c r="J117" s="57"/>
      <c r="K117" s="57"/>
      <c r="L117" s="57"/>
      <c r="M117" s="57"/>
      <c r="N117" s="57"/>
      <c r="O117" s="57"/>
      <c r="P117" s="57"/>
      <c r="Q117" s="57"/>
      <c r="R117" s="57"/>
      <c r="S117" s="57"/>
      <c r="T117" s="57"/>
      <c r="U117" s="57"/>
    </row>
    <row r="118" spans="2:21" x14ac:dyDescent="0.15">
      <c r="B118" s="57"/>
      <c r="C118" s="57"/>
      <c r="D118" s="57"/>
      <c r="E118" s="57"/>
      <c r="F118" s="57"/>
      <c r="G118" s="57"/>
      <c r="H118" s="57"/>
      <c r="I118" s="57"/>
      <c r="J118" s="57"/>
      <c r="K118" s="57"/>
      <c r="L118" s="57"/>
      <c r="M118" s="57"/>
      <c r="N118" s="57"/>
      <c r="O118" s="57"/>
      <c r="P118" s="57"/>
      <c r="Q118" s="57"/>
      <c r="R118" s="57"/>
      <c r="S118" s="57"/>
      <c r="T118" s="57"/>
      <c r="U118" s="57"/>
    </row>
    <row r="119" spans="2:21" x14ac:dyDescent="0.15">
      <c r="B119" s="57"/>
      <c r="C119" s="57"/>
      <c r="D119" s="57"/>
      <c r="E119" s="57"/>
      <c r="F119" s="57"/>
      <c r="G119" s="57"/>
      <c r="H119" s="57"/>
      <c r="I119" s="57"/>
      <c r="J119" s="57"/>
      <c r="K119" s="57"/>
      <c r="L119" s="57"/>
      <c r="M119" s="57"/>
      <c r="N119" s="57"/>
      <c r="O119" s="57"/>
      <c r="P119" s="57"/>
      <c r="Q119" s="57"/>
      <c r="R119" s="57"/>
      <c r="S119" s="57"/>
      <c r="T119" s="57"/>
      <c r="U119" s="57"/>
    </row>
    <row r="120" spans="2:21" x14ac:dyDescent="0.15">
      <c r="B120" s="57"/>
      <c r="C120" s="57"/>
      <c r="D120" s="57"/>
      <c r="E120" s="57"/>
      <c r="F120" s="57"/>
      <c r="G120" s="57"/>
      <c r="H120" s="57"/>
      <c r="I120" s="57"/>
      <c r="J120" s="57"/>
      <c r="K120" s="57"/>
      <c r="L120" s="57"/>
      <c r="M120" s="57"/>
      <c r="N120" s="57"/>
      <c r="O120" s="57"/>
      <c r="P120" s="57"/>
      <c r="Q120" s="57"/>
      <c r="R120" s="57"/>
      <c r="S120" s="57"/>
      <c r="T120" s="57"/>
      <c r="U120" s="57"/>
    </row>
    <row r="121" spans="2:21" x14ac:dyDescent="0.15">
      <c r="B121" s="57"/>
      <c r="C121" s="57"/>
      <c r="D121" s="57"/>
      <c r="E121" s="57"/>
      <c r="F121" s="57"/>
      <c r="G121" s="57"/>
      <c r="H121" s="57"/>
      <c r="I121" s="57"/>
      <c r="J121" s="57"/>
      <c r="K121" s="57"/>
      <c r="L121" s="57"/>
      <c r="M121" s="57"/>
      <c r="N121" s="57"/>
      <c r="O121" s="57"/>
      <c r="P121" s="57"/>
      <c r="Q121" s="57"/>
      <c r="R121" s="57"/>
      <c r="S121" s="57"/>
      <c r="T121" s="57"/>
      <c r="U121" s="57"/>
    </row>
    <row r="122" spans="2:21" x14ac:dyDescent="0.15">
      <c r="B122" s="57"/>
      <c r="C122" s="57"/>
      <c r="D122" s="57"/>
      <c r="E122" s="57"/>
      <c r="F122" s="57"/>
      <c r="G122" s="57"/>
      <c r="H122" s="57"/>
      <c r="I122" s="57"/>
      <c r="J122" s="57"/>
      <c r="K122" s="57"/>
      <c r="L122" s="57"/>
      <c r="M122" s="57"/>
      <c r="N122" s="57"/>
      <c r="O122" s="57"/>
      <c r="P122" s="57"/>
      <c r="Q122" s="57"/>
      <c r="R122" s="57"/>
      <c r="S122" s="57"/>
      <c r="T122" s="57"/>
      <c r="U122" s="57"/>
    </row>
    <row r="123" spans="2:21" x14ac:dyDescent="0.15">
      <c r="B123" s="57"/>
      <c r="C123" s="57"/>
      <c r="D123" s="57"/>
      <c r="E123" s="57"/>
      <c r="F123" s="57"/>
      <c r="G123" s="57"/>
      <c r="H123" s="57"/>
      <c r="I123" s="57"/>
      <c r="J123" s="57"/>
      <c r="K123" s="57"/>
      <c r="L123" s="57"/>
      <c r="M123" s="57"/>
      <c r="N123" s="57"/>
      <c r="O123" s="57"/>
      <c r="P123" s="57"/>
      <c r="Q123" s="57"/>
      <c r="R123" s="57"/>
      <c r="S123" s="57"/>
      <c r="T123" s="57"/>
      <c r="U123" s="57"/>
    </row>
    <row r="124" spans="2:21" x14ac:dyDescent="0.15">
      <c r="B124" s="57"/>
      <c r="C124" s="57"/>
      <c r="D124" s="57"/>
      <c r="E124" s="57"/>
      <c r="F124" s="57"/>
      <c r="G124" s="57"/>
      <c r="H124" s="57"/>
      <c r="I124" s="57"/>
      <c r="J124" s="57"/>
      <c r="K124" s="57"/>
      <c r="L124" s="57"/>
      <c r="M124" s="57"/>
      <c r="N124" s="57"/>
      <c r="O124" s="57"/>
      <c r="P124" s="57"/>
      <c r="Q124" s="57"/>
      <c r="R124" s="57"/>
      <c r="S124" s="57"/>
      <c r="T124" s="57"/>
      <c r="U124" s="57"/>
    </row>
    <row r="125" spans="2:21" x14ac:dyDescent="0.15">
      <c r="B125" s="57"/>
      <c r="C125" s="57"/>
      <c r="D125" s="57"/>
      <c r="E125" s="57"/>
      <c r="F125" s="57"/>
      <c r="G125" s="57"/>
      <c r="H125" s="57"/>
      <c r="I125" s="57"/>
      <c r="J125" s="57"/>
      <c r="K125" s="57"/>
      <c r="L125" s="57"/>
      <c r="M125" s="57"/>
      <c r="N125" s="57"/>
      <c r="O125" s="57"/>
      <c r="P125" s="57"/>
      <c r="Q125" s="57"/>
      <c r="R125" s="57"/>
      <c r="S125" s="57"/>
      <c r="T125" s="57"/>
      <c r="U125" s="57"/>
    </row>
    <row r="126" spans="2:21" x14ac:dyDescent="0.15">
      <c r="B126" s="57"/>
      <c r="C126" s="57"/>
      <c r="D126" s="57"/>
      <c r="E126" s="57"/>
      <c r="F126" s="57"/>
      <c r="G126" s="57"/>
      <c r="H126" s="57"/>
      <c r="I126" s="57"/>
      <c r="J126" s="57"/>
      <c r="K126" s="57"/>
      <c r="L126" s="57"/>
      <c r="M126" s="57"/>
      <c r="N126" s="57"/>
      <c r="O126" s="57"/>
      <c r="P126" s="57"/>
      <c r="Q126" s="57"/>
      <c r="R126" s="57"/>
      <c r="S126" s="57"/>
      <c r="T126" s="57"/>
      <c r="U126" s="57"/>
    </row>
    <row r="127" spans="2:21" x14ac:dyDescent="0.15">
      <c r="B127" s="57"/>
      <c r="C127" s="57"/>
      <c r="D127" s="57"/>
      <c r="E127" s="57"/>
      <c r="F127" s="57"/>
      <c r="G127" s="57"/>
      <c r="H127" s="57"/>
      <c r="I127" s="57"/>
      <c r="J127" s="57"/>
      <c r="K127" s="57"/>
      <c r="L127" s="57"/>
      <c r="M127" s="57"/>
      <c r="N127" s="57"/>
      <c r="O127" s="57"/>
      <c r="P127" s="57"/>
      <c r="Q127" s="57"/>
      <c r="R127" s="57"/>
      <c r="S127" s="57"/>
      <c r="T127" s="57"/>
      <c r="U127" s="57"/>
    </row>
    <row r="128" spans="2:21" x14ac:dyDescent="0.15">
      <c r="B128" s="57"/>
      <c r="C128" s="57"/>
      <c r="D128" s="57"/>
      <c r="E128" s="57"/>
      <c r="F128" s="57"/>
      <c r="G128" s="57"/>
      <c r="H128" s="57"/>
      <c r="I128" s="57"/>
      <c r="J128" s="57"/>
      <c r="K128" s="57"/>
      <c r="L128" s="57"/>
      <c r="M128" s="57"/>
      <c r="N128" s="57"/>
      <c r="O128" s="57"/>
      <c r="P128" s="57"/>
      <c r="Q128" s="57"/>
      <c r="R128" s="57"/>
      <c r="S128" s="57"/>
      <c r="T128" s="57"/>
      <c r="U128" s="57"/>
    </row>
    <row r="129" spans="2:21" x14ac:dyDescent="0.15">
      <c r="B129" s="57"/>
      <c r="C129" s="57"/>
      <c r="D129" s="57"/>
      <c r="E129" s="57"/>
      <c r="F129" s="57"/>
      <c r="G129" s="57"/>
      <c r="H129" s="57"/>
      <c r="I129" s="57"/>
      <c r="J129" s="57"/>
      <c r="K129" s="57"/>
      <c r="L129" s="57"/>
      <c r="M129" s="57"/>
      <c r="N129" s="57"/>
      <c r="O129" s="57"/>
      <c r="P129" s="57"/>
      <c r="Q129" s="57"/>
      <c r="R129" s="57"/>
      <c r="S129" s="57"/>
      <c r="T129" s="57"/>
      <c r="U129" s="57"/>
    </row>
    <row r="130" spans="2:21" x14ac:dyDescent="0.15">
      <c r="B130" s="57"/>
      <c r="C130" s="57"/>
      <c r="D130" s="57"/>
      <c r="E130" s="57"/>
      <c r="F130" s="57"/>
      <c r="G130" s="57"/>
      <c r="H130" s="57"/>
      <c r="I130" s="57"/>
      <c r="J130" s="57"/>
      <c r="K130" s="57"/>
      <c r="L130" s="57"/>
      <c r="M130" s="57"/>
      <c r="N130" s="57"/>
      <c r="O130" s="57"/>
      <c r="P130" s="57"/>
      <c r="Q130" s="57"/>
      <c r="R130" s="57"/>
      <c r="S130" s="57"/>
      <c r="T130" s="57"/>
      <c r="U130" s="57"/>
    </row>
    <row r="131" spans="2:21" x14ac:dyDescent="0.15">
      <c r="B131" s="57"/>
      <c r="C131" s="57"/>
      <c r="D131" s="57"/>
      <c r="E131" s="57"/>
      <c r="F131" s="57"/>
      <c r="G131" s="57"/>
      <c r="H131" s="57"/>
      <c r="I131" s="57"/>
      <c r="J131" s="57"/>
      <c r="K131" s="57"/>
      <c r="L131" s="57"/>
      <c r="M131" s="57"/>
      <c r="N131" s="57"/>
      <c r="O131" s="57"/>
      <c r="P131" s="57"/>
      <c r="Q131" s="57"/>
      <c r="R131" s="57"/>
      <c r="S131" s="57"/>
      <c r="T131" s="57"/>
      <c r="U131" s="57"/>
    </row>
    <row r="132" spans="2:21" x14ac:dyDescent="0.15">
      <c r="B132" s="57"/>
      <c r="C132" s="57"/>
      <c r="D132" s="57"/>
      <c r="E132" s="57"/>
      <c r="F132" s="57"/>
      <c r="G132" s="57"/>
      <c r="H132" s="57"/>
      <c r="I132" s="57"/>
      <c r="J132" s="57"/>
      <c r="K132" s="57"/>
      <c r="L132" s="57"/>
      <c r="M132" s="57"/>
      <c r="N132" s="57"/>
      <c r="O132" s="57"/>
      <c r="P132" s="57"/>
      <c r="Q132" s="57"/>
      <c r="R132" s="57"/>
      <c r="S132" s="57"/>
      <c r="T132" s="57"/>
      <c r="U132" s="57"/>
    </row>
    <row r="133" spans="2:21" x14ac:dyDescent="0.15">
      <c r="B133" s="57"/>
      <c r="C133" s="57"/>
      <c r="D133" s="57"/>
      <c r="E133" s="57"/>
      <c r="F133" s="57"/>
      <c r="G133" s="57"/>
      <c r="H133" s="57"/>
      <c r="I133" s="57"/>
      <c r="J133" s="57"/>
      <c r="K133" s="57"/>
      <c r="L133" s="57"/>
      <c r="M133" s="57"/>
      <c r="N133" s="57"/>
      <c r="O133" s="57"/>
      <c r="P133" s="57"/>
      <c r="Q133" s="57"/>
      <c r="R133" s="57"/>
      <c r="S133" s="57"/>
      <c r="T133" s="57"/>
      <c r="U133" s="57"/>
    </row>
    <row r="134" spans="2:21" x14ac:dyDescent="0.15"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  <c r="O134" s="57"/>
      <c r="P134" s="57"/>
      <c r="Q134" s="57"/>
      <c r="R134" s="57"/>
      <c r="S134" s="57"/>
      <c r="T134" s="57"/>
      <c r="U134" s="57"/>
    </row>
    <row r="135" spans="2:21" x14ac:dyDescent="0.15">
      <c r="B135" s="57"/>
      <c r="C135" s="57"/>
      <c r="D135" s="57"/>
      <c r="E135" s="57"/>
      <c r="F135" s="57"/>
      <c r="G135" s="57"/>
      <c r="H135" s="57"/>
      <c r="I135" s="57"/>
      <c r="J135" s="57"/>
      <c r="K135" s="57"/>
      <c r="L135" s="57"/>
      <c r="M135" s="57"/>
      <c r="N135" s="57"/>
      <c r="O135" s="57"/>
      <c r="P135" s="57"/>
      <c r="Q135" s="57"/>
      <c r="R135" s="57"/>
      <c r="S135" s="57"/>
      <c r="T135" s="57"/>
      <c r="U135" s="57"/>
    </row>
    <row r="136" spans="2:21" x14ac:dyDescent="0.15">
      <c r="B136" s="57"/>
      <c r="C136" s="57"/>
      <c r="D136" s="57"/>
      <c r="E136" s="57"/>
      <c r="F136" s="57"/>
      <c r="G136" s="57"/>
      <c r="H136" s="57"/>
      <c r="I136" s="57"/>
      <c r="J136" s="57"/>
      <c r="K136" s="57"/>
      <c r="L136" s="57"/>
      <c r="M136" s="57"/>
      <c r="N136" s="57"/>
      <c r="O136" s="57"/>
      <c r="P136" s="57"/>
      <c r="Q136" s="57"/>
      <c r="R136" s="57"/>
      <c r="S136" s="57"/>
      <c r="T136" s="57"/>
      <c r="U136" s="57"/>
    </row>
    <row r="137" spans="2:21" x14ac:dyDescent="0.15">
      <c r="B137" s="57"/>
      <c r="C137" s="57"/>
      <c r="D137" s="57"/>
      <c r="E137" s="57"/>
      <c r="F137" s="57"/>
      <c r="G137" s="57"/>
      <c r="H137" s="57"/>
      <c r="I137" s="57"/>
      <c r="J137" s="57"/>
      <c r="K137" s="57"/>
      <c r="L137" s="57"/>
      <c r="M137" s="57"/>
      <c r="N137" s="57"/>
      <c r="O137" s="57"/>
      <c r="P137" s="57"/>
      <c r="Q137" s="57"/>
      <c r="R137" s="57"/>
      <c r="S137" s="57"/>
      <c r="T137" s="57"/>
      <c r="U137" s="57"/>
    </row>
    <row r="138" spans="2:21" x14ac:dyDescent="0.15">
      <c r="B138" s="57"/>
      <c r="C138" s="57"/>
      <c r="D138" s="57"/>
      <c r="E138" s="57"/>
      <c r="F138" s="57"/>
      <c r="G138" s="57"/>
      <c r="H138" s="57"/>
      <c r="I138" s="57"/>
      <c r="J138" s="57"/>
      <c r="K138" s="57"/>
      <c r="L138" s="57"/>
      <c r="M138" s="57"/>
      <c r="N138" s="57"/>
      <c r="O138" s="57"/>
      <c r="P138" s="57"/>
      <c r="Q138" s="57"/>
      <c r="R138" s="57"/>
      <c r="S138" s="57"/>
      <c r="T138" s="57"/>
      <c r="U138" s="57"/>
    </row>
    <row r="139" spans="2:21" x14ac:dyDescent="0.15">
      <c r="B139" s="57"/>
      <c r="C139" s="57"/>
      <c r="D139" s="57"/>
      <c r="E139" s="57"/>
      <c r="F139" s="57"/>
      <c r="G139" s="57"/>
      <c r="H139" s="57"/>
      <c r="I139" s="57"/>
      <c r="J139" s="57"/>
      <c r="K139" s="57"/>
      <c r="L139" s="57"/>
      <c r="M139" s="57"/>
      <c r="N139" s="57"/>
      <c r="O139" s="57"/>
      <c r="P139" s="57"/>
      <c r="Q139" s="57"/>
      <c r="R139" s="57"/>
      <c r="S139" s="57"/>
      <c r="T139" s="57"/>
      <c r="U139" s="57"/>
    </row>
    <row r="140" spans="2:21" x14ac:dyDescent="0.15">
      <c r="B140" s="57"/>
      <c r="C140" s="57"/>
      <c r="D140" s="57"/>
      <c r="E140" s="57"/>
      <c r="F140" s="57"/>
      <c r="G140" s="57"/>
      <c r="H140" s="57"/>
      <c r="I140" s="57"/>
      <c r="J140" s="57"/>
      <c r="K140" s="57"/>
      <c r="L140" s="57"/>
      <c r="M140" s="57"/>
      <c r="N140" s="57"/>
      <c r="O140" s="57"/>
      <c r="P140" s="57"/>
      <c r="Q140" s="57"/>
      <c r="R140" s="57"/>
      <c r="S140" s="57"/>
      <c r="T140" s="57"/>
      <c r="U140" s="57"/>
    </row>
    <row r="141" spans="2:21" x14ac:dyDescent="0.15">
      <c r="B141" s="57"/>
      <c r="C141" s="57"/>
      <c r="D141" s="57"/>
      <c r="E141" s="57"/>
      <c r="F141" s="57"/>
      <c r="G141" s="57"/>
      <c r="H141" s="57"/>
      <c r="I141" s="57"/>
      <c r="J141" s="57"/>
      <c r="K141" s="57"/>
      <c r="L141" s="57"/>
      <c r="M141" s="57"/>
      <c r="N141" s="57"/>
      <c r="O141" s="57"/>
      <c r="P141" s="57"/>
      <c r="Q141" s="57"/>
      <c r="R141" s="57"/>
      <c r="S141" s="57"/>
      <c r="T141" s="57"/>
      <c r="U141" s="57"/>
    </row>
    <row r="142" spans="2:21" x14ac:dyDescent="0.15">
      <c r="B142" s="57"/>
      <c r="C142" s="57"/>
      <c r="D142" s="57"/>
      <c r="E142" s="57"/>
      <c r="F142" s="57"/>
      <c r="G142" s="57"/>
      <c r="H142" s="57"/>
      <c r="I142" s="57"/>
      <c r="J142" s="57"/>
      <c r="K142" s="57"/>
      <c r="L142" s="57"/>
      <c r="M142" s="57"/>
      <c r="N142" s="57"/>
      <c r="O142" s="57"/>
      <c r="P142" s="57"/>
      <c r="Q142" s="57"/>
      <c r="R142" s="57"/>
      <c r="S142" s="57"/>
      <c r="T142" s="57"/>
      <c r="U142" s="57"/>
    </row>
    <row r="143" spans="2:21" x14ac:dyDescent="0.15">
      <c r="B143" s="57"/>
      <c r="C143" s="57"/>
      <c r="D143" s="57"/>
      <c r="E143" s="57"/>
      <c r="F143" s="57"/>
      <c r="G143" s="57"/>
      <c r="H143" s="57"/>
      <c r="I143" s="57"/>
      <c r="J143" s="57"/>
      <c r="K143" s="57"/>
      <c r="L143" s="57"/>
      <c r="M143" s="57"/>
      <c r="N143" s="57"/>
      <c r="O143" s="57"/>
      <c r="P143" s="57"/>
      <c r="Q143" s="57"/>
      <c r="R143" s="57"/>
      <c r="S143" s="57"/>
      <c r="T143" s="57"/>
      <c r="U143" s="57"/>
    </row>
    <row r="144" spans="2:21" x14ac:dyDescent="0.15">
      <c r="B144" s="57"/>
      <c r="C144" s="57"/>
      <c r="D144" s="57"/>
      <c r="E144" s="57"/>
      <c r="F144" s="57"/>
      <c r="G144" s="57"/>
      <c r="H144" s="57"/>
      <c r="I144" s="57"/>
      <c r="J144" s="57"/>
      <c r="K144" s="57"/>
      <c r="L144" s="57"/>
      <c r="M144" s="57"/>
      <c r="N144" s="57"/>
      <c r="O144" s="57"/>
      <c r="P144" s="57"/>
      <c r="Q144" s="57"/>
      <c r="R144" s="57"/>
      <c r="S144" s="57"/>
      <c r="T144" s="57"/>
      <c r="U144" s="57"/>
    </row>
    <row r="145" spans="2:21" x14ac:dyDescent="0.15">
      <c r="B145" s="57"/>
      <c r="C145" s="57"/>
      <c r="D145" s="57"/>
      <c r="E145" s="57"/>
      <c r="F145" s="57"/>
      <c r="G145" s="57"/>
      <c r="H145" s="57"/>
      <c r="I145" s="57"/>
      <c r="J145" s="57"/>
      <c r="K145" s="57"/>
      <c r="L145" s="57"/>
      <c r="M145" s="57"/>
      <c r="N145" s="57"/>
      <c r="O145" s="57"/>
      <c r="P145" s="57"/>
      <c r="Q145" s="57"/>
      <c r="R145" s="57"/>
      <c r="S145" s="57"/>
      <c r="T145" s="57"/>
      <c r="U145" s="57"/>
    </row>
    <row r="146" spans="2:21" x14ac:dyDescent="0.15">
      <c r="B146" s="57"/>
      <c r="C146" s="57"/>
      <c r="D146" s="57"/>
      <c r="E146" s="57"/>
      <c r="F146" s="57"/>
      <c r="G146" s="57"/>
      <c r="H146" s="57"/>
      <c r="I146" s="57"/>
      <c r="J146" s="57"/>
      <c r="K146" s="57"/>
      <c r="L146" s="57"/>
      <c r="M146" s="57"/>
      <c r="N146" s="57"/>
      <c r="O146" s="57"/>
      <c r="P146" s="57"/>
      <c r="Q146" s="57"/>
      <c r="R146" s="57"/>
      <c r="S146" s="57"/>
      <c r="T146" s="57"/>
      <c r="U146" s="57"/>
    </row>
    <row r="147" spans="2:21" x14ac:dyDescent="0.15">
      <c r="B147" s="57"/>
      <c r="C147" s="57"/>
      <c r="D147" s="57"/>
      <c r="E147" s="57"/>
      <c r="F147" s="57"/>
      <c r="G147" s="57"/>
      <c r="H147" s="57"/>
      <c r="I147" s="57"/>
      <c r="J147" s="57"/>
      <c r="K147" s="57"/>
      <c r="L147" s="57"/>
      <c r="M147" s="57"/>
      <c r="N147" s="57"/>
      <c r="O147" s="57"/>
      <c r="P147" s="57"/>
      <c r="Q147" s="57"/>
      <c r="R147" s="57"/>
      <c r="S147" s="57"/>
      <c r="T147" s="57"/>
      <c r="U147" s="57"/>
    </row>
    <row r="148" spans="2:21" x14ac:dyDescent="0.15">
      <c r="B148" s="57"/>
      <c r="C148" s="57"/>
      <c r="D148" s="57"/>
      <c r="E148" s="57"/>
      <c r="F148" s="57"/>
      <c r="G148" s="57"/>
      <c r="H148" s="57"/>
      <c r="I148" s="57"/>
      <c r="J148" s="57"/>
      <c r="K148" s="57"/>
      <c r="L148" s="57"/>
      <c r="M148" s="57"/>
      <c r="N148" s="57"/>
      <c r="O148" s="57"/>
      <c r="P148" s="57"/>
      <c r="Q148" s="57"/>
      <c r="R148" s="57"/>
      <c r="S148" s="57"/>
      <c r="T148" s="57"/>
      <c r="U148" s="57"/>
    </row>
    <row r="149" spans="2:21" x14ac:dyDescent="0.15">
      <c r="B149" s="57"/>
      <c r="C149" s="57"/>
      <c r="D149" s="57"/>
      <c r="E149" s="57"/>
      <c r="F149" s="57"/>
      <c r="G149" s="57"/>
      <c r="H149" s="57"/>
      <c r="I149" s="57"/>
      <c r="J149" s="57"/>
      <c r="K149" s="57"/>
      <c r="L149" s="57"/>
      <c r="M149" s="57"/>
      <c r="N149" s="57"/>
      <c r="O149" s="57"/>
      <c r="P149" s="57"/>
      <c r="Q149" s="57"/>
      <c r="R149" s="57"/>
      <c r="S149" s="57"/>
      <c r="T149" s="57"/>
      <c r="U149" s="57"/>
    </row>
    <row r="150" spans="2:21" x14ac:dyDescent="0.15">
      <c r="B150" s="57"/>
      <c r="C150" s="57"/>
      <c r="D150" s="57"/>
      <c r="E150" s="57"/>
      <c r="F150" s="57"/>
      <c r="G150" s="57"/>
      <c r="H150" s="57"/>
      <c r="I150" s="57"/>
      <c r="J150" s="57"/>
      <c r="K150" s="57"/>
      <c r="L150" s="57"/>
      <c r="M150" s="57"/>
      <c r="N150" s="57"/>
      <c r="O150" s="57"/>
      <c r="P150" s="57"/>
      <c r="Q150" s="57"/>
      <c r="R150" s="57"/>
      <c r="S150" s="57"/>
      <c r="T150" s="57"/>
      <c r="U150" s="57"/>
    </row>
    <row r="151" spans="2:21" x14ac:dyDescent="0.15">
      <c r="B151" s="57"/>
      <c r="C151" s="57"/>
      <c r="D151" s="57"/>
      <c r="E151" s="57"/>
      <c r="F151" s="57"/>
      <c r="G151" s="57"/>
      <c r="H151" s="57"/>
      <c r="I151" s="57"/>
      <c r="J151" s="57"/>
      <c r="K151" s="57"/>
      <c r="L151" s="57"/>
      <c r="M151" s="57"/>
      <c r="N151" s="57"/>
      <c r="O151" s="57"/>
      <c r="P151" s="57"/>
      <c r="Q151" s="57"/>
      <c r="R151" s="57"/>
      <c r="S151" s="57"/>
      <c r="T151" s="57"/>
      <c r="U151" s="57"/>
    </row>
    <row r="152" spans="2:21" x14ac:dyDescent="0.15">
      <c r="B152" s="57"/>
      <c r="C152" s="57"/>
      <c r="D152" s="57"/>
      <c r="E152" s="57"/>
      <c r="F152" s="57"/>
      <c r="G152" s="57"/>
      <c r="H152" s="57"/>
      <c r="I152" s="57"/>
      <c r="J152" s="57"/>
      <c r="K152" s="57"/>
      <c r="L152" s="57"/>
      <c r="M152" s="57"/>
      <c r="N152" s="57"/>
      <c r="O152" s="57"/>
      <c r="P152" s="57"/>
      <c r="Q152" s="57"/>
      <c r="R152" s="57"/>
      <c r="S152" s="57"/>
      <c r="T152" s="57"/>
      <c r="U152" s="57"/>
    </row>
    <row r="153" spans="2:21" x14ac:dyDescent="0.15">
      <c r="B153" s="57"/>
      <c r="C153" s="57"/>
      <c r="D153" s="57"/>
      <c r="E153" s="57"/>
      <c r="F153" s="57"/>
      <c r="G153" s="57"/>
      <c r="H153" s="57"/>
      <c r="I153" s="57"/>
      <c r="J153" s="57"/>
      <c r="K153" s="57"/>
      <c r="L153" s="57"/>
      <c r="M153" s="57"/>
      <c r="N153" s="57"/>
      <c r="O153" s="57"/>
      <c r="P153" s="57"/>
      <c r="Q153" s="57"/>
      <c r="R153" s="57"/>
      <c r="S153" s="57"/>
      <c r="T153" s="57"/>
      <c r="U153" s="57"/>
    </row>
    <row r="154" spans="2:21" x14ac:dyDescent="0.15">
      <c r="B154" s="57"/>
      <c r="C154" s="57"/>
      <c r="D154" s="57"/>
      <c r="E154" s="57"/>
      <c r="F154" s="57"/>
      <c r="G154" s="57"/>
      <c r="H154" s="57"/>
      <c r="I154" s="57"/>
      <c r="J154" s="57"/>
      <c r="K154" s="57"/>
      <c r="L154" s="57"/>
      <c r="M154" s="57"/>
      <c r="N154" s="57"/>
      <c r="O154" s="57"/>
      <c r="P154" s="57"/>
      <c r="Q154" s="57"/>
      <c r="R154" s="57"/>
      <c r="S154" s="57"/>
      <c r="T154" s="57"/>
      <c r="U154" s="57"/>
    </row>
    <row r="155" spans="2:21" x14ac:dyDescent="0.15">
      <c r="B155" s="57"/>
      <c r="C155" s="57"/>
      <c r="D155" s="57"/>
      <c r="E155" s="57"/>
      <c r="F155" s="57"/>
      <c r="G155" s="57"/>
      <c r="H155" s="57"/>
      <c r="I155" s="57"/>
      <c r="J155" s="57"/>
      <c r="K155" s="57"/>
      <c r="L155" s="57"/>
      <c r="M155" s="57"/>
      <c r="N155" s="57"/>
      <c r="O155" s="57"/>
      <c r="P155" s="57"/>
      <c r="Q155" s="57"/>
      <c r="R155" s="57"/>
      <c r="S155" s="57"/>
      <c r="T155" s="57"/>
      <c r="U155" s="57"/>
    </row>
    <row r="156" spans="2:21" x14ac:dyDescent="0.15">
      <c r="B156" s="57"/>
      <c r="C156" s="57"/>
      <c r="D156" s="57"/>
      <c r="E156" s="57"/>
      <c r="F156" s="57"/>
      <c r="G156" s="57"/>
      <c r="H156" s="57"/>
      <c r="I156" s="57"/>
      <c r="J156" s="57"/>
      <c r="K156" s="57"/>
      <c r="L156" s="57"/>
      <c r="M156" s="57"/>
      <c r="N156" s="57"/>
      <c r="O156" s="57"/>
      <c r="P156" s="57"/>
      <c r="Q156" s="57"/>
      <c r="R156" s="57"/>
      <c r="S156" s="57"/>
      <c r="T156" s="57"/>
      <c r="U156" s="57"/>
    </row>
    <row r="157" spans="2:21" x14ac:dyDescent="0.15">
      <c r="B157" s="57"/>
      <c r="C157" s="57"/>
      <c r="D157" s="57"/>
      <c r="E157" s="57"/>
      <c r="F157" s="57"/>
      <c r="G157" s="57"/>
      <c r="H157" s="57"/>
      <c r="I157" s="57"/>
      <c r="J157" s="57"/>
      <c r="K157" s="57"/>
      <c r="L157" s="57"/>
      <c r="M157" s="57"/>
      <c r="N157" s="57"/>
      <c r="O157" s="57"/>
      <c r="P157" s="57"/>
      <c r="Q157" s="57"/>
      <c r="R157" s="57"/>
      <c r="S157" s="57"/>
      <c r="T157" s="57"/>
      <c r="U157" s="57"/>
    </row>
    <row r="158" spans="2:21" x14ac:dyDescent="0.15">
      <c r="B158" s="57"/>
      <c r="C158" s="57"/>
      <c r="D158" s="57"/>
      <c r="E158" s="57"/>
      <c r="F158" s="57"/>
      <c r="G158" s="57"/>
      <c r="H158" s="57"/>
      <c r="I158" s="57"/>
      <c r="J158" s="57"/>
      <c r="K158" s="57"/>
      <c r="L158" s="57"/>
      <c r="M158" s="57"/>
      <c r="N158" s="57"/>
      <c r="O158" s="57"/>
      <c r="P158" s="57"/>
      <c r="Q158" s="57"/>
      <c r="R158" s="57"/>
      <c r="S158" s="57"/>
      <c r="T158" s="57"/>
      <c r="U158" s="57"/>
    </row>
    <row r="159" spans="2:21" x14ac:dyDescent="0.15">
      <c r="B159" s="57"/>
      <c r="C159" s="57"/>
      <c r="D159" s="57"/>
      <c r="E159" s="57"/>
      <c r="F159" s="57"/>
      <c r="G159" s="57"/>
      <c r="H159" s="57"/>
      <c r="I159" s="57"/>
      <c r="J159" s="57"/>
      <c r="K159" s="57"/>
      <c r="L159" s="57"/>
      <c r="M159" s="57"/>
      <c r="N159" s="57"/>
      <c r="O159" s="57"/>
      <c r="P159" s="57"/>
      <c r="Q159" s="57"/>
      <c r="R159" s="57"/>
      <c r="S159" s="57"/>
      <c r="T159" s="57"/>
      <c r="U159" s="57"/>
    </row>
    <row r="160" spans="2:21" x14ac:dyDescent="0.15"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  <c r="O160" s="57"/>
      <c r="P160" s="57"/>
      <c r="Q160" s="57"/>
      <c r="R160" s="57"/>
      <c r="S160" s="57"/>
      <c r="T160" s="57"/>
      <c r="U160" s="57"/>
    </row>
    <row r="161" spans="2:21" x14ac:dyDescent="0.15">
      <c r="B161" s="57"/>
      <c r="C161" s="57"/>
      <c r="D161" s="57"/>
      <c r="E161" s="57"/>
      <c r="F161" s="57"/>
      <c r="G161" s="57"/>
      <c r="H161" s="57"/>
      <c r="I161" s="57"/>
      <c r="J161" s="57"/>
      <c r="K161" s="57"/>
      <c r="L161" s="57"/>
      <c r="M161" s="57"/>
      <c r="N161" s="57"/>
      <c r="O161" s="57"/>
      <c r="P161" s="57"/>
      <c r="Q161" s="57"/>
      <c r="R161" s="57"/>
      <c r="S161" s="57"/>
      <c r="T161" s="57"/>
      <c r="U161" s="57"/>
    </row>
    <row r="162" spans="2:21" x14ac:dyDescent="0.15">
      <c r="B162" s="57"/>
      <c r="C162" s="57"/>
      <c r="D162" s="57"/>
      <c r="E162" s="57"/>
      <c r="F162" s="57"/>
      <c r="G162" s="57"/>
      <c r="H162" s="57"/>
      <c r="I162" s="57"/>
      <c r="J162" s="57"/>
      <c r="K162" s="57"/>
      <c r="L162" s="57"/>
      <c r="M162" s="57"/>
      <c r="N162" s="57"/>
      <c r="O162" s="57"/>
      <c r="P162" s="57"/>
      <c r="Q162" s="57"/>
      <c r="R162" s="57"/>
      <c r="S162" s="57"/>
      <c r="T162" s="57"/>
      <c r="U162" s="57"/>
    </row>
    <row r="163" spans="2:21" x14ac:dyDescent="0.15">
      <c r="B163" s="57"/>
      <c r="C163" s="57"/>
      <c r="D163" s="57"/>
      <c r="E163" s="57"/>
      <c r="F163" s="57"/>
      <c r="G163" s="57"/>
      <c r="H163" s="57"/>
      <c r="I163" s="57"/>
      <c r="J163" s="57"/>
      <c r="K163" s="57"/>
      <c r="L163" s="57"/>
      <c r="M163" s="57"/>
      <c r="N163" s="57"/>
      <c r="O163" s="57"/>
      <c r="P163" s="57"/>
      <c r="Q163" s="57"/>
      <c r="R163" s="57"/>
      <c r="S163" s="57"/>
      <c r="T163" s="57"/>
      <c r="U163" s="57"/>
    </row>
    <row r="164" spans="2:21" x14ac:dyDescent="0.15">
      <c r="B164" s="57"/>
      <c r="C164" s="57"/>
      <c r="D164" s="57"/>
      <c r="E164" s="57"/>
      <c r="F164" s="57"/>
      <c r="G164" s="57"/>
      <c r="H164" s="57"/>
      <c r="I164" s="57"/>
      <c r="J164" s="57"/>
      <c r="K164" s="57"/>
      <c r="L164" s="57"/>
      <c r="M164" s="57"/>
      <c r="N164" s="57"/>
      <c r="O164" s="57"/>
      <c r="P164" s="57"/>
      <c r="Q164" s="57"/>
      <c r="R164" s="57"/>
      <c r="S164" s="57"/>
      <c r="T164" s="57"/>
      <c r="U164" s="57"/>
    </row>
    <row r="165" spans="2:21" x14ac:dyDescent="0.15">
      <c r="B165" s="57"/>
      <c r="C165" s="57"/>
      <c r="D165" s="57"/>
      <c r="E165" s="57"/>
      <c r="F165" s="57"/>
      <c r="G165" s="57"/>
      <c r="H165" s="57"/>
      <c r="I165" s="57"/>
      <c r="J165" s="57"/>
      <c r="K165" s="57"/>
      <c r="L165" s="57"/>
      <c r="M165" s="57"/>
      <c r="N165" s="57"/>
      <c r="O165" s="57"/>
      <c r="P165" s="57"/>
      <c r="Q165" s="57"/>
      <c r="R165" s="57"/>
      <c r="S165" s="57"/>
      <c r="T165" s="57"/>
      <c r="U165" s="57"/>
    </row>
    <row r="166" spans="2:21" x14ac:dyDescent="0.15">
      <c r="B166" s="57"/>
      <c r="C166" s="57"/>
      <c r="D166" s="57"/>
      <c r="E166" s="57"/>
      <c r="F166" s="57"/>
      <c r="G166" s="57"/>
      <c r="H166" s="57"/>
      <c r="I166" s="57"/>
      <c r="J166" s="57"/>
      <c r="K166" s="57"/>
      <c r="L166" s="57"/>
      <c r="M166" s="57"/>
      <c r="N166" s="57"/>
      <c r="O166" s="57"/>
      <c r="P166" s="57"/>
      <c r="Q166" s="57"/>
      <c r="R166" s="57"/>
      <c r="S166" s="57"/>
      <c r="T166" s="57"/>
      <c r="U166" s="57"/>
    </row>
    <row r="167" spans="2:21" x14ac:dyDescent="0.15">
      <c r="B167" s="57"/>
      <c r="C167" s="57"/>
      <c r="D167" s="57"/>
      <c r="E167" s="57"/>
      <c r="F167" s="57"/>
      <c r="G167" s="57"/>
      <c r="H167" s="57"/>
      <c r="I167" s="57"/>
      <c r="J167" s="57"/>
      <c r="K167" s="57"/>
      <c r="L167" s="57"/>
      <c r="M167" s="57"/>
      <c r="N167" s="57"/>
      <c r="O167" s="57"/>
      <c r="P167" s="57"/>
      <c r="Q167" s="57"/>
      <c r="R167" s="57"/>
      <c r="S167" s="57"/>
      <c r="T167" s="57"/>
      <c r="U167" s="57"/>
    </row>
    <row r="168" spans="2:21" x14ac:dyDescent="0.15">
      <c r="B168" s="57"/>
      <c r="C168" s="57"/>
      <c r="D168" s="57"/>
      <c r="E168" s="57"/>
      <c r="F168" s="57"/>
      <c r="G168" s="57"/>
      <c r="H168" s="57"/>
      <c r="I168" s="57"/>
      <c r="J168" s="57"/>
      <c r="K168" s="57"/>
      <c r="L168" s="57"/>
      <c r="M168" s="57"/>
      <c r="N168" s="57"/>
      <c r="O168" s="57"/>
      <c r="P168" s="57"/>
      <c r="Q168" s="57"/>
      <c r="R168" s="57"/>
      <c r="S168" s="57"/>
      <c r="T168" s="57"/>
      <c r="U168" s="57"/>
    </row>
    <row r="169" spans="2:21" x14ac:dyDescent="0.15">
      <c r="B169" s="57"/>
      <c r="C169" s="57"/>
      <c r="D169" s="57"/>
      <c r="E169" s="57"/>
      <c r="F169" s="57"/>
      <c r="G169" s="57"/>
      <c r="H169" s="57"/>
      <c r="I169" s="57"/>
      <c r="J169" s="57"/>
      <c r="K169" s="57"/>
      <c r="L169" s="57"/>
      <c r="M169" s="57"/>
      <c r="N169" s="57"/>
      <c r="O169" s="57"/>
      <c r="P169" s="57"/>
      <c r="Q169" s="57"/>
      <c r="R169" s="57"/>
      <c r="S169" s="57"/>
      <c r="T169" s="57"/>
      <c r="U169" s="57"/>
    </row>
    <row r="170" spans="2:21" x14ac:dyDescent="0.15">
      <c r="B170" s="57"/>
      <c r="C170" s="57"/>
      <c r="D170" s="57"/>
      <c r="E170" s="57"/>
      <c r="F170" s="57"/>
      <c r="G170" s="57"/>
      <c r="H170" s="57"/>
      <c r="I170" s="57"/>
      <c r="J170" s="57"/>
      <c r="K170" s="57"/>
      <c r="L170" s="57"/>
      <c r="M170" s="57"/>
      <c r="N170" s="57"/>
      <c r="O170" s="57"/>
      <c r="P170" s="57"/>
      <c r="Q170" s="57"/>
      <c r="R170" s="57"/>
      <c r="S170" s="57"/>
      <c r="T170" s="57"/>
      <c r="U170" s="57"/>
    </row>
    <row r="171" spans="2:21" x14ac:dyDescent="0.15">
      <c r="B171" s="57"/>
      <c r="C171" s="57"/>
      <c r="D171" s="57"/>
      <c r="E171" s="57"/>
      <c r="F171" s="57"/>
      <c r="G171" s="57"/>
      <c r="H171" s="57"/>
      <c r="I171" s="57"/>
      <c r="J171" s="57"/>
      <c r="K171" s="57"/>
      <c r="L171" s="57"/>
      <c r="M171" s="57"/>
      <c r="N171" s="57"/>
      <c r="O171" s="57"/>
      <c r="P171" s="57"/>
      <c r="Q171" s="57"/>
      <c r="R171" s="57"/>
      <c r="S171" s="57"/>
      <c r="T171" s="57"/>
      <c r="U171" s="57"/>
    </row>
    <row r="172" spans="2:21" x14ac:dyDescent="0.15">
      <c r="B172" s="57"/>
      <c r="C172" s="57"/>
      <c r="D172" s="57"/>
      <c r="E172" s="57"/>
      <c r="F172" s="57"/>
      <c r="G172" s="57"/>
      <c r="H172" s="57"/>
      <c r="I172" s="57"/>
      <c r="J172" s="57"/>
      <c r="K172" s="57"/>
      <c r="L172" s="57"/>
      <c r="M172" s="57"/>
      <c r="N172" s="57"/>
      <c r="O172" s="57"/>
      <c r="P172" s="57"/>
      <c r="Q172" s="57"/>
      <c r="R172" s="57"/>
      <c r="S172" s="57"/>
      <c r="T172" s="57"/>
      <c r="U172" s="57"/>
    </row>
    <row r="173" spans="2:21" x14ac:dyDescent="0.15">
      <c r="B173" s="57"/>
      <c r="C173" s="57"/>
      <c r="D173" s="57"/>
      <c r="E173" s="57"/>
      <c r="F173" s="57"/>
      <c r="G173" s="57"/>
      <c r="H173" s="57"/>
      <c r="I173" s="57"/>
      <c r="J173" s="57"/>
      <c r="K173" s="57"/>
      <c r="L173" s="57"/>
      <c r="M173" s="57"/>
      <c r="N173" s="57"/>
      <c r="O173" s="57"/>
      <c r="P173" s="57"/>
      <c r="Q173" s="57"/>
      <c r="R173" s="57"/>
      <c r="S173" s="57"/>
      <c r="T173" s="57"/>
      <c r="U173" s="57"/>
    </row>
    <row r="174" spans="2:21" x14ac:dyDescent="0.15">
      <c r="B174" s="57"/>
      <c r="C174" s="57"/>
      <c r="D174" s="57"/>
      <c r="E174" s="57"/>
      <c r="F174" s="57"/>
      <c r="G174" s="57"/>
      <c r="H174" s="57"/>
      <c r="I174" s="57"/>
      <c r="J174" s="57"/>
      <c r="K174" s="57"/>
      <c r="L174" s="57"/>
      <c r="M174" s="57"/>
      <c r="N174" s="57"/>
      <c r="O174" s="57"/>
      <c r="P174" s="57"/>
      <c r="Q174" s="57"/>
      <c r="R174" s="57"/>
      <c r="S174" s="57"/>
      <c r="T174" s="57"/>
      <c r="U174" s="57"/>
    </row>
    <row r="175" spans="2:21" x14ac:dyDescent="0.15">
      <c r="B175" s="57"/>
      <c r="C175" s="57"/>
      <c r="D175" s="57"/>
      <c r="E175" s="57"/>
      <c r="F175" s="57"/>
      <c r="G175" s="57"/>
      <c r="H175" s="57"/>
      <c r="I175" s="57"/>
      <c r="J175" s="57"/>
      <c r="K175" s="57"/>
      <c r="L175" s="57"/>
      <c r="M175" s="57"/>
      <c r="N175" s="57"/>
      <c r="O175" s="57"/>
      <c r="P175" s="57"/>
      <c r="Q175" s="57"/>
      <c r="R175" s="57"/>
      <c r="S175" s="57"/>
      <c r="T175" s="57"/>
      <c r="U175" s="57"/>
    </row>
    <row r="176" spans="2:21" x14ac:dyDescent="0.15">
      <c r="B176" s="57"/>
      <c r="C176" s="57"/>
      <c r="D176" s="57"/>
      <c r="E176" s="57"/>
      <c r="F176" s="57"/>
      <c r="G176" s="57"/>
      <c r="H176" s="57"/>
      <c r="I176" s="57"/>
      <c r="J176" s="57"/>
      <c r="K176" s="57"/>
      <c r="L176" s="57"/>
      <c r="M176" s="57"/>
      <c r="N176" s="57"/>
      <c r="O176" s="57"/>
      <c r="P176" s="57"/>
      <c r="Q176" s="57"/>
      <c r="R176" s="57"/>
      <c r="S176" s="57"/>
      <c r="T176" s="57"/>
      <c r="U176" s="57"/>
    </row>
    <row r="177" spans="2:21" x14ac:dyDescent="0.15">
      <c r="B177" s="57"/>
      <c r="C177" s="57"/>
      <c r="D177" s="57"/>
      <c r="E177" s="57"/>
      <c r="F177" s="57"/>
      <c r="G177" s="57"/>
      <c r="H177" s="57"/>
      <c r="I177" s="57"/>
      <c r="J177" s="57"/>
      <c r="K177" s="57"/>
      <c r="L177" s="57"/>
      <c r="M177" s="57"/>
      <c r="N177" s="57"/>
      <c r="O177" s="57"/>
      <c r="P177" s="57"/>
      <c r="Q177" s="57"/>
      <c r="R177" s="57"/>
      <c r="S177" s="57"/>
      <c r="T177" s="57"/>
      <c r="U177" s="57"/>
    </row>
    <row r="178" spans="2:21" x14ac:dyDescent="0.15">
      <c r="B178" s="57"/>
      <c r="C178" s="57"/>
      <c r="D178" s="57"/>
      <c r="E178" s="57"/>
      <c r="F178" s="57"/>
      <c r="G178" s="57"/>
      <c r="H178" s="57"/>
      <c r="I178" s="57"/>
      <c r="J178" s="57"/>
      <c r="K178" s="57"/>
      <c r="L178" s="57"/>
      <c r="M178" s="57"/>
      <c r="N178" s="57"/>
      <c r="O178" s="57"/>
      <c r="P178" s="57"/>
      <c r="Q178" s="57"/>
      <c r="R178" s="57"/>
      <c r="S178" s="57"/>
      <c r="T178" s="57"/>
      <c r="U178" s="57"/>
    </row>
    <row r="179" spans="2:21" x14ac:dyDescent="0.15">
      <c r="B179" s="57"/>
      <c r="C179" s="57"/>
      <c r="D179" s="57"/>
      <c r="E179" s="57"/>
      <c r="F179" s="57"/>
      <c r="G179" s="57"/>
      <c r="H179" s="57"/>
      <c r="I179" s="57"/>
      <c r="J179" s="57"/>
      <c r="K179" s="57"/>
      <c r="L179" s="57"/>
      <c r="M179" s="57"/>
      <c r="N179" s="57"/>
      <c r="O179" s="57"/>
      <c r="P179" s="57"/>
      <c r="Q179" s="57"/>
      <c r="R179" s="57"/>
      <c r="S179" s="57"/>
      <c r="T179" s="57"/>
      <c r="U179" s="57"/>
    </row>
    <row r="180" spans="2:21" x14ac:dyDescent="0.15">
      <c r="B180" s="57"/>
      <c r="C180" s="57"/>
      <c r="D180" s="57"/>
      <c r="E180" s="57"/>
      <c r="F180" s="57"/>
      <c r="G180" s="57"/>
      <c r="H180" s="57"/>
      <c r="I180" s="57"/>
      <c r="J180" s="57"/>
      <c r="K180" s="57"/>
      <c r="L180" s="57"/>
      <c r="M180" s="57"/>
      <c r="N180" s="57"/>
      <c r="O180" s="57"/>
      <c r="P180" s="57"/>
      <c r="Q180" s="57"/>
      <c r="R180" s="57"/>
      <c r="S180" s="57"/>
      <c r="T180" s="57"/>
      <c r="U180" s="57"/>
    </row>
    <row r="181" spans="2:21" x14ac:dyDescent="0.15">
      <c r="B181" s="57"/>
      <c r="C181" s="57"/>
      <c r="D181" s="57"/>
      <c r="E181" s="57"/>
      <c r="F181" s="57"/>
      <c r="G181" s="57"/>
      <c r="H181" s="57"/>
      <c r="I181" s="57"/>
      <c r="J181" s="57"/>
      <c r="K181" s="57"/>
      <c r="L181" s="57"/>
      <c r="M181" s="57"/>
      <c r="N181" s="57"/>
      <c r="O181" s="57"/>
      <c r="P181" s="57"/>
      <c r="Q181" s="57"/>
      <c r="R181" s="57"/>
      <c r="S181" s="57"/>
      <c r="T181" s="57"/>
      <c r="U181" s="57"/>
    </row>
    <row r="182" spans="2:21" x14ac:dyDescent="0.15">
      <c r="B182" s="57"/>
      <c r="C182" s="57"/>
      <c r="D182" s="57"/>
      <c r="E182" s="57"/>
      <c r="F182" s="57"/>
      <c r="G182" s="57"/>
      <c r="H182" s="57"/>
      <c r="I182" s="57"/>
      <c r="J182" s="57"/>
      <c r="K182" s="57"/>
      <c r="L182" s="57"/>
      <c r="M182" s="57"/>
      <c r="N182" s="57"/>
      <c r="O182" s="57"/>
      <c r="P182" s="57"/>
      <c r="Q182" s="57"/>
      <c r="R182" s="57"/>
      <c r="S182" s="57"/>
      <c r="T182" s="57"/>
      <c r="U182" s="57"/>
    </row>
    <row r="183" spans="2:21" x14ac:dyDescent="0.15">
      <c r="B183" s="57"/>
      <c r="C183" s="57"/>
      <c r="D183" s="57"/>
      <c r="E183" s="57"/>
      <c r="F183" s="57"/>
      <c r="G183" s="57"/>
      <c r="H183" s="57"/>
      <c r="I183" s="57"/>
      <c r="J183" s="57"/>
      <c r="K183" s="57"/>
      <c r="L183" s="57"/>
      <c r="M183" s="57"/>
      <c r="N183" s="57"/>
      <c r="O183" s="57"/>
      <c r="P183" s="57"/>
      <c r="Q183" s="57"/>
      <c r="R183" s="57"/>
      <c r="S183" s="57"/>
      <c r="T183" s="57"/>
      <c r="U183" s="57"/>
    </row>
    <row r="184" spans="2:21" x14ac:dyDescent="0.15">
      <c r="B184" s="57"/>
      <c r="C184" s="57"/>
      <c r="D184" s="57"/>
      <c r="E184" s="57"/>
      <c r="F184" s="57"/>
      <c r="G184" s="57"/>
      <c r="H184" s="57"/>
      <c r="I184" s="57"/>
      <c r="J184" s="57"/>
      <c r="K184" s="57"/>
      <c r="L184" s="57"/>
      <c r="M184" s="57"/>
      <c r="N184" s="57"/>
      <c r="O184" s="57"/>
      <c r="P184" s="57"/>
      <c r="Q184" s="57"/>
      <c r="R184" s="57"/>
      <c r="S184" s="57"/>
      <c r="T184" s="57"/>
      <c r="U184" s="57"/>
    </row>
    <row r="185" spans="2:21" x14ac:dyDescent="0.15">
      <c r="B185" s="57"/>
      <c r="C185" s="57"/>
      <c r="D185" s="57"/>
      <c r="E185" s="57"/>
      <c r="F185" s="57"/>
      <c r="G185" s="57"/>
      <c r="H185" s="57"/>
      <c r="I185" s="57"/>
      <c r="J185" s="57"/>
      <c r="K185" s="57"/>
      <c r="L185" s="57"/>
      <c r="M185" s="57"/>
      <c r="N185" s="57"/>
      <c r="O185" s="57"/>
      <c r="P185" s="57"/>
      <c r="Q185" s="57"/>
      <c r="R185" s="57"/>
      <c r="S185" s="57"/>
      <c r="T185" s="57"/>
      <c r="U185" s="57"/>
    </row>
    <row r="186" spans="2:21" x14ac:dyDescent="0.15"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  <c r="O186" s="57"/>
      <c r="P186" s="57"/>
      <c r="Q186" s="57"/>
      <c r="R186" s="57"/>
      <c r="S186" s="57"/>
      <c r="T186" s="57"/>
      <c r="U186" s="57"/>
    </row>
    <row r="187" spans="2:21" x14ac:dyDescent="0.15">
      <c r="B187" s="57"/>
      <c r="C187" s="57"/>
      <c r="D187" s="57"/>
      <c r="E187" s="57"/>
      <c r="F187" s="57"/>
      <c r="G187" s="57"/>
      <c r="H187" s="57"/>
      <c r="I187" s="57"/>
      <c r="J187" s="57"/>
      <c r="K187" s="57"/>
      <c r="L187" s="57"/>
      <c r="M187" s="57"/>
      <c r="N187" s="57"/>
      <c r="O187" s="57"/>
      <c r="P187" s="57"/>
      <c r="Q187" s="57"/>
      <c r="R187" s="57"/>
      <c r="S187" s="57"/>
      <c r="T187" s="57"/>
      <c r="U187" s="57"/>
    </row>
    <row r="188" spans="2:21" x14ac:dyDescent="0.15">
      <c r="B188" s="57"/>
      <c r="C188" s="57"/>
      <c r="D188" s="57"/>
      <c r="E188" s="57"/>
      <c r="F188" s="57"/>
      <c r="G188" s="57"/>
      <c r="H188" s="57"/>
      <c r="I188" s="57"/>
      <c r="J188" s="57"/>
      <c r="K188" s="57"/>
      <c r="L188" s="57"/>
      <c r="M188" s="57"/>
      <c r="N188" s="57"/>
      <c r="O188" s="57"/>
      <c r="P188" s="57"/>
      <c r="Q188" s="57"/>
      <c r="R188" s="57"/>
      <c r="S188" s="57"/>
      <c r="T188" s="57"/>
      <c r="U188" s="57"/>
    </row>
    <row r="189" spans="2:21" x14ac:dyDescent="0.15">
      <c r="B189" s="57"/>
      <c r="C189" s="57"/>
      <c r="D189" s="57"/>
      <c r="E189" s="57"/>
      <c r="F189" s="57"/>
      <c r="G189" s="57"/>
      <c r="H189" s="57"/>
      <c r="I189" s="57"/>
      <c r="J189" s="57"/>
      <c r="K189" s="57"/>
      <c r="L189" s="57"/>
      <c r="M189" s="57"/>
      <c r="N189" s="57"/>
      <c r="O189" s="57"/>
      <c r="P189" s="57"/>
      <c r="Q189" s="57"/>
      <c r="R189" s="57"/>
      <c r="S189" s="57"/>
      <c r="T189" s="57"/>
      <c r="U189" s="57"/>
    </row>
    <row r="190" spans="2:21" x14ac:dyDescent="0.15">
      <c r="B190" s="57"/>
      <c r="C190" s="57"/>
      <c r="D190" s="57"/>
      <c r="E190" s="57"/>
      <c r="F190" s="57"/>
      <c r="G190" s="57"/>
      <c r="H190" s="57"/>
      <c r="I190" s="57"/>
      <c r="J190" s="57"/>
      <c r="K190" s="57"/>
      <c r="L190" s="57"/>
      <c r="M190" s="57"/>
      <c r="N190" s="57"/>
      <c r="O190" s="57"/>
      <c r="P190" s="57"/>
      <c r="Q190" s="57"/>
      <c r="R190" s="57"/>
      <c r="S190" s="57"/>
      <c r="T190" s="57"/>
      <c r="U190" s="57"/>
    </row>
    <row r="191" spans="2:21" x14ac:dyDescent="0.15">
      <c r="B191" s="57"/>
      <c r="C191" s="57"/>
      <c r="D191" s="57"/>
      <c r="E191" s="57"/>
      <c r="F191" s="57"/>
      <c r="G191" s="57"/>
      <c r="H191" s="57"/>
      <c r="I191" s="57"/>
      <c r="J191" s="57"/>
      <c r="K191" s="57"/>
      <c r="L191" s="57"/>
      <c r="M191" s="57"/>
      <c r="N191" s="57"/>
      <c r="O191" s="57"/>
      <c r="P191" s="57"/>
      <c r="Q191" s="57"/>
      <c r="R191" s="57"/>
      <c r="S191" s="57"/>
      <c r="T191" s="57"/>
      <c r="U191" s="57"/>
    </row>
    <row r="192" spans="2:21" x14ac:dyDescent="0.15">
      <c r="B192" s="57"/>
      <c r="C192" s="57"/>
      <c r="D192" s="57"/>
      <c r="E192" s="57"/>
      <c r="F192" s="57"/>
      <c r="G192" s="57"/>
      <c r="H192" s="57"/>
      <c r="I192" s="57"/>
      <c r="J192" s="57"/>
      <c r="K192" s="57"/>
      <c r="L192" s="57"/>
      <c r="M192" s="57"/>
      <c r="N192" s="57"/>
      <c r="O192" s="57"/>
      <c r="P192" s="57"/>
      <c r="Q192" s="57"/>
      <c r="R192" s="57"/>
      <c r="S192" s="57"/>
      <c r="T192" s="57"/>
      <c r="U192" s="57"/>
    </row>
    <row r="193" spans="2:21" x14ac:dyDescent="0.15">
      <c r="B193" s="57"/>
      <c r="C193" s="57"/>
      <c r="D193" s="57"/>
      <c r="E193" s="57"/>
      <c r="F193" s="57"/>
      <c r="G193" s="57"/>
      <c r="H193" s="57"/>
      <c r="I193" s="57"/>
      <c r="J193" s="57"/>
      <c r="K193" s="57"/>
      <c r="L193" s="57"/>
      <c r="M193" s="57"/>
      <c r="N193" s="57"/>
      <c r="O193" s="57"/>
      <c r="P193" s="57"/>
      <c r="Q193" s="57"/>
      <c r="R193" s="57"/>
      <c r="S193" s="57"/>
      <c r="T193" s="57"/>
      <c r="U193" s="57"/>
    </row>
    <row r="194" spans="2:21" x14ac:dyDescent="0.15">
      <c r="B194" s="57"/>
      <c r="C194" s="57"/>
      <c r="D194" s="57"/>
      <c r="E194" s="57"/>
      <c r="F194" s="57"/>
      <c r="G194" s="57"/>
      <c r="H194" s="57"/>
      <c r="I194" s="57"/>
      <c r="J194" s="57"/>
      <c r="K194" s="57"/>
      <c r="L194" s="57"/>
      <c r="M194" s="57"/>
      <c r="N194" s="57"/>
      <c r="O194" s="57"/>
      <c r="P194" s="57"/>
      <c r="Q194" s="57"/>
      <c r="R194" s="57"/>
      <c r="S194" s="57"/>
      <c r="T194" s="57"/>
      <c r="U194" s="57"/>
    </row>
    <row r="195" spans="2:21" x14ac:dyDescent="0.15">
      <c r="B195" s="57"/>
      <c r="C195" s="57"/>
      <c r="D195" s="57"/>
      <c r="E195" s="57"/>
      <c r="F195" s="57"/>
      <c r="G195" s="57"/>
      <c r="H195" s="57"/>
      <c r="I195" s="57"/>
      <c r="J195" s="57"/>
      <c r="K195" s="57"/>
      <c r="L195" s="57"/>
      <c r="M195" s="57"/>
      <c r="N195" s="57"/>
      <c r="O195" s="57"/>
      <c r="P195" s="57"/>
      <c r="Q195" s="57"/>
      <c r="R195" s="57"/>
      <c r="S195" s="57"/>
      <c r="T195" s="57"/>
      <c r="U195" s="57"/>
    </row>
    <row r="196" spans="2:21" x14ac:dyDescent="0.15">
      <c r="B196" s="57"/>
      <c r="C196" s="57"/>
      <c r="D196" s="57"/>
      <c r="E196" s="57"/>
      <c r="F196" s="57"/>
      <c r="G196" s="57"/>
      <c r="H196" s="57"/>
      <c r="I196" s="57"/>
      <c r="J196" s="57"/>
      <c r="K196" s="57"/>
      <c r="L196" s="57"/>
      <c r="M196" s="57"/>
      <c r="N196" s="57"/>
      <c r="O196" s="57"/>
      <c r="P196" s="57"/>
      <c r="Q196" s="57"/>
      <c r="R196" s="57"/>
      <c r="S196" s="57"/>
      <c r="T196" s="57"/>
      <c r="U196" s="57"/>
    </row>
    <row r="197" spans="2:21" x14ac:dyDescent="0.15">
      <c r="B197" s="57"/>
      <c r="C197" s="57"/>
      <c r="D197" s="57"/>
      <c r="E197" s="57"/>
      <c r="F197" s="57"/>
      <c r="G197" s="57"/>
      <c r="H197" s="57"/>
      <c r="I197" s="57"/>
      <c r="J197" s="57"/>
      <c r="K197" s="57"/>
      <c r="L197" s="57"/>
      <c r="M197" s="57"/>
      <c r="N197" s="57"/>
      <c r="O197" s="57"/>
      <c r="P197" s="57"/>
      <c r="Q197" s="57"/>
      <c r="R197" s="57"/>
      <c r="S197" s="57"/>
      <c r="T197" s="57"/>
      <c r="U197" s="57"/>
    </row>
    <row r="198" spans="2:21" x14ac:dyDescent="0.15">
      <c r="B198" s="57"/>
      <c r="C198" s="57"/>
      <c r="D198" s="57"/>
      <c r="E198" s="57"/>
      <c r="F198" s="57"/>
      <c r="G198" s="57"/>
      <c r="H198" s="57"/>
      <c r="I198" s="57"/>
      <c r="J198" s="57"/>
      <c r="K198" s="57"/>
      <c r="L198" s="57"/>
      <c r="M198" s="57"/>
      <c r="N198" s="57"/>
      <c r="O198" s="57"/>
      <c r="P198" s="57"/>
      <c r="Q198" s="57"/>
      <c r="R198" s="57"/>
      <c r="S198" s="57"/>
      <c r="T198" s="57"/>
      <c r="U198" s="57"/>
    </row>
    <row r="199" spans="2:21" x14ac:dyDescent="0.15">
      <c r="B199" s="57"/>
      <c r="C199" s="57"/>
      <c r="D199" s="57"/>
      <c r="E199" s="57"/>
      <c r="F199" s="57"/>
      <c r="G199" s="57"/>
      <c r="H199" s="57"/>
      <c r="I199" s="57"/>
      <c r="J199" s="57"/>
      <c r="K199" s="57"/>
      <c r="L199" s="57"/>
      <c r="M199" s="57"/>
      <c r="N199" s="57"/>
      <c r="O199" s="57"/>
      <c r="P199" s="57"/>
      <c r="Q199" s="57"/>
      <c r="R199" s="57"/>
      <c r="S199" s="57"/>
      <c r="T199" s="57"/>
      <c r="U199" s="57"/>
    </row>
    <row r="200" spans="2:21" x14ac:dyDescent="0.15">
      <c r="B200" s="57"/>
      <c r="C200" s="57"/>
      <c r="D200" s="57"/>
      <c r="E200" s="57"/>
      <c r="F200" s="57"/>
      <c r="G200" s="57"/>
      <c r="H200" s="57"/>
      <c r="I200" s="57"/>
      <c r="J200" s="57"/>
      <c r="K200" s="57"/>
      <c r="L200" s="57"/>
      <c r="M200" s="57"/>
      <c r="N200" s="57"/>
      <c r="O200" s="57"/>
      <c r="P200" s="57"/>
      <c r="Q200" s="57"/>
      <c r="R200" s="57"/>
      <c r="S200" s="57"/>
      <c r="T200" s="57"/>
      <c r="U200" s="57"/>
    </row>
    <row r="201" spans="2:21" x14ac:dyDescent="0.15">
      <c r="B201" s="57"/>
      <c r="C201" s="57"/>
      <c r="D201" s="57"/>
      <c r="E201" s="57"/>
      <c r="F201" s="57"/>
      <c r="G201" s="57"/>
      <c r="H201" s="57"/>
      <c r="I201" s="57"/>
      <c r="J201" s="57"/>
      <c r="K201" s="57"/>
      <c r="L201" s="57"/>
      <c r="M201" s="57"/>
      <c r="N201" s="57"/>
      <c r="O201" s="57"/>
      <c r="P201" s="57"/>
      <c r="Q201" s="57"/>
      <c r="R201" s="57"/>
      <c r="S201" s="57"/>
      <c r="T201" s="57"/>
      <c r="U201" s="57"/>
    </row>
    <row r="202" spans="2:21" x14ac:dyDescent="0.15">
      <c r="B202" s="57"/>
      <c r="C202" s="57"/>
      <c r="D202" s="57"/>
      <c r="E202" s="57"/>
      <c r="F202" s="57"/>
      <c r="G202" s="57"/>
      <c r="H202" s="57"/>
      <c r="I202" s="57"/>
      <c r="J202" s="57"/>
      <c r="K202" s="57"/>
      <c r="L202" s="57"/>
      <c r="M202" s="57"/>
      <c r="N202" s="57"/>
      <c r="O202" s="57"/>
      <c r="P202" s="57"/>
      <c r="Q202" s="57"/>
      <c r="R202" s="57"/>
      <c r="S202" s="57"/>
      <c r="T202" s="57"/>
      <c r="U202" s="57"/>
    </row>
    <row r="203" spans="2:21" x14ac:dyDescent="0.15">
      <c r="B203" s="57"/>
      <c r="C203" s="57"/>
      <c r="D203" s="57"/>
      <c r="E203" s="57"/>
      <c r="F203" s="57"/>
      <c r="G203" s="57"/>
      <c r="H203" s="57"/>
      <c r="I203" s="57"/>
      <c r="J203" s="57"/>
      <c r="K203" s="57"/>
      <c r="L203" s="57"/>
      <c r="M203" s="57"/>
      <c r="N203" s="57"/>
      <c r="O203" s="57"/>
      <c r="P203" s="57"/>
      <c r="Q203" s="57"/>
      <c r="R203" s="57"/>
      <c r="S203" s="57"/>
      <c r="T203" s="57"/>
      <c r="U203" s="57"/>
    </row>
    <row r="204" spans="2:21" x14ac:dyDescent="0.15">
      <c r="B204" s="57"/>
      <c r="C204" s="57"/>
      <c r="D204" s="57"/>
      <c r="E204" s="57"/>
      <c r="F204" s="57"/>
      <c r="G204" s="57"/>
      <c r="H204" s="57"/>
      <c r="I204" s="57"/>
      <c r="J204" s="57"/>
      <c r="K204" s="57"/>
      <c r="L204" s="57"/>
      <c r="M204" s="57"/>
      <c r="N204" s="57"/>
      <c r="O204" s="57"/>
      <c r="P204" s="57"/>
      <c r="Q204" s="57"/>
      <c r="R204" s="57"/>
      <c r="S204" s="57"/>
      <c r="T204" s="57"/>
      <c r="U204" s="57"/>
    </row>
    <row r="205" spans="2:21" x14ac:dyDescent="0.15">
      <c r="B205" s="57"/>
      <c r="C205" s="57"/>
      <c r="D205" s="57"/>
      <c r="E205" s="57"/>
      <c r="F205" s="57"/>
      <c r="G205" s="57"/>
      <c r="H205" s="57"/>
      <c r="I205" s="57"/>
      <c r="J205" s="57"/>
      <c r="K205" s="57"/>
      <c r="L205" s="57"/>
      <c r="M205" s="57"/>
      <c r="N205" s="57"/>
      <c r="O205" s="57"/>
      <c r="P205" s="57"/>
      <c r="Q205" s="57"/>
      <c r="R205" s="57"/>
      <c r="S205" s="57"/>
      <c r="T205" s="57"/>
      <c r="U205" s="57"/>
    </row>
    <row r="206" spans="2:21" x14ac:dyDescent="0.15">
      <c r="B206" s="57"/>
      <c r="C206" s="57"/>
      <c r="D206" s="57"/>
      <c r="E206" s="57"/>
      <c r="F206" s="57"/>
      <c r="G206" s="57"/>
      <c r="H206" s="57"/>
      <c r="I206" s="57"/>
      <c r="J206" s="57"/>
      <c r="K206" s="57"/>
      <c r="L206" s="57"/>
      <c r="M206" s="57"/>
      <c r="N206" s="57"/>
      <c r="O206" s="57"/>
      <c r="P206" s="57"/>
      <c r="Q206" s="57"/>
      <c r="R206" s="57"/>
      <c r="S206" s="57"/>
      <c r="T206" s="57"/>
      <c r="U206" s="57"/>
    </row>
    <row r="207" spans="2:21" x14ac:dyDescent="0.15">
      <c r="B207" s="57"/>
      <c r="C207" s="57"/>
      <c r="D207" s="57"/>
      <c r="E207" s="57"/>
      <c r="F207" s="57"/>
      <c r="G207" s="57"/>
      <c r="H207" s="57"/>
      <c r="I207" s="57"/>
      <c r="J207" s="57"/>
      <c r="K207" s="57"/>
      <c r="L207" s="57"/>
      <c r="M207" s="57"/>
      <c r="N207" s="57"/>
      <c r="O207" s="57"/>
      <c r="P207" s="57"/>
      <c r="Q207" s="57"/>
      <c r="R207" s="57"/>
      <c r="S207" s="57"/>
      <c r="T207" s="57"/>
      <c r="U207" s="57"/>
    </row>
    <row r="208" spans="2:21" x14ac:dyDescent="0.15">
      <c r="B208" s="57"/>
      <c r="C208" s="57"/>
      <c r="D208" s="57"/>
      <c r="E208" s="57"/>
      <c r="F208" s="57"/>
      <c r="G208" s="57"/>
      <c r="H208" s="57"/>
      <c r="I208" s="57"/>
      <c r="J208" s="57"/>
      <c r="K208" s="57"/>
      <c r="L208" s="57"/>
      <c r="M208" s="57"/>
      <c r="N208" s="57"/>
      <c r="O208" s="57"/>
      <c r="P208" s="57"/>
      <c r="Q208" s="57"/>
      <c r="R208" s="57"/>
      <c r="S208" s="57"/>
      <c r="T208" s="57"/>
      <c r="U208" s="57"/>
    </row>
    <row r="209" spans="2:21" x14ac:dyDescent="0.15">
      <c r="B209" s="57"/>
      <c r="C209" s="57"/>
      <c r="D209" s="57"/>
      <c r="E209" s="57"/>
      <c r="F209" s="57"/>
      <c r="G209" s="57"/>
      <c r="H209" s="57"/>
      <c r="I209" s="57"/>
      <c r="J209" s="57"/>
      <c r="K209" s="57"/>
      <c r="L209" s="57"/>
      <c r="M209" s="57"/>
      <c r="N209" s="57"/>
      <c r="O209" s="57"/>
      <c r="P209" s="57"/>
      <c r="Q209" s="57"/>
      <c r="R209" s="57"/>
      <c r="S209" s="57"/>
      <c r="T209" s="57"/>
      <c r="U209" s="57"/>
    </row>
    <row r="210" spans="2:21" x14ac:dyDescent="0.15">
      <c r="B210" s="57"/>
      <c r="C210" s="57"/>
      <c r="D210" s="57"/>
      <c r="E210" s="57"/>
      <c r="F210" s="57"/>
      <c r="G210" s="57"/>
      <c r="H210" s="57"/>
      <c r="I210" s="57"/>
      <c r="J210" s="57"/>
      <c r="K210" s="57"/>
      <c r="L210" s="57"/>
      <c r="M210" s="57"/>
      <c r="N210" s="57"/>
      <c r="O210" s="57"/>
      <c r="P210" s="57"/>
      <c r="Q210" s="57"/>
      <c r="R210" s="57"/>
      <c r="S210" s="57"/>
      <c r="T210" s="57"/>
      <c r="U210" s="57"/>
    </row>
    <row r="211" spans="2:21" x14ac:dyDescent="0.15">
      <c r="B211" s="57"/>
      <c r="C211" s="57"/>
      <c r="D211" s="57"/>
      <c r="E211" s="57"/>
      <c r="F211" s="57"/>
      <c r="G211" s="57"/>
      <c r="H211" s="57"/>
      <c r="I211" s="57"/>
      <c r="J211" s="57"/>
      <c r="K211" s="57"/>
      <c r="L211" s="57"/>
      <c r="M211" s="57"/>
      <c r="N211" s="57"/>
      <c r="O211" s="57"/>
      <c r="P211" s="57"/>
      <c r="Q211" s="57"/>
      <c r="R211" s="57"/>
      <c r="S211" s="57"/>
      <c r="T211" s="57"/>
      <c r="U211" s="57"/>
    </row>
    <row r="212" spans="2:21" x14ac:dyDescent="0.15"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  <c r="O212" s="57"/>
      <c r="P212" s="57"/>
      <c r="Q212" s="57"/>
      <c r="R212" s="57"/>
      <c r="S212" s="57"/>
      <c r="T212" s="57"/>
      <c r="U212" s="57"/>
    </row>
    <row r="213" spans="2:21" x14ac:dyDescent="0.15">
      <c r="B213" s="57"/>
      <c r="C213" s="57"/>
      <c r="D213" s="57"/>
      <c r="E213" s="57"/>
      <c r="F213" s="57"/>
      <c r="G213" s="57"/>
      <c r="H213" s="57"/>
      <c r="I213" s="57"/>
      <c r="J213" s="57"/>
      <c r="K213" s="57"/>
      <c r="L213" s="57"/>
      <c r="M213" s="57"/>
      <c r="N213" s="57"/>
      <c r="O213" s="57"/>
      <c r="P213" s="57"/>
      <c r="Q213" s="57"/>
      <c r="R213" s="57"/>
      <c r="S213" s="57"/>
      <c r="T213" s="57"/>
      <c r="U213" s="57"/>
    </row>
    <row r="214" spans="2:21" x14ac:dyDescent="0.15">
      <c r="B214" s="57"/>
      <c r="C214" s="57"/>
      <c r="D214" s="57"/>
      <c r="E214" s="57"/>
      <c r="F214" s="57"/>
      <c r="G214" s="57"/>
      <c r="H214" s="57"/>
      <c r="I214" s="57"/>
      <c r="J214" s="57"/>
      <c r="K214" s="57"/>
      <c r="L214" s="57"/>
      <c r="M214" s="57"/>
      <c r="N214" s="57"/>
      <c r="O214" s="57"/>
      <c r="P214" s="57"/>
      <c r="Q214" s="57"/>
      <c r="R214" s="57"/>
      <c r="S214" s="57"/>
      <c r="T214" s="57"/>
      <c r="U214" s="57"/>
    </row>
    <row r="215" spans="2:21" x14ac:dyDescent="0.15">
      <c r="B215" s="57"/>
      <c r="C215" s="57"/>
      <c r="D215" s="57"/>
      <c r="E215" s="57"/>
      <c r="F215" s="57"/>
      <c r="G215" s="57"/>
      <c r="H215" s="57"/>
      <c r="I215" s="57"/>
      <c r="J215" s="57"/>
      <c r="K215" s="57"/>
      <c r="L215" s="57"/>
      <c r="M215" s="57"/>
      <c r="N215" s="57"/>
      <c r="O215" s="57"/>
      <c r="P215" s="57"/>
      <c r="Q215" s="57"/>
      <c r="R215" s="57"/>
      <c r="S215" s="57"/>
      <c r="T215" s="57"/>
      <c r="U215" s="57"/>
    </row>
    <row r="216" spans="2:21" x14ac:dyDescent="0.15">
      <c r="B216" s="57"/>
      <c r="C216" s="57"/>
      <c r="D216" s="57"/>
      <c r="E216" s="57"/>
      <c r="F216" s="57"/>
      <c r="G216" s="57"/>
      <c r="H216" s="57"/>
      <c r="I216" s="57"/>
      <c r="J216" s="57"/>
      <c r="K216" s="57"/>
      <c r="L216" s="57"/>
      <c r="M216" s="57"/>
      <c r="N216" s="57"/>
      <c r="O216" s="57"/>
      <c r="P216" s="57"/>
      <c r="Q216" s="57"/>
      <c r="R216" s="57"/>
      <c r="S216" s="57"/>
      <c r="T216" s="57"/>
      <c r="U216" s="57"/>
    </row>
    <row r="217" spans="2:21" x14ac:dyDescent="0.15">
      <c r="B217" s="57"/>
      <c r="C217" s="57"/>
      <c r="D217" s="57"/>
      <c r="E217" s="57"/>
      <c r="F217" s="57"/>
      <c r="G217" s="57"/>
      <c r="H217" s="57"/>
      <c r="I217" s="57"/>
      <c r="J217" s="57"/>
      <c r="K217" s="57"/>
      <c r="L217" s="57"/>
      <c r="M217" s="57"/>
      <c r="N217" s="57"/>
      <c r="O217" s="57"/>
      <c r="P217" s="57"/>
      <c r="Q217" s="57"/>
      <c r="R217" s="57"/>
      <c r="S217" s="57"/>
      <c r="T217" s="57"/>
      <c r="U217" s="57"/>
    </row>
    <row r="218" spans="2:21" x14ac:dyDescent="0.15">
      <c r="B218" s="57"/>
      <c r="C218" s="57"/>
      <c r="D218" s="57"/>
      <c r="E218" s="57"/>
      <c r="F218" s="57"/>
      <c r="G218" s="57"/>
      <c r="H218" s="57"/>
      <c r="I218" s="57"/>
      <c r="J218" s="57"/>
      <c r="K218" s="57"/>
      <c r="L218" s="57"/>
      <c r="M218" s="57"/>
      <c r="N218" s="57"/>
      <c r="O218" s="57"/>
      <c r="P218" s="57"/>
      <c r="Q218" s="57"/>
      <c r="R218" s="57"/>
      <c r="S218" s="57"/>
      <c r="T218" s="57"/>
      <c r="U218" s="57"/>
    </row>
    <row r="219" spans="2:21" x14ac:dyDescent="0.15">
      <c r="B219" s="57"/>
      <c r="C219" s="57"/>
      <c r="D219" s="57"/>
      <c r="E219" s="57"/>
      <c r="F219" s="57"/>
      <c r="G219" s="57"/>
      <c r="H219" s="57"/>
      <c r="I219" s="57"/>
      <c r="J219" s="57"/>
      <c r="K219" s="57"/>
      <c r="L219" s="57"/>
      <c r="M219" s="57"/>
      <c r="N219" s="57"/>
      <c r="O219" s="57"/>
      <c r="P219" s="57"/>
      <c r="Q219" s="57"/>
      <c r="R219" s="57"/>
      <c r="S219" s="57"/>
      <c r="T219" s="57"/>
      <c r="U219" s="57"/>
    </row>
    <row r="220" spans="2:21" x14ac:dyDescent="0.15">
      <c r="B220" s="57"/>
      <c r="C220" s="57"/>
      <c r="D220" s="57"/>
      <c r="E220" s="57"/>
      <c r="F220" s="57"/>
      <c r="G220" s="57"/>
      <c r="H220" s="57"/>
      <c r="I220" s="57"/>
      <c r="J220" s="57"/>
      <c r="K220" s="57"/>
      <c r="L220" s="57"/>
      <c r="M220" s="57"/>
      <c r="N220" s="57"/>
      <c r="O220" s="57"/>
      <c r="P220" s="57"/>
      <c r="Q220" s="57"/>
      <c r="R220" s="57"/>
      <c r="S220" s="57"/>
      <c r="T220" s="57"/>
      <c r="U220" s="57"/>
    </row>
    <row r="221" spans="2:21" x14ac:dyDescent="0.15">
      <c r="B221" s="57"/>
      <c r="C221" s="57"/>
      <c r="D221" s="57"/>
      <c r="E221" s="57"/>
      <c r="F221" s="57"/>
      <c r="G221" s="57"/>
      <c r="H221" s="57"/>
      <c r="I221" s="57"/>
      <c r="J221" s="57"/>
      <c r="K221" s="57"/>
      <c r="L221" s="57"/>
      <c r="M221" s="57"/>
      <c r="N221" s="57"/>
      <c r="O221" s="57"/>
      <c r="P221" s="57"/>
      <c r="Q221" s="57"/>
      <c r="R221" s="57"/>
      <c r="S221" s="57"/>
      <c r="T221" s="57"/>
      <c r="U221" s="57"/>
    </row>
    <row r="222" spans="2:21" x14ac:dyDescent="0.15">
      <c r="B222" s="57"/>
      <c r="C222" s="57"/>
      <c r="D222" s="57"/>
      <c r="E222" s="57"/>
      <c r="F222" s="57"/>
      <c r="G222" s="57"/>
      <c r="H222" s="57"/>
      <c r="I222" s="57"/>
      <c r="J222" s="57"/>
      <c r="K222" s="57"/>
      <c r="L222" s="57"/>
      <c r="M222" s="57"/>
      <c r="N222" s="57"/>
      <c r="O222" s="57"/>
      <c r="P222" s="57"/>
      <c r="Q222" s="57"/>
      <c r="R222" s="57"/>
      <c r="S222" s="57"/>
      <c r="T222" s="57"/>
      <c r="U222" s="57"/>
    </row>
    <row r="223" spans="2:21" x14ac:dyDescent="0.15">
      <c r="B223" s="57"/>
      <c r="C223" s="57"/>
      <c r="D223" s="57"/>
      <c r="E223" s="57"/>
      <c r="F223" s="57"/>
      <c r="G223" s="57"/>
      <c r="H223" s="57"/>
      <c r="I223" s="57"/>
      <c r="J223" s="57"/>
      <c r="K223" s="57"/>
      <c r="L223" s="57"/>
      <c r="M223" s="57"/>
      <c r="N223" s="57"/>
      <c r="O223" s="57"/>
      <c r="P223" s="57"/>
      <c r="Q223" s="57"/>
      <c r="R223" s="57"/>
      <c r="S223" s="57"/>
      <c r="T223" s="57"/>
      <c r="U223" s="57"/>
    </row>
    <row r="224" spans="2:21" x14ac:dyDescent="0.15">
      <c r="B224" s="57"/>
      <c r="C224" s="57"/>
      <c r="D224" s="57"/>
      <c r="E224" s="57"/>
      <c r="F224" s="57"/>
      <c r="G224" s="57"/>
      <c r="H224" s="57"/>
      <c r="I224" s="57"/>
      <c r="J224" s="57"/>
      <c r="K224" s="57"/>
      <c r="L224" s="57"/>
      <c r="M224" s="57"/>
      <c r="N224" s="57"/>
      <c r="O224" s="57"/>
      <c r="P224" s="57"/>
      <c r="Q224" s="57"/>
      <c r="R224" s="57"/>
      <c r="S224" s="57"/>
      <c r="T224" s="57"/>
      <c r="U224" s="57"/>
    </row>
    <row r="225" spans="2:21" x14ac:dyDescent="0.15">
      <c r="B225" s="57"/>
      <c r="C225" s="57"/>
      <c r="D225" s="57"/>
      <c r="E225" s="57"/>
      <c r="F225" s="57"/>
      <c r="G225" s="57"/>
      <c r="H225" s="57"/>
      <c r="I225" s="57"/>
      <c r="J225" s="57"/>
      <c r="K225" s="57"/>
      <c r="L225" s="57"/>
      <c r="M225" s="57"/>
      <c r="N225" s="57"/>
      <c r="O225" s="57"/>
      <c r="P225" s="57"/>
      <c r="Q225" s="57"/>
      <c r="R225" s="57"/>
      <c r="S225" s="57"/>
      <c r="T225" s="57"/>
      <c r="U225" s="57"/>
    </row>
    <row r="226" spans="2:21" x14ac:dyDescent="0.15">
      <c r="B226" s="57"/>
      <c r="C226" s="57"/>
      <c r="D226" s="57"/>
      <c r="E226" s="57"/>
      <c r="F226" s="57"/>
      <c r="G226" s="57"/>
      <c r="H226" s="57"/>
      <c r="I226" s="57"/>
      <c r="J226" s="57"/>
      <c r="K226" s="57"/>
      <c r="L226" s="57"/>
      <c r="M226" s="57"/>
      <c r="N226" s="57"/>
      <c r="O226" s="57"/>
      <c r="P226" s="57"/>
      <c r="Q226" s="57"/>
      <c r="R226" s="57"/>
      <c r="S226" s="57"/>
      <c r="T226" s="57"/>
      <c r="U226" s="57"/>
    </row>
    <row r="227" spans="2:21" x14ac:dyDescent="0.15">
      <c r="B227" s="57"/>
      <c r="C227" s="57"/>
      <c r="D227" s="57"/>
      <c r="E227" s="57"/>
      <c r="F227" s="57"/>
      <c r="G227" s="57"/>
      <c r="H227" s="57"/>
      <c r="I227" s="57"/>
      <c r="J227" s="57"/>
      <c r="K227" s="57"/>
      <c r="L227" s="57"/>
      <c r="M227" s="57"/>
      <c r="N227" s="57"/>
      <c r="O227" s="57"/>
      <c r="P227" s="57"/>
      <c r="Q227" s="57"/>
      <c r="R227" s="57"/>
      <c r="S227" s="57"/>
      <c r="T227" s="57"/>
      <c r="U227" s="57"/>
    </row>
    <row r="228" spans="2:21" x14ac:dyDescent="0.15">
      <c r="B228" s="57"/>
      <c r="C228" s="57"/>
      <c r="D228" s="57"/>
      <c r="E228" s="57"/>
      <c r="F228" s="57"/>
      <c r="G228" s="57"/>
      <c r="H228" s="57"/>
      <c r="I228" s="57"/>
      <c r="J228" s="57"/>
      <c r="K228" s="57"/>
      <c r="L228" s="57"/>
      <c r="M228" s="57"/>
      <c r="N228" s="57"/>
      <c r="O228" s="57"/>
      <c r="P228" s="57"/>
      <c r="Q228" s="57"/>
      <c r="R228" s="57"/>
      <c r="S228" s="57"/>
      <c r="T228" s="57"/>
      <c r="U228" s="57"/>
    </row>
    <row r="229" spans="2:21" x14ac:dyDescent="0.15">
      <c r="B229" s="57"/>
      <c r="C229" s="57"/>
      <c r="D229" s="57"/>
      <c r="E229" s="57"/>
      <c r="F229" s="57"/>
      <c r="G229" s="57"/>
      <c r="H229" s="57"/>
      <c r="I229" s="57"/>
      <c r="J229" s="57"/>
      <c r="K229" s="57"/>
      <c r="L229" s="57"/>
      <c r="M229" s="57"/>
      <c r="N229" s="57"/>
      <c r="O229" s="57"/>
      <c r="P229" s="57"/>
      <c r="Q229" s="57"/>
      <c r="R229" s="57"/>
      <c r="S229" s="57"/>
      <c r="T229" s="57"/>
      <c r="U229" s="57"/>
    </row>
    <row r="230" spans="2:21" x14ac:dyDescent="0.15">
      <c r="B230" s="57"/>
      <c r="C230" s="57"/>
      <c r="D230" s="57"/>
      <c r="E230" s="57"/>
      <c r="F230" s="57"/>
      <c r="G230" s="57"/>
      <c r="H230" s="57"/>
      <c r="I230" s="57"/>
      <c r="J230" s="57"/>
      <c r="K230" s="57"/>
      <c r="L230" s="57"/>
      <c r="M230" s="57"/>
      <c r="N230" s="57"/>
      <c r="O230" s="57"/>
      <c r="P230" s="57"/>
      <c r="Q230" s="57"/>
      <c r="R230" s="57"/>
      <c r="S230" s="57"/>
      <c r="T230" s="57"/>
      <c r="U230" s="57"/>
    </row>
    <row r="231" spans="2:21" x14ac:dyDescent="0.15">
      <c r="B231" s="57"/>
      <c r="C231" s="57"/>
      <c r="D231" s="57"/>
      <c r="E231" s="57"/>
      <c r="F231" s="57"/>
      <c r="G231" s="57"/>
      <c r="H231" s="57"/>
      <c r="I231" s="57"/>
      <c r="J231" s="57"/>
      <c r="K231" s="57"/>
      <c r="L231" s="57"/>
      <c r="M231" s="57"/>
      <c r="N231" s="57"/>
      <c r="O231" s="57"/>
      <c r="P231" s="57"/>
      <c r="Q231" s="57"/>
      <c r="R231" s="57"/>
      <c r="S231" s="57"/>
      <c r="T231" s="57"/>
      <c r="U231" s="57"/>
    </row>
    <row r="232" spans="2:21" x14ac:dyDescent="0.15">
      <c r="B232" s="57"/>
      <c r="C232" s="57"/>
      <c r="D232" s="57"/>
      <c r="E232" s="57"/>
      <c r="F232" s="57"/>
      <c r="G232" s="57"/>
      <c r="H232" s="57"/>
      <c r="I232" s="57"/>
      <c r="J232" s="57"/>
      <c r="K232" s="57"/>
      <c r="L232" s="57"/>
      <c r="M232" s="57"/>
      <c r="N232" s="57"/>
      <c r="O232" s="57"/>
      <c r="P232" s="57"/>
      <c r="Q232" s="57"/>
      <c r="R232" s="57"/>
      <c r="S232" s="57"/>
      <c r="T232" s="57"/>
      <c r="U232" s="57"/>
    </row>
    <row r="233" spans="2:21" x14ac:dyDescent="0.15">
      <c r="B233" s="57"/>
      <c r="C233" s="57"/>
      <c r="D233" s="57"/>
      <c r="E233" s="57"/>
      <c r="F233" s="57"/>
      <c r="G233" s="57"/>
      <c r="H233" s="57"/>
      <c r="I233" s="57"/>
      <c r="J233" s="57"/>
      <c r="K233" s="57"/>
      <c r="L233" s="57"/>
      <c r="M233" s="57"/>
      <c r="N233" s="57"/>
      <c r="O233" s="57"/>
      <c r="P233" s="57"/>
      <c r="Q233" s="57"/>
      <c r="R233" s="57"/>
      <c r="S233" s="57"/>
      <c r="T233" s="57"/>
      <c r="U233" s="57"/>
    </row>
    <row r="234" spans="2:21" x14ac:dyDescent="0.15">
      <c r="B234" s="57"/>
      <c r="C234" s="57"/>
      <c r="D234" s="57"/>
      <c r="E234" s="57"/>
      <c r="F234" s="57"/>
      <c r="G234" s="57"/>
      <c r="H234" s="57"/>
      <c r="I234" s="57"/>
      <c r="J234" s="57"/>
      <c r="K234" s="57"/>
      <c r="L234" s="57"/>
      <c r="M234" s="57"/>
      <c r="N234" s="57"/>
      <c r="O234" s="57"/>
      <c r="P234" s="57"/>
      <c r="Q234" s="57"/>
      <c r="R234" s="57"/>
      <c r="S234" s="57"/>
      <c r="T234" s="57"/>
      <c r="U234" s="57"/>
    </row>
    <row r="235" spans="2:21" x14ac:dyDescent="0.15">
      <c r="B235" s="57"/>
      <c r="C235" s="57"/>
      <c r="D235" s="57"/>
      <c r="E235" s="57"/>
      <c r="F235" s="57"/>
      <c r="G235" s="57"/>
      <c r="H235" s="57"/>
      <c r="I235" s="57"/>
      <c r="J235" s="57"/>
      <c r="K235" s="57"/>
      <c r="L235" s="57"/>
      <c r="M235" s="57"/>
      <c r="N235" s="57"/>
      <c r="O235" s="57"/>
      <c r="P235" s="57"/>
      <c r="Q235" s="57"/>
      <c r="R235" s="57"/>
      <c r="S235" s="57"/>
      <c r="T235" s="57"/>
      <c r="U235" s="57"/>
    </row>
    <row r="236" spans="2:21" x14ac:dyDescent="0.15">
      <c r="B236" s="57"/>
      <c r="C236" s="57"/>
      <c r="D236" s="57"/>
      <c r="E236" s="57"/>
      <c r="F236" s="57"/>
      <c r="G236" s="57"/>
      <c r="H236" s="57"/>
      <c r="I236" s="57"/>
      <c r="J236" s="57"/>
      <c r="K236" s="57"/>
      <c r="L236" s="57"/>
      <c r="M236" s="57"/>
      <c r="N236" s="57"/>
      <c r="O236" s="57"/>
      <c r="P236" s="57"/>
      <c r="Q236" s="57"/>
      <c r="R236" s="57"/>
      <c r="S236" s="57"/>
      <c r="T236" s="57"/>
      <c r="U236" s="57"/>
    </row>
    <row r="237" spans="2:21" x14ac:dyDescent="0.15">
      <c r="B237" s="57"/>
      <c r="C237" s="57"/>
      <c r="D237" s="57"/>
      <c r="E237" s="57"/>
      <c r="F237" s="57"/>
      <c r="G237" s="57"/>
      <c r="H237" s="57"/>
      <c r="I237" s="57"/>
      <c r="J237" s="57"/>
      <c r="K237" s="57"/>
      <c r="L237" s="57"/>
      <c r="M237" s="57"/>
      <c r="N237" s="57"/>
      <c r="O237" s="57"/>
      <c r="P237" s="57"/>
      <c r="Q237" s="57"/>
      <c r="R237" s="57"/>
      <c r="S237" s="57"/>
      <c r="T237" s="57"/>
      <c r="U237" s="57"/>
    </row>
    <row r="238" spans="2:21" x14ac:dyDescent="0.15"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  <c r="O238" s="57"/>
      <c r="P238" s="57"/>
      <c r="Q238" s="57"/>
      <c r="R238" s="57"/>
      <c r="S238" s="57"/>
      <c r="T238" s="57"/>
      <c r="U238" s="57"/>
    </row>
    <row r="239" spans="2:21" x14ac:dyDescent="0.15">
      <c r="B239" s="57"/>
      <c r="C239" s="57"/>
      <c r="D239" s="57"/>
      <c r="E239" s="57"/>
      <c r="F239" s="57"/>
      <c r="G239" s="57"/>
      <c r="H239" s="57"/>
      <c r="I239" s="57"/>
      <c r="J239" s="57"/>
      <c r="K239" s="57"/>
      <c r="L239" s="57"/>
      <c r="M239" s="57"/>
      <c r="N239" s="57"/>
      <c r="O239" s="57"/>
      <c r="P239" s="57"/>
      <c r="Q239" s="57"/>
      <c r="R239" s="57"/>
      <c r="S239" s="57"/>
      <c r="T239" s="57"/>
      <c r="U239" s="57"/>
    </row>
    <row r="240" spans="2:21" x14ac:dyDescent="0.15">
      <c r="B240" s="57"/>
      <c r="C240" s="57"/>
      <c r="D240" s="57"/>
      <c r="E240" s="57"/>
      <c r="F240" s="57"/>
      <c r="G240" s="57"/>
      <c r="H240" s="57"/>
      <c r="I240" s="57"/>
      <c r="J240" s="57"/>
      <c r="K240" s="57"/>
      <c r="L240" s="57"/>
      <c r="M240" s="57"/>
      <c r="N240" s="57"/>
      <c r="O240" s="57"/>
      <c r="P240" s="57"/>
      <c r="Q240" s="57"/>
      <c r="R240" s="57"/>
      <c r="S240" s="57"/>
      <c r="T240" s="57"/>
      <c r="U240" s="57"/>
    </row>
    <row r="241" spans="2:21" x14ac:dyDescent="0.15">
      <c r="B241" s="57"/>
      <c r="C241" s="57"/>
      <c r="D241" s="57"/>
      <c r="E241" s="57"/>
      <c r="F241" s="57"/>
      <c r="G241" s="57"/>
      <c r="H241" s="57"/>
      <c r="I241" s="57"/>
      <c r="J241" s="57"/>
      <c r="K241" s="57"/>
      <c r="L241" s="57"/>
      <c r="M241" s="57"/>
      <c r="N241" s="57"/>
      <c r="O241" s="57"/>
      <c r="P241" s="57"/>
      <c r="Q241" s="57"/>
      <c r="R241" s="57"/>
      <c r="S241" s="57"/>
      <c r="T241" s="57"/>
      <c r="U241" s="57"/>
    </row>
    <row r="242" spans="2:21" x14ac:dyDescent="0.15">
      <c r="B242" s="57"/>
      <c r="C242" s="57"/>
      <c r="D242" s="57"/>
      <c r="E242" s="57"/>
      <c r="F242" s="57"/>
      <c r="G242" s="57"/>
      <c r="H242" s="57"/>
      <c r="I242" s="57"/>
      <c r="J242" s="57"/>
      <c r="K242" s="57"/>
      <c r="L242" s="57"/>
      <c r="M242" s="57"/>
      <c r="N242" s="57"/>
      <c r="O242" s="57"/>
      <c r="P242" s="57"/>
      <c r="Q242" s="57"/>
      <c r="R242" s="57"/>
      <c r="S242" s="57"/>
      <c r="T242" s="57"/>
      <c r="U242" s="57"/>
    </row>
    <row r="243" spans="2:21" x14ac:dyDescent="0.15">
      <c r="B243" s="57"/>
      <c r="C243" s="57"/>
      <c r="D243" s="57"/>
      <c r="E243" s="57"/>
      <c r="F243" s="57"/>
      <c r="G243" s="57"/>
      <c r="H243" s="57"/>
      <c r="I243" s="57"/>
      <c r="J243" s="57"/>
      <c r="K243" s="57"/>
      <c r="L243" s="57"/>
      <c r="M243" s="57"/>
      <c r="N243" s="57"/>
      <c r="O243" s="57"/>
      <c r="P243" s="57"/>
      <c r="Q243" s="57"/>
      <c r="R243" s="57"/>
      <c r="S243" s="57"/>
      <c r="T243" s="57"/>
      <c r="U243" s="57"/>
    </row>
    <row r="244" spans="2:21" x14ac:dyDescent="0.15">
      <c r="B244" s="57"/>
      <c r="C244" s="57"/>
      <c r="D244" s="57"/>
      <c r="E244" s="57"/>
      <c r="F244" s="57"/>
      <c r="G244" s="57"/>
      <c r="H244" s="57"/>
      <c r="I244" s="57"/>
      <c r="J244" s="57"/>
      <c r="K244" s="57"/>
      <c r="L244" s="57"/>
      <c r="M244" s="57"/>
      <c r="N244" s="57"/>
      <c r="O244" s="57"/>
      <c r="P244" s="57"/>
      <c r="Q244" s="57"/>
      <c r="R244" s="57"/>
      <c r="S244" s="57"/>
      <c r="T244" s="57"/>
      <c r="U244" s="57"/>
    </row>
    <row r="245" spans="2:21" x14ac:dyDescent="0.15">
      <c r="B245" s="57"/>
      <c r="C245" s="57"/>
      <c r="D245" s="57"/>
      <c r="E245" s="57"/>
      <c r="F245" s="57"/>
      <c r="G245" s="57"/>
      <c r="H245" s="57"/>
      <c r="I245" s="57"/>
      <c r="J245" s="57"/>
      <c r="K245" s="57"/>
      <c r="L245" s="57"/>
      <c r="M245" s="57"/>
      <c r="N245" s="57"/>
      <c r="O245" s="57"/>
      <c r="P245" s="57"/>
      <c r="Q245" s="57"/>
      <c r="R245" s="57"/>
      <c r="S245" s="57"/>
      <c r="T245" s="57"/>
      <c r="U245" s="57"/>
    </row>
    <row r="246" spans="2:21" x14ac:dyDescent="0.15">
      <c r="B246" s="57"/>
      <c r="C246" s="57"/>
      <c r="D246" s="57"/>
      <c r="E246" s="57"/>
      <c r="F246" s="57"/>
      <c r="G246" s="57"/>
      <c r="H246" s="57"/>
      <c r="I246" s="57"/>
      <c r="J246" s="57"/>
      <c r="K246" s="57"/>
      <c r="L246" s="57"/>
      <c r="M246" s="57"/>
      <c r="N246" s="57"/>
      <c r="O246" s="57"/>
      <c r="P246" s="57"/>
      <c r="Q246" s="57"/>
      <c r="R246" s="57"/>
      <c r="S246" s="57"/>
      <c r="T246" s="57"/>
      <c r="U246" s="57"/>
    </row>
    <row r="247" spans="2:21" x14ac:dyDescent="0.15">
      <c r="B247" s="57"/>
      <c r="C247" s="57"/>
      <c r="D247" s="57"/>
      <c r="E247" s="57"/>
      <c r="F247" s="57"/>
      <c r="G247" s="57"/>
      <c r="H247" s="57"/>
      <c r="I247" s="57"/>
      <c r="J247" s="57"/>
      <c r="K247" s="57"/>
      <c r="L247" s="57"/>
      <c r="M247" s="57"/>
      <c r="N247" s="57"/>
      <c r="O247" s="57"/>
      <c r="P247" s="57"/>
      <c r="Q247" s="57"/>
      <c r="R247" s="57"/>
      <c r="S247" s="57"/>
      <c r="T247" s="57"/>
      <c r="U247" s="57"/>
    </row>
    <row r="248" spans="2:21" x14ac:dyDescent="0.15">
      <c r="B248" s="57"/>
      <c r="C248" s="57"/>
      <c r="D248" s="57"/>
      <c r="E248" s="57"/>
      <c r="F248" s="57"/>
      <c r="G248" s="57"/>
      <c r="H248" s="57"/>
      <c r="I248" s="57"/>
      <c r="J248" s="57"/>
      <c r="K248" s="57"/>
      <c r="L248" s="57"/>
      <c r="M248" s="57"/>
      <c r="N248" s="57"/>
      <c r="O248" s="57"/>
      <c r="P248" s="57"/>
      <c r="Q248" s="57"/>
      <c r="R248" s="57"/>
      <c r="S248" s="57"/>
      <c r="T248" s="57"/>
      <c r="U248" s="57"/>
    </row>
    <row r="249" spans="2:21" x14ac:dyDescent="0.15">
      <c r="B249" s="57"/>
      <c r="C249" s="57"/>
      <c r="D249" s="57"/>
      <c r="E249" s="57"/>
      <c r="F249" s="57"/>
      <c r="G249" s="57"/>
      <c r="H249" s="57"/>
      <c r="I249" s="57"/>
      <c r="J249" s="57"/>
      <c r="K249" s="57"/>
      <c r="L249" s="57"/>
      <c r="M249" s="57"/>
      <c r="N249" s="57"/>
      <c r="O249" s="57"/>
      <c r="P249" s="57"/>
      <c r="Q249" s="57"/>
      <c r="R249" s="57"/>
      <c r="S249" s="57"/>
      <c r="T249" s="57"/>
      <c r="U249" s="57"/>
    </row>
    <row r="250" spans="2:21" x14ac:dyDescent="0.15">
      <c r="B250" s="57"/>
      <c r="C250" s="57"/>
      <c r="D250" s="57"/>
      <c r="E250" s="57"/>
      <c r="F250" s="57"/>
      <c r="G250" s="57"/>
      <c r="H250" s="57"/>
      <c r="I250" s="57"/>
      <c r="J250" s="57"/>
      <c r="K250" s="57"/>
      <c r="L250" s="57"/>
      <c r="M250" s="57"/>
      <c r="N250" s="57"/>
      <c r="O250" s="57"/>
      <c r="P250" s="57"/>
      <c r="Q250" s="57"/>
      <c r="R250" s="57"/>
      <c r="S250" s="57"/>
      <c r="T250" s="57"/>
      <c r="U250" s="57"/>
    </row>
    <row r="251" spans="2:21" x14ac:dyDescent="0.15">
      <c r="B251" s="57"/>
      <c r="C251" s="57"/>
      <c r="D251" s="57"/>
      <c r="E251" s="57"/>
      <c r="F251" s="57"/>
      <c r="G251" s="57"/>
      <c r="H251" s="57"/>
      <c r="I251" s="57"/>
      <c r="J251" s="57"/>
      <c r="K251" s="57"/>
      <c r="L251" s="57"/>
      <c r="M251" s="57"/>
      <c r="N251" s="57"/>
      <c r="O251" s="57"/>
      <c r="P251" s="57"/>
      <c r="Q251" s="57"/>
      <c r="R251" s="57"/>
      <c r="S251" s="57"/>
      <c r="T251" s="57"/>
      <c r="U251" s="57"/>
    </row>
    <row r="252" spans="2:21" x14ac:dyDescent="0.15">
      <c r="B252" s="57"/>
      <c r="C252" s="57"/>
      <c r="D252" s="57"/>
      <c r="E252" s="57"/>
      <c r="F252" s="57"/>
      <c r="G252" s="57"/>
      <c r="H252" s="57"/>
      <c r="I252" s="57"/>
      <c r="J252" s="57"/>
      <c r="K252" s="57"/>
      <c r="L252" s="57"/>
      <c r="M252" s="57"/>
      <c r="N252" s="57"/>
      <c r="O252" s="57"/>
      <c r="P252" s="57"/>
      <c r="Q252" s="57"/>
      <c r="R252" s="57"/>
      <c r="S252" s="57"/>
      <c r="T252" s="57"/>
      <c r="U252" s="57"/>
    </row>
    <row r="253" spans="2:21" x14ac:dyDescent="0.15">
      <c r="B253" s="57"/>
      <c r="C253" s="57"/>
      <c r="D253" s="57"/>
      <c r="E253" s="57"/>
      <c r="F253" s="57"/>
      <c r="G253" s="57"/>
      <c r="H253" s="57"/>
      <c r="I253" s="57"/>
      <c r="J253" s="57"/>
      <c r="K253" s="57"/>
      <c r="L253" s="57"/>
      <c r="M253" s="57"/>
      <c r="N253" s="57"/>
      <c r="O253" s="57"/>
      <c r="P253" s="57"/>
      <c r="Q253" s="57"/>
      <c r="R253" s="57"/>
      <c r="S253" s="57"/>
      <c r="T253" s="57"/>
      <c r="U253" s="57"/>
    </row>
    <row r="254" spans="2:21" x14ac:dyDescent="0.15">
      <c r="B254" s="57"/>
      <c r="C254" s="57"/>
      <c r="D254" s="57"/>
      <c r="E254" s="57"/>
      <c r="F254" s="57"/>
      <c r="G254" s="57"/>
      <c r="H254" s="57"/>
      <c r="I254" s="57"/>
      <c r="J254" s="57"/>
      <c r="K254" s="57"/>
      <c r="L254" s="57"/>
      <c r="M254" s="57"/>
      <c r="N254" s="57"/>
      <c r="O254" s="57"/>
      <c r="P254" s="57"/>
      <c r="Q254" s="57"/>
      <c r="R254" s="57"/>
      <c r="S254" s="57"/>
      <c r="T254" s="57"/>
      <c r="U254" s="57"/>
    </row>
    <row r="255" spans="2:21" x14ac:dyDescent="0.15">
      <c r="B255" s="57"/>
      <c r="C255" s="57"/>
      <c r="D255" s="57"/>
      <c r="E255" s="57"/>
      <c r="F255" s="57"/>
      <c r="G255" s="57"/>
      <c r="H255" s="57"/>
      <c r="I255" s="57"/>
      <c r="J255" s="57"/>
      <c r="K255" s="57"/>
      <c r="L255" s="57"/>
      <c r="M255" s="57"/>
      <c r="N255" s="57"/>
      <c r="O255" s="57"/>
      <c r="P255" s="57"/>
      <c r="Q255" s="57"/>
      <c r="R255" s="57"/>
      <c r="S255" s="57"/>
      <c r="T255" s="57"/>
      <c r="U255" s="57"/>
    </row>
    <row r="256" spans="2:21" x14ac:dyDescent="0.15">
      <c r="B256" s="57"/>
      <c r="C256" s="57"/>
      <c r="D256" s="57"/>
      <c r="E256" s="57"/>
      <c r="F256" s="57"/>
      <c r="G256" s="57"/>
      <c r="H256" s="57"/>
      <c r="I256" s="57"/>
      <c r="J256" s="57"/>
      <c r="K256" s="57"/>
      <c r="L256" s="57"/>
      <c r="M256" s="57"/>
      <c r="N256" s="57"/>
      <c r="O256" s="57"/>
      <c r="P256" s="57"/>
      <c r="Q256" s="57"/>
      <c r="R256" s="57"/>
      <c r="S256" s="57"/>
      <c r="T256" s="57"/>
      <c r="U256" s="57"/>
    </row>
    <row r="257" spans="2:21" x14ac:dyDescent="0.15">
      <c r="B257" s="57"/>
      <c r="C257" s="57"/>
      <c r="D257" s="57"/>
      <c r="E257" s="57"/>
      <c r="F257" s="57"/>
      <c r="G257" s="57"/>
      <c r="H257" s="57"/>
      <c r="I257" s="57"/>
      <c r="J257" s="57"/>
      <c r="K257" s="57"/>
      <c r="L257" s="57"/>
      <c r="M257" s="57"/>
      <c r="N257" s="57"/>
      <c r="O257" s="57"/>
      <c r="P257" s="57"/>
      <c r="Q257" s="57"/>
      <c r="R257" s="57"/>
      <c r="S257" s="57"/>
      <c r="T257" s="57"/>
      <c r="U257" s="57"/>
    </row>
    <row r="258" spans="2:21" x14ac:dyDescent="0.15">
      <c r="B258" s="57"/>
      <c r="C258" s="57"/>
      <c r="D258" s="57"/>
      <c r="E258" s="57"/>
      <c r="F258" s="57"/>
      <c r="G258" s="57"/>
      <c r="H258" s="57"/>
      <c r="I258" s="57"/>
      <c r="J258" s="57"/>
      <c r="K258" s="57"/>
      <c r="L258" s="57"/>
      <c r="M258" s="57"/>
      <c r="N258" s="57"/>
      <c r="O258" s="57"/>
      <c r="P258" s="57"/>
      <c r="Q258" s="57"/>
      <c r="R258" s="57"/>
      <c r="S258" s="57"/>
      <c r="T258" s="57"/>
      <c r="U258" s="57"/>
    </row>
    <row r="259" spans="2:21" x14ac:dyDescent="0.15">
      <c r="B259" s="57"/>
      <c r="C259" s="57"/>
      <c r="D259" s="57"/>
      <c r="E259" s="57"/>
      <c r="F259" s="57"/>
      <c r="G259" s="57"/>
      <c r="H259" s="57"/>
      <c r="I259" s="57"/>
      <c r="J259" s="57"/>
      <c r="K259" s="57"/>
      <c r="L259" s="57"/>
      <c r="M259" s="57"/>
      <c r="N259" s="57"/>
      <c r="O259" s="57"/>
      <c r="P259" s="57"/>
      <c r="Q259" s="57"/>
      <c r="R259" s="57"/>
      <c r="S259" s="57"/>
      <c r="T259" s="57"/>
      <c r="U259" s="57"/>
    </row>
    <row r="260" spans="2:21" x14ac:dyDescent="0.15">
      <c r="B260" s="57"/>
      <c r="C260" s="57"/>
      <c r="D260" s="57"/>
      <c r="E260" s="57"/>
      <c r="F260" s="57"/>
      <c r="G260" s="57"/>
      <c r="H260" s="57"/>
      <c r="I260" s="57"/>
      <c r="J260" s="57"/>
      <c r="K260" s="57"/>
      <c r="L260" s="57"/>
      <c r="M260" s="57"/>
      <c r="N260" s="57"/>
      <c r="O260" s="57"/>
      <c r="P260" s="57"/>
      <c r="Q260" s="57"/>
      <c r="R260" s="57"/>
      <c r="S260" s="57"/>
      <c r="T260" s="57"/>
      <c r="U260" s="57"/>
    </row>
    <row r="261" spans="2:21" x14ac:dyDescent="0.15">
      <c r="B261" s="57"/>
      <c r="C261" s="57"/>
      <c r="D261" s="57"/>
      <c r="E261" s="57"/>
      <c r="F261" s="57"/>
      <c r="G261" s="57"/>
      <c r="H261" s="57"/>
      <c r="I261" s="57"/>
      <c r="J261" s="57"/>
      <c r="K261" s="57"/>
      <c r="L261" s="57"/>
      <c r="M261" s="57"/>
      <c r="N261" s="57"/>
      <c r="O261" s="57"/>
      <c r="P261" s="57"/>
      <c r="Q261" s="57"/>
      <c r="R261" s="57"/>
      <c r="S261" s="57"/>
      <c r="T261" s="57"/>
      <c r="U261" s="57"/>
    </row>
    <row r="262" spans="2:21" x14ac:dyDescent="0.15">
      <c r="B262" s="57"/>
      <c r="C262" s="57"/>
      <c r="D262" s="57"/>
      <c r="E262" s="57"/>
      <c r="F262" s="57"/>
      <c r="G262" s="57"/>
      <c r="H262" s="57"/>
      <c r="I262" s="57"/>
      <c r="J262" s="57"/>
      <c r="K262" s="57"/>
      <c r="L262" s="57"/>
      <c r="M262" s="57"/>
      <c r="N262" s="57"/>
      <c r="O262" s="57"/>
      <c r="P262" s="57"/>
      <c r="Q262" s="57"/>
      <c r="R262" s="57"/>
      <c r="S262" s="57"/>
      <c r="T262" s="57"/>
      <c r="U262" s="57"/>
    </row>
    <row r="263" spans="2:21" x14ac:dyDescent="0.15">
      <c r="B263" s="57"/>
      <c r="C263" s="57"/>
      <c r="D263" s="57"/>
      <c r="E263" s="57"/>
      <c r="F263" s="57"/>
      <c r="G263" s="57"/>
      <c r="H263" s="57"/>
      <c r="I263" s="57"/>
      <c r="J263" s="57"/>
      <c r="K263" s="57"/>
      <c r="L263" s="57"/>
      <c r="M263" s="57"/>
      <c r="N263" s="57"/>
      <c r="O263" s="57"/>
      <c r="P263" s="57"/>
      <c r="Q263" s="57"/>
      <c r="R263" s="57"/>
      <c r="S263" s="57"/>
      <c r="T263" s="57"/>
      <c r="U263" s="57"/>
    </row>
    <row r="264" spans="2:21" x14ac:dyDescent="0.15"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  <c r="O264" s="57"/>
      <c r="P264" s="57"/>
      <c r="Q264" s="57"/>
      <c r="R264" s="57"/>
      <c r="S264" s="57"/>
      <c r="T264" s="57"/>
      <c r="U264" s="57"/>
    </row>
    <row r="265" spans="2:21" x14ac:dyDescent="0.15">
      <c r="B265" s="57"/>
      <c r="C265" s="57"/>
      <c r="D265" s="57"/>
      <c r="E265" s="57"/>
      <c r="F265" s="57"/>
      <c r="G265" s="57"/>
      <c r="H265" s="57"/>
      <c r="I265" s="57"/>
      <c r="J265" s="57"/>
      <c r="K265" s="57"/>
      <c r="L265" s="57"/>
      <c r="M265" s="57"/>
      <c r="N265" s="57"/>
      <c r="O265" s="57"/>
      <c r="P265" s="57"/>
      <c r="Q265" s="57"/>
      <c r="R265" s="57"/>
      <c r="S265" s="57"/>
      <c r="T265" s="57"/>
      <c r="U265" s="57"/>
    </row>
    <row r="266" spans="2:21" x14ac:dyDescent="0.15">
      <c r="B266" s="57"/>
      <c r="C266" s="57"/>
      <c r="D266" s="57"/>
      <c r="E266" s="57"/>
      <c r="F266" s="57"/>
      <c r="G266" s="57"/>
      <c r="H266" s="57"/>
      <c r="I266" s="57"/>
      <c r="J266" s="57"/>
      <c r="K266" s="57"/>
      <c r="L266" s="57"/>
      <c r="M266" s="57"/>
      <c r="N266" s="57"/>
      <c r="O266" s="57"/>
      <c r="P266" s="57"/>
      <c r="Q266" s="57"/>
      <c r="R266" s="57"/>
      <c r="S266" s="57"/>
      <c r="T266" s="57"/>
      <c r="U266" s="57"/>
    </row>
    <row r="267" spans="2:21" x14ac:dyDescent="0.15">
      <c r="B267" s="57"/>
      <c r="C267" s="57"/>
      <c r="D267" s="57"/>
      <c r="E267" s="57"/>
      <c r="F267" s="57"/>
      <c r="G267" s="57"/>
      <c r="H267" s="57"/>
      <c r="I267" s="57"/>
      <c r="J267" s="57"/>
      <c r="K267" s="57"/>
      <c r="L267" s="57"/>
      <c r="M267" s="57"/>
      <c r="N267" s="57"/>
      <c r="O267" s="57"/>
      <c r="P267" s="57"/>
      <c r="Q267" s="57"/>
      <c r="R267" s="57"/>
      <c r="S267" s="57"/>
      <c r="T267" s="57"/>
      <c r="U267" s="57"/>
    </row>
    <row r="268" spans="2:21" x14ac:dyDescent="0.15">
      <c r="B268" s="57"/>
      <c r="C268" s="57"/>
      <c r="D268" s="57"/>
      <c r="E268" s="57"/>
      <c r="F268" s="57"/>
      <c r="G268" s="57"/>
      <c r="H268" s="57"/>
      <c r="I268" s="57"/>
      <c r="J268" s="57"/>
      <c r="K268" s="57"/>
      <c r="L268" s="57"/>
      <c r="M268" s="57"/>
      <c r="N268" s="57"/>
      <c r="O268" s="57"/>
      <c r="P268" s="57"/>
      <c r="Q268" s="57"/>
      <c r="R268" s="57"/>
      <c r="S268" s="57"/>
      <c r="T268" s="57"/>
      <c r="U268" s="57"/>
    </row>
    <row r="269" spans="2:21" x14ac:dyDescent="0.15">
      <c r="B269" s="57"/>
      <c r="C269" s="57"/>
      <c r="D269" s="57"/>
      <c r="E269" s="57"/>
      <c r="F269" s="57"/>
      <c r="G269" s="57"/>
      <c r="H269" s="57"/>
      <c r="I269" s="57"/>
      <c r="J269" s="57"/>
      <c r="K269" s="57"/>
      <c r="L269" s="57"/>
      <c r="M269" s="57"/>
      <c r="N269" s="57"/>
      <c r="O269" s="57"/>
      <c r="P269" s="57"/>
      <c r="Q269" s="57"/>
      <c r="R269" s="57"/>
      <c r="S269" s="57"/>
      <c r="T269" s="57"/>
      <c r="U269" s="57"/>
    </row>
    <row r="270" spans="2:21" x14ac:dyDescent="0.15">
      <c r="B270" s="57"/>
      <c r="C270" s="57"/>
      <c r="D270" s="57"/>
      <c r="E270" s="57"/>
      <c r="F270" s="57"/>
      <c r="G270" s="57"/>
      <c r="H270" s="57"/>
      <c r="I270" s="57"/>
      <c r="J270" s="57"/>
      <c r="K270" s="57"/>
      <c r="L270" s="57"/>
      <c r="M270" s="57"/>
      <c r="N270" s="57"/>
      <c r="O270" s="57"/>
      <c r="P270" s="57"/>
      <c r="Q270" s="57"/>
      <c r="R270" s="57"/>
      <c r="S270" s="57"/>
      <c r="T270" s="57"/>
      <c r="U270" s="57"/>
    </row>
    <row r="271" spans="2:21" x14ac:dyDescent="0.15">
      <c r="B271" s="57"/>
      <c r="C271" s="57"/>
      <c r="D271" s="57"/>
      <c r="E271" s="57"/>
      <c r="F271" s="57"/>
      <c r="G271" s="57"/>
      <c r="H271" s="57"/>
      <c r="I271" s="57"/>
      <c r="J271" s="57"/>
      <c r="K271" s="57"/>
      <c r="L271" s="57"/>
      <c r="M271" s="57"/>
      <c r="N271" s="57"/>
      <c r="O271" s="57"/>
      <c r="P271" s="57"/>
      <c r="Q271" s="57"/>
      <c r="R271" s="57"/>
      <c r="S271" s="57"/>
      <c r="T271" s="57"/>
      <c r="U271" s="57"/>
    </row>
    <row r="272" spans="2:21" x14ac:dyDescent="0.15">
      <c r="B272" s="57"/>
      <c r="C272" s="57"/>
      <c r="D272" s="57"/>
      <c r="E272" s="57"/>
      <c r="F272" s="57"/>
      <c r="G272" s="57"/>
      <c r="H272" s="57"/>
      <c r="I272" s="57"/>
      <c r="J272" s="57"/>
      <c r="K272" s="57"/>
      <c r="L272" s="57"/>
      <c r="M272" s="57"/>
      <c r="N272" s="57"/>
      <c r="O272" s="57"/>
      <c r="P272" s="57"/>
      <c r="Q272" s="57"/>
      <c r="R272" s="57"/>
      <c r="S272" s="57"/>
      <c r="T272" s="57"/>
      <c r="U272" s="57"/>
    </row>
    <row r="273" spans="2:21" x14ac:dyDescent="0.15">
      <c r="B273" s="57"/>
      <c r="C273" s="57"/>
      <c r="D273" s="57"/>
      <c r="E273" s="57"/>
      <c r="F273" s="57"/>
      <c r="G273" s="57"/>
      <c r="H273" s="57"/>
      <c r="I273" s="57"/>
      <c r="J273" s="57"/>
      <c r="K273" s="57"/>
      <c r="L273" s="57"/>
      <c r="M273" s="57"/>
      <c r="N273" s="57"/>
      <c r="O273" s="57"/>
      <c r="P273" s="57"/>
      <c r="Q273" s="57"/>
      <c r="R273" s="57"/>
      <c r="S273" s="57"/>
      <c r="T273" s="57"/>
      <c r="U273" s="57"/>
    </row>
    <row r="274" spans="2:21" x14ac:dyDescent="0.15">
      <c r="B274" s="57"/>
      <c r="C274" s="57"/>
      <c r="D274" s="57"/>
      <c r="E274" s="57"/>
      <c r="F274" s="57"/>
      <c r="G274" s="57"/>
      <c r="H274" s="57"/>
      <c r="I274" s="57"/>
      <c r="J274" s="57"/>
      <c r="K274" s="57"/>
      <c r="L274" s="57"/>
      <c r="M274" s="57"/>
      <c r="N274" s="57"/>
      <c r="O274" s="57"/>
      <c r="P274" s="57"/>
      <c r="Q274" s="57"/>
      <c r="R274" s="57"/>
      <c r="S274" s="57"/>
      <c r="T274" s="57"/>
      <c r="U274" s="57"/>
    </row>
    <row r="275" spans="2:21" x14ac:dyDescent="0.15">
      <c r="B275" s="57"/>
      <c r="C275" s="57"/>
      <c r="D275" s="57"/>
      <c r="E275" s="57"/>
      <c r="F275" s="57"/>
      <c r="G275" s="57"/>
      <c r="H275" s="57"/>
      <c r="I275" s="57"/>
      <c r="J275" s="57"/>
      <c r="K275" s="57"/>
      <c r="L275" s="57"/>
      <c r="M275" s="57"/>
      <c r="N275" s="57"/>
      <c r="O275" s="57"/>
      <c r="P275" s="57"/>
      <c r="Q275" s="57"/>
      <c r="R275" s="57"/>
      <c r="S275" s="57"/>
      <c r="T275" s="57"/>
      <c r="U275" s="57"/>
    </row>
    <row r="276" spans="2:21" x14ac:dyDescent="0.15">
      <c r="B276" s="57"/>
      <c r="C276" s="57"/>
      <c r="D276" s="57"/>
      <c r="E276" s="57"/>
      <c r="F276" s="57"/>
      <c r="G276" s="57"/>
      <c r="H276" s="57"/>
      <c r="I276" s="57"/>
      <c r="J276" s="57"/>
      <c r="K276" s="57"/>
      <c r="L276" s="57"/>
      <c r="M276" s="57"/>
      <c r="N276" s="57"/>
      <c r="O276" s="57"/>
      <c r="P276" s="57"/>
      <c r="Q276" s="57"/>
      <c r="R276" s="57"/>
      <c r="S276" s="57"/>
      <c r="T276" s="57"/>
      <c r="U276" s="57"/>
    </row>
    <row r="277" spans="2:21" x14ac:dyDescent="0.15">
      <c r="B277" s="57"/>
      <c r="C277" s="57"/>
      <c r="D277" s="57"/>
      <c r="E277" s="57"/>
      <c r="F277" s="57"/>
      <c r="G277" s="57"/>
      <c r="H277" s="57"/>
      <c r="I277" s="57"/>
      <c r="J277" s="57"/>
      <c r="K277" s="57"/>
      <c r="L277" s="57"/>
      <c r="M277" s="57"/>
      <c r="N277" s="57"/>
      <c r="O277" s="57"/>
      <c r="P277" s="57"/>
      <c r="Q277" s="57"/>
      <c r="R277" s="57"/>
      <c r="S277" s="57"/>
      <c r="T277" s="57"/>
      <c r="U277" s="57"/>
    </row>
    <row r="278" spans="2:21" x14ac:dyDescent="0.15">
      <c r="B278" s="57"/>
      <c r="C278" s="57"/>
      <c r="D278" s="57"/>
      <c r="E278" s="57"/>
      <c r="F278" s="57"/>
      <c r="G278" s="57"/>
      <c r="H278" s="57"/>
      <c r="I278" s="57"/>
      <c r="J278" s="57"/>
      <c r="K278" s="57"/>
      <c r="L278" s="57"/>
      <c r="M278" s="57"/>
      <c r="N278" s="57"/>
      <c r="O278" s="57"/>
      <c r="P278" s="57"/>
      <c r="Q278" s="57"/>
      <c r="R278" s="57"/>
      <c r="S278" s="57"/>
      <c r="T278" s="57"/>
      <c r="U278" s="57"/>
    </row>
    <row r="279" spans="2:21" x14ac:dyDescent="0.15">
      <c r="B279" s="57"/>
      <c r="C279" s="57"/>
      <c r="D279" s="57"/>
      <c r="E279" s="57"/>
      <c r="F279" s="57"/>
      <c r="G279" s="57"/>
      <c r="H279" s="57"/>
      <c r="I279" s="57"/>
      <c r="J279" s="57"/>
      <c r="K279" s="57"/>
      <c r="L279" s="57"/>
      <c r="M279" s="57"/>
      <c r="N279" s="57"/>
      <c r="O279" s="57"/>
      <c r="P279" s="57"/>
      <c r="Q279" s="57"/>
      <c r="R279" s="57"/>
      <c r="S279" s="57"/>
      <c r="T279" s="57"/>
      <c r="U279" s="57"/>
    </row>
    <row r="280" spans="2:21" x14ac:dyDescent="0.15">
      <c r="B280" s="57"/>
      <c r="C280" s="57"/>
      <c r="D280" s="57"/>
      <c r="E280" s="57"/>
      <c r="F280" s="57"/>
      <c r="G280" s="57"/>
      <c r="H280" s="57"/>
      <c r="I280" s="57"/>
      <c r="J280" s="57"/>
      <c r="K280" s="57"/>
      <c r="L280" s="57"/>
      <c r="M280" s="57"/>
      <c r="N280" s="57"/>
      <c r="O280" s="57"/>
      <c r="P280" s="57"/>
      <c r="Q280" s="57"/>
      <c r="R280" s="57"/>
      <c r="S280" s="57"/>
      <c r="T280" s="57"/>
      <c r="U280" s="57"/>
    </row>
    <row r="281" spans="2:21" x14ac:dyDescent="0.15">
      <c r="B281" s="57"/>
      <c r="C281" s="57"/>
      <c r="D281" s="57"/>
      <c r="E281" s="57"/>
      <c r="F281" s="57"/>
      <c r="G281" s="57"/>
      <c r="H281" s="57"/>
      <c r="I281" s="57"/>
      <c r="J281" s="57"/>
      <c r="K281" s="57"/>
      <c r="L281" s="57"/>
      <c r="M281" s="57"/>
      <c r="N281" s="57"/>
      <c r="O281" s="57"/>
      <c r="P281" s="57"/>
      <c r="Q281" s="57"/>
      <c r="R281" s="57"/>
      <c r="S281" s="57"/>
      <c r="T281" s="57"/>
      <c r="U281" s="57"/>
    </row>
    <row r="282" spans="2:21" x14ac:dyDescent="0.15">
      <c r="B282" s="57"/>
      <c r="C282" s="57"/>
      <c r="D282" s="57"/>
      <c r="E282" s="57"/>
      <c r="F282" s="57"/>
      <c r="G282" s="57"/>
      <c r="H282" s="57"/>
      <c r="I282" s="57"/>
      <c r="J282" s="57"/>
      <c r="K282" s="57"/>
      <c r="L282" s="57"/>
      <c r="M282" s="57"/>
      <c r="N282" s="57"/>
      <c r="O282" s="57"/>
      <c r="P282" s="57"/>
      <c r="Q282" s="57"/>
      <c r="R282" s="57"/>
      <c r="S282" s="57"/>
      <c r="T282" s="57"/>
      <c r="U282" s="57"/>
    </row>
    <row r="283" spans="2:21" x14ac:dyDescent="0.15">
      <c r="B283" s="57"/>
      <c r="C283" s="57"/>
      <c r="D283" s="57"/>
      <c r="E283" s="57"/>
      <c r="F283" s="57"/>
      <c r="G283" s="57"/>
      <c r="H283" s="57"/>
      <c r="I283" s="57"/>
      <c r="J283" s="57"/>
      <c r="K283" s="57"/>
      <c r="L283" s="57"/>
      <c r="M283" s="57"/>
      <c r="N283" s="57"/>
      <c r="O283" s="57"/>
      <c r="P283" s="57"/>
      <c r="Q283" s="57"/>
      <c r="R283" s="57"/>
      <c r="S283" s="57"/>
      <c r="T283" s="57"/>
      <c r="U283" s="57"/>
    </row>
    <row r="284" spans="2:21" x14ac:dyDescent="0.15">
      <c r="B284" s="57"/>
      <c r="C284" s="57"/>
      <c r="D284" s="57"/>
      <c r="E284" s="57"/>
      <c r="F284" s="57"/>
      <c r="G284" s="57"/>
      <c r="H284" s="57"/>
      <c r="I284" s="57"/>
      <c r="J284" s="57"/>
      <c r="K284" s="57"/>
      <c r="L284" s="57"/>
      <c r="M284" s="57"/>
      <c r="N284" s="57"/>
      <c r="O284" s="57"/>
      <c r="P284" s="57"/>
      <c r="Q284" s="57"/>
      <c r="R284" s="57"/>
      <c r="S284" s="57"/>
      <c r="T284" s="57"/>
      <c r="U284" s="57"/>
    </row>
    <row r="285" spans="2:21" x14ac:dyDescent="0.15">
      <c r="B285" s="57"/>
      <c r="C285" s="57"/>
      <c r="D285" s="57"/>
      <c r="E285" s="57"/>
      <c r="F285" s="57"/>
      <c r="G285" s="57"/>
      <c r="H285" s="57"/>
      <c r="I285" s="57"/>
      <c r="J285" s="57"/>
      <c r="K285" s="57"/>
      <c r="L285" s="57"/>
      <c r="M285" s="57"/>
      <c r="N285" s="57"/>
      <c r="O285" s="57"/>
      <c r="P285" s="57"/>
      <c r="Q285" s="57"/>
      <c r="R285" s="57"/>
      <c r="S285" s="57"/>
      <c r="T285" s="57"/>
      <c r="U285" s="57"/>
    </row>
    <row r="286" spans="2:21" x14ac:dyDescent="0.15">
      <c r="B286" s="57"/>
      <c r="C286" s="57"/>
      <c r="D286" s="57"/>
      <c r="E286" s="57"/>
      <c r="F286" s="57"/>
      <c r="G286" s="57"/>
      <c r="H286" s="57"/>
      <c r="I286" s="57"/>
      <c r="J286" s="57"/>
      <c r="K286" s="57"/>
      <c r="L286" s="57"/>
      <c r="M286" s="57"/>
      <c r="N286" s="57"/>
      <c r="O286" s="57"/>
      <c r="P286" s="57"/>
      <c r="Q286" s="57"/>
      <c r="R286" s="57"/>
      <c r="S286" s="57"/>
      <c r="T286" s="57"/>
      <c r="U286" s="57"/>
    </row>
    <row r="287" spans="2:21" x14ac:dyDescent="0.15">
      <c r="B287" s="57"/>
      <c r="C287" s="57"/>
      <c r="D287" s="57"/>
      <c r="E287" s="57"/>
      <c r="F287" s="57"/>
      <c r="G287" s="57"/>
      <c r="H287" s="57"/>
      <c r="I287" s="57"/>
      <c r="J287" s="57"/>
      <c r="K287" s="57"/>
      <c r="L287" s="57"/>
      <c r="M287" s="57"/>
      <c r="N287" s="57"/>
      <c r="O287" s="57"/>
      <c r="P287" s="57"/>
      <c r="Q287" s="57"/>
      <c r="R287" s="57"/>
      <c r="S287" s="57"/>
      <c r="T287" s="57"/>
      <c r="U287" s="57"/>
    </row>
    <row r="288" spans="2:21" x14ac:dyDescent="0.15">
      <c r="B288" s="57"/>
      <c r="C288" s="57"/>
      <c r="D288" s="57"/>
      <c r="E288" s="57"/>
      <c r="F288" s="57"/>
      <c r="G288" s="57"/>
      <c r="H288" s="57"/>
      <c r="I288" s="57"/>
      <c r="J288" s="57"/>
      <c r="K288" s="57"/>
      <c r="L288" s="57"/>
      <c r="M288" s="57"/>
      <c r="N288" s="57"/>
      <c r="O288" s="57"/>
      <c r="P288" s="57"/>
      <c r="Q288" s="57"/>
      <c r="R288" s="57"/>
      <c r="S288" s="57"/>
      <c r="T288" s="57"/>
      <c r="U288" s="57"/>
    </row>
    <row r="289" spans="2:21" x14ac:dyDescent="0.15">
      <c r="B289" s="57"/>
      <c r="C289" s="57"/>
      <c r="D289" s="57"/>
      <c r="E289" s="57"/>
      <c r="F289" s="57"/>
      <c r="G289" s="57"/>
      <c r="H289" s="57"/>
      <c r="I289" s="57"/>
      <c r="J289" s="57"/>
      <c r="K289" s="57"/>
      <c r="L289" s="57"/>
      <c r="M289" s="57"/>
      <c r="N289" s="57"/>
      <c r="O289" s="57"/>
      <c r="P289" s="57"/>
      <c r="Q289" s="57"/>
      <c r="R289" s="57"/>
      <c r="S289" s="57"/>
      <c r="T289" s="57"/>
      <c r="U289" s="57"/>
    </row>
    <row r="290" spans="2:21" x14ac:dyDescent="0.15"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  <c r="O290" s="57"/>
      <c r="P290" s="57"/>
      <c r="Q290" s="57"/>
      <c r="R290" s="57"/>
      <c r="S290" s="57"/>
      <c r="T290" s="57"/>
      <c r="U290" s="57"/>
    </row>
    <row r="291" spans="2:21" x14ac:dyDescent="0.15">
      <c r="B291" s="57"/>
      <c r="C291" s="57"/>
      <c r="D291" s="57"/>
      <c r="E291" s="57"/>
      <c r="F291" s="57"/>
      <c r="G291" s="57"/>
      <c r="H291" s="57"/>
      <c r="I291" s="57"/>
      <c r="J291" s="57"/>
      <c r="K291" s="57"/>
      <c r="L291" s="57"/>
      <c r="M291" s="57"/>
      <c r="N291" s="57"/>
      <c r="O291" s="57"/>
      <c r="P291" s="57"/>
      <c r="Q291" s="57"/>
      <c r="R291" s="57"/>
      <c r="S291" s="57"/>
      <c r="T291" s="57"/>
      <c r="U291" s="57"/>
    </row>
    <row r="292" spans="2:21" x14ac:dyDescent="0.15">
      <c r="B292" s="57"/>
      <c r="C292" s="57"/>
      <c r="D292" s="57"/>
      <c r="E292" s="57"/>
      <c r="F292" s="57"/>
      <c r="G292" s="57"/>
      <c r="H292" s="57"/>
      <c r="I292" s="57"/>
      <c r="J292" s="57"/>
      <c r="K292" s="57"/>
      <c r="L292" s="57"/>
      <c r="M292" s="57"/>
      <c r="N292" s="57"/>
      <c r="O292" s="57"/>
      <c r="P292" s="57"/>
      <c r="Q292" s="57"/>
      <c r="R292" s="57"/>
      <c r="S292" s="57"/>
      <c r="T292" s="57"/>
      <c r="U292" s="57"/>
    </row>
    <row r="293" spans="2:21" x14ac:dyDescent="0.15">
      <c r="B293" s="57"/>
      <c r="C293" s="57"/>
      <c r="D293" s="57"/>
      <c r="E293" s="57"/>
      <c r="F293" s="57"/>
      <c r="G293" s="57"/>
      <c r="H293" s="57"/>
      <c r="I293" s="57"/>
      <c r="J293" s="57"/>
      <c r="K293" s="57"/>
      <c r="L293" s="57"/>
      <c r="M293" s="57"/>
      <c r="N293" s="57"/>
      <c r="O293" s="57"/>
      <c r="P293" s="57"/>
      <c r="Q293" s="57"/>
      <c r="R293" s="57"/>
      <c r="S293" s="57"/>
      <c r="T293" s="57"/>
      <c r="U293" s="57"/>
    </row>
    <row r="294" spans="2:21" x14ac:dyDescent="0.15">
      <c r="B294" s="57"/>
      <c r="C294" s="57"/>
      <c r="D294" s="57"/>
      <c r="E294" s="57"/>
      <c r="F294" s="57"/>
      <c r="G294" s="57"/>
      <c r="H294" s="57"/>
      <c r="I294" s="57"/>
      <c r="J294" s="57"/>
      <c r="K294" s="57"/>
      <c r="L294" s="57"/>
      <c r="M294" s="57"/>
      <c r="N294" s="57"/>
      <c r="O294" s="57"/>
      <c r="P294" s="57"/>
      <c r="Q294" s="57"/>
      <c r="R294" s="57"/>
      <c r="S294" s="57"/>
      <c r="T294" s="57"/>
      <c r="U294" s="57"/>
    </row>
    <row r="295" spans="2:21" x14ac:dyDescent="0.15">
      <c r="B295" s="57"/>
      <c r="C295" s="57"/>
      <c r="D295" s="57"/>
      <c r="E295" s="57"/>
      <c r="F295" s="57"/>
      <c r="G295" s="57"/>
      <c r="H295" s="57"/>
      <c r="I295" s="57"/>
      <c r="J295" s="57"/>
      <c r="K295" s="57"/>
      <c r="L295" s="57"/>
      <c r="M295" s="57"/>
      <c r="N295" s="57"/>
      <c r="O295" s="57"/>
      <c r="P295" s="57"/>
      <c r="Q295" s="57"/>
      <c r="R295" s="57"/>
      <c r="S295" s="57"/>
      <c r="T295" s="57"/>
      <c r="U295" s="57"/>
    </row>
    <row r="296" spans="2:21" x14ac:dyDescent="0.15">
      <c r="B296" s="57"/>
      <c r="C296" s="57"/>
      <c r="D296" s="57"/>
      <c r="E296" s="57"/>
      <c r="F296" s="57"/>
      <c r="G296" s="57"/>
      <c r="H296" s="57"/>
      <c r="I296" s="57"/>
      <c r="J296" s="57"/>
      <c r="K296" s="57"/>
      <c r="L296" s="57"/>
      <c r="M296" s="57"/>
      <c r="N296" s="57"/>
      <c r="O296" s="57"/>
      <c r="P296" s="57"/>
      <c r="Q296" s="57"/>
      <c r="R296" s="57"/>
      <c r="S296" s="57"/>
      <c r="T296" s="57"/>
      <c r="U296" s="57"/>
    </row>
    <row r="297" spans="2:21" x14ac:dyDescent="0.15">
      <c r="B297" s="57"/>
      <c r="C297" s="57"/>
      <c r="D297" s="57"/>
      <c r="E297" s="57"/>
      <c r="F297" s="57"/>
      <c r="G297" s="57"/>
      <c r="H297" s="57"/>
      <c r="I297" s="57"/>
      <c r="J297" s="57"/>
      <c r="K297" s="57"/>
      <c r="L297" s="57"/>
      <c r="M297" s="57"/>
      <c r="N297" s="57"/>
      <c r="O297" s="57"/>
      <c r="P297" s="57"/>
      <c r="Q297" s="57"/>
      <c r="R297" s="57"/>
      <c r="S297" s="57"/>
      <c r="T297" s="57"/>
      <c r="U297" s="57"/>
    </row>
    <row r="298" spans="2:21" x14ac:dyDescent="0.15">
      <c r="B298" s="57"/>
      <c r="C298" s="57"/>
      <c r="D298" s="57"/>
      <c r="E298" s="57"/>
      <c r="F298" s="57"/>
      <c r="G298" s="57"/>
      <c r="H298" s="57"/>
      <c r="I298" s="57"/>
      <c r="J298" s="57"/>
      <c r="K298" s="57"/>
      <c r="L298" s="57"/>
      <c r="M298" s="57"/>
      <c r="N298" s="57"/>
      <c r="O298" s="57"/>
      <c r="P298" s="57"/>
      <c r="Q298" s="57"/>
      <c r="R298" s="57"/>
      <c r="S298" s="57"/>
      <c r="T298" s="57"/>
      <c r="U298" s="57"/>
    </row>
    <row r="299" spans="2:21" x14ac:dyDescent="0.15">
      <c r="B299" s="57"/>
      <c r="C299" s="57"/>
      <c r="D299" s="57"/>
      <c r="E299" s="57"/>
      <c r="F299" s="57"/>
      <c r="G299" s="57"/>
      <c r="H299" s="57"/>
      <c r="I299" s="57"/>
      <c r="J299" s="57"/>
      <c r="K299" s="57"/>
      <c r="L299" s="57"/>
      <c r="M299" s="57"/>
      <c r="N299" s="57"/>
      <c r="O299" s="57"/>
      <c r="P299" s="57"/>
      <c r="Q299" s="57"/>
      <c r="R299" s="57"/>
      <c r="S299" s="57"/>
      <c r="T299" s="57"/>
      <c r="U299" s="57"/>
    </row>
    <row r="300" spans="2:21" x14ac:dyDescent="0.15">
      <c r="B300" s="57"/>
      <c r="C300" s="57"/>
      <c r="D300" s="57"/>
      <c r="E300" s="57"/>
      <c r="F300" s="57"/>
      <c r="G300" s="57"/>
      <c r="H300" s="57"/>
      <c r="I300" s="57"/>
      <c r="J300" s="57"/>
      <c r="K300" s="57"/>
      <c r="L300" s="57"/>
      <c r="M300" s="57"/>
      <c r="N300" s="57"/>
      <c r="O300" s="57"/>
      <c r="P300" s="57"/>
      <c r="Q300" s="57"/>
      <c r="R300" s="57"/>
      <c r="S300" s="57"/>
      <c r="T300" s="57"/>
      <c r="U300" s="57"/>
    </row>
    <row r="301" spans="2:21" x14ac:dyDescent="0.15">
      <c r="B301" s="57"/>
      <c r="C301" s="57"/>
      <c r="D301" s="57"/>
      <c r="E301" s="57"/>
      <c r="F301" s="57"/>
      <c r="G301" s="57"/>
      <c r="H301" s="57"/>
      <c r="I301" s="57"/>
      <c r="J301" s="57"/>
      <c r="K301" s="57"/>
      <c r="L301" s="57"/>
      <c r="M301" s="57"/>
      <c r="N301" s="57"/>
      <c r="O301" s="57"/>
      <c r="P301" s="57"/>
      <c r="Q301" s="57"/>
      <c r="R301" s="57"/>
      <c r="S301" s="57"/>
      <c r="T301" s="57"/>
      <c r="U301" s="57"/>
    </row>
    <row r="302" spans="2:21" x14ac:dyDescent="0.15">
      <c r="B302" s="57"/>
      <c r="C302" s="57"/>
      <c r="D302" s="57"/>
      <c r="E302" s="57"/>
      <c r="F302" s="57"/>
      <c r="G302" s="57"/>
      <c r="H302" s="57"/>
      <c r="I302" s="57"/>
      <c r="J302" s="57"/>
      <c r="K302" s="57"/>
      <c r="L302" s="57"/>
      <c r="M302" s="57"/>
      <c r="N302" s="57"/>
      <c r="O302" s="57"/>
      <c r="P302" s="57"/>
      <c r="Q302" s="57"/>
      <c r="R302" s="57"/>
      <c r="S302" s="57"/>
      <c r="T302" s="57"/>
      <c r="U302" s="57"/>
    </row>
    <row r="303" spans="2:21" x14ac:dyDescent="0.15">
      <c r="B303" s="57"/>
      <c r="C303" s="57"/>
      <c r="D303" s="57"/>
      <c r="E303" s="57"/>
      <c r="F303" s="57"/>
      <c r="G303" s="57"/>
      <c r="H303" s="57"/>
      <c r="I303" s="57"/>
      <c r="J303" s="57"/>
      <c r="K303" s="57"/>
      <c r="L303" s="57"/>
      <c r="M303" s="57"/>
      <c r="N303" s="57"/>
      <c r="O303" s="57"/>
      <c r="P303" s="57"/>
      <c r="Q303" s="57"/>
      <c r="R303" s="57"/>
      <c r="S303" s="57"/>
      <c r="T303" s="57"/>
      <c r="U303" s="57"/>
    </row>
    <row r="304" spans="2:21" x14ac:dyDescent="0.15">
      <c r="B304" s="57"/>
      <c r="C304" s="57"/>
      <c r="D304" s="57"/>
      <c r="E304" s="57"/>
      <c r="F304" s="57"/>
      <c r="G304" s="57"/>
      <c r="H304" s="57"/>
      <c r="I304" s="57"/>
      <c r="J304" s="57"/>
      <c r="K304" s="57"/>
      <c r="L304" s="57"/>
      <c r="M304" s="57"/>
      <c r="N304" s="57"/>
      <c r="O304" s="57"/>
      <c r="P304" s="57"/>
      <c r="Q304" s="57"/>
      <c r="R304" s="57"/>
      <c r="S304" s="57"/>
      <c r="T304" s="57"/>
      <c r="U304" s="57"/>
    </row>
    <row r="305" spans="2:21" x14ac:dyDescent="0.15">
      <c r="B305" s="57"/>
      <c r="C305" s="57"/>
      <c r="D305" s="57"/>
      <c r="E305" s="57"/>
      <c r="F305" s="57"/>
      <c r="G305" s="57"/>
      <c r="H305" s="57"/>
      <c r="I305" s="57"/>
      <c r="J305" s="57"/>
      <c r="K305" s="57"/>
      <c r="L305" s="57"/>
      <c r="M305" s="57"/>
      <c r="N305" s="57"/>
      <c r="O305" s="57"/>
      <c r="P305" s="57"/>
      <c r="Q305" s="57"/>
      <c r="R305" s="57"/>
      <c r="S305" s="57"/>
      <c r="T305" s="57"/>
      <c r="U305" s="57"/>
    </row>
    <row r="306" spans="2:21" x14ac:dyDescent="0.15">
      <c r="B306" s="57"/>
      <c r="C306" s="57"/>
      <c r="D306" s="57"/>
      <c r="E306" s="57"/>
      <c r="F306" s="57"/>
      <c r="G306" s="57"/>
      <c r="H306" s="57"/>
      <c r="I306" s="57"/>
      <c r="J306" s="57"/>
      <c r="K306" s="57"/>
      <c r="L306" s="57"/>
      <c r="M306" s="57"/>
      <c r="N306" s="57"/>
      <c r="O306" s="57"/>
      <c r="P306" s="57"/>
      <c r="Q306" s="57"/>
      <c r="R306" s="57"/>
      <c r="S306" s="57"/>
      <c r="T306" s="57"/>
      <c r="U306" s="57"/>
    </row>
    <row r="307" spans="2:21" x14ac:dyDescent="0.15">
      <c r="B307" s="57"/>
      <c r="C307" s="57"/>
      <c r="D307" s="57"/>
      <c r="E307" s="57"/>
      <c r="F307" s="57"/>
      <c r="G307" s="57"/>
      <c r="H307" s="57"/>
      <c r="I307" s="57"/>
      <c r="J307" s="57"/>
      <c r="K307" s="57"/>
      <c r="L307" s="57"/>
      <c r="M307" s="57"/>
      <c r="N307" s="57"/>
      <c r="O307" s="57"/>
      <c r="P307" s="57"/>
      <c r="Q307" s="57"/>
      <c r="R307" s="57"/>
      <c r="S307" s="57"/>
      <c r="T307" s="57"/>
      <c r="U307" s="57"/>
    </row>
    <row r="308" spans="2:21" x14ac:dyDescent="0.15">
      <c r="B308" s="57"/>
      <c r="C308" s="57"/>
      <c r="D308" s="57"/>
      <c r="E308" s="57"/>
      <c r="F308" s="57"/>
      <c r="G308" s="57"/>
      <c r="H308" s="57"/>
      <c r="I308" s="57"/>
      <c r="J308" s="57"/>
      <c r="K308" s="57"/>
      <c r="L308" s="57"/>
      <c r="M308" s="57"/>
      <c r="N308" s="57"/>
      <c r="O308" s="57"/>
      <c r="P308" s="57"/>
      <c r="Q308" s="57"/>
      <c r="R308" s="57"/>
      <c r="S308" s="57"/>
      <c r="T308" s="57"/>
      <c r="U308" s="57"/>
    </row>
    <row r="309" spans="2:21" x14ac:dyDescent="0.15">
      <c r="B309" s="57"/>
      <c r="C309" s="57"/>
      <c r="D309" s="57"/>
      <c r="E309" s="57"/>
      <c r="F309" s="57"/>
      <c r="G309" s="57"/>
      <c r="H309" s="57"/>
      <c r="I309" s="57"/>
      <c r="J309" s="57"/>
      <c r="K309" s="57"/>
      <c r="L309" s="57"/>
      <c r="M309" s="57"/>
      <c r="N309" s="57"/>
      <c r="O309" s="57"/>
      <c r="P309" s="57"/>
      <c r="Q309" s="57"/>
      <c r="R309" s="57"/>
      <c r="S309" s="57"/>
      <c r="T309" s="57"/>
      <c r="U309" s="57"/>
    </row>
    <row r="310" spans="2:21" x14ac:dyDescent="0.15">
      <c r="B310" s="57"/>
      <c r="C310" s="57"/>
      <c r="D310" s="57"/>
      <c r="E310" s="57"/>
      <c r="F310" s="57"/>
      <c r="G310" s="57"/>
      <c r="H310" s="57"/>
      <c r="I310" s="57"/>
      <c r="J310" s="57"/>
      <c r="K310" s="57"/>
      <c r="L310" s="57"/>
      <c r="M310" s="57"/>
      <c r="N310" s="57"/>
      <c r="O310" s="57"/>
      <c r="P310" s="57"/>
      <c r="Q310" s="57"/>
      <c r="R310" s="57"/>
      <c r="S310" s="57"/>
      <c r="T310" s="57"/>
      <c r="U310" s="57"/>
    </row>
    <row r="311" spans="2:21" x14ac:dyDescent="0.15">
      <c r="B311" s="57"/>
      <c r="C311" s="57"/>
      <c r="D311" s="57"/>
      <c r="E311" s="57"/>
      <c r="F311" s="57"/>
      <c r="G311" s="57"/>
      <c r="H311" s="57"/>
      <c r="I311" s="57"/>
      <c r="J311" s="57"/>
      <c r="K311" s="57"/>
      <c r="L311" s="57"/>
      <c r="M311" s="57"/>
      <c r="N311" s="57"/>
      <c r="O311" s="57"/>
      <c r="P311" s="57"/>
      <c r="Q311" s="57"/>
      <c r="R311" s="57"/>
      <c r="S311" s="57"/>
      <c r="T311" s="57"/>
      <c r="U311" s="57"/>
    </row>
    <row r="312" spans="2:21" x14ac:dyDescent="0.15">
      <c r="B312" s="57"/>
      <c r="C312" s="57"/>
      <c r="D312" s="57"/>
      <c r="E312" s="57"/>
      <c r="F312" s="57"/>
      <c r="G312" s="57"/>
      <c r="H312" s="57"/>
      <c r="I312" s="57"/>
      <c r="J312" s="57"/>
      <c r="K312" s="57"/>
      <c r="L312" s="57"/>
      <c r="M312" s="57"/>
      <c r="N312" s="57"/>
      <c r="O312" s="57"/>
      <c r="P312" s="57"/>
      <c r="Q312" s="57"/>
      <c r="R312" s="57"/>
      <c r="S312" s="57"/>
      <c r="T312" s="57"/>
      <c r="U312" s="57"/>
    </row>
    <row r="313" spans="2:21" x14ac:dyDescent="0.15">
      <c r="B313" s="57"/>
      <c r="C313" s="57"/>
      <c r="D313" s="57"/>
      <c r="E313" s="57"/>
      <c r="F313" s="57"/>
      <c r="G313" s="57"/>
      <c r="H313" s="57"/>
      <c r="I313" s="57"/>
      <c r="J313" s="57"/>
      <c r="K313" s="57"/>
      <c r="L313" s="57"/>
      <c r="M313" s="57"/>
      <c r="N313" s="57"/>
      <c r="O313" s="57"/>
      <c r="P313" s="57"/>
      <c r="Q313" s="57"/>
      <c r="R313" s="57"/>
      <c r="S313" s="57"/>
      <c r="T313" s="57"/>
      <c r="U313" s="57"/>
    </row>
    <row r="314" spans="2:21" x14ac:dyDescent="0.15">
      <c r="B314" s="57"/>
      <c r="C314" s="57"/>
      <c r="D314" s="57"/>
      <c r="E314" s="57"/>
      <c r="F314" s="57"/>
      <c r="G314" s="57"/>
      <c r="H314" s="57"/>
      <c r="I314" s="57"/>
      <c r="J314" s="57"/>
      <c r="K314" s="57"/>
      <c r="L314" s="57"/>
      <c r="M314" s="57"/>
      <c r="N314" s="57"/>
      <c r="O314" s="57"/>
      <c r="P314" s="57"/>
      <c r="Q314" s="57"/>
      <c r="R314" s="57"/>
      <c r="S314" s="57"/>
      <c r="T314" s="57"/>
      <c r="U314" s="57"/>
    </row>
    <row r="315" spans="2:21" x14ac:dyDescent="0.15">
      <c r="B315" s="57"/>
      <c r="C315" s="57"/>
      <c r="D315" s="57"/>
      <c r="E315" s="57"/>
      <c r="F315" s="57"/>
      <c r="G315" s="57"/>
      <c r="H315" s="57"/>
      <c r="I315" s="57"/>
      <c r="J315" s="57"/>
      <c r="K315" s="57"/>
      <c r="L315" s="57"/>
      <c r="M315" s="57"/>
      <c r="N315" s="57"/>
      <c r="O315" s="57"/>
      <c r="P315" s="57"/>
      <c r="Q315" s="57"/>
      <c r="R315" s="57"/>
      <c r="S315" s="57"/>
      <c r="T315" s="57"/>
      <c r="U315" s="57"/>
    </row>
    <row r="316" spans="2:21" x14ac:dyDescent="0.15">
      <c r="B316" s="57"/>
      <c r="C316" s="57"/>
      <c r="D316" s="57"/>
      <c r="E316" s="57"/>
      <c r="F316" s="57"/>
      <c r="G316" s="57"/>
      <c r="H316" s="57"/>
      <c r="I316" s="57"/>
      <c r="J316" s="57"/>
      <c r="K316" s="57"/>
      <c r="L316" s="57"/>
      <c r="M316" s="57"/>
      <c r="N316" s="57"/>
      <c r="O316" s="57"/>
      <c r="P316" s="57"/>
      <c r="Q316" s="57"/>
      <c r="R316" s="57"/>
      <c r="S316" s="57"/>
      <c r="T316" s="57"/>
      <c r="U316" s="57"/>
    </row>
    <row r="317" spans="2:21" x14ac:dyDescent="0.15">
      <c r="B317" s="57"/>
      <c r="C317" s="57"/>
      <c r="D317" s="57"/>
      <c r="E317" s="57"/>
      <c r="F317" s="57"/>
      <c r="G317" s="57"/>
      <c r="H317" s="57"/>
      <c r="I317" s="57"/>
      <c r="J317" s="57"/>
      <c r="K317" s="57"/>
      <c r="L317" s="57"/>
      <c r="M317" s="57"/>
      <c r="N317" s="57"/>
      <c r="O317" s="57"/>
      <c r="P317" s="57"/>
      <c r="Q317" s="57"/>
      <c r="R317" s="57"/>
      <c r="S317" s="57"/>
      <c r="T317" s="57"/>
      <c r="U317" s="57"/>
    </row>
    <row r="318" spans="2:21" x14ac:dyDescent="0.15">
      <c r="B318" s="57"/>
      <c r="C318" s="57"/>
      <c r="D318" s="57"/>
      <c r="E318" s="57"/>
      <c r="F318" s="57"/>
      <c r="G318" s="57"/>
      <c r="H318" s="57"/>
      <c r="I318" s="57"/>
      <c r="J318" s="57"/>
      <c r="K318" s="57"/>
      <c r="L318" s="57"/>
      <c r="M318" s="57"/>
      <c r="N318" s="57"/>
      <c r="O318" s="57"/>
      <c r="P318" s="57"/>
      <c r="Q318" s="57"/>
      <c r="R318" s="57"/>
      <c r="S318" s="57"/>
      <c r="T318" s="57"/>
      <c r="U318" s="57"/>
    </row>
    <row r="319" spans="2:21" x14ac:dyDescent="0.15">
      <c r="B319" s="57"/>
      <c r="C319" s="57"/>
      <c r="D319" s="57"/>
      <c r="E319" s="57"/>
      <c r="F319" s="57"/>
      <c r="G319" s="57"/>
      <c r="H319" s="57"/>
      <c r="I319" s="57"/>
      <c r="J319" s="57"/>
      <c r="K319" s="57"/>
      <c r="L319" s="57"/>
      <c r="M319" s="57"/>
      <c r="N319" s="57"/>
      <c r="O319" s="57"/>
      <c r="P319" s="57"/>
      <c r="Q319" s="57"/>
      <c r="R319" s="57"/>
      <c r="S319" s="57"/>
      <c r="T319" s="57"/>
      <c r="U319" s="57"/>
    </row>
    <row r="320" spans="2:21" x14ac:dyDescent="0.15">
      <c r="B320" s="57"/>
      <c r="C320" s="57"/>
      <c r="D320" s="57"/>
      <c r="E320" s="57"/>
      <c r="F320" s="57"/>
      <c r="G320" s="57"/>
      <c r="H320" s="57"/>
      <c r="I320" s="57"/>
      <c r="J320" s="57"/>
      <c r="K320" s="57"/>
      <c r="L320" s="57"/>
      <c r="M320" s="57"/>
      <c r="N320" s="57"/>
      <c r="O320" s="57"/>
      <c r="P320" s="57"/>
      <c r="Q320" s="57"/>
      <c r="R320" s="57"/>
      <c r="S320" s="57"/>
      <c r="T320" s="57"/>
      <c r="U320" s="57"/>
    </row>
    <row r="321" spans="2:21" x14ac:dyDescent="0.15">
      <c r="B321" s="57"/>
      <c r="C321" s="57"/>
      <c r="D321" s="57"/>
      <c r="E321" s="57"/>
      <c r="F321" s="57"/>
      <c r="G321" s="57"/>
      <c r="H321" s="57"/>
      <c r="I321" s="57"/>
      <c r="J321" s="57"/>
      <c r="K321" s="57"/>
      <c r="L321" s="57"/>
      <c r="M321" s="57"/>
      <c r="N321" s="57"/>
      <c r="O321" s="57"/>
      <c r="P321" s="57"/>
      <c r="Q321" s="57"/>
      <c r="R321" s="57"/>
      <c r="S321" s="57"/>
      <c r="T321" s="57"/>
      <c r="U321" s="57"/>
    </row>
    <row r="322" spans="2:21" x14ac:dyDescent="0.15">
      <c r="B322" s="57"/>
      <c r="C322" s="57"/>
      <c r="D322" s="57"/>
      <c r="E322" s="57"/>
      <c r="F322" s="57"/>
      <c r="G322" s="57"/>
      <c r="H322" s="57"/>
      <c r="I322" s="57"/>
      <c r="J322" s="57"/>
      <c r="K322" s="57"/>
      <c r="L322" s="57"/>
      <c r="M322" s="57"/>
      <c r="N322" s="57"/>
      <c r="O322" s="57"/>
      <c r="P322" s="57"/>
      <c r="Q322" s="57"/>
      <c r="R322" s="57"/>
      <c r="S322" s="57"/>
      <c r="T322" s="57"/>
      <c r="U322" s="57"/>
    </row>
    <row r="323" spans="2:21" x14ac:dyDescent="0.15">
      <c r="B323" s="57"/>
      <c r="C323" s="57"/>
      <c r="D323" s="57"/>
      <c r="E323" s="57"/>
      <c r="F323" s="57"/>
      <c r="G323" s="57"/>
      <c r="H323" s="57"/>
      <c r="I323" s="57"/>
      <c r="J323" s="57"/>
      <c r="K323" s="57"/>
      <c r="L323" s="57"/>
      <c r="M323" s="57"/>
      <c r="N323" s="57"/>
      <c r="O323" s="57"/>
      <c r="P323" s="57"/>
      <c r="Q323" s="57"/>
      <c r="R323" s="57"/>
      <c r="S323" s="57"/>
      <c r="T323" s="57"/>
      <c r="U323" s="57"/>
    </row>
    <row r="324" spans="2:21" x14ac:dyDescent="0.15">
      <c r="B324" s="57"/>
      <c r="C324" s="57"/>
      <c r="D324" s="57"/>
      <c r="E324" s="57"/>
      <c r="F324" s="57"/>
      <c r="G324" s="57"/>
      <c r="H324" s="57"/>
      <c r="I324" s="57"/>
      <c r="J324" s="57"/>
      <c r="K324" s="57"/>
      <c r="L324" s="57"/>
      <c r="M324" s="57"/>
      <c r="N324" s="57"/>
      <c r="O324" s="57"/>
      <c r="P324" s="57"/>
      <c r="Q324" s="57"/>
      <c r="R324" s="57"/>
      <c r="S324" s="57"/>
      <c r="T324" s="57"/>
      <c r="U324" s="57"/>
    </row>
    <row r="325" spans="2:21" x14ac:dyDescent="0.15">
      <c r="B325" s="57"/>
      <c r="C325" s="57"/>
      <c r="D325" s="57"/>
      <c r="E325" s="57"/>
      <c r="F325" s="57"/>
      <c r="G325" s="57"/>
      <c r="H325" s="57"/>
      <c r="I325" s="57"/>
      <c r="J325" s="57"/>
      <c r="K325" s="57"/>
      <c r="L325" s="57"/>
      <c r="M325" s="57"/>
      <c r="N325" s="57"/>
      <c r="O325" s="57"/>
      <c r="P325" s="57"/>
      <c r="Q325" s="57"/>
      <c r="R325" s="57"/>
      <c r="S325" s="57"/>
      <c r="T325" s="57"/>
      <c r="U325" s="57"/>
    </row>
    <row r="326" spans="2:21" x14ac:dyDescent="0.15">
      <c r="B326" s="57"/>
      <c r="C326" s="57"/>
      <c r="D326" s="57"/>
      <c r="E326" s="57"/>
      <c r="F326" s="57"/>
      <c r="G326" s="57"/>
      <c r="H326" s="57"/>
      <c r="I326" s="57"/>
      <c r="J326" s="57"/>
      <c r="K326" s="57"/>
      <c r="L326" s="57"/>
      <c r="M326" s="57"/>
      <c r="N326" s="57"/>
      <c r="O326" s="57"/>
      <c r="P326" s="57"/>
      <c r="Q326" s="57"/>
      <c r="R326" s="57"/>
      <c r="S326" s="57"/>
      <c r="T326" s="57"/>
      <c r="U326" s="57"/>
    </row>
    <row r="327" spans="2:21" x14ac:dyDescent="0.15">
      <c r="B327" s="57"/>
      <c r="C327" s="57"/>
      <c r="D327" s="57"/>
      <c r="E327" s="57"/>
      <c r="F327" s="57"/>
      <c r="G327" s="57"/>
      <c r="H327" s="57"/>
      <c r="I327" s="57"/>
      <c r="J327" s="57"/>
      <c r="K327" s="57"/>
      <c r="L327" s="57"/>
      <c r="M327" s="57"/>
      <c r="N327" s="57"/>
      <c r="O327" s="57"/>
      <c r="P327" s="57"/>
      <c r="Q327" s="57"/>
      <c r="R327" s="57"/>
      <c r="S327" s="57"/>
      <c r="T327" s="57"/>
      <c r="U327" s="57"/>
    </row>
    <row r="328" spans="2:21" x14ac:dyDescent="0.15">
      <c r="B328" s="57"/>
      <c r="C328" s="57"/>
      <c r="D328" s="57"/>
      <c r="E328" s="57"/>
      <c r="F328" s="57"/>
      <c r="G328" s="57"/>
      <c r="H328" s="57"/>
      <c r="I328" s="57"/>
      <c r="J328" s="57"/>
      <c r="K328" s="57"/>
      <c r="L328" s="57"/>
      <c r="M328" s="57"/>
      <c r="N328" s="57"/>
      <c r="O328" s="57"/>
      <c r="P328" s="57"/>
      <c r="Q328" s="57"/>
      <c r="R328" s="57"/>
      <c r="S328" s="57"/>
      <c r="T328" s="57"/>
      <c r="U328" s="57"/>
    </row>
    <row r="329" spans="2:21" x14ac:dyDescent="0.15">
      <c r="B329" s="57"/>
      <c r="C329" s="57"/>
      <c r="D329" s="57"/>
      <c r="E329" s="57"/>
      <c r="F329" s="57"/>
      <c r="G329" s="57"/>
      <c r="H329" s="57"/>
      <c r="I329" s="57"/>
      <c r="J329" s="57"/>
      <c r="K329" s="57"/>
      <c r="L329" s="57"/>
      <c r="M329" s="57"/>
      <c r="N329" s="57"/>
      <c r="O329" s="57"/>
      <c r="P329" s="57"/>
      <c r="Q329" s="57"/>
      <c r="R329" s="57"/>
      <c r="S329" s="57"/>
      <c r="T329" s="57"/>
      <c r="U329" s="57"/>
    </row>
    <row r="330" spans="2:21" x14ac:dyDescent="0.15">
      <c r="B330" s="57"/>
      <c r="C330" s="57"/>
      <c r="D330" s="57"/>
      <c r="E330" s="57"/>
      <c r="F330" s="57"/>
      <c r="G330" s="57"/>
      <c r="H330" s="57"/>
      <c r="I330" s="57"/>
      <c r="J330" s="57"/>
      <c r="K330" s="57"/>
      <c r="L330" s="57"/>
      <c r="M330" s="57"/>
      <c r="N330" s="57"/>
      <c r="O330" s="57"/>
      <c r="P330" s="57"/>
      <c r="Q330" s="57"/>
      <c r="R330" s="57"/>
      <c r="S330" s="57"/>
      <c r="T330" s="57"/>
      <c r="U330" s="57"/>
    </row>
    <row r="331" spans="2:21" x14ac:dyDescent="0.15">
      <c r="B331" s="57"/>
      <c r="C331" s="57"/>
      <c r="D331" s="57"/>
      <c r="E331" s="57"/>
      <c r="F331" s="57"/>
      <c r="G331" s="57"/>
      <c r="H331" s="57"/>
      <c r="I331" s="57"/>
      <c r="J331" s="57"/>
      <c r="K331" s="57"/>
      <c r="L331" s="57"/>
      <c r="M331" s="57"/>
      <c r="N331" s="57"/>
      <c r="O331" s="57"/>
      <c r="P331" s="57"/>
      <c r="Q331" s="57"/>
      <c r="R331" s="57"/>
      <c r="S331" s="57"/>
      <c r="T331" s="57"/>
      <c r="U331" s="57"/>
    </row>
    <row r="332" spans="2:21" x14ac:dyDescent="0.15">
      <c r="B332" s="57"/>
      <c r="C332" s="57"/>
      <c r="D332" s="57"/>
      <c r="E332" s="57"/>
      <c r="F332" s="57"/>
      <c r="G332" s="57"/>
      <c r="H332" s="57"/>
      <c r="I332" s="57"/>
      <c r="J332" s="57"/>
      <c r="K332" s="57"/>
      <c r="L332" s="57"/>
      <c r="M332" s="57"/>
      <c r="N332" s="57"/>
      <c r="O332" s="57"/>
      <c r="P332" s="57"/>
      <c r="Q332" s="57"/>
      <c r="R332" s="57"/>
      <c r="S332" s="57"/>
      <c r="T332" s="57"/>
      <c r="U332" s="57"/>
    </row>
    <row r="333" spans="2:21" x14ac:dyDescent="0.15">
      <c r="B333" s="57"/>
      <c r="C333" s="57"/>
      <c r="D333" s="57"/>
      <c r="E333" s="57"/>
      <c r="F333" s="57"/>
      <c r="G333" s="57"/>
      <c r="H333" s="57"/>
      <c r="I333" s="57"/>
      <c r="J333" s="57"/>
      <c r="K333" s="57"/>
      <c r="L333" s="57"/>
      <c r="M333" s="57"/>
      <c r="N333" s="57"/>
      <c r="O333" s="57"/>
      <c r="P333" s="57"/>
      <c r="Q333" s="57"/>
      <c r="R333" s="57"/>
      <c r="S333" s="57"/>
      <c r="T333" s="57"/>
      <c r="U333" s="57"/>
    </row>
    <row r="334" spans="2:21" x14ac:dyDescent="0.15">
      <c r="B334" s="57"/>
      <c r="C334" s="57"/>
      <c r="D334" s="57"/>
      <c r="E334" s="57"/>
      <c r="F334" s="57"/>
      <c r="G334" s="57"/>
      <c r="H334" s="57"/>
      <c r="I334" s="57"/>
      <c r="J334" s="57"/>
      <c r="K334" s="57"/>
      <c r="L334" s="57"/>
      <c r="M334" s="57"/>
      <c r="N334" s="57"/>
      <c r="O334" s="57"/>
      <c r="P334" s="57"/>
      <c r="Q334" s="57"/>
      <c r="R334" s="57"/>
      <c r="S334" s="57"/>
      <c r="T334" s="57"/>
      <c r="U334" s="57"/>
    </row>
    <row r="335" spans="2:21" x14ac:dyDescent="0.15">
      <c r="B335" s="57"/>
      <c r="C335" s="57"/>
      <c r="D335" s="57"/>
      <c r="E335" s="57"/>
      <c r="F335" s="57"/>
      <c r="G335" s="57"/>
      <c r="H335" s="57"/>
      <c r="I335" s="57"/>
      <c r="J335" s="57"/>
      <c r="K335" s="57"/>
      <c r="L335" s="57"/>
      <c r="M335" s="57"/>
      <c r="N335" s="57"/>
      <c r="O335" s="57"/>
      <c r="P335" s="57"/>
      <c r="Q335" s="57"/>
      <c r="R335" s="57"/>
      <c r="S335" s="57"/>
      <c r="T335" s="57"/>
      <c r="U335" s="57"/>
    </row>
    <row r="336" spans="2:21" x14ac:dyDescent="0.15">
      <c r="B336" s="57"/>
      <c r="C336" s="57"/>
      <c r="D336" s="57"/>
      <c r="E336" s="57"/>
      <c r="F336" s="57"/>
      <c r="G336" s="57"/>
      <c r="H336" s="57"/>
      <c r="I336" s="57"/>
      <c r="J336" s="57"/>
      <c r="K336" s="57"/>
      <c r="L336" s="57"/>
      <c r="M336" s="57"/>
      <c r="N336" s="57"/>
      <c r="O336" s="57"/>
      <c r="P336" s="57"/>
      <c r="Q336" s="57"/>
      <c r="R336" s="57"/>
      <c r="S336" s="57"/>
      <c r="T336" s="57"/>
      <c r="U336" s="57"/>
    </row>
    <row r="337" spans="2:21" x14ac:dyDescent="0.15">
      <c r="B337" s="57"/>
      <c r="C337" s="57"/>
      <c r="D337" s="57"/>
      <c r="E337" s="57"/>
      <c r="F337" s="57"/>
      <c r="G337" s="57"/>
      <c r="H337" s="57"/>
      <c r="I337" s="57"/>
      <c r="J337" s="57"/>
      <c r="K337" s="57"/>
      <c r="L337" s="57"/>
      <c r="M337" s="57"/>
      <c r="N337" s="57"/>
      <c r="O337" s="57"/>
      <c r="P337" s="57"/>
      <c r="Q337" s="57"/>
      <c r="R337" s="57"/>
      <c r="S337" s="57"/>
      <c r="T337" s="57"/>
      <c r="U337" s="57"/>
    </row>
    <row r="338" spans="2:21" x14ac:dyDescent="0.15">
      <c r="B338" s="57"/>
      <c r="C338" s="57"/>
      <c r="D338" s="57"/>
      <c r="E338" s="57"/>
      <c r="F338" s="57"/>
      <c r="G338" s="57"/>
      <c r="H338" s="57"/>
      <c r="I338" s="57"/>
      <c r="J338" s="57"/>
      <c r="K338" s="57"/>
      <c r="L338" s="57"/>
      <c r="M338" s="57"/>
      <c r="N338" s="57"/>
      <c r="O338" s="57"/>
      <c r="P338" s="57"/>
      <c r="Q338" s="57"/>
      <c r="R338" s="57"/>
      <c r="S338" s="57"/>
      <c r="T338" s="57"/>
      <c r="U338" s="57"/>
    </row>
    <row r="339" spans="2:21" x14ac:dyDescent="0.15">
      <c r="B339" s="57"/>
      <c r="C339" s="57"/>
      <c r="D339" s="57"/>
      <c r="E339" s="57"/>
      <c r="F339" s="57"/>
      <c r="G339" s="57"/>
      <c r="H339" s="57"/>
      <c r="I339" s="57"/>
      <c r="J339" s="57"/>
      <c r="K339" s="57"/>
      <c r="L339" s="57"/>
      <c r="M339" s="57"/>
      <c r="N339" s="57"/>
      <c r="O339" s="57"/>
      <c r="P339" s="57"/>
      <c r="Q339" s="57"/>
      <c r="R339" s="57"/>
      <c r="S339" s="57"/>
      <c r="T339" s="57"/>
      <c r="U339" s="57"/>
    </row>
    <row r="340" spans="2:21" x14ac:dyDescent="0.15">
      <c r="B340" s="57"/>
      <c r="C340" s="57"/>
      <c r="D340" s="57"/>
      <c r="E340" s="57"/>
      <c r="F340" s="57"/>
      <c r="G340" s="57"/>
      <c r="H340" s="57"/>
      <c r="I340" s="57"/>
      <c r="J340" s="57"/>
      <c r="K340" s="57"/>
      <c r="L340" s="57"/>
      <c r="M340" s="57"/>
      <c r="N340" s="57"/>
      <c r="O340" s="57"/>
      <c r="P340" s="57"/>
      <c r="Q340" s="57"/>
      <c r="R340" s="57"/>
      <c r="S340" s="57"/>
      <c r="T340" s="57"/>
      <c r="U340" s="57"/>
    </row>
    <row r="341" spans="2:21" x14ac:dyDescent="0.15">
      <c r="B341" s="57"/>
      <c r="C341" s="57"/>
      <c r="D341" s="57"/>
      <c r="E341" s="57"/>
      <c r="F341" s="57"/>
      <c r="G341" s="57"/>
      <c r="H341" s="57"/>
      <c r="I341" s="57"/>
      <c r="J341" s="57"/>
      <c r="K341" s="57"/>
      <c r="L341" s="57"/>
      <c r="M341" s="57"/>
      <c r="N341" s="57"/>
      <c r="O341" s="57"/>
      <c r="P341" s="57"/>
      <c r="Q341" s="57"/>
      <c r="R341" s="57"/>
      <c r="S341" s="57"/>
      <c r="T341" s="57"/>
      <c r="U341" s="57"/>
    </row>
    <row r="342" spans="2:21" x14ac:dyDescent="0.15">
      <c r="B342" s="57"/>
      <c r="C342" s="57"/>
      <c r="D342" s="57"/>
      <c r="E342" s="57"/>
      <c r="F342" s="57"/>
      <c r="G342" s="57"/>
      <c r="H342" s="57"/>
      <c r="I342" s="57"/>
      <c r="J342" s="57"/>
      <c r="K342" s="57"/>
      <c r="L342" s="57"/>
      <c r="M342" s="57"/>
      <c r="N342" s="57"/>
      <c r="O342" s="57"/>
      <c r="P342" s="57"/>
      <c r="Q342" s="57"/>
      <c r="R342" s="57"/>
      <c r="S342" s="57"/>
      <c r="T342" s="57"/>
      <c r="U342" s="57"/>
    </row>
    <row r="343" spans="2:21" x14ac:dyDescent="0.15">
      <c r="B343" s="57"/>
      <c r="C343" s="57"/>
      <c r="D343" s="57"/>
      <c r="E343" s="57"/>
      <c r="F343" s="57"/>
      <c r="G343" s="57"/>
      <c r="H343" s="57"/>
      <c r="I343" s="57"/>
      <c r="J343" s="57"/>
      <c r="K343" s="57"/>
      <c r="L343" s="57"/>
      <c r="M343" s="57"/>
      <c r="N343" s="57"/>
      <c r="O343" s="57"/>
      <c r="P343" s="57"/>
      <c r="Q343" s="57"/>
      <c r="R343" s="57"/>
      <c r="S343" s="57"/>
      <c r="T343" s="57"/>
      <c r="U343" s="57"/>
    </row>
    <row r="344" spans="2:21" x14ac:dyDescent="0.15">
      <c r="B344" s="57"/>
      <c r="C344" s="57"/>
      <c r="D344" s="57"/>
      <c r="E344" s="57"/>
      <c r="F344" s="57"/>
      <c r="G344" s="57"/>
      <c r="H344" s="57"/>
      <c r="I344" s="57"/>
      <c r="J344" s="57"/>
      <c r="K344" s="57"/>
      <c r="L344" s="57"/>
      <c r="M344" s="57"/>
      <c r="N344" s="57"/>
      <c r="O344" s="57"/>
      <c r="P344" s="57"/>
      <c r="Q344" s="57"/>
      <c r="R344" s="57"/>
      <c r="S344" s="57"/>
      <c r="T344" s="57"/>
      <c r="U344" s="57"/>
    </row>
    <row r="345" spans="2:21" x14ac:dyDescent="0.15">
      <c r="B345" s="57"/>
      <c r="C345" s="57"/>
      <c r="D345" s="57"/>
      <c r="E345" s="57"/>
      <c r="F345" s="57"/>
      <c r="G345" s="57"/>
      <c r="H345" s="57"/>
      <c r="I345" s="57"/>
      <c r="J345" s="57"/>
      <c r="K345" s="57"/>
      <c r="L345" s="57"/>
      <c r="M345" s="57"/>
      <c r="N345" s="57"/>
      <c r="O345" s="57"/>
      <c r="P345" s="57"/>
      <c r="Q345" s="57"/>
      <c r="R345" s="57"/>
      <c r="S345" s="57"/>
      <c r="T345" s="57"/>
      <c r="U345" s="57"/>
    </row>
    <row r="346" spans="2:21" x14ac:dyDescent="0.15">
      <c r="B346" s="57"/>
      <c r="C346" s="57"/>
      <c r="D346" s="57"/>
      <c r="E346" s="57"/>
      <c r="F346" s="57"/>
      <c r="G346" s="57"/>
      <c r="H346" s="57"/>
      <c r="I346" s="57"/>
      <c r="J346" s="57"/>
      <c r="K346" s="57"/>
      <c r="L346" s="57"/>
      <c r="M346" s="57"/>
      <c r="N346" s="57"/>
      <c r="O346" s="57"/>
      <c r="P346" s="57"/>
      <c r="Q346" s="57"/>
      <c r="R346" s="57"/>
      <c r="S346" s="57"/>
      <c r="T346" s="57"/>
      <c r="U346" s="57"/>
    </row>
    <row r="347" spans="2:21" x14ac:dyDescent="0.15">
      <c r="B347" s="57"/>
      <c r="C347" s="57"/>
      <c r="D347" s="57"/>
      <c r="E347" s="57"/>
      <c r="F347" s="57"/>
      <c r="G347" s="57"/>
      <c r="H347" s="57"/>
      <c r="I347" s="57"/>
      <c r="J347" s="57"/>
      <c r="K347" s="57"/>
      <c r="L347" s="57"/>
      <c r="M347" s="57"/>
      <c r="N347" s="57"/>
      <c r="O347" s="57"/>
      <c r="P347" s="57"/>
      <c r="Q347" s="57"/>
      <c r="R347" s="57"/>
      <c r="S347" s="57"/>
      <c r="T347" s="57"/>
      <c r="U347" s="57"/>
    </row>
    <row r="348" spans="2:21" x14ac:dyDescent="0.15">
      <c r="B348" s="57"/>
      <c r="C348" s="57"/>
      <c r="D348" s="57"/>
      <c r="E348" s="57"/>
      <c r="F348" s="57"/>
      <c r="G348" s="57"/>
      <c r="H348" s="57"/>
      <c r="I348" s="57"/>
      <c r="J348" s="57"/>
      <c r="K348" s="57"/>
      <c r="L348" s="57"/>
      <c r="M348" s="57"/>
      <c r="N348" s="57"/>
      <c r="O348" s="57"/>
      <c r="P348" s="57"/>
      <c r="Q348" s="57"/>
      <c r="R348" s="57"/>
      <c r="S348" s="57"/>
      <c r="T348" s="57"/>
      <c r="U348" s="57"/>
    </row>
    <row r="349" spans="2:21" x14ac:dyDescent="0.15">
      <c r="B349" s="57"/>
      <c r="C349" s="57"/>
      <c r="D349" s="57"/>
      <c r="E349" s="57"/>
      <c r="F349" s="57"/>
      <c r="G349" s="57"/>
      <c r="H349" s="57"/>
      <c r="I349" s="57"/>
      <c r="J349" s="57"/>
      <c r="K349" s="57"/>
      <c r="L349" s="57"/>
      <c r="M349" s="57"/>
      <c r="N349" s="57"/>
      <c r="O349" s="57"/>
      <c r="P349" s="57"/>
      <c r="Q349" s="57"/>
      <c r="R349" s="57"/>
      <c r="S349" s="57"/>
      <c r="T349" s="57"/>
      <c r="U349" s="57"/>
    </row>
    <row r="350" spans="2:21" x14ac:dyDescent="0.15">
      <c r="B350" s="57"/>
      <c r="C350" s="57"/>
      <c r="D350" s="57"/>
      <c r="E350" s="57"/>
      <c r="F350" s="57"/>
      <c r="G350" s="57"/>
      <c r="H350" s="57"/>
      <c r="I350" s="57"/>
      <c r="J350" s="57"/>
      <c r="K350" s="57"/>
      <c r="L350" s="57"/>
      <c r="M350" s="57"/>
      <c r="N350" s="57"/>
      <c r="O350" s="57"/>
      <c r="P350" s="57"/>
      <c r="Q350" s="57"/>
      <c r="R350" s="57"/>
      <c r="S350" s="57"/>
      <c r="T350" s="57"/>
      <c r="U350" s="57"/>
    </row>
    <row r="351" spans="2:21" x14ac:dyDescent="0.15">
      <c r="B351" s="57"/>
      <c r="C351" s="57"/>
      <c r="D351" s="57"/>
      <c r="E351" s="57"/>
      <c r="F351" s="57"/>
      <c r="G351" s="57"/>
      <c r="H351" s="57"/>
      <c r="I351" s="57"/>
      <c r="J351" s="57"/>
      <c r="K351" s="57"/>
      <c r="L351" s="57"/>
      <c r="M351" s="57"/>
      <c r="N351" s="57"/>
      <c r="O351" s="57"/>
      <c r="P351" s="57"/>
      <c r="Q351" s="57"/>
      <c r="R351" s="57"/>
      <c r="S351" s="57"/>
      <c r="T351" s="57"/>
      <c r="U351" s="57"/>
    </row>
    <row r="352" spans="2:21" x14ac:dyDescent="0.15">
      <c r="B352" s="57"/>
      <c r="C352" s="57"/>
      <c r="D352" s="57"/>
      <c r="E352" s="57"/>
      <c r="F352" s="57"/>
      <c r="G352" s="57"/>
      <c r="H352" s="57"/>
      <c r="I352" s="57"/>
      <c r="J352" s="57"/>
      <c r="K352" s="57"/>
      <c r="L352" s="57"/>
      <c r="M352" s="57"/>
      <c r="N352" s="57"/>
      <c r="O352" s="57"/>
      <c r="P352" s="57"/>
      <c r="Q352" s="57"/>
      <c r="R352" s="57"/>
      <c r="S352" s="57"/>
      <c r="T352" s="57"/>
      <c r="U352" s="57"/>
    </row>
    <row r="353" spans="2:21" x14ac:dyDescent="0.15">
      <c r="B353" s="57"/>
      <c r="C353" s="57"/>
      <c r="D353" s="57"/>
      <c r="E353" s="57"/>
      <c r="F353" s="57"/>
      <c r="G353" s="57"/>
      <c r="H353" s="57"/>
      <c r="I353" s="57"/>
      <c r="J353" s="57"/>
      <c r="K353" s="57"/>
      <c r="L353" s="57"/>
      <c r="M353" s="57"/>
      <c r="N353" s="57"/>
      <c r="O353" s="57"/>
      <c r="P353" s="57"/>
      <c r="Q353" s="57"/>
      <c r="R353" s="57"/>
      <c r="S353" s="57"/>
      <c r="T353" s="57"/>
      <c r="U353" s="57"/>
    </row>
    <row r="354" spans="2:21" x14ac:dyDescent="0.15">
      <c r="B354" s="57"/>
      <c r="C354" s="57"/>
      <c r="D354" s="57"/>
      <c r="E354" s="57"/>
      <c r="F354" s="57"/>
      <c r="G354" s="57"/>
      <c r="H354" s="57"/>
      <c r="I354" s="57"/>
      <c r="J354" s="57"/>
      <c r="K354" s="57"/>
      <c r="L354" s="57"/>
      <c r="M354" s="57"/>
      <c r="N354" s="57"/>
      <c r="O354" s="57"/>
      <c r="P354" s="57"/>
      <c r="Q354" s="57"/>
      <c r="R354" s="57"/>
      <c r="S354" s="57"/>
      <c r="T354" s="57"/>
      <c r="U354" s="57"/>
    </row>
    <row r="355" spans="2:21" x14ac:dyDescent="0.15">
      <c r="B355" s="57"/>
      <c r="C355" s="57"/>
      <c r="D355" s="57"/>
      <c r="E355" s="57"/>
      <c r="F355" s="57"/>
      <c r="G355" s="57"/>
      <c r="H355" s="57"/>
      <c r="I355" s="57"/>
      <c r="J355" s="57"/>
      <c r="K355" s="57"/>
      <c r="L355" s="57"/>
      <c r="M355" s="57"/>
      <c r="N355" s="57"/>
      <c r="O355" s="57"/>
      <c r="P355" s="57"/>
      <c r="Q355" s="57"/>
      <c r="R355" s="57"/>
      <c r="S355" s="57"/>
      <c r="T355" s="57"/>
      <c r="U355" s="57"/>
    </row>
    <row r="356" spans="2:21" x14ac:dyDescent="0.15">
      <c r="B356" s="57"/>
      <c r="C356" s="57"/>
      <c r="D356" s="57"/>
      <c r="E356" s="57"/>
      <c r="F356" s="57"/>
      <c r="G356" s="57"/>
      <c r="H356" s="57"/>
      <c r="I356" s="57"/>
      <c r="J356" s="57"/>
      <c r="K356" s="57"/>
      <c r="L356" s="57"/>
      <c r="M356" s="57"/>
      <c r="N356" s="57"/>
      <c r="O356" s="57"/>
      <c r="P356" s="57"/>
      <c r="Q356" s="57"/>
      <c r="R356" s="57"/>
      <c r="S356" s="57"/>
      <c r="T356" s="57"/>
      <c r="U356" s="57"/>
    </row>
    <row r="357" spans="2:21" x14ac:dyDescent="0.15">
      <c r="B357" s="57"/>
      <c r="C357" s="57"/>
      <c r="D357" s="57"/>
      <c r="E357" s="57"/>
      <c r="F357" s="57"/>
      <c r="G357" s="57"/>
      <c r="H357" s="57"/>
      <c r="I357" s="57"/>
      <c r="J357" s="57"/>
      <c r="K357" s="57"/>
      <c r="L357" s="57"/>
      <c r="M357" s="57"/>
      <c r="N357" s="57"/>
      <c r="O357" s="57"/>
      <c r="P357" s="57"/>
      <c r="Q357" s="57"/>
      <c r="R357" s="57"/>
      <c r="S357" s="57"/>
      <c r="T357" s="57"/>
      <c r="U357" s="57"/>
    </row>
    <row r="358" spans="2:21" x14ac:dyDescent="0.15">
      <c r="B358" s="57"/>
      <c r="C358" s="57"/>
      <c r="D358" s="57"/>
      <c r="E358" s="57"/>
      <c r="F358" s="57"/>
      <c r="G358" s="57"/>
      <c r="H358" s="57"/>
      <c r="I358" s="57"/>
      <c r="J358" s="57"/>
      <c r="K358" s="57"/>
      <c r="L358" s="57"/>
      <c r="M358" s="57"/>
      <c r="N358" s="57"/>
      <c r="O358" s="57"/>
      <c r="P358" s="57"/>
      <c r="Q358" s="57"/>
      <c r="R358" s="57"/>
      <c r="S358" s="57"/>
      <c r="T358" s="57"/>
      <c r="U358" s="57"/>
    </row>
    <row r="359" spans="2:21" x14ac:dyDescent="0.15">
      <c r="B359" s="57"/>
      <c r="C359" s="57"/>
      <c r="D359" s="57"/>
      <c r="E359" s="57"/>
      <c r="F359" s="57"/>
      <c r="G359" s="57"/>
      <c r="H359" s="57"/>
      <c r="I359" s="57"/>
      <c r="J359" s="57"/>
      <c r="K359" s="57"/>
      <c r="L359" s="57"/>
      <c r="M359" s="57"/>
      <c r="N359" s="57"/>
      <c r="O359" s="57"/>
      <c r="P359" s="57"/>
      <c r="Q359" s="57"/>
      <c r="R359" s="57"/>
      <c r="S359" s="57"/>
      <c r="T359" s="57"/>
      <c r="U359" s="57"/>
    </row>
    <row r="360" spans="2:21" x14ac:dyDescent="0.15">
      <c r="B360" s="57"/>
      <c r="C360" s="57"/>
      <c r="D360" s="57"/>
      <c r="E360" s="57"/>
      <c r="F360" s="57"/>
      <c r="G360" s="57"/>
      <c r="H360" s="57"/>
      <c r="I360" s="57"/>
      <c r="J360" s="57"/>
      <c r="K360" s="57"/>
      <c r="L360" s="57"/>
      <c r="M360" s="57"/>
      <c r="N360" s="57"/>
      <c r="O360" s="57"/>
      <c r="P360" s="57"/>
      <c r="Q360" s="57"/>
      <c r="R360" s="57"/>
      <c r="S360" s="57"/>
      <c r="T360" s="57"/>
      <c r="U360" s="57"/>
    </row>
    <row r="361" spans="2:21" x14ac:dyDescent="0.15">
      <c r="B361" s="57"/>
      <c r="C361" s="57"/>
      <c r="D361" s="57"/>
      <c r="E361" s="57"/>
      <c r="F361" s="57"/>
      <c r="G361" s="57"/>
      <c r="H361" s="57"/>
      <c r="I361" s="57"/>
      <c r="J361" s="57"/>
      <c r="K361" s="57"/>
      <c r="L361" s="57"/>
      <c r="M361" s="57"/>
      <c r="N361" s="57"/>
      <c r="O361" s="57"/>
      <c r="P361" s="57"/>
      <c r="Q361" s="57"/>
      <c r="R361" s="57"/>
      <c r="S361" s="57"/>
      <c r="T361" s="57"/>
      <c r="U361" s="57"/>
    </row>
    <row r="362" spans="2:21" x14ac:dyDescent="0.15">
      <c r="B362" s="57"/>
      <c r="C362" s="57"/>
      <c r="D362" s="57"/>
      <c r="E362" s="57"/>
      <c r="F362" s="57"/>
      <c r="G362" s="57"/>
      <c r="H362" s="57"/>
      <c r="I362" s="57"/>
      <c r="J362" s="57"/>
      <c r="K362" s="57"/>
      <c r="L362" s="57"/>
      <c r="M362" s="57"/>
      <c r="N362" s="57"/>
      <c r="O362" s="57"/>
      <c r="P362" s="57"/>
      <c r="Q362" s="57"/>
      <c r="R362" s="57"/>
      <c r="S362" s="57"/>
      <c r="T362" s="57"/>
      <c r="U362" s="57"/>
    </row>
    <row r="363" spans="2:21" x14ac:dyDescent="0.15">
      <c r="B363" s="57"/>
      <c r="C363" s="57"/>
      <c r="D363" s="57"/>
      <c r="E363" s="57"/>
      <c r="F363" s="57"/>
      <c r="G363" s="57"/>
      <c r="H363" s="57"/>
      <c r="I363" s="57"/>
      <c r="J363" s="57"/>
      <c r="K363" s="57"/>
      <c r="L363" s="57"/>
      <c r="M363" s="57"/>
      <c r="N363" s="57"/>
      <c r="O363" s="57"/>
      <c r="P363" s="57"/>
      <c r="Q363" s="57"/>
      <c r="R363" s="57"/>
      <c r="S363" s="57"/>
      <c r="T363" s="57"/>
      <c r="U363" s="57"/>
    </row>
    <row r="364" spans="2:21" x14ac:dyDescent="0.15">
      <c r="B364" s="57"/>
      <c r="C364" s="57"/>
      <c r="D364" s="57"/>
      <c r="E364" s="57"/>
      <c r="F364" s="57"/>
      <c r="G364" s="57"/>
      <c r="H364" s="57"/>
      <c r="I364" s="57"/>
      <c r="J364" s="57"/>
      <c r="K364" s="57"/>
      <c r="L364" s="57"/>
      <c r="M364" s="57"/>
      <c r="N364" s="57"/>
      <c r="O364" s="57"/>
      <c r="P364" s="57"/>
      <c r="Q364" s="57"/>
      <c r="R364" s="57"/>
      <c r="S364" s="57"/>
      <c r="T364" s="57"/>
      <c r="U364" s="57"/>
    </row>
    <row r="365" spans="2:21" x14ac:dyDescent="0.15">
      <c r="B365" s="57"/>
      <c r="C365" s="57"/>
      <c r="D365" s="57"/>
      <c r="E365" s="57"/>
      <c r="F365" s="57"/>
      <c r="G365" s="57"/>
      <c r="H365" s="57"/>
      <c r="I365" s="57"/>
      <c r="J365" s="57"/>
      <c r="K365" s="57"/>
      <c r="L365" s="57"/>
      <c r="M365" s="57"/>
      <c r="N365" s="57"/>
      <c r="O365" s="57"/>
      <c r="P365" s="57"/>
      <c r="Q365" s="57"/>
      <c r="R365" s="57"/>
      <c r="S365" s="57"/>
      <c r="T365" s="57"/>
      <c r="U365" s="57"/>
    </row>
    <row r="366" spans="2:21" x14ac:dyDescent="0.15">
      <c r="B366" s="57"/>
      <c r="C366" s="57"/>
      <c r="D366" s="57"/>
      <c r="E366" s="57"/>
      <c r="F366" s="57"/>
      <c r="G366" s="57"/>
      <c r="H366" s="57"/>
      <c r="I366" s="57"/>
      <c r="J366" s="57"/>
      <c r="K366" s="57"/>
      <c r="L366" s="57"/>
      <c r="M366" s="57"/>
      <c r="N366" s="57"/>
      <c r="O366" s="57"/>
      <c r="P366" s="57"/>
      <c r="Q366" s="57"/>
      <c r="R366" s="57"/>
      <c r="S366" s="57"/>
      <c r="T366" s="57"/>
      <c r="U366" s="57"/>
    </row>
    <row r="367" spans="2:21" x14ac:dyDescent="0.15">
      <c r="B367" s="57"/>
      <c r="C367" s="57"/>
      <c r="D367" s="57"/>
      <c r="E367" s="57"/>
      <c r="F367" s="57"/>
      <c r="G367" s="57"/>
      <c r="H367" s="57"/>
      <c r="I367" s="57"/>
      <c r="J367" s="57"/>
      <c r="K367" s="57"/>
      <c r="L367" s="57"/>
      <c r="M367" s="57"/>
      <c r="N367" s="57"/>
      <c r="O367" s="57"/>
      <c r="P367" s="57"/>
      <c r="Q367" s="57"/>
      <c r="R367" s="57"/>
      <c r="S367" s="57"/>
      <c r="T367" s="57"/>
      <c r="U367" s="57"/>
    </row>
    <row r="368" spans="2:21" x14ac:dyDescent="0.15">
      <c r="B368" s="57"/>
      <c r="C368" s="57"/>
      <c r="D368" s="57"/>
      <c r="E368" s="57"/>
      <c r="F368" s="57"/>
      <c r="G368" s="57"/>
      <c r="H368" s="57"/>
      <c r="I368" s="57"/>
      <c r="J368" s="57"/>
      <c r="K368" s="57"/>
      <c r="L368" s="57"/>
      <c r="M368" s="57"/>
      <c r="N368" s="57"/>
      <c r="O368" s="57"/>
      <c r="P368" s="57"/>
      <c r="Q368" s="57"/>
      <c r="R368" s="57"/>
      <c r="S368" s="57"/>
      <c r="T368" s="57"/>
      <c r="U368" s="57"/>
    </row>
    <row r="369" spans="2:21" x14ac:dyDescent="0.15">
      <c r="B369" s="57"/>
      <c r="C369" s="57"/>
      <c r="D369" s="57"/>
      <c r="E369" s="57"/>
      <c r="F369" s="57"/>
      <c r="G369" s="57"/>
      <c r="H369" s="57"/>
      <c r="I369" s="57"/>
      <c r="J369" s="57"/>
      <c r="K369" s="57"/>
      <c r="L369" s="57"/>
      <c r="M369" s="57"/>
      <c r="N369" s="57"/>
      <c r="O369" s="57"/>
      <c r="P369" s="57"/>
      <c r="Q369" s="57"/>
      <c r="R369" s="57"/>
      <c r="S369" s="57"/>
      <c r="T369" s="57"/>
      <c r="U369" s="57"/>
    </row>
    <row r="370" spans="2:21" x14ac:dyDescent="0.15">
      <c r="B370" s="57"/>
      <c r="C370" s="57"/>
      <c r="D370" s="57"/>
      <c r="E370" s="57"/>
      <c r="F370" s="57"/>
      <c r="G370" s="57"/>
      <c r="H370" s="57"/>
      <c r="I370" s="57"/>
      <c r="J370" s="57"/>
      <c r="K370" s="57"/>
      <c r="L370" s="57"/>
      <c r="M370" s="57"/>
      <c r="N370" s="57"/>
      <c r="O370" s="57"/>
      <c r="P370" s="57"/>
      <c r="Q370" s="57"/>
      <c r="R370" s="57"/>
      <c r="S370" s="57"/>
      <c r="T370" s="57"/>
      <c r="U370" s="57"/>
    </row>
    <row r="371" spans="2:21" x14ac:dyDescent="0.15">
      <c r="B371" s="57"/>
      <c r="C371" s="57"/>
      <c r="D371" s="57"/>
      <c r="E371" s="57"/>
      <c r="F371" s="57"/>
      <c r="G371" s="57"/>
      <c r="H371" s="57"/>
      <c r="I371" s="57"/>
      <c r="J371" s="57"/>
      <c r="K371" s="57"/>
      <c r="L371" s="57"/>
      <c r="M371" s="57"/>
      <c r="N371" s="57"/>
      <c r="O371" s="57"/>
      <c r="P371" s="57"/>
      <c r="Q371" s="57"/>
      <c r="R371" s="57"/>
      <c r="S371" s="57"/>
      <c r="T371" s="57"/>
      <c r="U371" s="57"/>
    </row>
    <row r="372" spans="2:21" x14ac:dyDescent="0.15">
      <c r="B372" s="57"/>
      <c r="C372" s="57"/>
      <c r="D372" s="57"/>
      <c r="E372" s="57"/>
      <c r="F372" s="57"/>
      <c r="G372" s="57"/>
      <c r="H372" s="57"/>
      <c r="I372" s="57"/>
      <c r="J372" s="57"/>
      <c r="K372" s="57"/>
      <c r="L372" s="57"/>
      <c r="M372" s="57"/>
      <c r="N372" s="57"/>
      <c r="O372" s="57"/>
      <c r="P372" s="57"/>
      <c r="Q372" s="57"/>
      <c r="R372" s="57"/>
      <c r="S372" s="57"/>
      <c r="T372" s="57"/>
      <c r="U372" s="57"/>
    </row>
    <row r="373" spans="2:21" x14ac:dyDescent="0.15">
      <c r="B373" s="57"/>
      <c r="C373" s="57"/>
      <c r="D373" s="57"/>
      <c r="E373" s="57"/>
      <c r="F373" s="57"/>
      <c r="G373" s="57"/>
      <c r="H373" s="57"/>
      <c r="I373" s="57"/>
      <c r="J373" s="57"/>
      <c r="K373" s="57"/>
      <c r="L373" s="57"/>
      <c r="M373" s="57"/>
      <c r="N373" s="57"/>
      <c r="O373" s="57"/>
      <c r="P373" s="57"/>
      <c r="Q373" s="57"/>
      <c r="R373" s="57"/>
      <c r="S373" s="57"/>
      <c r="T373" s="57"/>
      <c r="U373" s="57"/>
    </row>
    <row r="374" spans="2:21" x14ac:dyDescent="0.15">
      <c r="B374" s="57"/>
      <c r="C374" s="57"/>
      <c r="D374" s="57"/>
      <c r="E374" s="57"/>
      <c r="F374" s="57"/>
      <c r="G374" s="57"/>
      <c r="H374" s="57"/>
      <c r="I374" s="57"/>
      <c r="J374" s="57"/>
      <c r="K374" s="57"/>
      <c r="L374" s="57"/>
      <c r="M374" s="57"/>
      <c r="N374" s="57"/>
      <c r="O374" s="57"/>
      <c r="P374" s="57"/>
      <c r="Q374" s="57"/>
      <c r="R374" s="57"/>
      <c r="S374" s="57"/>
      <c r="T374" s="57"/>
      <c r="U374" s="57"/>
    </row>
    <row r="375" spans="2:21" x14ac:dyDescent="0.15">
      <c r="B375" s="57"/>
      <c r="C375" s="57"/>
      <c r="D375" s="57"/>
      <c r="E375" s="57"/>
      <c r="F375" s="57"/>
      <c r="G375" s="57"/>
      <c r="H375" s="57"/>
      <c r="I375" s="57"/>
      <c r="J375" s="57"/>
      <c r="K375" s="57"/>
      <c r="L375" s="57"/>
      <c r="M375" s="57"/>
      <c r="N375" s="57"/>
      <c r="O375" s="57"/>
      <c r="P375" s="57"/>
      <c r="Q375" s="57"/>
      <c r="R375" s="57"/>
      <c r="S375" s="57"/>
      <c r="T375" s="57"/>
      <c r="U375" s="57"/>
    </row>
    <row r="376" spans="2:21" x14ac:dyDescent="0.15">
      <c r="B376" s="57"/>
      <c r="C376" s="57"/>
      <c r="D376" s="57"/>
      <c r="E376" s="57"/>
      <c r="F376" s="57"/>
      <c r="G376" s="57"/>
      <c r="H376" s="57"/>
      <c r="I376" s="57"/>
      <c r="J376" s="57"/>
      <c r="K376" s="57"/>
      <c r="L376" s="57"/>
      <c r="M376" s="57"/>
      <c r="N376" s="57"/>
      <c r="O376" s="57"/>
      <c r="P376" s="57"/>
      <c r="Q376" s="57"/>
      <c r="R376" s="57"/>
      <c r="S376" s="57"/>
      <c r="T376" s="57"/>
      <c r="U376" s="57"/>
    </row>
    <row r="377" spans="2:21" x14ac:dyDescent="0.15">
      <c r="B377" s="57"/>
      <c r="C377" s="57"/>
      <c r="D377" s="57"/>
      <c r="E377" s="57"/>
      <c r="F377" s="57"/>
      <c r="G377" s="57"/>
      <c r="H377" s="57"/>
      <c r="I377" s="57"/>
      <c r="J377" s="57"/>
      <c r="K377" s="57"/>
      <c r="L377" s="57"/>
      <c r="M377" s="57"/>
      <c r="N377" s="57"/>
      <c r="O377" s="57"/>
      <c r="P377" s="57"/>
      <c r="Q377" s="57"/>
      <c r="R377" s="57"/>
      <c r="S377" s="57"/>
      <c r="T377" s="57"/>
      <c r="U377" s="57"/>
    </row>
    <row r="378" spans="2:21" x14ac:dyDescent="0.15">
      <c r="B378" s="57"/>
      <c r="C378" s="57"/>
      <c r="D378" s="57"/>
      <c r="E378" s="57"/>
      <c r="F378" s="57"/>
      <c r="G378" s="57"/>
      <c r="H378" s="57"/>
      <c r="I378" s="57"/>
      <c r="J378" s="57"/>
      <c r="K378" s="57"/>
      <c r="L378" s="57"/>
      <c r="M378" s="57"/>
      <c r="N378" s="57"/>
      <c r="O378" s="57"/>
      <c r="P378" s="57"/>
      <c r="Q378" s="57"/>
      <c r="R378" s="57"/>
      <c r="S378" s="57"/>
      <c r="T378" s="57"/>
      <c r="U378" s="57"/>
    </row>
    <row r="379" spans="2:21" x14ac:dyDescent="0.15">
      <c r="B379" s="57"/>
      <c r="C379" s="57"/>
      <c r="D379" s="57"/>
      <c r="E379" s="57"/>
      <c r="F379" s="57"/>
      <c r="G379" s="57"/>
      <c r="H379" s="57"/>
      <c r="I379" s="57"/>
      <c r="J379" s="57"/>
      <c r="K379" s="57"/>
      <c r="L379" s="57"/>
      <c r="M379" s="57"/>
      <c r="N379" s="57"/>
      <c r="O379" s="57"/>
      <c r="P379" s="57"/>
      <c r="Q379" s="57"/>
      <c r="R379" s="57"/>
      <c r="S379" s="57"/>
      <c r="T379" s="57"/>
      <c r="U379" s="57"/>
    </row>
    <row r="380" spans="2:21" x14ac:dyDescent="0.15">
      <c r="B380" s="57"/>
      <c r="C380" s="57"/>
      <c r="D380" s="57"/>
      <c r="E380" s="57"/>
      <c r="F380" s="57"/>
      <c r="G380" s="57"/>
      <c r="H380" s="57"/>
      <c r="I380" s="57"/>
      <c r="J380" s="57"/>
      <c r="K380" s="57"/>
      <c r="L380" s="57"/>
      <c r="M380" s="57"/>
      <c r="N380" s="57"/>
      <c r="O380" s="57"/>
      <c r="P380" s="57"/>
      <c r="Q380" s="57"/>
      <c r="R380" s="57"/>
      <c r="S380" s="57"/>
      <c r="T380" s="57"/>
      <c r="U380" s="57"/>
    </row>
    <row r="381" spans="2:21" x14ac:dyDescent="0.15">
      <c r="B381" s="57"/>
      <c r="C381" s="57"/>
      <c r="D381" s="57"/>
      <c r="E381" s="57"/>
      <c r="F381" s="57"/>
      <c r="G381" s="57"/>
      <c r="H381" s="57"/>
      <c r="I381" s="57"/>
      <c r="J381" s="57"/>
      <c r="K381" s="57"/>
      <c r="L381" s="57"/>
      <c r="M381" s="57"/>
      <c r="N381" s="57"/>
      <c r="O381" s="57"/>
      <c r="P381" s="57"/>
      <c r="Q381" s="57"/>
      <c r="R381" s="57"/>
      <c r="S381" s="57"/>
      <c r="T381" s="57"/>
      <c r="U381" s="57"/>
    </row>
    <row r="382" spans="2:21" x14ac:dyDescent="0.15">
      <c r="B382" s="57"/>
      <c r="C382" s="57"/>
      <c r="D382" s="57"/>
      <c r="E382" s="57"/>
      <c r="F382" s="57"/>
      <c r="G382" s="57"/>
      <c r="H382" s="57"/>
      <c r="I382" s="57"/>
      <c r="J382" s="57"/>
      <c r="K382" s="57"/>
      <c r="L382" s="57"/>
      <c r="M382" s="57"/>
      <c r="N382" s="57"/>
      <c r="O382" s="57"/>
      <c r="P382" s="57"/>
      <c r="Q382" s="57"/>
      <c r="R382" s="57"/>
      <c r="S382" s="57"/>
      <c r="T382" s="57"/>
      <c r="U382" s="57"/>
    </row>
    <row r="383" spans="2:21" x14ac:dyDescent="0.15">
      <c r="B383" s="57"/>
      <c r="C383" s="57"/>
      <c r="D383" s="57"/>
      <c r="E383" s="57"/>
      <c r="F383" s="57"/>
      <c r="G383" s="57"/>
      <c r="H383" s="57"/>
      <c r="I383" s="57"/>
      <c r="J383" s="57"/>
      <c r="K383" s="57"/>
      <c r="L383" s="57"/>
      <c r="M383" s="57"/>
      <c r="N383" s="57"/>
      <c r="O383" s="57"/>
      <c r="P383" s="57"/>
      <c r="Q383" s="57"/>
      <c r="R383" s="57"/>
      <c r="S383" s="57"/>
      <c r="T383" s="57"/>
      <c r="U383" s="57"/>
    </row>
    <row r="384" spans="2:21" x14ac:dyDescent="0.15">
      <c r="B384" s="57"/>
      <c r="C384" s="57"/>
      <c r="D384" s="57"/>
      <c r="E384" s="57"/>
      <c r="F384" s="57"/>
      <c r="G384" s="57"/>
      <c r="H384" s="57"/>
      <c r="I384" s="57"/>
      <c r="J384" s="57"/>
      <c r="K384" s="57"/>
      <c r="L384" s="57"/>
      <c r="M384" s="57"/>
      <c r="N384" s="57"/>
      <c r="O384" s="57"/>
      <c r="P384" s="57"/>
      <c r="Q384" s="57"/>
      <c r="R384" s="57"/>
      <c r="S384" s="57"/>
      <c r="T384" s="57"/>
      <c r="U384" s="57"/>
    </row>
    <row r="385" spans="2:21" x14ac:dyDescent="0.15">
      <c r="B385" s="57"/>
      <c r="C385" s="57"/>
      <c r="D385" s="57"/>
      <c r="E385" s="57"/>
      <c r="F385" s="57"/>
      <c r="G385" s="57"/>
      <c r="H385" s="57"/>
      <c r="I385" s="57"/>
      <c r="J385" s="57"/>
      <c r="K385" s="57"/>
      <c r="L385" s="57"/>
      <c r="M385" s="57"/>
      <c r="N385" s="57"/>
      <c r="O385" s="57"/>
      <c r="P385" s="57"/>
      <c r="Q385" s="57"/>
      <c r="R385" s="57"/>
      <c r="S385" s="57"/>
      <c r="T385" s="57"/>
      <c r="U385" s="57"/>
    </row>
    <row r="386" spans="2:21" x14ac:dyDescent="0.15">
      <c r="B386" s="57"/>
      <c r="C386" s="57"/>
      <c r="D386" s="57"/>
      <c r="E386" s="57"/>
      <c r="F386" s="57"/>
      <c r="G386" s="57"/>
      <c r="H386" s="57"/>
      <c r="I386" s="57"/>
      <c r="J386" s="57"/>
      <c r="K386" s="57"/>
      <c r="L386" s="57"/>
      <c r="M386" s="57"/>
      <c r="N386" s="57"/>
      <c r="O386" s="57"/>
      <c r="P386" s="57"/>
      <c r="Q386" s="57"/>
      <c r="R386" s="57"/>
      <c r="S386" s="57"/>
      <c r="T386" s="57"/>
      <c r="U386" s="57"/>
    </row>
    <row r="387" spans="2:21" x14ac:dyDescent="0.15">
      <c r="B387" s="57"/>
      <c r="C387" s="57"/>
      <c r="D387" s="57"/>
      <c r="E387" s="57"/>
      <c r="F387" s="57"/>
      <c r="G387" s="57"/>
      <c r="H387" s="57"/>
      <c r="I387" s="57"/>
      <c r="J387" s="57"/>
      <c r="K387" s="57"/>
      <c r="L387" s="57"/>
      <c r="M387" s="57"/>
      <c r="N387" s="57"/>
      <c r="O387" s="57"/>
      <c r="P387" s="57"/>
      <c r="Q387" s="57"/>
      <c r="R387" s="57"/>
      <c r="S387" s="57"/>
      <c r="T387" s="57"/>
      <c r="U387" s="57"/>
    </row>
    <row r="388" spans="2:21" x14ac:dyDescent="0.15">
      <c r="B388" s="57"/>
      <c r="C388" s="57"/>
      <c r="D388" s="57"/>
      <c r="E388" s="57"/>
      <c r="F388" s="57"/>
      <c r="G388" s="57"/>
      <c r="H388" s="57"/>
      <c r="I388" s="57"/>
      <c r="J388" s="57"/>
      <c r="K388" s="57"/>
      <c r="L388" s="57"/>
      <c r="M388" s="57"/>
      <c r="N388" s="57"/>
      <c r="O388" s="57"/>
      <c r="P388" s="57"/>
      <c r="Q388" s="57"/>
      <c r="R388" s="57"/>
      <c r="S388" s="57"/>
      <c r="T388" s="57"/>
      <c r="U388" s="57"/>
    </row>
    <row r="389" spans="2:21" x14ac:dyDescent="0.15">
      <c r="B389" s="57"/>
      <c r="C389" s="57"/>
      <c r="D389" s="57"/>
      <c r="E389" s="57"/>
      <c r="F389" s="57"/>
      <c r="G389" s="57"/>
      <c r="H389" s="57"/>
      <c r="I389" s="57"/>
      <c r="J389" s="57"/>
      <c r="K389" s="57"/>
      <c r="L389" s="57"/>
      <c r="M389" s="57"/>
      <c r="N389" s="57"/>
      <c r="O389" s="57"/>
      <c r="P389" s="57"/>
      <c r="Q389" s="57"/>
      <c r="R389" s="57"/>
      <c r="S389" s="57"/>
      <c r="T389" s="57"/>
      <c r="U389" s="57"/>
    </row>
    <row r="390" spans="2:21" x14ac:dyDescent="0.15">
      <c r="B390" s="57"/>
      <c r="C390" s="57"/>
      <c r="D390" s="57"/>
      <c r="E390" s="57"/>
      <c r="F390" s="57"/>
      <c r="G390" s="57"/>
      <c r="H390" s="57"/>
      <c r="I390" s="57"/>
      <c r="J390" s="57"/>
      <c r="K390" s="57"/>
      <c r="L390" s="57"/>
      <c r="M390" s="57"/>
      <c r="N390" s="57"/>
      <c r="O390" s="57"/>
      <c r="P390" s="57"/>
      <c r="Q390" s="57"/>
      <c r="R390" s="57"/>
      <c r="S390" s="57"/>
      <c r="T390" s="57"/>
      <c r="U390" s="57"/>
    </row>
    <row r="391" spans="2:21" x14ac:dyDescent="0.15">
      <c r="B391" s="57"/>
      <c r="C391" s="57"/>
      <c r="D391" s="57"/>
      <c r="E391" s="57"/>
      <c r="F391" s="57"/>
      <c r="G391" s="57"/>
      <c r="H391" s="57"/>
      <c r="I391" s="57"/>
      <c r="J391" s="57"/>
      <c r="K391" s="57"/>
      <c r="L391" s="57"/>
      <c r="M391" s="57"/>
      <c r="N391" s="57"/>
      <c r="O391" s="57"/>
      <c r="P391" s="57"/>
      <c r="Q391" s="57"/>
      <c r="R391" s="57"/>
      <c r="S391" s="57"/>
      <c r="T391" s="57"/>
      <c r="U391" s="57"/>
    </row>
    <row r="392" spans="2:21" x14ac:dyDescent="0.15">
      <c r="B392" s="57"/>
      <c r="C392" s="57"/>
      <c r="D392" s="57"/>
      <c r="E392" s="57"/>
      <c r="F392" s="57"/>
      <c r="G392" s="57"/>
      <c r="H392" s="57"/>
      <c r="I392" s="57"/>
      <c r="J392" s="57"/>
      <c r="K392" s="57"/>
      <c r="L392" s="57"/>
      <c r="M392" s="57"/>
      <c r="N392" s="57"/>
      <c r="O392" s="57"/>
      <c r="P392" s="57"/>
      <c r="Q392" s="57"/>
      <c r="R392" s="57"/>
      <c r="S392" s="57"/>
      <c r="T392" s="57"/>
      <c r="U392" s="57"/>
    </row>
    <row r="393" spans="2:21" x14ac:dyDescent="0.15">
      <c r="B393" s="57"/>
      <c r="C393" s="57"/>
      <c r="D393" s="57"/>
      <c r="E393" s="57"/>
      <c r="F393" s="57"/>
      <c r="G393" s="57"/>
      <c r="H393" s="57"/>
      <c r="I393" s="57"/>
      <c r="J393" s="57"/>
      <c r="K393" s="57"/>
      <c r="L393" s="57"/>
      <c r="M393" s="57"/>
      <c r="N393" s="57"/>
      <c r="O393" s="57"/>
      <c r="P393" s="57"/>
      <c r="Q393" s="57"/>
      <c r="R393" s="57"/>
      <c r="S393" s="57"/>
      <c r="T393" s="57"/>
      <c r="U393" s="57"/>
    </row>
    <row r="394" spans="2:21" x14ac:dyDescent="0.15">
      <c r="B394" s="57"/>
      <c r="C394" s="57"/>
      <c r="D394" s="57"/>
      <c r="E394" s="57"/>
      <c r="F394" s="57"/>
      <c r="G394" s="57"/>
      <c r="H394" s="57"/>
      <c r="I394" s="57"/>
      <c r="J394" s="57"/>
      <c r="K394" s="57"/>
      <c r="L394" s="57"/>
      <c r="M394" s="57"/>
      <c r="N394" s="57"/>
      <c r="O394" s="57"/>
      <c r="P394" s="57"/>
      <c r="Q394" s="57"/>
      <c r="R394" s="57"/>
      <c r="S394" s="57"/>
      <c r="T394" s="57"/>
      <c r="U394" s="57"/>
    </row>
    <row r="395" spans="2:21" x14ac:dyDescent="0.15">
      <c r="B395" s="57"/>
      <c r="C395" s="57"/>
      <c r="D395" s="57"/>
      <c r="E395" s="57"/>
      <c r="F395" s="57"/>
      <c r="G395" s="57"/>
      <c r="H395" s="57"/>
      <c r="I395" s="57"/>
      <c r="J395" s="57"/>
      <c r="K395" s="57"/>
      <c r="L395" s="57"/>
      <c r="M395" s="57"/>
      <c r="N395" s="57"/>
      <c r="O395" s="57"/>
      <c r="P395" s="57"/>
      <c r="Q395" s="57"/>
      <c r="R395" s="57"/>
      <c r="S395" s="57"/>
      <c r="T395" s="57"/>
      <c r="U395" s="57"/>
    </row>
    <row r="396" spans="2:21" x14ac:dyDescent="0.15">
      <c r="B396" s="57"/>
      <c r="C396" s="57"/>
      <c r="D396" s="57"/>
      <c r="E396" s="57"/>
      <c r="F396" s="57"/>
      <c r="G396" s="57"/>
      <c r="H396" s="57"/>
      <c r="I396" s="57"/>
      <c r="J396" s="57"/>
      <c r="K396" s="57"/>
      <c r="L396" s="57"/>
      <c r="M396" s="57"/>
      <c r="N396" s="57"/>
      <c r="O396" s="57"/>
      <c r="P396" s="57"/>
      <c r="Q396" s="57"/>
      <c r="R396" s="57"/>
      <c r="S396" s="57"/>
      <c r="T396" s="57"/>
      <c r="U396" s="57"/>
    </row>
    <row r="397" spans="2:21" x14ac:dyDescent="0.15">
      <c r="B397" s="57"/>
      <c r="C397" s="57"/>
      <c r="D397" s="57"/>
      <c r="E397" s="57"/>
      <c r="F397" s="57"/>
      <c r="G397" s="57"/>
      <c r="H397" s="57"/>
      <c r="I397" s="57"/>
      <c r="J397" s="57"/>
      <c r="K397" s="57"/>
      <c r="L397" s="57"/>
      <c r="M397" s="57"/>
      <c r="N397" s="57"/>
      <c r="O397" s="57"/>
      <c r="P397" s="57"/>
      <c r="Q397" s="57"/>
      <c r="R397" s="57"/>
      <c r="S397" s="57"/>
      <c r="T397" s="57"/>
      <c r="U397" s="57"/>
    </row>
    <row r="398" spans="2:21" x14ac:dyDescent="0.15">
      <c r="B398" s="57"/>
      <c r="C398" s="57"/>
      <c r="D398" s="57"/>
      <c r="E398" s="57"/>
      <c r="F398" s="57"/>
      <c r="G398" s="57"/>
      <c r="H398" s="57"/>
      <c r="I398" s="57"/>
      <c r="J398" s="57"/>
      <c r="K398" s="57"/>
      <c r="L398" s="57"/>
      <c r="M398" s="57"/>
      <c r="N398" s="57"/>
      <c r="O398" s="57"/>
      <c r="P398" s="57"/>
      <c r="Q398" s="57"/>
      <c r="R398" s="57"/>
      <c r="S398" s="57"/>
      <c r="T398" s="57"/>
      <c r="U398" s="57"/>
    </row>
    <row r="399" spans="2:21" x14ac:dyDescent="0.15">
      <c r="B399" s="57"/>
      <c r="C399" s="57"/>
      <c r="D399" s="57"/>
      <c r="E399" s="57"/>
      <c r="F399" s="57"/>
      <c r="G399" s="57"/>
      <c r="H399" s="57"/>
      <c r="I399" s="57"/>
      <c r="J399" s="57"/>
      <c r="K399" s="57"/>
      <c r="L399" s="57"/>
      <c r="M399" s="57"/>
      <c r="N399" s="57"/>
      <c r="O399" s="57"/>
      <c r="P399" s="57"/>
      <c r="Q399" s="57"/>
      <c r="R399" s="57"/>
      <c r="S399" s="57"/>
      <c r="T399" s="57"/>
      <c r="U399" s="57"/>
    </row>
    <row r="400" spans="2:21" x14ac:dyDescent="0.15">
      <c r="B400" s="57"/>
      <c r="C400" s="57"/>
      <c r="D400" s="57"/>
      <c r="E400" s="57"/>
      <c r="F400" s="57"/>
      <c r="G400" s="57"/>
      <c r="H400" s="57"/>
      <c r="I400" s="57"/>
      <c r="J400" s="57"/>
      <c r="K400" s="57"/>
      <c r="L400" s="57"/>
      <c r="M400" s="57"/>
      <c r="N400" s="57"/>
      <c r="O400" s="57"/>
      <c r="P400" s="57"/>
      <c r="Q400" s="57"/>
      <c r="R400" s="57"/>
      <c r="S400" s="57"/>
      <c r="T400" s="57"/>
      <c r="U400" s="57"/>
    </row>
    <row r="401" spans="2:21" x14ac:dyDescent="0.15">
      <c r="B401" s="57"/>
      <c r="C401" s="57"/>
      <c r="D401" s="57"/>
      <c r="E401" s="57"/>
      <c r="F401" s="57"/>
      <c r="G401" s="57"/>
      <c r="H401" s="57"/>
      <c r="I401" s="57"/>
      <c r="J401" s="57"/>
      <c r="K401" s="57"/>
      <c r="L401" s="57"/>
      <c r="M401" s="57"/>
      <c r="N401" s="57"/>
      <c r="O401" s="57"/>
      <c r="P401" s="57"/>
      <c r="Q401" s="57"/>
      <c r="R401" s="57"/>
      <c r="S401" s="57"/>
      <c r="T401" s="57"/>
      <c r="U401" s="57"/>
    </row>
    <row r="402" spans="2:21" x14ac:dyDescent="0.15">
      <c r="B402" s="57"/>
      <c r="C402" s="57"/>
      <c r="D402" s="57"/>
      <c r="E402" s="57"/>
      <c r="F402" s="57"/>
      <c r="G402" s="57"/>
      <c r="H402" s="57"/>
      <c r="I402" s="57"/>
      <c r="J402" s="57"/>
      <c r="K402" s="57"/>
      <c r="L402" s="57"/>
      <c r="M402" s="57"/>
      <c r="N402" s="57"/>
      <c r="O402" s="57"/>
      <c r="P402" s="57"/>
      <c r="Q402" s="57"/>
      <c r="R402" s="57"/>
      <c r="S402" s="57"/>
      <c r="T402" s="57"/>
      <c r="U402" s="57"/>
    </row>
    <row r="403" spans="2:21" x14ac:dyDescent="0.15">
      <c r="B403" s="57"/>
      <c r="C403" s="57"/>
      <c r="D403" s="57"/>
      <c r="E403" s="57"/>
      <c r="F403" s="57"/>
      <c r="G403" s="57"/>
      <c r="H403" s="57"/>
      <c r="I403" s="57"/>
      <c r="J403" s="57"/>
      <c r="K403" s="57"/>
      <c r="L403" s="57"/>
      <c r="M403" s="57"/>
      <c r="N403" s="57"/>
      <c r="O403" s="57"/>
      <c r="P403" s="57"/>
      <c r="Q403" s="57"/>
      <c r="R403" s="57"/>
      <c r="S403" s="57"/>
      <c r="T403" s="57"/>
      <c r="U403" s="57"/>
    </row>
    <row r="404" spans="2:21" x14ac:dyDescent="0.15">
      <c r="B404" s="57"/>
      <c r="C404" s="57"/>
      <c r="D404" s="57"/>
      <c r="E404" s="57"/>
      <c r="F404" s="57"/>
      <c r="G404" s="57"/>
      <c r="H404" s="57"/>
      <c r="I404" s="57"/>
      <c r="J404" s="57"/>
      <c r="K404" s="57"/>
      <c r="L404" s="57"/>
      <c r="M404" s="57"/>
      <c r="N404" s="57"/>
      <c r="O404" s="57"/>
      <c r="P404" s="57"/>
      <c r="Q404" s="57"/>
      <c r="R404" s="57"/>
      <c r="S404" s="57"/>
      <c r="T404" s="57"/>
      <c r="U404" s="57"/>
    </row>
    <row r="405" spans="2:21" x14ac:dyDescent="0.15">
      <c r="B405" s="57"/>
      <c r="C405" s="57"/>
      <c r="D405" s="57"/>
      <c r="E405" s="57"/>
      <c r="F405" s="57"/>
      <c r="G405" s="57"/>
      <c r="H405" s="57"/>
      <c r="I405" s="57"/>
      <c r="J405" s="57"/>
      <c r="K405" s="57"/>
      <c r="L405" s="57"/>
      <c r="M405" s="57"/>
      <c r="N405" s="57"/>
      <c r="O405" s="57"/>
      <c r="P405" s="57"/>
      <c r="Q405" s="57"/>
      <c r="R405" s="57"/>
      <c r="S405" s="57"/>
      <c r="T405" s="57"/>
      <c r="U405" s="57"/>
    </row>
    <row r="406" spans="2:21" x14ac:dyDescent="0.15">
      <c r="B406" s="57"/>
      <c r="C406" s="57"/>
      <c r="D406" s="57"/>
      <c r="E406" s="57"/>
      <c r="F406" s="57"/>
      <c r="G406" s="57"/>
      <c r="H406" s="57"/>
      <c r="I406" s="57"/>
      <c r="J406" s="57"/>
      <c r="K406" s="57"/>
      <c r="L406" s="57"/>
      <c r="M406" s="57"/>
      <c r="N406" s="57"/>
      <c r="O406" s="57"/>
      <c r="P406" s="57"/>
      <c r="Q406" s="57"/>
      <c r="R406" s="57"/>
      <c r="S406" s="57"/>
      <c r="T406" s="57"/>
      <c r="U406" s="57"/>
    </row>
    <row r="407" spans="2:21" x14ac:dyDescent="0.15">
      <c r="B407" s="57"/>
      <c r="C407" s="57"/>
      <c r="D407" s="57"/>
      <c r="E407" s="57"/>
      <c r="F407" s="57"/>
      <c r="G407" s="57"/>
      <c r="H407" s="57"/>
      <c r="I407" s="57"/>
      <c r="J407" s="57"/>
      <c r="K407" s="57"/>
      <c r="L407" s="57"/>
      <c r="M407" s="57"/>
      <c r="N407" s="57"/>
      <c r="O407" s="57"/>
      <c r="P407" s="57"/>
      <c r="Q407" s="57"/>
      <c r="R407" s="57"/>
      <c r="S407" s="57"/>
      <c r="T407" s="57"/>
      <c r="U407" s="57"/>
    </row>
    <row r="408" spans="2:21" x14ac:dyDescent="0.15">
      <c r="B408" s="57"/>
      <c r="C408" s="57"/>
      <c r="D408" s="57"/>
      <c r="E408" s="57"/>
      <c r="F408" s="57"/>
      <c r="G408" s="57"/>
      <c r="H408" s="57"/>
      <c r="I408" s="57"/>
      <c r="J408" s="57"/>
      <c r="K408" s="57"/>
      <c r="L408" s="57"/>
      <c r="M408" s="57"/>
      <c r="N408" s="57"/>
      <c r="O408" s="57"/>
      <c r="P408" s="57"/>
      <c r="Q408" s="57"/>
      <c r="R408" s="57"/>
      <c r="S408" s="57"/>
      <c r="T408" s="57"/>
      <c r="U408" s="57"/>
    </row>
    <row r="409" spans="2:21" x14ac:dyDescent="0.15">
      <c r="B409" s="57"/>
      <c r="C409" s="57"/>
      <c r="D409" s="57"/>
      <c r="E409" s="57"/>
      <c r="F409" s="57"/>
      <c r="G409" s="57"/>
      <c r="H409" s="57"/>
      <c r="I409" s="57"/>
      <c r="J409" s="57"/>
      <c r="K409" s="57"/>
      <c r="L409" s="57"/>
      <c r="M409" s="57"/>
      <c r="N409" s="57"/>
      <c r="O409" s="57"/>
      <c r="P409" s="57"/>
      <c r="Q409" s="57"/>
      <c r="R409" s="57"/>
      <c r="S409" s="57"/>
      <c r="T409" s="57"/>
      <c r="U409" s="57"/>
    </row>
    <row r="410" spans="2:21" x14ac:dyDescent="0.15">
      <c r="B410" s="57"/>
      <c r="C410" s="57"/>
      <c r="D410" s="57"/>
      <c r="E410" s="57"/>
      <c r="F410" s="57"/>
      <c r="G410" s="57"/>
      <c r="H410" s="57"/>
      <c r="I410" s="57"/>
      <c r="J410" s="57"/>
      <c r="K410" s="57"/>
      <c r="L410" s="57"/>
      <c r="M410" s="57"/>
      <c r="N410" s="57"/>
      <c r="O410" s="57"/>
      <c r="P410" s="57"/>
      <c r="Q410" s="57"/>
      <c r="R410" s="57"/>
      <c r="S410" s="57"/>
      <c r="T410" s="57"/>
      <c r="U410" s="57"/>
    </row>
    <row r="411" spans="2:21" x14ac:dyDescent="0.15">
      <c r="B411" s="57"/>
      <c r="C411" s="57"/>
      <c r="D411" s="57"/>
      <c r="E411" s="57"/>
      <c r="F411" s="57"/>
      <c r="G411" s="57"/>
      <c r="H411" s="57"/>
      <c r="I411" s="57"/>
      <c r="J411" s="57"/>
      <c r="K411" s="57"/>
      <c r="L411" s="57"/>
      <c r="M411" s="57"/>
      <c r="N411" s="57"/>
      <c r="O411" s="57"/>
      <c r="P411" s="57"/>
      <c r="Q411" s="57"/>
      <c r="R411" s="57"/>
      <c r="S411" s="57"/>
      <c r="T411" s="57"/>
      <c r="U411" s="57"/>
    </row>
    <row r="412" spans="2:21" x14ac:dyDescent="0.15">
      <c r="B412" s="57"/>
      <c r="C412" s="57"/>
      <c r="D412" s="57"/>
      <c r="E412" s="57"/>
      <c r="F412" s="57"/>
      <c r="G412" s="57"/>
      <c r="H412" s="57"/>
      <c r="I412" s="57"/>
      <c r="J412" s="57"/>
      <c r="K412" s="57"/>
      <c r="L412" s="57"/>
      <c r="M412" s="57"/>
      <c r="N412" s="57"/>
      <c r="O412" s="57"/>
      <c r="P412" s="57"/>
      <c r="Q412" s="57"/>
      <c r="R412" s="57"/>
      <c r="S412" s="57"/>
      <c r="T412" s="57"/>
      <c r="U412" s="57"/>
    </row>
    <row r="413" spans="2:21" x14ac:dyDescent="0.15">
      <c r="B413" s="57"/>
      <c r="C413" s="57"/>
      <c r="D413" s="57"/>
      <c r="E413" s="57"/>
      <c r="F413" s="57"/>
      <c r="G413" s="57"/>
      <c r="H413" s="57"/>
      <c r="I413" s="57"/>
      <c r="J413" s="57"/>
      <c r="K413" s="57"/>
      <c r="L413" s="57"/>
      <c r="M413" s="57"/>
      <c r="N413" s="57"/>
      <c r="O413" s="57"/>
      <c r="P413" s="57"/>
      <c r="Q413" s="57"/>
      <c r="R413" s="57"/>
      <c r="S413" s="57"/>
      <c r="T413" s="57"/>
      <c r="U413" s="57"/>
    </row>
    <row r="414" spans="2:21" x14ac:dyDescent="0.15">
      <c r="B414" s="57"/>
      <c r="C414" s="57"/>
      <c r="D414" s="57"/>
      <c r="E414" s="57"/>
      <c r="F414" s="57"/>
      <c r="G414" s="57"/>
      <c r="H414" s="57"/>
      <c r="I414" s="57"/>
      <c r="J414" s="57"/>
      <c r="K414" s="57"/>
      <c r="L414" s="57"/>
      <c r="M414" s="57"/>
      <c r="N414" s="57"/>
      <c r="O414" s="57"/>
      <c r="P414" s="57"/>
      <c r="Q414" s="57"/>
      <c r="R414" s="57"/>
      <c r="S414" s="57"/>
      <c r="T414" s="57"/>
      <c r="U414" s="57"/>
    </row>
    <row r="415" spans="2:21" x14ac:dyDescent="0.15">
      <c r="B415" s="57"/>
      <c r="C415" s="57"/>
      <c r="D415" s="57"/>
      <c r="E415" s="57"/>
      <c r="F415" s="57"/>
      <c r="G415" s="57"/>
      <c r="H415" s="57"/>
      <c r="I415" s="57"/>
      <c r="J415" s="57"/>
      <c r="K415" s="57"/>
      <c r="L415" s="57"/>
      <c r="M415" s="57"/>
      <c r="N415" s="57"/>
      <c r="O415" s="57"/>
      <c r="P415" s="57"/>
      <c r="Q415" s="57"/>
      <c r="R415" s="57"/>
      <c r="S415" s="57"/>
      <c r="T415" s="57"/>
      <c r="U415" s="57"/>
    </row>
    <row r="416" spans="2:21" x14ac:dyDescent="0.15">
      <c r="B416" s="57"/>
      <c r="C416" s="57"/>
      <c r="D416" s="57"/>
      <c r="E416" s="57"/>
      <c r="F416" s="57"/>
      <c r="G416" s="57"/>
      <c r="H416" s="57"/>
      <c r="I416" s="57"/>
      <c r="J416" s="57"/>
      <c r="K416" s="57"/>
      <c r="L416" s="57"/>
      <c r="M416" s="57"/>
      <c r="N416" s="57"/>
      <c r="O416" s="57"/>
      <c r="P416" s="57"/>
      <c r="Q416" s="57"/>
      <c r="R416" s="57"/>
      <c r="S416" s="57"/>
      <c r="T416" s="57"/>
      <c r="U416" s="57"/>
    </row>
    <row r="417" spans="2:21" x14ac:dyDescent="0.15">
      <c r="B417" s="57"/>
      <c r="C417" s="57"/>
      <c r="D417" s="57"/>
      <c r="E417" s="57"/>
      <c r="F417" s="57"/>
      <c r="G417" s="57"/>
      <c r="H417" s="57"/>
      <c r="I417" s="57"/>
      <c r="J417" s="57"/>
      <c r="K417" s="57"/>
      <c r="L417" s="57"/>
      <c r="M417" s="57"/>
      <c r="N417" s="57"/>
      <c r="O417" s="57"/>
      <c r="P417" s="57"/>
      <c r="Q417" s="57"/>
      <c r="R417" s="57"/>
      <c r="S417" s="57"/>
      <c r="T417" s="57"/>
      <c r="U417" s="57"/>
    </row>
    <row r="418" spans="2:21" x14ac:dyDescent="0.15">
      <c r="B418" s="57"/>
      <c r="C418" s="57"/>
      <c r="D418" s="57"/>
      <c r="E418" s="57"/>
      <c r="F418" s="57"/>
      <c r="G418" s="57"/>
      <c r="H418" s="57"/>
      <c r="I418" s="57"/>
      <c r="J418" s="57"/>
      <c r="K418" s="57"/>
      <c r="L418" s="57"/>
      <c r="M418" s="57"/>
      <c r="N418" s="57"/>
      <c r="O418" s="57"/>
      <c r="P418" s="57"/>
      <c r="Q418" s="57"/>
      <c r="R418" s="57"/>
      <c r="S418" s="57"/>
      <c r="T418" s="57"/>
      <c r="U418" s="57"/>
    </row>
    <row r="419" spans="2:21" x14ac:dyDescent="0.15">
      <c r="B419" s="57"/>
      <c r="C419" s="57"/>
      <c r="D419" s="57"/>
      <c r="E419" s="57"/>
      <c r="F419" s="57"/>
      <c r="G419" s="57"/>
      <c r="H419" s="57"/>
      <c r="I419" s="57"/>
      <c r="J419" s="57"/>
      <c r="K419" s="57"/>
      <c r="L419" s="57"/>
      <c r="M419" s="57"/>
      <c r="N419" s="57"/>
      <c r="O419" s="57"/>
      <c r="P419" s="57"/>
      <c r="Q419" s="57"/>
      <c r="R419" s="57"/>
      <c r="S419" s="57"/>
      <c r="T419" s="57"/>
      <c r="U419" s="57"/>
    </row>
    <row r="420" spans="2:21" x14ac:dyDescent="0.15">
      <c r="B420" s="57"/>
      <c r="C420" s="57"/>
      <c r="D420" s="57"/>
      <c r="E420" s="57"/>
      <c r="F420" s="57"/>
      <c r="G420" s="57"/>
      <c r="H420" s="57"/>
      <c r="I420" s="57"/>
      <c r="J420" s="57"/>
      <c r="K420" s="57"/>
      <c r="L420" s="57"/>
      <c r="M420" s="57"/>
      <c r="N420" s="57"/>
      <c r="O420" s="57"/>
      <c r="P420" s="57"/>
      <c r="Q420" s="57"/>
      <c r="R420" s="57"/>
      <c r="S420" s="57"/>
      <c r="T420" s="57"/>
      <c r="U420" s="57"/>
    </row>
    <row r="421" spans="2:21" x14ac:dyDescent="0.15">
      <c r="B421" s="57"/>
      <c r="C421" s="57"/>
      <c r="D421" s="57"/>
      <c r="E421" s="57"/>
      <c r="F421" s="57"/>
      <c r="G421" s="57"/>
      <c r="H421" s="57"/>
      <c r="I421" s="57"/>
      <c r="J421" s="57"/>
      <c r="K421" s="57"/>
      <c r="L421" s="57"/>
      <c r="M421" s="57"/>
      <c r="N421" s="57"/>
      <c r="O421" s="57"/>
      <c r="P421" s="57"/>
      <c r="Q421" s="57"/>
      <c r="R421" s="57"/>
      <c r="S421" s="57"/>
      <c r="T421" s="57"/>
      <c r="U421" s="57"/>
    </row>
    <row r="422" spans="2:21" x14ac:dyDescent="0.15">
      <c r="B422" s="57"/>
      <c r="C422" s="57"/>
      <c r="D422" s="57"/>
      <c r="E422" s="57"/>
      <c r="F422" s="57"/>
      <c r="G422" s="57"/>
      <c r="H422" s="57"/>
      <c r="I422" s="57"/>
      <c r="J422" s="57"/>
      <c r="K422" s="57"/>
      <c r="L422" s="57"/>
      <c r="M422" s="57"/>
      <c r="N422" s="57"/>
      <c r="O422" s="57"/>
      <c r="P422" s="57"/>
      <c r="Q422" s="57"/>
      <c r="R422" s="57"/>
      <c r="S422" s="57"/>
      <c r="T422" s="57"/>
      <c r="U422" s="57"/>
    </row>
    <row r="423" spans="2:21" x14ac:dyDescent="0.15">
      <c r="B423" s="57"/>
      <c r="C423" s="57"/>
      <c r="D423" s="57"/>
      <c r="E423" s="57"/>
      <c r="F423" s="57"/>
      <c r="G423" s="57"/>
      <c r="H423" s="57"/>
      <c r="I423" s="57"/>
      <c r="J423" s="57"/>
      <c r="K423" s="57"/>
      <c r="L423" s="57"/>
      <c r="M423" s="57"/>
      <c r="N423" s="57"/>
      <c r="O423" s="57"/>
      <c r="P423" s="57"/>
      <c r="Q423" s="57"/>
      <c r="R423" s="57"/>
      <c r="S423" s="57"/>
      <c r="T423" s="57"/>
      <c r="U423" s="57"/>
    </row>
    <row r="424" spans="2:21" x14ac:dyDescent="0.15">
      <c r="B424" s="57"/>
      <c r="C424" s="57"/>
      <c r="D424" s="57"/>
      <c r="E424" s="57"/>
      <c r="F424" s="57"/>
      <c r="G424" s="57"/>
      <c r="H424" s="57"/>
      <c r="I424" s="57"/>
      <c r="J424" s="57"/>
      <c r="K424" s="57"/>
      <c r="L424" s="57"/>
      <c r="M424" s="57"/>
      <c r="N424" s="57"/>
      <c r="O424" s="57"/>
      <c r="P424" s="57"/>
      <c r="Q424" s="57"/>
      <c r="R424" s="57"/>
      <c r="S424" s="57"/>
      <c r="T424" s="57"/>
      <c r="U424" s="57"/>
    </row>
    <row r="425" spans="2:21" x14ac:dyDescent="0.15">
      <c r="B425" s="57"/>
      <c r="C425" s="57"/>
      <c r="D425" s="57"/>
      <c r="E425" s="57"/>
      <c r="F425" s="57"/>
      <c r="G425" s="57"/>
      <c r="H425" s="57"/>
      <c r="I425" s="57"/>
      <c r="J425" s="57"/>
      <c r="K425" s="57"/>
      <c r="L425" s="57"/>
      <c r="M425" s="57"/>
      <c r="N425" s="57"/>
      <c r="O425" s="57"/>
      <c r="P425" s="57"/>
      <c r="Q425" s="57"/>
      <c r="R425" s="57"/>
      <c r="S425" s="57"/>
      <c r="T425" s="57"/>
      <c r="U425" s="57"/>
    </row>
    <row r="426" spans="2:21" x14ac:dyDescent="0.15">
      <c r="B426" s="57"/>
      <c r="C426" s="57"/>
      <c r="D426" s="57"/>
      <c r="E426" s="57"/>
      <c r="F426" s="57"/>
      <c r="G426" s="57"/>
      <c r="H426" s="57"/>
      <c r="I426" s="57"/>
      <c r="J426" s="57"/>
      <c r="K426" s="57"/>
      <c r="L426" s="57"/>
      <c r="M426" s="57"/>
      <c r="N426" s="57"/>
      <c r="O426" s="57"/>
      <c r="P426" s="57"/>
      <c r="Q426" s="57"/>
      <c r="R426" s="57"/>
      <c r="S426" s="57"/>
      <c r="T426" s="57"/>
      <c r="U426" s="57"/>
    </row>
    <row r="427" spans="2:21" x14ac:dyDescent="0.15">
      <c r="B427" s="57"/>
      <c r="C427" s="57"/>
      <c r="D427" s="57"/>
      <c r="E427" s="57"/>
      <c r="F427" s="57"/>
      <c r="G427" s="57"/>
      <c r="H427" s="57"/>
      <c r="I427" s="57"/>
      <c r="J427" s="57"/>
      <c r="K427" s="57"/>
      <c r="L427" s="57"/>
      <c r="M427" s="57"/>
      <c r="N427" s="57"/>
      <c r="O427" s="57"/>
      <c r="P427" s="57"/>
      <c r="Q427" s="57"/>
      <c r="R427" s="57"/>
      <c r="S427" s="57"/>
      <c r="T427" s="57"/>
      <c r="U427" s="57"/>
    </row>
    <row r="428" spans="2:21" x14ac:dyDescent="0.15">
      <c r="B428" s="57"/>
      <c r="C428" s="57"/>
      <c r="D428" s="57"/>
      <c r="E428" s="57"/>
      <c r="F428" s="57"/>
      <c r="G428" s="57"/>
      <c r="H428" s="57"/>
      <c r="I428" s="57"/>
      <c r="J428" s="57"/>
      <c r="K428" s="57"/>
      <c r="L428" s="57"/>
      <c r="M428" s="57"/>
      <c r="N428" s="57"/>
      <c r="O428" s="57"/>
      <c r="P428" s="57"/>
      <c r="Q428" s="57"/>
      <c r="R428" s="57"/>
      <c r="S428" s="57"/>
      <c r="T428" s="57"/>
      <c r="U428" s="57"/>
    </row>
    <row r="429" spans="2:21" x14ac:dyDescent="0.15">
      <c r="B429" s="57"/>
      <c r="C429" s="57"/>
      <c r="D429" s="57"/>
      <c r="E429" s="57"/>
      <c r="F429" s="57"/>
      <c r="G429" s="57"/>
      <c r="H429" s="57"/>
      <c r="I429" s="57"/>
      <c r="J429" s="57"/>
      <c r="K429" s="57"/>
      <c r="L429" s="57"/>
      <c r="M429" s="57"/>
      <c r="N429" s="57"/>
      <c r="O429" s="57"/>
      <c r="P429" s="57"/>
      <c r="Q429" s="57"/>
      <c r="R429" s="57"/>
      <c r="S429" s="57"/>
      <c r="T429" s="57"/>
      <c r="U429" s="57"/>
    </row>
    <row r="430" spans="2:21" x14ac:dyDescent="0.15">
      <c r="B430" s="57"/>
      <c r="C430" s="57"/>
      <c r="D430" s="57"/>
      <c r="E430" s="57"/>
      <c r="F430" s="57"/>
      <c r="G430" s="57"/>
      <c r="H430" s="57"/>
      <c r="I430" s="57"/>
      <c r="J430" s="57"/>
      <c r="K430" s="57"/>
      <c r="L430" s="57"/>
      <c r="M430" s="57"/>
      <c r="N430" s="57"/>
      <c r="O430" s="57"/>
      <c r="P430" s="57"/>
      <c r="Q430" s="57"/>
      <c r="R430" s="57"/>
      <c r="S430" s="57"/>
      <c r="T430" s="57"/>
      <c r="U430" s="57"/>
    </row>
    <row r="431" spans="2:21" x14ac:dyDescent="0.15">
      <c r="B431" s="57"/>
      <c r="C431" s="57"/>
      <c r="D431" s="57"/>
      <c r="E431" s="57"/>
      <c r="F431" s="57"/>
      <c r="G431" s="57"/>
      <c r="H431" s="57"/>
      <c r="I431" s="57"/>
      <c r="J431" s="57"/>
      <c r="K431" s="57"/>
      <c r="L431" s="57"/>
      <c r="M431" s="57"/>
      <c r="N431" s="57"/>
      <c r="O431" s="57"/>
      <c r="P431" s="57"/>
      <c r="Q431" s="57"/>
      <c r="R431" s="57"/>
      <c r="S431" s="57"/>
      <c r="T431" s="57"/>
      <c r="U431" s="57"/>
    </row>
    <row r="432" spans="2:21" x14ac:dyDescent="0.15">
      <c r="B432" s="57"/>
      <c r="C432" s="57"/>
      <c r="D432" s="57"/>
      <c r="E432" s="57"/>
      <c r="F432" s="57"/>
      <c r="G432" s="57"/>
      <c r="H432" s="57"/>
      <c r="I432" s="57"/>
      <c r="J432" s="57"/>
      <c r="K432" s="57"/>
      <c r="L432" s="57"/>
      <c r="M432" s="57"/>
      <c r="N432" s="57"/>
      <c r="O432" s="57"/>
      <c r="P432" s="57"/>
      <c r="Q432" s="57"/>
      <c r="R432" s="57"/>
      <c r="S432" s="57"/>
      <c r="T432" s="57"/>
      <c r="U432" s="57"/>
    </row>
    <row r="433" spans="2:21" x14ac:dyDescent="0.15">
      <c r="B433" s="57"/>
      <c r="C433" s="57"/>
      <c r="D433" s="57"/>
      <c r="E433" s="57"/>
      <c r="F433" s="57"/>
      <c r="G433" s="57"/>
      <c r="H433" s="57"/>
      <c r="I433" s="57"/>
      <c r="J433" s="57"/>
      <c r="K433" s="57"/>
      <c r="L433" s="57"/>
      <c r="M433" s="57"/>
      <c r="N433" s="57"/>
      <c r="O433" s="57"/>
      <c r="P433" s="57"/>
      <c r="Q433" s="57"/>
      <c r="R433" s="57"/>
      <c r="S433" s="57"/>
      <c r="T433" s="57"/>
      <c r="U433" s="57"/>
    </row>
    <row r="434" spans="2:21" x14ac:dyDescent="0.15">
      <c r="B434" s="57"/>
      <c r="C434" s="57"/>
      <c r="D434" s="57"/>
      <c r="E434" s="57"/>
      <c r="F434" s="57"/>
      <c r="G434" s="57"/>
      <c r="H434" s="57"/>
      <c r="I434" s="57"/>
      <c r="J434" s="57"/>
      <c r="K434" s="57"/>
      <c r="L434" s="57"/>
      <c r="M434" s="57"/>
      <c r="N434" s="57"/>
      <c r="O434" s="57"/>
      <c r="P434" s="57"/>
      <c r="Q434" s="57"/>
      <c r="R434" s="57"/>
      <c r="S434" s="57"/>
      <c r="T434" s="57"/>
      <c r="U434" s="57"/>
    </row>
    <row r="435" spans="2:21" x14ac:dyDescent="0.15">
      <c r="B435" s="57"/>
      <c r="C435" s="57"/>
      <c r="D435" s="57"/>
      <c r="E435" s="57"/>
      <c r="F435" s="57"/>
      <c r="G435" s="57"/>
      <c r="H435" s="57"/>
      <c r="I435" s="57"/>
      <c r="J435" s="57"/>
      <c r="K435" s="57"/>
      <c r="L435" s="57"/>
      <c r="M435" s="57"/>
      <c r="N435" s="57"/>
      <c r="O435" s="57"/>
      <c r="P435" s="57"/>
      <c r="Q435" s="57"/>
      <c r="R435" s="57"/>
      <c r="S435" s="57"/>
      <c r="T435" s="57"/>
      <c r="U435" s="57"/>
    </row>
    <row r="436" spans="2:21" x14ac:dyDescent="0.15">
      <c r="B436" s="57"/>
      <c r="C436" s="57"/>
      <c r="D436" s="57"/>
      <c r="E436" s="57"/>
      <c r="F436" s="57"/>
      <c r="G436" s="57"/>
      <c r="H436" s="57"/>
      <c r="I436" s="57"/>
      <c r="J436" s="57"/>
      <c r="K436" s="57"/>
      <c r="L436" s="57"/>
      <c r="M436" s="57"/>
      <c r="N436" s="57"/>
      <c r="O436" s="57"/>
      <c r="P436" s="57"/>
      <c r="Q436" s="57"/>
      <c r="R436" s="57"/>
      <c r="S436" s="57"/>
      <c r="T436" s="57"/>
      <c r="U436" s="57"/>
    </row>
    <row r="437" spans="2:21" x14ac:dyDescent="0.15">
      <c r="B437" s="57"/>
      <c r="C437" s="57"/>
      <c r="D437" s="57"/>
      <c r="E437" s="57"/>
      <c r="F437" s="57"/>
      <c r="G437" s="57"/>
      <c r="H437" s="57"/>
      <c r="I437" s="57"/>
      <c r="J437" s="57"/>
      <c r="K437" s="57"/>
      <c r="L437" s="57"/>
      <c r="M437" s="57"/>
      <c r="N437" s="57"/>
      <c r="O437" s="57"/>
      <c r="P437" s="57"/>
      <c r="Q437" s="57"/>
      <c r="R437" s="57"/>
      <c r="S437" s="57"/>
      <c r="T437" s="57"/>
      <c r="U437" s="57"/>
    </row>
    <row r="438" spans="2:21" x14ac:dyDescent="0.15">
      <c r="B438" s="57"/>
      <c r="C438" s="57"/>
      <c r="D438" s="57"/>
      <c r="E438" s="57"/>
      <c r="F438" s="57"/>
      <c r="G438" s="57"/>
      <c r="H438" s="57"/>
      <c r="I438" s="57"/>
      <c r="J438" s="57"/>
      <c r="K438" s="57"/>
      <c r="L438" s="57"/>
      <c r="M438" s="57"/>
      <c r="N438" s="57"/>
      <c r="O438" s="57"/>
      <c r="P438" s="57"/>
      <c r="Q438" s="57"/>
      <c r="R438" s="57"/>
      <c r="S438" s="57"/>
      <c r="T438" s="57"/>
      <c r="U438" s="57"/>
    </row>
    <row r="439" spans="2:21" x14ac:dyDescent="0.15">
      <c r="B439" s="57"/>
      <c r="C439" s="57"/>
      <c r="D439" s="57"/>
      <c r="E439" s="57"/>
      <c r="F439" s="57"/>
      <c r="G439" s="57"/>
      <c r="H439" s="57"/>
      <c r="I439" s="57"/>
      <c r="J439" s="57"/>
      <c r="K439" s="57"/>
      <c r="L439" s="57"/>
      <c r="M439" s="57"/>
      <c r="N439" s="57"/>
      <c r="O439" s="57"/>
      <c r="P439" s="57"/>
      <c r="Q439" s="57"/>
      <c r="R439" s="57"/>
      <c r="S439" s="57"/>
      <c r="T439" s="57"/>
      <c r="U439" s="57"/>
    </row>
    <row r="440" spans="2:21" x14ac:dyDescent="0.15">
      <c r="B440" s="57"/>
      <c r="C440" s="57"/>
      <c r="D440" s="57"/>
      <c r="E440" s="57"/>
      <c r="F440" s="57"/>
      <c r="G440" s="57"/>
      <c r="H440" s="57"/>
      <c r="I440" s="57"/>
      <c r="J440" s="57"/>
      <c r="K440" s="57"/>
      <c r="L440" s="57"/>
      <c r="M440" s="57"/>
      <c r="N440" s="57"/>
      <c r="O440" s="57"/>
      <c r="P440" s="57"/>
      <c r="Q440" s="57"/>
      <c r="R440" s="57"/>
      <c r="S440" s="57"/>
      <c r="T440" s="57"/>
      <c r="U440" s="57"/>
    </row>
    <row r="441" spans="2:21" x14ac:dyDescent="0.15">
      <c r="B441" s="57"/>
      <c r="C441" s="57"/>
      <c r="D441" s="57"/>
      <c r="E441" s="57"/>
      <c r="F441" s="57"/>
      <c r="G441" s="57"/>
      <c r="H441" s="57"/>
      <c r="I441" s="57"/>
      <c r="J441" s="57"/>
      <c r="K441" s="57"/>
      <c r="L441" s="57"/>
      <c r="M441" s="57"/>
      <c r="N441" s="57"/>
      <c r="O441" s="57"/>
      <c r="P441" s="57"/>
      <c r="Q441" s="57"/>
      <c r="R441" s="57"/>
      <c r="S441" s="57"/>
      <c r="T441" s="57"/>
      <c r="U441" s="57"/>
    </row>
    <row r="442" spans="2:21" x14ac:dyDescent="0.15">
      <c r="B442" s="57"/>
      <c r="C442" s="57"/>
      <c r="D442" s="57"/>
      <c r="E442" s="57"/>
      <c r="F442" s="57"/>
      <c r="G442" s="57"/>
      <c r="H442" s="57"/>
      <c r="I442" s="57"/>
      <c r="J442" s="57"/>
      <c r="K442" s="57"/>
      <c r="L442" s="57"/>
      <c r="M442" s="57"/>
      <c r="N442" s="57"/>
      <c r="O442" s="57"/>
      <c r="P442" s="57"/>
      <c r="Q442" s="57"/>
      <c r="R442" s="57"/>
      <c r="S442" s="57"/>
      <c r="T442" s="57"/>
      <c r="U442" s="57"/>
    </row>
    <row r="443" spans="2:21" x14ac:dyDescent="0.15">
      <c r="B443" s="57"/>
      <c r="C443" s="57"/>
      <c r="D443" s="57"/>
      <c r="E443" s="57"/>
      <c r="F443" s="57"/>
      <c r="G443" s="57"/>
      <c r="H443" s="57"/>
      <c r="I443" s="57"/>
      <c r="J443" s="57"/>
      <c r="K443" s="57"/>
      <c r="L443" s="57"/>
      <c r="M443" s="57"/>
      <c r="N443" s="57"/>
      <c r="O443" s="57"/>
      <c r="P443" s="57"/>
      <c r="Q443" s="57"/>
      <c r="R443" s="57"/>
      <c r="S443" s="57"/>
      <c r="T443" s="57"/>
      <c r="U443" s="57"/>
    </row>
    <row r="444" spans="2:21" x14ac:dyDescent="0.15">
      <c r="B444" s="57"/>
      <c r="C444" s="57"/>
      <c r="D444" s="57"/>
      <c r="E444" s="57"/>
      <c r="F444" s="57"/>
      <c r="G444" s="57"/>
      <c r="H444" s="57"/>
      <c r="I444" s="57"/>
      <c r="J444" s="57"/>
      <c r="K444" s="57"/>
      <c r="L444" s="57"/>
      <c r="M444" s="57"/>
      <c r="N444" s="57"/>
      <c r="O444" s="57"/>
      <c r="P444" s="57"/>
      <c r="Q444" s="57"/>
      <c r="R444" s="57"/>
      <c r="S444" s="57"/>
      <c r="T444" s="57"/>
      <c r="U444" s="57"/>
    </row>
    <row r="445" spans="2:21" x14ac:dyDescent="0.15">
      <c r="B445" s="57"/>
      <c r="C445" s="57"/>
      <c r="D445" s="57"/>
      <c r="E445" s="57"/>
      <c r="F445" s="57"/>
      <c r="G445" s="57"/>
      <c r="H445" s="57"/>
      <c r="I445" s="57"/>
      <c r="J445" s="57"/>
      <c r="K445" s="57"/>
      <c r="L445" s="57"/>
      <c r="M445" s="57"/>
      <c r="N445" s="57"/>
      <c r="O445" s="57"/>
      <c r="P445" s="57"/>
      <c r="Q445" s="57"/>
      <c r="R445" s="57"/>
      <c r="S445" s="57"/>
      <c r="T445" s="57"/>
      <c r="U445" s="57"/>
    </row>
    <row r="446" spans="2:21" x14ac:dyDescent="0.15">
      <c r="B446" s="57"/>
      <c r="C446" s="57"/>
      <c r="D446" s="57"/>
      <c r="E446" s="57"/>
      <c r="F446" s="57"/>
      <c r="G446" s="57"/>
      <c r="H446" s="57"/>
      <c r="I446" s="57"/>
      <c r="J446" s="57"/>
      <c r="K446" s="57"/>
      <c r="L446" s="57"/>
      <c r="M446" s="57"/>
      <c r="N446" s="57"/>
      <c r="O446" s="57"/>
      <c r="P446" s="57"/>
      <c r="Q446" s="57"/>
      <c r="R446" s="57"/>
      <c r="S446" s="57"/>
      <c r="T446" s="57"/>
      <c r="U446" s="57"/>
    </row>
    <row r="447" spans="2:21" x14ac:dyDescent="0.15">
      <c r="B447" s="57"/>
      <c r="C447" s="57"/>
      <c r="D447" s="57"/>
      <c r="E447" s="57"/>
      <c r="F447" s="57"/>
      <c r="G447" s="57"/>
      <c r="H447" s="57"/>
      <c r="I447" s="57"/>
      <c r="J447" s="57"/>
      <c r="K447" s="57"/>
      <c r="L447" s="57"/>
      <c r="M447" s="57"/>
      <c r="N447" s="57"/>
      <c r="O447" s="57"/>
      <c r="P447" s="57"/>
      <c r="Q447" s="57"/>
      <c r="R447" s="57"/>
      <c r="S447" s="57"/>
      <c r="T447" s="57"/>
      <c r="U447" s="57"/>
    </row>
    <row r="448" spans="2:21" x14ac:dyDescent="0.15">
      <c r="B448" s="57"/>
      <c r="C448" s="57"/>
      <c r="D448" s="57"/>
      <c r="E448" s="57"/>
      <c r="F448" s="57"/>
      <c r="G448" s="57"/>
      <c r="H448" s="57"/>
      <c r="I448" s="57"/>
      <c r="J448" s="57"/>
      <c r="K448" s="57"/>
      <c r="L448" s="57"/>
      <c r="M448" s="57"/>
      <c r="N448" s="57"/>
      <c r="O448" s="57"/>
      <c r="P448" s="57"/>
      <c r="Q448" s="57"/>
      <c r="R448" s="57"/>
      <c r="S448" s="57"/>
      <c r="T448" s="57"/>
      <c r="U448" s="57"/>
    </row>
    <row r="449" spans="2:21" x14ac:dyDescent="0.15">
      <c r="B449" s="57"/>
      <c r="C449" s="57"/>
      <c r="D449" s="57"/>
      <c r="E449" s="57"/>
      <c r="F449" s="57"/>
      <c r="G449" s="57"/>
      <c r="H449" s="57"/>
      <c r="I449" s="57"/>
      <c r="J449" s="57"/>
      <c r="K449" s="57"/>
      <c r="L449" s="57"/>
      <c r="M449" s="57"/>
      <c r="N449" s="57"/>
      <c r="O449" s="57"/>
      <c r="P449" s="57"/>
      <c r="Q449" s="57"/>
      <c r="R449" s="57"/>
      <c r="S449" s="57"/>
      <c r="T449" s="57"/>
      <c r="U449" s="57"/>
    </row>
    <row r="450" spans="2:21" x14ac:dyDescent="0.15">
      <c r="B450" s="57"/>
      <c r="C450" s="57"/>
      <c r="D450" s="57"/>
      <c r="E450" s="57"/>
      <c r="F450" s="57"/>
      <c r="G450" s="57"/>
      <c r="H450" s="57"/>
      <c r="I450" s="57"/>
      <c r="J450" s="57"/>
      <c r="K450" s="57"/>
      <c r="L450" s="57"/>
      <c r="M450" s="57"/>
      <c r="N450" s="57"/>
      <c r="O450" s="57"/>
      <c r="P450" s="57"/>
      <c r="Q450" s="57"/>
      <c r="R450" s="57"/>
      <c r="S450" s="57"/>
      <c r="T450" s="57"/>
      <c r="U450" s="57"/>
    </row>
    <row r="451" spans="2:21" x14ac:dyDescent="0.15">
      <c r="B451" s="57"/>
      <c r="C451" s="57"/>
      <c r="D451" s="57"/>
      <c r="E451" s="57"/>
      <c r="F451" s="57"/>
      <c r="G451" s="57"/>
      <c r="H451" s="57"/>
      <c r="I451" s="57"/>
      <c r="J451" s="57"/>
      <c r="K451" s="57"/>
      <c r="L451" s="57"/>
      <c r="M451" s="57"/>
      <c r="N451" s="57"/>
      <c r="O451" s="57"/>
      <c r="P451" s="57"/>
      <c r="Q451" s="57"/>
      <c r="R451" s="57"/>
      <c r="S451" s="57"/>
      <c r="T451" s="57"/>
      <c r="U451" s="57"/>
    </row>
    <row r="452" spans="2:21" x14ac:dyDescent="0.15">
      <c r="B452" s="57"/>
      <c r="C452" s="57"/>
      <c r="D452" s="57"/>
      <c r="E452" s="57"/>
      <c r="F452" s="57"/>
      <c r="G452" s="57"/>
      <c r="H452" s="57"/>
      <c r="I452" s="57"/>
      <c r="J452" s="57"/>
      <c r="K452" s="57"/>
      <c r="L452" s="57"/>
      <c r="M452" s="57"/>
      <c r="N452" s="57"/>
      <c r="O452" s="57"/>
      <c r="P452" s="57"/>
      <c r="Q452" s="57"/>
      <c r="R452" s="57"/>
      <c r="S452" s="57"/>
      <c r="T452" s="57"/>
      <c r="U452" s="57"/>
    </row>
    <row r="453" spans="2:21" x14ac:dyDescent="0.15">
      <c r="B453" s="57"/>
      <c r="C453" s="57"/>
      <c r="D453" s="57"/>
      <c r="E453" s="57"/>
      <c r="F453" s="57"/>
      <c r="G453" s="57"/>
      <c r="H453" s="57"/>
      <c r="I453" s="57"/>
      <c r="J453" s="57"/>
      <c r="K453" s="57"/>
      <c r="L453" s="57"/>
      <c r="M453" s="57"/>
      <c r="N453" s="57"/>
      <c r="O453" s="57"/>
      <c r="P453" s="57"/>
      <c r="Q453" s="57"/>
      <c r="R453" s="57"/>
      <c r="S453" s="57"/>
      <c r="T453" s="57"/>
      <c r="U453" s="57"/>
    </row>
    <row r="454" spans="2:21" x14ac:dyDescent="0.15">
      <c r="B454" s="57"/>
      <c r="C454" s="57"/>
      <c r="D454" s="57"/>
      <c r="E454" s="57"/>
      <c r="F454" s="57"/>
      <c r="G454" s="57"/>
      <c r="H454" s="57"/>
      <c r="I454" s="57"/>
      <c r="J454" s="57"/>
      <c r="K454" s="57"/>
      <c r="L454" s="57"/>
      <c r="M454" s="57"/>
      <c r="N454" s="57"/>
      <c r="O454" s="57"/>
      <c r="P454" s="57"/>
      <c r="Q454" s="57"/>
      <c r="R454" s="57"/>
      <c r="S454" s="57"/>
      <c r="T454" s="57"/>
      <c r="U454" s="57"/>
    </row>
    <row r="455" spans="2:21" x14ac:dyDescent="0.15">
      <c r="B455" s="57"/>
      <c r="C455" s="57"/>
      <c r="D455" s="57"/>
      <c r="E455" s="57"/>
      <c r="F455" s="57"/>
      <c r="G455" s="57"/>
      <c r="H455" s="57"/>
      <c r="I455" s="57"/>
      <c r="J455" s="57"/>
      <c r="K455" s="57"/>
      <c r="L455" s="57"/>
      <c r="M455" s="57"/>
      <c r="N455" s="57"/>
      <c r="O455" s="57"/>
      <c r="P455" s="57"/>
      <c r="Q455" s="57"/>
      <c r="R455" s="57"/>
      <c r="S455" s="57"/>
      <c r="T455" s="57"/>
      <c r="U455" s="57"/>
    </row>
    <row r="456" spans="2:21" x14ac:dyDescent="0.15">
      <c r="B456" s="57"/>
      <c r="C456" s="57"/>
      <c r="D456" s="57"/>
      <c r="E456" s="57"/>
      <c r="F456" s="57"/>
      <c r="G456" s="57"/>
      <c r="H456" s="57"/>
      <c r="I456" s="57"/>
      <c r="J456" s="57"/>
      <c r="K456" s="57"/>
      <c r="L456" s="57"/>
      <c r="M456" s="57"/>
      <c r="N456" s="57"/>
      <c r="O456" s="57"/>
      <c r="P456" s="57"/>
      <c r="Q456" s="57"/>
      <c r="R456" s="57"/>
      <c r="S456" s="57"/>
      <c r="T456" s="57"/>
      <c r="U456" s="57"/>
    </row>
    <row r="457" spans="2:21" x14ac:dyDescent="0.15">
      <c r="B457" s="57"/>
      <c r="C457" s="57"/>
      <c r="D457" s="57"/>
      <c r="E457" s="57"/>
      <c r="F457" s="57"/>
      <c r="G457" s="57"/>
      <c r="H457" s="57"/>
      <c r="I457" s="57"/>
      <c r="J457" s="57"/>
      <c r="K457" s="57"/>
      <c r="L457" s="57"/>
      <c r="M457" s="57"/>
      <c r="N457" s="57"/>
      <c r="O457" s="57"/>
      <c r="P457" s="57"/>
      <c r="Q457" s="57"/>
      <c r="R457" s="57"/>
      <c r="S457" s="57"/>
      <c r="T457" s="57"/>
      <c r="U457" s="57"/>
    </row>
    <row r="458" spans="2:21" x14ac:dyDescent="0.15">
      <c r="B458" s="57"/>
      <c r="C458" s="57"/>
      <c r="D458" s="57"/>
      <c r="E458" s="57"/>
      <c r="F458" s="57"/>
      <c r="G458" s="57"/>
      <c r="H458" s="57"/>
      <c r="I458" s="57"/>
      <c r="J458" s="57"/>
      <c r="K458" s="57"/>
      <c r="L458" s="57"/>
      <c r="M458" s="57"/>
      <c r="N458" s="57"/>
      <c r="O458" s="57"/>
      <c r="P458" s="57"/>
      <c r="Q458" s="57"/>
      <c r="R458" s="57"/>
      <c r="S458" s="57"/>
      <c r="T458" s="57"/>
      <c r="U458" s="57"/>
    </row>
    <row r="459" spans="2:21" x14ac:dyDescent="0.15">
      <c r="B459" s="57"/>
      <c r="C459" s="57"/>
      <c r="D459" s="57"/>
      <c r="E459" s="57"/>
      <c r="F459" s="57"/>
      <c r="G459" s="57"/>
      <c r="H459" s="57"/>
      <c r="I459" s="57"/>
      <c r="J459" s="57"/>
      <c r="K459" s="57"/>
      <c r="L459" s="57"/>
      <c r="M459" s="57"/>
      <c r="N459" s="57"/>
      <c r="O459" s="57"/>
      <c r="P459" s="57"/>
      <c r="Q459" s="57"/>
      <c r="R459" s="57"/>
      <c r="S459" s="57"/>
      <c r="T459" s="57"/>
      <c r="U459" s="57"/>
    </row>
    <row r="460" spans="2:21" x14ac:dyDescent="0.15">
      <c r="B460" s="57"/>
      <c r="C460" s="57"/>
      <c r="D460" s="57"/>
      <c r="E460" s="57"/>
      <c r="F460" s="57"/>
      <c r="G460" s="57"/>
      <c r="H460" s="57"/>
      <c r="I460" s="57"/>
      <c r="J460" s="57"/>
      <c r="K460" s="57"/>
      <c r="L460" s="57"/>
      <c r="M460" s="57"/>
      <c r="N460" s="57"/>
      <c r="O460" s="57"/>
      <c r="P460" s="57"/>
      <c r="Q460" s="57"/>
      <c r="R460" s="57"/>
      <c r="S460" s="57"/>
      <c r="T460" s="57"/>
      <c r="U460" s="57"/>
    </row>
    <row r="461" spans="2:21" x14ac:dyDescent="0.15">
      <c r="B461" s="57"/>
      <c r="C461" s="57"/>
      <c r="D461" s="57"/>
      <c r="E461" s="57"/>
      <c r="F461" s="57"/>
      <c r="G461" s="57"/>
      <c r="H461" s="57"/>
      <c r="I461" s="57"/>
      <c r="J461" s="57"/>
      <c r="K461" s="57"/>
      <c r="L461" s="57"/>
      <c r="M461" s="57"/>
      <c r="N461" s="57"/>
      <c r="O461" s="57"/>
      <c r="P461" s="57"/>
      <c r="Q461" s="57"/>
      <c r="R461" s="57"/>
      <c r="S461" s="57"/>
      <c r="T461" s="57"/>
      <c r="U461" s="57"/>
    </row>
    <row r="462" spans="2:21" x14ac:dyDescent="0.15">
      <c r="B462" s="57"/>
      <c r="C462" s="57"/>
      <c r="D462" s="57"/>
      <c r="E462" s="57"/>
      <c r="F462" s="57"/>
      <c r="G462" s="57"/>
      <c r="H462" s="57"/>
      <c r="I462" s="57"/>
      <c r="J462" s="57"/>
      <c r="K462" s="57"/>
      <c r="L462" s="57"/>
      <c r="M462" s="57"/>
      <c r="N462" s="57"/>
      <c r="O462" s="57"/>
      <c r="P462" s="57"/>
      <c r="Q462" s="57"/>
      <c r="R462" s="57"/>
      <c r="S462" s="57"/>
      <c r="T462" s="57"/>
      <c r="U462" s="57"/>
    </row>
    <row r="463" spans="2:21" x14ac:dyDescent="0.15">
      <c r="B463" s="57"/>
      <c r="C463" s="57"/>
      <c r="D463" s="57"/>
      <c r="E463" s="57"/>
      <c r="F463" s="57"/>
      <c r="G463" s="57"/>
      <c r="H463" s="57"/>
      <c r="I463" s="57"/>
      <c r="J463" s="57"/>
      <c r="K463" s="57"/>
      <c r="L463" s="57"/>
      <c r="M463" s="57"/>
      <c r="N463" s="57"/>
      <c r="O463" s="57"/>
      <c r="P463" s="57"/>
      <c r="Q463" s="57"/>
      <c r="R463" s="57"/>
      <c r="S463" s="57"/>
      <c r="T463" s="57"/>
      <c r="U463" s="57"/>
    </row>
    <row r="464" spans="2:21" x14ac:dyDescent="0.15">
      <c r="B464" s="57"/>
      <c r="C464" s="57"/>
      <c r="D464" s="57"/>
      <c r="E464" s="57"/>
      <c r="F464" s="57"/>
      <c r="G464" s="57"/>
      <c r="H464" s="57"/>
      <c r="I464" s="57"/>
      <c r="J464" s="57"/>
      <c r="K464" s="57"/>
      <c r="L464" s="57"/>
      <c r="M464" s="57"/>
      <c r="N464" s="57"/>
      <c r="O464" s="57"/>
      <c r="P464" s="57"/>
      <c r="Q464" s="57"/>
      <c r="R464" s="57"/>
      <c r="S464" s="57"/>
      <c r="T464" s="57"/>
      <c r="U464" s="57"/>
    </row>
    <row r="465" spans="2:21" x14ac:dyDescent="0.15">
      <c r="B465" s="57"/>
      <c r="C465" s="57"/>
      <c r="D465" s="57"/>
      <c r="E465" s="57"/>
      <c r="F465" s="57"/>
      <c r="G465" s="57"/>
      <c r="H465" s="57"/>
      <c r="I465" s="57"/>
      <c r="J465" s="57"/>
      <c r="K465" s="57"/>
      <c r="L465" s="57"/>
      <c r="M465" s="57"/>
      <c r="N465" s="57"/>
      <c r="O465" s="57"/>
      <c r="P465" s="57"/>
      <c r="Q465" s="57"/>
      <c r="R465" s="57"/>
      <c r="S465" s="57"/>
      <c r="T465" s="57"/>
      <c r="U465" s="57"/>
    </row>
    <row r="466" spans="2:21" x14ac:dyDescent="0.15">
      <c r="B466" s="57"/>
      <c r="C466" s="57"/>
      <c r="D466" s="57"/>
      <c r="E466" s="57"/>
      <c r="F466" s="57"/>
      <c r="G466" s="57"/>
      <c r="H466" s="57"/>
      <c r="I466" s="57"/>
      <c r="J466" s="57"/>
      <c r="K466" s="57"/>
      <c r="L466" s="57"/>
      <c r="M466" s="57"/>
      <c r="N466" s="57"/>
      <c r="O466" s="57"/>
      <c r="P466" s="57"/>
      <c r="Q466" s="57"/>
      <c r="R466" s="57"/>
      <c r="S466" s="57"/>
      <c r="T466" s="57"/>
      <c r="U466" s="57"/>
    </row>
    <row r="467" spans="2:21" x14ac:dyDescent="0.15">
      <c r="B467" s="57"/>
      <c r="C467" s="57"/>
      <c r="D467" s="57"/>
      <c r="E467" s="57"/>
      <c r="F467" s="57"/>
      <c r="G467" s="57"/>
      <c r="H467" s="57"/>
      <c r="I467" s="57"/>
      <c r="J467" s="57"/>
      <c r="K467" s="57"/>
      <c r="L467" s="57"/>
      <c r="M467" s="57"/>
      <c r="N467" s="57"/>
      <c r="O467" s="57"/>
      <c r="P467" s="57"/>
      <c r="Q467" s="57"/>
      <c r="R467" s="57"/>
      <c r="S467" s="57"/>
      <c r="T467" s="57"/>
      <c r="U467" s="57"/>
    </row>
    <row r="468" spans="2:21" x14ac:dyDescent="0.15">
      <c r="B468" s="57"/>
      <c r="C468" s="57"/>
      <c r="D468" s="57"/>
      <c r="E468" s="57"/>
      <c r="F468" s="57"/>
      <c r="G468" s="57"/>
      <c r="H468" s="57"/>
      <c r="I468" s="57"/>
      <c r="J468" s="57"/>
      <c r="K468" s="57"/>
      <c r="L468" s="57"/>
      <c r="M468" s="57"/>
      <c r="N468" s="57"/>
      <c r="O468" s="57"/>
      <c r="P468" s="57"/>
      <c r="Q468" s="57"/>
      <c r="R468" s="57"/>
      <c r="S468" s="57"/>
      <c r="T468" s="57"/>
      <c r="U468" s="57"/>
    </row>
    <row r="469" spans="2:21" x14ac:dyDescent="0.15">
      <c r="B469" s="57"/>
      <c r="C469" s="57"/>
      <c r="D469" s="57"/>
      <c r="E469" s="57"/>
      <c r="F469" s="57"/>
      <c r="G469" s="57"/>
      <c r="H469" s="57"/>
      <c r="I469" s="57"/>
      <c r="J469" s="57"/>
      <c r="K469" s="57"/>
      <c r="L469" s="57"/>
      <c r="M469" s="57"/>
      <c r="N469" s="57"/>
      <c r="O469" s="57"/>
      <c r="P469" s="57"/>
      <c r="Q469" s="57"/>
      <c r="R469" s="57"/>
      <c r="S469" s="57"/>
      <c r="T469" s="57"/>
      <c r="U469" s="57"/>
    </row>
    <row r="470" spans="2:21" x14ac:dyDescent="0.15">
      <c r="B470" s="57"/>
      <c r="C470" s="57"/>
      <c r="D470" s="57"/>
      <c r="E470" s="57"/>
      <c r="F470" s="57"/>
      <c r="G470" s="57"/>
      <c r="H470" s="57"/>
      <c r="I470" s="57"/>
      <c r="J470" s="57"/>
      <c r="K470" s="57"/>
      <c r="L470" s="57"/>
      <c r="M470" s="57"/>
      <c r="N470" s="57"/>
      <c r="O470" s="57"/>
      <c r="P470" s="57"/>
      <c r="Q470" s="57"/>
      <c r="R470" s="57"/>
      <c r="S470" s="57"/>
      <c r="T470" s="57"/>
      <c r="U470" s="57"/>
    </row>
    <row r="471" spans="2:21" x14ac:dyDescent="0.15">
      <c r="B471" s="57"/>
      <c r="C471" s="57"/>
      <c r="D471" s="57"/>
      <c r="E471" s="57"/>
      <c r="F471" s="57"/>
      <c r="G471" s="57"/>
      <c r="H471" s="57"/>
      <c r="I471" s="57"/>
      <c r="J471" s="57"/>
      <c r="K471" s="57"/>
      <c r="L471" s="57"/>
      <c r="M471" s="57"/>
      <c r="N471" s="57"/>
      <c r="O471" s="57"/>
      <c r="P471" s="57"/>
      <c r="Q471" s="57"/>
      <c r="R471" s="57"/>
      <c r="S471" s="57"/>
      <c r="T471" s="57"/>
      <c r="U471" s="57"/>
    </row>
    <row r="472" spans="2:21" x14ac:dyDescent="0.15">
      <c r="B472" s="57"/>
      <c r="C472" s="57"/>
      <c r="D472" s="57"/>
      <c r="E472" s="57"/>
      <c r="F472" s="57"/>
      <c r="G472" s="57"/>
      <c r="H472" s="57"/>
      <c r="I472" s="57"/>
      <c r="J472" s="57"/>
      <c r="K472" s="57"/>
      <c r="L472" s="57"/>
      <c r="M472" s="57"/>
      <c r="N472" s="57"/>
      <c r="O472" s="57"/>
      <c r="P472" s="57"/>
      <c r="Q472" s="57"/>
      <c r="R472" s="57"/>
      <c r="S472" s="57"/>
      <c r="T472" s="57"/>
      <c r="U472" s="57"/>
    </row>
    <row r="473" spans="2:21" x14ac:dyDescent="0.15">
      <c r="B473" s="57"/>
      <c r="C473" s="57"/>
      <c r="D473" s="57"/>
      <c r="E473" s="57"/>
      <c r="F473" s="57"/>
      <c r="G473" s="57"/>
      <c r="H473" s="57"/>
      <c r="I473" s="57"/>
      <c r="J473" s="57"/>
      <c r="K473" s="57"/>
      <c r="L473" s="57"/>
      <c r="M473" s="57"/>
      <c r="N473" s="57"/>
      <c r="O473" s="57"/>
      <c r="P473" s="57"/>
      <c r="Q473" s="57"/>
      <c r="R473" s="57"/>
      <c r="S473" s="57"/>
      <c r="T473" s="57"/>
      <c r="U473" s="57"/>
    </row>
    <row r="474" spans="2:21" x14ac:dyDescent="0.15">
      <c r="B474" s="57"/>
      <c r="C474" s="57"/>
      <c r="D474" s="57"/>
      <c r="E474" s="57"/>
      <c r="F474" s="57"/>
      <c r="G474" s="57"/>
      <c r="H474" s="57"/>
      <c r="I474" s="57"/>
      <c r="J474" s="57"/>
      <c r="K474" s="57"/>
      <c r="L474" s="57"/>
      <c r="M474" s="57"/>
      <c r="N474" s="57"/>
      <c r="O474" s="57"/>
      <c r="P474" s="57"/>
      <c r="Q474" s="57"/>
      <c r="R474" s="57"/>
      <c r="S474" s="57"/>
      <c r="T474" s="57"/>
      <c r="U474" s="57"/>
    </row>
    <row r="475" spans="2:21" x14ac:dyDescent="0.15">
      <c r="B475" s="57"/>
      <c r="C475" s="57"/>
      <c r="D475" s="57"/>
      <c r="E475" s="57"/>
      <c r="F475" s="57"/>
      <c r="G475" s="57"/>
      <c r="H475" s="57"/>
      <c r="I475" s="57"/>
      <c r="J475" s="57"/>
      <c r="K475" s="57"/>
      <c r="L475" s="57"/>
      <c r="M475" s="57"/>
      <c r="N475" s="57"/>
      <c r="O475" s="57"/>
      <c r="P475" s="57"/>
      <c r="Q475" s="57"/>
      <c r="R475" s="57"/>
      <c r="S475" s="57"/>
      <c r="T475" s="57"/>
      <c r="U475" s="57"/>
    </row>
    <row r="476" spans="2:21" x14ac:dyDescent="0.15">
      <c r="B476" s="57"/>
      <c r="C476" s="57"/>
      <c r="D476" s="57"/>
      <c r="E476" s="57"/>
      <c r="F476" s="57"/>
      <c r="G476" s="57"/>
      <c r="H476" s="57"/>
      <c r="I476" s="57"/>
      <c r="J476" s="57"/>
      <c r="K476" s="57"/>
      <c r="L476" s="57"/>
      <c r="M476" s="57"/>
      <c r="N476" s="57"/>
      <c r="O476" s="57"/>
      <c r="P476" s="57"/>
      <c r="Q476" s="57"/>
      <c r="R476" s="57"/>
      <c r="S476" s="57"/>
      <c r="T476" s="57"/>
      <c r="U476" s="57"/>
    </row>
    <row r="477" spans="2:21" x14ac:dyDescent="0.15">
      <c r="B477" s="57"/>
      <c r="C477" s="57"/>
      <c r="D477" s="57"/>
      <c r="E477" s="57"/>
      <c r="F477" s="57"/>
      <c r="G477" s="57"/>
      <c r="H477" s="57"/>
      <c r="I477" s="57"/>
      <c r="J477" s="57"/>
      <c r="K477" s="57"/>
      <c r="L477" s="57"/>
      <c r="M477" s="57"/>
      <c r="N477" s="57"/>
      <c r="O477" s="57"/>
      <c r="P477" s="57"/>
      <c r="Q477" s="57"/>
      <c r="R477" s="57"/>
      <c r="S477" s="57"/>
      <c r="T477" s="57"/>
      <c r="U477" s="57"/>
    </row>
    <row r="478" spans="2:21" x14ac:dyDescent="0.15">
      <c r="B478" s="57"/>
      <c r="C478" s="57"/>
      <c r="D478" s="57"/>
      <c r="E478" s="57"/>
      <c r="F478" s="57"/>
      <c r="G478" s="57"/>
      <c r="H478" s="57"/>
      <c r="I478" s="57"/>
      <c r="J478" s="57"/>
      <c r="K478" s="57"/>
      <c r="L478" s="57"/>
      <c r="M478" s="57"/>
      <c r="N478" s="57"/>
      <c r="O478" s="57"/>
      <c r="P478" s="57"/>
      <c r="Q478" s="57"/>
      <c r="R478" s="57"/>
      <c r="S478" s="57"/>
      <c r="T478" s="57"/>
      <c r="U478" s="57"/>
    </row>
    <row r="479" spans="2:21" x14ac:dyDescent="0.15">
      <c r="B479" s="57"/>
      <c r="C479" s="57"/>
      <c r="D479" s="57"/>
      <c r="E479" s="57"/>
      <c r="F479" s="57"/>
      <c r="G479" s="57"/>
      <c r="H479" s="57"/>
      <c r="I479" s="57"/>
      <c r="J479" s="57"/>
      <c r="K479" s="57"/>
      <c r="L479" s="57"/>
      <c r="M479" s="57"/>
      <c r="N479" s="57"/>
      <c r="O479" s="57"/>
      <c r="P479" s="57"/>
      <c r="Q479" s="57"/>
      <c r="R479" s="57"/>
      <c r="S479" s="57"/>
      <c r="T479" s="57"/>
      <c r="U479" s="57"/>
    </row>
    <row r="480" spans="2:21" x14ac:dyDescent="0.15">
      <c r="B480" s="57"/>
      <c r="C480" s="57"/>
      <c r="D480" s="57"/>
      <c r="E480" s="57"/>
      <c r="F480" s="57"/>
      <c r="G480" s="57"/>
      <c r="H480" s="57"/>
      <c r="I480" s="57"/>
      <c r="J480" s="57"/>
      <c r="K480" s="57"/>
      <c r="L480" s="57"/>
      <c r="M480" s="57"/>
      <c r="N480" s="57"/>
      <c r="O480" s="57"/>
      <c r="P480" s="57"/>
      <c r="Q480" s="57"/>
      <c r="R480" s="57"/>
      <c r="S480" s="57"/>
      <c r="T480" s="57"/>
      <c r="U480" s="57"/>
    </row>
    <row r="481" spans="2:21" x14ac:dyDescent="0.15">
      <c r="B481" s="57"/>
      <c r="C481" s="57"/>
      <c r="D481" s="57"/>
      <c r="E481" s="57"/>
      <c r="F481" s="57"/>
      <c r="G481" s="57"/>
      <c r="H481" s="57"/>
      <c r="I481" s="57"/>
      <c r="J481" s="57"/>
      <c r="K481" s="57"/>
      <c r="L481" s="57"/>
      <c r="M481" s="57"/>
      <c r="N481" s="57"/>
      <c r="O481" s="57"/>
      <c r="P481" s="57"/>
      <c r="Q481" s="57"/>
      <c r="R481" s="57"/>
      <c r="S481" s="57"/>
      <c r="T481" s="57"/>
      <c r="U481" s="57"/>
    </row>
    <row r="482" spans="2:21" x14ac:dyDescent="0.15">
      <c r="B482" s="57"/>
      <c r="C482" s="57"/>
      <c r="D482" s="57"/>
      <c r="E482" s="57"/>
      <c r="F482" s="57"/>
      <c r="G482" s="57"/>
      <c r="H482" s="57"/>
      <c r="I482" s="57"/>
      <c r="J482" s="57"/>
      <c r="K482" s="57"/>
      <c r="L482" s="57"/>
      <c r="M482" s="57"/>
      <c r="N482" s="57"/>
      <c r="O482" s="57"/>
      <c r="P482" s="57"/>
      <c r="Q482" s="57"/>
      <c r="R482" s="57"/>
      <c r="S482" s="57"/>
      <c r="T482" s="57"/>
      <c r="U482" s="57"/>
    </row>
    <row r="483" spans="2:21" x14ac:dyDescent="0.15">
      <c r="B483" s="57"/>
      <c r="C483" s="57"/>
      <c r="D483" s="57"/>
      <c r="E483" s="57"/>
      <c r="F483" s="57"/>
      <c r="G483" s="57"/>
      <c r="H483" s="57"/>
      <c r="I483" s="57"/>
      <c r="J483" s="57"/>
      <c r="K483" s="57"/>
      <c r="L483" s="57"/>
      <c r="M483" s="57"/>
      <c r="N483" s="57"/>
      <c r="O483" s="57"/>
      <c r="P483" s="57"/>
      <c r="Q483" s="57"/>
      <c r="R483" s="57"/>
      <c r="S483" s="57"/>
      <c r="T483" s="57"/>
      <c r="U483" s="57"/>
    </row>
    <row r="484" spans="2:21" x14ac:dyDescent="0.15">
      <c r="B484" s="57"/>
      <c r="C484" s="57"/>
      <c r="D484" s="57"/>
      <c r="E484" s="57"/>
      <c r="F484" s="57"/>
      <c r="G484" s="57"/>
      <c r="H484" s="57"/>
      <c r="I484" s="57"/>
      <c r="J484" s="57"/>
      <c r="K484" s="57"/>
      <c r="L484" s="57"/>
      <c r="M484" s="57"/>
      <c r="N484" s="57"/>
      <c r="O484" s="57"/>
      <c r="P484" s="57"/>
      <c r="Q484" s="57"/>
      <c r="R484" s="57"/>
      <c r="S484" s="57"/>
      <c r="T484" s="57"/>
      <c r="U484" s="57"/>
    </row>
    <row r="485" spans="2:21" x14ac:dyDescent="0.15">
      <c r="B485" s="57"/>
      <c r="C485" s="57"/>
      <c r="D485" s="57"/>
      <c r="E485" s="57"/>
      <c r="F485" s="57"/>
      <c r="G485" s="57"/>
      <c r="H485" s="57"/>
      <c r="I485" s="57"/>
      <c r="J485" s="57"/>
      <c r="K485" s="57"/>
      <c r="L485" s="57"/>
      <c r="M485" s="57"/>
      <c r="N485" s="57"/>
      <c r="O485" s="57"/>
      <c r="P485" s="57"/>
      <c r="Q485" s="57"/>
      <c r="R485" s="57"/>
      <c r="S485" s="57"/>
      <c r="T485" s="57"/>
      <c r="U485" s="57"/>
    </row>
    <row r="486" spans="2:21" x14ac:dyDescent="0.15">
      <c r="B486" s="57"/>
      <c r="C486" s="57"/>
      <c r="D486" s="57"/>
      <c r="E486" s="57"/>
      <c r="F486" s="57"/>
      <c r="G486" s="57"/>
      <c r="H486" s="57"/>
      <c r="I486" s="57"/>
      <c r="J486" s="57"/>
      <c r="K486" s="57"/>
      <c r="L486" s="57"/>
      <c r="M486" s="57"/>
      <c r="N486" s="57"/>
      <c r="O486" s="57"/>
      <c r="P486" s="57"/>
      <c r="Q486" s="57"/>
      <c r="R486" s="57"/>
      <c r="S486" s="57"/>
      <c r="T486" s="57"/>
      <c r="U486" s="57"/>
    </row>
    <row r="487" spans="2:21" x14ac:dyDescent="0.15">
      <c r="B487" s="57"/>
      <c r="C487" s="57"/>
      <c r="D487" s="57"/>
      <c r="E487" s="57"/>
      <c r="F487" s="57"/>
      <c r="G487" s="57"/>
      <c r="H487" s="57"/>
      <c r="I487" s="57"/>
      <c r="J487" s="57"/>
      <c r="K487" s="57"/>
      <c r="L487" s="57"/>
      <c r="M487" s="57"/>
      <c r="N487" s="57"/>
      <c r="O487" s="57"/>
      <c r="P487" s="57"/>
      <c r="Q487" s="57"/>
      <c r="R487" s="57"/>
      <c r="S487" s="57"/>
      <c r="T487" s="57"/>
      <c r="U487" s="57"/>
    </row>
    <row r="488" spans="2:21" x14ac:dyDescent="0.15">
      <c r="B488" s="57"/>
      <c r="C488" s="57"/>
      <c r="D488" s="57"/>
      <c r="E488" s="57"/>
      <c r="F488" s="57"/>
      <c r="G488" s="57"/>
      <c r="H488" s="57"/>
      <c r="I488" s="57"/>
      <c r="J488" s="57"/>
      <c r="K488" s="57"/>
      <c r="L488" s="57"/>
      <c r="M488" s="57"/>
      <c r="N488" s="57"/>
      <c r="O488" s="57"/>
      <c r="P488" s="57"/>
      <c r="Q488" s="57"/>
      <c r="R488" s="57"/>
      <c r="S488" s="57"/>
      <c r="T488" s="57"/>
      <c r="U488" s="57"/>
    </row>
    <row r="489" spans="2:21" x14ac:dyDescent="0.15">
      <c r="B489" s="57"/>
      <c r="C489" s="57"/>
      <c r="D489" s="57"/>
      <c r="E489" s="57"/>
      <c r="F489" s="57"/>
      <c r="G489" s="57"/>
      <c r="H489" s="57"/>
      <c r="I489" s="57"/>
      <c r="J489" s="57"/>
      <c r="K489" s="57"/>
      <c r="L489" s="57"/>
      <c r="M489" s="57"/>
      <c r="N489" s="57"/>
      <c r="O489" s="57"/>
      <c r="P489" s="57"/>
      <c r="Q489" s="57"/>
      <c r="R489" s="57"/>
      <c r="S489" s="57"/>
      <c r="T489" s="57"/>
      <c r="U489" s="57"/>
    </row>
    <row r="490" spans="2:21" x14ac:dyDescent="0.15">
      <c r="B490" s="57"/>
      <c r="C490" s="57"/>
      <c r="D490" s="57"/>
      <c r="E490" s="57"/>
      <c r="F490" s="57"/>
      <c r="G490" s="57"/>
      <c r="H490" s="57"/>
      <c r="I490" s="57"/>
      <c r="J490" s="57"/>
      <c r="K490" s="57"/>
      <c r="L490" s="57"/>
      <c r="M490" s="57"/>
      <c r="N490" s="57"/>
      <c r="O490" s="57"/>
      <c r="P490" s="57"/>
      <c r="Q490" s="57"/>
      <c r="R490" s="57"/>
      <c r="S490" s="57"/>
      <c r="T490" s="57"/>
      <c r="U490" s="57"/>
    </row>
    <row r="491" spans="2:21" x14ac:dyDescent="0.15">
      <c r="B491" s="57"/>
      <c r="C491" s="57"/>
      <c r="D491" s="57"/>
      <c r="E491" s="57"/>
      <c r="F491" s="57"/>
      <c r="G491" s="57"/>
      <c r="H491" s="57"/>
      <c r="I491" s="57"/>
      <c r="J491" s="57"/>
      <c r="K491" s="57"/>
      <c r="L491" s="57"/>
      <c r="M491" s="57"/>
      <c r="N491" s="57"/>
      <c r="O491" s="57"/>
      <c r="P491" s="57"/>
      <c r="Q491" s="57"/>
      <c r="R491" s="57"/>
      <c r="S491" s="57"/>
      <c r="T491" s="57"/>
      <c r="U491" s="57"/>
    </row>
    <row r="492" spans="2:21" x14ac:dyDescent="0.15">
      <c r="B492" s="57"/>
      <c r="C492" s="57"/>
      <c r="D492" s="57"/>
      <c r="E492" s="57"/>
      <c r="F492" s="57"/>
      <c r="G492" s="57"/>
      <c r="H492" s="57"/>
      <c r="I492" s="57"/>
      <c r="J492" s="57"/>
      <c r="K492" s="57"/>
      <c r="L492" s="57"/>
      <c r="M492" s="57"/>
      <c r="N492" s="57"/>
      <c r="O492" s="57"/>
      <c r="P492" s="57"/>
      <c r="Q492" s="57"/>
      <c r="R492" s="57"/>
      <c r="S492" s="57"/>
      <c r="T492" s="57"/>
      <c r="U492" s="57"/>
    </row>
    <row r="493" spans="2:21" x14ac:dyDescent="0.15">
      <c r="B493" s="57"/>
      <c r="C493" s="57"/>
      <c r="D493" s="57"/>
      <c r="E493" s="57"/>
      <c r="F493" s="57"/>
      <c r="G493" s="57"/>
      <c r="H493" s="57"/>
      <c r="I493" s="57"/>
      <c r="J493" s="57"/>
      <c r="K493" s="57"/>
      <c r="L493" s="57"/>
      <c r="M493" s="57"/>
      <c r="N493" s="57"/>
      <c r="O493" s="57"/>
      <c r="P493" s="57"/>
      <c r="Q493" s="57"/>
      <c r="R493" s="57"/>
      <c r="S493" s="57"/>
      <c r="T493" s="57"/>
      <c r="U493" s="57"/>
    </row>
    <row r="494" spans="2:21" x14ac:dyDescent="0.15">
      <c r="B494" s="57"/>
      <c r="C494" s="57"/>
      <c r="D494" s="57"/>
      <c r="E494" s="57"/>
      <c r="F494" s="57"/>
      <c r="G494" s="57"/>
      <c r="H494" s="57"/>
      <c r="I494" s="57"/>
      <c r="J494" s="57"/>
      <c r="K494" s="57"/>
      <c r="L494" s="57"/>
      <c r="M494" s="57"/>
      <c r="N494" s="57"/>
      <c r="O494" s="57"/>
      <c r="P494" s="57"/>
      <c r="Q494" s="57"/>
      <c r="R494" s="57"/>
      <c r="S494" s="57"/>
      <c r="T494" s="57"/>
      <c r="U494" s="57"/>
    </row>
    <row r="495" spans="2:21" x14ac:dyDescent="0.15">
      <c r="B495" s="57"/>
      <c r="C495" s="57"/>
      <c r="D495" s="57"/>
      <c r="E495" s="57"/>
      <c r="F495" s="57"/>
      <c r="G495" s="57"/>
      <c r="H495" s="57"/>
      <c r="I495" s="57"/>
      <c r="J495" s="57"/>
      <c r="K495" s="57"/>
      <c r="L495" s="57"/>
      <c r="M495" s="57"/>
      <c r="N495" s="57"/>
      <c r="O495" s="57"/>
      <c r="P495" s="57"/>
      <c r="Q495" s="57"/>
      <c r="R495" s="57"/>
      <c r="S495" s="57"/>
      <c r="T495" s="57"/>
      <c r="U495" s="57"/>
    </row>
    <row r="496" spans="2:21" x14ac:dyDescent="0.15">
      <c r="B496" s="57"/>
      <c r="C496" s="57"/>
      <c r="D496" s="57"/>
      <c r="E496" s="57"/>
      <c r="F496" s="57"/>
      <c r="G496" s="57"/>
      <c r="H496" s="57"/>
      <c r="I496" s="57"/>
      <c r="J496" s="57"/>
      <c r="K496" s="57"/>
      <c r="L496" s="57"/>
      <c r="M496" s="57"/>
      <c r="N496" s="57"/>
      <c r="O496" s="57"/>
      <c r="P496" s="57"/>
      <c r="Q496" s="57"/>
      <c r="R496" s="57"/>
      <c r="S496" s="57"/>
      <c r="T496" s="57"/>
      <c r="U496" s="57"/>
    </row>
    <row r="497" spans="2:21" x14ac:dyDescent="0.15">
      <c r="B497" s="57"/>
      <c r="C497" s="57"/>
      <c r="D497" s="57"/>
      <c r="E497" s="57"/>
      <c r="F497" s="57"/>
      <c r="G497" s="57"/>
      <c r="H497" s="57"/>
      <c r="I497" s="57"/>
      <c r="J497" s="57"/>
      <c r="K497" s="57"/>
      <c r="L497" s="57"/>
      <c r="M497" s="57"/>
      <c r="N497" s="57"/>
      <c r="O497" s="57"/>
      <c r="P497" s="57"/>
      <c r="Q497" s="57"/>
      <c r="R497" s="57"/>
      <c r="S497" s="57"/>
      <c r="T497" s="57"/>
      <c r="U497" s="57"/>
    </row>
    <row r="498" spans="2:21" x14ac:dyDescent="0.15">
      <c r="B498" s="57"/>
      <c r="C498" s="57"/>
      <c r="D498" s="57"/>
      <c r="E498" s="57"/>
      <c r="F498" s="57"/>
      <c r="G498" s="57"/>
      <c r="H498" s="57"/>
      <c r="I498" s="57"/>
      <c r="J498" s="57"/>
      <c r="K498" s="57"/>
      <c r="L498" s="57"/>
      <c r="M498" s="57"/>
      <c r="N498" s="57"/>
      <c r="O498" s="57"/>
      <c r="P498" s="57"/>
      <c r="Q498" s="57"/>
      <c r="R498" s="57"/>
      <c r="S498" s="57"/>
      <c r="T498" s="57"/>
      <c r="U498" s="57"/>
    </row>
    <row r="499" spans="2:21" x14ac:dyDescent="0.15">
      <c r="B499" s="57"/>
      <c r="C499" s="57"/>
      <c r="D499" s="57"/>
      <c r="E499" s="57"/>
      <c r="F499" s="57"/>
      <c r="G499" s="57"/>
      <c r="H499" s="57"/>
      <c r="I499" s="57"/>
      <c r="J499" s="57"/>
      <c r="K499" s="57"/>
      <c r="L499" s="57"/>
      <c r="M499" s="57"/>
      <c r="N499" s="57"/>
      <c r="O499" s="57"/>
      <c r="P499" s="57"/>
      <c r="Q499" s="57"/>
      <c r="R499" s="57"/>
      <c r="S499" s="57"/>
      <c r="T499" s="57"/>
      <c r="U499" s="57"/>
    </row>
    <row r="500" spans="2:21" x14ac:dyDescent="0.15">
      <c r="B500" s="57"/>
      <c r="C500" s="57"/>
      <c r="D500" s="57"/>
      <c r="E500" s="57"/>
      <c r="F500" s="57"/>
      <c r="G500" s="57"/>
      <c r="H500" s="57"/>
      <c r="I500" s="57"/>
      <c r="J500" s="57"/>
      <c r="K500" s="57"/>
      <c r="L500" s="57"/>
      <c r="M500" s="57"/>
      <c r="N500" s="57"/>
      <c r="O500" s="57"/>
      <c r="P500" s="57"/>
      <c r="Q500" s="57"/>
      <c r="R500" s="57"/>
      <c r="S500" s="57"/>
      <c r="T500" s="57"/>
      <c r="U500" s="57"/>
    </row>
    <row r="501" spans="2:21" x14ac:dyDescent="0.15">
      <c r="B501" s="57"/>
      <c r="C501" s="57"/>
      <c r="D501" s="57"/>
      <c r="E501" s="57"/>
      <c r="F501" s="57"/>
      <c r="G501" s="57"/>
      <c r="H501" s="57"/>
      <c r="I501" s="57"/>
      <c r="J501" s="57"/>
      <c r="K501" s="57"/>
      <c r="L501" s="57"/>
      <c r="M501" s="57"/>
      <c r="N501" s="57"/>
      <c r="O501" s="57"/>
      <c r="P501" s="57"/>
      <c r="Q501" s="57"/>
      <c r="R501" s="57"/>
      <c r="S501" s="57"/>
      <c r="T501" s="57"/>
      <c r="U501" s="57"/>
    </row>
    <row r="502" spans="2:21" x14ac:dyDescent="0.15">
      <c r="B502" s="57"/>
      <c r="C502" s="57"/>
      <c r="D502" s="57"/>
      <c r="E502" s="57"/>
      <c r="F502" s="57"/>
      <c r="G502" s="57"/>
      <c r="H502" s="57"/>
      <c r="I502" s="57"/>
      <c r="J502" s="57"/>
      <c r="K502" s="57"/>
      <c r="L502" s="57"/>
      <c r="M502" s="57"/>
      <c r="N502" s="57"/>
      <c r="O502" s="57"/>
      <c r="P502" s="57"/>
      <c r="Q502" s="57"/>
      <c r="R502" s="57"/>
      <c r="S502" s="57"/>
      <c r="T502" s="57"/>
      <c r="U502" s="57"/>
    </row>
    <row r="503" spans="2:21" x14ac:dyDescent="0.15">
      <c r="B503" s="57"/>
      <c r="C503" s="57"/>
      <c r="D503" s="57"/>
      <c r="E503" s="57"/>
      <c r="F503" s="57"/>
      <c r="G503" s="57"/>
      <c r="H503" s="57"/>
      <c r="I503" s="57"/>
      <c r="J503" s="57"/>
      <c r="K503" s="57"/>
      <c r="L503" s="57"/>
      <c r="M503" s="57"/>
      <c r="N503" s="57"/>
      <c r="O503" s="57"/>
      <c r="P503" s="57"/>
      <c r="Q503" s="57"/>
      <c r="R503" s="57"/>
      <c r="S503" s="57"/>
      <c r="T503" s="57"/>
      <c r="U503" s="57"/>
    </row>
    <row r="504" spans="2:21" x14ac:dyDescent="0.15">
      <c r="B504" s="57"/>
      <c r="C504" s="57"/>
      <c r="D504" s="57"/>
      <c r="E504" s="57"/>
      <c r="F504" s="57"/>
      <c r="G504" s="57"/>
      <c r="H504" s="57"/>
      <c r="I504" s="57"/>
      <c r="J504" s="57"/>
      <c r="K504" s="57"/>
      <c r="L504" s="57"/>
      <c r="M504" s="57"/>
      <c r="N504" s="57"/>
      <c r="O504" s="57"/>
      <c r="P504" s="57"/>
      <c r="Q504" s="57"/>
      <c r="R504" s="57"/>
      <c r="S504" s="57"/>
      <c r="T504" s="57"/>
      <c r="U504" s="57"/>
    </row>
    <row r="505" spans="2:21" x14ac:dyDescent="0.15">
      <c r="B505" s="57"/>
      <c r="C505" s="57"/>
      <c r="D505" s="57"/>
      <c r="E505" s="57"/>
      <c r="F505" s="57"/>
      <c r="G505" s="57"/>
      <c r="H505" s="57"/>
      <c r="I505" s="57"/>
      <c r="J505" s="57"/>
      <c r="K505" s="57"/>
      <c r="L505" s="57"/>
      <c r="M505" s="57"/>
      <c r="N505" s="57"/>
      <c r="O505" s="57"/>
      <c r="P505" s="57"/>
      <c r="Q505" s="57"/>
      <c r="R505" s="57"/>
      <c r="S505" s="57"/>
      <c r="T505" s="57"/>
      <c r="U505" s="57"/>
    </row>
    <row r="506" spans="2:21" x14ac:dyDescent="0.15">
      <c r="B506" s="57"/>
      <c r="C506" s="57"/>
      <c r="D506" s="57"/>
      <c r="E506" s="57"/>
      <c r="F506" s="57"/>
      <c r="G506" s="57"/>
      <c r="H506" s="57"/>
      <c r="I506" s="57"/>
      <c r="J506" s="57"/>
      <c r="K506" s="57"/>
      <c r="L506" s="57"/>
      <c r="M506" s="57"/>
      <c r="N506" s="57"/>
      <c r="O506" s="57"/>
      <c r="P506" s="57"/>
      <c r="Q506" s="57"/>
      <c r="R506" s="57"/>
      <c r="S506" s="57"/>
      <c r="T506" s="57"/>
      <c r="U506" s="57"/>
    </row>
    <row r="507" spans="2:21" x14ac:dyDescent="0.15">
      <c r="B507" s="57"/>
      <c r="C507" s="57"/>
      <c r="D507" s="57"/>
      <c r="E507" s="57"/>
      <c r="F507" s="57"/>
      <c r="G507" s="57"/>
      <c r="H507" s="57"/>
      <c r="I507" s="57"/>
      <c r="J507" s="57"/>
      <c r="K507" s="57"/>
      <c r="L507" s="57"/>
      <c r="M507" s="57"/>
      <c r="N507" s="57"/>
      <c r="O507" s="57"/>
      <c r="P507" s="57"/>
      <c r="Q507" s="57"/>
      <c r="R507" s="57"/>
      <c r="S507" s="57"/>
      <c r="T507" s="57"/>
      <c r="U507" s="57"/>
    </row>
    <row r="508" spans="2:21" x14ac:dyDescent="0.15">
      <c r="B508" s="57"/>
      <c r="C508" s="57"/>
      <c r="D508" s="57"/>
      <c r="E508" s="57"/>
      <c r="F508" s="57"/>
      <c r="G508" s="57"/>
      <c r="H508" s="57"/>
      <c r="I508" s="57"/>
      <c r="J508" s="57"/>
      <c r="K508" s="57"/>
      <c r="L508" s="57"/>
      <c r="M508" s="57"/>
      <c r="N508" s="57"/>
      <c r="O508" s="57"/>
      <c r="P508" s="57"/>
      <c r="Q508" s="57"/>
      <c r="R508" s="57"/>
      <c r="S508" s="57"/>
      <c r="T508" s="57"/>
      <c r="U508" s="57"/>
    </row>
    <row r="509" spans="2:21" x14ac:dyDescent="0.15">
      <c r="B509" s="57"/>
      <c r="C509" s="57"/>
      <c r="D509" s="57"/>
      <c r="E509" s="57"/>
      <c r="F509" s="57"/>
      <c r="G509" s="57"/>
      <c r="H509" s="57"/>
      <c r="I509" s="57"/>
      <c r="J509" s="57"/>
      <c r="K509" s="57"/>
      <c r="L509" s="57"/>
      <c r="M509" s="57"/>
      <c r="N509" s="57"/>
      <c r="O509" s="57"/>
      <c r="P509" s="57"/>
      <c r="Q509" s="57"/>
      <c r="R509" s="57"/>
      <c r="S509" s="57"/>
      <c r="T509" s="57"/>
      <c r="U509" s="57"/>
    </row>
    <row r="510" spans="2:21" x14ac:dyDescent="0.15">
      <c r="B510" s="57"/>
      <c r="C510" s="57"/>
      <c r="D510" s="57"/>
      <c r="E510" s="57"/>
      <c r="F510" s="57"/>
      <c r="G510" s="57"/>
      <c r="H510" s="57"/>
      <c r="I510" s="57"/>
      <c r="J510" s="57"/>
      <c r="K510" s="57"/>
      <c r="L510" s="57"/>
      <c r="M510" s="57"/>
      <c r="N510" s="57"/>
      <c r="O510" s="57"/>
      <c r="P510" s="57"/>
      <c r="Q510" s="57"/>
      <c r="R510" s="57"/>
      <c r="S510" s="57"/>
      <c r="T510" s="57"/>
      <c r="U510" s="57"/>
    </row>
    <row r="511" spans="2:21" x14ac:dyDescent="0.15">
      <c r="B511" s="57"/>
      <c r="C511" s="57"/>
      <c r="D511" s="57"/>
      <c r="E511" s="57"/>
      <c r="F511" s="57"/>
      <c r="G511" s="57"/>
      <c r="H511" s="57"/>
      <c r="I511" s="57"/>
      <c r="J511" s="57"/>
      <c r="K511" s="57"/>
      <c r="L511" s="57"/>
      <c r="M511" s="57"/>
      <c r="N511" s="57"/>
      <c r="O511" s="57"/>
      <c r="P511" s="57"/>
      <c r="Q511" s="57"/>
      <c r="R511" s="57"/>
      <c r="S511" s="57"/>
      <c r="T511" s="57"/>
      <c r="U511" s="57"/>
    </row>
    <row r="512" spans="2:21" x14ac:dyDescent="0.15">
      <c r="B512" s="57"/>
      <c r="C512" s="57"/>
      <c r="D512" s="57"/>
      <c r="E512" s="57"/>
      <c r="F512" s="57"/>
      <c r="G512" s="57"/>
      <c r="H512" s="57"/>
      <c r="I512" s="57"/>
      <c r="J512" s="57"/>
      <c r="K512" s="57"/>
      <c r="L512" s="57"/>
      <c r="M512" s="57"/>
      <c r="N512" s="57"/>
      <c r="O512" s="57"/>
      <c r="P512" s="57"/>
      <c r="Q512" s="57"/>
      <c r="R512" s="57"/>
      <c r="S512" s="57"/>
      <c r="T512" s="57"/>
      <c r="U512" s="57"/>
    </row>
    <row r="513" spans="2:21" x14ac:dyDescent="0.15">
      <c r="B513" s="57"/>
      <c r="C513" s="57"/>
      <c r="D513" s="57"/>
      <c r="E513" s="57"/>
      <c r="F513" s="57"/>
      <c r="G513" s="57"/>
      <c r="H513" s="57"/>
      <c r="I513" s="57"/>
      <c r="J513" s="57"/>
      <c r="K513" s="57"/>
      <c r="L513" s="57"/>
      <c r="M513" s="57"/>
      <c r="N513" s="57"/>
      <c r="O513" s="57"/>
      <c r="P513" s="57"/>
      <c r="Q513" s="57"/>
      <c r="R513" s="57"/>
      <c r="S513" s="57"/>
      <c r="T513" s="57"/>
      <c r="U513" s="57"/>
    </row>
    <row r="514" spans="2:21" x14ac:dyDescent="0.15">
      <c r="B514" s="57"/>
      <c r="C514" s="57"/>
      <c r="D514" s="57"/>
      <c r="E514" s="57"/>
      <c r="F514" s="57"/>
      <c r="G514" s="57"/>
      <c r="H514" s="57"/>
      <c r="I514" s="57"/>
      <c r="J514" s="57"/>
      <c r="K514" s="57"/>
      <c r="L514" s="57"/>
      <c r="M514" s="57"/>
      <c r="N514" s="57"/>
      <c r="O514" s="57"/>
      <c r="P514" s="57"/>
      <c r="Q514" s="57"/>
      <c r="R514" s="57"/>
      <c r="S514" s="57"/>
      <c r="T514" s="57"/>
      <c r="U514" s="57"/>
    </row>
    <row r="515" spans="2:21" x14ac:dyDescent="0.15">
      <c r="B515" s="57"/>
      <c r="C515" s="57"/>
      <c r="D515" s="57"/>
      <c r="E515" s="57"/>
      <c r="F515" s="57"/>
      <c r="G515" s="57"/>
      <c r="H515" s="57"/>
      <c r="I515" s="57"/>
      <c r="J515" s="57"/>
      <c r="K515" s="57"/>
      <c r="L515" s="57"/>
      <c r="M515" s="57"/>
      <c r="N515" s="57"/>
      <c r="O515" s="57"/>
      <c r="P515" s="57"/>
      <c r="Q515" s="57"/>
      <c r="R515" s="57"/>
      <c r="S515" s="57"/>
      <c r="T515" s="57"/>
      <c r="U515" s="57"/>
    </row>
    <row r="516" spans="2:21" x14ac:dyDescent="0.15">
      <c r="B516" s="57"/>
      <c r="C516" s="57"/>
      <c r="D516" s="57"/>
      <c r="E516" s="57"/>
      <c r="F516" s="57"/>
      <c r="G516" s="57"/>
      <c r="H516" s="57"/>
      <c r="I516" s="57"/>
      <c r="J516" s="57"/>
      <c r="K516" s="57"/>
      <c r="L516" s="57"/>
      <c r="M516" s="57"/>
      <c r="N516" s="57"/>
      <c r="O516" s="57"/>
      <c r="P516" s="57"/>
      <c r="Q516" s="57"/>
      <c r="R516" s="57"/>
      <c r="S516" s="57"/>
      <c r="T516" s="57"/>
      <c r="U516" s="57"/>
    </row>
    <row r="517" spans="2:21" x14ac:dyDescent="0.15">
      <c r="B517" s="57"/>
      <c r="C517" s="57"/>
      <c r="D517" s="57"/>
      <c r="E517" s="57"/>
      <c r="F517" s="57"/>
      <c r="G517" s="57"/>
      <c r="H517" s="57"/>
      <c r="I517" s="57"/>
      <c r="J517" s="57"/>
      <c r="K517" s="57"/>
      <c r="L517" s="57"/>
      <c r="M517" s="57"/>
      <c r="N517" s="57"/>
      <c r="O517" s="57"/>
      <c r="P517" s="57"/>
      <c r="Q517" s="57"/>
      <c r="R517" s="57"/>
      <c r="S517" s="57"/>
      <c r="T517" s="57"/>
      <c r="U517" s="57"/>
    </row>
    <row r="518" spans="2:21" x14ac:dyDescent="0.15">
      <c r="B518" s="57"/>
      <c r="C518" s="57"/>
      <c r="D518" s="57"/>
      <c r="E518" s="57"/>
      <c r="F518" s="57"/>
      <c r="G518" s="57"/>
      <c r="H518" s="57"/>
      <c r="I518" s="57"/>
      <c r="J518" s="57"/>
      <c r="K518" s="57"/>
      <c r="L518" s="57"/>
      <c r="M518" s="57"/>
      <c r="N518" s="57"/>
      <c r="O518" s="57"/>
      <c r="P518" s="57"/>
      <c r="Q518" s="57"/>
      <c r="R518" s="57"/>
      <c r="S518" s="57"/>
      <c r="T518" s="57"/>
      <c r="U518" s="57"/>
    </row>
    <row r="519" spans="2:21" x14ac:dyDescent="0.15">
      <c r="B519" s="57"/>
      <c r="C519" s="57"/>
      <c r="D519" s="57"/>
      <c r="E519" s="57"/>
      <c r="F519" s="57"/>
      <c r="G519" s="57"/>
      <c r="H519" s="57"/>
      <c r="I519" s="57"/>
      <c r="J519" s="57"/>
      <c r="K519" s="57"/>
      <c r="L519" s="57"/>
      <c r="M519" s="57"/>
      <c r="N519" s="57"/>
      <c r="O519" s="57"/>
      <c r="P519" s="57"/>
      <c r="Q519" s="57"/>
      <c r="R519" s="57"/>
      <c r="S519" s="57"/>
      <c r="T519" s="57"/>
      <c r="U519" s="57"/>
    </row>
    <row r="520" spans="2:21" x14ac:dyDescent="0.15">
      <c r="B520" s="57"/>
      <c r="C520" s="57"/>
      <c r="D520" s="57"/>
      <c r="E520" s="57"/>
      <c r="F520" s="57"/>
      <c r="G520" s="57"/>
      <c r="H520" s="57"/>
      <c r="I520" s="57"/>
      <c r="J520" s="57"/>
      <c r="K520" s="57"/>
      <c r="L520" s="57"/>
      <c r="M520" s="57"/>
      <c r="N520" s="57"/>
      <c r="O520" s="57"/>
      <c r="P520" s="57"/>
      <c r="Q520" s="57"/>
      <c r="R520" s="57"/>
      <c r="S520" s="57"/>
      <c r="T520" s="57"/>
      <c r="U520" s="57"/>
    </row>
    <row r="521" spans="2:21" x14ac:dyDescent="0.15">
      <c r="B521" s="57"/>
      <c r="C521" s="57"/>
      <c r="D521" s="57"/>
      <c r="E521" s="57"/>
      <c r="F521" s="57"/>
      <c r="G521" s="57"/>
      <c r="H521" s="57"/>
      <c r="I521" s="57"/>
      <c r="J521" s="57"/>
      <c r="K521" s="57"/>
      <c r="L521" s="57"/>
      <c r="M521" s="57"/>
      <c r="N521" s="57"/>
      <c r="O521" s="57"/>
      <c r="P521" s="57"/>
      <c r="Q521" s="57"/>
      <c r="R521" s="57"/>
      <c r="S521" s="57"/>
      <c r="T521" s="57"/>
      <c r="U521" s="57"/>
    </row>
    <row r="522" spans="2:21" x14ac:dyDescent="0.15">
      <c r="B522" s="57"/>
      <c r="C522" s="57"/>
      <c r="D522" s="57"/>
      <c r="E522" s="57"/>
      <c r="F522" s="57"/>
      <c r="G522" s="57"/>
      <c r="H522" s="57"/>
      <c r="I522" s="57"/>
      <c r="J522" s="57"/>
      <c r="K522" s="57"/>
      <c r="L522" s="57"/>
      <c r="M522" s="57"/>
      <c r="N522" s="57"/>
      <c r="O522" s="57"/>
      <c r="P522" s="57"/>
      <c r="Q522" s="57"/>
      <c r="R522" s="57"/>
      <c r="S522" s="57"/>
      <c r="T522" s="57"/>
      <c r="U522" s="57"/>
    </row>
    <row r="523" spans="2:21" x14ac:dyDescent="0.15">
      <c r="B523" s="57"/>
      <c r="C523" s="57"/>
      <c r="D523" s="57"/>
      <c r="E523" s="57"/>
      <c r="F523" s="57"/>
      <c r="G523" s="57"/>
      <c r="H523" s="57"/>
      <c r="I523" s="57"/>
      <c r="J523" s="57"/>
      <c r="K523" s="57"/>
      <c r="L523" s="57"/>
      <c r="M523" s="57"/>
      <c r="N523" s="57"/>
      <c r="O523" s="57"/>
      <c r="P523" s="57"/>
      <c r="Q523" s="57"/>
      <c r="R523" s="57"/>
      <c r="S523" s="57"/>
      <c r="T523" s="57"/>
      <c r="U523" s="57"/>
    </row>
    <row r="524" spans="2:21" x14ac:dyDescent="0.15">
      <c r="B524" s="57"/>
      <c r="C524" s="57"/>
      <c r="D524" s="57"/>
      <c r="E524" s="57"/>
      <c r="F524" s="57"/>
      <c r="G524" s="57"/>
      <c r="H524" s="57"/>
      <c r="I524" s="57"/>
      <c r="J524" s="57"/>
      <c r="K524" s="57"/>
      <c r="L524" s="57"/>
      <c r="M524" s="57"/>
      <c r="N524" s="57"/>
      <c r="O524" s="57"/>
      <c r="P524" s="57"/>
      <c r="Q524" s="57"/>
      <c r="R524" s="57"/>
      <c r="S524" s="57"/>
      <c r="T524" s="57"/>
      <c r="U524" s="57"/>
    </row>
    <row r="525" spans="2:21" x14ac:dyDescent="0.15">
      <c r="B525" s="57"/>
      <c r="C525" s="57"/>
      <c r="D525" s="57"/>
      <c r="E525" s="57"/>
      <c r="F525" s="57"/>
      <c r="G525" s="57"/>
      <c r="H525" s="57"/>
      <c r="I525" s="57"/>
      <c r="J525" s="57"/>
      <c r="K525" s="57"/>
      <c r="L525" s="57"/>
      <c r="M525" s="57"/>
      <c r="N525" s="57"/>
      <c r="O525" s="57"/>
      <c r="P525" s="57"/>
      <c r="Q525" s="57"/>
      <c r="R525" s="57"/>
      <c r="S525" s="57"/>
      <c r="T525" s="57"/>
      <c r="U525" s="57"/>
    </row>
    <row r="526" spans="2:21" x14ac:dyDescent="0.15">
      <c r="B526" s="57"/>
      <c r="C526" s="57"/>
      <c r="D526" s="57"/>
      <c r="E526" s="57"/>
      <c r="F526" s="57"/>
      <c r="G526" s="57"/>
      <c r="H526" s="57"/>
      <c r="I526" s="57"/>
      <c r="J526" s="57"/>
      <c r="K526" s="57"/>
      <c r="L526" s="57"/>
      <c r="M526" s="57"/>
      <c r="N526" s="57"/>
      <c r="O526" s="57"/>
      <c r="P526" s="57"/>
      <c r="Q526" s="57"/>
      <c r="R526" s="57"/>
      <c r="S526" s="57"/>
      <c r="T526" s="57"/>
      <c r="U526" s="57"/>
    </row>
    <row r="527" spans="2:21" x14ac:dyDescent="0.15">
      <c r="B527" s="57"/>
      <c r="C527" s="57"/>
      <c r="D527" s="57"/>
      <c r="E527" s="57"/>
      <c r="F527" s="57"/>
      <c r="G527" s="57"/>
      <c r="H527" s="57"/>
      <c r="I527" s="57"/>
      <c r="J527" s="57"/>
      <c r="K527" s="57"/>
      <c r="L527" s="57"/>
      <c r="M527" s="57"/>
      <c r="N527" s="57"/>
      <c r="O527" s="57"/>
      <c r="P527" s="57"/>
      <c r="Q527" s="57"/>
      <c r="R527" s="57"/>
      <c r="S527" s="57"/>
      <c r="T527" s="57"/>
      <c r="U527" s="57"/>
    </row>
    <row r="528" spans="2:21" x14ac:dyDescent="0.15">
      <c r="B528" s="57"/>
      <c r="C528" s="57"/>
      <c r="D528" s="57"/>
      <c r="E528" s="57"/>
      <c r="F528" s="57"/>
      <c r="G528" s="57"/>
      <c r="H528" s="57"/>
      <c r="I528" s="57"/>
      <c r="J528" s="57"/>
      <c r="K528" s="57"/>
      <c r="L528" s="57"/>
      <c r="M528" s="57"/>
      <c r="N528" s="57"/>
      <c r="O528" s="57"/>
      <c r="P528" s="57"/>
      <c r="Q528" s="57"/>
      <c r="R528" s="57"/>
      <c r="S528" s="57"/>
      <c r="T528" s="57"/>
      <c r="U528" s="57"/>
    </row>
    <row r="529" spans="2:21" x14ac:dyDescent="0.15">
      <c r="B529" s="57"/>
      <c r="C529" s="57"/>
      <c r="D529" s="57"/>
      <c r="E529" s="57"/>
      <c r="F529" s="57"/>
      <c r="G529" s="57"/>
      <c r="H529" s="57"/>
      <c r="I529" s="57"/>
      <c r="J529" s="57"/>
      <c r="K529" s="57"/>
      <c r="L529" s="57"/>
      <c r="M529" s="57"/>
      <c r="N529" s="57"/>
      <c r="O529" s="57"/>
      <c r="P529" s="57"/>
      <c r="Q529" s="57"/>
      <c r="R529" s="57"/>
      <c r="S529" s="57"/>
      <c r="T529" s="57"/>
      <c r="U529" s="57"/>
    </row>
    <row r="530" spans="2:21" x14ac:dyDescent="0.15">
      <c r="B530" s="57"/>
      <c r="C530" s="57"/>
      <c r="D530" s="57"/>
      <c r="E530" s="57"/>
      <c r="F530" s="57"/>
      <c r="G530" s="57"/>
      <c r="H530" s="57"/>
      <c r="I530" s="57"/>
      <c r="J530" s="57"/>
      <c r="K530" s="57"/>
      <c r="L530" s="57"/>
      <c r="M530" s="57"/>
      <c r="N530" s="57"/>
      <c r="O530" s="57"/>
      <c r="P530" s="57"/>
      <c r="Q530" s="57"/>
      <c r="R530" s="57"/>
      <c r="S530" s="57"/>
      <c r="T530" s="57"/>
      <c r="U530" s="57"/>
    </row>
    <row r="531" spans="2:21" x14ac:dyDescent="0.15">
      <c r="B531" s="57"/>
      <c r="C531" s="57"/>
      <c r="D531" s="57"/>
      <c r="E531" s="57"/>
      <c r="F531" s="57"/>
      <c r="G531" s="57"/>
      <c r="H531" s="57"/>
      <c r="I531" s="57"/>
      <c r="J531" s="57"/>
      <c r="K531" s="57"/>
      <c r="L531" s="57"/>
      <c r="M531" s="57"/>
      <c r="N531" s="57"/>
      <c r="O531" s="57"/>
      <c r="P531" s="57"/>
      <c r="Q531" s="57"/>
      <c r="R531" s="57"/>
      <c r="S531" s="57"/>
      <c r="T531" s="57"/>
      <c r="U531" s="57"/>
    </row>
    <row r="532" spans="2:21" x14ac:dyDescent="0.15">
      <c r="B532" s="57"/>
      <c r="C532" s="57"/>
      <c r="D532" s="57"/>
      <c r="E532" s="57"/>
      <c r="F532" s="57"/>
      <c r="G532" s="57"/>
      <c r="H532" s="57"/>
      <c r="I532" s="57"/>
      <c r="J532" s="57"/>
      <c r="K532" s="57"/>
      <c r="L532" s="57"/>
      <c r="M532" s="57"/>
      <c r="N532" s="57"/>
      <c r="O532" s="57"/>
      <c r="P532" s="57"/>
      <c r="Q532" s="57"/>
      <c r="R532" s="57"/>
      <c r="S532" s="57"/>
      <c r="T532" s="57"/>
      <c r="U532" s="57"/>
    </row>
    <row r="533" spans="2:21" x14ac:dyDescent="0.15">
      <c r="B533" s="57"/>
      <c r="C533" s="57"/>
      <c r="D533" s="57"/>
      <c r="E533" s="57"/>
      <c r="F533" s="57"/>
      <c r="G533" s="57"/>
      <c r="H533" s="57"/>
      <c r="I533" s="57"/>
      <c r="J533" s="57"/>
      <c r="K533" s="57"/>
      <c r="L533" s="57"/>
      <c r="M533" s="57"/>
      <c r="N533" s="57"/>
      <c r="O533" s="57"/>
      <c r="P533" s="57"/>
      <c r="Q533" s="57"/>
      <c r="R533" s="57"/>
      <c r="S533" s="57"/>
      <c r="T533" s="57"/>
      <c r="U533" s="57"/>
    </row>
    <row r="534" spans="2:21" x14ac:dyDescent="0.15">
      <c r="B534" s="57"/>
      <c r="C534" s="57"/>
      <c r="D534" s="57"/>
      <c r="E534" s="57"/>
      <c r="F534" s="57"/>
      <c r="G534" s="57"/>
      <c r="H534" s="57"/>
      <c r="I534" s="57"/>
      <c r="J534" s="57"/>
      <c r="K534" s="57"/>
      <c r="L534" s="57"/>
      <c r="M534" s="57"/>
      <c r="N534" s="57"/>
      <c r="O534" s="57"/>
      <c r="P534" s="57"/>
      <c r="Q534" s="57"/>
      <c r="R534" s="57"/>
      <c r="S534" s="57"/>
      <c r="T534" s="57"/>
      <c r="U534" s="57"/>
    </row>
    <row r="535" spans="2:21" x14ac:dyDescent="0.15">
      <c r="B535" s="57"/>
      <c r="C535" s="57"/>
      <c r="D535" s="57"/>
      <c r="E535" s="57"/>
      <c r="F535" s="57"/>
      <c r="G535" s="57"/>
      <c r="H535" s="57"/>
      <c r="I535" s="57"/>
      <c r="J535" s="57"/>
      <c r="K535" s="57"/>
      <c r="L535" s="57"/>
      <c r="M535" s="57"/>
      <c r="N535" s="57"/>
      <c r="O535" s="57"/>
      <c r="P535" s="57"/>
      <c r="Q535" s="57"/>
      <c r="R535" s="57"/>
      <c r="S535" s="57"/>
      <c r="T535" s="57"/>
      <c r="U535" s="57"/>
    </row>
    <row r="536" spans="2:21" x14ac:dyDescent="0.15">
      <c r="B536" s="57"/>
      <c r="C536" s="57"/>
      <c r="D536" s="57"/>
      <c r="E536" s="57"/>
      <c r="F536" s="57"/>
      <c r="G536" s="57"/>
      <c r="H536" s="57"/>
      <c r="I536" s="57"/>
      <c r="J536" s="57"/>
      <c r="K536" s="57"/>
      <c r="L536" s="57"/>
      <c r="M536" s="57"/>
      <c r="N536" s="57"/>
      <c r="O536" s="57"/>
      <c r="P536" s="57"/>
      <c r="Q536" s="57"/>
      <c r="R536" s="57"/>
      <c r="S536" s="57"/>
      <c r="T536" s="57"/>
      <c r="U536" s="57"/>
    </row>
    <row r="537" spans="2:21" x14ac:dyDescent="0.15">
      <c r="B537" s="57"/>
      <c r="C537" s="57"/>
      <c r="D537" s="57"/>
      <c r="E537" s="57"/>
      <c r="F537" s="57"/>
      <c r="G537" s="57"/>
      <c r="H537" s="57"/>
      <c r="I537" s="57"/>
      <c r="J537" s="57"/>
      <c r="K537" s="57"/>
      <c r="L537" s="57"/>
      <c r="M537" s="57"/>
      <c r="N537" s="57"/>
      <c r="O537" s="57"/>
      <c r="P537" s="57"/>
      <c r="Q537" s="57"/>
      <c r="R537" s="57"/>
      <c r="S537" s="57"/>
      <c r="T537" s="57"/>
      <c r="U537" s="57"/>
    </row>
    <row r="538" spans="2:21" x14ac:dyDescent="0.15">
      <c r="B538" s="57"/>
      <c r="C538" s="57"/>
      <c r="D538" s="57"/>
      <c r="E538" s="57"/>
      <c r="F538" s="57"/>
      <c r="G538" s="57"/>
      <c r="H538" s="57"/>
      <c r="I538" s="57"/>
      <c r="J538" s="57"/>
      <c r="K538" s="57"/>
      <c r="L538" s="57"/>
      <c r="M538" s="57"/>
      <c r="N538" s="57"/>
      <c r="O538" s="57"/>
      <c r="P538" s="57"/>
      <c r="Q538" s="57"/>
      <c r="R538" s="57"/>
      <c r="S538" s="57"/>
      <c r="T538" s="57"/>
      <c r="U538" s="57"/>
    </row>
    <row r="539" spans="2:21" x14ac:dyDescent="0.15">
      <c r="B539" s="57"/>
      <c r="C539" s="57"/>
      <c r="D539" s="57"/>
      <c r="E539" s="57"/>
      <c r="F539" s="57"/>
      <c r="G539" s="57"/>
      <c r="H539" s="57"/>
      <c r="I539" s="57"/>
      <c r="J539" s="57"/>
      <c r="K539" s="57"/>
      <c r="L539" s="57"/>
      <c r="M539" s="57"/>
      <c r="N539" s="57"/>
      <c r="O539" s="57"/>
      <c r="P539" s="57"/>
      <c r="Q539" s="57"/>
      <c r="R539" s="57"/>
      <c r="S539" s="57"/>
      <c r="T539" s="57"/>
      <c r="U539" s="57"/>
    </row>
    <row r="540" spans="2:21" x14ac:dyDescent="0.15">
      <c r="B540" s="57"/>
      <c r="C540" s="57"/>
      <c r="D540" s="57"/>
      <c r="E540" s="57"/>
      <c r="F540" s="57"/>
      <c r="G540" s="57"/>
      <c r="H540" s="57"/>
      <c r="I540" s="57"/>
      <c r="J540" s="57"/>
      <c r="K540" s="57"/>
      <c r="L540" s="57"/>
      <c r="M540" s="57"/>
      <c r="N540" s="57"/>
      <c r="O540" s="57"/>
      <c r="P540" s="57"/>
      <c r="Q540" s="57"/>
      <c r="R540" s="57"/>
      <c r="S540" s="57"/>
      <c r="T540" s="57"/>
      <c r="U540" s="57"/>
    </row>
    <row r="541" spans="2:21" x14ac:dyDescent="0.15">
      <c r="B541" s="57"/>
      <c r="C541" s="57"/>
      <c r="D541" s="57"/>
      <c r="E541" s="57"/>
      <c r="F541" s="57"/>
      <c r="G541" s="57"/>
      <c r="H541" s="57"/>
      <c r="I541" s="57"/>
      <c r="J541" s="57"/>
      <c r="K541" s="57"/>
      <c r="L541" s="57"/>
      <c r="M541" s="57"/>
      <c r="N541" s="57"/>
      <c r="O541" s="57"/>
      <c r="P541" s="57"/>
      <c r="Q541" s="57"/>
      <c r="R541" s="57"/>
      <c r="S541" s="57"/>
      <c r="T541" s="57"/>
      <c r="U541" s="57"/>
    </row>
    <row r="542" spans="2:21" x14ac:dyDescent="0.15">
      <c r="B542" s="57"/>
      <c r="C542" s="57"/>
      <c r="D542" s="57"/>
      <c r="E542" s="57"/>
      <c r="F542" s="57"/>
      <c r="G542" s="57"/>
      <c r="H542" s="57"/>
      <c r="I542" s="57"/>
      <c r="J542" s="57"/>
      <c r="K542" s="57"/>
      <c r="L542" s="57"/>
      <c r="M542" s="57"/>
      <c r="N542" s="57"/>
      <c r="O542" s="57"/>
      <c r="P542" s="57"/>
      <c r="Q542" s="57"/>
      <c r="R542" s="57"/>
      <c r="S542" s="57"/>
      <c r="T542" s="57"/>
      <c r="U542" s="57"/>
    </row>
    <row r="543" spans="2:21" x14ac:dyDescent="0.15">
      <c r="B543" s="57"/>
      <c r="C543" s="57"/>
      <c r="D543" s="57"/>
      <c r="E543" s="57"/>
      <c r="F543" s="57"/>
      <c r="G543" s="57"/>
      <c r="H543" s="57"/>
      <c r="I543" s="57"/>
      <c r="J543" s="57"/>
      <c r="K543" s="57"/>
      <c r="L543" s="57"/>
      <c r="M543" s="57"/>
      <c r="N543" s="57"/>
      <c r="O543" s="57"/>
      <c r="P543" s="57"/>
      <c r="Q543" s="57"/>
      <c r="R543" s="57"/>
      <c r="S543" s="57"/>
      <c r="T543" s="57"/>
      <c r="U543" s="57"/>
    </row>
    <row r="544" spans="2:21" x14ac:dyDescent="0.15">
      <c r="B544" s="57"/>
      <c r="C544" s="57"/>
      <c r="D544" s="57"/>
      <c r="E544" s="57"/>
      <c r="F544" s="57"/>
      <c r="G544" s="57"/>
      <c r="H544" s="57"/>
      <c r="I544" s="57"/>
      <c r="J544" s="57"/>
      <c r="K544" s="57"/>
      <c r="L544" s="57"/>
      <c r="M544" s="57"/>
      <c r="N544" s="57"/>
      <c r="O544" s="57"/>
      <c r="P544" s="57"/>
      <c r="Q544" s="57"/>
      <c r="R544" s="57"/>
      <c r="S544" s="57"/>
      <c r="T544" s="57"/>
      <c r="U544" s="57"/>
    </row>
    <row r="545" spans="2:21" x14ac:dyDescent="0.15">
      <c r="B545" s="57"/>
      <c r="C545" s="57"/>
      <c r="D545" s="57"/>
      <c r="E545" s="57"/>
      <c r="F545" s="57"/>
      <c r="G545" s="57"/>
      <c r="H545" s="57"/>
      <c r="I545" s="57"/>
      <c r="J545" s="57"/>
      <c r="K545" s="57"/>
      <c r="L545" s="57"/>
      <c r="M545" s="57"/>
      <c r="N545" s="57"/>
      <c r="O545" s="57"/>
      <c r="P545" s="57"/>
      <c r="Q545" s="57"/>
      <c r="R545" s="57"/>
      <c r="S545" s="57"/>
      <c r="T545" s="57"/>
      <c r="U545" s="57"/>
    </row>
    <row r="546" spans="2:21" x14ac:dyDescent="0.15">
      <c r="B546" s="57"/>
      <c r="C546" s="57"/>
      <c r="D546" s="57"/>
      <c r="E546" s="57"/>
      <c r="F546" s="57"/>
      <c r="G546" s="57"/>
      <c r="H546" s="57"/>
      <c r="I546" s="57"/>
      <c r="J546" s="57"/>
      <c r="K546" s="57"/>
      <c r="L546" s="57"/>
      <c r="M546" s="57"/>
      <c r="N546" s="57"/>
      <c r="O546" s="57"/>
      <c r="P546" s="57"/>
      <c r="Q546" s="57"/>
      <c r="R546" s="57"/>
      <c r="S546" s="57"/>
      <c r="T546" s="57"/>
      <c r="U546" s="57"/>
    </row>
    <row r="547" spans="2:21" x14ac:dyDescent="0.15">
      <c r="B547" s="57"/>
      <c r="C547" s="57"/>
      <c r="D547" s="57"/>
      <c r="E547" s="57"/>
      <c r="F547" s="57"/>
      <c r="G547" s="57"/>
      <c r="H547" s="57"/>
      <c r="I547" s="57"/>
      <c r="J547" s="57"/>
      <c r="K547" s="57"/>
      <c r="L547" s="57"/>
      <c r="M547" s="57"/>
      <c r="N547" s="57"/>
      <c r="O547" s="57"/>
      <c r="P547" s="57"/>
      <c r="Q547" s="57"/>
      <c r="R547" s="57"/>
      <c r="S547" s="57"/>
      <c r="T547" s="57"/>
      <c r="U547" s="57"/>
    </row>
    <row r="548" spans="2:21" x14ac:dyDescent="0.15">
      <c r="B548" s="57"/>
      <c r="C548" s="57"/>
      <c r="D548" s="57"/>
      <c r="E548" s="57"/>
      <c r="F548" s="57"/>
      <c r="G548" s="57"/>
      <c r="H548" s="57"/>
      <c r="I548" s="57"/>
      <c r="J548" s="57"/>
      <c r="K548" s="57"/>
      <c r="L548" s="57"/>
      <c r="M548" s="57"/>
      <c r="N548" s="57"/>
      <c r="O548" s="57"/>
      <c r="P548" s="57"/>
      <c r="Q548" s="57"/>
      <c r="R548" s="57"/>
      <c r="S548" s="57"/>
      <c r="T548" s="57"/>
      <c r="U548" s="57"/>
    </row>
    <row r="549" spans="2:21" x14ac:dyDescent="0.15">
      <c r="B549" s="57"/>
      <c r="C549" s="57"/>
      <c r="D549" s="57"/>
      <c r="E549" s="57"/>
      <c r="F549" s="57"/>
      <c r="G549" s="57"/>
      <c r="H549" s="57"/>
      <c r="I549" s="57"/>
      <c r="J549" s="57"/>
      <c r="K549" s="57"/>
      <c r="L549" s="57"/>
      <c r="M549" s="57"/>
      <c r="N549" s="57"/>
      <c r="O549" s="57"/>
      <c r="P549" s="57"/>
      <c r="Q549" s="57"/>
      <c r="R549" s="57"/>
      <c r="S549" s="57"/>
      <c r="T549" s="57"/>
      <c r="U549" s="57"/>
    </row>
    <row r="550" spans="2:21" x14ac:dyDescent="0.15">
      <c r="B550" s="57"/>
      <c r="C550" s="57"/>
      <c r="D550" s="57"/>
      <c r="E550" s="57"/>
      <c r="F550" s="57"/>
      <c r="G550" s="57"/>
      <c r="H550" s="57"/>
      <c r="I550" s="57"/>
      <c r="J550" s="57"/>
      <c r="K550" s="57"/>
      <c r="L550" s="57"/>
      <c r="M550" s="57"/>
      <c r="N550" s="57"/>
      <c r="O550" s="57"/>
      <c r="P550" s="57"/>
      <c r="Q550" s="57"/>
      <c r="R550" s="57"/>
      <c r="S550" s="57"/>
      <c r="T550" s="57"/>
      <c r="U550" s="57"/>
    </row>
    <row r="551" spans="2:21" x14ac:dyDescent="0.15">
      <c r="B551" s="57"/>
      <c r="C551" s="57"/>
      <c r="D551" s="57"/>
      <c r="E551" s="57"/>
      <c r="F551" s="57"/>
      <c r="G551" s="57"/>
      <c r="H551" s="57"/>
      <c r="I551" s="57"/>
      <c r="J551" s="57"/>
      <c r="K551" s="57"/>
      <c r="L551" s="57"/>
      <c r="M551" s="57"/>
      <c r="N551" s="57"/>
      <c r="O551" s="57"/>
      <c r="P551" s="57"/>
      <c r="Q551" s="57"/>
      <c r="R551" s="57"/>
      <c r="S551" s="57"/>
      <c r="T551" s="57"/>
      <c r="U551" s="57"/>
    </row>
    <row r="552" spans="2:21" x14ac:dyDescent="0.15">
      <c r="B552" s="57"/>
      <c r="C552" s="57"/>
      <c r="D552" s="57"/>
      <c r="E552" s="57"/>
      <c r="F552" s="57"/>
      <c r="G552" s="57"/>
      <c r="H552" s="57"/>
      <c r="I552" s="57"/>
      <c r="J552" s="57"/>
      <c r="K552" s="57"/>
      <c r="L552" s="57"/>
      <c r="M552" s="57"/>
      <c r="N552" s="57"/>
      <c r="O552" s="57"/>
      <c r="P552" s="57"/>
      <c r="Q552" s="57"/>
      <c r="R552" s="57"/>
      <c r="S552" s="57"/>
      <c r="T552" s="57"/>
      <c r="U552" s="57"/>
    </row>
    <row r="553" spans="2:21" x14ac:dyDescent="0.15">
      <c r="B553" s="57"/>
      <c r="C553" s="57"/>
      <c r="D553" s="57"/>
      <c r="E553" s="57"/>
      <c r="F553" s="57"/>
      <c r="G553" s="57"/>
      <c r="H553" s="57"/>
      <c r="I553" s="57"/>
      <c r="J553" s="57"/>
      <c r="K553" s="57"/>
      <c r="L553" s="57"/>
      <c r="M553" s="57"/>
      <c r="N553" s="57"/>
      <c r="O553" s="57"/>
      <c r="P553" s="57"/>
      <c r="Q553" s="57"/>
      <c r="R553" s="57"/>
      <c r="S553" s="57"/>
      <c r="T553" s="57"/>
      <c r="U553" s="57"/>
    </row>
    <row r="554" spans="2:21" x14ac:dyDescent="0.15">
      <c r="B554" s="57"/>
      <c r="C554" s="57"/>
      <c r="D554" s="57"/>
      <c r="E554" s="57"/>
      <c r="F554" s="57"/>
      <c r="G554" s="57"/>
      <c r="H554" s="57"/>
      <c r="I554" s="57"/>
      <c r="J554" s="57"/>
      <c r="K554" s="57"/>
      <c r="L554" s="57"/>
      <c r="M554" s="57"/>
      <c r="N554" s="57"/>
      <c r="O554" s="57"/>
      <c r="P554" s="57"/>
      <c r="Q554" s="57"/>
      <c r="R554" s="57"/>
      <c r="S554" s="57"/>
      <c r="T554" s="57"/>
      <c r="U554" s="57"/>
    </row>
    <row r="555" spans="2:21" x14ac:dyDescent="0.15">
      <c r="B555" s="57"/>
      <c r="C555" s="57"/>
      <c r="D555" s="57"/>
      <c r="E555" s="57"/>
      <c r="F555" s="57"/>
      <c r="G555" s="57"/>
      <c r="H555" s="57"/>
      <c r="I555" s="57"/>
      <c r="J555" s="57"/>
      <c r="K555" s="57"/>
      <c r="L555" s="57"/>
      <c r="M555" s="57"/>
      <c r="N555" s="57"/>
      <c r="O555" s="57"/>
      <c r="P555" s="57"/>
      <c r="Q555" s="57"/>
      <c r="R555" s="57"/>
      <c r="S555" s="57"/>
      <c r="T555" s="57"/>
      <c r="U555" s="57"/>
    </row>
    <row r="556" spans="2:21" x14ac:dyDescent="0.15">
      <c r="B556" s="57"/>
      <c r="C556" s="57"/>
      <c r="D556" s="57"/>
      <c r="E556" s="57"/>
      <c r="F556" s="57"/>
      <c r="G556" s="57"/>
      <c r="H556" s="57"/>
      <c r="I556" s="57"/>
      <c r="J556" s="57"/>
      <c r="K556" s="57"/>
      <c r="L556" s="57"/>
      <c r="M556" s="57"/>
      <c r="N556" s="57"/>
      <c r="O556" s="57"/>
      <c r="P556" s="57"/>
      <c r="Q556" s="57"/>
      <c r="R556" s="57"/>
      <c r="S556" s="57"/>
      <c r="T556" s="57"/>
      <c r="U556" s="57"/>
    </row>
    <row r="557" spans="2:21" x14ac:dyDescent="0.15">
      <c r="B557" s="57"/>
      <c r="C557" s="57"/>
      <c r="D557" s="57"/>
      <c r="E557" s="57"/>
      <c r="F557" s="57"/>
      <c r="G557" s="57"/>
      <c r="H557" s="57"/>
      <c r="I557" s="57"/>
      <c r="J557" s="57"/>
      <c r="K557" s="57"/>
      <c r="L557" s="57"/>
      <c r="M557" s="57"/>
      <c r="N557" s="57"/>
      <c r="O557" s="57"/>
      <c r="P557" s="57"/>
      <c r="Q557" s="57"/>
      <c r="R557" s="57"/>
      <c r="S557" s="57"/>
      <c r="T557" s="57"/>
      <c r="U557" s="57"/>
    </row>
    <row r="558" spans="2:21" x14ac:dyDescent="0.15">
      <c r="B558" s="57"/>
      <c r="C558" s="57"/>
      <c r="D558" s="57"/>
      <c r="E558" s="57"/>
      <c r="F558" s="57"/>
      <c r="G558" s="57"/>
      <c r="H558" s="57"/>
      <c r="I558" s="57"/>
      <c r="J558" s="57"/>
      <c r="K558" s="57"/>
      <c r="L558" s="57"/>
      <c r="M558" s="57"/>
      <c r="N558" s="57"/>
      <c r="O558" s="57"/>
      <c r="P558" s="57"/>
      <c r="Q558" s="57"/>
      <c r="R558" s="57"/>
      <c r="S558" s="57"/>
      <c r="T558" s="57"/>
      <c r="U558" s="57"/>
    </row>
    <row r="559" spans="2:21" x14ac:dyDescent="0.15">
      <c r="B559" s="57"/>
      <c r="C559" s="57"/>
      <c r="D559" s="57"/>
      <c r="E559" s="57"/>
      <c r="F559" s="57"/>
      <c r="G559" s="57"/>
      <c r="H559" s="57"/>
      <c r="I559" s="57"/>
      <c r="J559" s="57"/>
      <c r="K559" s="57"/>
      <c r="L559" s="57"/>
      <c r="M559" s="57"/>
      <c r="N559" s="57"/>
      <c r="O559" s="57"/>
      <c r="P559" s="57"/>
      <c r="Q559" s="57"/>
      <c r="R559" s="57"/>
      <c r="S559" s="57"/>
      <c r="T559" s="57"/>
      <c r="U559" s="57"/>
    </row>
    <row r="560" spans="2:21" x14ac:dyDescent="0.15">
      <c r="B560" s="57"/>
      <c r="C560" s="57"/>
      <c r="D560" s="57"/>
      <c r="E560" s="57"/>
      <c r="F560" s="57"/>
      <c r="G560" s="57"/>
      <c r="H560" s="57"/>
      <c r="I560" s="57"/>
      <c r="J560" s="57"/>
      <c r="K560" s="57"/>
      <c r="L560" s="57"/>
      <c r="M560" s="57"/>
      <c r="N560" s="57"/>
      <c r="O560" s="57"/>
      <c r="P560" s="57"/>
      <c r="Q560" s="57"/>
      <c r="R560" s="57"/>
      <c r="S560" s="57"/>
      <c r="T560" s="57"/>
      <c r="U560" s="57"/>
    </row>
    <row r="561" spans="2:21" x14ac:dyDescent="0.15">
      <c r="B561" s="57"/>
      <c r="C561" s="57"/>
      <c r="D561" s="57"/>
      <c r="E561" s="57"/>
      <c r="F561" s="57"/>
      <c r="G561" s="57"/>
      <c r="H561" s="57"/>
      <c r="I561" s="57"/>
      <c r="J561" s="57"/>
      <c r="K561" s="57"/>
      <c r="L561" s="57"/>
      <c r="M561" s="57"/>
      <c r="N561" s="57"/>
      <c r="O561" s="57"/>
      <c r="P561" s="57"/>
      <c r="Q561" s="57"/>
      <c r="R561" s="57"/>
      <c r="S561" s="57"/>
      <c r="T561" s="57"/>
      <c r="U561" s="57"/>
    </row>
    <row r="562" spans="2:21" x14ac:dyDescent="0.15">
      <c r="B562" s="57"/>
      <c r="C562" s="57"/>
      <c r="D562" s="57"/>
      <c r="E562" s="57"/>
      <c r="F562" s="57"/>
      <c r="G562" s="57"/>
      <c r="H562" s="57"/>
      <c r="I562" s="57"/>
      <c r="J562" s="57"/>
      <c r="K562" s="57"/>
      <c r="L562" s="57"/>
      <c r="M562" s="57"/>
      <c r="N562" s="57"/>
      <c r="O562" s="57"/>
      <c r="P562" s="57"/>
      <c r="Q562" s="57"/>
      <c r="R562" s="57"/>
      <c r="S562" s="57"/>
      <c r="T562" s="57"/>
      <c r="U562" s="57"/>
    </row>
    <row r="563" spans="2:21" x14ac:dyDescent="0.15">
      <c r="B563" s="57"/>
      <c r="C563" s="57"/>
      <c r="D563" s="57"/>
      <c r="E563" s="57"/>
      <c r="F563" s="57"/>
      <c r="G563" s="57"/>
      <c r="H563" s="57"/>
      <c r="I563" s="57"/>
      <c r="J563" s="57"/>
      <c r="K563" s="57"/>
      <c r="L563" s="57"/>
      <c r="M563" s="57"/>
      <c r="N563" s="57"/>
      <c r="O563" s="57"/>
      <c r="P563" s="57"/>
      <c r="Q563" s="57"/>
      <c r="R563" s="57"/>
      <c r="S563" s="57"/>
      <c r="T563" s="57"/>
      <c r="U563" s="57"/>
    </row>
    <row r="564" spans="2:21" x14ac:dyDescent="0.15">
      <c r="B564" s="57"/>
      <c r="C564" s="57"/>
      <c r="D564" s="57"/>
      <c r="E564" s="57"/>
      <c r="F564" s="57"/>
      <c r="G564" s="57"/>
      <c r="H564" s="57"/>
      <c r="I564" s="57"/>
      <c r="J564" s="57"/>
      <c r="K564" s="57"/>
      <c r="L564" s="57"/>
      <c r="M564" s="57"/>
      <c r="N564" s="57"/>
      <c r="O564" s="57"/>
      <c r="P564" s="57"/>
      <c r="Q564" s="57"/>
      <c r="R564" s="57"/>
      <c r="S564" s="57"/>
      <c r="T564" s="57"/>
      <c r="U564" s="57"/>
    </row>
    <row r="565" spans="2:21" x14ac:dyDescent="0.15">
      <c r="B565" s="57"/>
      <c r="C565" s="57"/>
      <c r="D565" s="57"/>
      <c r="E565" s="57"/>
      <c r="F565" s="57"/>
      <c r="G565" s="57"/>
      <c r="H565" s="57"/>
      <c r="I565" s="57"/>
      <c r="J565" s="57"/>
      <c r="K565" s="57"/>
      <c r="L565" s="57"/>
      <c r="M565" s="57"/>
      <c r="N565" s="57"/>
      <c r="O565" s="57"/>
      <c r="P565" s="57"/>
      <c r="Q565" s="57"/>
      <c r="R565" s="57"/>
      <c r="S565" s="57"/>
      <c r="T565" s="57"/>
      <c r="U565" s="57"/>
    </row>
    <row r="566" spans="2:21" x14ac:dyDescent="0.15">
      <c r="B566" s="57"/>
      <c r="C566" s="57"/>
      <c r="D566" s="57"/>
      <c r="E566" s="57"/>
      <c r="F566" s="57"/>
      <c r="G566" s="57"/>
      <c r="H566" s="57"/>
      <c r="I566" s="57"/>
      <c r="J566" s="57"/>
      <c r="K566" s="57"/>
      <c r="L566" s="57"/>
      <c r="M566" s="57"/>
      <c r="N566" s="57"/>
      <c r="O566" s="57"/>
      <c r="P566" s="57"/>
      <c r="Q566" s="57"/>
      <c r="R566" s="57"/>
      <c r="S566" s="57"/>
      <c r="T566" s="57"/>
      <c r="U566" s="57"/>
    </row>
    <row r="567" spans="2:21" x14ac:dyDescent="0.15">
      <c r="B567" s="57"/>
      <c r="C567" s="57"/>
      <c r="D567" s="57"/>
      <c r="E567" s="57"/>
      <c r="F567" s="57"/>
      <c r="G567" s="57"/>
      <c r="H567" s="57"/>
      <c r="I567" s="57"/>
      <c r="J567" s="57"/>
      <c r="K567" s="57"/>
      <c r="L567" s="57"/>
      <c r="M567" s="57"/>
      <c r="N567" s="57"/>
      <c r="O567" s="57"/>
      <c r="P567" s="57"/>
      <c r="Q567" s="57"/>
      <c r="R567" s="57"/>
      <c r="S567" s="57"/>
      <c r="T567" s="57"/>
      <c r="U567" s="57"/>
    </row>
    <row r="568" spans="2:21" x14ac:dyDescent="0.15">
      <c r="B568" s="57"/>
      <c r="C568" s="57"/>
      <c r="D568" s="57"/>
      <c r="E568" s="57"/>
      <c r="F568" s="57"/>
      <c r="G568" s="57"/>
      <c r="H568" s="57"/>
      <c r="I568" s="57"/>
      <c r="J568" s="57"/>
      <c r="K568" s="57"/>
      <c r="L568" s="57"/>
      <c r="M568" s="57"/>
      <c r="N568" s="57"/>
      <c r="O568" s="57"/>
      <c r="P568" s="57"/>
      <c r="Q568" s="57"/>
      <c r="R568" s="57"/>
      <c r="S568" s="57"/>
      <c r="T568" s="57"/>
      <c r="U568" s="57"/>
    </row>
    <row r="569" spans="2:21" x14ac:dyDescent="0.15">
      <c r="B569" s="57"/>
      <c r="C569" s="57"/>
      <c r="D569" s="57"/>
      <c r="E569" s="57"/>
      <c r="F569" s="57"/>
      <c r="G569" s="57"/>
      <c r="H569" s="57"/>
      <c r="I569" s="57"/>
      <c r="J569" s="57"/>
      <c r="K569" s="57"/>
      <c r="L569" s="57"/>
      <c r="M569" s="57"/>
      <c r="N569" s="57"/>
      <c r="O569" s="57"/>
      <c r="P569" s="57"/>
      <c r="Q569" s="57"/>
      <c r="R569" s="57"/>
      <c r="S569" s="57"/>
      <c r="T569" s="57"/>
      <c r="U569" s="57"/>
    </row>
    <row r="570" spans="2:21" x14ac:dyDescent="0.15">
      <c r="B570" s="57"/>
      <c r="C570" s="57"/>
      <c r="D570" s="57"/>
      <c r="E570" s="57"/>
      <c r="F570" s="57"/>
      <c r="G570" s="57"/>
      <c r="H570" s="57"/>
      <c r="I570" s="57"/>
      <c r="J570" s="57"/>
      <c r="K570" s="57"/>
      <c r="L570" s="57"/>
      <c r="M570" s="57"/>
      <c r="N570" s="57"/>
      <c r="O570" s="57"/>
      <c r="P570" s="57"/>
      <c r="Q570" s="57"/>
      <c r="R570" s="57"/>
      <c r="S570" s="57"/>
      <c r="T570" s="57"/>
      <c r="U570" s="57"/>
    </row>
    <row r="571" spans="2:21" x14ac:dyDescent="0.15">
      <c r="B571" s="57"/>
      <c r="C571" s="57"/>
      <c r="D571" s="57"/>
      <c r="E571" s="57"/>
      <c r="F571" s="57"/>
      <c r="G571" s="57"/>
      <c r="H571" s="57"/>
      <c r="I571" s="57"/>
      <c r="J571" s="57"/>
      <c r="K571" s="57"/>
      <c r="L571" s="57"/>
      <c r="M571" s="57"/>
      <c r="N571" s="57"/>
      <c r="O571" s="57"/>
      <c r="P571" s="57"/>
      <c r="Q571" s="57"/>
      <c r="R571" s="57"/>
      <c r="S571" s="57"/>
      <c r="T571" s="57"/>
      <c r="U571" s="57"/>
    </row>
    <row r="572" spans="2:21" x14ac:dyDescent="0.15">
      <c r="B572" s="57"/>
      <c r="C572" s="57"/>
      <c r="D572" s="57"/>
      <c r="E572" s="57"/>
      <c r="F572" s="57"/>
      <c r="G572" s="57"/>
      <c r="H572" s="57"/>
      <c r="I572" s="57"/>
      <c r="J572" s="57"/>
      <c r="K572" s="57"/>
      <c r="L572" s="57"/>
      <c r="M572" s="57"/>
      <c r="N572" s="57"/>
      <c r="O572" s="57"/>
      <c r="P572" s="57"/>
      <c r="Q572" s="57"/>
      <c r="R572" s="57"/>
      <c r="S572" s="57"/>
      <c r="T572" s="57"/>
      <c r="U572" s="57"/>
    </row>
    <row r="573" spans="2:21" x14ac:dyDescent="0.15">
      <c r="B573" s="57"/>
      <c r="C573" s="57"/>
      <c r="D573" s="57"/>
      <c r="E573" s="57"/>
      <c r="F573" s="57"/>
      <c r="G573" s="57"/>
      <c r="H573" s="57"/>
      <c r="I573" s="57"/>
      <c r="J573" s="57"/>
      <c r="K573" s="57"/>
      <c r="L573" s="57"/>
      <c r="M573" s="57"/>
      <c r="N573" s="57"/>
      <c r="O573" s="57"/>
      <c r="P573" s="57"/>
      <c r="Q573" s="57"/>
      <c r="R573" s="57"/>
      <c r="S573" s="57"/>
      <c r="T573" s="57"/>
      <c r="U573" s="57"/>
    </row>
    <row r="574" spans="2:21" x14ac:dyDescent="0.15">
      <c r="B574" s="57"/>
      <c r="C574" s="57"/>
      <c r="D574" s="57"/>
      <c r="E574" s="57"/>
      <c r="F574" s="57"/>
      <c r="G574" s="57"/>
      <c r="H574" s="57"/>
      <c r="I574" s="57"/>
      <c r="J574" s="57"/>
      <c r="K574" s="57"/>
      <c r="L574" s="57"/>
      <c r="M574" s="57"/>
      <c r="N574" s="57"/>
      <c r="O574" s="57"/>
      <c r="P574" s="57"/>
      <c r="Q574" s="57"/>
      <c r="R574" s="57"/>
      <c r="S574" s="57"/>
      <c r="T574" s="57"/>
      <c r="U574" s="57"/>
    </row>
    <row r="575" spans="2:21" x14ac:dyDescent="0.15">
      <c r="B575" s="57"/>
      <c r="C575" s="57"/>
      <c r="D575" s="57"/>
      <c r="E575" s="57"/>
      <c r="F575" s="57"/>
      <c r="G575" s="57"/>
      <c r="H575" s="57"/>
      <c r="I575" s="57"/>
      <c r="J575" s="57"/>
      <c r="K575" s="57"/>
      <c r="L575" s="57"/>
      <c r="M575" s="57"/>
      <c r="N575" s="57"/>
      <c r="O575" s="57"/>
      <c r="P575" s="57"/>
      <c r="Q575" s="57"/>
      <c r="R575" s="57"/>
      <c r="S575" s="57"/>
      <c r="T575" s="57"/>
      <c r="U575" s="57"/>
    </row>
    <row r="576" spans="2:21" x14ac:dyDescent="0.15">
      <c r="B576" s="57"/>
      <c r="C576" s="57"/>
      <c r="D576" s="57"/>
      <c r="E576" s="57"/>
      <c r="F576" s="57"/>
      <c r="G576" s="57"/>
      <c r="H576" s="57"/>
      <c r="I576" s="57"/>
      <c r="J576" s="57"/>
      <c r="K576" s="57"/>
      <c r="L576" s="57"/>
      <c r="M576" s="57"/>
      <c r="N576" s="57"/>
      <c r="O576" s="57"/>
      <c r="P576" s="57"/>
      <c r="Q576" s="57"/>
      <c r="R576" s="57"/>
      <c r="S576" s="57"/>
      <c r="T576" s="57"/>
      <c r="U576" s="57"/>
    </row>
    <row r="577" spans="2:21" x14ac:dyDescent="0.15">
      <c r="B577" s="57"/>
      <c r="C577" s="57"/>
      <c r="D577" s="57"/>
      <c r="E577" s="57"/>
      <c r="F577" s="57"/>
      <c r="G577" s="57"/>
      <c r="H577" s="57"/>
      <c r="I577" s="57"/>
      <c r="J577" s="57"/>
      <c r="K577" s="57"/>
      <c r="L577" s="57"/>
      <c r="M577" s="57"/>
      <c r="N577" s="57"/>
      <c r="O577" s="57"/>
      <c r="P577" s="57"/>
      <c r="Q577" s="57"/>
      <c r="R577" s="57"/>
      <c r="S577" s="57"/>
      <c r="T577" s="57"/>
      <c r="U577" s="57"/>
    </row>
    <row r="578" spans="2:21" x14ac:dyDescent="0.15">
      <c r="B578" s="57"/>
      <c r="C578" s="57"/>
      <c r="D578" s="57"/>
      <c r="E578" s="57"/>
      <c r="F578" s="57"/>
      <c r="G578" s="57"/>
      <c r="H578" s="57"/>
      <c r="I578" s="57"/>
      <c r="J578" s="57"/>
      <c r="K578" s="57"/>
      <c r="L578" s="57"/>
      <c r="M578" s="57"/>
      <c r="N578" s="57"/>
      <c r="O578" s="57"/>
      <c r="P578" s="57"/>
      <c r="Q578" s="57"/>
      <c r="R578" s="57"/>
      <c r="S578" s="57"/>
      <c r="T578" s="57"/>
      <c r="U578" s="57"/>
    </row>
    <row r="579" spans="2:21" x14ac:dyDescent="0.15">
      <c r="B579" s="57"/>
      <c r="C579" s="57"/>
      <c r="D579" s="57"/>
      <c r="E579" s="57"/>
      <c r="F579" s="57"/>
      <c r="G579" s="57"/>
      <c r="H579" s="57"/>
      <c r="I579" s="57"/>
      <c r="J579" s="57"/>
      <c r="K579" s="57"/>
      <c r="L579" s="57"/>
      <c r="M579" s="57"/>
      <c r="N579" s="57"/>
      <c r="O579" s="57"/>
      <c r="P579" s="57"/>
      <c r="Q579" s="57"/>
      <c r="R579" s="57"/>
      <c r="S579" s="57"/>
      <c r="T579" s="57"/>
      <c r="U579" s="57"/>
    </row>
    <row r="580" spans="2:21" x14ac:dyDescent="0.15">
      <c r="B580" s="57"/>
      <c r="C580" s="57"/>
      <c r="D580" s="57"/>
      <c r="E580" s="57"/>
      <c r="F580" s="57"/>
      <c r="G580" s="57"/>
      <c r="H580" s="57"/>
      <c r="I580" s="57"/>
      <c r="J580" s="57"/>
      <c r="K580" s="57"/>
      <c r="L580" s="57"/>
      <c r="M580" s="57"/>
      <c r="N580" s="57"/>
      <c r="O580" s="57"/>
      <c r="P580" s="57"/>
      <c r="Q580" s="57"/>
      <c r="R580" s="57"/>
      <c r="S580" s="57"/>
      <c r="T580" s="57"/>
      <c r="U580" s="57"/>
    </row>
    <row r="581" spans="2:21" x14ac:dyDescent="0.15">
      <c r="B581" s="57"/>
      <c r="C581" s="57"/>
      <c r="D581" s="57"/>
      <c r="E581" s="57"/>
      <c r="F581" s="57"/>
      <c r="G581" s="57"/>
      <c r="H581" s="57"/>
      <c r="I581" s="57"/>
      <c r="J581" s="57"/>
      <c r="K581" s="57"/>
      <c r="L581" s="57"/>
      <c r="M581" s="57"/>
      <c r="N581" s="57"/>
      <c r="O581" s="57"/>
      <c r="P581" s="57"/>
      <c r="Q581" s="57"/>
      <c r="R581" s="57"/>
      <c r="S581" s="57"/>
      <c r="T581" s="57"/>
      <c r="U581" s="57"/>
    </row>
    <row r="582" spans="2:21" x14ac:dyDescent="0.15">
      <c r="B582" s="57"/>
      <c r="C582" s="57"/>
      <c r="D582" s="57"/>
      <c r="E582" s="57"/>
      <c r="F582" s="57"/>
      <c r="G582" s="57"/>
      <c r="H582" s="57"/>
      <c r="I582" s="57"/>
      <c r="J582" s="57"/>
      <c r="K582" s="57"/>
      <c r="L582" s="57"/>
      <c r="M582" s="57"/>
      <c r="N582" s="57"/>
      <c r="O582" s="57"/>
      <c r="P582" s="57"/>
      <c r="Q582" s="57"/>
      <c r="R582" s="57"/>
      <c r="S582" s="57"/>
      <c r="T582" s="57"/>
      <c r="U582" s="57"/>
    </row>
    <row r="583" spans="2:21" x14ac:dyDescent="0.15">
      <c r="B583" s="57"/>
      <c r="C583" s="57"/>
      <c r="D583" s="57"/>
      <c r="E583" s="57"/>
      <c r="F583" s="57"/>
      <c r="G583" s="57"/>
      <c r="H583" s="57"/>
      <c r="I583" s="57"/>
      <c r="J583" s="57"/>
      <c r="K583" s="57"/>
      <c r="L583" s="57"/>
      <c r="M583" s="57"/>
      <c r="N583" s="57"/>
      <c r="O583" s="57"/>
      <c r="P583" s="57"/>
      <c r="Q583" s="57"/>
      <c r="R583" s="57"/>
      <c r="S583" s="57"/>
      <c r="T583" s="57"/>
      <c r="U583" s="57"/>
    </row>
    <row r="584" spans="2:21" x14ac:dyDescent="0.15">
      <c r="B584" s="57"/>
      <c r="C584" s="57"/>
      <c r="D584" s="57"/>
      <c r="E584" s="57"/>
      <c r="F584" s="57"/>
      <c r="G584" s="57"/>
      <c r="H584" s="57"/>
      <c r="I584" s="57"/>
      <c r="J584" s="57"/>
      <c r="K584" s="57"/>
      <c r="L584" s="57"/>
      <c r="M584" s="57"/>
      <c r="N584" s="57"/>
      <c r="O584" s="57"/>
      <c r="P584" s="57"/>
      <c r="Q584" s="57"/>
      <c r="R584" s="57"/>
      <c r="S584" s="57"/>
      <c r="T584" s="57"/>
      <c r="U584" s="57"/>
    </row>
    <row r="585" spans="2:21" x14ac:dyDescent="0.15">
      <c r="B585" s="57"/>
      <c r="C585" s="57"/>
      <c r="D585" s="57"/>
      <c r="E585" s="57"/>
      <c r="F585" s="57"/>
      <c r="G585" s="57"/>
      <c r="H585" s="57"/>
      <c r="I585" s="57"/>
      <c r="J585" s="57"/>
      <c r="K585" s="57"/>
      <c r="L585" s="57"/>
      <c r="M585" s="57"/>
      <c r="N585" s="57"/>
      <c r="O585" s="57"/>
      <c r="P585" s="57"/>
      <c r="Q585" s="57"/>
      <c r="R585" s="57"/>
      <c r="S585" s="57"/>
      <c r="T585" s="57"/>
      <c r="U585" s="57"/>
    </row>
    <row r="586" spans="2:21" x14ac:dyDescent="0.15">
      <c r="B586" s="57"/>
      <c r="C586" s="57"/>
      <c r="D586" s="57"/>
      <c r="E586" s="57"/>
      <c r="F586" s="57"/>
      <c r="G586" s="57"/>
      <c r="H586" s="57"/>
      <c r="I586" s="57"/>
      <c r="J586" s="57"/>
      <c r="K586" s="57"/>
      <c r="L586" s="57"/>
      <c r="M586" s="57"/>
      <c r="N586" s="57"/>
      <c r="O586" s="57"/>
      <c r="P586" s="57"/>
      <c r="Q586" s="57"/>
      <c r="R586" s="57"/>
      <c r="S586" s="57"/>
      <c r="T586" s="57"/>
      <c r="U586" s="57"/>
    </row>
    <row r="587" spans="2:21" x14ac:dyDescent="0.15">
      <c r="B587" s="57"/>
      <c r="C587" s="57"/>
      <c r="D587" s="57"/>
      <c r="E587" s="57"/>
      <c r="F587" s="57"/>
      <c r="G587" s="57"/>
      <c r="H587" s="57"/>
      <c r="I587" s="57"/>
      <c r="J587" s="57"/>
      <c r="K587" s="57"/>
      <c r="L587" s="57"/>
      <c r="M587" s="57"/>
      <c r="N587" s="57"/>
      <c r="O587" s="57"/>
      <c r="P587" s="57"/>
      <c r="Q587" s="57"/>
      <c r="R587" s="57"/>
      <c r="S587" s="57"/>
      <c r="T587" s="57"/>
      <c r="U587" s="57"/>
    </row>
    <row r="588" spans="2:21" x14ac:dyDescent="0.15">
      <c r="B588" s="57"/>
      <c r="C588" s="57"/>
      <c r="D588" s="57"/>
      <c r="E588" s="57"/>
      <c r="F588" s="57"/>
      <c r="G588" s="57"/>
      <c r="H588" s="57"/>
      <c r="I588" s="57"/>
      <c r="J588" s="57"/>
      <c r="K588" s="57"/>
      <c r="L588" s="57"/>
      <c r="M588" s="57"/>
      <c r="N588" s="57"/>
      <c r="O588" s="57"/>
      <c r="P588" s="57"/>
      <c r="Q588" s="57"/>
      <c r="R588" s="57"/>
      <c r="S588" s="57"/>
      <c r="T588" s="57"/>
      <c r="U588" s="57"/>
    </row>
    <row r="589" spans="2:21" x14ac:dyDescent="0.15">
      <c r="B589" s="57"/>
      <c r="C589" s="57"/>
      <c r="D589" s="57"/>
      <c r="E589" s="57"/>
      <c r="F589" s="57"/>
      <c r="G589" s="57"/>
      <c r="H589" s="57"/>
      <c r="I589" s="57"/>
      <c r="J589" s="57"/>
      <c r="K589" s="57"/>
      <c r="L589" s="57"/>
      <c r="M589" s="57"/>
      <c r="N589" s="57"/>
      <c r="O589" s="57"/>
      <c r="P589" s="57"/>
      <c r="Q589" s="57"/>
      <c r="R589" s="57"/>
      <c r="S589" s="57"/>
      <c r="T589" s="57"/>
      <c r="U589" s="57"/>
    </row>
    <row r="590" spans="2:21" x14ac:dyDescent="0.15">
      <c r="B590" s="57"/>
      <c r="C590" s="57"/>
      <c r="D590" s="57"/>
      <c r="E590" s="57"/>
      <c r="F590" s="57"/>
      <c r="G590" s="57"/>
      <c r="H590" s="57"/>
      <c r="I590" s="57"/>
      <c r="J590" s="57"/>
      <c r="K590" s="57"/>
      <c r="L590" s="57"/>
      <c r="M590" s="57"/>
      <c r="N590" s="57"/>
      <c r="O590" s="57"/>
      <c r="P590" s="57"/>
      <c r="Q590" s="57"/>
      <c r="R590" s="57"/>
      <c r="S590" s="57"/>
      <c r="T590" s="57"/>
      <c r="U590" s="57"/>
    </row>
    <row r="591" spans="2:21" x14ac:dyDescent="0.15">
      <c r="B591" s="57"/>
      <c r="C591" s="57"/>
      <c r="D591" s="57"/>
      <c r="E591" s="57"/>
      <c r="F591" s="57"/>
      <c r="G591" s="57"/>
      <c r="H591" s="57"/>
      <c r="I591" s="57"/>
      <c r="J591" s="57"/>
      <c r="K591" s="57"/>
      <c r="L591" s="57"/>
      <c r="M591" s="57"/>
      <c r="N591" s="57"/>
      <c r="O591" s="57"/>
      <c r="P591" s="57"/>
      <c r="Q591" s="57"/>
      <c r="R591" s="57"/>
      <c r="S591" s="57"/>
      <c r="T591" s="57"/>
      <c r="U591" s="57"/>
    </row>
    <row r="592" spans="2:21" x14ac:dyDescent="0.15">
      <c r="B592" s="57"/>
      <c r="C592" s="57"/>
      <c r="D592" s="57"/>
      <c r="E592" s="57"/>
      <c r="F592" s="57"/>
      <c r="G592" s="57"/>
      <c r="H592" s="57"/>
      <c r="I592" s="57"/>
      <c r="J592" s="57"/>
      <c r="K592" s="57"/>
      <c r="L592" s="57"/>
      <c r="M592" s="57"/>
      <c r="N592" s="57"/>
      <c r="O592" s="57"/>
      <c r="P592" s="57"/>
      <c r="Q592" s="57"/>
      <c r="R592" s="57"/>
      <c r="S592" s="57"/>
      <c r="T592" s="57"/>
      <c r="U592" s="57"/>
    </row>
    <row r="593" spans="2:21" x14ac:dyDescent="0.15">
      <c r="B593" s="57"/>
      <c r="C593" s="57"/>
      <c r="D593" s="57"/>
      <c r="E593" s="57"/>
      <c r="F593" s="57"/>
      <c r="G593" s="57"/>
      <c r="H593" s="57"/>
      <c r="I593" s="57"/>
      <c r="J593" s="57"/>
      <c r="K593" s="57"/>
      <c r="L593" s="57"/>
      <c r="M593" s="57"/>
      <c r="N593" s="57"/>
      <c r="O593" s="57"/>
      <c r="P593" s="57"/>
      <c r="Q593" s="57"/>
      <c r="R593" s="57"/>
      <c r="S593" s="57"/>
      <c r="T593" s="57"/>
      <c r="U593" s="57"/>
    </row>
    <row r="594" spans="2:21" x14ac:dyDescent="0.15">
      <c r="B594" s="57"/>
      <c r="C594" s="57"/>
      <c r="D594" s="57"/>
      <c r="E594" s="57"/>
      <c r="F594" s="57"/>
      <c r="G594" s="57"/>
      <c r="H594" s="57"/>
      <c r="I594" s="57"/>
      <c r="J594" s="57"/>
      <c r="K594" s="57"/>
      <c r="L594" s="57"/>
      <c r="M594" s="57"/>
      <c r="N594" s="57"/>
      <c r="O594" s="57"/>
      <c r="P594" s="57"/>
      <c r="Q594" s="57"/>
      <c r="R594" s="57"/>
      <c r="S594" s="57"/>
      <c r="T594" s="57"/>
      <c r="U594" s="57"/>
    </row>
    <row r="595" spans="2:21" x14ac:dyDescent="0.15">
      <c r="B595" s="57"/>
      <c r="C595" s="57"/>
      <c r="D595" s="57"/>
      <c r="E595" s="57"/>
      <c r="F595" s="57"/>
      <c r="G595" s="57"/>
      <c r="H595" s="57"/>
      <c r="I595" s="57"/>
      <c r="J595" s="57"/>
      <c r="K595" s="57"/>
      <c r="L595" s="57"/>
      <c r="M595" s="57"/>
      <c r="N595" s="57"/>
      <c r="O595" s="57"/>
      <c r="P595" s="57"/>
      <c r="Q595" s="57"/>
      <c r="R595" s="57"/>
      <c r="S595" s="57"/>
      <c r="T595" s="57"/>
      <c r="U595" s="57"/>
    </row>
    <row r="596" spans="2:21" x14ac:dyDescent="0.15">
      <c r="B596" s="57"/>
      <c r="C596" s="57"/>
      <c r="D596" s="57"/>
      <c r="E596" s="57"/>
      <c r="F596" s="57"/>
      <c r="G596" s="57"/>
      <c r="H596" s="57"/>
      <c r="I596" s="57"/>
      <c r="J596" s="57"/>
      <c r="K596" s="57"/>
      <c r="L596" s="57"/>
      <c r="M596" s="57"/>
      <c r="N596" s="57"/>
      <c r="O596" s="57"/>
      <c r="P596" s="57"/>
      <c r="Q596" s="57"/>
      <c r="R596" s="57"/>
      <c r="S596" s="57"/>
      <c r="T596" s="57"/>
      <c r="U596" s="57"/>
    </row>
    <row r="597" spans="2:21" x14ac:dyDescent="0.15">
      <c r="B597" s="57"/>
      <c r="C597" s="57"/>
      <c r="D597" s="57"/>
      <c r="E597" s="57"/>
      <c r="F597" s="57"/>
      <c r="G597" s="57"/>
      <c r="H597" s="57"/>
      <c r="I597" s="57"/>
      <c r="J597" s="57"/>
      <c r="K597" s="57"/>
      <c r="L597" s="57"/>
      <c r="M597" s="57"/>
      <c r="N597" s="57"/>
      <c r="O597" s="57"/>
      <c r="P597" s="57"/>
      <c r="Q597" s="57"/>
      <c r="R597" s="57"/>
      <c r="S597" s="57"/>
      <c r="T597" s="57"/>
      <c r="U597" s="57"/>
    </row>
    <row r="598" spans="2:21" x14ac:dyDescent="0.15">
      <c r="B598" s="57"/>
      <c r="C598" s="57"/>
      <c r="D598" s="57"/>
      <c r="E598" s="57"/>
      <c r="F598" s="57"/>
      <c r="G598" s="57"/>
      <c r="H598" s="57"/>
      <c r="I598" s="57"/>
      <c r="J598" s="57"/>
      <c r="K598" s="57"/>
      <c r="L598" s="57"/>
      <c r="M598" s="57"/>
      <c r="N598" s="57"/>
      <c r="O598" s="57"/>
      <c r="P598" s="57"/>
      <c r="Q598" s="57"/>
      <c r="R598" s="57"/>
      <c r="S598" s="57"/>
      <c r="T598" s="57"/>
      <c r="U598" s="57"/>
    </row>
    <row r="599" spans="2:21" x14ac:dyDescent="0.15">
      <c r="B599" s="57"/>
      <c r="C599" s="57"/>
      <c r="D599" s="57"/>
      <c r="E599" s="57"/>
      <c r="F599" s="57"/>
      <c r="G599" s="57"/>
      <c r="H599" s="57"/>
      <c r="I599" s="57"/>
      <c r="J599" s="57"/>
      <c r="K599" s="57"/>
      <c r="L599" s="57"/>
      <c r="M599" s="57"/>
      <c r="N599" s="57"/>
      <c r="O599" s="57"/>
      <c r="P599" s="57"/>
      <c r="Q599" s="57"/>
      <c r="R599" s="57"/>
      <c r="S599" s="57"/>
      <c r="T599" s="57"/>
      <c r="U599" s="57"/>
    </row>
    <row r="600" spans="2:21" x14ac:dyDescent="0.15">
      <c r="B600" s="57"/>
      <c r="C600" s="57"/>
      <c r="D600" s="57"/>
      <c r="E600" s="57"/>
      <c r="F600" s="57"/>
      <c r="G600" s="57"/>
      <c r="H600" s="57"/>
      <c r="I600" s="57"/>
      <c r="J600" s="57"/>
      <c r="K600" s="57"/>
      <c r="L600" s="57"/>
      <c r="M600" s="57"/>
      <c r="N600" s="57"/>
      <c r="O600" s="57"/>
      <c r="P600" s="57"/>
      <c r="Q600" s="57"/>
      <c r="R600" s="57"/>
      <c r="S600" s="57"/>
      <c r="T600" s="57"/>
      <c r="U600" s="57"/>
    </row>
    <row r="601" spans="2:21" x14ac:dyDescent="0.15">
      <c r="B601" s="57"/>
      <c r="C601" s="57"/>
      <c r="D601" s="57"/>
      <c r="E601" s="57"/>
      <c r="F601" s="57"/>
      <c r="G601" s="57"/>
      <c r="H601" s="57"/>
      <c r="I601" s="57"/>
      <c r="J601" s="57"/>
      <c r="K601" s="57"/>
      <c r="L601" s="57"/>
      <c r="M601" s="57"/>
      <c r="N601" s="57"/>
      <c r="O601" s="57"/>
      <c r="P601" s="57"/>
      <c r="Q601" s="57"/>
      <c r="R601" s="57"/>
      <c r="S601" s="57"/>
      <c r="T601" s="57"/>
      <c r="U601" s="57"/>
    </row>
    <row r="602" spans="2:21" x14ac:dyDescent="0.15">
      <c r="B602" s="57"/>
      <c r="C602" s="57"/>
      <c r="D602" s="57"/>
      <c r="E602" s="57"/>
      <c r="F602" s="57"/>
      <c r="G602" s="57"/>
      <c r="H602" s="57"/>
      <c r="I602" s="57"/>
      <c r="J602" s="57"/>
      <c r="K602" s="57"/>
      <c r="L602" s="57"/>
      <c r="M602" s="57"/>
      <c r="N602" s="57"/>
      <c r="O602" s="57"/>
      <c r="P602" s="57"/>
      <c r="Q602" s="57"/>
      <c r="R602" s="57"/>
      <c r="S602" s="57"/>
      <c r="T602" s="57"/>
      <c r="U602" s="57"/>
    </row>
    <row r="603" spans="2:21" x14ac:dyDescent="0.15">
      <c r="B603" s="57"/>
      <c r="C603" s="57"/>
      <c r="D603" s="57"/>
      <c r="E603" s="57"/>
      <c r="F603" s="57"/>
      <c r="G603" s="57"/>
      <c r="H603" s="57"/>
      <c r="I603" s="57"/>
      <c r="J603" s="57"/>
      <c r="K603" s="57"/>
      <c r="L603" s="57"/>
      <c r="M603" s="57"/>
      <c r="N603" s="57"/>
      <c r="O603" s="57"/>
      <c r="P603" s="57"/>
      <c r="Q603" s="57"/>
      <c r="R603" s="57"/>
      <c r="S603" s="57"/>
      <c r="T603" s="57"/>
      <c r="U603" s="57"/>
    </row>
    <row r="604" spans="2:21" x14ac:dyDescent="0.15">
      <c r="B604" s="57"/>
      <c r="C604" s="57"/>
      <c r="D604" s="57"/>
      <c r="E604" s="57"/>
      <c r="F604" s="57"/>
      <c r="G604" s="57"/>
      <c r="H604" s="57"/>
      <c r="I604" s="57"/>
      <c r="J604" s="57"/>
      <c r="K604" s="57"/>
      <c r="L604" s="57"/>
      <c r="M604" s="57"/>
      <c r="N604" s="57"/>
      <c r="O604" s="57"/>
      <c r="P604" s="57"/>
      <c r="Q604" s="57"/>
      <c r="R604" s="57"/>
      <c r="S604" s="57"/>
      <c r="T604" s="57"/>
      <c r="U604" s="57"/>
    </row>
  </sheetData>
  <mergeCells count="16">
    <mergeCell ref="H4:J4"/>
    <mergeCell ref="K4:M4"/>
    <mergeCell ref="A1:U1"/>
    <mergeCell ref="B2:U2"/>
    <mergeCell ref="Z2:AA2"/>
    <mergeCell ref="H3:J3"/>
    <mergeCell ref="K3:M3"/>
    <mergeCell ref="W2:Y2"/>
    <mergeCell ref="W32:Y32"/>
    <mergeCell ref="W62:Y62"/>
    <mergeCell ref="H63:J63"/>
    <mergeCell ref="K63:M63"/>
    <mergeCell ref="B62:U62"/>
    <mergeCell ref="B32:U32"/>
    <mergeCell ref="H33:J33"/>
    <mergeCell ref="K33:M33"/>
  </mergeCells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B8755E3B35AFD46855982A7C7E7BE1A" ma:contentTypeVersion="4" ma:contentTypeDescription="Create a new document." ma:contentTypeScope="" ma:versionID="3a788baaba5feb909dd4132bb981cf1b">
  <xsd:schema xmlns:xsd="http://www.w3.org/2001/XMLSchema" xmlns:xs="http://www.w3.org/2001/XMLSchema" xmlns:p="http://schemas.microsoft.com/office/2006/metadata/properties" xmlns:ns2="bb877b61-73df-4c71-aa42-e1c67dd7a708" targetNamespace="http://schemas.microsoft.com/office/2006/metadata/properties" ma:root="true" ma:fieldsID="7491248f6f5b838387a9d36578de4401" ns2:_="">
    <xsd:import namespace="bb877b61-73df-4c71-aa42-e1c67dd7a7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877b61-73df-4c71-aa42-e1c67dd7a70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313ED0E-55DE-4265-A635-86F24EF6FF0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447C643-3E61-4F48-9C57-3C0A84D190E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b877b61-73df-4c71-aa42-e1c67dd7a7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630A885-F442-44AE-923D-B723F1CDDAAF}">
  <ds:schemaRefs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schemas.microsoft.com/office/infopath/2007/PartnerControls"/>
    <ds:schemaRef ds:uri="http://purl.org/dc/elements/1.1/"/>
    <ds:schemaRef ds:uri="http://purl.org/dc/terms/"/>
    <ds:schemaRef ds:uri="http://schemas.openxmlformats.org/package/2006/metadata/core-properties"/>
    <ds:schemaRef ds:uri="bb877b61-73df-4c71-aa42-e1c67dd7a708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Information Sheet</vt:lpstr>
      <vt:lpstr>Growth curves CeBER</vt:lpstr>
      <vt:lpstr>Growth curves UTEX #1926</vt:lpstr>
      <vt:lpstr>C-phycocyanin CeBER</vt:lpstr>
      <vt:lpstr>C-phycocyanin UTEX #1926</vt:lpstr>
      <vt:lpstr>Nitrate content CeBER</vt:lpstr>
      <vt:lpstr>Nitrate content UTEX #1926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Karen Ssekimpi</cp:lastModifiedBy>
  <cp:revision/>
  <dcterms:created xsi:type="dcterms:W3CDTF">2021-10-16T17:48:29Z</dcterms:created>
  <dcterms:modified xsi:type="dcterms:W3CDTF">2023-04-02T19:23:04Z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0x010100DB8755E3B35AFD46855982A7C7E7BE1A</vt:lpwstr>
  </property>
</Properties>
</file>