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7C9CC128-A698-4243-BDC5-F2CEE27D2A5E}" xr6:coauthVersionLast="47" xr6:coauthVersionMax="48" xr10:uidLastSave="{00000000-0000-0000-0000-000000000000}"/>
  <bookViews>
    <workbookView xWindow="0" yWindow="500" windowWidth="25600" windowHeight="14320" xr2:uid="{E10EC1D9-109C-804E-9576-4D3B0FECC0C7}"/>
  </bookViews>
  <sheets>
    <sheet name="Information Sheet" sheetId="11" r:id="rId1"/>
    <sheet name="Growth curves" sheetId="12" r:id="rId2"/>
    <sheet name="C-phycocyanin" sheetId="13" r:id="rId3"/>
    <sheet name="Nitrate content" sheetId="1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5" i="13" l="1"/>
  <c r="D98" i="13" s="1"/>
  <c r="D101" i="13" s="1"/>
  <c r="D92" i="13"/>
  <c r="D56" i="13"/>
  <c r="D47" i="15"/>
  <c r="D50" i="15" s="1"/>
  <c r="D53" i="15" s="1"/>
  <c r="D56" i="15" s="1"/>
  <c r="D38" i="15"/>
  <c r="D41" i="15" s="1"/>
  <c r="D35" i="15"/>
  <c r="D61" i="12"/>
  <c r="D59" i="12"/>
  <c r="D74" i="15"/>
  <c r="H5" i="15" l="1"/>
  <c r="I5" i="15" s="1"/>
  <c r="D17" i="15"/>
  <c r="D20" i="15" s="1"/>
  <c r="D23" i="15" s="1"/>
  <c r="D26" i="15" s="1"/>
  <c r="D8" i="15"/>
  <c r="D11" i="15" s="1"/>
  <c r="D5" i="15"/>
  <c r="AB120" i="13"/>
  <c r="Z120" i="13"/>
  <c r="X120" i="13"/>
  <c r="L124" i="13"/>
  <c r="L123" i="13"/>
  <c r="L122" i="13"/>
  <c r="L121" i="13"/>
  <c r="L120" i="13"/>
  <c r="L119" i="13"/>
  <c r="L118" i="13"/>
  <c r="L117" i="13"/>
  <c r="L116" i="13"/>
  <c r="L115" i="13"/>
  <c r="L114" i="13"/>
  <c r="L113" i="13"/>
  <c r="L112" i="13"/>
  <c r="L111" i="13"/>
  <c r="L110" i="13"/>
  <c r="L109" i="13"/>
  <c r="L108" i="13"/>
  <c r="L107" i="13"/>
  <c r="K124" i="13"/>
  <c r="K123" i="13"/>
  <c r="K122" i="13"/>
  <c r="K121" i="13"/>
  <c r="K120" i="13"/>
  <c r="K119" i="13"/>
  <c r="K118" i="13"/>
  <c r="K117" i="13"/>
  <c r="K116" i="13"/>
  <c r="K115" i="13"/>
  <c r="K114" i="13"/>
  <c r="K113" i="13"/>
  <c r="K112" i="13"/>
  <c r="K111" i="13"/>
  <c r="K110" i="13"/>
  <c r="K109" i="13"/>
  <c r="K108" i="13"/>
  <c r="K107" i="13"/>
  <c r="S151" i="13"/>
  <c r="R151" i="13"/>
  <c r="Q151" i="13"/>
  <c r="P149" i="13"/>
  <c r="P150" i="13"/>
  <c r="P151" i="13"/>
  <c r="O151" i="13"/>
  <c r="N151" i="13"/>
  <c r="M151" i="13"/>
  <c r="L131" i="13"/>
  <c r="L132" i="13"/>
  <c r="L133" i="13"/>
  <c r="K149" i="13"/>
  <c r="K150" i="13"/>
  <c r="K151" i="13"/>
  <c r="J149" i="13"/>
  <c r="J150" i="13"/>
  <c r="J151" i="13"/>
  <c r="I151" i="13"/>
  <c r="I150" i="13"/>
  <c r="I149" i="13"/>
  <c r="I148" i="13"/>
  <c r="I147" i="13"/>
  <c r="I146" i="13"/>
  <c r="I145" i="13"/>
  <c r="I144" i="13"/>
  <c r="I143" i="13"/>
  <c r="I142" i="13"/>
  <c r="I141" i="13"/>
  <c r="I140" i="13"/>
  <c r="I139" i="13"/>
  <c r="I138" i="13"/>
  <c r="I137" i="13"/>
  <c r="I136" i="13"/>
  <c r="I135" i="13"/>
  <c r="I134" i="13"/>
  <c r="I133" i="13"/>
  <c r="I132" i="13"/>
  <c r="I131" i="13"/>
  <c r="I130" i="13"/>
  <c r="I129" i="13"/>
  <c r="I128" i="13"/>
  <c r="I127" i="13"/>
  <c r="I126" i="13"/>
  <c r="I125" i="13"/>
  <c r="I124" i="13"/>
  <c r="I123" i="13"/>
  <c r="I122" i="13"/>
  <c r="I121" i="13"/>
  <c r="I120" i="13"/>
  <c r="I119" i="13"/>
  <c r="I118" i="13"/>
  <c r="I117" i="13"/>
  <c r="I116" i="13"/>
  <c r="I115" i="13"/>
  <c r="I114" i="13"/>
  <c r="I113" i="13"/>
  <c r="I112" i="13"/>
  <c r="I111" i="13"/>
  <c r="I110" i="13"/>
  <c r="I109" i="13"/>
  <c r="J109" i="13" s="1"/>
  <c r="I108" i="13"/>
  <c r="J108" i="13" s="1"/>
  <c r="I107" i="13"/>
  <c r="J107" i="13" s="1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L125" i="13" s="1"/>
  <c r="H126" i="13"/>
  <c r="L126" i="13" s="1"/>
  <c r="H127" i="13"/>
  <c r="L127" i="13" s="1"/>
  <c r="H128" i="13"/>
  <c r="L128" i="13" s="1"/>
  <c r="H129" i="13"/>
  <c r="L129" i="13" s="1"/>
  <c r="H130" i="13"/>
  <c r="L130" i="13" s="1"/>
  <c r="H131" i="13"/>
  <c r="H132" i="13"/>
  <c r="H133" i="13"/>
  <c r="H134" i="13"/>
  <c r="L134" i="13" s="1"/>
  <c r="H135" i="13"/>
  <c r="L135" i="13" s="1"/>
  <c r="H136" i="13"/>
  <c r="L136" i="13" s="1"/>
  <c r="H137" i="13"/>
  <c r="L137" i="13" s="1"/>
  <c r="H138" i="13"/>
  <c r="L138" i="13" s="1"/>
  <c r="H139" i="13"/>
  <c r="L139" i="13" s="1"/>
  <c r="H140" i="13"/>
  <c r="L140" i="13" s="1"/>
  <c r="H141" i="13"/>
  <c r="L141" i="13" s="1"/>
  <c r="H142" i="13"/>
  <c r="L142" i="13" s="1"/>
  <c r="H143" i="13"/>
  <c r="L143" i="13" s="1"/>
  <c r="H144" i="13"/>
  <c r="L144" i="13" s="1"/>
  <c r="H145" i="13"/>
  <c r="L145" i="13" s="1"/>
  <c r="H146" i="13"/>
  <c r="L146" i="13" s="1"/>
  <c r="H147" i="13"/>
  <c r="L147" i="13" s="1"/>
  <c r="H148" i="13"/>
  <c r="L148" i="13" s="1"/>
  <c r="H149" i="13"/>
  <c r="L149" i="13" s="1"/>
  <c r="H150" i="13"/>
  <c r="L150" i="13" s="1"/>
  <c r="H151" i="13"/>
  <c r="L151" i="13" s="1"/>
  <c r="D131" i="13"/>
  <c r="D119" i="13"/>
  <c r="D122" i="13" s="1"/>
  <c r="D110" i="13"/>
  <c r="D107" i="13"/>
  <c r="L96" i="13"/>
  <c r="P96" i="13" s="1"/>
  <c r="R100" i="13"/>
  <c r="S100" i="13" s="1"/>
  <c r="AB69" i="13" s="1"/>
  <c r="K103" i="13"/>
  <c r="K102" i="13"/>
  <c r="K101" i="13"/>
  <c r="T100" i="13"/>
  <c r="T98" i="13"/>
  <c r="P98" i="13"/>
  <c r="O100" i="13"/>
  <c r="N100" i="13"/>
  <c r="K97" i="13"/>
  <c r="K96" i="13"/>
  <c r="K95" i="13"/>
  <c r="K94" i="13"/>
  <c r="K93" i="13"/>
  <c r="K92" i="13"/>
  <c r="K91" i="13"/>
  <c r="K90" i="13"/>
  <c r="K89" i="13"/>
  <c r="K88" i="13"/>
  <c r="K87" i="13"/>
  <c r="K86" i="13"/>
  <c r="K82" i="13"/>
  <c r="K81" i="13"/>
  <c r="K80" i="13"/>
  <c r="P100" i="13"/>
  <c r="I101" i="13"/>
  <c r="J101" i="13" s="1"/>
  <c r="I94" i="13"/>
  <c r="I93" i="13"/>
  <c r="I92" i="13"/>
  <c r="I91" i="13"/>
  <c r="I90" i="13"/>
  <c r="I89" i="13"/>
  <c r="I88" i="13"/>
  <c r="I87" i="13"/>
  <c r="I86" i="13"/>
  <c r="I82" i="13"/>
  <c r="I81" i="13"/>
  <c r="I80" i="13"/>
  <c r="AB20" i="13"/>
  <c r="AB19" i="13"/>
  <c r="Z20" i="13"/>
  <c r="Z19" i="13"/>
  <c r="X20" i="13"/>
  <c r="X19" i="13"/>
  <c r="K43" i="13"/>
  <c r="K42" i="13"/>
  <c r="K41" i="13"/>
  <c r="K40" i="13"/>
  <c r="K39" i="13"/>
  <c r="K38" i="13"/>
  <c r="V52" i="13"/>
  <c r="U52" i="13"/>
  <c r="V49" i="13"/>
  <c r="U49" i="13"/>
  <c r="T52" i="13"/>
  <c r="T51" i="13"/>
  <c r="T50" i="13"/>
  <c r="T49" i="13"/>
  <c r="T48" i="13"/>
  <c r="T46" i="13"/>
  <c r="T47" i="13"/>
  <c r="S52" i="13"/>
  <c r="S49" i="13"/>
  <c r="R52" i="13"/>
  <c r="R49" i="13"/>
  <c r="Q52" i="13"/>
  <c r="Q49" i="13"/>
  <c r="P52" i="13"/>
  <c r="P47" i="13"/>
  <c r="P48" i="13"/>
  <c r="P49" i="13"/>
  <c r="P50" i="13"/>
  <c r="P51" i="13"/>
  <c r="O52" i="13"/>
  <c r="O49" i="13"/>
  <c r="N52" i="13"/>
  <c r="N49" i="13"/>
  <c r="Z69" i="13"/>
  <c r="J98" i="13"/>
  <c r="J99" i="13"/>
  <c r="J100" i="13"/>
  <c r="Q100" i="13" l="1"/>
  <c r="T99" i="13"/>
  <c r="K71" i="13"/>
  <c r="K100" i="13"/>
  <c r="K99" i="13"/>
  <c r="K98" i="13"/>
  <c r="K76" i="13"/>
  <c r="K75" i="13"/>
  <c r="K74" i="13"/>
  <c r="K73" i="13"/>
  <c r="K72" i="13"/>
  <c r="K70" i="13"/>
  <c r="K69" i="13"/>
  <c r="K68" i="13"/>
  <c r="K67" i="13"/>
  <c r="K66" i="13"/>
  <c r="K65" i="13"/>
  <c r="L100" i="13"/>
  <c r="I103" i="13"/>
  <c r="J103" i="13" s="1"/>
  <c r="I102" i="13"/>
  <c r="J102" i="13" s="1"/>
  <c r="L102" i="13" s="1"/>
  <c r="P102" i="13" s="1"/>
  <c r="T102" i="13" s="1"/>
  <c r="H57" i="13"/>
  <c r="H58" i="13"/>
  <c r="H59" i="13"/>
  <c r="H60" i="13"/>
  <c r="H61" i="13"/>
  <c r="H62" i="13"/>
  <c r="H63" i="13"/>
  <c r="H64" i="13"/>
  <c r="H65" i="13"/>
  <c r="L65" i="13" s="1"/>
  <c r="H66" i="13"/>
  <c r="L66" i="13" s="1"/>
  <c r="H67" i="13"/>
  <c r="L67" i="13" s="1"/>
  <c r="H68" i="13"/>
  <c r="L68" i="13" s="1"/>
  <c r="H69" i="13"/>
  <c r="L69" i="13" s="1"/>
  <c r="H70" i="13"/>
  <c r="L70" i="13" s="1"/>
  <c r="H71" i="13"/>
  <c r="L71" i="13" s="1"/>
  <c r="H72" i="13"/>
  <c r="L72" i="13" s="1"/>
  <c r="H73" i="13"/>
  <c r="L73" i="13" s="1"/>
  <c r="H74" i="13"/>
  <c r="L74" i="13" s="1"/>
  <c r="H75" i="13"/>
  <c r="L75" i="13" s="1"/>
  <c r="H76" i="13"/>
  <c r="L76" i="13" s="1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L98" i="13" s="1"/>
  <c r="H99" i="13"/>
  <c r="L99" i="13" s="1"/>
  <c r="H100" i="13"/>
  <c r="H101" i="13"/>
  <c r="H102" i="13"/>
  <c r="H103" i="13"/>
  <c r="L103" i="13" s="1"/>
  <c r="P103" i="13" s="1"/>
  <c r="T103" i="13" s="1"/>
  <c r="H56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" i="13"/>
  <c r="U100" i="13" l="1"/>
  <c r="V100" i="13"/>
  <c r="M100" i="13"/>
  <c r="X70" i="13"/>
  <c r="X69" i="13"/>
  <c r="L101" i="13"/>
  <c r="P101" i="13" l="1"/>
  <c r="M103" i="13"/>
  <c r="N103" i="13"/>
  <c r="O103" i="13" s="1"/>
  <c r="Z70" i="13" s="1"/>
  <c r="T101" i="13" l="1"/>
  <c r="R103" i="13"/>
  <c r="S103" i="13" s="1"/>
  <c r="AB70" i="13" s="1"/>
  <c r="Q103" i="13"/>
  <c r="V103" i="13" l="1"/>
  <c r="U103" i="13"/>
  <c r="I52" i="13" l="1"/>
  <c r="J52" i="13" s="1"/>
  <c r="K52" i="13" s="1"/>
  <c r="L52" i="13" s="1"/>
  <c r="I51" i="13"/>
  <c r="J51" i="13" s="1"/>
  <c r="K51" i="13" s="1"/>
  <c r="L51" i="13" s="1"/>
  <c r="I50" i="13"/>
  <c r="I49" i="13"/>
  <c r="J49" i="13" s="1"/>
  <c r="K49" i="13" s="1"/>
  <c r="L49" i="13" s="1"/>
  <c r="I48" i="13"/>
  <c r="J48" i="13" s="1"/>
  <c r="K48" i="13" s="1"/>
  <c r="L48" i="13" s="1"/>
  <c r="I47" i="13"/>
  <c r="J47" i="13" s="1"/>
  <c r="K47" i="13" s="1"/>
  <c r="L47" i="13" s="1"/>
  <c r="I46" i="13"/>
  <c r="I45" i="13"/>
  <c r="I44" i="13"/>
  <c r="I43" i="13"/>
  <c r="I42" i="13"/>
  <c r="I41" i="13"/>
  <c r="I40" i="13"/>
  <c r="I39" i="13"/>
  <c r="I38" i="13"/>
  <c r="I37" i="13"/>
  <c r="I36" i="13"/>
  <c r="I35" i="13"/>
  <c r="I34" i="13"/>
  <c r="I33" i="13"/>
  <c r="K33" i="13" s="1"/>
  <c r="L33" i="13" s="1"/>
  <c r="I32" i="13"/>
  <c r="K32" i="13" s="1"/>
  <c r="L32" i="13" s="1"/>
  <c r="I31" i="13"/>
  <c r="I30" i="13"/>
  <c r="I29" i="13"/>
  <c r="I28" i="13"/>
  <c r="K28" i="13" s="1"/>
  <c r="L28" i="13" s="1"/>
  <c r="I27" i="13"/>
  <c r="K27" i="13" s="1"/>
  <c r="L27" i="13" s="1"/>
  <c r="I26" i="13"/>
  <c r="K26" i="13" s="1"/>
  <c r="L26" i="13" s="1"/>
  <c r="I25" i="13"/>
  <c r="K25" i="13" s="1"/>
  <c r="L25" i="13" s="1"/>
  <c r="I24" i="13"/>
  <c r="K24" i="13" s="1"/>
  <c r="L24" i="13" s="1"/>
  <c r="I23" i="13"/>
  <c r="K23" i="13" s="1"/>
  <c r="L23" i="13" s="1"/>
  <c r="I22" i="13"/>
  <c r="K22" i="13" s="1"/>
  <c r="L22" i="13" s="1"/>
  <c r="I21" i="13"/>
  <c r="K21" i="13" s="1"/>
  <c r="L21" i="13" s="1"/>
  <c r="I20" i="13"/>
  <c r="K20" i="13" s="1"/>
  <c r="L20" i="13" s="1"/>
  <c r="I19" i="13"/>
  <c r="K19" i="13" s="1"/>
  <c r="L19" i="13" s="1"/>
  <c r="I18" i="13"/>
  <c r="K18" i="13" s="1"/>
  <c r="L18" i="13" s="1"/>
  <c r="I17" i="13"/>
  <c r="K17" i="13" s="1"/>
  <c r="L17" i="13" s="1"/>
  <c r="I16" i="13"/>
  <c r="K16" i="13" s="1"/>
  <c r="L16" i="13" s="1"/>
  <c r="I15" i="13"/>
  <c r="K15" i="13" s="1"/>
  <c r="L15" i="13" s="1"/>
  <c r="I14" i="13"/>
  <c r="K14" i="13" s="1"/>
  <c r="L14" i="13" s="1"/>
  <c r="I13" i="13"/>
  <c r="I12" i="13"/>
  <c r="I11" i="13"/>
  <c r="I10" i="13"/>
  <c r="I9" i="13"/>
  <c r="I8" i="13"/>
  <c r="I7" i="13"/>
  <c r="I6" i="13"/>
  <c r="I5" i="13"/>
  <c r="J50" i="13"/>
  <c r="K50" i="13" s="1"/>
  <c r="L50" i="13" s="1"/>
  <c r="D44" i="13"/>
  <c r="D47" i="13" s="1"/>
  <c r="D50" i="13" s="1"/>
  <c r="D41" i="13"/>
  <c r="D5" i="13"/>
  <c r="X5" i="13" s="1"/>
  <c r="H68" i="12"/>
  <c r="G68" i="12"/>
  <c r="F68" i="12"/>
  <c r="G67" i="12"/>
  <c r="H67" i="12"/>
  <c r="F67" i="12"/>
  <c r="H66" i="12"/>
  <c r="G66" i="12"/>
  <c r="F66" i="12"/>
  <c r="F65" i="12"/>
  <c r="H65" i="12"/>
  <c r="G65" i="12"/>
  <c r="H64" i="12"/>
  <c r="G64" i="12"/>
  <c r="F64" i="12"/>
  <c r="H63" i="12"/>
  <c r="G63" i="12"/>
  <c r="F63" i="12"/>
  <c r="F62" i="12"/>
  <c r="G62" i="12"/>
  <c r="H62" i="12"/>
  <c r="H61" i="12"/>
  <c r="G61" i="12"/>
  <c r="F61" i="12"/>
  <c r="D53" i="12"/>
  <c r="D54" i="12" s="1"/>
  <c r="D55" i="12" s="1"/>
  <c r="D56" i="12" s="1"/>
  <c r="D57" i="12" s="1"/>
  <c r="D58" i="12" s="1"/>
  <c r="D60" i="12" s="1"/>
  <c r="F48" i="12"/>
  <c r="I48" i="12" s="1"/>
  <c r="N48" i="12" s="1"/>
  <c r="H48" i="12"/>
  <c r="G48" i="12"/>
  <c r="K48" i="12"/>
  <c r="J48" i="12"/>
  <c r="F47" i="12"/>
  <c r="I47" i="12" s="1"/>
  <c r="G47" i="12"/>
  <c r="J47" i="12" s="1"/>
  <c r="H47" i="12"/>
  <c r="K47" i="12" s="1"/>
  <c r="G46" i="12"/>
  <c r="F46" i="12"/>
  <c r="H46" i="12"/>
  <c r="G45" i="12"/>
  <c r="H45" i="12"/>
  <c r="F45" i="12"/>
  <c r="H44" i="12"/>
  <c r="G44" i="12"/>
  <c r="F44" i="12"/>
  <c r="G43" i="12"/>
  <c r="F43" i="12"/>
  <c r="H43" i="12"/>
  <c r="G42" i="12"/>
  <c r="F42" i="12"/>
  <c r="H42" i="12"/>
  <c r="G41" i="12"/>
  <c r="H41" i="12"/>
  <c r="F41" i="12"/>
  <c r="F40" i="12"/>
  <c r="G40" i="12"/>
  <c r="H40" i="12"/>
  <c r="H39" i="12"/>
  <c r="G39" i="12"/>
  <c r="F39" i="12"/>
  <c r="H38" i="12"/>
  <c r="F38" i="12"/>
  <c r="G24" i="12"/>
  <c r="J24" i="12" s="1"/>
  <c r="H24" i="12"/>
  <c r="K24" i="12" s="1"/>
  <c r="F24" i="12"/>
  <c r="I24" i="12" s="1"/>
  <c r="N24" i="12" s="1"/>
  <c r="G23" i="12"/>
  <c r="F23" i="12"/>
  <c r="H23" i="12"/>
  <c r="F21" i="12"/>
  <c r="H21" i="12"/>
  <c r="G21" i="12"/>
  <c r="G20" i="12"/>
  <c r="F20" i="12"/>
  <c r="H20" i="12"/>
  <c r="H19" i="12"/>
  <c r="F19" i="12"/>
  <c r="G19" i="12"/>
  <c r="F17" i="12"/>
  <c r="H17" i="12"/>
  <c r="G17" i="12"/>
  <c r="D62" i="12" l="1"/>
  <c r="D63" i="12" s="1"/>
  <c r="K31" i="13"/>
  <c r="L31" i="13" s="1"/>
  <c r="K29" i="13"/>
  <c r="L29" i="13" s="1"/>
  <c r="K30" i="13"/>
  <c r="L30" i="13" s="1"/>
  <c r="M52" i="13"/>
  <c r="M49" i="13"/>
  <c r="P48" i="12"/>
  <c r="L48" i="12"/>
  <c r="O48" i="12"/>
  <c r="M48" i="12"/>
  <c r="P47" i="12"/>
  <c r="O47" i="12"/>
  <c r="L47" i="12"/>
  <c r="N47" i="12"/>
  <c r="M47" i="12"/>
  <c r="P24" i="12"/>
  <c r="M24" i="12"/>
  <c r="O24" i="12"/>
  <c r="L24" i="12"/>
  <c r="D64" i="12" l="1"/>
  <c r="D65" i="12"/>
  <c r="D66" i="12" s="1"/>
  <c r="D67" i="12" s="1"/>
  <c r="D68" i="12" s="1"/>
  <c r="Q48" i="12"/>
  <c r="R48" i="12"/>
  <c r="R47" i="12"/>
  <c r="Q47" i="12"/>
  <c r="R24" i="12"/>
  <c r="Q24" i="12"/>
  <c r="D29" i="12" l="1"/>
  <c r="D30" i="12" s="1"/>
  <c r="D31" i="12" s="1"/>
  <c r="D32" i="12" s="1"/>
  <c r="D33" i="12" s="1"/>
  <c r="D34" i="12" s="1"/>
  <c r="D35" i="12" s="1"/>
  <c r="D36" i="12" s="1"/>
  <c r="D37" i="12" s="1"/>
  <c r="D38" i="12" s="1"/>
  <c r="D39" i="12" s="1"/>
  <c r="H22" i="12"/>
  <c r="G22" i="12"/>
  <c r="F22" i="12"/>
  <c r="H18" i="12"/>
  <c r="G18" i="12"/>
  <c r="F18" i="12"/>
  <c r="H16" i="12"/>
  <c r="G16" i="12"/>
  <c r="F16" i="12"/>
  <c r="H15" i="12"/>
  <c r="G15" i="12"/>
  <c r="F15" i="12"/>
  <c r="D6" i="12"/>
  <c r="D7" i="12" s="1"/>
  <c r="D8" i="12" s="1"/>
  <c r="D9" i="12" s="1"/>
  <c r="D10" i="12" s="1"/>
  <c r="D11" i="12" s="1"/>
  <c r="D12" i="12" s="1"/>
  <c r="D13" i="12" s="1"/>
  <c r="D14" i="12" s="1"/>
  <c r="D15" i="12" s="1"/>
  <c r="D16" i="12" s="1"/>
  <c r="D41" i="12" l="1"/>
  <c r="D40" i="12"/>
  <c r="D18" i="12"/>
  <c r="D17" i="12"/>
  <c r="H88" i="15"/>
  <c r="I88" i="15" s="1"/>
  <c r="H87" i="15"/>
  <c r="H86" i="15"/>
  <c r="H85" i="15"/>
  <c r="I85" i="15" s="1"/>
  <c r="H82" i="15"/>
  <c r="I82" i="15" s="1"/>
  <c r="H81" i="15"/>
  <c r="I81" i="15" s="1"/>
  <c r="H80" i="15"/>
  <c r="H78" i="15"/>
  <c r="I78" i="15" s="1"/>
  <c r="Q71" i="15"/>
  <c r="H73" i="15"/>
  <c r="I73" i="15" s="1"/>
  <c r="Q70" i="15"/>
  <c r="H70" i="15"/>
  <c r="I70" i="15" s="1"/>
  <c r="Q69" i="15"/>
  <c r="H68" i="15"/>
  <c r="I68" i="15" s="1"/>
  <c r="D71" i="15"/>
  <c r="S63" i="15"/>
  <c r="R63" i="15"/>
  <c r="H58" i="15"/>
  <c r="I58" i="15" s="1"/>
  <c r="H57" i="15"/>
  <c r="H56" i="15"/>
  <c r="I56" i="15" s="1"/>
  <c r="H54" i="15"/>
  <c r="I54" i="15" s="1"/>
  <c r="H53" i="15"/>
  <c r="I53" i="15" s="1"/>
  <c r="H52" i="15"/>
  <c r="H51" i="15"/>
  <c r="I51" i="15" s="1"/>
  <c r="H50" i="15"/>
  <c r="I50" i="15" s="1"/>
  <c r="H47" i="15"/>
  <c r="H45" i="15"/>
  <c r="I45" i="15" s="1"/>
  <c r="Q42" i="15"/>
  <c r="H42" i="15"/>
  <c r="I42" i="15" s="1"/>
  <c r="Q41" i="15"/>
  <c r="Q40" i="15"/>
  <c r="Q39" i="15"/>
  <c r="S33" i="15"/>
  <c r="R33" i="15"/>
  <c r="H31" i="15"/>
  <c r="I31" i="15" s="1"/>
  <c r="H29" i="15"/>
  <c r="I29" i="15" s="1"/>
  <c r="H28" i="15"/>
  <c r="I28" i="15" s="1"/>
  <c r="H27" i="15"/>
  <c r="I27" i="15" s="1"/>
  <c r="H26" i="15"/>
  <c r="I26" i="15" s="1"/>
  <c r="H25" i="15"/>
  <c r="I25" i="15" s="1"/>
  <c r="H23" i="15"/>
  <c r="I23" i="15" s="1"/>
  <c r="H22" i="15"/>
  <c r="I22" i="15" s="1"/>
  <c r="H21" i="15"/>
  <c r="I21" i="15" s="1"/>
  <c r="H20" i="15"/>
  <c r="I20" i="15" s="1"/>
  <c r="H17" i="15"/>
  <c r="I17" i="15" s="1"/>
  <c r="H16" i="15"/>
  <c r="I16" i="15" s="1"/>
  <c r="Q12" i="15"/>
  <c r="H12" i="15"/>
  <c r="I12" i="15" s="1"/>
  <c r="Q11" i="15"/>
  <c r="Q10" i="15"/>
  <c r="H9" i="15"/>
  <c r="I9" i="15" s="1"/>
  <c r="H10" i="15"/>
  <c r="I10" i="15" s="1"/>
  <c r="Q5" i="15"/>
  <c r="H7" i="15"/>
  <c r="I7" i="15" s="1"/>
  <c r="S3" i="15"/>
  <c r="R3" i="15"/>
  <c r="Q3" i="15"/>
  <c r="J148" i="13"/>
  <c r="K148" i="13" s="1"/>
  <c r="J147" i="13"/>
  <c r="K147" i="13" s="1"/>
  <c r="J146" i="13"/>
  <c r="K146" i="13" s="1"/>
  <c r="J145" i="13"/>
  <c r="K145" i="13" s="1"/>
  <c r="J144" i="13"/>
  <c r="K144" i="13" s="1"/>
  <c r="J143" i="13"/>
  <c r="K143" i="13" s="1"/>
  <c r="J142" i="13"/>
  <c r="K142" i="13" s="1"/>
  <c r="J141" i="13"/>
  <c r="K141" i="13" s="1"/>
  <c r="J140" i="13"/>
  <c r="K140" i="13" s="1"/>
  <c r="J139" i="13"/>
  <c r="K139" i="13" s="1"/>
  <c r="J138" i="13"/>
  <c r="K138" i="13" s="1"/>
  <c r="J137" i="13"/>
  <c r="K137" i="13" s="1"/>
  <c r="J136" i="13"/>
  <c r="K136" i="13" s="1"/>
  <c r="J135" i="13"/>
  <c r="K135" i="13" s="1"/>
  <c r="J134" i="13"/>
  <c r="K134" i="13" s="1"/>
  <c r="J133" i="13"/>
  <c r="K133" i="13" s="1"/>
  <c r="J132" i="13"/>
  <c r="K132" i="13" s="1"/>
  <c r="J131" i="13"/>
  <c r="K131" i="13" s="1"/>
  <c r="J130" i="13"/>
  <c r="K130" i="13" s="1"/>
  <c r="J129" i="13"/>
  <c r="K129" i="13" s="1"/>
  <c r="J128" i="13"/>
  <c r="K128" i="13" s="1"/>
  <c r="K127" i="13"/>
  <c r="K126" i="13"/>
  <c r="K125" i="13"/>
  <c r="J122" i="13"/>
  <c r="X119" i="13"/>
  <c r="X118" i="13"/>
  <c r="X117" i="13"/>
  <c r="X116" i="13"/>
  <c r="X115" i="13"/>
  <c r="J115" i="13"/>
  <c r="X114" i="13"/>
  <c r="J114" i="13"/>
  <c r="X113" i="13"/>
  <c r="J113" i="13"/>
  <c r="X112" i="13"/>
  <c r="J112" i="13"/>
  <c r="X111" i="13"/>
  <c r="J111" i="13"/>
  <c r="X110" i="13"/>
  <c r="J110" i="13"/>
  <c r="X109" i="13"/>
  <c r="X108" i="13"/>
  <c r="X107" i="13"/>
  <c r="X106" i="13"/>
  <c r="AA105" i="13"/>
  <c r="Y105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K84" i="13" s="1"/>
  <c r="L84" i="13" s="1"/>
  <c r="J83" i="13"/>
  <c r="K83" i="13" s="1"/>
  <c r="L83" i="13" s="1"/>
  <c r="J82" i="13"/>
  <c r="L82" i="13" s="1"/>
  <c r="J81" i="13"/>
  <c r="L81" i="13" s="1"/>
  <c r="J80" i="13"/>
  <c r="L80" i="13" s="1"/>
  <c r="J79" i="13"/>
  <c r="K79" i="13" s="1"/>
  <c r="L79" i="13" s="1"/>
  <c r="J78" i="13"/>
  <c r="K78" i="13" s="1"/>
  <c r="L78" i="13" s="1"/>
  <c r="J77" i="13"/>
  <c r="K77" i="13" s="1"/>
  <c r="L77" i="13" s="1"/>
  <c r="J75" i="13"/>
  <c r="J73" i="13"/>
  <c r="J69" i="13"/>
  <c r="X68" i="13"/>
  <c r="X67" i="13"/>
  <c r="X66" i="13"/>
  <c r="X65" i="13"/>
  <c r="X64" i="13"/>
  <c r="J64" i="13"/>
  <c r="K64" i="13" s="1"/>
  <c r="L64" i="13" s="1"/>
  <c r="X63" i="13"/>
  <c r="J63" i="13"/>
  <c r="K63" i="13" s="1"/>
  <c r="L63" i="13" s="1"/>
  <c r="X62" i="13"/>
  <c r="J62" i="13"/>
  <c r="K62" i="13" s="1"/>
  <c r="L62" i="13" s="1"/>
  <c r="X61" i="13"/>
  <c r="J61" i="13"/>
  <c r="K61" i="13" s="1"/>
  <c r="L61" i="13" s="1"/>
  <c r="X60" i="13"/>
  <c r="J60" i="13"/>
  <c r="K60" i="13" s="1"/>
  <c r="L60" i="13" s="1"/>
  <c r="X59" i="13"/>
  <c r="J59" i="13"/>
  <c r="K59" i="13" s="1"/>
  <c r="L59" i="13" s="1"/>
  <c r="X58" i="13"/>
  <c r="J58" i="13"/>
  <c r="K58" i="13" s="1"/>
  <c r="L58" i="13" s="1"/>
  <c r="X57" i="13"/>
  <c r="J57" i="13"/>
  <c r="K57" i="13" s="1"/>
  <c r="L57" i="13" s="1"/>
  <c r="X56" i="13"/>
  <c r="J56" i="13"/>
  <c r="K56" i="13" s="1"/>
  <c r="L56" i="13" s="1"/>
  <c r="X55" i="13"/>
  <c r="AA54" i="13"/>
  <c r="Y54" i="13"/>
  <c r="J46" i="13"/>
  <c r="K46" i="13" s="1"/>
  <c r="L46" i="13" s="1"/>
  <c r="J45" i="13"/>
  <c r="K45" i="13" s="1"/>
  <c r="L45" i="13" s="1"/>
  <c r="J44" i="13"/>
  <c r="K44" i="13" s="1"/>
  <c r="L44" i="13" s="1"/>
  <c r="J43" i="13"/>
  <c r="L43" i="13" s="1"/>
  <c r="J42" i="13"/>
  <c r="L42" i="13" s="1"/>
  <c r="J41" i="13"/>
  <c r="L41" i="13" s="1"/>
  <c r="J40" i="13"/>
  <c r="L40" i="13" s="1"/>
  <c r="J39" i="13"/>
  <c r="L39" i="13" s="1"/>
  <c r="J38" i="13"/>
  <c r="L38" i="13" s="1"/>
  <c r="J37" i="13"/>
  <c r="J36" i="13"/>
  <c r="J35" i="13"/>
  <c r="J34" i="13"/>
  <c r="K34" i="13" s="1"/>
  <c r="L34" i="13" s="1"/>
  <c r="J33" i="13"/>
  <c r="J32" i="13"/>
  <c r="J31" i="13"/>
  <c r="J30" i="13"/>
  <c r="J29" i="13"/>
  <c r="J28" i="13"/>
  <c r="J27" i="13"/>
  <c r="J26" i="13"/>
  <c r="J23" i="13"/>
  <c r="J20" i="13"/>
  <c r="X18" i="13"/>
  <c r="X17" i="13"/>
  <c r="J17" i="13"/>
  <c r="X16" i="13"/>
  <c r="J16" i="13"/>
  <c r="X15" i="13"/>
  <c r="X14" i="13"/>
  <c r="X13" i="13"/>
  <c r="J13" i="13"/>
  <c r="K13" i="13" s="1"/>
  <c r="L13" i="13" s="1"/>
  <c r="X12" i="13"/>
  <c r="J12" i="13"/>
  <c r="K12" i="13" s="1"/>
  <c r="L12" i="13" s="1"/>
  <c r="X11" i="13"/>
  <c r="J11" i="13"/>
  <c r="K11" i="13" s="1"/>
  <c r="L11" i="13" s="1"/>
  <c r="X10" i="13"/>
  <c r="J10" i="13"/>
  <c r="K10" i="13" s="1"/>
  <c r="L10" i="13" s="1"/>
  <c r="X9" i="13"/>
  <c r="J9" i="13"/>
  <c r="K9" i="13" s="1"/>
  <c r="L9" i="13" s="1"/>
  <c r="X8" i="13"/>
  <c r="J8" i="13"/>
  <c r="K8" i="13" s="1"/>
  <c r="L8" i="13" s="1"/>
  <c r="X7" i="13"/>
  <c r="J7" i="13"/>
  <c r="K7" i="13" s="1"/>
  <c r="L7" i="13" s="1"/>
  <c r="X6" i="13"/>
  <c r="J6" i="13"/>
  <c r="K6" i="13" s="1"/>
  <c r="L6" i="13" s="1"/>
  <c r="J5" i="13"/>
  <c r="K5" i="13" s="1"/>
  <c r="L5" i="13" s="1"/>
  <c r="AA4" i="13"/>
  <c r="Y4" i="13"/>
  <c r="K68" i="12"/>
  <c r="J68" i="12"/>
  <c r="I68" i="12"/>
  <c r="N68" i="12" s="1"/>
  <c r="K67" i="12"/>
  <c r="P67" i="12" s="1"/>
  <c r="J67" i="12"/>
  <c r="I67" i="12"/>
  <c r="K66" i="12"/>
  <c r="J66" i="12"/>
  <c r="O66" i="12" s="1"/>
  <c r="I66" i="12"/>
  <c r="N66" i="12" s="1"/>
  <c r="K65" i="12"/>
  <c r="P65" i="12" s="1"/>
  <c r="J65" i="12"/>
  <c r="O65" i="12" s="1"/>
  <c r="I65" i="12"/>
  <c r="N65" i="12" s="1"/>
  <c r="K64" i="12"/>
  <c r="J64" i="12"/>
  <c r="O64" i="12" s="1"/>
  <c r="I64" i="12"/>
  <c r="K63" i="12"/>
  <c r="J63" i="12"/>
  <c r="O63" i="12" s="1"/>
  <c r="I63" i="12"/>
  <c r="N63" i="12" s="1"/>
  <c r="K62" i="12"/>
  <c r="P62" i="12" s="1"/>
  <c r="J62" i="12"/>
  <c r="I62" i="12"/>
  <c r="K61" i="12"/>
  <c r="P61" i="12" s="1"/>
  <c r="J61" i="12"/>
  <c r="I61" i="12"/>
  <c r="J60" i="12"/>
  <c r="O60" i="12" s="1"/>
  <c r="I60" i="12"/>
  <c r="N60" i="12" s="1"/>
  <c r="K60" i="12"/>
  <c r="K59" i="12"/>
  <c r="P59" i="12" s="1"/>
  <c r="J59" i="12"/>
  <c r="O59" i="12" s="1"/>
  <c r="I59" i="12"/>
  <c r="N59" i="12" s="1"/>
  <c r="K58" i="12"/>
  <c r="P58" i="12" s="1"/>
  <c r="J58" i="12"/>
  <c r="O58" i="12" s="1"/>
  <c r="I58" i="12"/>
  <c r="N58" i="12" s="1"/>
  <c r="K57" i="12"/>
  <c r="P57" i="12" s="1"/>
  <c r="J57" i="12"/>
  <c r="O57" i="12" s="1"/>
  <c r="I57" i="12"/>
  <c r="N57" i="12" s="1"/>
  <c r="K56" i="12"/>
  <c r="J56" i="12"/>
  <c r="O56" i="12" s="1"/>
  <c r="I56" i="12"/>
  <c r="K55" i="12"/>
  <c r="P55" i="12" s="1"/>
  <c r="J55" i="12"/>
  <c r="I55" i="12"/>
  <c r="K54" i="12"/>
  <c r="J54" i="12"/>
  <c r="O54" i="12" s="1"/>
  <c r="I54" i="12"/>
  <c r="N54" i="12" s="1"/>
  <c r="K53" i="12"/>
  <c r="P53" i="12" s="1"/>
  <c r="J53" i="12"/>
  <c r="O53" i="12" s="1"/>
  <c r="I53" i="12"/>
  <c r="K52" i="12"/>
  <c r="P52" i="12" s="1"/>
  <c r="J52" i="12"/>
  <c r="O52" i="12" s="1"/>
  <c r="I52" i="12"/>
  <c r="N52" i="12" s="1"/>
  <c r="K46" i="12"/>
  <c r="P46" i="12" s="1"/>
  <c r="J46" i="12"/>
  <c r="O46" i="12" s="1"/>
  <c r="I46" i="12"/>
  <c r="K45" i="12"/>
  <c r="I45" i="12"/>
  <c r="J45" i="12"/>
  <c r="K44" i="12"/>
  <c r="P44" i="12" s="1"/>
  <c r="J44" i="12"/>
  <c r="I44" i="12"/>
  <c r="K43" i="12"/>
  <c r="P43" i="12" s="1"/>
  <c r="I43" i="12"/>
  <c r="J43" i="12"/>
  <c r="O43" i="12" s="1"/>
  <c r="J42" i="12"/>
  <c r="O42" i="12" s="1"/>
  <c r="K42" i="12"/>
  <c r="P42" i="12" s="1"/>
  <c r="I42" i="12"/>
  <c r="J41" i="12"/>
  <c r="O41" i="12" s="1"/>
  <c r="K41" i="12"/>
  <c r="P41" i="12" s="1"/>
  <c r="I41" i="12"/>
  <c r="J40" i="12"/>
  <c r="O40" i="12" s="1"/>
  <c r="K40" i="12"/>
  <c r="P40" i="12" s="1"/>
  <c r="I40" i="12"/>
  <c r="J39" i="12"/>
  <c r="O39" i="12" s="1"/>
  <c r="K39" i="12"/>
  <c r="I39" i="12"/>
  <c r="J38" i="12"/>
  <c r="O38" i="12" s="1"/>
  <c r="K38" i="12"/>
  <c r="P38" i="12" s="1"/>
  <c r="I38" i="12"/>
  <c r="J37" i="12"/>
  <c r="O37" i="12" s="1"/>
  <c r="K37" i="12"/>
  <c r="P37" i="12" s="1"/>
  <c r="I37" i="12"/>
  <c r="J36" i="12"/>
  <c r="O36" i="12" s="1"/>
  <c r="I36" i="12"/>
  <c r="K36" i="12"/>
  <c r="P36" i="12" s="1"/>
  <c r="K35" i="12"/>
  <c r="J35" i="12"/>
  <c r="O35" i="12" s="1"/>
  <c r="I35" i="12"/>
  <c r="N35" i="12" s="1"/>
  <c r="K34" i="12"/>
  <c r="P34" i="12" s="1"/>
  <c r="J34" i="12"/>
  <c r="O34" i="12" s="1"/>
  <c r="I34" i="12"/>
  <c r="X34" i="12" s="1"/>
  <c r="K33" i="12"/>
  <c r="P33" i="12" s="1"/>
  <c r="J33" i="12"/>
  <c r="O33" i="12" s="1"/>
  <c r="I33" i="12"/>
  <c r="K32" i="12"/>
  <c r="P32" i="12" s="1"/>
  <c r="J32" i="12"/>
  <c r="I32" i="12"/>
  <c r="N32" i="12" s="1"/>
  <c r="K31" i="12"/>
  <c r="J31" i="12"/>
  <c r="Y31" i="12" s="1"/>
  <c r="I31" i="12"/>
  <c r="N31" i="12" s="1"/>
  <c r="K30" i="12"/>
  <c r="P30" i="12" s="1"/>
  <c r="J30" i="12"/>
  <c r="O30" i="12" s="1"/>
  <c r="I30" i="12"/>
  <c r="N30" i="12" s="1"/>
  <c r="K29" i="12"/>
  <c r="J29" i="12"/>
  <c r="O29" i="12" s="1"/>
  <c r="I29" i="12"/>
  <c r="K28" i="12"/>
  <c r="P28" i="12" s="1"/>
  <c r="J28" i="12"/>
  <c r="O28" i="12" s="1"/>
  <c r="I28" i="12"/>
  <c r="M28" i="12" s="1"/>
  <c r="J23" i="12"/>
  <c r="O23" i="12" s="1"/>
  <c r="K23" i="12"/>
  <c r="I23" i="12"/>
  <c r="J22" i="12"/>
  <c r="O22" i="12" s="1"/>
  <c r="I22" i="12"/>
  <c r="N22" i="12" s="1"/>
  <c r="K22" i="12"/>
  <c r="J21" i="12"/>
  <c r="K21" i="12"/>
  <c r="P21" i="12" s="1"/>
  <c r="I21" i="12"/>
  <c r="J20" i="12"/>
  <c r="O20" i="12" s="1"/>
  <c r="I20" i="12"/>
  <c r="N20" i="12" s="1"/>
  <c r="K20" i="12"/>
  <c r="P20" i="12" s="1"/>
  <c r="J19" i="12"/>
  <c r="O19" i="12" s="1"/>
  <c r="K19" i="12"/>
  <c r="I19" i="12"/>
  <c r="J18" i="12"/>
  <c r="O18" i="12" s="1"/>
  <c r="K18" i="12"/>
  <c r="P18" i="12" s="1"/>
  <c r="I18" i="12"/>
  <c r="J17" i="12"/>
  <c r="O17" i="12" s="1"/>
  <c r="K17" i="12"/>
  <c r="P17" i="12" s="1"/>
  <c r="I17" i="12"/>
  <c r="J16" i="12"/>
  <c r="O16" i="12" s="1"/>
  <c r="K16" i="12"/>
  <c r="I16" i="12"/>
  <c r="J15" i="12"/>
  <c r="O15" i="12" s="1"/>
  <c r="I15" i="12"/>
  <c r="N15" i="12" s="1"/>
  <c r="K15" i="12"/>
  <c r="J14" i="12"/>
  <c r="O14" i="12" s="1"/>
  <c r="I14" i="12"/>
  <c r="N14" i="12" s="1"/>
  <c r="K14" i="12"/>
  <c r="J13" i="12"/>
  <c r="O13" i="12" s="1"/>
  <c r="I13" i="12"/>
  <c r="N13" i="12" s="1"/>
  <c r="K13" i="12"/>
  <c r="K12" i="12"/>
  <c r="P12" i="12" s="1"/>
  <c r="J12" i="12"/>
  <c r="O12" i="12" s="1"/>
  <c r="I12" i="12"/>
  <c r="N12" i="12" s="1"/>
  <c r="K11" i="12"/>
  <c r="P11" i="12" s="1"/>
  <c r="J11" i="12"/>
  <c r="O11" i="12" s="1"/>
  <c r="I11" i="12"/>
  <c r="K10" i="12"/>
  <c r="P10" i="12" s="1"/>
  <c r="J10" i="12"/>
  <c r="I10" i="12"/>
  <c r="K9" i="12"/>
  <c r="J9" i="12"/>
  <c r="O9" i="12" s="1"/>
  <c r="I9" i="12"/>
  <c r="N9" i="12" s="1"/>
  <c r="K8" i="12"/>
  <c r="P8" i="12" s="1"/>
  <c r="J8" i="12"/>
  <c r="O8" i="12" s="1"/>
  <c r="I8" i="12"/>
  <c r="N8" i="12" s="1"/>
  <c r="K7" i="12"/>
  <c r="P7" i="12" s="1"/>
  <c r="J7" i="12"/>
  <c r="O7" i="12" s="1"/>
  <c r="I7" i="12"/>
  <c r="K6" i="12"/>
  <c r="P6" i="12" s="1"/>
  <c r="J6" i="12"/>
  <c r="O6" i="12" s="1"/>
  <c r="I6" i="12"/>
  <c r="N6" i="12" s="1"/>
  <c r="K5" i="12"/>
  <c r="P5" i="12" s="1"/>
  <c r="J5" i="12"/>
  <c r="O5" i="12" s="1"/>
  <c r="I5" i="12"/>
  <c r="I52" i="15" l="1"/>
  <c r="J52" i="15" s="1"/>
  <c r="K52" i="15" s="1"/>
  <c r="L52" i="15" s="1"/>
  <c r="I47" i="15"/>
  <c r="J47" i="15" s="1"/>
  <c r="K47" i="15" s="1"/>
  <c r="L47" i="15" s="1"/>
  <c r="I80" i="15"/>
  <c r="J80" i="15" s="1"/>
  <c r="K80" i="15" s="1"/>
  <c r="L80" i="15" s="1"/>
  <c r="I86" i="15"/>
  <c r="J86" i="15" s="1"/>
  <c r="K86" i="15" s="1"/>
  <c r="L86" i="15" s="1"/>
  <c r="I57" i="15"/>
  <c r="J57" i="15" s="1"/>
  <c r="K57" i="15" s="1"/>
  <c r="L57" i="15" s="1"/>
  <c r="I87" i="15"/>
  <c r="J87" i="15" s="1"/>
  <c r="K87" i="15" s="1"/>
  <c r="L87" i="15" s="1"/>
  <c r="J29" i="15"/>
  <c r="K29" i="15" s="1"/>
  <c r="L29" i="15" s="1"/>
  <c r="J22" i="15"/>
  <c r="K22" i="15" s="1"/>
  <c r="L22" i="15" s="1"/>
  <c r="J23" i="15"/>
  <c r="K23" i="15" s="1"/>
  <c r="L23" i="15" s="1"/>
  <c r="J10" i="15"/>
  <c r="K10" i="15" s="1"/>
  <c r="L10" i="15" s="1"/>
  <c r="J21" i="15"/>
  <c r="K21" i="15" s="1"/>
  <c r="L21" i="15" s="1"/>
  <c r="Q65" i="15"/>
  <c r="Q36" i="15"/>
  <c r="Q35" i="15"/>
  <c r="J31" i="15"/>
  <c r="K31" i="15" s="1"/>
  <c r="L31" i="15" s="1"/>
  <c r="J27" i="15"/>
  <c r="K27" i="15" s="1"/>
  <c r="L27" i="15" s="1"/>
  <c r="J28" i="15"/>
  <c r="K28" i="15" s="1"/>
  <c r="L28" i="15" s="1"/>
  <c r="J58" i="15"/>
  <c r="K58" i="15" s="1"/>
  <c r="L58" i="15" s="1"/>
  <c r="Q6" i="15"/>
  <c r="K36" i="13"/>
  <c r="L36" i="13" s="1"/>
  <c r="L86" i="13"/>
  <c r="L90" i="13"/>
  <c r="L94" i="13"/>
  <c r="L92" i="13"/>
  <c r="K37" i="13"/>
  <c r="L37" i="13" s="1"/>
  <c r="P37" i="13" s="1"/>
  <c r="L87" i="13"/>
  <c r="P87" i="13" s="1"/>
  <c r="L91" i="13"/>
  <c r="L95" i="13"/>
  <c r="L88" i="13"/>
  <c r="P88" i="13" s="1"/>
  <c r="K35" i="13"/>
  <c r="L35" i="13" s="1"/>
  <c r="K85" i="13"/>
  <c r="L85" i="13" s="1"/>
  <c r="L89" i="13"/>
  <c r="L93" i="13"/>
  <c r="L97" i="13"/>
  <c r="P97" i="13" s="1"/>
  <c r="P128" i="13"/>
  <c r="P64" i="13"/>
  <c r="J68" i="13"/>
  <c r="J72" i="13"/>
  <c r="P72" i="13" s="1"/>
  <c r="J18" i="13"/>
  <c r="J24" i="13"/>
  <c r="J67" i="13"/>
  <c r="P79" i="13"/>
  <c r="J21" i="13"/>
  <c r="J76" i="13"/>
  <c r="P108" i="13"/>
  <c r="T150" i="13" s="1"/>
  <c r="J66" i="13"/>
  <c r="P26" i="13"/>
  <c r="P44" i="13"/>
  <c r="P78" i="13"/>
  <c r="H107" i="13"/>
  <c r="P107" i="13" s="1"/>
  <c r="T149" i="13" s="1"/>
  <c r="P129" i="13"/>
  <c r="J70" i="13"/>
  <c r="J119" i="13"/>
  <c r="M60" i="12"/>
  <c r="T6" i="12"/>
  <c r="M55" i="12"/>
  <c r="M53" i="12"/>
  <c r="L54" i="12"/>
  <c r="X8" i="12"/>
  <c r="L22" i="12"/>
  <c r="Y53" i="12"/>
  <c r="L53" i="12"/>
  <c r="L57" i="12"/>
  <c r="L13" i="12"/>
  <c r="O68" i="12"/>
  <c r="M68" i="12"/>
  <c r="L64" i="12"/>
  <c r="M64" i="12"/>
  <c r="L58" i="12"/>
  <c r="N53" i="12"/>
  <c r="Z7" i="12"/>
  <c r="M10" i="12"/>
  <c r="Z34" i="12"/>
  <c r="T53" i="12"/>
  <c r="N55" i="12"/>
  <c r="O31" i="12"/>
  <c r="T31" i="12" s="1"/>
  <c r="L35" i="12"/>
  <c r="M56" i="12"/>
  <c r="Q58" i="12"/>
  <c r="L5" i="12"/>
  <c r="L55" i="12"/>
  <c r="M63" i="12"/>
  <c r="M29" i="12"/>
  <c r="Z30" i="12"/>
  <c r="Y33" i="12"/>
  <c r="M34" i="12"/>
  <c r="T29" i="12"/>
  <c r="L31" i="12"/>
  <c r="M32" i="12"/>
  <c r="Y29" i="12"/>
  <c r="D42" i="12"/>
  <c r="D43" i="12" s="1"/>
  <c r="D44" i="12" s="1"/>
  <c r="D45" i="12"/>
  <c r="D46" i="12" s="1"/>
  <c r="D47" i="12" s="1"/>
  <c r="D48" i="12" s="1"/>
  <c r="M6" i="12"/>
  <c r="U7" i="12"/>
  <c r="L8" i="12"/>
  <c r="Q6" i="12"/>
  <c r="Z6" i="12"/>
  <c r="L12" i="12"/>
  <c r="L15" i="12"/>
  <c r="L18" i="12"/>
  <c r="M19" i="12"/>
  <c r="M5" i="12"/>
  <c r="T8" i="12"/>
  <c r="N10" i="12"/>
  <c r="D19" i="12"/>
  <c r="D20" i="12" s="1"/>
  <c r="D21" i="12" s="1"/>
  <c r="D22" i="12"/>
  <c r="D23" i="12" s="1"/>
  <c r="D24" i="12" s="1"/>
  <c r="P75" i="13"/>
  <c r="P13" i="13"/>
  <c r="J14" i="13"/>
  <c r="P57" i="13"/>
  <c r="J123" i="13"/>
  <c r="M127" i="13"/>
  <c r="J126" i="13"/>
  <c r="P147" i="13"/>
  <c r="P7" i="13"/>
  <c r="T16" i="13" s="1"/>
  <c r="J120" i="13"/>
  <c r="J125" i="13"/>
  <c r="J121" i="13"/>
  <c r="P121" i="13" s="1"/>
  <c r="J12" i="15"/>
  <c r="K12" i="15" s="1"/>
  <c r="L12" i="15" s="1"/>
  <c r="H37" i="15"/>
  <c r="I37" i="15" s="1"/>
  <c r="H35" i="15"/>
  <c r="I35" i="15" s="1"/>
  <c r="H36" i="15"/>
  <c r="I36" i="15" s="1"/>
  <c r="J9" i="15"/>
  <c r="K9" i="15" s="1"/>
  <c r="L9" i="15" s="1"/>
  <c r="J7" i="15"/>
  <c r="K7" i="15" s="1"/>
  <c r="L7" i="15" s="1"/>
  <c r="J25" i="15"/>
  <c r="K25" i="15" s="1"/>
  <c r="L25" i="15" s="1"/>
  <c r="J5" i="15"/>
  <c r="K5" i="15" s="1"/>
  <c r="L5" i="15" s="1"/>
  <c r="H6" i="15"/>
  <c r="I6" i="15" s="1"/>
  <c r="H11" i="15"/>
  <c r="I11" i="15" s="1"/>
  <c r="H13" i="15"/>
  <c r="I13" i="15" s="1"/>
  <c r="H14" i="15"/>
  <c r="I14" i="15" s="1"/>
  <c r="J16" i="15"/>
  <c r="K16" i="15" s="1"/>
  <c r="L16" i="15" s="1"/>
  <c r="J17" i="15"/>
  <c r="K17" i="15" s="1"/>
  <c r="L17" i="15" s="1"/>
  <c r="H19" i="15"/>
  <c r="I19" i="15" s="1"/>
  <c r="Q38" i="15"/>
  <c r="Q37" i="15"/>
  <c r="H8" i="15"/>
  <c r="I8" i="15" s="1"/>
  <c r="H18" i="15"/>
  <c r="I18" i="15" s="1"/>
  <c r="J20" i="15"/>
  <c r="K20" i="15" s="1"/>
  <c r="L20" i="15" s="1"/>
  <c r="J26" i="15"/>
  <c r="K26" i="15" s="1"/>
  <c r="L26" i="15" s="1"/>
  <c r="J56" i="15"/>
  <c r="K56" i="15" s="1"/>
  <c r="L56" i="15" s="1"/>
  <c r="H59" i="15"/>
  <c r="I59" i="15" s="1"/>
  <c r="H61" i="15"/>
  <c r="H60" i="15"/>
  <c r="I60" i="15" s="1"/>
  <c r="J45" i="15"/>
  <c r="K45" i="15" s="1"/>
  <c r="L45" i="15" s="1"/>
  <c r="H44" i="15"/>
  <c r="I44" i="15" s="1"/>
  <c r="H46" i="15"/>
  <c r="H15" i="15"/>
  <c r="I15" i="15" s="1"/>
  <c r="J51" i="15"/>
  <c r="K51" i="15" s="1"/>
  <c r="L51" i="15" s="1"/>
  <c r="Q66" i="15"/>
  <c r="H24" i="15"/>
  <c r="I24" i="15" s="1"/>
  <c r="H30" i="15"/>
  <c r="I30" i="15" s="1"/>
  <c r="H40" i="15"/>
  <c r="I40" i="15" s="1"/>
  <c r="H38" i="15"/>
  <c r="H39" i="15"/>
  <c r="I39" i="15" s="1"/>
  <c r="H43" i="15"/>
  <c r="I43" i="15" s="1"/>
  <c r="H41" i="15"/>
  <c r="I41" i="15" s="1"/>
  <c r="J42" i="15"/>
  <c r="K42" i="15" s="1"/>
  <c r="L42" i="15" s="1"/>
  <c r="H66" i="15"/>
  <c r="I66" i="15" s="1"/>
  <c r="H67" i="15"/>
  <c r="I67" i="15" s="1"/>
  <c r="H65" i="15"/>
  <c r="J50" i="15"/>
  <c r="K50" i="15" s="1"/>
  <c r="L50" i="15" s="1"/>
  <c r="H55" i="15"/>
  <c r="I55" i="15" s="1"/>
  <c r="J53" i="15"/>
  <c r="K53" i="15" s="1"/>
  <c r="L53" i="15" s="1"/>
  <c r="J54" i="15"/>
  <c r="K54" i="15" s="1"/>
  <c r="L54" i="15" s="1"/>
  <c r="H49" i="15"/>
  <c r="J68" i="15"/>
  <c r="K68" i="15" s="1"/>
  <c r="L68" i="15" s="1"/>
  <c r="J81" i="15"/>
  <c r="K81" i="15" s="1"/>
  <c r="L81" i="15" s="1"/>
  <c r="H48" i="15"/>
  <c r="H79" i="15"/>
  <c r="I79" i="15" s="1"/>
  <c r="J78" i="15"/>
  <c r="K78" i="15" s="1"/>
  <c r="L78" i="15" s="1"/>
  <c r="H77" i="15"/>
  <c r="I77" i="15" s="1"/>
  <c r="J82" i="15"/>
  <c r="K82" i="15" s="1"/>
  <c r="L82" i="15" s="1"/>
  <c r="J88" i="15"/>
  <c r="K88" i="15" s="1"/>
  <c r="L88" i="15" s="1"/>
  <c r="J70" i="15"/>
  <c r="K70" i="15" s="1"/>
  <c r="L70" i="15" s="1"/>
  <c r="H72" i="15"/>
  <c r="I72" i="15" s="1"/>
  <c r="J73" i="15"/>
  <c r="K73" i="15" s="1"/>
  <c r="L73" i="15" s="1"/>
  <c r="H76" i="15"/>
  <c r="I76" i="15" s="1"/>
  <c r="H84" i="15"/>
  <c r="I84" i="15" s="1"/>
  <c r="J85" i="15"/>
  <c r="K85" i="15" s="1"/>
  <c r="L85" i="15" s="1"/>
  <c r="H69" i="15"/>
  <c r="H75" i="15"/>
  <c r="I75" i="15" s="1"/>
  <c r="H83" i="15"/>
  <c r="I83" i="15" s="1"/>
  <c r="H71" i="15"/>
  <c r="H74" i="15"/>
  <c r="I74" i="15" s="1"/>
  <c r="J22" i="13"/>
  <c r="J25" i="13"/>
  <c r="P25" i="13" s="1"/>
  <c r="P12" i="13"/>
  <c r="P31" i="13"/>
  <c r="J19" i="13"/>
  <c r="J65" i="13"/>
  <c r="J74" i="13"/>
  <c r="P114" i="13"/>
  <c r="P6" i="13"/>
  <c r="P10" i="13"/>
  <c r="J15" i="13"/>
  <c r="J71" i="13"/>
  <c r="P61" i="13"/>
  <c r="P60" i="13"/>
  <c r="P28" i="13"/>
  <c r="P46" i="13"/>
  <c r="P39" i="13"/>
  <c r="P82" i="13"/>
  <c r="J117" i="13"/>
  <c r="P109" i="13"/>
  <c r="T151" i="13" s="1"/>
  <c r="P115" i="13"/>
  <c r="J116" i="13"/>
  <c r="J118" i="13"/>
  <c r="P130" i="13"/>
  <c r="P148" i="13"/>
  <c r="J127" i="13"/>
  <c r="J124" i="13"/>
  <c r="P144" i="13"/>
  <c r="R20" i="12"/>
  <c r="Q20" i="12"/>
  <c r="X7" i="12"/>
  <c r="L7" i="12"/>
  <c r="Y7" i="12"/>
  <c r="P23" i="12"/>
  <c r="U24" i="12" s="1"/>
  <c r="X36" i="12"/>
  <c r="M36" i="12"/>
  <c r="L36" i="12"/>
  <c r="P39" i="12"/>
  <c r="N41" i="12"/>
  <c r="M41" i="12"/>
  <c r="R52" i="12"/>
  <c r="Q52" i="12"/>
  <c r="Z8" i="12"/>
  <c r="Y8" i="12"/>
  <c r="O21" i="12"/>
  <c r="L28" i="12"/>
  <c r="N28" i="12"/>
  <c r="T30" i="12"/>
  <c r="Y35" i="12"/>
  <c r="R53" i="12"/>
  <c r="N7" i="12"/>
  <c r="S8" i="12" s="1"/>
  <c r="M9" i="12"/>
  <c r="P9" i="12"/>
  <c r="U9" i="12" s="1"/>
  <c r="L9" i="12"/>
  <c r="L41" i="12"/>
  <c r="N5" i="12"/>
  <c r="S6" i="12" s="1"/>
  <c r="T7" i="12"/>
  <c r="R8" i="12"/>
  <c r="Q8" i="12"/>
  <c r="L10" i="12"/>
  <c r="O10" i="12"/>
  <c r="N16" i="12"/>
  <c r="M16" i="12"/>
  <c r="L23" i="12"/>
  <c r="N23" i="12"/>
  <c r="S24" i="12" s="1"/>
  <c r="P29" i="12"/>
  <c r="Z29" i="12"/>
  <c r="U33" i="12"/>
  <c r="N37" i="12"/>
  <c r="M37" i="12"/>
  <c r="L11" i="12"/>
  <c r="N11" i="12"/>
  <c r="R12" i="12"/>
  <c r="Q12" i="12"/>
  <c r="P14" i="12"/>
  <c r="R14" i="12" s="1"/>
  <c r="N18" i="12"/>
  <c r="M18" i="12"/>
  <c r="M20" i="12"/>
  <c r="L20" i="12"/>
  <c r="R30" i="12"/>
  <c r="Q30" i="12"/>
  <c r="X33" i="12"/>
  <c r="L33" i="12"/>
  <c r="M33" i="12"/>
  <c r="L19" i="12"/>
  <c r="N19" i="12"/>
  <c r="Y6" i="12"/>
  <c r="L6" i="12"/>
  <c r="R6" i="12"/>
  <c r="U8" i="12"/>
  <c r="S9" i="12"/>
  <c r="P13" i="12"/>
  <c r="Q13" i="12" s="1"/>
  <c r="P15" i="12"/>
  <c r="L16" i="12"/>
  <c r="N21" i="12"/>
  <c r="M21" i="12"/>
  <c r="L21" i="12"/>
  <c r="M23" i="12"/>
  <c r="S32" i="12"/>
  <c r="L34" i="12"/>
  <c r="N34" i="12"/>
  <c r="S35" i="12" s="1"/>
  <c r="U34" i="12"/>
  <c r="T35" i="12"/>
  <c r="N36" i="12"/>
  <c r="L37" i="12"/>
  <c r="U6" i="12"/>
  <c r="M7" i="12"/>
  <c r="M11" i="12"/>
  <c r="L14" i="12"/>
  <c r="P16" i="12"/>
  <c r="N17" i="12"/>
  <c r="M17" i="12"/>
  <c r="L17" i="12"/>
  <c r="P19" i="12"/>
  <c r="X32" i="12"/>
  <c r="N33" i="12"/>
  <c r="T34" i="12"/>
  <c r="X55" i="12"/>
  <c r="Q59" i="12"/>
  <c r="R59" i="12"/>
  <c r="M8" i="12"/>
  <c r="M12" i="12"/>
  <c r="M13" i="12"/>
  <c r="M14" i="12"/>
  <c r="M15" i="12"/>
  <c r="M22" i="12"/>
  <c r="L30" i="12"/>
  <c r="Z31" i="12"/>
  <c r="P31" i="12"/>
  <c r="U31" i="12" s="1"/>
  <c r="Y32" i="12"/>
  <c r="O32" i="12"/>
  <c r="T32" i="12" s="1"/>
  <c r="Z32" i="12"/>
  <c r="Z33" i="12"/>
  <c r="Y34" i="12"/>
  <c r="AA34" i="12" s="1"/>
  <c r="M35" i="12"/>
  <c r="X35" i="12"/>
  <c r="N38" i="12"/>
  <c r="M38" i="12"/>
  <c r="L38" i="12"/>
  <c r="N42" i="12"/>
  <c r="M42" i="12"/>
  <c r="L42" i="12"/>
  <c r="L43" i="12"/>
  <c r="M43" i="12"/>
  <c r="U53" i="12"/>
  <c r="P63" i="12"/>
  <c r="Q63" i="12" s="1"/>
  <c r="L63" i="12"/>
  <c r="X6" i="12"/>
  <c r="X29" i="12"/>
  <c r="L29" i="12"/>
  <c r="N29" i="12"/>
  <c r="M30" i="12"/>
  <c r="X30" i="12"/>
  <c r="N39" i="12"/>
  <c r="M39" i="12"/>
  <c r="L39" i="12"/>
  <c r="L44" i="12"/>
  <c r="N44" i="12"/>
  <c r="M44" i="12"/>
  <c r="P45" i="12"/>
  <c r="L46" i="12"/>
  <c r="N46" i="12"/>
  <c r="S47" i="12" s="1"/>
  <c r="L52" i="12"/>
  <c r="M52" i="12"/>
  <c r="X53" i="12"/>
  <c r="T54" i="12"/>
  <c r="Z53" i="12"/>
  <c r="R57" i="12"/>
  <c r="Q57" i="12"/>
  <c r="O61" i="12"/>
  <c r="R65" i="12"/>
  <c r="Q65" i="12"/>
  <c r="O67" i="12"/>
  <c r="P22" i="12"/>
  <c r="Y30" i="12"/>
  <c r="M31" i="12"/>
  <c r="S31" i="12"/>
  <c r="X31" i="12"/>
  <c r="L32" i="12"/>
  <c r="Z35" i="12"/>
  <c r="P35" i="12"/>
  <c r="U36" i="12" s="1"/>
  <c r="N40" i="12"/>
  <c r="M40" i="12"/>
  <c r="L40" i="12"/>
  <c r="N43" i="12"/>
  <c r="O44" i="12"/>
  <c r="O45" i="12"/>
  <c r="M45" i="12"/>
  <c r="M46" i="12"/>
  <c r="P56" i="12"/>
  <c r="U56" i="12" s="1"/>
  <c r="Z56" i="12"/>
  <c r="M61" i="12"/>
  <c r="L61" i="12"/>
  <c r="N61" i="12"/>
  <c r="P66" i="12"/>
  <c r="Q66" i="12" s="1"/>
  <c r="M66" i="12"/>
  <c r="L67" i="12"/>
  <c r="N67" i="12"/>
  <c r="M67" i="12"/>
  <c r="S53" i="12"/>
  <c r="Q53" i="12"/>
  <c r="M59" i="12"/>
  <c r="P64" i="12"/>
  <c r="N64" i="12"/>
  <c r="L45" i="12"/>
  <c r="N45" i="12"/>
  <c r="S54" i="12"/>
  <c r="X56" i="12"/>
  <c r="L56" i="12"/>
  <c r="N56" i="12"/>
  <c r="L59" i="12"/>
  <c r="P60" i="12"/>
  <c r="R60" i="12" s="1"/>
  <c r="O62" i="12"/>
  <c r="M65" i="12"/>
  <c r="L65" i="12"/>
  <c r="M54" i="12"/>
  <c r="Z55" i="12"/>
  <c r="M57" i="12"/>
  <c r="L60" i="12"/>
  <c r="N62" i="12"/>
  <c r="M62" i="12"/>
  <c r="L62" i="12"/>
  <c r="P68" i="12"/>
  <c r="L66" i="12"/>
  <c r="L68" i="12"/>
  <c r="Z54" i="12"/>
  <c r="P54" i="12"/>
  <c r="U54" i="12" s="1"/>
  <c r="Y55" i="12"/>
  <c r="O55" i="12"/>
  <c r="T55" i="12" s="1"/>
  <c r="R58" i="12"/>
  <c r="M58" i="12"/>
  <c r="M88" i="15" l="1"/>
  <c r="R71" i="15" s="1"/>
  <c r="I49" i="15"/>
  <c r="J49" i="15" s="1"/>
  <c r="K49" i="15" s="1"/>
  <c r="L49" i="15" s="1"/>
  <c r="I38" i="15"/>
  <c r="J38" i="15" s="1"/>
  <c r="K38" i="15" s="1"/>
  <c r="L38" i="15" s="1"/>
  <c r="I46" i="15"/>
  <c r="J46" i="15" s="1"/>
  <c r="K46" i="15" s="1"/>
  <c r="L46" i="15" s="1"/>
  <c r="I61" i="15"/>
  <c r="J61" i="15" s="1"/>
  <c r="K61" i="15" s="1"/>
  <c r="L61" i="15" s="1"/>
  <c r="I71" i="15"/>
  <c r="J71" i="15" s="1"/>
  <c r="K71" i="15" s="1"/>
  <c r="L71" i="15" s="1"/>
  <c r="I69" i="15"/>
  <c r="J69" i="15" s="1"/>
  <c r="K69" i="15" s="1"/>
  <c r="L69" i="15" s="1"/>
  <c r="M70" i="15" s="1"/>
  <c r="R65" i="15" s="1"/>
  <c r="I48" i="15"/>
  <c r="J48" i="15" s="1"/>
  <c r="K48" i="15" s="1"/>
  <c r="L48" i="15" s="1"/>
  <c r="I65" i="15"/>
  <c r="J65" i="15" s="1"/>
  <c r="K65" i="15" s="1"/>
  <c r="L65" i="15" s="1"/>
  <c r="N82" i="15"/>
  <c r="O82" i="15" s="1"/>
  <c r="S69" i="15" s="1"/>
  <c r="J30" i="15"/>
  <c r="K30" i="15" s="1"/>
  <c r="L30" i="15" s="1"/>
  <c r="J18" i="15"/>
  <c r="K18" i="15" s="1"/>
  <c r="L18" i="15" s="1"/>
  <c r="J19" i="15"/>
  <c r="K19" i="15" s="1"/>
  <c r="L19" i="15" s="1"/>
  <c r="J8" i="15"/>
  <c r="K8" i="15" s="1"/>
  <c r="L8" i="15" s="1"/>
  <c r="J11" i="15"/>
  <c r="K11" i="15" s="1"/>
  <c r="L11" i="15" s="1"/>
  <c r="J24" i="15"/>
  <c r="K24" i="15" s="1"/>
  <c r="L24" i="15" s="1"/>
  <c r="J6" i="15"/>
  <c r="K6" i="15" s="1"/>
  <c r="L6" i="15" s="1"/>
  <c r="V151" i="13"/>
  <c r="U151" i="13"/>
  <c r="T39" i="13"/>
  <c r="P20" i="13"/>
  <c r="T72" i="13"/>
  <c r="P40" i="13"/>
  <c r="P92" i="13"/>
  <c r="T28" i="13"/>
  <c r="T10" i="13"/>
  <c r="P123" i="13"/>
  <c r="T123" i="13" s="1"/>
  <c r="T87" i="13"/>
  <c r="P67" i="13"/>
  <c r="T31" i="13"/>
  <c r="T75" i="13"/>
  <c r="T147" i="13"/>
  <c r="P122" i="13"/>
  <c r="T122" i="13" s="1"/>
  <c r="T78" i="13"/>
  <c r="T60" i="13"/>
  <c r="P73" i="13"/>
  <c r="N25" i="13"/>
  <c r="O25" i="13" s="1"/>
  <c r="Z11" i="13" s="1"/>
  <c r="T144" i="13"/>
  <c r="P63" i="13"/>
  <c r="T63" i="13" s="1"/>
  <c r="P19" i="13"/>
  <c r="T19" i="13" s="1"/>
  <c r="T37" i="13"/>
  <c r="T40" i="13"/>
  <c r="N64" i="13"/>
  <c r="O64" i="13" s="1"/>
  <c r="Z57" i="13" s="1"/>
  <c r="P22" i="13"/>
  <c r="T22" i="13" s="1"/>
  <c r="P66" i="13"/>
  <c r="T66" i="13" s="1"/>
  <c r="T25" i="13"/>
  <c r="P125" i="13"/>
  <c r="Q127" i="13" s="1"/>
  <c r="P140" i="13"/>
  <c r="P141" i="13"/>
  <c r="T141" i="13" s="1"/>
  <c r="P120" i="13"/>
  <c r="T120" i="13" s="1"/>
  <c r="P17" i="13"/>
  <c r="P58" i="13"/>
  <c r="T82" i="13" s="1"/>
  <c r="P76" i="13"/>
  <c r="P18" i="13"/>
  <c r="T18" i="13" s="1"/>
  <c r="P24" i="13"/>
  <c r="T24" i="13" s="1"/>
  <c r="P23" i="13"/>
  <c r="P15" i="13"/>
  <c r="T15" i="13" s="1"/>
  <c r="T129" i="13"/>
  <c r="T121" i="13"/>
  <c r="P70" i="13"/>
  <c r="T70" i="13" s="1"/>
  <c r="R68" i="12"/>
  <c r="X48" i="12"/>
  <c r="Z48" i="12"/>
  <c r="Y48" i="12"/>
  <c r="T48" i="12"/>
  <c r="U48" i="12"/>
  <c r="S48" i="12"/>
  <c r="Q60" i="12"/>
  <c r="R13" i="12"/>
  <c r="Y47" i="12"/>
  <c r="Z47" i="12"/>
  <c r="X47" i="12"/>
  <c r="T47" i="12"/>
  <c r="U47" i="12"/>
  <c r="Z24" i="12"/>
  <c r="Y24" i="12"/>
  <c r="X24" i="12"/>
  <c r="T24" i="12"/>
  <c r="V24" i="12" s="1"/>
  <c r="R31" i="12"/>
  <c r="Q14" i="12"/>
  <c r="S55" i="12"/>
  <c r="Q68" i="12"/>
  <c r="Q54" i="12"/>
  <c r="T33" i="12"/>
  <c r="AB8" i="12"/>
  <c r="T148" i="13"/>
  <c r="P117" i="13"/>
  <c r="T117" i="13" s="1"/>
  <c r="T130" i="13"/>
  <c r="T13" i="13"/>
  <c r="T115" i="13"/>
  <c r="M25" i="13"/>
  <c r="Y11" i="13" s="1"/>
  <c r="P126" i="13"/>
  <c r="T126" i="13" s="1"/>
  <c r="N28" i="15"/>
  <c r="O28" i="15" s="1"/>
  <c r="S11" i="15" s="1"/>
  <c r="M28" i="15"/>
  <c r="R11" i="15" s="1"/>
  <c r="J83" i="15"/>
  <c r="K83" i="15" s="1"/>
  <c r="L83" i="15" s="1"/>
  <c r="J77" i="15"/>
  <c r="K77" i="15" s="1"/>
  <c r="L77" i="15" s="1"/>
  <c r="J43" i="15"/>
  <c r="K43" i="15" s="1"/>
  <c r="L43" i="15" s="1"/>
  <c r="J39" i="15"/>
  <c r="K39" i="15" s="1"/>
  <c r="L39" i="15" s="1"/>
  <c r="J40" i="15"/>
  <c r="K40" i="15" s="1"/>
  <c r="L40" i="15" s="1"/>
  <c r="M82" i="15"/>
  <c r="R69" i="15" s="1"/>
  <c r="J15" i="15"/>
  <c r="K15" i="15" s="1"/>
  <c r="L15" i="15" s="1"/>
  <c r="J44" i="15"/>
  <c r="K44" i="15" s="1"/>
  <c r="L44" i="15" s="1"/>
  <c r="N22" i="15"/>
  <c r="O22" i="15" s="1"/>
  <c r="S9" i="15" s="1"/>
  <c r="M22" i="15"/>
  <c r="R9" i="15" s="1"/>
  <c r="J14" i="15"/>
  <c r="K14" i="15" s="1"/>
  <c r="L14" i="15" s="1"/>
  <c r="J36" i="15"/>
  <c r="K36" i="15" s="1"/>
  <c r="L36" i="15" s="1"/>
  <c r="J37" i="15"/>
  <c r="K37" i="15" s="1"/>
  <c r="L37" i="15" s="1"/>
  <c r="Q68" i="15"/>
  <c r="Q67" i="15"/>
  <c r="J84" i="15"/>
  <c r="K84" i="15" s="1"/>
  <c r="L84" i="15" s="1"/>
  <c r="J72" i="15"/>
  <c r="K72" i="15" s="1"/>
  <c r="L72" i="15" s="1"/>
  <c r="J55" i="15"/>
  <c r="K55" i="15" s="1"/>
  <c r="L55" i="15" s="1"/>
  <c r="N55" i="15" s="1"/>
  <c r="O55" i="15" s="1"/>
  <c r="S40" i="15" s="1"/>
  <c r="J67" i="15"/>
  <c r="K67" i="15" s="1"/>
  <c r="L67" i="15" s="1"/>
  <c r="J66" i="15"/>
  <c r="K66" i="15" s="1"/>
  <c r="L66" i="15" s="1"/>
  <c r="N88" i="15"/>
  <c r="O88" i="15" s="1"/>
  <c r="S71" i="15" s="1"/>
  <c r="J59" i="15"/>
  <c r="K59" i="15" s="1"/>
  <c r="L59" i="15" s="1"/>
  <c r="J13" i="15"/>
  <c r="K13" i="15" s="1"/>
  <c r="L13" i="15" s="1"/>
  <c r="J74" i="15"/>
  <c r="K74" i="15" s="1"/>
  <c r="L74" i="15" s="1"/>
  <c r="J75" i="15"/>
  <c r="K75" i="15" s="1"/>
  <c r="L75" i="15" s="1"/>
  <c r="J76" i="15"/>
  <c r="K76" i="15" s="1"/>
  <c r="L76" i="15" s="1"/>
  <c r="J79" i="15"/>
  <c r="K79" i="15" s="1"/>
  <c r="L79" i="15" s="1"/>
  <c r="N52" i="15"/>
  <c r="O52" i="15" s="1"/>
  <c r="S39" i="15" s="1"/>
  <c r="M52" i="15"/>
  <c r="R39" i="15" s="1"/>
  <c r="J41" i="15"/>
  <c r="K41" i="15" s="1"/>
  <c r="L41" i="15" s="1"/>
  <c r="J60" i="15"/>
  <c r="K60" i="15" s="1"/>
  <c r="L60" i="15" s="1"/>
  <c r="N58" i="15"/>
  <c r="O58" i="15" s="1"/>
  <c r="S41" i="15" s="1"/>
  <c r="M58" i="15"/>
  <c r="R41" i="15" s="1"/>
  <c r="J35" i="15"/>
  <c r="K35" i="15" s="1"/>
  <c r="L35" i="15" s="1"/>
  <c r="Q7" i="15"/>
  <c r="P45" i="13"/>
  <c r="T45" i="13" s="1"/>
  <c r="N46" i="13"/>
  <c r="O46" i="13" s="1"/>
  <c r="Z18" i="13" s="1"/>
  <c r="M46" i="13"/>
  <c r="P27" i="13"/>
  <c r="T27" i="13" s="1"/>
  <c r="N28" i="13"/>
  <c r="O28" i="13" s="1"/>
  <c r="Z12" i="13" s="1"/>
  <c r="M28" i="13"/>
  <c r="M67" i="13"/>
  <c r="Y58" i="13" s="1"/>
  <c r="N67" i="13"/>
  <c r="O67" i="13" s="1"/>
  <c r="Z58" i="13" s="1"/>
  <c r="P65" i="13"/>
  <c r="N115" i="13"/>
  <c r="O115" i="13" s="1"/>
  <c r="Z108" i="13" s="1"/>
  <c r="M115" i="13"/>
  <c r="P113" i="13"/>
  <c r="M64" i="13"/>
  <c r="Y57" i="13" s="1"/>
  <c r="M76" i="13"/>
  <c r="Y61" i="13" s="1"/>
  <c r="N76" i="13"/>
  <c r="O76" i="13" s="1"/>
  <c r="Z61" i="13" s="1"/>
  <c r="P74" i="13"/>
  <c r="P142" i="13"/>
  <c r="T142" i="13" s="1"/>
  <c r="P21" i="13"/>
  <c r="T21" i="13" s="1"/>
  <c r="N22" i="13"/>
  <c r="O22" i="13" s="1"/>
  <c r="Z10" i="13" s="1"/>
  <c r="M22" i="13"/>
  <c r="Y10" i="13" s="1"/>
  <c r="N16" i="13"/>
  <c r="O16" i="13" s="1"/>
  <c r="Z8" i="13" s="1"/>
  <c r="M16" i="13"/>
  <c r="Y8" i="13" s="1"/>
  <c r="P14" i="13"/>
  <c r="P8" i="13"/>
  <c r="P124" i="13"/>
  <c r="T124" i="13" s="1"/>
  <c r="N148" i="13"/>
  <c r="O148" i="13" s="1"/>
  <c r="Z119" i="13" s="1"/>
  <c r="M148" i="13"/>
  <c r="P146" i="13"/>
  <c r="P90" i="13"/>
  <c r="T90" i="13" s="1"/>
  <c r="P112" i="13"/>
  <c r="T112" i="13" s="1"/>
  <c r="M13" i="13"/>
  <c r="Y7" i="13" s="1"/>
  <c r="N13" i="13"/>
  <c r="O13" i="13" s="1"/>
  <c r="Z7" i="13" s="1"/>
  <c r="P11" i="13"/>
  <c r="M130" i="13"/>
  <c r="P33" i="13"/>
  <c r="T33" i="13" s="1"/>
  <c r="P36" i="13"/>
  <c r="T36" i="13" s="1"/>
  <c r="P139" i="13"/>
  <c r="T139" i="13" s="1"/>
  <c r="P136" i="13"/>
  <c r="T136" i="13" s="1"/>
  <c r="P127" i="13"/>
  <c r="T127" i="13" s="1"/>
  <c r="P118" i="13"/>
  <c r="T118" i="13" s="1"/>
  <c r="P91" i="13"/>
  <c r="P30" i="13"/>
  <c r="T30" i="13" s="1"/>
  <c r="M109" i="13"/>
  <c r="P84" i="13"/>
  <c r="T84" i="13" s="1"/>
  <c r="P69" i="13"/>
  <c r="T69" i="13" s="1"/>
  <c r="P56" i="13"/>
  <c r="N58" i="13"/>
  <c r="O58" i="13" s="1"/>
  <c r="Z55" i="13" s="1"/>
  <c r="M58" i="13"/>
  <c r="Y55" i="13" s="1"/>
  <c r="P9" i="13"/>
  <c r="T9" i="13" s="1"/>
  <c r="N130" i="13"/>
  <c r="O130" i="13" s="1"/>
  <c r="Z113" i="13" s="1"/>
  <c r="P43" i="13"/>
  <c r="T43" i="13" s="1"/>
  <c r="N7" i="13"/>
  <c r="O7" i="13" s="1"/>
  <c r="Z5" i="13" s="1"/>
  <c r="M7" i="13"/>
  <c r="Y5" i="13" s="1"/>
  <c r="P5" i="13"/>
  <c r="T44" i="13" s="1"/>
  <c r="P132" i="13"/>
  <c r="T132" i="13" s="1"/>
  <c r="P111" i="13"/>
  <c r="T111" i="13" s="1"/>
  <c r="N31" i="13"/>
  <c r="O31" i="13" s="1"/>
  <c r="Z13" i="13" s="1"/>
  <c r="M31" i="13"/>
  <c r="P29" i="13"/>
  <c r="R130" i="13"/>
  <c r="S130" i="13" s="1"/>
  <c r="AB113" i="13" s="1"/>
  <c r="Q130" i="13"/>
  <c r="T128" i="13"/>
  <c r="R46" i="13"/>
  <c r="S46" i="13" s="1"/>
  <c r="AB18" i="13" s="1"/>
  <c r="Q46" i="13"/>
  <c r="R109" i="13"/>
  <c r="S109" i="13" s="1"/>
  <c r="AB106" i="13" s="1"/>
  <c r="Q109" i="13"/>
  <c r="N79" i="13"/>
  <c r="O79" i="13" s="1"/>
  <c r="Z62" i="13" s="1"/>
  <c r="M79" i="13"/>
  <c r="Y62" i="13" s="1"/>
  <c r="P77" i="13"/>
  <c r="P80" i="13"/>
  <c r="P34" i="13"/>
  <c r="T34" i="13" s="1"/>
  <c r="T12" i="13"/>
  <c r="P138" i="13"/>
  <c r="T138" i="13" s="1"/>
  <c r="P145" i="13"/>
  <c r="T145" i="13" s="1"/>
  <c r="P133" i="13"/>
  <c r="T133" i="13" s="1"/>
  <c r="T96" i="13"/>
  <c r="P42" i="13"/>
  <c r="T42" i="13" s="1"/>
  <c r="N109" i="13"/>
  <c r="O109" i="13" s="1"/>
  <c r="Z106" i="13" s="1"/>
  <c r="P85" i="13"/>
  <c r="P94" i="13"/>
  <c r="P93" i="13"/>
  <c r="T93" i="13" s="1"/>
  <c r="P81" i="13"/>
  <c r="T81" i="13" s="1"/>
  <c r="N127" i="13"/>
  <c r="O127" i="13" s="1"/>
  <c r="Z112" i="13" s="1"/>
  <c r="T114" i="13"/>
  <c r="R45" i="12"/>
  <c r="Q45" i="12"/>
  <c r="AA53" i="12"/>
  <c r="AB53" i="12"/>
  <c r="AB34" i="12"/>
  <c r="R61" i="12"/>
  <c r="Q61" i="12"/>
  <c r="R43" i="12"/>
  <c r="Q43" i="12"/>
  <c r="AA30" i="12"/>
  <c r="AB30" i="12"/>
  <c r="R33" i="12"/>
  <c r="Q33" i="12"/>
  <c r="S33" i="12"/>
  <c r="Q55" i="12"/>
  <c r="R67" i="12"/>
  <c r="Q67" i="12"/>
  <c r="R40" i="12"/>
  <c r="Q40" i="12"/>
  <c r="R44" i="12"/>
  <c r="Q44" i="12"/>
  <c r="R39" i="12"/>
  <c r="Q39" i="12"/>
  <c r="AB6" i="12"/>
  <c r="AA6" i="12"/>
  <c r="AB32" i="12"/>
  <c r="AA32" i="12"/>
  <c r="S36" i="12"/>
  <c r="R36" i="12"/>
  <c r="Q36" i="12"/>
  <c r="Q9" i="12"/>
  <c r="R18" i="12"/>
  <c r="Q18" i="12"/>
  <c r="U29" i="12"/>
  <c r="U30" i="12"/>
  <c r="W8" i="12"/>
  <c r="V8" i="12"/>
  <c r="Q28" i="12"/>
  <c r="R28" i="12"/>
  <c r="T10" i="12"/>
  <c r="Y9" i="12"/>
  <c r="X9" i="12"/>
  <c r="AB7" i="12"/>
  <c r="AA7" i="12"/>
  <c r="AB33" i="12"/>
  <c r="AA33" i="12"/>
  <c r="AB31" i="12"/>
  <c r="AA31" i="12"/>
  <c r="S29" i="12"/>
  <c r="R29" i="12"/>
  <c r="Q29" i="12"/>
  <c r="R42" i="12"/>
  <c r="Q42" i="12"/>
  <c r="AB55" i="12"/>
  <c r="AA55" i="12"/>
  <c r="Q31" i="12"/>
  <c r="Q15" i="12"/>
  <c r="R9" i="12"/>
  <c r="R10" i="12"/>
  <c r="AA8" i="12"/>
  <c r="R37" i="12"/>
  <c r="Q37" i="12"/>
  <c r="Q23" i="12"/>
  <c r="R23" i="12"/>
  <c r="R16" i="12"/>
  <c r="Q16" i="12"/>
  <c r="U32" i="12"/>
  <c r="W32" i="12" s="1"/>
  <c r="Z9" i="12"/>
  <c r="R32" i="12"/>
  <c r="Q10" i="12"/>
  <c r="AB29" i="12"/>
  <c r="AA29" i="12"/>
  <c r="AA35" i="12"/>
  <c r="AB35" i="12"/>
  <c r="R17" i="12"/>
  <c r="Q17" i="12"/>
  <c r="W6" i="12"/>
  <c r="V6" i="12"/>
  <c r="S34" i="12"/>
  <c r="Q34" i="12"/>
  <c r="R34" i="12"/>
  <c r="T56" i="12"/>
  <c r="R54" i="12"/>
  <c r="U55" i="12"/>
  <c r="R62" i="12"/>
  <c r="Q62" i="12"/>
  <c r="R55" i="12"/>
  <c r="Q56" i="12"/>
  <c r="S56" i="12"/>
  <c r="R56" i="12"/>
  <c r="V54" i="12"/>
  <c r="W54" i="12"/>
  <c r="Q64" i="12"/>
  <c r="R64" i="12"/>
  <c r="W53" i="12"/>
  <c r="V53" i="12"/>
  <c r="U35" i="12"/>
  <c r="V35" i="12" s="1"/>
  <c r="Q35" i="12"/>
  <c r="V31" i="12"/>
  <c r="W31" i="12"/>
  <c r="R66" i="12"/>
  <c r="Y54" i="12"/>
  <c r="X54" i="12"/>
  <c r="Q46" i="12"/>
  <c r="R46" i="12"/>
  <c r="R63" i="12"/>
  <c r="R38" i="12"/>
  <c r="Q38" i="12"/>
  <c r="R35" i="12"/>
  <c r="Y56" i="12"/>
  <c r="AB56" i="12" s="1"/>
  <c r="Q22" i="12"/>
  <c r="R15" i="12"/>
  <c r="R21" i="12"/>
  <c r="Q21" i="12"/>
  <c r="Q19" i="12"/>
  <c r="R19" i="12"/>
  <c r="T9" i="12"/>
  <c r="W9" i="12" s="1"/>
  <c r="S30" i="12"/>
  <c r="R11" i="12"/>
  <c r="Q11" i="12"/>
  <c r="R5" i="12"/>
  <c r="Q5" i="12"/>
  <c r="R22" i="12"/>
  <c r="S7" i="12"/>
  <c r="R7" i="12"/>
  <c r="Q7" i="12"/>
  <c r="Z36" i="12"/>
  <c r="T36" i="12"/>
  <c r="Y36" i="12"/>
  <c r="Q32" i="12"/>
  <c r="R41" i="12"/>
  <c r="Q41" i="12"/>
  <c r="N40" i="15" l="1"/>
  <c r="O40" i="15" s="1"/>
  <c r="S35" i="15" s="1"/>
  <c r="N49" i="15"/>
  <c r="O49" i="15" s="1"/>
  <c r="S38" i="15" s="1"/>
  <c r="M49" i="15"/>
  <c r="R38" i="15" s="1"/>
  <c r="N73" i="15"/>
  <c r="O73" i="15" s="1"/>
  <c r="S66" i="15" s="1"/>
  <c r="N70" i="15"/>
  <c r="O70" i="15" s="1"/>
  <c r="S65" i="15" s="1"/>
  <c r="M40" i="15"/>
  <c r="R35" i="15" s="1"/>
  <c r="N31" i="15"/>
  <c r="O31" i="15" s="1"/>
  <c r="S12" i="15" s="1"/>
  <c r="M31" i="15"/>
  <c r="R12" i="15" s="1"/>
  <c r="M13" i="15"/>
  <c r="R6" i="15" s="1"/>
  <c r="N10" i="15"/>
  <c r="O10" i="15" s="1"/>
  <c r="S5" i="15" s="1"/>
  <c r="M10" i="15"/>
  <c r="R5" i="15" s="1"/>
  <c r="N7" i="15"/>
  <c r="O7" i="15" s="1"/>
  <c r="S4" i="15" s="1"/>
  <c r="M7" i="15"/>
  <c r="R4" i="15" s="1"/>
  <c r="M25" i="15"/>
  <c r="R10" i="15" s="1"/>
  <c r="N25" i="15"/>
  <c r="O25" i="15" s="1"/>
  <c r="S10" i="15" s="1"/>
  <c r="M19" i="15"/>
  <c r="R8" i="15" s="1"/>
  <c r="N19" i="15"/>
  <c r="O19" i="15" s="1"/>
  <c r="S8" i="15" s="1"/>
  <c r="N13" i="15"/>
  <c r="O13" i="15" s="1"/>
  <c r="S6" i="15" s="1"/>
  <c r="Q25" i="13"/>
  <c r="R25" i="13"/>
  <c r="S25" i="13" s="1"/>
  <c r="AB11" i="13" s="1"/>
  <c r="T20" i="13"/>
  <c r="U22" i="13" s="1"/>
  <c r="Q22" i="13"/>
  <c r="AA10" i="13" s="1"/>
  <c r="R22" i="13"/>
  <c r="S22" i="13" s="1"/>
  <c r="AB10" i="13" s="1"/>
  <c r="T79" i="13"/>
  <c r="M19" i="13"/>
  <c r="Y9" i="13" s="1"/>
  <c r="T76" i="13"/>
  <c r="T125" i="13"/>
  <c r="V127" i="13" s="1"/>
  <c r="T67" i="13"/>
  <c r="T23" i="13"/>
  <c r="V25" i="13" s="1"/>
  <c r="R127" i="13"/>
  <c r="S127" i="13" s="1"/>
  <c r="AB112" i="13" s="1"/>
  <c r="M124" i="13"/>
  <c r="P62" i="13"/>
  <c r="R64" i="13" s="1"/>
  <c r="S64" i="13" s="1"/>
  <c r="AB57" i="13" s="1"/>
  <c r="N124" i="13"/>
  <c r="O124" i="13" s="1"/>
  <c r="Z111" i="13" s="1"/>
  <c r="T26" i="13"/>
  <c r="V28" i="13" s="1"/>
  <c r="N19" i="13"/>
  <c r="O19" i="13" s="1"/>
  <c r="Z9" i="13" s="1"/>
  <c r="T94" i="13"/>
  <c r="T88" i="13"/>
  <c r="T73" i="13"/>
  <c r="T64" i="13"/>
  <c r="T97" i="13"/>
  <c r="T85" i="13"/>
  <c r="T91" i="13"/>
  <c r="T61" i="13"/>
  <c r="W47" i="12"/>
  <c r="W48" i="12"/>
  <c r="V48" i="12"/>
  <c r="AB48" i="12"/>
  <c r="AA48" i="12"/>
  <c r="V55" i="12"/>
  <c r="V47" i="12"/>
  <c r="AA47" i="12"/>
  <c r="AB47" i="12"/>
  <c r="W24" i="12"/>
  <c r="AB24" i="12"/>
  <c r="AA24" i="12"/>
  <c r="V32" i="12"/>
  <c r="AB36" i="12"/>
  <c r="M10" i="13"/>
  <c r="Y6" i="13" s="1"/>
  <c r="N142" i="13"/>
  <c r="O142" i="13" s="1"/>
  <c r="Z117" i="13" s="1"/>
  <c r="N97" i="13"/>
  <c r="O97" i="13" s="1"/>
  <c r="Z68" i="13" s="1"/>
  <c r="R124" i="13"/>
  <c r="S124" i="13" s="1"/>
  <c r="AB111" i="13" s="1"/>
  <c r="M97" i="13"/>
  <c r="N61" i="15"/>
  <c r="O61" i="15" s="1"/>
  <c r="S42" i="15" s="1"/>
  <c r="M61" i="15"/>
  <c r="R42" i="15" s="1"/>
  <c r="N79" i="15"/>
  <c r="O79" i="15" s="1"/>
  <c r="S68" i="15" s="1"/>
  <c r="M79" i="15"/>
  <c r="R68" i="15" s="1"/>
  <c r="M55" i="15"/>
  <c r="R40" i="15" s="1"/>
  <c r="N43" i="15"/>
  <c r="O43" i="15" s="1"/>
  <c r="S36" i="15" s="1"/>
  <c r="M43" i="15"/>
  <c r="R36" i="15" s="1"/>
  <c r="M85" i="15"/>
  <c r="R70" i="15" s="1"/>
  <c r="N85" i="15"/>
  <c r="O85" i="15" s="1"/>
  <c r="S70" i="15" s="1"/>
  <c r="Q9" i="15"/>
  <c r="Q8" i="15"/>
  <c r="N67" i="15"/>
  <c r="O67" i="15" s="1"/>
  <c r="S64" i="15" s="1"/>
  <c r="M67" i="15"/>
  <c r="R64" i="15" s="1"/>
  <c r="M16" i="15"/>
  <c r="R7" i="15" s="1"/>
  <c r="N16" i="15"/>
  <c r="O16" i="15" s="1"/>
  <c r="S7" i="15" s="1"/>
  <c r="M46" i="15"/>
  <c r="R37" i="15" s="1"/>
  <c r="N46" i="15"/>
  <c r="O46" i="15" s="1"/>
  <c r="S37" i="15" s="1"/>
  <c r="M73" i="15"/>
  <c r="R66" i="15" s="1"/>
  <c r="N37" i="15"/>
  <c r="O37" i="15" s="1"/>
  <c r="S34" i="15" s="1"/>
  <c r="M37" i="15"/>
  <c r="R34" i="15" s="1"/>
  <c r="N76" i="15"/>
  <c r="O76" i="15" s="1"/>
  <c r="S67" i="15" s="1"/>
  <c r="M76" i="15"/>
  <c r="R67" i="15" s="1"/>
  <c r="M70" i="13"/>
  <c r="Y59" i="13" s="1"/>
  <c r="P68" i="13"/>
  <c r="N70" i="13"/>
  <c r="O70" i="13" s="1"/>
  <c r="Z59" i="13" s="1"/>
  <c r="M145" i="13"/>
  <c r="P143" i="13"/>
  <c r="N145" i="13"/>
  <c r="O145" i="13" s="1"/>
  <c r="Z118" i="13" s="1"/>
  <c r="P134" i="13"/>
  <c r="N112" i="13"/>
  <c r="O112" i="13" s="1"/>
  <c r="Z107" i="13" s="1"/>
  <c r="P110" i="13"/>
  <c r="M112" i="13"/>
  <c r="R58" i="13"/>
  <c r="S58" i="13" s="1"/>
  <c r="AB55" i="13" s="1"/>
  <c r="Q58" i="13"/>
  <c r="AA55" i="13" s="1"/>
  <c r="M73" i="13"/>
  <c r="Y60" i="13" s="1"/>
  <c r="P71" i="13"/>
  <c r="N73" i="13"/>
  <c r="O73" i="13" s="1"/>
  <c r="Z60" i="13" s="1"/>
  <c r="N118" i="13"/>
  <c r="O118" i="13" s="1"/>
  <c r="Z109" i="13" s="1"/>
  <c r="P116" i="13"/>
  <c r="M118" i="13"/>
  <c r="P86" i="13"/>
  <c r="N88" i="13"/>
  <c r="O88" i="13" s="1"/>
  <c r="Z65" i="13" s="1"/>
  <c r="M88" i="13"/>
  <c r="Q94" i="13"/>
  <c r="T92" i="13"/>
  <c r="R94" i="13"/>
  <c r="S94" i="13" s="1"/>
  <c r="AB67" i="13" s="1"/>
  <c r="V46" i="13"/>
  <c r="U46" i="13"/>
  <c r="U127" i="13"/>
  <c r="N91" i="13"/>
  <c r="O91" i="13" s="1"/>
  <c r="Z66" i="13" s="1"/>
  <c r="M91" i="13"/>
  <c r="P89" i="13"/>
  <c r="N10" i="13"/>
  <c r="O10" i="13" s="1"/>
  <c r="Z6" i="13" s="1"/>
  <c r="N121" i="13"/>
  <c r="O121" i="13" s="1"/>
  <c r="Z110" i="13" s="1"/>
  <c r="P119" i="13"/>
  <c r="M121" i="13"/>
  <c r="Q76" i="13"/>
  <c r="AA61" i="13" s="1"/>
  <c r="T74" i="13"/>
  <c r="R76" i="13"/>
  <c r="S76" i="13" s="1"/>
  <c r="AB61" i="13" s="1"/>
  <c r="R115" i="13"/>
  <c r="S115" i="13" s="1"/>
  <c r="T113" i="13"/>
  <c r="Q115" i="13"/>
  <c r="Q28" i="13"/>
  <c r="Q82" i="13"/>
  <c r="T80" i="13"/>
  <c r="R82" i="13"/>
  <c r="S82" i="13" s="1"/>
  <c r="AB63" i="13" s="1"/>
  <c r="N94" i="13"/>
  <c r="O94" i="13" s="1"/>
  <c r="Z67" i="13" s="1"/>
  <c r="V130" i="13"/>
  <c r="U130" i="13"/>
  <c r="P135" i="13"/>
  <c r="T135" i="13" s="1"/>
  <c r="T8" i="13"/>
  <c r="R10" i="13"/>
  <c r="S10" i="13" s="1"/>
  <c r="AB6" i="13" s="1"/>
  <c r="Q10" i="13"/>
  <c r="AA6" i="13" s="1"/>
  <c r="R142" i="13"/>
  <c r="S142" i="13" s="1"/>
  <c r="AB117" i="13" s="1"/>
  <c r="Q142" i="13"/>
  <c r="T140" i="13"/>
  <c r="Q16" i="13"/>
  <c r="T14" i="13"/>
  <c r="R16" i="13"/>
  <c r="S16" i="13" s="1"/>
  <c r="AB8" i="13" s="1"/>
  <c r="R19" i="13"/>
  <c r="S19" i="13" s="1"/>
  <c r="AB9" i="13" s="1"/>
  <c r="T17" i="13"/>
  <c r="Q19" i="13"/>
  <c r="AA9" i="13" s="1"/>
  <c r="M34" i="13"/>
  <c r="P32" i="13"/>
  <c r="N34" i="13"/>
  <c r="O34" i="13" s="1"/>
  <c r="Z14" i="13" s="1"/>
  <c r="P137" i="13"/>
  <c r="N139" i="13"/>
  <c r="O139" i="13" s="1"/>
  <c r="Z116" i="13" s="1"/>
  <c r="M139" i="13"/>
  <c r="M82" i="13"/>
  <c r="R79" i="13"/>
  <c r="S79" i="13" s="1"/>
  <c r="AB62" i="13" s="1"/>
  <c r="Q79" i="13"/>
  <c r="AA62" i="13" s="1"/>
  <c r="T77" i="13"/>
  <c r="P35" i="13"/>
  <c r="N37" i="13"/>
  <c r="O37" i="13" s="1"/>
  <c r="Z15" i="13" s="1"/>
  <c r="M37" i="13"/>
  <c r="R31" i="13"/>
  <c r="S31" i="13" s="1"/>
  <c r="AB13" i="13" s="1"/>
  <c r="Q31" i="13"/>
  <c r="T29" i="13"/>
  <c r="N61" i="13"/>
  <c r="O61" i="13" s="1"/>
  <c r="Z56" i="13" s="1"/>
  <c r="M61" i="13"/>
  <c r="Y56" i="13" s="1"/>
  <c r="P59" i="13"/>
  <c r="V124" i="13"/>
  <c r="U124" i="13"/>
  <c r="R28" i="13"/>
  <c r="S28" i="13" s="1"/>
  <c r="AB12" i="13" s="1"/>
  <c r="P83" i="13"/>
  <c r="M85" i="13"/>
  <c r="N85" i="13"/>
  <c r="O85" i="13" s="1"/>
  <c r="Z64" i="13" s="1"/>
  <c r="N82" i="13"/>
  <c r="O82" i="13" s="1"/>
  <c r="Z63" i="13" s="1"/>
  <c r="M94" i="13"/>
  <c r="M133" i="13"/>
  <c r="P131" i="13"/>
  <c r="N133" i="13"/>
  <c r="O133" i="13" s="1"/>
  <c r="Z114" i="13" s="1"/>
  <c r="R7" i="13"/>
  <c r="S7" i="13" s="1"/>
  <c r="AB5" i="13" s="1"/>
  <c r="Q7" i="13"/>
  <c r="AA5" i="13" s="1"/>
  <c r="Q13" i="13"/>
  <c r="AA7" i="13" s="1"/>
  <c r="T11" i="13"/>
  <c r="R13" i="13"/>
  <c r="S13" i="13" s="1"/>
  <c r="AB7" i="13" s="1"/>
  <c r="R148" i="13"/>
  <c r="S148" i="13" s="1"/>
  <c r="AB119" i="13" s="1"/>
  <c r="Q148" i="13"/>
  <c r="T146" i="13"/>
  <c r="P38" i="13"/>
  <c r="N40" i="13"/>
  <c r="O40" i="13" s="1"/>
  <c r="Z16" i="13" s="1"/>
  <c r="M40" i="13"/>
  <c r="Q124" i="13"/>
  <c r="N43" i="13"/>
  <c r="O43" i="13" s="1"/>
  <c r="Z17" i="13" s="1"/>
  <c r="M43" i="13"/>
  <c r="P41" i="13"/>
  <c r="M142" i="13"/>
  <c r="Q64" i="13"/>
  <c r="AA57" i="13" s="1"/>
  <c r="R97" i="13"/>
  <c r="S97" i="13" s="1"/>
  <c r="AB68" i="13" s="1"/>
  <c r="Q97" i="13"/>
  <c r="T95" i="13"/>
  <c r="Q67" i="13"/>
  <c r="AA58" i="13" s="1"/>
  <c r="T65" i="13"/>
  <c r="R67" i="13"/>
  <c r="S67" i="13" s="1"/>
  <c r="AB58" i="13" s="1"/>
  <c r="Z57" i="12"/>
  <c r="X57" i="12"/>
  <c r="Y57" i="12"/>
  <c r="T57" i="12"/>
  <c r="S57" i="12"/>
  <c r="W34" i="12"/>
  <c r="V34" i="12"/>
  <c r="W55" i="12"/>
  <c r="AA36" i="12"/>
  <c r="V9" i="12"/>
  <c r="AA54" i="12"/>
  <c r="AB54" i="12"/>
  <c r="U10" i="12"/>
  <c r="AB9" i="12"/>
  <c r="AA9" i="12"/>
  <c r="W33" i="12"/>
  <c r="V33" i="12"/>
  <c r="W35" i="12"/>
  <c r="Z37" i="12"/>
  <c r="Y37" i="12"/>
  <c r="X37" i="12"/>
  <c r="T37" i="12"/>
  <c r="U37" i="12"/>
  <c r="W56" i="12"/>
  <c r="V56" i="12"/>
  <c r="S37" i="12"/>
  <c r="AA56" i="12"/>
  <c r="V7" i="12"/>
  <c r="W7" i="12"/>
  <c r="W30" i="12"/>
  <c r="V30" i="12"/>
  <c r="U57" i="12"/>
  <c r="W29" i="12"/>
  <c r="V29" i="12"/>
  <c r="X10" i="12"/>
  <c r="Z10" i="12"/>
  <c r="Y10" i="12"/>
  <c r="S10" i="12"/>
  <c r="W36" i="12"/>
  <c r="V36" i="12"/>
  <c r="T62" i="13" l="1"/>
  <c r="V64" i="13" s="1"/>
  <c r="V22" i="13"/>
  <c r="U25" i="13"/>
  <c r="U28" i="13"/>
  <c r="N136" i="13"/>
  <c r="O136" i="13" s="1"/>
  <c r="Z115" i="13" s="1"/>
  <c r="R40" i="13"/>
  <c r="S40" i="13" s="1"/>
  <c r="AB16" i="13" s="1"/>
  <c r="T38" i="13"/>
  <c r="Q40" i="13"/>
  <c r="T83" i="13"/>
  <c r="R85" i="13"/>
  <c r="S85" i="13" s="1"/>
  <c r="AB64" i="13" s="1"/>
  <c r="Q85" i="13"/>
  <c r="T35" i="13"/>
  <c r="R37" i="13"/>
  <c r="S37" i="13" s="1"/>
  <c r="AB15" i="13" s="1"/>
  <c r="Q37" i="13"/>
  <c r="V19" i="13"/>
  <c r="U19" i="13"/>
  <c r="U82" i="13"/>
  <c r="V82" i="13"/>
  <c r="R121" i="13"/>
  <c r="S121" i="13" s="1"/>
  <c r="AB110" i="13" s="1"/>
  <c r="Q121" i="13"/>
  <c r="T119" i="13"/>
  <c r="Q73" i="13"/>
  <c r="AA60" i="13" s="1"/>
  <c r="T71" i="13"/>
  <c r="R73" i="13"/>
  <c r="S73" i="13" s="1"/>
  <c r="AB60" i="13" s="1"/>
  <c r="V67" i="13"/>
  <c r="U67" i="13"/>
  <c r="U76" i="13"/>
  <c r="V76" i="13"/>
  <c r="R43" i="13"/>
  <c r="S43" i="13" s="1"/>
  <c r="AB17" i="13" s="1"/>
  <c r="Q43" i="13"/>
  <c r="T41" i="13"/>
  <c r="Q133" i="13"/>
  <c r="T131" i="13"/>
  <c r="R133" i="13"/>
  <c r="S133" i="13" s="1"/>
  <c r="AB114" i="13" s="1"/>
  <c r="V10" i="13"/>
  <c r="U10" i="13"/>
  <c r="V115" i="13"/>
  <c r="U115" i="13"/>
  <c r="Q70" i="13"/>
  <c r="AA59" i="13" s="1"/>
  <c r="T68" i="13"/>
  <c r="R70" i="13"/>
  <c r="S70" i="13" s="1"/>
  <c r="AB59" i="13" s="1"/>
  <c r="Q61" i="13"/>
  <c r="AA56" i="13" s="1"/>
  <c r="T59" i="13"/>
  <c r="R61" i="13"/>
  <c r="S61" i="13" s="1"/>
  <c r="AB56" i="13" s="1"/>
  <c r="V148" i="13"/>
  <c r="U148" i="13"/>
  <c r="U13" i="13"/>
  <c r="V13" i="13"/>
  <c r="V79" i="13"/>
  <c r="U79" i="13"/>
  <c r="Q34" i="13"/>
  <c r="T32" i="13"/>
  <c r="R34" i="13"/>
  <c r="S34" i="13" s="1"/>
  <c r="AB14" i="13" s="1"/>
  <c r="V142" i="13"/>
  <c r="U142" i="13"/>
  <c r="R118" i="13"/>
  <c r="S118" i="13" s="1"/>
  <c r="AB109" i="13" s="1"/>
  <c r="T116" i="13"/>
  <c r="Q118" i="13"/>
  <c r="R112" i="13"/>
  <c r="S112" i="13" s="1"/>
  <c r="T110" i="13"/>
  <c r="Q112" i="13"/>
  <c r="T134" i="13"/>
  <c r="R136" i="13"/>
  <c r="S136" i="13" s="1"/>
  <c r="AB115" i="13" s="1"/>
  <c r="Q136" i="13"/>
  <c r="V97" i="13"/>
  <c r="U97" i="13"/>
  <c r="V31" i="13"/>
  <c r="U31" i="13"/>
  <c r="R139" i="13"/>
  <c r="S139" i="13" s="1"/>
  <c r="AB116" i="13" s="1"/>
  <c r="Q139" i="13"/>
  <c r="T137" i="13"/>
  <c r="U16" i="13"/>
  <c r="V16" i="13"/>
  <c r="R91" i="13"/>
  <c r="S91" i="13" s="1"/>
  <c r="AB66" i="13" s="1"/>
  <c r="Q91" i="13"/>
  <c r="T89" i="13"/>
  <c r="U94" i="13"/>
  <c r="V94" i="13"/>
  <c r="R88" i="13"/>
  <c r="S88" i="13" s="1"/>
  <c r="AB65" i="13" s="1"/>
  <c r="T86" i="13"/>
  <c r="Q88" i="13"/>
  <c r="M136" i="13"/>
  <c r="Q145" i="13"/>
  <c r="T143" i="13"/>
  <c r="R145" i="13"/>
  <c r="S145" i="13" s="1"/>
  <c r="AB118" i="13" s="1"/>
  <c r="W37" i="12"/>
  <c r="V37" i="12"/>
  <c r="X38" i="12"/>
  <c r="Y38" i="12"/>
  <c r="U38" i="12"/>
  <c r="Z38" i="12"/>
  <c r="T38" i="12"/>
  <c r="S38" i="12"/>
  <c r="Y58" i="12"/>
  <c r="T58" i="12"/>
  <c r="Z58" i="12"/>
  <c r="X58" i="12"/>
  <c r="S58" i="12"/>
  <c r="U58" i="12"/>
  <c r="AA37" i="12"/>
  <c r="AB37" i="12"/>
  <c r="AB10" i="12"/>
  <c r="AA10" i="12"/>
  <c r="W57" i="12"/>
  <c r="V57" i="12"/>
  <c r="AA57" i="12"/>
  <c r="AB57" i="12"/>
  <c r="W10" i="12"/>
  <c r="V10" i="12"/>
  <c r="Z11" i="12"/>
  <c r="Y11" i="12"/>
  <c r="U11" i="12"/>
  <c r="X11" i="12"/>
  <c r="S11" i="12"/>
  <c r="T11" i="12"/>
  <c r="U64" i="13" l="1"/>
  <c r="V121" i="13"/>
  <c r="U121" i="13"/>
  <c r="U85" i="13"/>
  <c r="V85" i="13"/>
  <c r="V136" i="13"/>
  <c r="U136" i="13"/>
  <c r="V37" i="13"/>
  <c r="U37" i="13"/>
  <c r="V118" i="13"/>
  <c r="U118" i="13"/>
  <c r="U133" i="13"/>
  <c r="V133" i="13"/>
  <c r="U73" i="13"/>
  <c r="V73" i="13"/>
  <c r="V40" i="13"/>
  <c r="U40" i="13"/>
  <c r="V139" i="13"/>
  <c r="U139" i="13"/>
  <c r="V61" i="13"/>
  <c r="U61" i="13"/>
  <c r="V43" i="13"/>
  <c r="U43" i="13"/>
  <c r="U145" i="13"/>
  <c r="V145" i="13"/>
  <c r="V88" i="13"/>
  <c r="U88" i="13"/>
  <c r="V91" i="13"/>
  <c r="U91" i="13"/>
  <c r="V112" i="13"/>
  <c r="U112" i="13"/>
  <c r="U34" i="13"/>
  <c r="V34" i="13"/>
  <c r="U70" i="13"/>
  <c r="V70" i="13"/>
  <c r="W11" i="12"/>
  <c r="V11" i="12"/>
  <c r="Z12" i="12"/>
  <c r="Y12" i="12"/>
  <c r="X12" i="12"/>
  <c r="T12" i="12"/>
  <c r="U12" i="12"/>
  <c r="S12" i="12"/>
  <c r="AA38" i="12"/>
  <c r="AB38" i="12"/>
  <c r="AB11" i="12"/>
  <c r="AA11" i="12"/>
  <c r="V58" i="12"/>
  <c r="W58" i="12"/>
  <c r="T39" i="12"/>
  <c r="X39" i="12"/>
  <c r="Z39" i="12"/>
  <c r="Y39" i="12"/>
  <c r="U39" i="12"/>
  <c r="S39" i="12"/>
  <c r="AB58" i="12"/>
  <c r="AA58" i="12"/>
  <c r="Z59" i="12"/>
  <c r="X59" i="12"/>
  <c r="T59" i="12"/>
  <c r="Y59" i="12"/>
  <c r="U59" i="12"/>
  <c r="S59" i="12"/>
  <c r="W38" i="12"/>
  <c r="V38" i="12"/>
  <c r="X40" i="12" l="1"/>
  <c r="T40" i="12"/>
  <c r="U40" i="12"/>
  <c r="Z40" i="12"/>
  <c r="Y40" i="12"/>
  <c r="S40" i="12"/>
  <c r="Y13" i="12"/>
  <c r="X13" i="12"/>
  <c r="Z13" i="12"/>
  <c r="T13" i="12"/>
  <c r="S13" i="12"/>
  <c r="U13" i="12"/>
  <c r="W59" i="12"/>
  <c r="V59" i="12"/>
  <c r="AB59" i="12"/>
  <c r="AA59" i="12"/>
  <c r="W39" i="12"/>
  <c r="V39" i="12"/>
  <c r="AA39" i="12"/>
  <c r="AB39" i="12"/>
  <c r="AA12" i="12"/>
  <c r="AB12" i="12"/>
  <c r="Y60" i="12"/>
  <c r="X60" i="12"/>
  <c r="S60" i="12"/>
  <c r="T60" i="12"/>
  <c r="Z60" i="12"/>
  <c r="U60" i="12"/>
  <c r="W12" i="12"/>
  <c r="V12" i="12"/>
  <c r="X14" i="12" l="1"/>
  <c r="S14" i="12"/>
  <c r="Z14" i="12"/>
  <c r="T14" i="12"/>
  <c r="Y14" i="12"/>
  <c r="U14" i="12"/>
  <c r="W60" i="12"/>
  <c r="V60" i="12"/>
  <c r="AA60" i="12"/>
  <c r="AB60" i="12"/>
  <c r="W40" i="12"/>
  <c r="V40" i="12"/>
  <c r="AA13" i="12"/>
  <c r="AB13" i="12"/>
  <c r="AA40" i="12"/>
  <c r="AB40" i="12"/>
  <c r="Z61" i="12"/>
  <c r="X61" i="12"/>
  <c r="Y61" i="12"/>
  <c r="S61" i="12"/>
  <c r="T61" i="12"/>
  <c r="U61" i="12"/>
  <c r="W13" i="12"/>
  <c r="V13" i="12"/>
  <c r="U41" i="12"/>
  <c r="Y41" i="12"/>
  <c r="T41" i="12"/>
  <c r="Z41" i="12"/>
  <c r="X41" i="12"/>
  <c r="S41" i="12"/>
  <c r="AA41" i="12" l="1"/>
  <c r="AB41" i="12"/>
  <c r="W14" i="12"/>
  <c r="V14" i="12"/>
  <c r="AA61" i="12"/>
  <c r="AB61" i="12"/>
  <c r="X42" i="12"/>
  <c r="Y42" i="12"/>
  <c r="Z42" i="12"/>
  <c r="T42" i="12"/>
  <c r="U42" i="12"/>
  <c r="S42" i="12"/>
  <c r="W61" i="12"/>
  <c r="V61" i="12"/>
  <c r="Z62" i="12"/>
  <c r="Y62" i="12"/>
  <c r="X62" i="12"/>
  <c r="U62" i="12"/>
  <c r="S62" i="12"/>
  <c r="T62" i="12"/>
  <c r="AA14" i="12"/>
  <c r="AB14" i="12"/>
  <c r="W41" i="12"/>
  <c r="V41" i="12"/>
  <c r="X15" i="12"/>
  <c r="Y15" i="12"/>
  <c r="T15" i="12"/>
  <c r="Z15" i="12"/>
  <c r="S15" i="12"/>
  <c r="U15" i="12"/>
  <c r="W15" i="12" l="1"/>
  <c r="V15" i="12"/>
  <c r="AA15" i="12"/>
  <c r="AB15" i="12"/>
  <c r="Y63" i="12"/>
  <c r="X63" i="12"/>
  <c r="Z63" i="12"/>
  <c r="S63" i="12"/>
  <c r="U63" i="12"/>
  <c r="T63" i="12"/>
  <c r="AB42" i="12"/>
  <c r="AA42" i="12"/>
  <c r="X16" i="12"/>
  <c r="Z16" i="12"/>
  <c r="Y16" i="12"/>
  <c r="T16" i="12"/>
  <c r="U16" i="12"/>
  <c r="S16" i="12"/>
  <c r="AA62" i="12"/>
  <c r="AB62" i="12"/>
  <c r="Y43" i="12"/>
  <c r="X43" i="12"/>
  <c r="T43" i="12"/>
  <c r="Z43" i="12"/>
  <c r="U43" i="12"/>
  <c r="S43" i="12"/>
  <c r="W62" i="12"/>
  <c r="V62" i="12"/>
  <c r="W42" i="12"/>
  <c r="V42" i="12"/>
  <c r="W16" i="12" l="1"/>
  <c r="V16" i="12"/>
  <c r="Z44" i="12"/>
  <c r="U44" i="12"/>
  <c r="X44" i="12"/>
  <c r="Y44" i="12"/>
  <c r="T44" i="12"/>
  <c r="S44" i="12"/>
  <c r="AA16" i="12"/>
  <c r="AB16" i="12"/>
  <c r="AA63" i="12"/>
  <c r="AB63" i="12"/>
  <c r="X17" i="12"/>
  <c r="Z17" i="12"/>
  <c r="T17" i="12"/>
  <c r="Y17" i="12"/>
  <c r="S17" i="12"/>
  <c r="U17" i="12"/>
  <c r="T64" i="12"/>
  <c r="Y64" i="12"/>
  <c r="X64" i="12"/>
  <c r="Z64" i="12"/>
  <c r="S64" i="12"/>
  <c r="U64" i="12"/>
  <c r="W43" i="12"/>
  <c r="V43" i="12"/>
  <c r="AB43" i="12"/>
  <c r="AA43" i="12"/>
  <c r="W63" i="12"/>
  <c r="V63" i="12"/>
  <c r="AA64" i="12" l="1"/>
  <c r="AB64" i="12"/>
  <c r="W17" i="12"/>
  <c r="V17" i="12"/>
  <c r="AA17" i="12"/>
  <c r="AB17" i="12"/>
  <c r="X45" i="12"/>
  <c r="Z45" i="12"/>
  <c r="Y45" i="12"/>
  <c r="S45" i="12"/>
  <c r="T45" i="12"/>
  <c r="U45" i="12"/>
  <c r="W64" i="12"/>
  <c r="V64" i="12"/>
  <c r="T65" i="12"/>
  <c r="Z65" i="12"/>
  <c r="Y65" i="12"/>
  <c r="X65" i="12"/>
  <c r="U65" i="12"/>
  <c r="S65" i="12"/>
  <c r="Z18" i="12"/>
  <c r="U18" i="12"/>
  <c r="X18" i="12"/>
  <c r="Y18" i="12"/>
  <c r="T18" i="12"/>
  <c r="S18" i="12"/>
  <c r="AB44" i="12"/>
  <c r="AA44" i="12"/>
  <c r="W44" i="12"/>
  <c r="V44" i="12"/>
  <c r="AB65" i="12" l="1"/>
  <c r="AA65" i="12"/>
  <c r="Y66" i="12"/>
  <c r="T66" i="12"/>
  <c r="Z66" i="12"/>
  <c r="X66" i="12"/>
  <c r="S66" i="12"/>
  <c r="U66" i="12"/>
  <c r="AB45" i="12"/>
  <c r="AA45" i="12"/>
  <c r="T19" i="12"/>
  <c r="Y19" i="12"/>
  <c r="X19" i="12"/>
  <c r="Z19" i="12"/>
  <c r="S19" i="12"/>
  <c r="U19" i="12"/>
  <c r="W45" i="12"/>
  <c r="V45" i="12"/>
  <c r="Z46" i="12"/>
  <c r="X46" i="12"/>
  <c r="Y46" i="12"/>
  <c r="S46" i="12"/>
  <c r="T46" i="12"/>
  <c r="U46" i="12"/>
  <c r="AA18" i="12"/>
  <c r="AB18" i="12"/>
  <c r="W65" i="12"/>
  <c r="V65" i="12"/>
  <c r="W18" i="12"/>
  <c r="V18" i="12"/>
  <c r="Z20" i="12" l="1"/>
  <c r="Y20" i="12"/>
  <c r="T20" i="12"/>
  <c r="X20" i="12"/>
  <c r="U20" i="12"/>
  <c r="S20" i="12"/>
  <c r="V46" i="12"/>
  <c r="W46" i="12"/>
  <c r="Z67" i="12"/>
  <c r="X67" i="12"/>
  <c r="Y67" i="12"/>
  <c r="T67" i="12"/>
  <c r="U67" i="12"/>
  <c r="S67" i="12"/>
  <c r="AB46" i="12"/>
  <c r="AA46" i="12"/>
  <c r="W66" i="12"/>
  <c r="V66" i="12"/>
  <c r="AA19" i="12"/>
  <c r="AB19" i="12"/>
  <c r="AB66" i="12"/>
  <c r="AA66" i="12"/>
  <c r="W19" i="12"/>
  <c r="V19" i="12"/>
  <c r="W67" i="12" l="1"/>
  <c r="V67" i="12"/>
  <c r="AB67" i="12"/>
  <c r="AA67" i="12"/>
  <c r="Y68" i="12"/>
  <c r="X68" i="12"/>
  <c r="Z68" i="12"/>
  <c r="S68" i="12"/>
  <c r="T68" i="12"/>
  <c r="U68" i="12"/>
  <c r="W20" i="12"/>
  <c r="V20" i="12"/>
  <c r="AA20" i="12"/>
  <c r="AB20" i="12"/>
  <c r="Z21" i="12"/>
  <c r="U21" i="12"/>
  <c r="Y21" i="12"/>
  <c r="X21" i="12"/>
  <c r="S21" i="12"/>
  <c r="T21" i="12"/>
  <c r="AA21" i="12" l="1"/>
  <c r="AB21" i="12"/>
  <c r="Y22" i="12"/>
  <c r="S22" i="12"/>
  <c r="X22" i="12"/>
  <c r="Z22" i="12"/>
  <c r="U22" i="12"/>
  <c r="T22" i="12"/>
  <c r="AB68" i="12"/>
  <c r="AA68" i="12"/>
  <c r="W21" i="12"/>
  <c r="V21" i="12"/>
  <c r="W68" i="12"/>
  <c r="V68" i="12"/>
  <c r="X23" i="12" l="1"/>
  <c r="T23" i="12"/>
  <c r="Z23" i="12"/>
  <c r="Y23" i="12"/>
  <c r="S23" i="12"/>
  <c r="U23" i="12"/>
  <c r="AA22" i="12"/>
  <c r="AB22" i="12"/>
  <c r="W22" i="12"/>
  <c r="V22" i="12"/>
  <c r="W23" i="12" l="1"/>
  <c r="V23" i="12"/>
  <c r="AA23" i="12"/>
  <c r="AB23" i="12"/>
</calcChain>
</file>

<file path=xl/sharedStrings.xml><?xml version="1.0" encoding="utf-8"?>
<sst xmlns="http://schemas.openxmlformats.org/spreadsheetml/2006/main" count="619" uniqueCount="116">
  <si>
    <t>Blue light</t>
  </si>
  <si>
    <t>Date</t>
  </si>
  <si>
    <t>Time</t>
  </si>
  <si>
    <t>Hours</t>
  </si>
  <si>
    <t>Days</t>
  </si>
  <si>
    <t>Average biomass concentration</t>
  </si>
  <si>
    <t>Average Ln of biomass concentration</t>
  </si>
  <si>
    <t>Growth rate</t>
  </si>
  <si>
    <t>g/L</t>
  </si>
  <si>
    <t>30/05/2022</t>
  </si>
  <si>
    <t>31/05/2022</t>
  </si>
  <si>
    <t>Red light</t>
  </si>
  <si>
    <t>Biomass concentration</t>
  </si>
  <si>
    <t>Amount of biomass</t>
  </si>
  <si>
    <t>Error</t>
  </si>
  <si>
    <t>nm</t>
  </si>
  <si>
    <t>mg/ml</t>
  </si>
  <si>
    <t>g/l</t>
  </si>
  <si>
    <t>g</t>
  </si>
  <si>
    <t>Day</t>
  </si>
  <si>
    <t>OD (410 nm) readings</t>
  </si>
  <si>
    <t>N concentration</t>
  </si>
  <si>
    <t>µg</t>
  </si>
  <si>
    <t>mol/l</t>
  </si>
  <si>
    <t>01/06/2022</t>
  </si>
  <si>
    <t>02/06/2022</t>
  </si>
  <si>
    <t>03/06/2022</t>
  </si>
  <si>
    <t>04/06/2022</t>
  </si>
  <si>
    <t>06/06/2022</t>
  </si>
  <si>
    <t>07/06/2022</t>
  </si>
  <si>
    <t>08/06/2022</t>
  </si>
  <si>
    <t>09/06/2022</t>
  </si>
  <si>
    <t>10/06/2022</t>
  </si>
  <si>
    <t>11/06/2022</t>
  </si>
  <si>
    <t>12/06/2022</t>
  </si>
  <si>
    <t>13/06/2022</t>
  </si>
  <si>
    <t>14/06/2022</t>
  </si>
  <si>
    <t>15/06/2022</t>
  </si>
  <si>
    <t>N content (µg)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</si>
  <si>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</si>
  <si>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</si>
  <si>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Lab work by: Karen Ssekimpi</t>
  </si>
  <si>
    <t>Project Leader: A. Prof. Marijke Fagan-Endres, Prof. Sue Harrison, Dr Mariette Smart</t>
  </si>
  <si>
    <t>all assays by Karen Ssekimpi</t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</si>
  <si>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</si>
  <si>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</si>
  <si>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</si>
  <si>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</si>
  <si>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</si>
  <si>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</si>
  <si>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</si>
  <si>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</si>
  <si>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</si>
  <si>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CeBER strain Spirulina growth curves</t>
  </si>
  <si>
    <t>Absorbance at 750</t>
  </si>
  <si>
    <t>Standard error</t>
  </si>
  <si>
    <t>Ln of biomass concentration</t>
  </si>
  <si>
    <t>Average growth rate</t>
  </si>
  <si>
    <t>Biomass productivity</t>
  </si>
  <si>
    <t>Average biomass productivity</t>
  </si>
  <si>
    <t>/h</t>
  </si>
  <si>
    <t>g/L.h</t>
  </si>
  <si>
    <t>Sandard error</t>
  </si>
  <si>
    <t>40 µmol/m^2.s</t>
  </si>
  <si>
    <t>60 µmol/m^2.s</t>
  </si>
  <si>
    <t>80 µmol/m^2.s</t>
  </si>
  <si>
    <t>Phycocyanin content from CeBER Spirulina</t>
  </si>
  <si>
    <t>C-phycocyanin concentration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</si>
  <si>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</si>
  <si>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</si>
  <si>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</si>
  <si>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</si>
  <si>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</si>
  <si>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</si>
  <si>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CPC productivity</t>
  </si>
  <si>
    <t>Average CPC productivity</t>
  </si>
  <si>
    <t>Data extracted for plots</t>
  </si>
  <si>
    <t>mg CPC/g biomass</t>
  </si>
  <si>
    <t>mg CPC/L</t>
  </si>
  <si>
    <t>mg CPC/L.h</t>
  </si>
  <si>
    <t>Nitrate content determination for the CeBER Spirulina strain</t>
  </si>
  <si>
    <t>OD at 410</t>
  </si>
  <si>
    <t>N content</t>
  </si>
  <si>
    <t>White light</t>
  </si>
  <si>
    <t>16/06/2022</t>
  </si>
  <si>
    <t>17/06/2022</t>
  </si>
  <si>
    <t>13/10/2022</t>
  </si>
  <si>
    <t>14/10/2022</t>
  </si>
  <si>
    <t>17/10/2022</t>
  </si>
  <si>
    <t>18/10/2022</t>
  </si>
  <si>
    <t>19/10/2022</t>
  </si>
  <si>
    <t>20/10/2022</t>
  </si>
  <si>
    <t>21/10/2022</t>
  </si>
  <si>
    <t>22/10/2022</t>
  </si>
  <si>
    <t>23/10/2022</t>
  </si>
  <si>
    <t>24/10/2022</t>
  </si>
  <si>
    <t>25/10/2022</t>
  </si>
  <si>
    <t>26/20/2022</t>
  </si>
  <si>
    <t>27/10/2022</t>
  </si>
  <si>
    <t>28/10/2022</t>
  </si>
  <si>
    <t>29/10/2022</t>
  </si>
  <si>
    <t>30/10/2022</t>
  </si>
  <si>
    <t>31/10/2022</t>
  </si>
  <si>
    <t>26/10/2022</t>
  </si>
  <si>
    <t>Airlift 1</t>
  </si>
  <si>
    <t>Airlift 2</t>
  </si>
  <si>
    <t>Airlift 3</t>
  </si>
  <si>
    <t>Data extracted fro plots</t>
  </si>
  <si>
    <r>
      <t xml:space="preserve">The biomass, c-phycocyanin, and nitrate content of the CeBER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strain grown in red, blue, and white light at 90 µmol/m^2.s, 110 µmol/m^2.s, and 120 µmol/m^2.s respectively in ALRs.</t>
    </r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</si>
  <si>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red, blue, and white light at 90 µmol/m^2.s, 110 µmol/m^2.s, and 120 µmol/m^2.s respectively in ALRs.</t>
    </r>
  </si>
  <si>
    <r>
      <t xml:space="preserve">Details growth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red, blue, and white light at 90 µmol/m^2.s, 110 µmol/m^2.s, and 120 µmol/m^2.s respectively in ALRs for 19 days.</t>
    </r>
  </si>
  <si>
    <r>
      <t xml:space="preserve">Details c-phycocyanin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red, blue, and white light at 90 µmol/m^2.s, 110 µmol/m^2.s, and 120 µmol/m^2.s respectively in ALRs for 19 days.</t>
    </r>
  </si>
  <si>
    <r>
      <t xml:space="preserve">Details nitrate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red, blue, and white light at 90 µmol/m^2.s, 110 µmol/m^2.s, and 120 µmol/m^2.s respectively in ALRs for 19 days.</t>
    </r>
  </si>
  <si>
    <t>Growth curves</t>
  </si>
  <si>
    <t>C-phycocyanin</t>
  </si>
  <si>
    <t>Nitrate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</si>
</sst>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400]h:mm:ss\ AM/PM"/>
    <numFmt numFmtId="165" formatCode="0.000"/>
    <numFmt numFmtId="166" formatCode="0.00000"/>
    <numFmt numFmtId="167" formatCode="[$-F800]dddd\,\ mmmm\ dd\,\ yyyy"/>
    <numFmt numFmtId="168" formatCode="0.000000"/>
    <numFmt numFmtId="169" formatCode="0.0000"/>
    <numFmt numFmtId="170" formatCode="0.0"/>
  </numFmts>
  <fonts count="22">
    <font>
      <sz val="11"/>
      <color theme="1"/>
      <name val="ArialMT"/>
      <family val="2"/>
    </font>
    <font>
      <sz val="11"/>
      <color theme="1"/>
      <name val="Calibri"/>
      <family val="2"/>
      <scheme val="minor"/>
    </font>
    <font>
      <i/>
      <sz val="12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color rgb="FF00000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1"/>
      <color theme="0"/>
      <name val="Arial"/>
      <family val="2"/>
    </font>
    <font>
      <i/>
      <sz val="12"/>
      <color theme="1"/>
      <name val="Arial"/>
      <family val="2"/>
    </font>
    <font>
      <sz val="11"/>
      <color rgb="FF000000"/>
      <name val="Arial"/>
      <family val="2"/>
    </font>
    <font>
      <sz val="8"/>
      <name val="ArialMT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3" fillId="0" borderId="0" xfId="1" applyFont="1"/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3" fillId="4" borderId="10" xfId="1" applyFont="1" applyFill="1" applyBorder="1"/>
    <xf numFmtId="0" fontId="3" fillId="4" borderId="11" xfId="1" applyFont="1" applyFill="1" applyBorder="1"/>
    <xf numFmtId="0" fontId="3" fillId="4" borderId="12" xfId="1" applyFont="1" applyFill="1" applyBorder="1"/>
    <xf numFmtId="0" fontId="3" fillId="4" borderId="13" xfId="1" applyFont="1" applyFill="1" applyBorder="1"/>
    <xf numFmtId="0" fontId="3" fillId="4" borderId="12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14" fontId="5" fillId="0" borderId="15" xfId="1" applyNumberFormat="1" applyFont="1" applyBorder="1"/>
    <xf numFmtId="164" fontId="5" fillId="0" borderId="0" xfId="1" applyNumberFormat="1" applyFont="1"/>
    <xf numFmtId="0" fontId="5" fillId="0" borderId="0" xfId="1" applyFont="1"/>
    <xf numFmtId="0" fontId="5" fillId="0" borderId="16" xfId="1" applyFont="1" applyBorder="1"/>
    <xf numFmtId="165" fontId="5" fillId="0" borderId="15" xfId="1" applyNumberFormat="1" applyFont="1" applyBorder="1"/>
    <xf numFmtId="165" fontId="5" fillId="0" borderId="0" xfId="1" applyNumberFormat="1" applyFont="1"/>
    <xf numFmtId="165" fontId="5" fillId="5" borderId="0" xfId="1" applyNumberFormat="1" applyFont="1" applyFill="1"/>
    <xf numFmtId="167" fontId="5" fillId="0" borderId="15" xfId="1" applyNumberFormat="1" applyFont="1" applyBorder="1"/>
    <xf numFmtId="1" fontId="5" fillId="0" borderId="0" xfId="1" applyNumberFormat="1" applyFont="1"/>
    <xf numFmtId="0" fontId="5" fillId="0" borderId="15" xfId="1" applyFont="1" applyBorder="1"/>
    <xf numFmtId="0" fontId="5" fillId="0" borderId="17" xfId="1" applyFont="1" applyBorder="1"/>
    <xf numFmtId="164" fontId="5" fillId="0" borderId="18" xfId="1" applyNumberFormat="1" applyFont="1" applyBorder="1"/>
    <xf numFmtId="0" fontId="5" fillId="0" borderId="19" xfId="1" applyFont="1" applyBorder="1"/>
    <xf numFmtId="165" fontId="5" fillId="0" borderId="17" xfId="1" applyNumberFormat="1" applyFont="1" applyBorder="1"/>
    <xf numFmtId="165" fontId="5" fillId="0" borderId="18" xfId="1" applyNumberFormat="1" applyFont="1" applyBorder="1"/>
    <xf numFmtId="165" fontId="5" fillId="5" borderId="18" xfId="1" applyNumberFormat="1" applyFont="1" applyFill="1" applyBorder="1"/>
    <xf numFmtId="0" fontId="5" fillId="0" borderId="0" xfId="1" applyFont="1" applyAlignment="1">
      <alignment horizontal="center" vertical="center"/>
    </xf>
    <xf numFmtId="0" fontId="5" fillId="7" borderId="6" xfId="1" applyFont="1" applyFill="1" applyBorder="1" applyAlignment="1">
      <alignment horizontal="center" vertical="center" wrapText="1"/>
    </xf>
    <xf numFmtId="0" fontId="5" fillId="7" borderId="6" xfId="1" applyFont="1" applyFill="1" applyBorder="1" applyAlignment="1">
      <alignment horizontal="center" vertical="center"/>
    </xf>
    <xf numFmtId="0" fontId="5" fillId="7" borderId="8" xfId="1" applyFont="1" applyFill="1" applyBorder="1" applyAlignment="1">
      <alignment horizontal="center" vertical="center" wrapText="1"/>
    </xf>
    <xf numFmtId="0" fontId="5" fillId="8" borderId="10" xfId="1" applyFont="1" applyFill="1" applyBorder="1" applyAlignment="1">
      <alignment horizontal="center" vertical="center"/>
    </xf>
    <xf numFmtId="0" fontId="5" fillId="8" borderId="11" xfId="1" applyFont="1" applyFill="1" applyBorder="1" applyAlignment="1">
      <alignment horizontal="center" vertical="center"/>
    </xf>
    <xf numFmtId="0" fontId="5" fillId="8" borderId="13" xfId="1" applyFont="1" applyFill="1" applyBorder="1" applyAlignment="1">
      <alignment horizontal="center" vertical="center"/>
    </xf>
    <xf numFmtId="0" fontId="5" fillId="8" borderId="12" xfId="1" applyFont="1" applyFill="1" applyBorder="1" applyAlignment="1">
      <alignment horizontal="center" vertical="center"/>
    </xf>
    <xf numFmtId="0" fontId="5" fillId="8" borderId="12" xfId="1" applyFont="1" applyFill="1" applyBorder="1" applyAlignment="1">
      <alignment horizontal="center" vertical="center" wrapText="1"/>
    </xf>
    <xf numFmtId="0" fontId="5" fillId="8" borderId="14" xfId="1" applyFont="1" applyFill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5" fontId="5" fillId="0" borderId="15" xfId="1" applyNumberFormat="1" applyFont="1" applyBorder="1" applyAlignment="1">
      <alignment horizontal="center" vertical="center"/>
    </xf>
    <xf numFmtId="168" fontId="5" fillId="0" borderId="0" xfId="1" applyNumberFormat="1" applyFont="1" applyAlignment="1">
      <alignment horizontal="center" vertical="center"/>
    </xf>
    <xf numFmtId="2" fontId="5" fillId="0" borderId="0" xfId="1" applyNumberFormat="1" applyFont="1" applyAlignment="1">
      <alignment horizontal="center" vertical="center" wrapText="1"/>
    </xf>
    <xf numFmtId="0" fontId="5" fillId="9" borderId="0" xfId="1" applyFont="1" applyFill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165" fontId="5" fillId="0" borderId="23" xfId="1" applyNumberFormat="1" applyFont="1" applyBorder="1" applyAlignment="1">
      <alignment horizontal="center" vertical="center"/>
    </xf>
    <xf numFmtId="165" fontId="5" fillId="0" borderId="24" xfId="1" applyNumberFormat="1" applyFont="1" applyBorder="1" applyAlignment="1">
      <alignment horizontal="center" vertical="center"/>
    </xf>
    <xf numFmtId="168" fontId="5" fillId="0" borderId="24" xfId="1" applyNumberFormat="1" applyFont="1" applyBorder="1" applyAlignment="1">
      <alignment horizontal="center" vertical="center"/>
    </xf>
    <xf numFmtId="2" fontId="5" fillId="0" borderId="24" xfId="1" applyNumberFormat="1" applyFont="1" applyBorder="1" applyAlignment="1">
      <alignment horizontal="center" vertical="center" wrapText="1"/>
    </xf>
    <xf numFmtId="2" fontId="5" fillId="9" borderId="24" xfId="1" applyNumberFormat="1" applyFont="1" applyFill="1" applyBorder="1" applyAlignment="1">
      <alignment horizontal="center" vertical="center"/>
    </xf>
    <xf numFmtId="2" fontId="5" fillId="9" borderId="0" xfId="1" applyNumberFormat="1" applyFont="1" applyFill="1" applyAlignment="1">
      <alignment horizontal="center" vertical="center"/>
    </xf>
    <xf numFmtId="2" fontId="5" fillId="0" borderId="24" xfId="1" applyNumberFormat="1" applyFont="1" applyBorder="1" applyAlignment="1">
      <alignment horizontal="center" vertical="center"/>
    </xf>
    <xf numFmtId="165" fontId="5" fillId="0" borderId="21" xfId="1" applyNumberFormat="1" applyFont="1" applyBorder="1" applyAlignment="1">
      <alignment horizontal="center" vertical="center"/>
    </xf>
    <xf numFmtId="165" fontId="5" fillId="0" borderId="11" xfId="1" applyNumberFormat="1" applyFont="1" applyBorder="1" applyAlignment="1">
      <alignment horizontal="center" vertical="center"/>
    </xf>
    <xf numFmtId="168" fontId="5" fillId="0" borderId="11" xfId="1" applyNumberFormat="1" applyFont="1" applyBorder="1" applyAlignment="1">
      <alignment horizontal="center" vertical="center"/>
    </xf>
    <xf numFmtId="2" fontId="5" fillId="0" borderId="11" xfId="1" applyNumberFormat="1" applyFont="1" applyBorder="1" applyAlignment="1">
      <alignment horizontal="center" vertical="center" wrapText="1"/>
    </xf>
    <xf numFmtId="2" fontId="5" fillId="9" borderId="11" xfId="1" applyNumberFormat="1" applyFont="1" applyFill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65" fontId="5" fillId="0" borderId="26" xfId="1" applyNumberFormat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9" borderId="11" xfId="1" applyFont="1" applyFill="1" applyBorder="1" applyAlignment="1">
      <alignment horizontal="center" vertical="center"/>
    </xf>
    <xf numFmtId="165" fontId="5" fillId="0" borderId="16" xfId="1" applyNumberFormat="1" applyFont="1" applyBorder="1" applyAlignment="1">
      <alignment horizontal="center" vertical="center"/>
    </xf>
    <xf numFmtId="2" fontId="5" fillId="0" borderId="11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165" fontId="5" fillId="0" borderId="18" xfId="1" applyNumberFormat="1" applyFont="1" applyBorder="1" applyAlignment="1">
      <alignment horizontal="center" vertical="center"/>
    </xf>
    <xf numFmtId="168" fontId="5" fillId="0" borderId="18" xfId="1" applyNumberFormat="1" applyFont="1" applyBorder="1" applyAlignment="1">
      <alignment horizontal="center" vertical="center"/>
    </xf>
    <xf numFmtId="2" fontId="5" fillId="0" borderId="18" xfId="1" applyNumberFormat="1" applyFont="1" applyBorder="1" applyAlignment="1">
      <alignment horizontal="center" vertical="center" wrapText="1"/>
    </xf>
    <xf numFmtId="2" fontId="5" fillId="9" borderId="18" xfId="1" applyNumberFormat="1" applyFont="1" applyFill="1" applyBorder="1" applyAlignment="1">
      <alignment horizontal="center" vertical="center"/>
    </xf>
    <xf numFmtId="2" fontId="5" fillId="0" borderId="18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11" borderId="0" xfId="1" applyFont="1" applyFill="1" applyAlignment="1">
      <alignment horizontal="center" vertical="center"/>
    </xf>
    <xf numFmtId="165" fontId="5" fillId="11" borderId="0" xfId="1" applyNumberFormat="1" applyFont="1" applyFill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165" fontId="5" fillId="11" borderId="11" xfId="1" applyNumberFormat="1" applyFont="1" applyFill="1" applyBorder="1" applyAlignment="1">
      <alignment horizontal="center" vertical="center"/>
    </xf>
    <xf numFmtId="165" fontId="5" fillId="11" borderId="24" xfId="1" applyNumberFormat="1" applyFont="1" applyFill="1" applyBorder="1" applyAlignment="1">
      <alignment horizontal="center" vertical="center"/>
    </xf>
    <xf numFmtId="165" fontId="5" fillId="0" borderId="25" xfId="1" applyNumberFormat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5" fillId="11" borderId="11" xfId="1" applyFont="1" applyFill="1" applyBorder="1" applyAlignment="1">
      <alignment horizontal="center" vertical="center"/>
    </xf>
    <xf numFmtId="165" fontId="5" fillId="0" borderId="0" xfId="1" applyNumberFormat="1" applyFont="1" applyAlignment="1">
      <alignment horizontal="center"/>
    </xf>
    <xf numFmtId="0" fontId="5" fillId="0" borderId="32" xfId="1" applyFont="1" applyBorder="1" applyAlignment="1">
      <alignment horizontal="center" vertical="center"/>
    </xf>
    <xf numFmtId="0" fontId="12" fillId="0" borderId="0" xfId="1" applyFont="1" applyAlignment="1">
      <alignment vertical="top"/>
    </xf>
    <xf numFmtId="0" fontId="13" fillId="0" borderId="0" xfId="1" applyFont="1"/>
    <xf numFmtId="0" fontId="7" fillId="0" borderId="0" xfId="1" applyFont="1"/>
    <xf numFmtId="0" fontId="5" fillId="7" borderId="0" xfId="1" applyFont="1" applyFill="1" applyAlignment="1">
      <alignment horizontal="left" vertical="top" wrapText="1"/>
    </xf>
    <xf numFmtId="0" fontId="5" fillId="7" borderId="0" xfId="1" applyFont="1" applyFill="1" applyAlignment="1">
      <alignment horizontal="center" vertical="top" wrapText="1"/>
    </xf>
    <xf numFmtId="167" fontId="5" fillId="7" borderId="0" xfId="1" applyNumberFormat="1" applyFont="1" applyFill="1" applyAlignment="1">
      <alignment horizontal="left" vertical="top" wrapText="1"/>
    </xf>
    <xf numFmtId="0" fontId="5" fillId="7" borderId="18" xfId="1" applyFont="1" applyFill="1" applyBorder="1" applyAlignment="1">
      <alignment horizontal="left" vertical="top" wrapText="1"/>
    </xf>
    <xf numFmtId="0" fontId="5" fillId="7" borderId="18" xfId="1" applyFont="1" applyFill="1" applyBorder="1" applyAlignment="1">
      <alignment horizontal="center" vertical="top" wrapText="1"/>
    </xf>
    <xf numFmtId="167" fontId="5" fillId="7" borderId="18" xfId="1" applyNumberFormat="1" applyFont="1" applyFill="1" applyBorder="1" applyAlignment="1">
      <alignment horizontal="left"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top" wrapText="1"/>
    </xf>
    <xf numFmtId="0" fontId="16" fillId="12" borderId="18" xfId="1" applyFont="1" applyFill="1" applyBorder="1" applyAlignment="1">
      <alignment vertical="top" wrapText="1"/>
    </xf>
    <xf numFmtId="0" fontId="16" fillId="8" borderId="18" xfId="1" applyFont="1" applyFill="1" applyBorder="1" applyAlignment="1">
      <alignment horizontal="center" vertical="top" wrapText="1"/>
    </xf>
    <xf numFmtId="0" fontId="16" fillId="7" borderId="18" xfId="1" applyFont="1" applyFill="1" applyBorder="1" applyAlignment="1">
      <alignment vertical="top" wrapText="1"/>
    </xf>
    <xf numFmtId="0" fontId="3" fillId="12" borderId="0" xfId="1" applyFont="1" applyFill="1" applyAlignment="1">
      <alignment vertical="top" wrapText="1"/>
    </xf>
    <xf numFmtId="0" fontId="3" fillId="8" borderId="0" xfId="1" applyFont="1" applyFill="1" applyAlignment="1">
      <alignment horizontal="center" vertical="top" wrapText="1"/>
    </xf>
    <xf numFmtId="0" fontId="3" fillId="7" borderId="0" xfId="1" applyFont="1" applyFill="1" applyAlignment="1">
      <alignment vertical="top" wrapText="1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center" vertical="top" wrapText="1"/>
    </xf>
    <xf numFmtId="0" fontId="3" fillId="0" borderId="15" xfId="1" applyFont="1" applyBorder="1"/>
    <xf numFmtId="0" fontId="3" fillId="3" borderId="37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/>
    </xf>
    <xf numFmtId="0" fontId="3" fillId="4" borderId="14" xfId="1" applyFont="1" applyFill="1" applyBorder="1"/>
    <xf numFmtId="0" fontId="3" fillId="4" borderId="12" xfId="1" applyFont="1" applyFill="1" applyBorder="1" applyAlignment="1">
      <alignment horizontal="center"/>
    </xf>
    <xf numFmtId="0" fontId="3" fillId="4" borderId="26" xfId="1" applyFont="1" applyFill="1" applyBorder="1"/>
    <xf numFmtId="165" fontId="5" fillId="0" borderId="16" xfId="1" applyNumberFormat="1" applyFont="1" applyBorder="1"/>
    <xf numFmtId="165" fontId="5" fillId="5" borderId="0" xfId="1" applyNumberFormat="1" applyFont="1" applyFill="1" applyAlignment="1">
      <alignment horizontal="center"/>
    </xf>
    <xf numFmtId="165" fontId="5" fillId="0" borderId="16" xfId="1" applyNumberFormat="1" applyFont="1" applyBorder="1" applyAlignment="1">
      <alignment horizontal="center"/>
    </xf>
    <xf numFmtId="166" fontId="5" fillId="0" borderId="18" xfId="1" applyNumberFormat="1" applyFont="1" applyBorder="1"/>
    <xf numFmtId="165" fontId="5" fillId="0" borderId="19" xfId="1" applyNumberFormat="1" applyFont="1" applyBorder="1"/>
    <xf numFmtId="0" fontId="18" fillId="0" borderId="0" xfId="1" applyFont="1"/>
    <xf numFmtId="0" fontId="6" fillId="0" borderId="15" xfId="1" applyFont="1" applyBorder="1" applyAlignment="1">
      <alignment vertical="center"/>
    </xf>
    <xf numFmtId="0" fontId="5" fillId="7" borderId="33" xfId="1" applyFont="1" applyFill="1" applyBorder="1" applyAlignment="1">
      <alignment horizontal="center" vertical="center"/>
    </xf>
    <xf numFmtId="0" fontId="5" fillId="7" borderId="24" xfId="1" applyFont="1" applyFill="1" applyBorder="1" applyAlignment="1">
      <alignment horizontal="center" vertical="center"/>
    </xf>
    <xf numFmtId="0" fontId="5" fillId="7" borderId="36" xfId="1" applyFont="1" applyFill="1" applyBorder="1" applyAlignment="1">
      <alignment horizontal="center" vertical="center"/>
    </xf>
    <xf numFmtId="0" fontId="5" fillId="7" borderId="27" xfId="1" applyFont="1" applyFill="1" applyBorder="1" applyAlignment="1">
      <alignment horizontal="center" vertical="center"/>
    </xf>
    <xf numFmtId="0" fontId="5" fillId="7" borderId="34" xfId="1" applyFont="1" applyFill="1" applyBorder="1" applyAlignment="1">
      <alignment horizontal="center" vertical="center" wrapText="1"/>
    </xf>
    <xf numFmtId="0" fontId="5" fillId="7" borderId="34" xfId="1" applyFont="1" applyFill="1" applyBorder="1" applyAlignment="1">
      <alignment horizontal="center" vertical="center"/>
    </xf>
    <xf numFmtId="0" fontId="5" fillId="7" borderId="36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8" borderId="30" xfId="1" applyFont="1" applyFill="1" applyBorder="1" applyAlignment="1">
      <alignment horizontal="center" vertical="center"/>
    </xf>
    <xf numFmtId="0" fontId="5" fillId="8" borderId="21" xfId="1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9" borderId="24" xfId="1" applyFont="1" applyFill="1" applyBorder="1" applyAlignment="1">
      <alignment horizontal="center" vertical="center"/>
    </xf>
    <xf numFmtId="169" fontId="5" fillId="0" borderId="25" xfId="1" applyNumberFormat="1" applyFont="1" applyBorder="1" applyAlignment="1">
      <alignment horizontal="center" vertical="center"/>
    </xf>
    <xf numFmtId="169" fontId="5" fillId="0" borderId="16" xfId="1" applyNumberFormat="1" applyFont="1" applyBorder="1" applyAlignment="1">
      <alignment horizontal="center" vertical="center"/>
    </xf>
    <xf numFmtId="170" fontId="17" fillId="0" borderId="0" xfId="1" applyNumberFormat="1" applyFont="1"/>
    <xf numFmtId="170" fontId="5" fillId="0" borderId="0" xfId="1" applyNumberFormat="1" applyFont="1"/>
    <xf numFmtId="0" fontId="5" fillId="0" borderId="40" xfId="1" applyFont="1" applyBorder="1" applyAlignment="1">
      <alignment horizontal="center" vertical="center"/>
    </xf>
    <xf numFmtId="165" fontId="5" fillId="0" borderId="17" xfId="1" applyNumberFormat="1" applyFont="1" applyBorder="1" applyAlignment="1">
      <alignment horizontal="center" vertical="center"/>
    </xf>
    <xf numFmtId="0" fontId="6" fillId="0" borderId="41" xfId="1" applyFont="1" applyBorder="1" applyAlignment="1">
      <alignment vertical="center"/>
    </xf>
    <xf numFmtId="0" fontId="5" fillId="7" borderId="4" xfId="1" applyFont="1" applyFill="1" applyBorder="1" applyAlignment="1">
      <alignment horizontal="center" vertical="center" wrapText="1"/>
    </xf>
    <xf numFmtId="0" fontId="5" fillId="7" borderId="27" xfId="1" applyFont="1" applyFill="1" applyBorder="1" applyAlignment="1">
      <alignment horizontal="center" vertical="center" wrapText="1"/>
    </xf>
    <xf numFmtId="0" fontId="5" fillId="7" borderId="7" xfId="1" applyFont="1" applyFill="1" applyBorder="1" applyAlignment="1">
      <alignment horizontal="center" vertical="center" wrapText="1"/>
    </xf>
    <xf numFmtId="0" fontId="20" fillId="0" borderId="0" xfId="1" applyFont="1"/>
    <xf numFmtId="167" fontId="5" fillId="8" borderId="15" xfId="1" applyNumberFormat="1" applyFont="1" applyFill="1" applyBorder="1"/>
    <xf numFmtId="164" fontId="5" fillId="8" borderId="0" xfId="1" applyNumberFormat="1" applyFont="1" applyFill="1"/>
    <xf numFmtId="0" fontId="5" fillId="8" borderId="0" xfId="1" applyFont="1" applyFill="1"/>
    <xf numFmtId="0" fontId="5" fillId="8" borderId="31" xfId="1" applyFont="1" applyFill="1" applyBorder="1"/>
    <xf numFmtId="0" fontId="9" fillId="0" borderId="0" xfId="1" applyFont="1"/>
    <xf numFmtId="165" fontId="5" fillId="11" borderId="18" xfId="1" applyNumberFormat="1" applyFont="1" applyFill="1" applyBorder="1" applyAlignment="1">
      <alignment horizontal="center" vertical="center"/>
    </xf>
    <xf numFmtId="165" fontId="5" fillId="0" borderId="19" xfId="1" applyNumberFormat="1" applyFont="1" applyBorder="1" applyAlignment="1">
      <alignment horizontal="center" vertical="center"/>
    </xf>
    <xf numFmtId="1" fontId="9" fillId="0" borderId="0" xfId="0" applyNumberFormat="1" applyFont="1"/>
    <xf numFmtId="0" fontId="3" fillId="0" borderId="0" xfId="0" applyFont="1"/>
    <xf numFmtId="1" fontId="3" fillId="0" borderId="0" xfId="0" applyNumberFormat="1" applyFont="1"/>
    <xf numFmtId="1" fontId="5" fillId="0" borderId="18" xfId="1" applyNumberFormat="1" applyFont="1" applyBorder="1"/>
    <xf numFmtId="166" fontId="5" fillId="0" borderId="0" xfId="1" applyNumberFormat="1" applyFont="1"/>
    <xf numFmtId="0" fontId="5" fillId="5" borderId="0" xfId="1" applyFont="1" applyFill="1"/>
    <xf numFmtId="0" fontId="5" fillId="0" borderId="0" xfId="0" applyFont="1"/>
    <xf numFmtId="1" fontId="5" fillId="0" borderId="0" xfId="0" applyNumberFormat="1" applyFont="1"/>
    <xf numFmtId="1" fontId="5" fillId="0" borderId="16" xfId="1" applyNumberFormat="1" applyFont="1" applyBorder="1"/>
    <xf numFmtId="0" fontId="5" fillId="7" borderId="23" xfId="1" applyFont="1" applyFill="1" applyBorder="1" applyAlignment="1">
      <alignment horizontal="center" vertical="center"/>
    </xf>
    <xf numFmtId="0" fontId="5" fillId="7" borderId="24" xfId="1" applyFont="1" applyFill="1" applyBorder="1" applyAlignment="1">
      <alignment horizontal="center" vertical="center" wrapText="1"/>
    </xf>
    <xf numFmtId="2" fontId="5" fillId="0" borderId="0" xfId="1" applyNumberFormat="1" applyFont="1" applyAlignment="1">
      <alignment horizontal="center"/>
    </xf>
    <xf numFmtId="0" fontId="5" fillId="7" borderId="9" xfId="1" applyFont="1" applyFill="1" applyBorder="1" applyAlignment="1">
      <alignment horizontal="center" vertical="center"/>
    </xf>
    <xf numFmtId="0" fontId="5" fillId="8" borderId="42" xfId="1" applyFont="1" applyFill="1" applyBorder="1" applyAlignment="1">
      <alignment horizontal="center"/>
    </xf>
    <xf numFmtId="0" fontId="5" fillId="8" borderId="0" xfId="1" applyFont="1" applyFill="1" applyAlignment="1">
      <alignment horizontal="center" vertical="center"/>
    </xf>
    <xf numFmtId="0" fontId="5" fillId="8" borderId="0" xfId="1" applyFont="1" applyFill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10" fillId="12" borderId="0" xfId="1" applyFont="1" applyFill="1" applyAlignment="1">
      <alignment horizontal="left" vertical="center" wrapText="1"/>
    </xf>
    <xf numFmtId="0" fontId="14" fillId="12" borderId="0" xfId="1" applyFont="1" applyFill="1" applyAlignment="1">
      <alignment horizontal="left" vertical="top" wrapText="1"/>
    </xf>
    <xf numFmtId="0" fontId="3" fillId="12" borderId="0" xfId="1" applyFont="1" applyFill="1" applyAlignment="1">
      <alignment horizontal="left" vertical="top" wrapText="1"/>
    </xf>
    <xf numFmtId="0" fontId="7" fillId="12" borderId="0" xfId="1" applyFont="1" applyFill="1" applyAlignment="1">
      <alignment horizontal="left" vertical="top" wrapText="1"/>
    </xf>
    <xf numFmtId="0" fontId="3" fillId="7" borderId="0" xfId="1" applyFont="1" applyFill="1" applyAlignment="1">
      <alignment horizontal="left" vertical="top" wrapText="1"/>
    </xf>
    <xf numFmtId="0" fontId="3" fillId="8" borderId="0" xfId="1" applyFont="1" applyFill="1" applyAlignment="1">
      <alignment horizontal="left" vertical="top" wrapText="1"/>
    </xf>
    <xf numFmtId="14" fontId="5" fillId="0" borderId="15" xfId="1" applyNumberFormat="1" applyFont="1" applyBorder="1" applyAlignment="1">
      <alignment horizontal="left"/>
    </xf>
    <xf numFmtId="0" fontId="5" fillId="0" borderId="16" xfId="1" applyFont="1" applyBorder="1" applyAlignment="1">
      <alignment horizontal="right"/>
    </xf>
    <xf numFmtId="0" fontId="2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3" fillId="3" borderId="20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center" vertical="center"/>
    </xf>
    <xf numFmtId="0" fontId="3" fillId="4" borderId="21" xfId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center" vertical="center"/>
    </xf>
    <xf numFmtId="0" fontId="3" fillId="4" borderId="22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 vertical="center"/>
    </xf>
    <xf numFmtId="0" fontId="3" fillId="4" borderId="14" xfId="1" applyFont="1" applyFill="1" applyBorder="1" applyAlignment="1">
      <alignment horizontal="center"/>
    </xf>
    <xf numFmtId="0" fontId="3" fillId="4" borderId="11" xfId="1" applyFont="1" applyFill="1" applyBorder="1" applyAlignment="1">
      <alignment horizontal="center"/>
    </xf>
    <xf numFmtId="0" fontId="3" fillId="4" borderId="22" xfId="1" applyFont="1" applyFill="1" applyBorder="1" applyAlignment="1">
      <alignment horizontal="center"/>
    </xf>
    <xf numFmtId="0" fontId="3" fillId="4" borderId="39" xfId="1" applyFont="1" applyFill="1" applyBorder="1" applyAlignment="1">
      <alignment horizontal="center" vertical="center"/>
    </xf>
    <xf numFmtId="0" fontId="3" fillId="4" borderId="0" xfId="1" applyFont="1" applyFill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0" fontId="3" fillId="3" borderId="38" xfId="1" applyFont="1" applyFill="1" applyBorder="1" applyAlignment="1">
      <alignment horizontal="center" vertical="center" wrapText="1"/>
    </xf>
    <xf numFmtId="0" fontId="3" fillId="3" borderId="28" xfId="1" applyFont="1" applyFill="1" applyBorder="1" applyAlignment="1">
      <alignment horizontal="center" vertical="center" wrapText="1"/>
    </xf>
    <xf numFmtId="167" fontId="5" fillId="0" borderId="15" xfId="1" applyNumberFormat="1" applyFont="1" applyBorder="1" applyAlignment="1">
      <alignment horizontal="left"/>
    </xf>
    <xf numFmtId="0" fontId="2" fillId="6" borderId="1" xfId="1" applyFont="1" applyFill="1" applyBorder="1" applyAlignment="1">
      <alignment horizontal="left" vertical="center"/>
    </xf>
    <xf numFmtId="0" fontId="2" fillId="6" borderId="2" xfId="1" applyFont="1" applyFill="1" applyBorder="1" applyAlignment="1">
      <alignment horizontal="left" vertical="center"/>
    </xf>
    <xf numFmtId="0" fontId="2" fillId="6" borderId="3" xfId="1" applyFont="1" applyFill="1" applyBorder="1" applyAlignment="1">
      <alignment horizontal="left" vertical="center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20" fontId="5" fillId="0" borderId="11" xfId="1" applyNumberFormat="1" applyFont="1" applyBorder="1" applyAlignment="1">
      <alignment horizontal="center" vertical="center"/>
    </xf>
    <xf numFmtId="20" fontId="5" fillId="0" borderId="0" xfId="1" applyNumberFormat="1" applyFont="1" applyAlignment="1">
      <alignment horizontal="center" vertical="center"/>
    </xf>
    <xf numFmtId="20" fontId="5" fillId="0" borderId="24" xfId="1" applyNumberFormat="1" applyFont="1" applyBorder="1" applyAlignment="1">
      <alignment horizontal="center" vertical="center"/>
    </xf>
    <xf numFmtId="1" fontId="5" fillId="0" borderId="26" xfId="1" applyNumberFormat="1" applyFont="1" applyBorder="1" applyAlignment="1">
      <alignment horizontal="center" vertical="center"/>
    </xf>
    <xf numFmtId="1" fontId="5" fillId="0" borderId="16" xfId="1" applyNumberFormat="1" applyFont="1" applyBorder="1" applyAlignment="1">
      <alignment horizontal="center" vertical="center"/>
    </xf>
    <xf numFmtId="1" fontId="5" fillId="0" borderId="25" xfId="1" applyNumberFormat="1" applyFont="1" applyBorder="1" applyAlignment="1">
      <alignment horizontal="center" vertical="center"/>
    </xf>
    <xf numFmtId="0" fontId="5" fillId="0" borderId="41" xfId="1" applyFont="1" applyBorder="1" applyAlignment="1">
      <alignment horizontal="center" vertical="center"/>
    </xf>
    <xf numFmtId="20" fontId="5" fillId="0" borderId="28" xfId="1" applyNumberFormat="1" applyFont="1" applyBorder="1" applyAlignment="1">
      <alignment horizontal="center" vertical="center"/>
    </xf>
    <xf numFmtId="1" fontId="5" fillId="0" borderId="29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4" fontId="5" fillId="0" borderId="24" xfId="1" applyNumberFormat="1" applyFont="1" applyBorder="1" applyAlignment="1">
      <alignment horizontal="center" vertical="center"/>
    </xf>
    <xf numFmtId="1" fontId="5" fillId="0" borderId="16" xfId="1" applyNumberFormat="1" applyFont="1" applyBorder="1" applyAlignment="1">
      <alignment horizontal="center"/>
    </xf>
    <xf numFmtId="1" fontId="5" fillId="0" borderId="25" xfId="1" applyNumberFormat="1" applyFont="1" applyBorder="1" applyAlignment="1">
      <alignment horizontal="center"/>
    </xf>
    <xf numFmtId="164" fontId="5" fillId="0" borderId="11" xfId="1" applyNumberFormat="1" applyFont="1" applyBorder="1" applyAlignment="1">
      <alignment horizontal="center" vertical="center"/>
    </xf>
    <xf numFmtId="1" fontId="5" fillId="0" borderId="26" xfId="1" applyNumberFormat="1" applyFont="1" applyBorder="1" applyAlignment="1">
      <alignment horizontal="center"/>
    </xf>
    <xf numFmtId="0" fontId="5" fillId="0" borderId="17" xfId="1" applyFont="1" applyBorder="1" applyAlignment="1">
      <alignment horizontal="center" vertical="center"/>
    </xf>
    <xf numFmtId="20" fontId="5" fillId="0" borderId="18" xfId="1" applyNumberFormat="1" applyFont="1" applyBorder="1" applyAlignment="1">
      <alignment horizontal="center" vertical="center"/>
    </xf>
    <xf numFmtId="167" fontId="5" fillId="0" borderId="15" xfId="1" applyNumberFormat="1" applyFont="1" applyBorder="1" applyAlignment="1">
      <alignment horizontal="center" vertical="center"/>
    </xf>
    <xf numFmtId="167" fontId="5" fillId="0" borderId="23" xfId="1" applyNumberFormat="1" applyFont="1" applyBorder="1" applyAlignment="1">
      <alignment horizontal="center" vertical="center"/>
    </xf>
    <xf numFmtId="167" fontId="5" fillId="0" borderId="21" xfId="1" applyNumberFormat="1" applyFont="1" applyBorder="1" applyAlignment="1">
      <alignment horizontal="center" vertical="center"/>
    </xf>
    <xf numFmtId="1" fontId="5" fillId="0" borderId="19" xfId="1" applyNumberFormat="1" applyFont="1" applyBorder="1" applyAlignment="1">
      <alignment horizontal="center" vertical="center"/>
    </xf>
    <xf numFmtId="164" fontId="5" fillId="0" borderId="18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1" fontId="5" fillId="0" borderId="11" xfId="1" applyNumberFormat="1" applyFont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19" fillId="10" borderId="1" xfId="1" applyFont="1" applyFill="1" applyBorder="1" applyAlignment="1">
      <alignment horizontal="left" vertical="center"/>
    </xf>
    <xf numFmtId="0" fontId="19" fillId="10" borderId="2" xfId="1" applyFont="1" applyFill="1" applyBorder="1" applyAlignment="1">
      <alignment horizontal="left" vertical="center"/>
    </xf>
    <xf numFmtId="0" fontId="19" fillId="10" borderId="3" xfId="1" applyFont="1" applyFill="1" applyBorder="1" applyAlignment="1">
      <alignment horizontal="left" vertical="center"/>
    </xf>
    <xf numFmtId="0" fontId="16" fillId="0" borderId="1" xfId="1" applyFont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1" fontId="5" fillId="0" borderId="24" xfId="1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20" fontId="9" fillId="0" borderId="11" xfId="0" applyNumberFormat="1" applyFont="1" applyBorder="1" applyAlignment="1">
      <alignment horizontal="center" vertical="center"/>
    </xf>
    <xf numFmtId="20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1" fontId="5" fillId="0" borderId="18" xfId="1" applyNumberFormat="1" applyFont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16" fontId="5" fillId="0" borderId="15" xfId="1" applyNumberFormat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</cellXfs>
  <cellStyles count="2">
    <cellStyle name="Normal" xfId="0" builtinId="0"/>
    <cellStyle name="Normal 2" xfId="1" xr:uid="{F6CC4BB7-0AB6-EC44-BC72-F64D9CAC8AB1}"/>
  </cellStyles>
  <dxfs count="0"/>
  <tableStyles count="0" defaultTableStyle="TableStyleMedium2" defaultPivotStyle="PivotStyleLight16"/>
  <colors>
    <mruColors>
      <color rgb="FFE1E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curves'!$B$2:$AB$2</c:f>
              <c:strCache>
                <c:ptCount val="1"/>
                <c:pt idx="0">
                  <c:v>Blue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curves'!$R$5:$R$23</c:f>
                <c:numCache>
                  <c:formatCode>General</c:formatCode>
                  <c:ptCount val="19"/>
                  <c:pt idx="0">
                    <c:v>2.9386125734060412E-2</c:v>
                  </c:pt>
                  <c:pt idx="1">
                    <c:v>4.1552156990047343E-2</c:v>
                  </c:pt>
                  <c:pt idx="2">
                    <c:v>2.8423529059989489E-2</c:v>
                  </c:pt>
                  <c:pt idx="3">
                    <c:v>6.2116280269539061E-2</c:v>
                  </c:pt>
                  <c:pt idx="4">
                    <c:v>5.1037665888017794E-2</c:v>
                  </c:pt>
                  <c:pt idx="5">
                    <c:v>7.1876260409945547E-2</c:v>
                  </c:pt>
                  <c:pt idx="6">
                    <c:v>0.10466872600144826</c:v>
                  </c:pt>
                  <c:pt idx="7">
                    <c:v>3.5857207631107814E-2</c:v>
                  </c:pt>
                  <c:pt idx="8">
                    <c:v>9.6430433814465644E-2</c:v>
                  </c:pt>
                  <c:pt idx="9">
                    <c:v>5.7223388991031458E-2</c:v>
                  </c:pt>
                  <c:pt idx="10">
                    <c:v>5.8111615158332755E-2</c:v>
                  </c:pt>
                  <c:pt idx="11">
                    <c:v>6.9597010999489395E-2</c:v>
                  </c:pt>
                  <c:pt idx="12">
                    <c:v>1.8257255817174349E-2</c:v>
                  </c:pt>
                  <c:pt idx="13">
                    <c:v>6.5549556850720905E-2</c:v>
                  </c:pt>
                  <c:pt idx="14">
                    <c:v>4.9638324777078593E-2</c:v>
                  </c:pt>
                  <c:pt idx="15">
                    <c:v>1.6618261476508262E-2</c:v>
                  </c:pt>
                  <c:pt idx="16">
                    <c:v>4.5487756713272473E-2</c:v>
                  </c:pt>
                  <c:pt idx="17">
                    <c:v>5.5977568231984576E-2</c:v>
                  </c:pt>
                  <c:pt idx="18">
                    <c:v>2.1886382336406121E-2</c:v>
                  </c:pt>
                </c:numCache>
              </c:numRef>
            </c:plus>
            <c:minus>
              <c:numRef>
                <c:f>'Growth curves'!$R$5:$R$23</c:f>
                <c:numCache>
                  <c:formatCode>General</c:formatCode>
                  <c:ptCount val="19"/>
                  <c:pt idx="0">
                    <c:v>2.9386125734060412E-2</c:v>
                  </c:pt>
                  <c:pt idx="1">
                    <c:v>4.1552156990047343E-2</c:v>
                  </c:pt>
                  <c:pt idx="2">
                    <c:v>2.8423529059989489E-2</c:v>
                  </c:pt>
                  <c:pt idx="3">
                    <c:v>6.2116280269539061E-2</c:v>
                  </c:pt>
                  <c:pt idx="4">
                    <c:v>5.1037665888017794E-2</c:v>
                  </c:pt>
                  <c:pt idx="5">
                    <c:v>7.1876260409945547E-2</c:v>
                  </c:pt>
                  <c:pt idx="6">
                    <c:v>0.10466872600144826</c:v>
                  </c:pt>
                  <c:pt idx="7">
                    <c:v>3.5857207631107814E-2</c:v>
                  </c:pt>
                  <c:pt idx="8">
                    <c:v>9.6430433814465644E-2</c:v>
                  </c:pt>
                  <c:pt idx="9">
                    <c:v>5.7223388991031458E-2</c:v>
                  </c:pt>
                  <c:pt idx="10">
                    <c:v>5.8111615158332755E-2</c:v>
                  </c:pt>
                  <c:pt idx="11">
                    <c:v>6.9597010999489395E-2</c:v>
                  </c:pt>
                  <c:pt idx="12">
                    <c:v>1.8257255817174349E-2</c:v>
                  </c:pt>
                  <c:pt idx="13">
                    <c:v>6.5549556850720905E-2</c:v>
                  </c:pt>
                  <c:pt idx="14">
                    <c:v>4.9638324777078593E-2</c:v>
                  </c:pt>
                  <c:pt idx="15">
                    <c:v>1.6618261476508262E-2</c:v>
                  </c:pt>
                  <c:pt idx="16">
                    <c:v>4.5487756713272473E-2</c:v>
                  </c:pt>
                  <c:pt idx="17">
                    <c:v>5.5977568231984576E-2</c:v>
                  </c:pt>
                  <c:pt idx="18">
                    <c:v>2.1886382336406121E-2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curves'!$D$5:$D$23</c:f>
              <c:numCache>
                <c:formatCode>0</c:formatCode>
                <c:ptCount val="19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</c:numCache>
            </c:numRef>
          </c:xVal>
          <c:yVal>
            <c:numRef>
              <c:f>'Growth curves'!$Q$5:$Q$23</c:f>
              <c:numCache>
                <c:formatCode>0.000</c:formatCode>
                <c:ptCount val="19"/>
                <c:pt idx="0">
                  <c:v>-1.9923270583605592</c:v>
                </c:pt>
                <c:pt idx="1">
                  <c:v>-1.8321956309783796</c:v>
                </c:pt>
                <c:pt idx="2">
                  <c:v>-1.813457548217263</c:v>
                </c:pt>
                <c:pt idx="3">
                  <c:v>-1.5181047453237069</c:v>
                </c:pt>
                <c:pt idx="4">
                  <c:v>-1.4712675702651481</c:v>
                </c:pt>
                <c:pt idx="5">
                  <c:v>-1.1335143057321775</c:v>
                </c:pt>
                <c:pt idx="6">
                  <c:v>-0.69523880948367844</c:v>
                </c:pt>
                <c:pt idx="7">
                  <c:v>-0.39056593584273552</c:v>
                </c:pt>
                <c:pt idx="8">
                  <c:v>-0.2499037544429672</c:v>
                </c:pt>
                <c:pt idx="9">
                  <c:v>5.1464889107177426E-2</c:v>
                </c:pt>
                <c:pt idx="10">
                  <c:v>0.13811286302099993</c:v>
                </c:pt>
                <c:pt idx="11">
                  <c:v>0.28874428762214083</c:v>
                </c:pt>
                <c:pt idx="12">
                  <c:v>0.35267439702974301</c:v>
                </c:pt>
                <c:pt idx="13">
                  <c:v>0.43615834806467846</c:v>
                </c:pt>
                <c:pt idx="14">
                  <c:v>0.49102560715919913</c:v>
                </c:pt>
                <c:pt idx="15">
                  <c:v>0.55780363924922227</c:v>
                </c:pt>
                <c:pt idx="16">
                  <c:v>0.60378689651332473</c:v>
                </c:pt>
                <c:pt idx="17">
                  <c:v>0.65732431196545271</c:v>
                </c:pt>
                <c:pt idx="18">
                  <c:v>0.66503346116188233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61-7A4E-AEE4-3881434D14E2}"/>
            </c:ext>
          </c:extLst>
        </c:ser>
        <c:ser>
          <c:idx val="1"/>
          <c:order val="1"/>
          <c:tx>
            <c:strRef>
              <c:f>'Growth curves'!$B$25:$AB$25</c:f>
              <c:strCache>
                <c:ptCount val="1"/>
                <c:pt idx="0">
                  <c:v>Red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curves'!$R$28:$R$46</c:f>
                <c:numCache>
                  <c:formatCode>General</c:formatCode>
                  <c:ptCount val="19"/>
                  <c:pt idx="0">
                    <c:v>1.7097764795850196E-2</c:v>
                  </c:pt>
                  <c:pt idx="1">
                    <c:v>9.1829761587912825E-2</c:v>
                  </c:pt>
                  <c:pt idx="2">
                    <c:v>9.790503380338024E-3</c:v>
                  </c:pt>
                  <c:pt idx="3">
                    <c:v>5.2540834483214324E-2</c:v>
                  </c:pt>
                  <c:pt idx="4">
                    <c:v>2.7908783317323552E-2</c:v>
                  </c:pt>
                  <c:pt idx="5">
                    <c:v>0.14700061412831744</c:v>
                  </c:pt>
                  <c:pt idx="6">
                    <c:v>2.8363620156107282E-2</c:v>
                  </c:pt>
                  <c:pt idx="7">
                    <c:v>1.3996196732025542E-2</c:v>
                  </c:pt>
                  <c:pt idx="8">
                    <c:v>6.4105199908001523E-2</c:v>
                  </c:pt>
                  <c:pt idx="9">
                    <c:v>1.5430605419111039E-2</c:v>
                  </c:pt>
                  <c:pt idx="10">
                    <c:v>3.6354785183928054E-2</c:v>
                  </c:pt>
                  <c:pt idx="11">
                    <c:v>3.5723213524622911E-2</c:v>
                  </c:pt>
                  <c:pt idx="12">
                    <c:v>2.1539643233385117E-2</c:v>
                  </c:pt>
                  <c:pt idx="13">
                    <c:v>0.1902733460016485</c:v>
                  </c:pt>
                  <c:pt idx="14">
                    <c:v>4.8154712989009286E-2</c:v>
                  </c:pt>
                  <c:pt idx="15">
                    <c:v>8.5667349434526644E-3</c:v>
                  </c:pt>
                  <c:pt idx="16">
                    <c:v>6.2561966766096202E-3</c:v>
                  </c:pt>
                  <c:pt idx="17">
                    <c:v>1.5640366146608256E-2</c:v>
                  </c:pt>
                  <c:pt idx="18">
                    <c:v>2.2444373356195646E-2</c:v>
                  </c:pt>
                </c:numCache>
              </c:numRef>
            </c:plus>
            <c:minus>
              <c:numRef>
                <c:f>'Growth curves'!$R$28:$R$46</c:f>
                <c:numCache>
                  <c:formatCode>General</c:formatCode>
                  <c:ptCount val="19"/>
                  <c:pt idx="0">
                    <c:v>1.7097764795850196E-2</c:v>
                  </c:pt>
                  <c:pt idx="1">
                    <c:v>9.1829761587912825E-2</c:v>
                  </c:pt>
                  <c:pt idx="2">
                    <c:v>9.790503380338024E-3</c:v>
                  </c:pt>
                  <c:pt idx="3">
                    <c:v>5.2540834483214324E-2</c:v>
                  </c:pt>
                  <c:pt idx="4">
                    <c:v>2.7908783317323552E-2</c:v>
                  </c:pt>
                  <c:pt idx="5">
                    <c:v>0.14700061412831744</c:v>
                  </c:pt>
                  <c:pt idx="6">
                    <c:v>2.8363620156107282E-2</c:v>
                  </c:pt>
                  <c:pt idx="7">
                    <c:v>1.3996196732025542E-2</c:v>
                  </c:pt>
                  <c:pt idx="8">
                    <c:v>6.4105199908001523E-2</c:v>
                  </c:pt>
                  <c:pt idx="9">
                    <c:v>1.5430605419111039E-2</c:v>
                  </c:pt>
                  <c:pt idx="10">
                    <c:v>3.6354785183928054E-2</c:v>
                  </c:pt>
                  <c:pt idx="11">
                    <c:v>3.5723213524622911E-2</c:v>
                  </c:pt>
                  <c:pt idx="12">
                    <c:v>2.1539643233385117E-2</c:v>
                  </c:pt>
                  <c:pt idx="13">
                    <c:v>0.1902733460016485</c:v>
                  </c:pt>
                  <c:pt idx="14">
                    <c:v>4.8154712989009286E-2</c:v>
                  </c:pt>
                  <c:pt idx="15">
                    <c:v>8.5667349434526644E-3</c:v>
                  </c:pt>
                  <c:pt idx="16">
                    <c:v>6.2561966766096202E-3</c:v>
                  </c:pt>
                  <c:pt idx="17">
                    <c:v>1.5640366146608256E-2</c:v>
                  </c:pt>
                  <c:pt idx="18">
                    <c:v>2.2444373356195646E-2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curves'!$D$28:$D$46</c:f>
              <c:numCache>
                <c:formatCode>0</c:formatCode>
                <c:ptCount val="19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</c:numCache>
            </c:numRef>
          </c:xVal>
          <c:yVal>
            <c:numRef>
              <c:f>'Growth curves'!$Q$28:$Q$46</c:f>
              <c:numCache>
                <c:formatCode>0.000</c:formatCode>
                <c:ptCount val="19"/>
                <c:pt idx="0">
                  <c:v>-1.927586717420686</c:v>
                </c:pt>
                <c:pt idx="1">
                  <c:v>-1.7767954493613889</c:v>
                </c:pt>
                <c:pt idx="2">
                  <c:v>-1.6963697739173085</c:v>
                </c:pt>
                <c:pt idx="3">
                  <c:v>-1.3616349636637863</c:v>
                </c:pt>
                <c:pt idx="4">
                  <c:v>-1.2520185661179652</c:v>
                </c:pt>
                <c:pt idx="5">
                  <c:v>-0.9980204963569469</c:v>
                </c:pt>
                <c:pt idx="6">
                  <c:v>-0.66569213991806142</c:v>
                </c:pt>
                <c:pt idx="7">
                  <c:v>-0.29736592996507366</c:v>
                </c:pt>
                <c:pt idx="8">
                  <c:v>-6.6215608244769256E-2</c:v>
                </c:pt>
                <c:pt idx="9">
                  <c:v>0.47087578807709668</c:v>
                </c:pt>
                <c:pt idx="10">
                  <c:v>0.62673686413176644</c:v>
                </c:pt>
                <c:pt idx="11">
                  <c:v>0.72808325152880071</c:v>
                </c:pt>
                <c:pt idx="12">
                  <c:v>0.83987227479761828</c:v>
                </c:pt>
                <c:pt idx="13">
                  <c:v>0.95075977475742091</c:v>
                </c:pt>
                <c:pt idx="14">
                  <c:v>1.0950522391587216</c:v>
                </c:pt>
                <c:pt idx="15">
                  <c:v>1.2014703917167726</c:v>
                </c:pt>
                <c:pt idx="16">
                  <c:v>1.2716838284029388</c:v>
                </c:pt>
                <c:pt idx="17">
                  <c:v>1.3529044316846672</c:v>
                </c:pt>
                <c:pt idx="18">
                  <c:v>1.4228016816043667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D61-7A4E-AEE4-3881434D14E2}"/>
            </c:ext>
          </c:extLst>
        </c:ser>
        <c:ser>
          <c:idx val="2"/>
          <c:order val="2"/>
          <c:tx>
            <c:strRef>
              <c:f>'Growth curves'!$B$49:$AB$49</c:f>
              <c:strCache>
                <c:ptCount val="1"/>
                <c:pt idx="0">
                  <c:v>White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curves'!$R$52:$R$68</c:f>
                <c:numCache>
                  <c:formatCode>General</c:formatCode>
                  <c:ptCount val="17"/>
                  <c:pt idx="0">
                    <c:v>1.3655746767906266E-2</c:v>
                  </c:pt>
                  <c:pt idx="1">
                    <c:v>2.8220465530066817E-2</c:v>
                  </c:pt>
                  <c:pt idx="2">
                    <c:v>0.14867513508095881</c:v>
                  </c:pt>
                  <c:pt idx="3">
                    <c:v>2.0886691194713983E-2</c:v>
                  </c:pt>
                  <c:pt idx="4">
                    <c:v>2.3242486911701599E-2</c:v>
                  </c:pt>
                  <c:pt idx="5">
                    <c:v>1.5596316224192032E-2</c:v>
                  </c:pt>
                  <c:pt idx="6">
                    <c:v>1.750182365029395E-2</c:v>
                  </c:pt>
                  <c:pt idx="7">
                    <c:v>3.2203631567853219E-2</c:v>
                  </c:pt>
                  <c:pt idx="8">
                    <c:v>3.6058924981049657E-2</c:v>
                  </c:pt>
                  <c:pt idx="9">
                    <c:v>4.1087615001719376E-2</c:v>
                  </c:pt>
                  <c:pt idx="10">
                    <c:v>1.1625536739305161E-2</c:v>
                  </c:pt>
                  <c:pt idx="11">
                    <c:v>6.8251536128446323E-3</c:v>
                  </c:pt>
                  <c:pt idx="12">
                    <c:v>9.4405946045695577E-3</c:v>
                  </c:pt>
                  <c:pt idx="13">
                    <c:v>2.6609759056953385E-3</c:v>
                  </c:pt>
                  <c:pt idx="14">
                    <c:v>6.6658862435867328E-2</c:v>
                  </c:pt>
                  <c:pt idx="15">
                    <c:v>6.5171880292726844E-2</c:v>
                  </c:pt>
                  <c:pt idx="16">
                    <c:v>2.6671873370060276E-2</c:v>
                  </c:pt>
                </c:numCache>
              </c:numRef>
            </c:plus>
            <c:minus>
              <c:numRef>
                <c:f>'Growth curves'!$R$52:$R$68</c:f>
                <c:numCache>
                  <c:formatCode>General</c:formatCode>
                  <c:ptCount val="17"/>
                  <c:pt idx="0">
                    <c:v>1.3655746767906266E-2</c:v>
                  </c:pt>
                  <c:pt idx="1">
                    <c:v>2.8220465530066817E-2</c:v>
                  </c:pt>
                  <c:pt idx="2">
                    <c:v>0.14867513508095881</c:v>
                  </c:pt>
                  <c:pt idx="3">
                    <c:v>2.0886691194713983E-2</c:v>
                  </c:pt>
                  <c:pt idx="4">
                    <c:v>2.3242486911701599E-2</c:v>
                  </c:pt>
                  <c:pt idx="5">
                    <c:v>1.5596316224192032E-2</c:v>
                  </c:pt>
                  <c:pt idx="6">
                    <c:v>1.750182365029395E-2</c:v>
                  </c:pt>
                  <c:pt idx="7">
                    <c:v>3.2203631567853219E-2</c:v>
                  </c:pt>
                  <c:pt idx="8">
                    <c:v>3.6058924981049657E-2</c:v>
                  </c:pt>
                  <c:pt idx="9">
                    <c:v>4.1087615001719376E-2</c:v>
                  </c:pt>
                  <c:pt idx="10">
                    <c:v>1.1625536739305161E-2</c:v>
                  </c:pt>
                  <c:pt idx="11">
                    <c:v>6.8251536128446323E-3</c:v>
                  </c:pt>
                  <c:pt idx="12">
                    <c:v>9.4405946045695577E-3</c:v>
                  </c:pt>
                  <c:pt idx="13">
                    <c:v>2.6609759056953385E-3</c:v>
                  </c:pt>
                  <c:pt idx="14">
                    <c:v>6.6658862435867328E-2</c:v>
                  </c:pt>
                  <c:pt idx="15">
                    <c:v>6.5171880292726844E-2</c:v>
                  </c:pt>
                  <c:pt idx="16">
                    <c:v>2.6671873370060276E-2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curves'!$D$52:$D$68</c:f>
              <c:numCache>
                <c:formatCode>0</c:formatCode>
                <c:ptCount val="17"/>
                <c:pt idx="0" formatCode="General">
                  <c:v>0</c:v>
                </c:pt>
                <c:pt idx="1">
                  <c:v>23.416666666666668</c:v>
                </c:pt>
                <c:pt idx="2">
                  <c:v>95</c:v>
                </c:pt>
                <c:pt idx="3">
                  <c:v>119.33333333333333</c:v>
                </c:pt>
                <c:pt idx="4">
                  <c:v>143.08333333333331</c:v>
                </c:pt>
                <c:pt idx="5">
                  <c:v>167.91666666666666</c:v>
                </c:pt>
                <c:pt idx="6">
                  <c:v>191.41666666666666</c:v>
                </c:pt>
                <c:pt idx="7">
                  <c:v>215.08333333333331</c:v>
                </c:pt>
                <c:pt idx="8">
                  <c:v>240.74999999999997</c:v>
                </c:pt>
                <c:pt idx="9">
                  <c:v>263.75</c:v>
                </c:pt>
                <c:pt idx="10">
                  <c:v>287.76666666666665</c:v>
                </c:pt>
                <c:pt idx="11">
                  <c:v>312.06666666666666</c:v>
                </c:pt>
                <c:pt idx="12">
                  <c:v>336.06666666666666</c:v>
                </c:pt>
                <c:pt idx="13">
                  <c:v>360.0333333333333</c:v>
                </c:pt>
                <c:pt idx="14">
                  <c:v>384.0333333333333</c:v>
                </c:pt>
                <c:pt idx="15">
                  <c:v>408.0333333333333</c:v>
                </c:pt>
                <c:pt idx="16">
                  <c:v>432.0333333333333</c:v>
                </c:pt>
              </c:numCache>
            </c:numRef>
          </c:xVal>
          <c:yVal>
            <c:numRef>
              <c:f>'Growth curves'!$Q$52:$Q$68</c:f>
              <c:numCache>
                <c:formatCode>0.000</c:formatCode>
                <c:ptCount val="17"/>
                <c:pt idx="0">
                  <c:v>-2.028458156796074</c:v>
                </c:pt>
                <c:pt idx="1">
                  <c:v>-1.410502498826685</c:v>
                </c:pt>
                <c:pt idx="2">
                  <c:v>-0.25691226229830205</c:v>
                </c:pt>
                <c:pt idx="3">
                  <c:v>-0.10172357448090197</c:v>
                </c:pt>
                <c:pt idx="4">
                  <c:v>0.12694223282752962</c:v>
                </c:pt>
                <c:pt idx="5">
                  <c:v>0.35016127312550199</c:v>
                </c:pt>
                <c:pt idx="6">
                  <c:v>0.46797950091438506</c:v>
                </c:pt>
                <c:pt idx="7">
                  <c:v>0.61819406815989486</c:v>
                </c:pt>
                <c:pt idx="8">
                  <c:v>0.77190650278832063</c:v>
                </c:pt>
                <c:pt idx="9">
                  <c:v>0.92040188122393374</c:v>
                </c:pt>
                <c:pt idx="10">
                  <c:v>1.0164127451725333</c:v>
                </c:pt>
                <c:pt idx="11">
                  <c:v>1.0751464994080304</c:v>
                </c:pt>
                <c:pt idx="12">
                  <c:v>1.11255327058871</c:v>
                </c:pt>
                <c:pt idx="13">
                  <c:v>1.1855842173921072</c:v>
                </c:pt>
                <c:pt idx="14">
                  <c:v>1.2117347893341102</c:v>
                </c:pt>
                <c:pt idx="15">
                  <c:v>1.2168113378843703</c:v>
                </c:pt>
                <c:pt idx="16">
                  <c:v>1.225263485964571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D61-7A4E-AEE4-3881434D1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  <c:majorUnit val="50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</a:t>
                </a:r>
                <a:r>
                  <a:rPr lang="en-ZA" baseline="0"/>
                  <a:t> biomass concentration </a:t>
                </a:r>
                <a:r>
                  <a:rPr lang="en-ZA"/>
                  <a:t>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145563575386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'Growth curves'!$B$2:$AB$2</c:f>
              <c:strCache>
                <c:ptCount val="1"/>
                <c:pt idx="0">
                  <c:v>Blue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curves'!$M$5:$M$23</c:f>
                <c:numCache>
                  <c:formatCode>General</c:formatCode>
                  <c:ptCount val="19"/>
                  <c:pt idx="0">
                    <c:v>4.0491937375784423E-3</c:v>
                  </c:pt>
                  <c:pt idx="1">
                    <c:v>6.793037513022673E-3</c:v>
                  </c:pt>
                  <c:pt idx="2">
                    <c:v>4.5781870434097012E-3</c:v>
                  </c:pt>
                  <c:pt idx="3">
                    <c:v>1.323312963806287E-2</c:v>
                  </c:pt>
                  <c:pt idx="4">
                    <c:v>1.1794583436099423E-2</c:v>
                  </c:pt>
                  <c:pt idx="5">
                    <c:v>2.3144287151212473E-2</c:v>
                  </c:pt>
                  <c:pt idx="6">
                    <c:v>5.2926131521332125E-2</c:v>
                  </c:pt>
                  <c:pt idx="7">
                    <c:v>2.4433913767366661E-2</c:v>
                  </c:pt>
                  <c:pt idx="8">
                    <c:v>7.4788984301730282E-2</c:v>
                  </c:pt>
                  <c:pt idx="9">
                    <c:v>5.8748924963819095E-2</c:v>
                  </c:pt>
                  <c:pt idx="10">
                    <c:v>6.7119326762217574E-2</c:v>
                  </c:pt>
                  <c:pt idx="11">
                    <c:v>9.0852094787761781E-2</c:v>
                  </c:pt>
                  <c:pt idx="12">
                    <c:v>2.6106157336536453E-2</c:v>
                  </c:pt>
                  <c:pt idx="13">
                    <c:v>9.8284086935599368E-2</c:v>
                  </c:pt>
                  <c:pt idx="14">
                    <c:v>7.925814708339661E-2</c:v>
                  </c:pt>
                  <c:pt idx="15">
                    <c:v>2.9268535509959826E-2</c:v>
                  </c:pt>
                  <c:pt idx="16">
                    <c:v>8.3762299889150682E-2</c:v>
                  </c:pt>
                  <c:pt idx="17">
                    <c:v>0.10666671900765384</c:v>
                  </c:pt>
                  <c:pt idx="18">
                    <c:v>4.2280820872090133E-2</c:v>
                  </c:pt>
                </c:numCache>
              </c:numRef>
            </c:plus>
            <c:minus>
              <c:numRef>
                <c:f>'Growth curves'!$M$5:$M$23</c:f>
                <c:numCache>
                  <c:formatCode>General</c:formatCode>
                  <c:ptCount val="19"/>
                  <c:pt idx="0">
                    <c:v>4.0491937375784423E-3</c:v>
                  </c:pt>
                  <c:pt idx="1">
                    <c:v>6.793037513022673E-3</c:v>
                  </c:pt>
                  <c:pt idx="2">
                    <c:v>4.5781870434097012E-3</c:v>
                  </c:pt>
                  <c:pt idx="3">
                    <c:v>1.323312963806287E-2</c:v>
                  </c:pt>
                  <c:pt idx="4">
                    <c:v>1.1794583436099423E-2</c:v>
                  </c:pt>
                  <c:pt idx="5">
                    <c:v>2.3144287151212473E-2</c:v>
                  </c:pt>
                  <c:pt idx="6">
                    <c:v>5.2926131521332125E-2</c:v>
                  </c:pt>
                  <c:pt idx="7">
                    <c:v>2.4433913767366661E-2</c:v>
                  </c:pt>
                  <c:pt idx="8">
                    <c:v>7.4788984301730282E-2</c:v>
                  </c:pt>
                  <c:pt idx="9">
                    <c:v>5.8748924963819095E-2</c:v>
                  </c:pt>
                  <c:pt idx="10">
                    <c:v>6.7119326762217574E-2</c:v>
                  </c:pt>
                  <c:pt idx="11">
                    <c:v>9.0852094787761781E-2</c:v>
                  </c:pt>
                  <c:pt idx="12">
                    <c:v>2.6106157336536453E-2</c:v>
                  </c:pt>
                  <c:pt idx="13">
                    <c:v>9.8284086935599368E-2</c:v>
                  </c:pt>
                  <c:pt idx="14">
                    <c:v>7.925814708339661E-2</c:v>
                  </c:pt>
                  <c:pt idx="15">
                    <c:v>2.9268535509959826E-2</c:v>
                  </c:pt>
                  <c:pt idx="16">
                    <c:v>8.3762299889150682E-2</c:v>
                  </c:pt>
                  <c:pt idx="17">
                    <c:v>0.10666671900765384</c:v>
                  </c:pt>
                  <c:pt idx="18">
                    <c:v>4.2280820872090133E-2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curves'!$D$5:$D$24</c:f>
              <c:numCache>
                <c:formatCode>0</c:formatCode>
                <c:ptCount val="20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  <c:pt idx="19">
                  <c:v>405.43333333333339</c:v>
                </c:pt>
              </c:numCache>
            </c:numRef>
          </c:xVal>
          <c:yVal>
            <c:numRef>
              <c:f>'Growth curves'!$L$5:$L$24</c:f>
              <c:numCache>
                <c:formatCode>0.000</c:formatCode>
                <c:ptCount val="20"/>
                <c:pt idx="0">
                  <c:v>0.13649626666666667</c:v>
                </c:pt>
                <c:pt idx="1">
                  <c:v>0.16034200000000001</c:v>
                </c:pt>
                <c:pt idx="2">
                  <c:v>0.16321993333333334</c:v>
                </c:pt>
                <c:pt idx="3">
                  <c:v>0.21995633333333334</c:v>
                </c:pt>
                <c:pt idx="4">
                  <c:v>0.23023466666666667</c:v>
                </c:pt>
                <c:pt idx="5">
                  <c:v>0.32356193333333333</c:v>
                </c:pt>
                <c:pt idx="6">
                  <c:v>0.50446060000000004</c:v>
                </c:pt>
                <c:pt idx="7">
                  <c:v>0.67754773333333329</c:v>
                </c:pt>
                <c:pt idx="8">
                  <c:v>0.78608693333333335</c:v>
                </c:pt>
                <c:pt idx="9">
                  <c:v>1.0562015333333334</c:v>
                </c:pt>
                <c:pt idx="10">
                  <c:v>1.1519956000000002</c:v>
                </c:pt>
                <c:pt idx="11">
                  <c:v>1.3411169333333335</c:v>
                </c:pt>
                <c:pt idx="12">
                  <c:v>1.4233435999999999</c:v>
                </c:pt>
                <c:pt idx="13">
                  <c:v>1.5532617333333334</c:v>
                </c:pt>
                <c:pt idx="14">
                  <c:v>1.6379552000000002</c:v>
                </c:pt>
                <c:pt idx="15">
                  <c:v>1.7473166666666664</c:v>
                </c:pt>
                <c:pt idx="16">
                  <c:v>1.8328324</c:v>
                </c:pt>
                <c:pt idx="17">
                  <c:v>1.9356157333333333</c:v>
                </c:pt>
                <c:pt idx="18">
                  <c:v>1.9454829333333332</c:v>
                </c:pt>
                <c:pt idx="19">
                  <c:v>1.9635728000000003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48-FB40-A6BE-32AC4DA91626}"/>
            </c:ext>
          </c:extLst>
        </c:ser>
        <c:ser>
          <c:idx val="1"/>
          <c:order val="1"/>
          <c:tx>
            <c:strRef>
              <c:f>'Growth curves'!$B$25:$AB$25</c:f>
              <c:strCache>
                <c:ptCount val="1"/>
                <c:pt idx="0">
                  <c:v>Red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curves'!$T$28:$T$46</c:f>
                <c:numCache>
                  <c:formatCode>General</c:formatCode>
                  <c:ptCount val="19"/>
                  <c:pt idx="1">
                    <c:v>1.3349487511420427E-2</c:v>
                  </c:pt>
                  <c:pt idx="2">
                    <c:v>6.7612081588346182E-2</c:v>
                  </c:pt>
                  <c:pt idx="3">
                    <c:v>1.8659414636497097E-2</c:v>
                  </c:pt>
                  <c:pt idx="4">
                    <c:v>6.5263712668788623E-2</c:v>
                  </c:pt>
                  <c:pt idx="5">
                    <c:v>2.9189297309239184E-3</c:v>
                  </c:pt>
                  <c:pt idx="6">
                    <c:v>2.0372636081746904E-2</c:v>
                  </c:pt>
                  <c:pt idx="7">
                    <c:v>1.6231183028899171E-2</c:v>
                  </c:pt>
                  <c:pt idx="8">
                    <c:v>1.3655705434593273E-2</c:v>
                  </c:pt>
                  <c:pt idx="9">
                    <c:v>7.9967421175015721E-3</c:v>
                  </c:pt>
                  <c:pt idx="10">
                    <c:v>4.834343334302737E-3</c:v>
                  </c:pt>
                  <c:pt idx="11">
                    <c:v>4.6200535749416176E-3</c:v>
                  </c:pt>
                  <c:pt idx="12">
                    <c:v>5.6558890948052261E-3</c:v>
                  </c:pt>
                  <c:pt idx="13">
                    <c:v>-8.8981415333101912E-3</c:v>
                  </c:pt>
                  <c:pt idx="14">
                    <c:v>2.0176916081719943E-2</c:v>
                  </c:pt>
                  <c:pt idx="15">
                    <c:v>5.8782749274960688E-3</c:v>
                  </c:pt>
                  <c:pt idx="16">
                    <c:v>2.5976304405889807E-3</c:v>
                  </c:pt>
                  <c:pt idx="17">
                    <c:v>3.8451647810415716E-3</c:v>
                  </c:pt>
                  <c:pt idx="18">
                    <c:v>3.0512450718183782E-3</c:v>
                  </c:pt>
                </c:numCache>
              </c:numRef>
            </c:plus>
            <c:minus>
              <c:numRef>
                <c:f>'Growth curves'!$T$28:$T$46</c:f>
                <c:numCache>
                  <c:formatCode>General</c:formatCode>
                  <c:ptCount val="19"/>
                  <c:pt idx="1">
                    <c:v>1.3349487511420427E-2</c:v>
                  </c:pt>
                  <c:pt idx="2">
                    <c:v>6.7612081588346182E-2</c:v>
                  </c:pt>
                  <c:pt idx="3">
                    <c:v>1.8659414636497097E-2</c:v>
                  </c:pt>
                  <c:pt idx="4">
                    <c:v>6.5263712668788623E-2</c:v>
                  </c:pt>
                  <c:pt idx="5">
                    <c:v>2.9189297309239184E-3</c:v>
                  </c:pt>
                  <c:pt idx="6">
                    <c:v>2.0372636081746904E-2</c:v>
                  </c:pt>
                  <c:pt idx="7">
                    <c:v>1.6231183028899171E-2</c:v>
                  </c:pt>
                  <c:pt idx="8">
                    <c:v>1.3655705434593273E-2</c:v>
                  </c:pt>
                  <c:pt idx="9">
                    <c:v>7.9967421175015721E-3</c:v>
                  </c:pt>
                  <c:pt idx="10">
                    <c:v>4.834343334302737E-3</c:v>
                  </c:pt>
                  <c:pt idx="11">
                    <c:v>4.6200535749416176E-3</c:v>
                  </c:pt>
                  <c:pt idx="12">
                    <c:v>5.6558890948052261E-3</c:v>
                  </c:pt>
                  <c:pt idx="13">
                    <c:v>-8.8981415333101912E-3</c:v>
                  </c:pt>
                  <c:pt idx="14">
                    <c:v>2.0176916081719943E-2</c:v>
                  </c:pt>
                  <c:pt idx="15">
                    <c:v>5.8782749274960688E-3</c:v>
                  </c:pt>
                  <c:pt idx="16">
                    <c:v>2.5976304405889807E-3</c:v>
                  </c:pt>
                  <c:pt idx="17">
                    <c:v>3.8451647810415716E-3</c:v>
                  </c:pt>
                  <c:pt idx="18">
                    <c:v>3.0512450718183782E-3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curves'!$D$28:$D$48</c:f>
              <c:numCache>
                <c:formatCode>0</c:formatCode>
                <c:ptCount val="21"/>
                <c:pt idx="0" formatCode="General">
                  <c:v>0</c:v>
                </c:pt>
                <c:pt idx="1">
                  <c:v>2.5833333333333335</c:v>
                </c:pt>
                <c:pt idx="2">
                  <c:v>6.0333333333333332</c:v>
                </c:pt>
                <c:pt idx="3">
                  <c:v>19.899999999999999</c:v>
                </c:pt>
                <c:pt idx="4">
                  <c:v>23.366666666666667</c:v>
                </c:pt>
                <c:pt idx="5">
                  <c:v>45.3</c:v>
                </c:pt>
                <c:pt idx="6">
                  <c:v>69.8</c:v>
                </c:pt>
                <c:pt idx="7">
                  <c:v>92.86666666666666</c:v>
                </c:pt>
                <c:pt idx="8">
                  <c:v>117.14999999999999</c:v>
                </c:pt>
                <c:pt idx="9">
                  <c:v>164.66666666666666</c:v>
                </c:pt>
                <c:pt idx="10">
                  <c:v>188.68333333333334</c:v>
                </c:pt>
                <c:pt idx="11">
                  <c:v>212.98333333333335</c:v>
                </c:pt>
                <c:pt idx="12">
                  <c:v>236.98333333333335</c:v>
                </c:pt>
                <c:pt idx="13">
                  <c:v>260.95000000000005</c:v>
                </c:pt>
                <c:pt idx="14">
                  <c:v>284.95000000000005</c:v>
                </c:pt>
                <c:pt idx="15">
                  <c:v>308.95000000000005</c:v>
                </c:pt>
                <c:pt idx="16">
                  <c:v>332.95000000000005</c:v>
                </c:pt>
                <c:pt idx="17">
                  <c:v>356.50000000000006</c:v>
                </c:pt>
                <c:pt idx="18">
                  <c:v>381.43333333333339</c:v>
                </c:pt>
                <c:pt idx="19">
                  <c:v>405.43333333333339</c:v>
                </c:pt>
                <c:pt idx="20">
                  <c:v>429.43333333333339</c:v>
                </c:pt>
              </c:numCache>
            </c:numRef>
          </c:xVal>
          <c:yVal>
            <c:numRef>
              <c:f>'Growth curves'!$L$28:$L$48</c:f>
              <c:numCache>
                <c:formatCode>0.000</c:formatCode>
                <c:ptCount val="21"/>
                <c:pt idx="0">
                  <c:v>0.14554120000000001</c:v>
                </c:pt>
                <c:pt idx="1">
                  <c:v>0.17062033333333337</c:v>
                </c:pt>
                <c:pt idx="2">
                  <c:v>0.18336546666666667</c:v>
                </c:pt>
                <c:pt idx="3">
                  <c:v>0.25695833333333334</c:v>
                </c:pt>
                <c:pt idx="4">
                  <c:v>0.28614880000000004</c:v>
                </c:pt>
                <c:pt idx="5">
                  <c:v>0.37700926666666668</c:v>
                </c:pt>
                <c:pt idx="6">
                  <c:v>0.51432779999999989</c:v>
                </c:pt>
                <c:pt idx="7">
                  <c:v>0.74291793333333345</c:v>
                </c:pt>
                <c:pt idx="8">
                  <c:v>0.93985079999999999</c:v>
                </c:pt>
                <c:pt idx="9">
                  <c:v>1.6017754666666668</c:v>
                </c:pt>
                <c:pt idx="10">
                  <c:v>1.8739457333333334</c:v>
                </c:pt>
                <c:pt idx="11">
                  <c:v>2.0737565333333339</c:v>
                </c:pt>
                <c:pt idx="12">
                  <c:v>2.3171474666666669</c:v>
                </c:pt>
                <c:pt idx="13">
                  <c:v>2.6789448</c:v>
                </c:pt>
                <c:pt idx="14">
                  <c:v>2.996339733333333</c:v>
                </c:pt>
                <c:pt idx="15">
                  <c:v>3.3252464000000006</c:v>
                </c:pt>
                <c:pt idx="16">
                  <c:v>3.5669928</c:v>
                </c:pt>
                <c:pt idx="17">
                  <c:v>3.8695869333333337</c:v>
                </c:pt>
                <c:pt idx="18">
                  <c:v>4.1508021333333334</c:v>
                </c:pt>
                <c:pt idx="19">
                  <c:v>4.2001381333333336</c:v>
                </c:pt>
                <c:pt idx="20">
                  <c:v>4.2165834666666662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48-FB40-A6BE-32AC4DA91626}"/>
            </c:ext>
          </c:extLst>
        </c:ser>
        <c:ser>
          <c:idx val="2"/>
          <c:order val="2"/>
          <c:tx>
            <c:strRef>
              <c:f>'Growth curves'!$B$49:$AB$49</c:f>
              <c:strCache>
                <c:ptCount val="1"/>
                <c:pt idx="0">
                  <c:v>White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1D551D"/>
              </a:solidFill>
              <a:ln w="9525">
                <a:solidFill>
                  <a:srgbClr val="1D551D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curves'!$M$52:$M$68</c:f>
                <c:numCache>
                  <c:formatCode>General</c:formatCode>
                  <c:ptCount val="17"/>
                  <c:pt idx="0">
                    <c:v>1.7920886523210245E-3</c:v>
                  </c:pt>
                  <c:pt idx="1">
                    <c:v>6.7930375130226817E-3</c:v>
                  </c:pt>
                  <c:pt idx="2">
                    <c:v>0.10777105752178782</c:v>
                  </c:pt>
                  <c:pt idx="3">
                    <c:v>1.870995482137194E-2</c:v>
                  </c:pt>
                  <c:pt idx="4">
                    <c:v>2.6174053829189921E-2</c:v>
                  </c:pt>
                  <c:pt idx="5">
                    <c:v>2.2303746504119017E-2</c:v>
                  </c:pt>
                  <c:pt idx="6">
                    <c:v>2.7881388257402096E-2</c:v>
                  </c:pt>
                  <c:pt idx="7">
                    <c:v>5.9867564000550461E-2</c:v>
                  </c:pt>
                  <c:pt idx="8">
                    <c:v>7.6848947647562324E-2</c:v>
                  </c:pt>
                  <c:pt idx="9">
                    <c:v>0.10151247500777652</c:v>
                  </c:pt>
                  <c:pt idx="10">
                    <c:v>3.2173646098493491E-2</c:v>
                  </c:pt>
                  <c:pt idx="11">
                    <c:v>1.9938907016517567E-2</c:v>
                  </c:pt>
                  <c:pt idx="12">
                    <c:v>2.8673418437136392E-2</c:v>
                  </c:pt>
                  <c:pt idx="13">
                    <c:v>8.7020524455121446E-3</c:v>
                  </c:pt>
                  <c:pt idx="14">
                    <c:v>0.23189669437551991</c:v>
                  </c:pt>
                  <c:pt idx="15">
                    <c:v>0.22670117175281157</c:v>
                  </c:pt>
                  <c:pt idx="16">
                    <c:v>9.0134830187176121E-2</c:v>
                  </c:pt>
                </c:numCache>
              </c:numRef>
            </c:plus>
            <c:minus>
              <c:numRef>
                <c:f>'Growth curves'!$M$52:$M$68</c:f>
                <c:numCache>
                  <c:formatCode>General</c:formatCode>
                  <c:ptCount val="17"/>
                  <c:pt idx="0">
                    <c:v>1.7920886523210245E-3</c:v>
                  </c:pt>
                  <c:pt idx="1">
                    <c:v>6.7930375130226817E-3</c:v>
                  </c:pt>
                  <c:pt idx="2">
                    <c:v>0.10777105752178782</c:v>
                  </c:pt>
                  <c:pt idx="3">
                    <c:v>1.870995482137194E-2</c:v>
                  </c:pt>
                  <c:pt idx="4">
                    <c:v>2.6174053829189921E-2</c:v>
                  </c:pt>
                  <c:pt idx="5">
                    <c:v>2.2303746504119017E-2</c:v>
                  </c:pt>
                  <c:pt idx="6">
                    <c:v>2.7881388257402096E-2</c:v>
                  </c:pt>
                  <c:pt idx="7">
                    <c:v>5.9867564000550461E-2</c:v>
                  </c:pt>
                  <c:pt idx="8">
                    <c:v>7.6848947647562324E-2</c:v>
                  </c:pt>
                  <c:pt idx="9">
                    <c:v>0.10151247500777652</c:v>
                  </c:pt>
                  <c:pt idx="10">
                    <c:v>3.2173646098493491E-2</c:v>
                  </c:pt>
                  <c:pt idx="11">
                    <c:v>1.9938907016517567E-2</c:v>
                  </c:pt>
                  <c:pt idx="12">
                    <c:v>2.8673418437136392E-2</c:v>
                  </c:pt>
                  <c:pt idx="13">
                    <c:v>8.7020524455121446E-3</c:v>
                  </c:pt>
                  <c:pt idx="14">
                    <c:v>0.23189669437551991</c:v>
                  </c:pt>
                  <c:pt idx="15">
                    <c:v>0.22670117175281157</c:v>
                  </c:pt>
                  <c:pt idx="16">
                    <c:v>9.0134830187176121E-2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curves'!$D$52:$D$68</c:f>
              <c:numCache>
                <c:formatCode>0</c:formatCode>
                <c:ptCount val="17"/>
                <c:pt idx="0" formatCode="General">
                  <c:v>0</c:v>
                </c:pt>
                <c:pt idx="1">
                  <c:v>23.416666666666668</c:v>
                </c:pt>
                <c:pt idx="2">
                  <c:v>95</c:v>
                </c:pt>
                <c:pt idx="3">
                  <c:v>119.33333333333333</c:v>
                </c:pt>
                <c:pt idx="4">
                  <c:v>143.08333333333331</c:v>
                </c:pt>
                <c:pt idx="5">
                  <c:v>167.91666666666666</c:v>
                </c:pt>
                <c:pt idx="6">
                  <c:v>191.41666666666666</c:v>
                </c:pt>
                <c:pt idx="7">
                  <c:v>215.08333333333331</c:v>
                </c:pt>
                <c:pt idx="8">
                  <c:v>240.74999999999997</c:v>
                </c:pt>
                <c:pt idx="9">
                  <c:v>263.75</c:v>
                </c:pt>
                <c:pt idx="10">
                  <c:v>287.76666666666665</c:v>
                </c:pt>
                <c:pt idx="11">
                  <c:v>312.06666666666666</c:v>
                </c:pt>
                <c:pt idx="12">
                  <c:v>336.06666666666666</c:v>
                </c:pt>
                <c:pt idx="13">
                  <c:v>360.0333333333333</c:v>
                </c:pt>
                <c:pt idx="14">
                  <c:v>384.0333333333333</c:v>
                </c:pt>
                <c:pt idx="15">
                  <c:v>408.0333333333333</c:v>
                </c:pt>
                <c:pt idx="16">
                  <c:v>432.0333333333333</c:v>
                </c:pt>
              </c:numCache>
            </c:numRef>
          </c:xVal>
          <c:yVal>
            <c:numRef>
              <c:f>'Growth curves'!$L$52:$L$68</c:f>
              <c:numCache>
                <c:formatCode>0.000</c:formatCode>
                <c:ptCount val="17"/>
                <c:pt idx="0">
                  <c:v>0.13156266666666666</c:v>
                </c:pt>
                <c:pt idx="1">
                  <c:v>0.24421320000000002</c:v>
                </c:pt>
                <c:pt idx="2">
                  <c:v>0.78978713333333328</c:v>
                </c:pt>
                <c:pt idx="3">
                  <c:v>0.90367106666666663</c:v>
                </c:pt>
                <c:pt idx="4">
                  <c:v>1.1359614</c:v>
                </c:pt>
                <c:pt idx="5">
                  <c:v>1.4196434</c:v>
                </c:pt>
                <c:pt idx="6">
                  <c:v>1.5972530000000003</c:v>
                </c:pt>
                <c:pt idx="7">
                  <c:v>1.8575004000000002</c:v>
                </c:pt>
                <c:pt idx="8">
                  <c:v>2.1666726666666665</c:v>
                </c:pt>
                <c:pt idx="9">
                  <c:v>2.5144914666666671</c:v>
                </c:pt>
                <c:pt idx="10">
                  <c:v>2.7636382666666663</c:v>
                </c:pt>
                <c:pt idx="11">
                  <c:v>2.9305584000000002</c:v>
                </c:pt>
                <c:pt idx="12">
                  <c:v>3.0423866666666668</c:v>
                </c:pt>
                <c:pt idx="13">
                  <c:v>3.2726213333333334</c:v>
                </c:pt>
                <c:pt idx="14">
                  <c:v>3.3745824</c:v>
                </c:pt>
                <c:pt idx="15">
                  <c:v>3.3910277333333334</c:v>
                </c:pt>
                <c:pt idx="16">
                  <c:v>3.4074730666666668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E48-FB40-A6BE-32AC4DA91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7550368"/>
        <c:axId val="1542574832"/>
      </c:scatterChart>
      <c:valAx>
        <c:axId val="1157550368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2574832"/>
        <c:crosses val="autoZero"/>
        <c:crossBetween val="midCat"/>
        <c:majorUnit val="50"/>
      </c:valAx>
      <c:valAx>
        <c:axId val="1542574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Biomass concentration (g.L</a:t>
                </a:r>
                <a:r>
                  <a:rPr lang="en-GB" baseline="30000"/>
                  <a:t>-1</a:t>
                </a:r>
                <a:r>
                  <a:rPr lang="en-GB"/>
                  <a:t>)</a:t>
                </a:r>
              </a:p>
            </c:rich>
          </c:tx>
          <c:layout>
            <c:manualLayout>
              <c:xMode val="edge"/>
              <c:yMode val="edge"/>
              <c:x val="1.9444444444444445E-2"/>
              <c:y val="0.130046296296296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7550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'C-phycocyanin'!$B$2:$V$2</c:f>
              <c:strCache>
                <c:ptCount val="1"/>
                <c:pt idx="0">
                  <c:v>Blue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'C-phycocyanin'!$Z$5:$Z$22</c:f>
                <c:numCache>
                  <c:formatCode>General</c:formatCode>
                  <c:ptCount val="18"/>
                  <c:pt idx="0">
                    <c:v>5.0625719402312965</c:v>
                  </c:pt>
                  <c:pt idx="1">
                    <c:v>6.6288587836407382</c:v>
                  </c:pt>
                  <c:pt idx="2">
                    <c:v>5.8326376948578611</c:v>
                  </c:pt>
                  <c:pt idx="3">
                    <c:v>12.086099042707852</c:v>
                  </c:pt>
                  <c:pt idx="4">
                    <c:v>10.454630248938562</c:v>
                  </c:pt>
                  <c:pt idx="5">
                    <c:v>5.4493221484426515</c:v>
                  </c:pt>
                  <c:pt idx="6">
                    <c:v>10.311087760969311</c:v>
                  </c:pt>
                  <c:pt idx="7">
                    <c:v>7.6686073629376779</c:v>
                  </c:pt>
                  <c:pt idx="8">
                    <c:v>4.8255827906571911</c:v>
                  </c:pt>
                  <c:pt idx="9">
                    <c:v>6.5482677971834953</c:v>
                  </c:pt>
                  <c:pt idx="10">
                    <c:v>11.282300055422791</c:v>
                  </c:pt>
                  <c:pt idx="11">
                    <c:v>6.1185715843932265</c:v>
                  </c:pt>
                  <c:pt idx="12">
                    <c:v>24.357316317181493</c:v>
                  </c:pt>
                  <c:pt idx="13">
                    <c:v>3.323633322692273</c:v>
                  </c:pt>
                  <c:pt idx="14">
                    <c:v>3.6657546039235953</c:v>
                  </c:pt>
                  <c:pt idx="15">
                    <c:v>2.2819952371073726</c:v>
                  </c:pt>
                </c:numCache>
              </c:numRef>
            </c:plus>
            <c:minus>
              <c:numRef>
                <c:f>'C-phycocyanin'!$Z$5:$Z$22</c:f>
                <c:numCache>
                  <c:formatCode>General</c:formatCode>
                  <c:ptCount val="18"/>
                  <c:pt idx="0">
                    <c:v>5.0625719402312965</c:v>
                  </c:pt>
                  <c:pt idx="1">
                    <c:v>6.6288587836407382</c:v>
                  </c:pt>
                  <c:pt idx="2">
                    <c:v>5.8326376948578611</c:v>
                  </c:pt>
                  <c:pt idx="3">
                    <c:v>12.086099042707852</c:v>
                  </c:pt>
                  <c:pt idx="4">
                    <c:v>10.454630248938562</c:v>
                  </c:pt>
                  <c:pt idx="5">
                    <c:v>5.4493221484426515</c:v>
                  </c:pt>
                  <c:pt idx="6">
                    <c:v>10.311087760969311</c:v>
                  </c:pt>
                  <c:pt idx="7">
                    <c:v>7.6686073629376779</c:v>
                  </c:pt>
                  <c:pt idx="8">
                    <c:v>4.8255827906571911</c:v>
                  </c:pt>
                  <c:pt idx="9">
                    <c:v>6.5482677971834953</c:v>
                  </c:pt>
                  <c:pt idx="10">
                    <c:v>11.282300055422791</c:v>
                  </c:pt>
                  <c:pt idx="11">
                    <c:v>6.1185715843932265</c:v>
                  </c:pt>
                  <c:pt idx="12">
                    <c:v>24.357316317181493</c:v>
                  </c:pt>
                  <c:pt idx="13">
                    <c:v>3.323633322692273</c:v>
                  </c:pt>
                  <c:pt idx="14">
                    <c:v>3.6657546039235953</c:v>
                  </c:pt>
                  <c:pt idx="15">
                    <c:v>2.2819952371073726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'C-phycocyanin'!$X$5:$X$22</c:f>
              <c:numCache>
                <c:formatCode>0</c:formatCode>
                <c:ptCount val="18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'C-phycocyanin'!$Y$5:$Y$22</c:f>
              <c:numCache>
                <c:formatCode>0.00</c:formatCode>
                <c:ptCount val="18"/>
                <c:pt idx="0">
                  <c:v>46.578320309636524</c:v>
                </c:pt>
                <c:pt idx="1">
                  <c:v>61.521963550612526</c:v>
                </c:pt>
                <c:pt idx="2">
                  <c:v>60.33388318597801</c:v>
                </c:pt>
                <c:pt idx="3">
                  <c:v>77.431012265738374</c:v>
                </c:pt>
                <c:pt idx="4">
                  <c:v>69.025035502555696</c:v>
                </c:pt>
                <c:pt idx="5">
                  <c:v>78.344766865412154</c:v>
                </c:pt>
                <c:pt idx="6">
                  <c:v>87.48587344742235</c:v>
                </c:pt>
                <c:pt idx="7">
                  <c:v>79.392540515184464</c:v>
                </c:pt>
                <c:pt idx="8">
                  <c:v>80.356754100000003</c:v>
                </c:pt>
                <c:pt idx="9">
                  <c:v>85.887627058512194</c:v>
                </c:pt>
                <c:pt idx="10">
                  <c:v>79.645334000000005</c:v>
                </c:pt>
                <c:pt idx="11">
                  <c:v>72.576432670000003</c:v>
                </c:pt>
                <c:pt idx="12">
                  <c:v>79.756428999999997</c:v>
                </c:pt>
                <c:pt idx="13">
                  <c:v>88.467557284036204</c:v>
                </c:pt>
                <c:pt idx="14">
                  <c:v>81.385085122557328</c:v>
                </c:pt>
                <c:pt idx="15">
                  <c:v>82.647876800000006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D6-FB4F-81EA-C65D8BFE684D}"/>
            </c:ext>
          </c:extLst>
        </c:ser>
        <c:ser>
          <c:idx val="1"/>
          <c:order val="1"/>
          <c:tx>
            <c:strRef>
              <c:f>'C-phycocyanin'!$B$53:$V$53</c:f>
              <c:strCache>
                <c:ptCount val="1"/>
                <c:pt idx="0">
                  <c:v>Red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'C-phycocyanin'!$Z$55:$Z$71</c:f>
                <c:numCache>
                  <c:formatCode>General</c:formatCode>
                  <c:ptCount val="17"/>
                  <c:pt idx="0">
                    <c:v>5.635085063823154</c:v>
                  </c:pt>
                  <c:pt idx="1">
                    <c:v>2.5449630585579315</c:v>
                  </c:pt>
                  <c:pt idx="2">
                    <c:v>10.71305579231162</c:v>
                  </c:pt>
                  <c:pt idx="3">
                    <c:v>6.897939886503103</c:v>
                  </c:pt>
                  <c:pt idx="4">
                    <c:v>5.7075066589869916</c:v>
                  </c:pt>
                  <c:pt idx="5">
                    <c:v>11.399632127536142</c:v>
                  </c:pt>
                  <c:pt idx="6">
                    <c:v>6.5025599218284835</c:v>
                  </c:pt>
                  <c:pt idx="7">
                    <c:v>2.7395171077797364</c:v>
                  </c:pt>
                  <c:pt idx="8">
                    <c:v>6.1826282472687248</c:v>
                  </c:pt>
                  <c:pt idx="9">
                    <c:v>10.455557634110161</c:v>
                  </c:pt>
                  <c:pt idx="10">
                    <c:v>0.41845672665661171</c:v>
                  </c:pt>
                  <c:pt idx="11">
                    <c:v>3.8301979641178878</c:v>
                  </c:pt>
                  <c:pt idx="12">
                    <c:v>3.4254557798169745</c:v>
                  </c:pt>
                  <c:pt idx="13">
                    <c:v>7.5133629483793918</c:v>
                  </c:pt>
                  <c:pt idx="14">
                    <c:v>6.8715806328807147</c:v>
                  </c:pt>
                  <c:pt idx="15">
                    <c:v>5.043741870662986</c:v>
                  </c:pt>
                </c:numCache>
              </c:numRef>
            </c:plus>
            <c:minus>
              <c:numRef>
                <c:f>'C-phycocyanin'!$Z$55:$Z$71</c:f>
                <c:numCache>
                  <c:formatCode>General</c:formatCode>
                  <c:ptCount val="17"/>
                  <c:pt idx="0">
                    <c:v>5.635085063823154</c:v>
                  </c:pt>
                  <c:pt idx="1">
                    <c:v>2.5449630585579315</c:v>
                  </c:pt>
                  <c:pt idx="2">
                    <c:v>10.71305579231162</c:v>
                  </c:pt>
                  <c:pt idx="3">
                    <c:v>6.897939886503103</c:v>
                  </c:pt>
                  <c:pt idx="4">
                    <c:v>5.7075066589869916</c:v>
                  </c:pt>
                  <c:pt idx="5">
                    <c:v>11.399632127536142</c:v>
                  </c:pt>
                  <c:pt idx="6">
                    <c:v>6.5025599218284835</c:v>
                  </c:pt>
                  <c:pt idx="7">
                    <c:v>2.7395171077797364</c:v>
                  </c:pt>
                  <c:pt idx="8">
                    <c:v>6.1826282472687248</c:v>
                  </c:pt>
                  <c:pt idx="9">
                    <c:v>10.455557634110161</c:v>
                  </c:pt>
                  <c:pt idx="10">
                    <c:v>0.41845672665661171</c:v>
                  </c:pt>
                  <c:pt idx="11">
                    <c:v>3.8301979641178878</c:v>
                  </c:pt>
                  <c:pt idx="12">
                    <c:v>3.4254557798169745</c:v>
                  </c:pt>
                  <c:pt idx="13">
                    <c:v>7.5133629483793918</c:v>
                  </c:pt>
                  <c:pt idx="14">
                    <c:v>6.8715806328807147</c:v>
                  </c:pt>
                  <c:pt idx="15">
                    <c:v>5.043741870662986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'C-phycocyanin'!$X$55:$X$71</c:f>
              <c:numCache>
                <c:formatCode>0</c:formatCode>
                <c:ptCount val="17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'C-phycocyanin'!$Y$55:$Y$71</c:f>
              <c:numCache>
                <c:formatCode>0.00</c:formatCode>
                <c:ptCount val="17"/>
                <c:pt idx="0">
                  <c:v>46.604506158297852</c:v>
                </c:pt>
                <c:pt idx="1">
                  <c:v>35.074532074288435</c:v>
                </c:pt>
                <c:pt idx="2">
                  <c:v>55.150346505609157</c:v>
                </c:pt>
                <c:pt idx="3">
                  <c:v>68.285753551897059</c:v>
                </c:pt>
                <c:pt idx="4">
                  <c:v>82.280457853534145</c:v>
                </c:pt>
                <c:pt idx="5">
                  <c:v>74.412672827625954</c:v>
                </c:pt>
                <c:pt idx="6">
                  <c:v>69.886238881240843</c:v>
                </c:pt>
                <c:pt idx="7">
                  <c:v>69.913381341989577</c:v>
                </c:pt>
                <c:pt idx="8">
                  <c:v>76.9875258</c:v>
                </c:pt>
                <c:pt idx="9">
                  <c:v>81.169239543444391</c:v>
                </c:pt>
                <c:pt idx="10">
                  <c:v>68.865333500000006</c:v>
                </c:pt>
                <c:pt idx="11">
                  <c:v>71.867553240000007</c:v>
                </c:pt>
                <c:pt idx="12">
                  <c:v>77.866753299999999</c:v>
                </c:pt>
                <c:pt idx="13">
                  <c:v>76.839336109853903</c:v>
                </c:pt>
                <c:pt idx="14">
                  <c:v>72.989915068337098</c:v>
                </c:pt>
                <c:pt idx="15">
                  <c:v>73.765764300000001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D6-FB4F-81EA-C65D8BFE684D}"/>
            </c:ext>
          </c:extLst>
        </c:ser>
        <c:ser>
          <c:idx val="2"/>
          <c:order val="2"/>
          <c:tx>
            <c:strRef>
              <c:f>'C-phycocyanin'!$B$104:$V$104</c:f>
              <c:strCache>
                <c:ptCount val="1"/>
                <c:pt idx="0">
                  <c:v>White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'C-phycocyanin'!$Z$106:$Z$122</c:f>
                <c:numCache>
                  <c:formatCode>General</c:formatCode>
                  <c:ptCount val="17"/>
                  <c:pt idx="0">
                    <c:v>4.7887860770958861</c:v>
                  </c:pt>
                  <c:pt idx="1">
                    <c:v>7.6676820152821294</c:v>
                  </c:pt>
                  <c:pt idx="2">
                    <c:v>11.406675804585708</c:v>
                  </c:pt>
                  <c:pt idx="3">
                    <c:v>12.678806925633978</c:v>
                  </c:pt>
                  <c:pt idx="4">
                    <c:v>1.0033368054532246</c:v>
                  </c:pt>
                  <c:pt idx="5">
                    <c:v>12.93124090841853</c:v>
                  </c:pt>
                  <c:pt idx="6">
                    <c:v>2.9698829410066341</c:v>
                  </c:pt>
                  <c:pt idx="7">
                    <c:v>2.6776611559050436</c:v>
                  </c:pt>
                  <c:pt idx="8">
                    <c:v>1.0066346650857698</c:v>
                  </c:pt>
                  <c:pt idx="9">
                    <c:v>2.4034913327320138</c:v>
                  </c:pt>
                  <c:pt idx="10">
                    <c:v>2.8139801250946128</c:v>
                  </c:pt>
                  <c:pt idx="11">
                    <c:v>3.1119404999374845</c:v>
                  </c:pt>
                  <c:pt idx="12">
                    <c:v>1.8081692854910481</c:v>
                  </c:pt>
                  <c:pt idx="13">
                    <c:v>3.4417695354524187</c:v>
                  </c:pt>
                  <c:pt idx="14">
                    <c:v>3.495366597707279</c:v>
                  </c:pt>
                </c:numCache>
              </c:numRef>
            </c:plus>
            <c:minus>
              <c:numRef>
                <c:f>'C-phycocyanin'!$Z$106:$Z$122</c:f>
                <c:numCache>
                  <c:formatCode>General</c:formatCode>
                  <c:ptCount val="17"/>
                  <c:pt idx="0">
                    <c:v>4.7887860770958861</c:v>
                  </c:pt>
                  <c:pt idx="1">
                    <c:v>7.6676820152821294</c:v>
                  </c:pt>
                  <c:pt idx="2">
                    <c:v>11.406675804585708</c:v>
                  </c:pt>
                  <c:pt idx="3">
                    <c:v>12.678806925633978</c:v>
                  </c:pt>
                  <c:pt idx="4">
                    <c:v>1.0033368054532246</c:v>
                  </c:pt>
                  <c:pt idx="5">
                    <c:v>12.93124090841853</c:v>
                  </c:pt>
                  <c:pt idx="6">
                    <c:v>2.9698829410066341</c:v>
                  </c:pt>
                  <c:pt idx="7">
                    <c:v>2.6776611559050436</c:v>
                  </c:pt>
                  <c:pt idx="8">
                    <c:v>1.0066346650857698</c:v>
                  </c:pt>
                  <c:pt idx="9">
                    <c:v>2.4034913327320138</c:v>
                  </c:pt>
                  <c:pt idx="10">
                    <c:v>2.8139801250946128</c:v>
                  </c:pt>
                  <c:pt idx="11">
                    <c:v>3.1119404999374845</c:v>
                  </c:pt>
                  <c:pt idx="12">
                    <c:v>1.8081692854910481</c:v>
                  </c:pt>
                  <c:pt idx="13">
                    <c:v>3.4417695354524187</c:v>
                  </c:pt>
                  <c:pt idx="14">
                    <c:v>3.495366597707279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'C-phycocyanin'!$X$106:$X$122</c:f>
              <c:numCache>
                <c:formatCode>0</c:formatCode>
                <c:ptCount val="17"/>
                <c:pt idx="0">
                  <c:v>23.416666666666668</c:v>
                </c:pt>
                <c:pt idx="1">
                  <c:v>95</c:v>
                </c:pt>
                <c:pt idx="2">
                  <c:v>119.33333333333333</c:v>
                </c:pt>
                <c:pt idx="3">
                  <c:v>143.08333333333331</c:v>
                </c:pt>
                <c:pt idx="4">
                  <c:v>167.91666666666666</c:v>
                </c:pt>
                <c:pt idx="5">
                  <c:v>191.41666666666666</c:v>
                </c:pt>
                <c:pt idx="6">
                  <c:v>215.08333333333331</c:v>
                </c:pt>
                <c:pt idx="7">
                  <c:v>240.74999999999997</c:v>
                </c:pt>
                <c:pt idx="8">
                  <c:v>263.75</c:v>
                </c:pt>
                <c:pt idx="9">
                  <c:v>287.76666666666665</c:v>
                </c:pt>
                <c:pt idx="10">
                  <c:v>312.06666666666666</c:v>
                </c:pt>
                <c:pt idx="11">
                  <c:v>336.06666666666666</c:v>
                </c:pt>
                <c:pt idx="12">
                  <c:v>360.0333333333333</c:v>
                </c:pt>
                <c:pt idx="13">
                  <c:v>384.0333333333333</c:v>
                </c:pt>
                <c:pt idx="14">
                  <c:v>408.0333333333333</c:v>
                </c:pt>
              </c:numCache>
            </c:numRef>
          </c:xVal>
          <c:yVal>
            <c:numRef>
              <c:f>'C-phycocyanin'!$Y$106:$Y$122</c:f>
              <c:numCache>
                <c:formatCode>0.00</c:formatCode>
                <c:ptCount val="17"/>
                <c:pt idx="0">
                  <c:v>45.092707896066486</c:v>
                </c:pt>
                <c:pt idx="1">
                  <c:v>43.083289002712903</c:v>
                </c:pt>
                <c:pt idx="2">
                  <c:v>48.674567799999998</c:v>
                </c:pt>
                <c:pt idx="3">
                  <c:v>48.674567799999998</c:v>
                </c:pt>
                <c:pt idx="4">
                  <c:v>74.75200579596428</c:v>
                </c:pt>
                <c:pt idx="5">
                  <c:v>66.324702716590593</c:v>
                </c:pt>
                <c:pt idx="6" formatCode="0.000">
                  <c:v>65.647679999999994</c:v>
                </c:pt>
                <c:pt idx="7">
                  <c:v>65.647679999999994</c:v>
                </c:pt>
                <c:pt idx="8">
                  <c:v>74.493603411399903</c:v>
                </c:pt>
                <c:pt idx="9">
                  <c:v>73.533722181445896</c:v>
                </c:pt>
                <c:pt idx="10">
                  <c:v>72.634572835904606</c:v>
                </c:pt>
                <c:pt idx="11">
                  <c:v>71.647679999999994</c:v>
                </c:pt>
                <c:pt idx="12">
                  <c:v>73.647563426000005</c:v>
                </c:pt>
                <c:pt idx="13">
                  <c:v>71.547578000000001</c:v>
                </c:pt>
                <c:pt idx="14">
                  <c:v>70.534243200000006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D6-FB4F-81EA-C65D8BFE6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087719720131947E-2"/>
              <c:y val="7.198366777583979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'C-phycocyanin'!$B$2:$V$2</c:f>
              <c:strCache>
                <c:ptCount val="1"/>
                <c:pt idx="0">
                  <c:v>Blue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E1E8FF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'C-phycocyanin'!$AB$5:$AB$21</c:f>
                <c:numCache>
                  <c:formatCode>General</c:formatCode>
                  <c:ptCount val="17"/>
                  <c:pt idx="0">
                    <c:v>1.5642272302121585</c:v>
                  </c:pt>
                  <c:pt idx="1">
                    <c:v>0.90957828898181814</c:v>
                  </c:pt>
                  <c:pt idx="2">
                    <c:v>0.95207500737596762</c:v>
                  </c:pt>
                  <c:pt idx="3">
                    <c:v>11.118540691127315</c:v>
                  </c:pt>
                  <c:pt idx="4">
                    <c:v>13.291460755204652</c:v>
                  </c:pt>
                  <c:pt idx="5">
                    <c:v>9.2847403164857791</c:v>
                  </c:pt>
                  <c:pt idx="6">
                    <c:v>15.801160563928926</c:v>
                  </c:pt>
                  <c:pt idx="7">
                    <c:v>12.027547340925175</c:v>
                  </c:pt>
                  <c:pt idx="8">
                    <c:v>6.0137736704625873</c:v>
                  </c:pt>
                  <c:pt idx="9">
                    <c:v>4.65535072096558</c:v>
                  </c:pt>
                  <c:pt idx="10">
                    <c:v>21.552555140594535</c:v>
                  </c:pt>
                  <c:pt idx="11">
                    <c:v>8.6508681331228914</c:v>
                  </c:pt>
                  <c:pt idx="12">
                    <c:v>43.105110281189049</c:v>
                  </c:pt>
                  <c:pt idx="13">
                    <c:v>2.800539860820995</c:v>
                  </c:pt>
                  <c:pt idx="14">
                    <c:v>3.8321487131942211</c:v>
                  </c:pt>
                  <c:pt idx="15">
                    <c:v>4.4808637773135889</c:v>
                  </c:pt>
                </c:numCache>
              </c:numRef>
            </c:plus>
            <c:minus>
              <c:numRef>
                <c:f>'C-phycocyanin'!$AB$5:$AB$21</c:f>
                <c:numCache>
                  <c:formatCode>General</c:formatCode>
                  <c:ptCount val="17"/>
                  <c:pt idx="0">
                    <c:v>1.5642272302121585</c:v>
                  </c:pt>
                  <c:pt idx="1">
                    <c:v>0.90957828898181814</c:v>
                  </c:pt>
                  <c:pt idx="2">
                    <c:v>0.95207500737596762</c:v>
                  </c:pt>
                  <c:pt idx="3">
                    <c:v>11.118540691127315</c:v>
                  </c:pt>
                  <c:pt idx="4">
                    <c:v>13.291460755204652</c:v>
                  </c:pt>
                  <c:pt idx="5">
                    <c:v>9.2847403164857791</c:v>
                  </c:pt>
                  <c:pt idx="6">
                    <c:v>15.801160563928926</c:v>
                  </c:pt>
                  <c:pt idx="7">
                    <c:v>12.027547340925175</c:v>
                  </c:pt>
                  <c:pt idx="8">
                    <c:v>6.0137736704625873</c:v>
                  </c:pt>
                  <c:pt idx="9">
                    <c:v>4.65535072096558</c:v>
                  </c:pt>
                  <c:pt idx="10">
                    <c:v>21.552555140594535</c:v>
                  </c:pt>
                  <c:pt idx="11">
                    <c:v>8.6508681331228914</c:v>
                  </c:pt>
                  <c:pt idx="12">
                    <c:v>43.105110281189049</c:v>
                  </c:pt>
                  <c:pt idx="13">
                    <c:v>2.800539860820995</c:v>
                  </c:pt>
                  <c:pt idx="14">
                    <c:v>3.8321487131942211</c:v>
                  </c:pt>
                  <c:pt idx="15">
                    <c:v>4.4808637773135889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'C-phycocyanin'!$X$5:$X$21</c:f>
              <c:numCache>
                <c:formatCode>0</c:formatCode>
                <c:ptCount val="17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'C-phycocyanin'!$AA$5:$AA$21</c:f>
              <c:numCache>
                <c:formatCode>0.00</c:formatCode>
                <c:ptCount val="17"/>
                <c:pt idx="0">
                  <c:v>10.336034575904918</c:v>
                </c:pt>
                <c:pt idx="1">
                  <c:v>19.605078336034577</c:v>
                </c:pt>
                <c:pt idx="2">
                  <c:v>29.834683954619123</c:v>
                </c:pt>
                <c:pt idx="3">
                  <c:v>52.850290437601302</c:v>
                </c:pt>
                <c:pt idx="4">
                  <c:v>55.448359913560239</c:v>
                </c:pt>
                <c:pt idx="5">
                  <c:v>83.106238789843331</c:v>
                </c:pt>
                <c:pt idx="6">
                  <c:v>74.341368125337993</c:v>
                </c:pt>
                <c:pt idx="7">
                  <c:v>96.182603997838996</c:v>
                </c:pt>
                <c:pt idx="8">
                  <c:v>125.757642</c:v>
                </c:pt>
                <c:pt idx="9">
                  <c:v>131.83576445164778</c:v>
                </c:pt>
                <c:pt idx="10">
                  <c:v>154.876431</c:v>
                </c:pt>
                <c:pt idx="11">
                  <c:v>164.863428</c:v>
                </c:pt>
                <c:pt idx="12">
                  <c:v>169.89675643000001</c:v>
                </c:pt>
                <c:pt idx="13">
                  <c:v>173.71758508914101</c:v>
                </c:pt>
                <c:pt idx="14">
                  <c:v>179.13128038897901</c:v>
                </c:pt>
                <c:pt idx="15">
                  <c:v>184.66971989255799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EA-CC47-93C3-ED07B58E1BF8}"/>
            </c:ext>
          </c:extLst>
        </c:ser>
        <c:ser>
          <c:idx val="1"/>
          <c:order val="1"/>
          <c:tx>
            <c:strRef>
              <c:f>'C-phycocyanin'!$B$53:$V$53</c:f>
              <c:strCache>
                <c:ptCount val="1"/>
                <c:pt idx="0">
                  <c:v>Red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'C-phycocyanin'!$AB$55:$AB$71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3.5030007370944651</c:v>
                  </c:pt>
                  <c:pt idx="2">
                    <c:v>6.3649499257173154</c:v>
                  </c:pt>
                  <c:pt idx="3">
                    <c:v>4.631767258283535</c:v>
                  </c:pt>
                  <c:pt idx="4">
                    <c:v>5.2963085128280927</c:v>
                  </c:pt>
                  <c:pt idx="5">
                    <c:v>4.5487771299491877</c:v>
                  </c:pt>
                  <c:pt idx="6">
                    <c:v>8.0566681027764915</c:v>
                  </c:pt>
                  <c:pt idx="7">
                    <c:v>21.003468993996368</c:v>
                  </c:pt>
                  <c:pt idx="8">
                    <c:v>13.064161022825482</c:v>
                  </c:pt>
                  <c:pt idx="9">
                    <c:v>40.702577029079997</c:v>
                  </c:pt>
                  <c:pt idx="10">
                    <c:v>7.3759966433422894</c:v>
                  </c:pt>
                  <c:pt idx="11">
                    <c:v>13.064161022825482</c:v>
                  </c:pt>
                  <c:pt idx="12">
                    <c:v>13.064161022825482</c:v>
                  </c:pt>
                  <c:pt idx="13">
                    <c:v>6.6001243069319733</c:v>
                  </c:pt>
                  <c:pt idx="14">
                    <c:v>5.0584411354882457</c:v>
                  </c:pt>
                  <c:pt idx="15">
                    <c:v>21.773601704709211</c:v>
                  </c:pt>
                </c:numCache>
              </c:numRef>
            </c:plus>
            <c:minus>
              <c:numRef>
                <c:f>'C-phycocyanin'!$AB$55:$AB$71</c:f>
                <c:numCache>
                  <c:formatCode>General</c:formatCode>
                  <c:ptCount val="17"/>
                  <c:pt idx="0">
                    <c:v>1.6104016214440815</c:v>
                  </c:pt>
                  <c:pt idx="1">
                    <c:v>3.5030007370944651</c:v>
                  </c:pt>
                  <c:pt idx="2">
                    <c:v>6.3649499257173154</c:v>
                  </c:pt>
                  <c:pt idx="3">
                    <c:v>4.631767258283535</c:v>
                  </c:pt>
                  <c:pt idx="4">
                    <c:v>5.2963085128280927</c:v>
                  </c:pt>
                  <c:pt idx="5">
                    <c:v>4.5487771299491877</c:v>
                  </c:pt>
                  <c:pt idx="6">
                    <c:v>8.0566681027764915</c:v>
                  </c:pt>
                  <c:pt idx="7">
                    <c:v>21.003468993996368</c:v>
                  </c:pt>
                  <c:pt idx="8">
                    <c:v>13.064161022825482</c:v>
                  </c:pt>
                  <c:pt idx="9">
                    <c:v>40.702577029079997</c:v>
                  </c:pt>
                  <c:pt idx="10">
                    <c:v>7.3759966433422894</c:v>
                  </c:pt>
                  <c:pt idx="11">
                    <c:v>13.064161022825482</c:v>
                  </c:pt>
                  <c:pt idx="12">
                    <c:v>13.064161022825482</c:v>
                  </c:pt>
                  <c:pt idx="13">
                    <c:v>6.6001243069319733</c:v>
                  </c:pt>
                  <c:pt idx="14">
                    <c:v>5.0584411354882457</c:v>
                  </c:pt>
                  <c:pt idx="15">
                    <c:v>21.773601704709211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'C-phycocyanin'!$X$55:$X$71</c:f>
              <c:numCache>
                <c:formatCode>0</c:formatCode>
                <c:ptCount val="17"/>
                <c:pt idx="0">
                  <c:v>19.899999999999999</c:v>
                </c:pt>
                <c:pt idx="1">
                  <c:v>45.3</c:v>
                </c:pt>
                <c:pt idx="2">
                  <c:v>69.8</c:v>
                </c:pt>
                <c:pt idx="3">
                  <c:v>92.86666666666666</c:v>
                </c:pt>
                <c:pt idx="4">
                  <c:v>117.14999999999999</c:v>
                </c:pt>
                <c:pt idx="5">
                  <c:v>164.66666666666666</c:v>
                </c:pt>
                <c:pt idx="6">
                  <c:v>188.68333333333334</c:v>
                </c:pt>
                <c:pt idx="7">
                  <c:v>212.98333333333335</c:v>
                </c:pt>
                <c:pt idx="8">
                  <c:v>236.98333333333335</c:v>
                </c:pt>
                <c:pt idx="9">
                  <c:v>260.95000000000005</c:v>
                </c:pt>
                <c:pt idx="10">
                  <c:v>284.95000000000005</c:v>
                </c:pt>
                <c:pt idx="11">
                  <c:v>308.95000000000005</c:v>
                </c:pt>
                <c:pt idx="12">
                  <c:v>332.95000000000005</c:v>
                </c:pt>
                <c:pt idx="13">
                  <c:v>356.50000000000006</c:v>
                </c:pt>
                <c:pt idx="14">
                  <c:v>381.43333333333339</c:v>
                </c:pt>
                <c:pt idx="15">
                  <c:v>405.43333333333339</c:v>
                </c:pt>
              </c:numCache>
            </c:numRef>
          </c:xVal>
          <c:yVal>
            <c:numRef>
              <c:f>'C-phycocyanin'!$AA$55:$AA$71</c:f>
              <c:numCache>
                <c:formatCode>0.00</c:formatCode>
                <c:ptCount val="17"/>
                <c:pt idx="0">
                  <c:v>14.212317666126419</c:v>
                </c:pt>
                <c:pt idx="1">
                  <c:v>16.794705564559699</c:v>
                </c:pt>
                <c:pt idx="2">
                  <c:v>28.358725013506213</c:v>
                </c:pt>
                <c:pt idx="3">
                  <c:v>49.801773419773106</c:v>
                </c:pt>
                <c:pt idx="4">
                  <c:v>75.15410718530525</c:v>
                </c:pt>
                <c:pt idx="5">
                  <c:v>88.516940032414922</c:v>
                </c:pt>
                <c:pt idx="6">
                  <c:v>91.960598163155055</c:v>
                </c:pt>
                <c:pt idx="7">
                  <c:v>110.83522420313345</c:v>
                </c:pt>
                <c:pt idx="8">
                  <c:v>135.45326</c:v>
                </c:pt>
                <c:pt idx="9">
                  <c:v>158.8653156</c:v>
                </c:pt>
                <c:pt idx="10">
                  <c:v>173.6757633</c:v>
                </c:pt>
                <c:pt idx="11">
                  <c:v>199.4489465153971</c:v>
                </c:pt>
                <c:pt idx="12">
                  <c:v>211.67553559999999</c:v>
                </c:pt>
                <c:pt idx="13">
                  <c:v>252.8765453</c:v>
                </c:pt>
                <c:pt idx="14">
                  <c:v>261.75632669999999</c:v>
                </c:pt>
                <c:pt idx="15">
                  <c:v>256.97664350000002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EA-CC47-93C3-ED07B58E1BF8}"/>
            </c:ext>
          </c:extLst>
        </c:ser>
        <c:ser>
          <c:idx val="2"/>
          <c:order val="2"/>
          <c:tx>
            <c:strRef>
              <c:f>'C-phycocyanin'!$B$104:$V$104</c:f>
              <c:strCache>
                <c:ptCount val="1"/>
                <c:pt idx="0">
                  <c:v>White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002060"/>
              </a:solidFill>
              <a:ln w="9525">
                <a:solidFill>
                  <a:srgbClr val="00206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'C-phycocyanin'!$AB$106:$AB$122</c:f>
                <c:numCache>
                  <c:formatCode>General</c:formatCode>
                  <c:ptCount val="17"/>
                  <c:pt idx="0">
                    <c:v>0.90062284391425096</c:v>
                  </c:pt>
                  <c:pt idx="1">
                    <c:v>25.985773455789666</c:v>
                  </c:pt>
                  <c:pt idx="2">
                    <c:v>47.426568000000003</c:v>
                  </c:pt>
                  <c:pt idx="3">
                    <c:v>14.768807700381389</c:v>
                  </c:pt>
                  <c:pt idx="4">
                    <c:v>2.7625227283331277</c:v>
                  </c:pt>
                  <c:pt idx="5">
                    <c:v>24.627584115786664</c:v>
                  </c:pt>
                  <c:pt idx="6">
                    <c:v>7.6961200361833253</c:v>
                  </c:pt>
                  <c:pt idx="7">
                    <c:v>6.2397600423085207</c:v>
                  </c:pt>
                  <c:pt idx="8">
                    <c:v>6.0771808069601079</c:v>
                  </c:pt>
                  <c:pt idx="9">
                    <c:v>6.0771808069601079</c:v>
                  </c:pt>
                  <c:pt idx="10">
                    <c:v>8.3196800564113627</c:v>
                  </c:pt>
                  <c:pt idx="11">
                    <c:v>8.3196800564113573</c:v>
                  </c:pt>
                  <c:pt idx="12">
                    <c:v>6.0771808069601079</c:v>
                  </c:pt>
                  <c:pt idx="13">
                    <c:v>6.0771808069601079</c:v>
                  </c:pt>
                  <c:pt idx="14">
                    <c:v>6.0771808069601079</c:v>
                  </c:pt>
                </c:numCache>
              </c:numRef>
            </c:plus>
            <c:minus>
              <c:numRef>
                <c:f>'C-phycocyanin'!$AB$106:$AB$122</c:f>
                <c:numCache>
                  <c:formatCode>General</c:formatCode>
                  <c:ptCount val="17"/>
                  <c:pt idx="0">
                    <c:v>0.90062284391425096</c:v>
                  </c:pt>
                  <c:pt idx="1">
                    <c:v>25.985773455789666</c:v>
                  </c:pt>
                  <c:pt idx="2">
                    <c:v>47.426568000000003</c:v>
                  </c:pt>
                  <c:pt idx="3">
                    <c:v>14.768807700381389</c:v>
                  </c:pt>
                  <c:pt idx="4">
                    <c:v>2.7625227283331277</c:v>
                  </c:pt>
                  <c:pt idx="5">
                    <c:v>24.627584115786664</c:v>
                  </c:pt>
                  <c:pt idx="6">
                    <c:v>7.6961200361833253</c:v>
                  </c:pt>
                  <c:pt idx="7">
                    <c:v>6.2397600423085207</c:v>
                  </c:pt>
                  <c:pt idx="8">
                    <c:v>6.0771808069601079</c:v>
                  </c:pt>
                  <c:pt idx="9">
                    <c:v>6.0771808069601079</c:v>
                  </c:pt>
                  <c:pt idx="10">
                    <c:v>8.3196800564113627</c:v>
                  </c:pt>
                  <c:pt idx="11">
                    <c:v>8.3196800564113573</c:v>
                  </c:pt>
                  <c:pt idx="12">
                    <c:v>6.0771808069601079</c:v>
                  </c:pt>
                  <c:pt idx="13">
                    <c:v>6.0771808069601079</c:v>
                  </c:pt>
                  <c:pt idx="14">
                    <c:v>6.0771808069601079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'C-phycocyanin'!$X$106:$X$122</c:f>
              <c:numCache>
                <c:formatCode>0</c:formatCode>
                <c:ptCount val="17"/>
                <c:pt idx="0">
                  <c:v>23.416666666666668</c:v>
                </c:pt>
                <c:pt idx="1">
                  <c:v>95</c:v>
                </c:pt>
                <c:pt idx="2">
                  <c:v>119.33333333333333</c:v>
                </c:pt>
                <c:pt idx="3">
                  <c:v>143.08333333333331</c:v>
                </c:pt>
                <c:pt idx="4">
                  <c:v>167.91666666666666</c:v>
                </c:pt>
                <c:pt idx="5">
                  <c:v>191.41666666666666</c:v>
                </c:pt>
                <c:pt idx="6">
                  <c:v>215.08333333333331</c:v>
                </c:pt>
                <c:pt idx="7">
                  <c:v>240.74999999999997</c:v>
                </c:pt>
                <c:pt idx="8">
                  <c:v>263.75</c:v>
                </c:pt>
                <c:pt idx="9">
                  <c:v>287.76666666666665</c:v>
                </c:pt>
                <c:pt idx="10">
                  <c:v>312.06666666666666</c:v>
                </c:pt>
                <c:pt idx="11">
                  <c:v>336.06666666666666</c:v>
                </c:pt>
                <c:pt idx="12">
                  <c:v>360.0333333333333</c:v>
                </c:pt>
                <c:pt idx="13">
                  <c:v>384.0333333333333</c:v>
                </c:pt>
                <c:pt idx="14">
                  <c:v>408.0333333333333</c:v>
                </c:pt>
              </c:numCache>
            </c:numRef>
          </c:xVal>
          <c:yVal>
            <c:numRef>
              <c:f>'C-phycocyanin'!$AA$106:$AA$122</c:f>
              <c:numCache>
                <c:formatCode>0.00</c:formatCode>
                <c:ptCount val="17"/>
                <c:pt idx="0">
                  <c:v>10.984602917341975</c:v>
                </c:pt>
                <c:pt idx="1">
                  <c:v>40.773845193508123</c:v>
                </c:pt>
                <c:pt idx="2">
                  <c:v>44.808551810237219</c:v>
                </c:pt>
                <c:pt idx="3">
                  <c:v>79.381439220973789</c:v>
                </c:pt>
                <c:pt idx="4">
                  <c:v>76.192785881505003</c:v>
                </c:pt>
                <c:pt idx="5">
                  <c:v>93.928675382676005</c:v>
                </c:pt>
                <c:pt idx="6">
                  <c:v>119.67646999999999</c:v>
                </c:pt>
                <c:pt idx="7">
                  <c:v>129.75764699999999</c:v>
                </c:pt>
                <c:pt idx="8">
                  <c:v>137.942916909779</c:v>
                </c:pt>
                <c:pt idx="9">
                  <c:v>156.71867214118501</c:v>
                </c:pt>
                <c:pt idx="10">
                  <c:v>183.15433099225643</c:v>
                </c:pt>
                <c:pt idx="11">
                  <c:v>199.53657799999999</c:v>
                </c:pt>
                <c:pt idx="12">
                  <c:v>218.54768000000001</c:v>
                </c:pt>
                <c:pt idx="13">
                  <c:v>228.57579999999999</c:v>
                </c:pt>
                <c:pt idx="14">
                  <c:v>231.65870000000001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9EA-CC47-93C3-ED07B58E1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5726320"/>
        <c:axId val="1251986208"/>
      </c:scatterChart>
      <c:valAx>
        <c:axId val="1485726320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51986208"/>
        <c:crosses val="autoZero"/>
        <c:crossBetween val="midCat"/>
        <c:majorUnit val="50"/>
      </c:valAx>
      <c:valAx>
        <c:axId val="1251986208"/>
        <c:scaling>
          <c:orientation val="minMax"/>
          <c:max val="3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2972972972972972E-2"/>
              <c:y val="0.1567761605556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8572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'Nitrate content'!$B$2:$O$2</c:f>
              <c:strCache>
                <c:ptCount val="1"/>
                <c:pt idx="0">
                  <c:v>Blue light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rgbClr val="FFFDC6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content'!$S$4:$S$13</c:f>
                <c:numCache>
                  <c:formatCode>General</c:formatCode>
                  <c:ptCount val="10"/>
                  <c:pt idx="0">
                    <c:v>2.3634879420523461E-2</c:v>
                  </c:pt>
                  <c:pt idx="1">
                    <c:v>8.0881143388100152E-3</c:v>
                  </c:pt>
                  <c:pt idx="2">
                    <c:v>3.0345978850395337E-2</c:v>
                  </c:pt>
                  <c:pt idx="3">
                    <c:v>1.9020705742527809E-2</c:v>
                  </c:pt>
                  <c:pt idx="4">
                    <c:v>6.5338106300606089E-3</c:v>
                  </c:pt>
                  <c:pt idx="5">
                    <c:v>6.3761235655140028E-3</c:v>
                  </c:pt>
                  <c:pt idx="6">
                    <c:v>6.6125938808369061E-2</c:v>
                  </c:pt>
                  <c:pt idx="7">
                    <c:v>1.3630176518686423E-2</c:v>
                  </c:pt>
                  <c:pt idx="8">
                    <c:v>1.0050956363888976E-2</c:v>
                  </c:pt>
                </c:numCache>
              </c:numRef>
            </c:plus>
            <c:minus>
              <c:numRef>
                <c:f>'Nitrate content'!$S$4:$S$13</c:f>
                <c:numCache>
                  <c:formatCode>General</c:formatCode>
                  <c:ptCount val="10"/>
                  <c:pt idx="0">
                    <c:v>2.3634879420523461E-2</c:v>
                  </c:pt>
                  <c:pt idx="1">
                    <c:v>8.0881143388100152E-3</c:v>
                  </c:pt>
                  <c:pt idx="2">
                    <c:v>3.0345978850395337E-2</c:v>
                  </c:pt>
                  <c:pt idx="3">
                    <c:v>1.9020705742527809E-2</c:v>
                  </c:pt>
                  <c:pt idx="4">
                    <c:v>6.5338106300606089E-3</c:v>
                  </c:pt>
                  <c:pt idx="5">
                    <c:v>6.3761235655140028E-3</c:v>
                  </c:pt>
                  <c:pt idx="6">
                    <c:v>6.6125938808369061E-2</c:v>
                  </c:pt>
                  <c:pt idx="7">
                    <c:v>1.3630176518686423E-2</c:v>
                  </c:pt>
                  <c:pt idx="8">
                    <c:v>1.0050956363888976E-2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content'!$Q$4:$Q$13</c:f>
              <c:numCache>
                <c:formatCode>0</c:formatCode>
                <c:ptCount val="10"/>
                <c:pt idx="0">
                  <c:v>0</c:v>
                </c:pt>
                <c:pt idx="1">
                  <c:v>50.4</c:v>
                </c:pt>
                <c:pt idx="2">
                  <c:v>97.25</c:v>
                </c:pt>
                <c:pt idx="3">
                  <c:v>165</c:v>
                </c:pt>
                <c:pt idx="4">
                  <c:v>213.31666666666666</c:v>
                </c:pt>
                <c:pt idx="5">
                  <c:v>261.2833333333333</c:v>
                </c:pt>
                <c:pt idx="6">
                  <c:v>309.2833333333333</c:v>
                </c:pt>
                <c:pt idx="7">
                  <c:v>356.83333333333331</c:v>
                </c:pt>
                <c:pt idx="8">
                  <c:v>405.43333333333339</c:v>
                </c:pt>
              </c:numCache>
            </c:numRef>
          </c:xVal>
          <c:yVal>
            <c:numRef>
              <c:f>'Nitrate content'!$R$4:$R$13</c:f>
              <c:numCache>
                <c:formatCode>0.000</c:formatCode>
                <c:ptCount val="10"/>
                <c:pt idx="0">
                  <c:v>1.6376992657142857</c:v>
                </c:pt>
                <c:pt idx="1">
                  <c:v>1.5100471409523808</c:v>
                </c:pt>
                <c:pt idx="2">
                  <c:v>1.4574795257142856</c:v>
                </c:pt>
                <c:pt idx="3">
                  <c:v>1.3711828180952381</c:v>
                </c:pt>
                <c:pt idx="4">
                  <c:v>1.2883429450793651</c:v>
                </c:pt>
                <c:pt idx="5">
                  <c:v>1.1934270663492066</c:v>
                </c:pt>
                <c:pt idx="6">
                  <c:v>1.0928403428571427</c:v>
                </c:pt>
                <c:pt idx="7">
                  <c:v>0.99250387301587251</c:v>
                </c:pt>
                <c:pt idx="8">
                  <c:v>0.91438591999999996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FF-734F-BFD1-4FEF7BA29AF3}"/>
            </c:ext>
          </c:extLst>
        </c:ser>
        <c:ser>
          <c:idx val="1"/>
          <c:order val="1"/>
          <c:tx>
            <c:strRef>
              <c:f>'Nitrate content'!$B$32:$O$32</c:f>
              <c:strCache>
                <c:ptCount val="1"/>
                <c:pt idx="0">
                  <c:v>Red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content'!$S$34:$S$43</c:f>
                <c:numCache>
                  <c:formatCode>General</c:formatCode>
                  <c:ptCount val="10"/>
                  <c:pt idx="0">
                    <c:v>1.5295317627711318E-2</c:v>
                  </c:pt>
                  <c:pt idx="1">
                    <c:v>2.4704748160087803E-2</c:v>
                  </c:pt>
                  <c:pt idx="2">
                    <c:v>4.2974282860318222E-2</c:v>
                  </c:pt>
                  <c:pt idx="3">
                    <c:v>2.3229835016291448E-2</c:v>
                  </c:pt>
                  <c:pt idx="4">
                    <c:v>6.593253206349213E-2</c:v>
                  </c:pt>
                  <c:pt idx="5">
                    <c:v>9.0850694632078465E-3</c:v>
                  </c:pt>
                  <c:pt idx="6">
                    <c:v>0.13793676114635364</c:v>
                  </c:pt>
                  <c:pt idx="7">
                    <c:v>6.3614185427673511E-2</c:v>
                  </c:pt>
                  <c:pt idx="8">
                    <c:v>1.9207748024929912E-2</c:v>
                  </c:pt>
                </c:numCache>
              </c:numRef>
            </c:plus>
            <c:minus>
              <c:numRef>
                <c:f>'Nitrate content'!$S$34:$S$43</c:f>
                <c:numCache>
                  <c:formatCode>General</c:formatCode>
                  <c:ptCount val="10"/>
                  <c:pt idx="0">
                    <c:v>1.5295317627711318E-2</c:v>
                  </c:pt>
                  <c:pt idx="1">
                    <c:v>2.4704748160087803E-2</c:v>
                  </c:pt>
                  <c:pt idx="2">
                    <c:v>4.2974282860318222E-2</c:v>
                  </c:pt>
                  <c:pt idx="3">
                    <c:v>2.3229835016291448E-2</c:v>
                  </c:pt>
                  <c:pt idx="4">
                    <c:v>6.593253206349213E-2</c:v>
                  </c:pt>
                  <c:pt idx="5">
                    <c:v>9.0850694632078465E-3</c:v>
                  </c:pt>
                  <c:pt idx="6">
                    <c:v>0.13793676114635364</c:v>
                  </c:pt>
                  <c:pt idx="7">
                    <c:v>6.3614185427673511E-2</c:v>
                  </c:pt>
                  <c:pt idx="8">
                    <c:v>1.9207748024929912E-2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content'!$Q$34:$Q$43</c:f>
              <c:numCache>
                <c:formatCode>0</c:formatCode>
                <c:ptCount val="10"/>
                <c:pt idx="0">
                  <c:v>0</c:v>
                </c:pt>
                <c:pt idx="1">
                  <c:v>50.4</c:v>
                </c:pt>
                <c:pt idx="2">
                  <c:v>97.25</c:v>
                </c:pt>
                <c:pt idx="3">
                  <c:v>165</c:v>
                </c:pt>
                <c:pt idx="4">
                  <c:v>213.31666666666666</c:v>
                </c:pt>
                <c:pt idx="5">
                  <c:v>261.2833333333333</c:v>
                </c:pt>
                <c:pt idx="6">
                  <c:v>309.2833333333333</c:v>
                </c:pt>
                <c:pt idx="7">
                  <c:v>356.83333333333331</c:v>
                </c:pt>
                <c:pt idx="8">
                  <c:v>405.43333333333339</c:v>
                </c:pt>
              </c:numCache>
            </c:numRef>
          </c:xVal>
          <c:yVal>
            <c:numRef>
              <c:f>'Nitrate content'!$R$34:$R$43</c:f>
              <c:numCache>
                <c:formatCode>0.000</c:formatCode>
                <c:ptCount val="10"/>
                <c:pt idx="0">
                  <c:v>1.6071420933333334</c:v>
                </c:pt>
                <c:pt idx="1">
                  <c:v>1.4829154685714283</c:v>
                </c:pt>
                <c:pt idx="2">
                  <c:v>1.4337393123809523</c:v>
                </c:pt>
                <c:pt idx="3">
                  <c:v>1.3070796304761905</c:v>
                </c:pt>
                <c:pt idx="4">
                  <c:v>1.1687073022222221</c:v>
                </c:pt>
                <c:pt idx="5">
                  <c:v>0.99992545015873013</c:v>
                </c:pt>
                <c:pt idx="6">
                  <c:v>0.88206691428571427</c:v>
                </c:pt>
                <c:pt idx="7">
                  <c:v>0.79671697619047566</c:v>
                </c:pt>
                <c:pt idx="8">
                  <c:v>0.69446385999999993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FF-734F-BFD1-4FEF7BA29AF3}"/>
            </c:ext>
          </c:extLst>
        </c:ser>
        <c:ser>
          <c:idx val="2"/>
          <c:order val="2"/>
          <c:tx>
            <c:strRef>
              <c:f>'Nitrate content'!$B$62:$O$62</c:f>
              <c:strCache>
                <c:ptCount val="1"/>
                <c:pt idx="0">
                  <c:v>White light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rgbClr val="DDDC00"/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content'!$S$64:$S$73</c:f>
                <c:numCache>
                  <c:formatCode>General</c:formatCode>
                  <c:ptCount val="10"/>
                  <c:pt idx="0">
                    <c:v>1.2388042857143233E-3</c:v>
                  </c:pt>
                  <c:pt idx="1">
                    <c:v>3.6041732764186304E-2</c:v>
                  </c:pt>
                  <c:pt idx="2">
                    <c:v>2.4412027538976949E-2</c:v>
                  </c:pt>
                  <c:pt idx="3">
                    <c:v>1.7877904704060608E-2</c:v>
                  </c:pt>
                  <c:pt idx="4">
                    <c:v>3.8172471242552748E-2</c:v>
                  </c:pt>
                  <c:pt idx="5">
                    <c:v>1.4757858388965778E-2</c:v>
                  </c:pt>
                  <c:pt idx="6">
                    <c:v>6.0049226002590623E-3</c:v>
                  </c:pt>
                  <c:pt idx="7">
                    <c:v>9.8495597428977455E-2</c:v>
                  </c:pt>
                </c:numCache>
              </c:numRef>
            </c:plus>
            <c:minus>
              <c:numRef>
                <c:f>'Nitrate content'!$S$64:$S$73</c:f>
                <c:numCache>
                  <c:formatCode>General</c:formatCode>
                  <c:ptCount val="10"/>
                  <c:pt idx="0">
                    <c:v>1.2388042857143233E-3</c:v>
                  </c:pt>
                  <c:pt idx="1">
                    <c:v>3.6041732764186304E-2</c:v>
                  </c:pt>
                  <c:pt idx="2">
                    <c:v>2.4412027538976949E-2</c:v>
                  </c:pt>
                  <c:pt idx="3">
                    <c:v>1.7877904704060608E-2</c:v>
                  </c:pt>
                  <c:pt idx="4">
                    <c:v>3.8172471242552748E-2</c:v>
                  </c:pt>
                  <c:pt idx="5">
                    <c:v>1.4757858388965778E-2</c:v>
                  </c:pt>
                  <c:pt idx="6">
                    <c:v>6.0049226002590623E-3</c:v>
                  </c:pt>
                  <c:pt idx="7">
                    <c:v>9.8495597428977455E-2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content'!$Q$64:$Q$73</c:f>
              <c:numCache>
                <c:formatCode>0</c:formatCode>
                <c:ptCount val="10"/>
                <c:pt idx="0">
                  <c:v>0</c:v>
                </c:pt>
                <c:pt idx="1">
                  <c:v>119.33333333333333</c:v>
                </c:pt>
                <c:pt idx="2">
                  <c:v>166.58333333333331</c:v>
                </c:pt>
                <c:pt idx="3">
                  <c:v>215.41666666666663</c:v>
                </c:pt>
                <c:pt idx="4">
                  <c:v>263.75</c:v>
                </c:pt>
                <c:pt idx="5">
                  <c:v>312.06666666666666</c:v>
                </c:pt>
                <c:pt idx="6">
                  <c:v>360.0333333333333</c:v>
                </c:pt>
                <c:pt idx="7">
                  <c:v>408.0333333333333</c:v>
                </c:pt>
              </c:numCache>
            </c:numRef>
          </c:xVal>
          <c:yVal>
            <c:numRef>
              <c:f>'Nitrate content'!$R$64:$R$73</c:f>
              <c:numCache>
                <c:formatCode>0.000</c:formatCode>
                <c:ptCount val="10"/>
                <c:pt idx="0">
                  <c:v>1.58690829</c:v>
                </c:pt>
                <c:pt idx="1">
                  <c:v>1.4337393123809523</c:v>
                </c:pt>
                <c:pt idx="2">
                  <c:v>1.3319955409523809</c:v>
                </c:pt>
                <c:pt idx="3">
                  <c:v>1.2367224733333333</c:v>
                </c:pt>
                <c:pt idx="4">
                  <c:v>1.10277477015873</c:v>
                </c:pt>
                <c:pt idx="5">
                  <c:v>0.98822846126984121</c:v>
                </c:pt>
                <c:pt idx="6">
                  <c:v>0.87570394285714281</c:v>
                </c:pt>
                <c:pt idx="7">
                  <c:v>0.7618242619047616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FF-734F-BFD1-4FEF7BA29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9963248"/>
        <c:axId val="1531741264"/>
      </c:scatterChart>
      <c:valAx>
        <c:axId val="1519963248"/>
        <c:scaling>
          <c:orientation val="minMax"/>
          <c:max val="4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</a:t>
                </a:r>
                <a:r>
                  <a:rPr lang="en-GB" baseline="0"/>
                  <a:t> (h)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47704046657315508"/>
              <c:y val="0.819347200404704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31741264"/>
        <c:crosses val="autoZero"/>
        <c:crossBetween val="midCat"/>
      </c:valAx>
      <c:valAx>
        <c:axId val="1531741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Nitrate</a:t>
                </a:r>
                <a:r>
                  <a:rPr lang="en-GB" baseline="0"/>
                  <a:t> concentration (g.L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199632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203827</xdr:colOff>
      <xdr:row>20</xdr:row>
      <xdr:rowOff>177548</xdr:rowOff>
    </xdr:from>
    <xdr:to>
      <xdr:col>0</xdr:col>
      <xdr:colOff>5219700</xdr:colOff>
      <xdr:row>34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45733A-4392-F947-A367-9B5C9EAC83EE}"/>
            </a:ext>
            <a:ext uri="{147F2762-F138-4A5C-976F-8EAC2B608ADB}">
              <a16:predDERef xmlns:a16="http://schemas.microsoft.com/office/drawing/2014/main" pred="{29EC78D6-A5B2-4B98-A606-CBBBEAC7F9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1</xdr:row>
      <xdr:rowOff>107950</xdr:rowOff>
    </xdr:from>
    <xdr:to>
      <xdr:col>0</xdr:col>
      <xdr:colOff>5143500</xdr:colOff>
      <xdr:row>17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189B1A-B2B7-B643-8F0F-CE275905C1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143434</xdr:colOff>
      <xdr:row>1</xdr:row>
      <xdr:rowOff>145301</xdr:rowOff>
    </xdr:from>
    <xdr:to>
      <xdr:col>0</xdr:col>
      <xdr:colOff>6007100</xdr:colOff>
      <xdr:row>20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D05A0D-A7A7-8D4F-9CC2-01F069AC72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133350</xdr:colOff>
      <xdr:row>22</xdr:row>
      <xdr:rowOff>50800</xdr:rowOff>
    </xdr:from>
    <xdr:to>
      <xdr:col>0</xdr:col>
      <xdr:colOff>6007100</xdr:colOff>
      <xdr:row>45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CCC0C00-786A-8D4C-93DC-7ADB69306D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224117</xdr:colOff>
      <xdr:row>2</xdr:row>
      <xdr:rowOff>256987</xdr:rowOff>
    </xdr:from>
    <xdr:to>
      <xdr:col>0</xdr:col>
      <xdr:colOff>5154705</xdr:colOff>
      <xdr:row>20</xdr:row>
      <xdr:rowOff>44825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93AD55-E0BF-5140-9301-1DE646D2AB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BE666-C760-F94F-9BAE-75F7C3AFC5B7}">
  <dimension ref="A1:F16"/>
  <sheetViews>
    <sheetView tabSelected="1" workbookViewId="0">
      <selection sqref="A1:C2"/>
    </sheetView>
  </sheetViews>
  <sheetFormatPr baseColWidth="10" defaultColWidth="41.1640625" defaultRowHeight="14"/>
  <cols>
    <col min="1" max="1" width="31" style="103" customWidth="1"/>
    <col min="2" max="2" width="9.5" style="104" customWidth="1"/>
    <col min="3" max="3" width="56.1640625" style="103" customWidth="1"/>
    <col min="4" max="4" width="41.1640625" style="86"/>
    <col min="5" max="16384" width="41.1640625" style="1"/>
  </cols>
  <sheetData>
    <row r="1" spans="1:6" s="87" customFormat="1" ht="18" customHeight="1">
      <c r="A1" s="165" t="s">
        <v>108</v>
      </c>
      <c r="B1" s="165"/>
      <c r="C1" s="165"/>
      <c r="D1" s="86"/>
    </row>
    <row r="2" spans="1:6" ht="36" customHeight="1">
      <c r="A2" s="165"/>
      <c r="B2" s="165"/>
      <c r="C2" s="165"/>
    </row>
    <row r="3" spans="1:6" ht="16">
      <c r="A3" s="166" t="s">
        <v>41</v>
      </c>
      <c r="B3" s="166"/>
      <c r="C3" s="166"/>
    </row>
    <row r="4" spans="1:6" s="88" customFormat="1">
      <c r="A4" s="167" t="s">
        <v>42</v>
      </c>
      <c r="B4" s="167"/>
      <c r="C4" s="167"/>
      <c r="D4" s="86"/>
    </row>
    <row r="5" spans="1:6" s="16" customFormat="1" ht="13">
      <c r="A5" s="168" t="s">
        <v>43</v>
      </c>
      <c r="B5" s="168"/>
      <c r="C5" s="168"/>
      <c r="D5" s="86"/>
    </row>
    <row r="6" spans="1:6" ht="60" customHeight="1">
      <c r="A6" s="169" t="s">
        <v>44</v>
      </c>
      <c r="B6" s="169"/>
      <c r="C6" s="169"/>
    </row>
    <row r="7" spans="1:6" ht="30" customHeight="1">
      <c r="A7" s="170" t="s">
        <v>109</v>
      </c>
      <c r="B7" s="170"/>
      <c r="C7" s="170"/>
    </row>
    <row r="8" spans="1:6" ht="30" customHeight="1">
      <c r="A8" s="163" t="s">
        <v>45</v>
      </c>
      <c r="B8" s="163"/>
      <c r="C8" s="163"/>
    </row>
    <row r="9" spans="1:6">
      <c r="A9" s="89" t="s">
        <v>46</v>
      </c>
      <c r="B9" s="90"/>
      <c r="C9" s="91">
        <v>44346</v>
      </c>
    </row>
    <row r="10" spans="1:6" ht="15" thickBot="1">
      <c r="A10" s="92" t="s">
        <v>47</v>
      </c>
      <c r="B10" s="93"/>
      <c r="C10" s="94">
        <v>44500</v>
      </c>
    </row>
    <row r="11" spans="1:6" s="16" customFormat="1" thickBot="1">
      <c r="A11" s="95"/>
      <c r="B11" s="96"/>
      <c r="C11" s="95"/>
      <c r="D11" s="86"/>
    </row>
    <row r="12" spans="1:6" ht="18" thickBot="1">
      <c r="A12" s="97" t="s">
        <v>48</v>
      </c>
      <c r="B12" s="98" t="s">
        <v>49</v>
      </c>
      <c r="C12" s="99" t="s">
        <v>50</v>
      </c>
    </row>
    <row r="13" spans="1:6" ht="15">
      <c r="A13" s="100" t="s">
        <v>51</v>
      </c>
      <c r="B13" s="101">
        <v>1</v>
      </c>
      <c r="C13" s="102" t="s">
        <v>52</v>
      </c>
    </row>
    <row r="14" spans="1:6" ht="45">
      <c r="A14" s="100" t="s">
        <v>113</v>
      </c>
      <c r="B14" s="101">
        <v>2</v>
      </c>
      <c r="C14" s="102" t="s">
        <v>110</v>
      </c>
      <c r="D14" s="164"/>
      <c r="E14" s="164"/>
      <c r="F14" s="164"/>
    </row>
    <row r="15" spans="1:6" ht="45">
      <c r="A15" s="100" t="s">
        <v>114</v>
      </c>
      <c r="B15" s="101">
        <v>3</v>
      </c>
      <c r="C15" s="102" t="s">
        <v>111</v>
      </c>
    </row>
    <row r="16" spans="1:6" s="86" customFormat="1" ht="45">
      <c r="A16" s="100" t="s">
        <v>115</v>
      </c>
      <c r="B16" s="101">
        <v>4</v>
      </c>
      <c r="C16" s="102" t="s">
        <v>112</v>
      </c>
      <c r="E16" s="1"/>
      <c r="F16" s="1"/>
    </row>
  </sheetData>
  <mergeCells count="8">
    <mergeCell ref="A8:C8"/>
    <mergeCell ref="D14:F14"/>
    <mergeCell ref="A1:C2"/>
    <mergeCell ref="A3:C3"/>
    <mergeCell ref="A4:C4"/>
    <mergeCell ref="A5:C5"/>
    <mergeCell ref="A6:C6"/>
    <mergeCell ref="A7:C7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FC2CA-FFAC-2042-B557-9A11BBA53C4B}">
  <dimension ref="A1:AF84"/>
  <sheetViews>
    <sheetView zoomScaleNormal="100" workbookViewId="0">
      <selection sqref="A1:AB1"/>
    </sheetView>
  </sheetViews>
  <sheetFormatPr baseColWidth="10" defaultColWidth="8.83203125" defaultRowHeight="14"/>
  <cols>
    <col min="1" max="1" width="74.5" style="1" customWidth="1"/>
    <col min="2" max="2" width="12" style="1" bestFit="1" customWidth="1"/>
    <col min="3" max="3" width="12" style="1" customWidth="1"/>
    <col min="4" max="11" width="8.83203125" style="1"/>
    <col min="12" max="12" width="13.33203125" style="1" customWidth="1"/>
    <col min="13" max="13" width="10.33203125" style="1" customWidth="1"/>
    <col min="14" max="16" width="8.83203125" style="1"/>
    <col min="17" max="17" width="13.1640625" style="1" customWidth="1"/>
    <col min="18" max="18" width="10.5" style="1" customWidth="1"/>
    <col min="19" max="19" width="8.5" style="1" customWidth="1"/>
    <col min="20" max="20" width="9.1640625" style="1" bestFit="1" customWidth="1"/>
    <col min="21" max="21" width="9.33203125" style="1" bestFit="1" customWidth="1"/>
    <col min="22" max="26" width="9" style="1" bestFit="1" customWidth="1"/>
    <col min="27" max="27" width="10.33203125" style="1" customWidth="1"/>
    <col min="28" max="28" width="8.83203125" style="1" customWidth="1"/>
    <col min="29" max="29" width="12.1640625" style="1" customWidth="1"/>
    <col min="30" max="16384" width="8.83203125" style="1"/>
  </cols>
  <sheetData>
    <row r="1" spans="1:32" ht="17" customHeight="1" thickBot="1">
      <c r="A1" s="173" t="s">
        <v>53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5"/>
    </row>
    <row r="2" spans="1:32" ht="15" customHeight="1" thickBot="1">
      <c r="A2" s="105"/>
      <c r="B2" s="176" t="s">
        <v>0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77"/>
      <c r="W2" s="177"/>
      <c r="X2" s="177"/>
      <c r="Y2" s="177"/>
      <c r="Z2" s="177"/>
      <c r="AA2" s="177"/>
      <c r="AB2" s="178"/>
    </row>
    <row r="3" spans="1:32" ht="45" customHeight="1">
      <c r="A3" s="105"/>
      <c r="B3" s="2" t="s">
        <v>1</v>
      </c>
      <c r="C3" s="3" t="s">
        <v>2</v>
      </c>
      <c r="D3" s="4" t="s">
        <v>3</v>
      </c>
      <c r="E3" s="5" t="s">
        <v>4</v>
      </c>
      <c r="F3" s="179" t="s">
        <v>54</v>
      </c>
      <c r="G3" s="180"/>
      <c r="H3" s="181"/>
      <c r="I3" s="182" t="s">
        <v>12</v>
      </c>
      <c r="J3" s="180"/>
      <c r="K3" s="181"/>
      <c r="L3" s="6" t="s">
        <v>5</v>
      </c>
      <c r="M3" s="7" t="s">
        <v>55</v>
      </c>
      <c r="N3" s="182" t="s">
        <v>56</v>
      </c>
      <c r="O3" s="180"/>
      <c r="P3" s="181"/>
      <c r="Q3" s="7" t="s">
        <v>6</v>
      </c>
      <c r="R3" s="7" t="s">
        <v>55</v>
      </c>
      <c r="S3" s="182" t="s">
        <v>7</v>
      </c>
      <c r="T3" s="180"/>
      <c r="U3" s="181"/>
      <c r="V3" s="6" t="s">
        <v>57</v>
      </c>
      <c r="W3" s="6" t="s">
        <v>55</v>
      </c>
      <c r="X3" s="182" t="s">
        <v>58</v>
      </c>
      <c r="Y3" s="180"/>
      <c r="Z3" s="181"/>
      <c r="AA3" s="6" t="s">
        <v>59</v>
      </c>
      <c r="AB3" s="106" t="s">
        <v>55</v>
      </c>
      <c r="AD3" s="148"/>
      <c r="AE3" s="149"/>
      <c r="AF3" s="149"/>
    </row>
    <row r="4" spans="1:32" ht="15" customHeight="1">
      <c r="A4" s="105"/>
      <c r="B4" s="8"/>
      <c r="C4" s="9"/>
      <c r="D4" s="10"/>
      <c r="E4" s="11"/>
      <c r="F4" s="183" t="s">
        <v>15</v>
      </c>
      <c r="G4" s="184"/>
      <c r="H4" s="185"/>
      <c r="I4" s="186" t="s">
        <v>8</v>
      </c>
      <c r="J4" s="184"/>
      <c r="K4" s="185"/>
      <c r="L4" s="12" t="s">
        <v>8</v>
      </c>
      <c r="M4" s="108"/>
      <c r="N4" s="186" t="s">
        <v>8</v>
      </c>
      <c r="O4" s="184"/>
      <c r="P4" s="185"/>
      <c r="Q4" s="13" t="s">
        <v>8</v>
      </c>
      <c r="R4" s="13"/>
      <c r="S4" s="187" t="s">
        <v>60</v>
      </c>
      <c r="T4" s="188"/>
      <c r="U4" s="189"/>
      <c r="V4" s="12" t="s">
        <v>60</v>
      </c>
      <c r="W4" s="10"/>
      <c r="X4" s="187" t="s">
        <v>61</v>
      </c>
      <c r="Y4" s="188"/>
      <c r="Z4" s="189"/>
      <c r="AA4" s="109" t="s">
        <v>61</v>
      </c>
      <c r="AB4" s="110"/>
      <c r="AD4" s="148"/>
      <c r="AE4" s="149"/>
      <c r="AF4" s="149"/>
    </row>
    <row r="5" spans="1:32" s="16" customFormat="1">
      <c r="A5" s="23"/>
      <c r="B5" s="171" t="s">
        <v>9</v>
      </c>
      <c r="C5" s="15">
        <v>0.6333333333333333</v>
      </c>
      <c r="D5" s="16">
        <v>0</v>
      </c>
      <c r="E5" s="172">
        <v>1</v>
      </c>
      <c r="F5" s="18">
        <v>0.11700000000000001</v>
      </c>
      <c r="G5" s="19">
        <v>0.106</v>
      </c>
      <c r="H5" s="19">
        <v>0.109</v>
      </c>
      <c r="I5" s="19">
        <f t="shared" ref="I5:K24" si="0">1.2334*F5</f>
        <v>0.14430780000000001</v>
      </c>
      <c r="J5" s="19">
        <f t="shared" si="0"/>
        <v>0.13074040000000001</v>
      </c>
      <c r="K5" s="19">
        <f t="shared" si="0"/>
        <v>0.13444059999999999</v>
      </c>
      <c r="L5" s="20">
        <f t="shared" ref="L5:L24" si="1">AVERAGE(I5:K5)</f>
        <v>0.13649626666666667</v>
      </c>
      <c r="M5" s="19">
        <f t="shared" ref="M5:M24" si="2">STDEV(I5:K5)/SQRT(3)</f>
        <v>4.0491937375784423E-3</v>
      </c>
      <c r="N5" s="19">
        <f t="shared" ref="N5:P24" si="3">LN(I5)</f>
        <v>-1.9358067606091254</v>
      </c>
      <c r="O5" s="19">
        <f t="shared" si="3"/>
        <v>-2.0345416012948143</v>
      </c>
      <c r="P5" s="19">
        <f t="shared" si="3"/>
        <v>-2.0066328131777382</v>
      </c>
      <c r="Q5" s="20">
        <f t="shared" ref="Q5:Q24" si="4">AVERAGE(N5:P5)</f>
        <v>-1.9923270583605592</v>
      </c>
      <c r="R5" s="19">
        <f>STDEV(N5:P5)/SQRT(3)</f>
        <v>2.9386125734060412E-2</v>
      </c>
      <c r="AB5" s="17"/>
      <c r="AD5" s="148"/>
      <c r="AE5" s="149"/>
      <c r="AF5" s="149"/>
    </row>
    <row r="6" spans="1:32" s="16" customFormat="1">
      <c r="A6" s="23"/>
      <c r="B6" s="171"/>
      <c r="C6" s="15">
        <v>0.74097222222222225</v>
      </c>
      <c r="D6" s="22">
        <f>2+35/60+D5</f>
        <v>2.5833333333333335</v>
      </c>
      <c r="E6" s="172"/>
      <c r="F6" s="18">
        <v>0.125</v>
      </c>
      <c r="G6" s="19">
        <v>0.124</v>
      </c>
      <c r="H6" s="19">
        <v>0.14099999999999999</v>
      </c>
      <c r="I6" s="19">
        <f t="shared" si="0"/>
        <v>0.15417500000000001</v>
      </c>
      <c r="J6" s="19">
        <f t="shared" si="0"/>
        <v>0.15294160000000001</v>
      </c>
      <c r="K6" s="19">
        <f t="shared" si="0"/>
        <v>0.17390939999999999</v>
      </c>
      <c r="L6" s="20">
        <f t="shared" si="1"/>
        <v>0.16034200000000001</v>
      </c>
      <c r="M6" s="19">
        <f t="shared" si="2"/>
        <v>6.793037513022673E-3</v>
      </c>
      <c r="N6" s="19">
        <f t="shared" si="3"/>
        <v>-1.8696669581045804</v>
      </c>
      <c r="O6" s="19">
        <f t="shared" si="3"/>
        <v>-1.8776991298018448</v>
      </c>
      <c r="P6" s="19">
        <f t="shared" si="3"/>
        <v>-1.7492208050287135</v>
      </c>
      <c r="Q6" s="20">
        <f t="shared" si="4"/>
        <v>-1.8321956309783796</v>
      </c>
      <c r="R6" s="19">
        <f t="shared" ref="R6:R24" si="5">STDEV(N6:P6)/SQRT(3)</f>
        <v>4.1552156990047343E-2</v>
      </c>
      <c r="S6" s="19">
        <f>(N6-N5)/(D6-D5)</f>
        <v>2.5602504195307737E-2</v>
      </c>
      <c r="T6" s="19">
        <f>(O6-O5)/(D6-D5)</f>
        <v>6.0713214771472054E-2</v>
      </c>
      <c r="U6" s="19">
        <f>(P6-P5)/(D6-D5)</f>
        <v>9.9643357993170867E-2</v>
      </c>
      <c r="V6" s="20">
        <f>AVERAGE(S6:U6)</f>
        <v>6.1986358986650225E-2</v>
      </c>
      <c r="W6" s="19">
        <f>STDEV(S6:U6)/SQRT(3)</f>
        <v>2.1383230812357115E-2</v>
      </c>
      <c r="X6" s="19">
        <f>(I6/D6)</f>
        <v>5.9680645161290319E-2</v>
      </c>
      <c r="Y6" s="19">
        <f>J6/D6</f>
        <v>5.9203199999999997E-2</v>
      </c>
      <c r="Z6" s="19">
        <f>K6/D6</f>
        <v>6.7319767741935474E-2</v>
      </c>
      <c r="AA6" s="20">
        <f>AVERAGE(X6:Z6)</f>
        <v>6.2067870967741932E-2</v>
      </c>
      <c r="AB6" s="111">
        <f>STDEV(X6:Z6)/SQRT(3)</f>
        <v>2.6295629082668409E-3</v>
      </c>
      <c r="AD6" s="148"/>
      <c r="AE6" s="149"/>
      <c r="AF6" s="149"/>
    </row>
    <row r="7" spans="1:32" s="16" customFormat="1">
      <c r="A7" s="23"/>
      <c r="B7" s="171"/>
      <c r="C7" s="15">
        <v>0.8847222222222223</v>
      </c>
      <c r="D7" s="22">
        <f>3+27/60+D6</f>
        <v>6.0333333333333332</v>
      </c>
      <c r="E7" s="172"/>
      <c r="F7" s="18">
        <v>0.13700000000000001</v>
      </c>
      <c r="G7" s="19">
        <v>0.13500000000000001</v>
      </c>
      <c r="H7" s="19">
        <v>0.125</v>
      </c>
      <c r="I7" s="19">
        <f t="shared" si="0"/>
        <v>0.16897580000000001</v>
      </c>
      <c r="J7" s="19">
        <f t="shared" si="0"/>
        <v>0.16650900000000002</v>
      </c>
      <c r="K7" s="19">
        <f t="shared" si="0"/>
        <v>0.15417500000000001</v>
      </c>
      <c r="L7" s="20">
        <f t="shared" si="1"/>
        <v>0.16321993333333334</v>
      </c>
      <c r="M7" s="19">
        <f t="shared" si="2"/>
        <v>4.5781870434097012E-3</v>
      </c>
      <c r="N7" s="19">
        <f t="shared" si="3"/>
        <v>-1.7779997695787566</v>
      </c>
      <c r="O7" s="19">
        <f t="shared" si="3"/>
        <v>-1.7927059169684521</v>
      </c>
      <c r="P7" s="19">
        <f t="shared" si="3"/>
        <v>-1.8696669581045804</v>
      </c>
      <c r="Q7" s="20">
        <f t="shared" si="4"/>
        <v>-1.813457548217263</v>
      </c>
      <c r="R7" s="19">
        <f t="shared" si="5"/>
        <v>2.8423529059989489E-2</v>
      </c>
      <c r="S7" s="19">
        <f t="shared" ref="S7:S24" si="6">(N7-N6)/(D7-D6)</f>
        <v>2.6570199572702548E-2</v>
      </c>
      <c r="T7" s="19">
        <f t="shared" ref="T7:T24" si="7">(O7-O6)/(D7-D6)</f>
        <v>2.4635713864751534E-2</v>
      </c>
      <c r="U7" s="19">
        <f t="shared" ref="U7:U24" si="8">(P7-P6)/(D7-D6)</f>
        <v>-3.4911928427787516E-2</v>
      </c>
      <c r="V7" s="20">
        <f t="shared" ref="V7:V24" si="9">AVERAGE(S7:U7)</f>
        <v>5.4313283365555213E-3</v>
      </c>
      <c r="W7" s="19">
        <f t="shared" ref="W7:W24" si="10">STDEV(S7:U7)/SQRT(3)</f>
        <v>2.0179356890180696E-2</v>
      </c>
      <c r="X7" s="19">
        <f t="shared" ref="X7:X24" si="11">(I7/D7)</f>
        <v>2.800703867403315E-2</v>
      </c>
      <c r="Y7" s="19">
        <f t="shared" ref="Y7:Y24" si="12">J7/D7</f>
        <v>2.7598176795580114E-2</v>
      </c>
      <c r="Z7" s="19">
        <f t="shared" ref="Z7:Z24" si="13">K7/D7</f>
        <v>2.5553867403314917E-2</v>
      </c>
      <c r="AA7" s="20">
        <f t="shared" ref="AA7:AA24" si="14">AVERAGE(X7:Z7)</f>
        <v>2.7053027624309393E-2</v>
      </c>
      <c r="AB7" s="111">
        <f t="shared" ref="AB7:AB24" si="15">STDEV(X7:Z7)/SQRT(3)</f>
        <v>7.5881553205685694E-4</v>
      </c>
      <c r="AD7" s="148"/>
      <c r="AE7" s="149"/>
      <c r="AF7" s="149"/>
    </row>
    <row r="8" spans="1:32" s="16" customFormat="1">
      <c r="A8" s="23"/>
      <c r="B8" s="197" t="s">
        <v>10</v>
      </c>
      <c r="C8" s="15">
        <v>0.46249999999999997</v>
      </c>
      <c r="D8" s="22">
        <f>1+52/60+12+D7</f>
        <v>19.899999999999999</v>
      </c>
      <c r="E8" s="172">
        <v>2</v>
      </c>
      <c r="F8" s="18">
        <v>0.157</v>
      </c>
      <c r="G8" s="19">
        <v>0.187</v>
      </c>
      <c r="H8" s="19">
        <v>0.191</v>
      </c>
      <c r="I8" s="19">
        <f t="shared" si="0"/>
        <v>0.1936438</v>
      </c>
      <c r="J8" s="19">
        <f t="shared" si="0"/>
        <v>0.23064580000000001</v>
      </c>
      <c r="K8" s="19">
        <f t="shared" si="0"/>
        <v>0.23557940000000002</v>
      </c>
      <c r="L8" s="20">
        <f t="shared" si="1"/>
        <v>0.21995633333333334</v>
      </c>
      <c r="M8" s="19">
        <f t="shared" si="2"/>
        <v>1.323312963806287E-2</v>
      </c>
      <c r="N8" s="19">
        <f t="shared" si="3"/>
        <v>-1.6417348900585735</v>
      </c>
      <c r="O8" s="19">
        <f t="shared" si="3"/>
        <v>-1.4668720785522951</v>
      </c>
      <c r="P8" s="19">
        <f t="shared" si="3"/>
        <v>-1.4457072673602518</v>
      </c>
      <c r="Q8" s="20">
        <f t="shared" si="4"/>
        <v>-1.5181047453237069</v>
      </c>
      <c r="R8" s="19">
        <f t="shared" si="5"/>
        <v>6.2116280269539061E-2</v>
      </c>
      <c r="S8" s="19">
        <f t="shared" si="6"/>
        <v>9.8267941961670494E-3</v>
      </c>
      <c r="T8" s="19">
        <f t="shared" si="7"/>
        <v>2.3497632578088245E-2</v>
      </c>
      <c r="U8" s="19">
        <f t="shared" si="8"/>
        <v>3.0574016159446778E-2</v>
      </c>
      <c r="V8" s="20">
        <f t="shared" si="9"/>
        <v>2.129948097790069E-2</v>
      </c>
      <c r="W8" s="19">
        <f t="shared" si="10"/>
        <v>6.0892174549623526E-3</v>
      </c>
      <c r="X8" s="19">
        <f t="shared" si="11"/>
        <v>9.7308442211055286E-3</v>
      </c>
      <c r="Y8" s="19">
        <f t="shared" si="12"/>
        <v>1.1590241206030152E-2</v>
      </c>
      <c r="Z8" s="19">
        <f t="shared" si="13"/>
        <v>1.1838160804020103E-2</v>
      </c>
      <c r="AA8" s="20">
        <f t="shared" si="14"/>
        <v>1.1053082077051928E-2</v>
      </c>
      <c r="AB8" s="111">
        <f t="shared" si="15"/>
        <v>6.6498138884738044E-4</v>
      </c>
      <c r="AD8" s="148"/>
      <c r="AE8" s="149"/>
      <c r="AF8" s="149"/>
    </row>
    <row r="9" spans="1:32" s="16" customFormat="1">
      <c r="A9" s="23"/>
      <c r="B9" s="197"/>
      <c r="C9" s="15">
        <v>0.6069444444444444</v>
      </c>
      <c r="D9" s="22">
        <f>3+28/60+D8</f>
        <v>23.366666666666667</v>
      </c>
      <c r="E9" s="172"/>
      <c r="F9" s="18">
        <v>0.17100000000000001</v>
      </c>
      <c r="G9" s="19">
        <v>0.20399999999999999</v>
      </c>
      <c r="H9" s="19">
        <v>0.185</v>
      </c>
      <c r="I9" s="19">
        <f t="shared" si="0"/>
        <v>0.21091140000000003</v>
      </c>
      <c r="J9" s="19">
        <f t="shared" si="0"/>
        <v>0.25161359999999999</v>
      </c>
      <c r="K9" s="19">
        <f t="shared" si="0"/>
        <v>0.22817900000000002</v>
      </c>
      <c r="L9" s="20">
        <f t="shared" si="1"/>
        <v>0.23023466666666667</v>
      </c>
      <c r="M9" s="19">
        <f t="shared" si="2"/>
        <v>1.1794583436099423E-2</v>
      </c>
      <c r="N9" s="19">
        <f t="shared" si="3"/>
        <v>-1.5563171389042216</v>
      </c>
      <c r="O9" s="19">
        <f t="shared" si="3"/>
        <v>-1.3798607015626654</v>
      </c>
      <c r="P9" s="19">
        <f t="shared" si="3"/>
        <v>-1.4776248703285568</v>
      </c>
      <c r="Q9" s="20">
        <f t="shared" si="4"/>
        <v>-1.4712675702651481</v>
      </c>
      <c r="R9" s="19">
        <f t="shared" si="5"/>
        <v>5.1037665888017794E-2</v>
      </c>
      <c r="S9" s="19">
        <f t="shared" si="6"/>
        <v>2.4639735909909189E-2</v>
      </c>
      <c r="T9" s="19">
        <f t="shared" si="7"/>
        <v>2.5099435670085473E-2</v>
      </c>
      <c r="U9" s="19">
        <f t="shared" si="8"/>
        <v>-9.2070008562418326E-3</v>
      </c>
      <c r="V9" s="20">
        <f t="shared" si="9"/>
        <v>1.3510723574584277E-2</v>
      </c>
      <c r="W9" s="19">
        <f t="shared" si="10"/>
        <v>1.1359637368824642E-2</v>
      </c>
      <c r="X9" s="19">
        <f t="shared" si="11"/>
        <v>9.0261654778887312E-3</v>
      </c>
      <c r="Y9" s="19">
        <f t="shared" si="12"/>
        <v>1.076805706134094E-2</v>
      </c>
      <c r="Z9" s="19">
        <f t="shared" si="13"/>
        <v>9.7651497860199721E-3</v>
      </c>
      <c r="AA9" s="20">
        <f t="shared" si="14"/>
        <v>9.8531241084165479E-3</v>
      </c>
      <c r="AB9" s="111">
        <f t="shared" si="15"/>
        <v>5.0476106003278544E-4</v>
      </c>
      <c r="AD9" s="148"/>
      <c r="AE9" s="149"/>
      <c r="AF9" s="149"/>
    </row>
    <row r="10" spans="1:32" s="16" customFormat="1">
      <c r="A10" s="23"/>
      <c r="B10" s="21" t="s">
        <v>24</v>
      </c>
      <c r="C10" s="15">
        <v>0.52083333333333337</v>
      </c>
      <c r="D10" s="22">
        <f>8+56/60+13+D9</f>
        <v>45.3</v>
      </c>
      <c r="E10" s="17">
        <v>3</v>
      </c>
      <c r="F10" s="18">
        <v>0.23</v>
      </c>
      <c r="G10" s="19">
        <v>0.29499999999999998</v>
      </c>
      <c r="H10" s="19">
        <v>0.26200000000000001</v>
      </c>
      <c r="I10" s="19">
        <f t="shared" si="0"/>
        <v>0.28368200000000005</v>
      </c>
      <c r="J10" s="19">
        <f t="shared" si="0"/>
        <v>0.36385299999999998</v>
      </c>
      <c r="K10" s="19">
        <f t="shared" si="0"/>
        <v>0.32315080000000002</v>
      </c>
      <c r="L10" s="20">
        <f t="shared" si="1"/>
        <v>0.32356193333333333</v>
      </c>
      <c r="M10" s="19">
        <f t="shared" si="2"/>
        <v>2.3144287151212473E-2</v>
      </c>
      <c r="N10" s="19">
        <f t="shared" si="3"/>
        <v>-1.2599013864836861</v>
      </c>
      <c r="O10" s="19">
        <f t="shared" si="3"/>
        <v>-1.0110053390670619</v>
      </c>
      <c r="P10" s="19">
        <f t="shared" si="3"/>
        <v>-1.1296361916457847</v>
      </c>
      <c r="Q10" s="20">
        <f t="shared" si="4"/>
        <v>-1.1335143057321775</v>
      </c>
      <c r="R10" s="19">
        <f t="shared" si="5"/>
        <v>7.1876260409945547E-2</v>
      </c>
      <c r="S10" s="19">
        <f t="shared" si="6"/>
        <v>1.35143960070153E-2</v>
      </c>
      <c r="T10" s="19">
        <f t="shared" si="7"/>
        <v>1.6817113791592866E-2</v>
      </c>
      <c r="U10" s="19">
        <f t="shared" si="8"/>
        <v>1.5865745228697822E-2</v>
      </c>
      <c r="V10" s="20">
        <f t="shared" si="9"/>
        <v>1.5399085009101995E-2</v>
      </c>
      <c r="W10" s="19">
        <f t="shared" si="10"/>
        <v>9.8154894793147491E-4</v>
      </c>
      <c r="X10" s="19">
        <f t="shared" si="11"/>
        <v>6.2622958057395161E-3</v>
      </c>
      <c r="Y10" s="19">
        <f t="shared" si="12"/>
        <v>8.0320750551876388E-3</v>
      </c>
      <c r="Z10" s="19">
        <f t="shared" si="13"/>
        <v>7.1335717439293608E-3</v>
      </c>
      <c r="AA10" s="20">
        <f t="shared" si="14"/>
        <v>7.1426475349521722E-3</v>
      </c>
      <c r="AB10" s="111">
        <f t="shared" si="15"/>
        <v>5.1091141614155499E-4</v>
      </c>
      <c r="AD10" s="148"/>
      <c r="AE10" s="149"/>
      <c r="AF10" s="149"/>
    </row>
    <row r="11" spans="1:32" s="16" customFormat="1">
      <c r="A11" s="23"/>
      <c r="B11" s="21" t="s">
        <v>25</v>
      </c>
      <c r="C11" s="15">
        <v>0.54166666666666663</v>
      </c>
      <c r="D11" s="22">
        <f>30/60+24+D10</f>
        <v>69.8</v>
      </c>
      <c r="E11" s="17">
        <v>4</v>
      </c>
      <c r="F11" s="18">
        <v>0.33900000000000002</v>
      </c>
      <c r="G11" s="19">
        <v>0.48699999999999999</v>
      </c>
      <c r="H11" s="19">
        <v>0.40100000000000002</v>
      </c>
      <c r="I11" s="19">
        <f t="shared" si="0"/>
        <v>0.41812260000000007</v>
      </c>
      <c r="J11" s="19">
        <f t="shared" si="0"/>
        <v>0.60066580000000003</v>
      </c>
      <c r="K11" s="19">
        <f t="shared" si="0"/>
        <v>0.49459340000000007</v>
      </c>
      <c r="L11" s="20">
        <f t="shared" si="1"/>
        <v>0.50446060000000004</v>
      </c>
      <c r="M11" s="19">
        <f t="shared" si="2"/>
        <v>5.2926131521332125E-2</v>
      </c>
      <c r="N11" s="19">
        <f t="shared" si="3"/>
        <v>-0.87198058802643119</v>
      </c>
      <c r="O11" s="19">
        <f t="shared" si="3"/>
        <v>-0.50971657232429179</v>
      </c>
      <c r="P11" s="19">
        <f t="shared" si="3"/>
        <v>-0.70401926810031235</v>
      </c>
      <c r="Q11" s="20">
        <f t="shared" si="4"/>
        <v>-0.69523880948367844</v>
      </c>
      <c r="R11" s="19">
        <f t="shared" si="5"/>
        <v>0.10466872600144826</v>
      </c>
      <c r="S11" s="19">
        <f t="shared" si="6"/>
        <v>1.583350197784714E-2</v>
      </c>
      <c r="T11" s="19">
        <f t="shared" si="7"/>
        <v>2.046076598950082E-2</v>
      </c>
      <c r="U11" s="19">
        <f t="shared" si="8"/>
        <v>1.7372119328386625E-2</v>
      </c>
      <c r="V11" s="20">
        <f t="shared" si="9"/>
        <v>1.7888795765244863E-2</v>
      </c>
      <c r="W11" s="19">
        <f t="shared" si="10"/>
        <v>1.3605279567983552E-3</v>
      </c>
      <c r="X11" s="19">
        <f t="shared" si="11"/>
        <v>5.9902951289398289E-3</v>
      </c>
      <c r="Y11" s="19">
        <f t="shared" si="12"/>
        <v>8.6055272206303733E-3</v>
      </c>
      <c r="Z11" s="19">
        <f t="shared" si="13"/>
        <v>7.0858653295128955E-3</v>
      </c>
      <c r="AA11" s="20">
        <f t="shared" si="14"/>
        <v>7.2272292263610323E-3</v>
      </c>
      <c r="AB11" s="111">
        <f t="shared" si="15"/>
        <v>7.5825403325690557E-4</v>
      </c>
      <c r="AD11" s="148"/>
      <c r="AE11" s="149"/>
      <c r="AF11" s="149"/>
    </row>
    <row r="12" spans="1:32" s="16" customFormat="1">
      <c r="A12" s="23"/>
      <c r="B12" s="21" t="s">
        <v>26</v>
      </c>
      <c r="C12" s="15">
        <v>0.50277777777777777</v>
      </c>
      <c r="D12" s="22">
        <f>10+4/60+13+D11</f>
        <v>92.86666666666666</v>
      </c>
      <c r="E12" s="17">
        <v>5</v>
      </c>
      <c r="F12" s="18">
        <v>0.51800000000000002</v>
      </c>
      <c r="G12" s="19">
        <v>0.58599999999999997</v>
      </c>
      <c r="H12" s="19">
        <v>0.54400000000000004</v>
      </c>
      <c r="I12" s="19">
        <f t="shared" si="0"/>
        <v>0.63890120000000006</v>
      </c>
      <c r="J12" s="19">
        <f t="shared" si="0"/>
        <v>0.72277239999999998</v>
      </c>
      <c r="K12" s="19">
        <f t="shared" si="0"/>
        <v>0.67096960000000005</v>
      </c>
      <c r="L12" s="20">
        <f t="shared" si="1"/>
        <v>0.67754773333333329</v>
      </c>
      <c r="M12" s="19">
        <f t="shared" si="2"/>
        <v>2.4433913767366661E-2</v>
      </c>
      <c r="N12" s="19">
        <f t="shared" si="3"/>
        <v>-0.44800545314739854</v>
      </c>
      <c r="O12" s="19">
        <f t="shared" si="3"/>
        <v>-0.32466090582986906</v>
      </c>
      <c r="P12" s="19">
        <f t="shared" si="3"/>
        <v>-0.39903144855093897</v>
      </c>
      <c r="Q12" s="20">
        <f t="shared" si="4"/>
        <v>-0.39056593584273552</v>
      </c>
      <c r="R12" s="19">
        <f t="shared" si="5"/>
        <v>3.5857207631107814E-2</v>
      </c>
      <c r="S12" s="19">
        <f t="shared" si="6"/>
        <v>1.8380424922501418E-2</v>
      </c>
      <c r="T12" s="19">
        <f t="shared" si="7"/>
        <v>8.0226445012032983E-3</v>
      </c>
      <c r="U12" s="19">
        <f t="shared" si="8"/>
        <v>1.322201529838324E-2</v>
      </c>
      <c r="V12" s="20">
        <f t="shared" si="9"/>
        <v>1.3208361574029319E-2</v>
      </c>
      <c r="W12" s="19">
        <f t="shared" si="10"/>
        <v>2.9900414507772447E-3</v>
      </c>
      <c r="X12" s="19">
        <f t="shared" si="11"/>
        <v>6.8797688442211067E-3</v>
      </c>
      <c r="Y12" s="19">
        <f t="shared" si="12"/>
        <v>7.7829045226130659E-3</v>
      </c>
      <c r="Z12" s="19">
        <f t="shared" si="13"/>
        <v>7.2250854271356793E-3</v>
      </c>
      <c r="AA12" s="20">
        <f t="shared" si="14"/>
        <v>7.2959195979899506E-3</v>
      </c>
      <c r="AB12" s="111">
        <f t="shared" si="15"/>
        <v>2.6310747057465905E-4</v>
      </c>
      <c r="AD12" s="150"/>
      <c r="AE12" s="149"/>
      <c r="AF12" s="149"/>
    </row>
    <row r="13" spans="1:32" s="16" customFormat="1">
      <c r="A13" s="23"/>
      <c r="B13" s="21" t="s">
        <v>27</v>
      </c>
      <c r="C13" s="15">
        <v>0.51458333333333328</v>
      </c>
      <c r="D13" s="22">
        <f>17/60+24+D12</f>
        <v>117.14999999999999</v>
      </c>
      <c r="E13" s="17">
        <v>6</v>
      </c>
      <c r="F13" s="18">
        <v>0.53100000000000003</v>
      </c>
      <c r="G13" s="19">
        <v>0.74099999999999999</v>
      </c>
      <c r="H13" s="19">
        <v>0.64</v>
      </c>
      <c r="I13" s="19">
        <f t="shared" si="0"/>
        <v>0.65493540000000006</v>
      </c>
      <c r="J13" s="19">
        <f t="shared" si="0"/>
        <v>0.91394940000000002</v>
      </c>
      <c r="K13" s="19">
        <f t="shared" si="0"/>
        <v>0.78937600000000008</v>
      </c>
      <c r="L13" s="20">
        <f t="shared" si="1"/>
        <v>0.78608693333333335</v>
      </c>
      <c r="M13" s="19">
        <f t="shared" si="2"/>
        <v>7.4788984301730282E-2</v>
      </c>
      <c r="N13" s="19">
        <f t="shared" si="3"/>
        <v>-0.42321867416494274</v>
      </c>
      <c r="O13" s="19">
        <f t="shared" si="3"/>
        <v>-8.9980070110794758E-2</v>
      </c>
      <c r="P13" s="19">
        <f t="shared" si="3"/>
        <v>-0.23651251905316403</v>
      </c>
      <c r="Q13" s="20">
        <f t="shared" si="4"/>
        <v>-0.2499037544429672</v>
      </c>
      <c r="R13" s="19">
        <f t="shared" si="5"/>
        <v>9.6430433814465644E-2</v>
      </c>
      <c r="S13" s="19">
        <f t="shared" si="6"/>
        <v>1.0207321475273492E-3</v>
      </c>
      <c r="T13" s="19">
        <f t="shared" si="7"/>
        <v>9.6642760076489087E-3</v>
      </c>
      <c r="U13" s="19">
        <f t="shared" si="8"/>
        <v>6.6926120589337664E-3</v>
      </c>
      <c r="V13" s="20">
        <f t="shared" si="9"/>
        <v>5.7925400713700085E-3</v>
      </c>
      <c r="W13" s="19">
        <f t="shared" si="10"/>
        <v>2.5354361756614982E-3</v>
      </c>
      <c r="X13" s="19">
        <f t="shared" si="11"/>
        <v>5.5905710627400778E-3</v>
      </c>
      <c r="Y13" s="19">
        <f t="shared" si="12"/>
        <v>7.8015313700384127E-3</v>
      </c>
      <c r="Z13" s="19">
        <f t="shared" si="13"/>
        <v>6.7381647460520713E-3</v>
      </c>
      <c r="AA13" s="20">
        <f t="shared" si="14"/>
        <v>6.7100890596101873E-3</v>
      </c>
      <c r="AB13" s="111">
        <f t="shared" si="15"/>
        <v>6.3840362186709499E-4</v>
      </c>
      <c r="AD13" s="148"/>
      <c r="AE13" s="149"/>
      <c r="AF13" s="149"/>
    </row>
    <row r="14" spans="1:32" s="16" customFormat="1">
      <c r="A14" s="23"/>
      <c r="B14" s="21" t="s">
        <v>28</v>
      </c>
      <c r="C14" s="15">
        <v>0.49444444444444446</v>
      </c>
      <c r="D14" s="22">
        <f>11+31/60+12+24+D13</f>
        <v>164.66666666666666</v>
      </c>
      <c r="E14" s="17">
        <v>8</v>
      </c>
      <c r="F14" s="18">
        <v>0.76200000000000001</v>
      </c>
      <c r="G14" s="19">
        <v>0.89200000000000002</v>
      </c>
      <c r="H14" s="19">
        <v>0.91500000000000004</v>
      </c>
      <c r="I14" s="19">
        <f t="shared" si="0"/>
        <v>0.9398508000000001</v>
      </c>
      <c r="J14" s="19">
        <f t="shared" si="0"/>
        <v>1.1001928000000001</v>
      </c>
      <c r="K14" s="19">
        <f t="shared" si="0"/>
        <v>1.1285610000000001</v>
      </c>
      <c r="L14" s="20">
        <f t="shared" si="1"/>
        <v>1.0562015333333334</v>
      </c>
      <c r="M14" s="19">
        <f t="shared" si="2"/>
        <v>5.8748924963819095E-2</v>
      </c>
      <c r="N14" s="19">
        <f t="shared" si="3"/>
        <v>-6.203413972023529E-2</v>
      </c>
      <c r="O14" s="19">
        <f t="shared" si="3"/>
        <v>9.5485437173127782E-2</v>
      </c>
      <c r="P14" s="19">
        <f t="shared" si="3"/>
        <v>0.12094336986863978</v>
      </c>
      <c r="Q14" s="20">
        <f t="shared" si="4"/>
        <v>5.1464889107177426E-2</v>
      </c>
      <c r="R14" s="19">
        <f t="shared" si="5"/>
        <v>5.7223388991031458E-2</v>
      </c>
      <c r="S14" s="19">
        <f t="shared" si="6"/>
        <v>7.6012178416985082E-3</v>
      </c>
      <c r="T14" s="19">
        <f t="shared" si="7"/>
        <v>3.9031674630078399E-3</v>
      </c>
      <c r="U14" s="19">
        <f t="shared" si="8"/>
        <v>7.522747574643363E-3</v>
      </c>
      <c r="V14" s="20">
        <f t="shared" si="9"/>
        <v>6.342377626449903E-3</v>
      </c>
      <c r="W14" s="19">
        <f t="shared" si="10"/>
        <v>1.2198154316374018E-3</v>
      </c>
      <c r="X14" s="19">
        <f t="shared" si="11"/>
        <v>5.7075959514170053E-3</v>
      </c>
      <c r="Y14" s="19">
        <f t="shared" si="12"/>
        <v>6.6813327935222678E-3</v>
      </c>
      <c r="Z14" s="19">
        <f t="shared" si="13"/>
        <v>6.8536093117408919E-3</v>
      </c>
      <c r="AA14" s="20">
        <f t="shared" si="14"/>
        <v>6.4141793522267216E-3</v>
      </c>
      <c r="AB14" s="111">
        <f t="shared" si="15"/>
        <v>3.5677484795841537E-4</v>
      </c>
      <c r="AD14" s="150"/>
      <c r="AE14" s="149"/>
      <c r="AF14" s="149"/>
    </row>
    <row r="15" spans="1:32" s="16" customFormat="1">
      <c r="A15" s="23"/>
      <c r="B15" s="21" t="s">
        <v>29</v>
      </c>
      <c r="C15" s="15">
        <v>0.49513888888888885</v>
      </c>
      <c r="D15" s="22">
        <f>1/60+24+D14</f>
        <v>188.68333333333334</v>
      </c>
      <c r="E15" s="17">
        <v>9</v>
      </c>
      <c r="F15" s="18">
        <f>2*0.422</f>
        <v>0.84399999999999997</v>
      </c>
      <c r="G15" s="19">
        <f>2*0.463</f>
        <v>0.92600000000000005</v>
      </c>
      <c r="H15" s="19">
        <f>2*0.516</f>
        <v>1.032</v>
      </c>
      <c r="I15" s="19">
        <f t="shared" si="0"/>
        <v>1.0409896000000001</v>
      </c>
      <c r="J15" s="19">
        <f t="shared" si="0"/>
        <v>1.1421284</v>
      </c>
      <c r="K15" s="19">
        <f t="shared" si="0"/>
        <v>1.2728688000000001</v>
      </c>
      <c r="L15" s="20">
        <f t="shared" si="1"/>
        <v>1.1519956000000002</v>
      </c>
      <c r="M15" s="19">
        <f t="shared" si="2"/>
        <v>6.7119326762217574E-2</v>
      </c>
      <c r="N15" s="19">
        <f t="shared" si="3"/>
        <v>4.017179918907552E-2</v>
      </c>
      <c r="O15" s="19">
        <f t="shared" si="3"/>
        <v>0.13289353923929775</v>
      </c>
      <c r="P15" s="19">
        <f t="shared" si="3"/>
        <v>0.24127325063462648</v>
      </c>
      <c r="Q15" s="20">
        <f t="shared" si="4"/>
        <v>0.13811286302099993</v>
      </c>
      <c r="R15" s="19">
        <f t="shared" si="5"/>
        <v>5.8111615158332755E-2</v>
      </c>
      <c r="S15" s="19">
        <f t="shared" si="6"/>
        <v>4.2556254924071097E-3</v>
      </c>
      <c r="T15" s="19">
        <f t="shared" si="7"/>
        <v>1.5575892602152652E-3</v>
      </c>
      <c r="U15" s="19">
        <f t="shared" si="8"/>
        <v>5.0102656807489232E-3</v>
      </c>
      <c r="V15" s="20">
        <f t="shared" si="9"/>
        <v>3.6078268111237656E-3</v>
      </c>
      <c r="W15" s="19">
        <f t="shared" si="10"/>
        <v>1.0480101724747407E-3</v>
      </c>
      <c r="X15" s="19">
        <f t="shared" si="11"/>
        <v>5.5171253422842507E-3</v>
      </c>
      <c r="Y15" s="19">
        <f t="shared" si="12"/>
        <v>6.0531493684303512E-3</v>
      </c>
      <c r="Z15" s="19">
        <f t="shared" si="13"/>
        <v>6.7460584753997006E-3</v>
      </c>
      <c r="AA15" s="20">
        <f t="shared" si="14"/>
        <v>6.1054443953714342E-3</v>
      </c>
      <c r="AB15" s="111">
        <f t="shared" si="15"/>
        <v>3.5572472447072308E-4</v>
      </c>
      <c r="AD15" s="150"/>
      <c r="AE15" s="149"/>
      <c r="AF15" s="149"/>
    </row>
    <row r="16" spans="1:32" s="16" customFormat="1">
      <c r="A16" s="23"/>
      <c r="B16" s="21" t="s">
        <v>30</v>
      </c>
      <c r="C16" s="15">
        <v>0.50763888888888886</v>
      </c>
      <c r="D16" s="22">
        <f>18/60+24+D15</f>
        <v>212.98333333333335</v>
      </c>
      <c r="E16" s="17">
        <v>10</v>
      </c>
      <c r="F16" s="18">
        <f>2*0.473</f>
        <v>0.94599999999999995</v>
      </c>
      <c r="G16" s="19">
        <f>2*0.597</f>
        <v>1.194</v>
      </c>
      <c r="H16" s="19">
        <f>2*0.561</f>
        <v>1.1220000000000001</v>
      </c>
      <c r="I16" s="19">
        <f t="shared" si="0"/>
        <v>1.1667964</v>
      </c>
      <c r="J16" s="19">
        <f t="shared" si="0"/>
        <v>1.4726796</v>
      </c>
      <c r="K16" s="19">
        <f t="shared" si="0"/>
        <v>1.3838748000000003</v>
      </c>
      <c r="L16" s="20">
        <f t="shared" si="1"/>
        <v>1.3411169333333335</v>
      </c>
      <c r="M16" s="19">
        <f t="shared" si="2"/>
        <v>9.0852094787761781E-2</v>
      </c>
      <c r="N16" s="19">
        <f t="shared" si="3"/>
        <v>0.15426187364499658</v>
      </c>
      <c r="O16" s="19">
        <f t="shared" si="3"/>
        <v>0.38708359854566571</v>
      </c>
      <c r="P16" s="19">
        <f t="shared" si="3"/>
        <v>0.32488739067576017</v>
      </c>
      <c r="Q16" s="20">
        <f t="shared" si="4"/>
        <v>0.28874428762214083</v>
      </c>
      <c r="R16" s="19">
        <f t="shared" si="5"/>
        <v>6.9597010999489395E-2</v>
      </c>
      <c r="S16" s="19">
        <f t="shared" si="6"/>
        <v>4.6950647924247331E-3</v>
      </c>
      <c r="T16" s="19">
        <f t="shared" si="7"/>
        <v>1.0460496267751763E-2</v>
      </c>
      <c r="U16" s="19">
        <f t="shared" si="8"/>
        <v>3.4409111128038536E-3</v>
      </c>
      <c r="V16" s="20">
        <f t="shared" si="9"/>
        <v>6.1988240576601175E-3</v>
      </c>
      <c r="W16" s="19">
        <f t="shared" si="10"/>
        <v>2.1613740138105974E-3</v>
      </c>
      <c r="X16" s="19">
        <f t="shared" si="11"/>
        <v>5.4783460364660769E-3</v>
      </c>
      <c r="Y16" s="19">
        <f t="shared" si="12"/>
        <v>6.9145297754127861E-3</v>
      </c>
      <c r="Z16" s="19">
        <f t="shared" si="13"/>
        <v>6.497573206041162E-3</v>
      </c>
      <c r="AA16" s="20">
        <f t="shared" si="14"/>
        <v>6.2968163393066759E-3</v>
      </c>
      <c r="AB16" s="111">
        <f t="shared" si="15"/>
        <v>4.2656903413926787E-4</v>
      </c>
      <c r="AD16" s="150"/>
      <c r="AE16" s="149"/>
      <c r="AF16" s="149"/>
    </row>
    <row r="17" spans="1:32" s="16" customFormat="1">
      <c r="A17" s="23"/>
      <c r="B17" s="21" t="s">
        <v>31</v>
      </c>
      <c r="C17" s="15">
        <v>0.50763888888888886</v>
      </c>
      <c r="D17" s="22">
        <f>D16+24</f>
        <v>236.98333333333335</v>
      </c>
      <c r="E17" s="17">
        <v>11</v>
      </c>
      <c r="F17" s="18">
        <f>2*0.573</f>
        <v>1.1459999999999999</v>
      </c>
      <c r="G17" s="19">
        <f>2*0.597</f>
        <v>1.194</v>
      </c>
      <c r="H17" s="19">
        <f>2*0.561</f>
        <v>1.1220000000000001</v>
      </c>
      <c r="I17" s="19">
        <f t="shared" si="0"/>
        <v>1.4134764</v>
      </c>
      <c r="J17" s="19">
        <f t="shared" si="0"/>
        <v>1.4726796</v>
      </c>
      <c r="K17" s="19">
        <f t="shared" si="0"/>
        <v>1.3838748000000003</v>
      </c>
      <c r="L17" s="20">
        <f t="shared" si="1"/>
        <v>1.4233435999999999</v>
      </c>
      <c r="M17" s="19">
        <f t="shared" si="2"/>
        <v>2.6106157336536453E-2</v>
      </c>
      <c r="N17" s="19">
        <f t="shared" si="3"/>
        <v>0.34605220186780317</v>
      </c>
      <c r="O17" s="19">
        <f t="shared" si="3"/>
        <v>0.38708359854566571</v>
      </c>
      <c r="P17" s="19">
        <f t="shared" si="3"/>
        <v>0.32488739067576017</v>
      </c>
      <c r="Q17" s="20">
        <f t="shared" si="4"/>
        <v>0.35267439702974301</v>
      </c>
      <c r="R17" s="19">
        <f t="shared" si="5"/>
        <v>1.8257255817174349E-2</v>
      </c>
      <c r="S17" s="19">
        <f t="shared" si="6"/>
        <v>7.9912636759502751E-3</v>
      </c>
      <c r="T17" s="19">
        <f t="shared" si="7"/>
        <v>0</v>
      </c>
      <c r="U17" s="19">
        <f t="shared" si="8"/>
        <v>0</v>
      </c>
      <c r="V17" s="20">
        <f t="shared" si="9"/>
        <v>2.6637545586500918E-3</v>
      </c>
      <c r="W17" s="19">
        <f t="shared" si="10"/>
        <v>2.6637545586500914E-3</v>
      </c>
      <c r="X17" s="19">
        <f t="shared" si="11"/>
        <v>5.9644548843097262E-3</v>
      </c>
      <c r="Y17" s="19">
        <f t="shared" si="12"/>
        <v>6.2142749841761023E-3</v>
      </c>
      <c r="Z17" s="19">
        <f t="shared" si="13"/>
        <v>5.8395448343765395E-3</v>
      </c>
      <c r="AA17" s="20">
        <f t="shared" si="14"/>
        <v>6.0060915676207888E-3</v>
      </c>
      <c r="AB17" s="111">
        <f t="shared" si="15"/>
        <v>1.1016030945862489E-4</v>
      </c>
      <c r="AD17" s="150"/>
      <c r="AE17" s="149"/>
      <c r="AF17" s="149"/>
    </row>
    <row r="18" spans="1:32" s="16" customFormat="1">
      <c r="A18" s="23"/>
      <c r="B18" s="21" t="s">
        <v>32</v>
      </c>
      <c r="C18" s="15">
        <v>0.50624999999999998</v>
      </c>
      <c r="D18" s="22">
        <f>23+58/60+24+D16</f>
        <v>260.95000000000005</v>
      </c>
      <c r="E18" s="17">
        <v>12</v>
      </c>
      <c r="F18" s="18">
        <f>2*0.55</f>
        <v>1.1000000000000001</v>
      </c>
      <c r="G18" s="19">
        <f>2*0.671</f>
        <v>1.3420000000000001</v>
      </c>
      <c r="H18" s="19">
        <f>2*0.668</f>
        <v>1.3360000000000001</v>
      </c>
      <c r="I18" s="19">
        <f t="shared" si="0"/>
        <v>1.3567400000000001</v>
      </c>
      <c r="J18" s="19">
        <f t="shared" si="0"/>
        <v>1.6552228000000002</v>
      </c>
      <c r="K18" s="19">
        <f t="shared" si="0"/>
        <v>1.6478224000000001</v>
      </c>
      <c r="L18" s="20">
        <f t="shared" si="1"/>
        <v>1.5532617333333334</v>
      </c>
      <c r="M18" s="19">
        <f t="shared" si="2"/>
        <v>9.8284086935599368E-2</v>
      </c>
      <c r="N18" s="19">
        <f t="shared" si="3"/>
        <v>0.30508476337958029</v>
      </c>
      <c r="O18" s="19">
        <f t="shared" si="3"/>
        <v>0.50393562212474552</v>
      </c>
      <c r="P18" s="19">
        <f t="shared" si="3"/>
        <v>0.49945465868970945</v>
      </c>
      <c r="Q18" s="20">
        <f t="shared" si="4"/>
        <v>0.43615834806467846</v>
      </c>
      <c r="R18" s="19">
        <f t="shared" si="5"/>
        <v>6.5549556850720905E-2</v>
      </c>
      <c r="S18" s="19">
        <f t="shared" si="6"/>
        <v>-1.7093507018729967E-3</v>
      </c>
      <c r="T18" s="19">
        <f t="shared" si="7"/>
        <v>4.8756059907821836E-3</v>
      </c>
      <c r="U18" s="19">
        <f t="shared" si="8"/>
        <v>7.2837524901508653E-3</v>
      </c>
      <c r="V18" s="20">
        <f t="shared" si="9"/>
        <v>3.483335926353351E-3</v>
      </c>
      <c r="W18" s="19">
        <f t="shared" si="10"/>
        <v>2.6877988643017876E-3</v>
      </c>
      <c r="X18" s="19">
        <f t="shared" si="11"/>
        <v>5.1992335696493574E-3</v>
      </c>
      <c r="Y18" s="19">
        <f t="shared" si="12"/>
        <v>6.3430649549722166E-3</v>
      </c>
      <c r="Z18" s="19">
        <f t="shared" si="13"/>
        <v>6.3147054991377653E-3</v>
      </c>
      <c r="AA18" s="20">
        <f t="shared" si="14"/>
        <v>5.9523346745864467E-3</v>
      </c>
      <c r="AB18" s="111">
        <f t="shared" si="15"/>
        <v>3.7663953606284479E-4</v>
      </c>
      <c r="AD18" s="150"/>
      <c r="AE18" s="149"/>
      <c r="AF18" s="149"/>
    </row>
    <row r="19" spans="1:32" s="16" customFormat="1">
      <c r="A19" s="23"/>
      <c r="B19" s="21" t="s">
        <v>33</v>
      </c>
      <c r="C19" s="15">
        <v>0.50624999999999998</v>
      </c>
      <c r="D19" s="22">
        <f>D18+24</f>
        <v>284.95000000000005</v>
      </c>
      <c r="E19" s="17">
        <v>13</v>
      </c>
      <c r="F19" s="18">
        <f>2*0.6</f>
        <v>1.2</v>
      </c>
      <c r="G19" s="19">
        <f>2*0.701</f>
        <v>1.4019999999999999</v>
      </c>
      <c r="H19" s="19">
        <f>2*0.691</f>
        <v>1.3819999999999999</v>
      </c>
      <c r="I19" s="19">
        <f t="shared" si="0"/>
        <v>1.4800800000000001</v>
      </c>
      <c r="J19" s="19">
        <f t="shared" si="0"/>
        <v>1.7292268</v>
      </c>
      <c r="K19" s="19">
        <f t="shared" si="0"/>
        <v>1.7045588</v>
      </c>
      <c r="L19" s="20">
        <f t="shared" si="1"/>
        <v>1.6379552000000002</v>
      </c>
      <c r="M19" s="19">
        <f t="shared" si="2"/>
        <v>7.925814708339661E-2</v>
      </c>
      <c r="N19" s="19">
        <f t="shared" si="3"/>
        <v>0.39209614036921003</v>
      </c>
      <c r="O19" s="19">
        <f t="shared" si="3"/>
        <v>0.54767437218765369</v>
      </c>
      <c r="P19" s="19">
        <f t="shared" si="3"/>
        <v>0.53330630892073361</v>
      </c>
      <c r="Q19" s="20">
        <f t="shared" si="4"/>
        <v>0.49102560715919913</v>
      </c>
      <c r="R19" s="19">
        <f t="shared" si="5"/>
        <v>4.9638324777078593E-2</v>
      </c>
      <c r="S19" s="19">
        <f t="shared" si="6"/>
        <v>3.6254740412345727E-3</v>
      </c>
      <c r="T19" s="19">
        <f t="shared" si="7"/>
        <v>1.8224479192878406E-3</v>
      </c>
      <c r="U19" s="19">
        <f t="shared" si="8"/>
        <v>1.4104854262926732E-3</v>
      </c>
      <c r="V19" s="20">
        <f t="shared" si="9"/>
        <v>2.2861357956050288E-3</v>
      </c>
      <c r="W19" s="19">
        <f t="shared" si="10"/>
        <v>6.801466694920091E-4</v>
      </c>
      <c r="X19" s="19">
        <f t="shared" si="11"/>
        <v>5.1941744165643093E-3</v>
      </c>
      <c r="Y19" s="19">
        <f t="shared" si="12"/>
        <v>6.0685271100193007E-3</v>
      </c>
      <c r="Z19" s="19">
        <f t="shared" si="13"/>
        <v>5.9819575364098961E-3</v>
      </c>
      <c r="AA19" s="20">
        <f t="shared" si="14"/>
        <v>5.7482196876645015E-3</v>
      </c>
      <c r="AB19" s="111">
        <f t="shared" si="15"/>
        <v>2.781475595135869E-4</v>
      </c>
      <c r="AD19" s="150"/>
      <c r="AE19" s="149"/>
      <c r="AF19" s="149"/>
    </row>
    <row r="20" spans="1:32" s="16" customFormat="1">
      <c r="A20" s="23"/>
      <c r="B20" s="21" t="s">
        <v>34</v>
      </c>
      <c r="C20" s="15">
        <v>0.50624999999999998</v>
      </c>
      <c r="D20" s="22">
        <f>D19+24</f>
        <v>308.95000000000005</v>
      </c>
      <c r="E20" s="17">
        <v>14</v>
      </c>
      <c r="F20" s="18">
        <f>2*0.698</f>
        <v>1.3959999999999999</v>
      </c>
      <c r="G20" s="19">
        <f>2*0.732</f>
        <v>1.464</v>
      </c>
      <c r="H20" s="19">
        <f>2*0.695</f>
        <v>1.39</v>
      </c>
      <c r="I20" s="19">
        <f t="shared" si="0"/>
        <v>1.7218263999999999</v>
      </c>
      <c r="J20" s="19">
        <f t="shared" si="0"/>
        <v>1.8056976</v>
      </c>
      <c r="K20" s="19">
        <f t="shared" si="0"/>
        <v>1.714426</v>
      </c>
      <c r="L20" s="20">
        <f t="shared" si="1"/>
        <v>1.7473166666666664</v>
      </c>
      <c r="M20" s="19">
        <f t="shared" si="2"/>
        <v>2.9268535509959826E-2</v>
      </c>
      <c r="N20" s="19">
        <f t="shared" si="3"/>
        <v>0.54338558791543601</v>
      </c>
      <c r="O20" s="19">
        <f t="shared" si="3"/>
        <v>0.5909469991143752</v>
      </c>
      <c r="P20" s="19">
        <f t="shared" si="3"/>
        <v>0.53907833071785582</v>
      </c>
      <c r="Q20" s="20">
        <f t="shared" si="4"/>
        <v>0.55780363924922227</v>
      </c>
      <c r="R20" s="19">
        <f t="shared" si="5"/>
        <v>1.6618261476508262E-2</v>
      </c>
      <c r="S20" s="19">
        <f t="shared" si="6"/>
        <v>6.3037269810927487E-3</v>
      </c>
      <c r="T20" s="19">
        <f t="shared" si="7"/>
        <v>1.8030261219467297E-3</v>
      </c>
      <c r="U20" s="19">
        <f t="shared" si="8"/>
        <v>2.4050090821342573E-4</v>
      </c>
      <c r="V20" s="20">
        <f t="shared" si="9"/>
        <v>2.7824180037509679E-3</v>
      </c>
      <c r="W20" s="19">
        <f t="shared" si="10"/>
        <v>1.817515148613526E-3</v>
      </c>
      <c r="X20" s="19">
        <f t="shared" si="11"/>
        <v>5.5731555267842679E-3</v>
      </c>
      <c r="Y20" s="19">
        <f t="shared" si="12"/>
        <v>5.8446272859686028E-3</v>
      </c>
      <c r="Z20" s="19">
        <f t="shared" si="13"/>
        <v>5.5492021362680034E-3</v>
      </c>
      <c r="AA20" s="20">
        <f t="shared" si="14"/>
        <v>5.6556616496736241E-3</v>
      </c>
      <c r="AB20" s="111">
        <f t="shared" si="15"/>
        <v>9.4735509014273731E-5</v>
      </c>
      <c r="AD20" s="150"/>
      <c r="AE20" s="149"/>
      <c r="AF20" s="149"/>
    </row>
    <row r="21" spans="1:32" s="16" customFormat="1">
      <c r="A21" s="23"/>
      <c r="B21" s="23" t="s">
        <v>35</v>
      </c>
      <c r="C21" s="15">
        <v>0.50624999999999998</v>
      </c>
      <c r="D21" s="22">
        <f>D20+24</f>
        <v>332.95000000000005</v>
      </c>
      <c r="E21" s="17">
        <v>15</v>
      </c>
      <c r="F21" s="18">
        <f>2*0.805</f>
        <v>1.61</v>
      </c>
      <c r="G21" s="19">
        <f>2*0.736</f>
        <v>1.472</v>
      </c>
      <c r="H21" s="19">
        <f>2*0.688</f>
        <v>1.3759999999999999</v>
      </c>
      <c r="I21" s="19">
        <f t="shared" si="0"/>
        <v>1.9857740000000002</v>
      </c>
      <c r="J21" s="19">
        <f t="shared" si="0"/>
        <v>1.8155648</v>
      </c>
      <c r="K21" s="19">
        <f t="shared" si="0"/>
        <v>1.6971584</v>
      </c>
      <c r="L21" s="20">
        <f t="shared" si="1"/>
        <v>1.8328324</v>
      </c>
      <c r="M21" s="19">
        <f t="shared" si="2"/>
        <v>8.3762299889150682E-2</v>
      </c>
      <c r="N21" s="19">
        <f t="shared" si="3"/>
        <v>0.68600876257162713</v>
      </c>
      <c r="O21" s="19">
        <f t="shared" si="3"/>
        <v>0.59639660388193982</v>
      </c>
      <c r="P21" s="19">
        <f t="shared" si="3"/>
        <v>0.52895532308640725</v>
      </c>
      <c r="Q21" s="20">
        <f t="shared" si="4"/>
        <v>0.60378689651332473</v>
      </c>
      <c r="R21" s="19">
        <f t="shared" si="5"/>
        <v>4.5487756713272473E-2</v>
      </c>
      <c r="S21" s="19">
        <f t="shared" si="6"/>
        <v>5.9426322773412964E-3</v>
      </c>
      <c r="T21" s="19">
        <f t="shared" si="7"/>
        <v>2.2706686531519249E-4</v>
      </c>
      <c r="U21" s="19">
        <f t="shared" si="8"/>
        <v>-4.2179198464369072E-4</v>
      </c>
      <c r="V21" s="20">
        <f t="shared" si="9"/>
        <v>1.9159690526709327E-3</v>
      </c>
      <c r="W21" s="19">
        <f t="shared" si="10"/>
        <v>2.0220259638521823E-3</v>
      </c>
      <c r="X21" s="19">
        <f t="shared" si="11"/>
        <v>5.9641808079291181E-3</v>
      </c>
      <c r="Y21" s="19">
        <f t="shared" si="12"/>
        <v>5.4529653101066215E-3</v>
      </c>
      <c r="Z21" s="19">
        <f t="shared" si="13"/>
        <v>5.0973371377083642E-3</v>
      </c>
      <c r="AA21" s="20">
        <f t="shared" si="14"/>
        <v>5.504827751914701E-3</v>
      </c>
      <c r="AB21" s="111">
        <f t="shared" si="15"/>
        <v>2.5157621231161018E-4</v>
      </c>
      <c r="AD21" s="150"/>
      <c r="AE21" s="149"/>
      <c r="AF21" s="149"/>
    </row>
    <row r="22" spans="1:32" s="16" customFormat="1">
      <c r="A22" s="23"/>
      <c r="B22" s="23" t="s">
        <v>36</v>
      </c>
      <c r="C22" s="15">
        <v>0.48749999999999999</v>
      </c>
      <c r="D22" s="22">
        <f>11+33/60+12+24+24+D18+24</f>
        <v>356.50000000000006</v>
      </c>
      <c r="E22" s="17">
        <v>16</v>
      </c>
      <c r="F22" s="18">
        <f>4*0.352</f>
        <v>1.4079999999999999</v>
      </c>
      <c r="G22" s="19">
        <f>4*0.399</f>
        <v>1.5960000000000001</v>
      </c>
      <c r="H22" s="19">
        <f>4*0.426</f>
        <v>1.704</v>
      </c>
      <c r="I22" s="19">
        <f t="shared" si="0"/>
        <v>1.7366272</v>
      </c>
      <c r="J22" s="19">
        <f t="shared" si="0"/>
        <v>1.9685064000000001</v>
      </c>
      <c r="K22" s="19">
        <f t="shared" si="0"/>
        <v>2.1017136000000001</v>
      </c>
      <c r="L22" s="20">
        <f t="shared" si="1"/>
        <v>1.9356157333333333</v>
      </c>
      <c r="M22" s="19">
        <f t="shared" si="2"/>
        <v>0.10666671900765384</v>
      </c>
      <c r="N22" s="19">
        <f t="shared" si="3"/>
        <v>0.5519448413111061</v>
      </c>
      <c r="O22" s="19">
        <f t="shared" si="3"/>
        <v>0.6772750826028725</v>
      </c>
      <c r="P22" s="19">
        <f t="shared" si="3"/>
        <v>0.74275301198237942</v>
      </c>
      <c r="Q22" s="20">
        <f t="shared" si="4"/>
        <v>0.65732431196545271</v>
      </c>
      <c r="R22" s="19">
        <f t="shared" si="5"/>
        <v>5.5977568231984576E-2</v>
      </c>
      <c r="S22" s="19">
        <f t="shared" si="6"/>
        <v>-5.6927355100008896E-3</v>
      </c>
      <c r="T22" s="19">
        <f t="shared" si="7"/>
        <v>3.4343303066213435E-3</v>
      </c>
      <c r="U22" s="19">
        <f t="shared" si="8"/>
        <v>9.078458127217498E-3</v>
      </c>
      <c r="V22" s="20">
        <f t="shared" si="9"/>
        <v>2.2733509746126509E-3</v>
      </c>
      <c r="W22" s="19">
        <f t="shared" si="10"/>
        <v>4.3034073757145736E-3</v>
      </c>
      <c r="X22" s="19">
        <f t="shared" si="11"/>
        <v>4.8713245441795224E-3</v>
      </c>
      <c r="Y22" s="19">
        <f t="shared" si="12"/>
        <v>5.5217570827489479E-3</v>
      </c>
      <c r="Z22" s="19">
        <f t="shared" si="13"/>
        <v>5.8954098176718086E-3</v>
      </c>
      <c r="AA22" s="20">
        <f t="shared" si="14"/>
        <v>5.429497148200093E-3</v>
      </c>
      <c r="AB22" s="111">
        <f t="shared" si="15"/>
        <v>2.9920538291067E-4</v>
      </c>
      <c r="AD22" s="150"/>
      <c r="AE22" s="149"/>
      <c r="AF22" s="149"/>
    </row>
    <row r="23" spans="1:32" s="16" customFormat="1">
      <c r="A23" s="23"/>
      <c r="B23" s="23" t="s">
        <v>37</v>
      </c>
      <c r="C23" s="15">
        <v>0.52638888888888891</v>
      </c>
      <c r="D23" s="22">
        <f>56/60+24+D22</f>
        <v>381.43333333333339</v>
      </c>
      <c r="E23" s="17">
        <v>17</v>
      </c>
      <c r="F23" s="18">
        <f>2*0.756</f>
        <v>1.512</v>
      </c>
      <c r="G23" s="19">
        <f>4*0.407</f>
        <v>1.6279999999999999</v>
      </c>
      <c r="H23" s="19">
        <f>2*0.796</f>
        <v>1.5920000000000001</v>
      </c>
      <c r="I23" s="19">
        <f t="shared" si="0"/>
        <v>1.8649008</v>
      </c>
      <c r="J23" s="19">
        <f t="shared" si="0"/>
        <v>2.0079751999999997</v>
      </c>
      <c r="K23" s="19">
        <f t="shared" si="0"/>
        <v>1.9635728000000001</v>
      </c>
      <c r="L23" s="20">
        <f t="shared" si="1"/>
        <v>1.9454829333333332</v>
      </c>
      <c r="M23" s="19">
        <f t="shared" si="2"/>
        <v>4.2280820872090133E-2</v>
      </c>
      <c r="N23" s="19">
        <f t="shared" si="3"/>
        <v>0.62320786133259665</v>
      </c>
      <c r="O23" s="19">
        <f t="shared" si="3"/>
        <v>0.6971268511556038</v>
      </c>
      <c r="P23" s="19">
        <f t="shared" si="3"/>
        <v>0.67476567099744666</v>
      </c>
      <c r="Q23" s="20">
        <f t="shared" si="4"/>
        <v>0.66503346116188233</v>
      </c>
      <c r="R23" s="19">
        <f t="shared" si="5"/>
        <v>2.1886382336406121E-2</v>
      </c>
      <c r="S23" s="19">
        <f t="shared" si="6"/>
        <v>2.8581425142309037E-3</v>
      </c>
      <c r="T23" s="19">
        <f t="shared" si="7"/>
        <v>7.9619392591168288E-4</v>
      </c>
      <c r="U23" s="19">
        <f t="shared" si="8"/>
        <v>-2.726765012764682E-3</v>
      </c>
      <c r="V23" s="20">
        <f t="shared" si="9"/>
        <v>3.0919047579263488E-4</v>
      </c>
      <c r="W23" s="19">
        <f t="shared" si="10"/>
        <v>1.6305088460961993E-3</v>
      </c>
      <c r="X23" s="19">
        <f t="shared" si="11"/>
        <v>4.8891919951061773E-3</v>
      </c>
      <c r="Y23" s="19">
        <f t="shared" si="12"/>
        <v>5.2642887354714656E-3</v>
      </c>
      <c r="Z23" s="19">
        <f t="shared" si="13"/>
        <v>5.1478794022546534E-3</v>
      </c>
      <c r="AA23" s="20">
        <f t="shared" si="14"/>
        <v>5.100453377610766E-3</v>
      </c>
      <c r="AB23" s="111">
        <f t="shared" si="15"/>
        <v>1.1084721018637641E-4</v>
      </c>
      <c r="AD23" s="150"/>
      <c r="AE23" s="149"/>
      <c r="AF23" s="149"/>
    </row>
    <row r="24" spans="1:32" s="16" customFormat="1" ht="15" thickBot="1">
      <c r="B24" s="23" t="s">
        <v>84</v>
      </c>
      <c r="C24" s="15">
        <v>0.52638888888888891</v>
      </c>
      <c r="D24" s="22">
        <f>D23+24</f>
        <v>405.43333333333339</v>
      </c>
      <c r="E24" s="26">
        <v>18</v>
      </c>
      <c r="F24" s="19">
        <f>2*0.796</f>
        <v>1.5920000000000001</v>
      </c>
      <c r="G24" s="19">
        <f t="shared" ref="G24:H24" si="16">2*0.796</f>
        <v>1.5920000000000001</v>
      </c>
      <c r="H24" s="19">
        <f t="shared" si="16"/>
        <v>1.5920000000000001</v>
      </c>
      <c r="I24" s="19">
        <f t="shared" si="0"/>
        <v>1.9635728000000001</v>
      </c>
      <c r="J24" s="19">
        <f t="shared" si="0"/>
        <v>1.9635728000000001</v>
      </c>
      <c r="K24" s="19">
        <f t="shared" si="0"/>
        <v>1.9635728000000001</v>
      </c>
      <c r="L24" s="20">
        <f t="shared" si="1"/>
        <v>1.9635728000000003</v>
      </c>
      <c r="M24" s="19">
        <f t="shared" si="2"/>
        <v>1.5700924586837749E-16</v>
      </c>
      <c r="N24" s="19">
        <f t="shared" si="3"/>
        <v>0.67476567099744666</v>
      </c>
      <c r="O24" s="19">
        <f t="shared" si="3"/>
        <v>0.67476567099744666</v>
      </c>
      <c r="P24" s="19">
        <f t="shared" si="3"/>
        <v>0.67476567099744666</v>
      </c>
      <c r="Q24" s="20">
        <f t="shared" si="4"/>
        <v>0.67476567099744666</v>
      </c>
      <c r="R24" s="19">
        <f t="shared" si="5"/>
        <v>0</v>
      </c>
      <c r="S24" s="19">
        <f t="shared" si="6"/>
        <v>2.1482420693687506E-3</v>
      </c>
      <c r="T24" s="19">
        <f t="shared" si="7"/>
        <v>-9.3171583992321394E-4</v>
      </c>
      <c r="U24" s="19">
        <f t="shared" si="8"/>
        <v>0</v>
      </c>
      <c r="V24" s="20">
        <f t="shared" si="9"/>
        <v>4.0550874314851225E-4</v>
      </c>
      <c r="W24" s="19">
        <f t="shared" si="10"/>
        <v>9.1193259735025504E-4</v>
      </c>
      <c r="X24" s="19">
        <f t="shared" si="11"/>
        <v>4.843145934391186E-3</v>
      </c>
      <c r="Y24" s="19">
        <f t="shared" si="12"/>
        <v>4.843145934391186E-3</v>
      </c>
      <c r="Z24" s="19">
        <f t="shared" si="13"/>
        <v>4.843145934391186E-3</v>
      </c>
      <c r="AA24" s="20">
        <f t="shared" si="14"/>
        <v>4.843145934391186E-3</v>
      </c>
      <c r="AB24" s="111">
        <f t="shared" si="15"/>
        <v>0</v>
      </c>
      <c r="AD24" s="150"/>
      <c r="AE24" s="149"/>
      <c r="AF24" s="149"/>
    </row>
    <row r="25" spans="1:32" ht="15" thickBot="1">
      <c r="B25" s="192" t="s">
        <v>11</v>
      </c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4"/>
    </row>
    <row r="26" spans="1:32" ht="60">
      <c r="B26" s="2" t="s">
        <v>1</v>
      </c>
      <c r="C26" s="3" t="s">
        <v>2</v>
      </c>
      <c r="D26" s="4" t="s">
        <v>3</v>
      </c>
      <c r="E26" s="5" t="s">
        <v>4</v>
      </c>
      <c r="F26" s="180" t="s">
        <v>54</v>
      </c>
      <c r="G26" s="180"/>
      <c r="H26" s="181"/>
      <c r="I26" s="182" t="s">
        <v>12</v>
      </c>
      <c r="J26" s="180"/>
      <c r="K26" s="181"/>
      <c r="L26" s="6" t="s">
        <v>5</v>
      </c>
      <c r="M26" s="7" t="s">
        <v>62</v>
      </c>
      <c r="N26" s="182" t="s">
        <v>56</v>
      </c>
      <c r="O26" s="180"/>
      <c r="P26" s="181"/>
      <c r="Q26" s="7" t="s">
        <v>6</v>
      </c>
      <c r="R26" s="7" t="s">
        <v>55</v>
      </c>
      <c r="S26" s="195" t="s">
        <v>7</v>
      </c>
      <c r="T26" s="196"/>
      <c r="U26" s="196"/>
      <c r="V26" s="6" t="s">
        <v>57</v>
      </c>
      <c r="W26" s="6" t="s">
        <v>55</v>
      </c>
      <c r="X26" s="182" t="s">
        <v>58</v>
      </c>
      <c r="Y26" s="180"/>
      <c r="Z26" s="181"/>
      <c r="AA26" s="6" t="s">
        <v>59</v>
      </c>
      <c r="AB26" s="106" t="s">
        <v>55</v>
      </c>
    </row>
    <row r="27" spans="1:32" ht="15" customHeight="1">
      <c r="B27" s="8"/>
      <c r="C27" s="107"/>
      <c r="D27" s="12"/>
      <c r="E27" s="11"/>
      <c r="F27" s="184" t="s">
        <v>15</v>
      </c>
      <c r="G27" s="184"/>
      <c r="H27" s="185"/>
      <c r="I27" s="186" t="s">
        <v>8</v>
      </c>
      <c r="J27" s="184"/>
      <c r="K27" s="185"/>
      <c r="L27" s="12" t="s">
        <v>8</v>
      </c>
      <c r="M27" s="12"/>
      <c r="N27" s="186" t="s">
        <v>8</v>
      </c>
      <c r="O27" s="184"/>
      <c r="P27" s="185"/>
      <c r="Q27" s="13"/>
      <c r="R27" s="13"/>
      <c r="S27" s="190" t="s">
        <v>60</v>
      </c>
      <c r="T27" s="191"/>
      <c r="U27" s="191"/>
      <c r="V27" s="12" t="s">
        <v>60</v>
      </c>
      <c r="W27" s="10"/>
      <c r="X27" s="187" t="s">
        <v>61</v>
      </c>
      <c r="Y27" s="188"/>
      <c r="Z27" s="189"/>
      <c r="AA27" s="109" t="s">
        <v>61</v>
      </c>
      <c r="AB27" s="110"/>
    </row>
    <row r="28" spans="1:32" s="16" customFormat="1" ht="13">
      <c r="B28" s="171" t="s">
        <v>9</v>
      </c>
      <c r="C28" s="15">
        <v>0.6333333333333333</v>
      </c>
      <c r="D28" s="16">
        <v>0</v>
      </c>
      <c r="E28" s="172">
        <v>1</v>
      </c>
      <c r="F28" s="19">
        <v>0.12</v>
      </c>
      <c r="G28" s="19">
        <v>0.114</v>
      </c>
      <c r="H28" s="19">
        <v>0.12</v>
      </c>
      <c r="I28" s="19">
        <f t="shared" ref="I28:K48" si="17">1.2334*F28</f>
        <v>0.148008</v>
      </c>
      <c r="J28" s="19">
        <f t="shared" si="17"/>
        <v>0.1406076</v>
      </c>
      <c r="K28" s="19">
        <f t="shared" si="17"/>
        <v>0.148008</v>
      </c>
      <c r="L28" s="20">
        <f t="shared" ref="L28:L48" si="18">AVERAGE(I28:K28)</f>
        <v>0.14554120000000001</v>
      </c>
      <c r="M28" s="19">
        <f>STDEV(I28:K28)/SQRT(3)</f>
        <v>2.4668000000000008E-3</v>
      </c>
      <c r="N28" s="19">
        <f t="shared" ref="N28:P48" si="19">LN(I28)</f>
        <v>-1.9104889526248356</v>
      </c>
      <c r="O28" s="19">
        <f t="shared" si="19"/>
        <v>-1.9617822470123862</v>
      </c>
      <c r="P28" s="19">
        <f t="shared" si="19"/>
        <v>-1.9104889526248356</v>
      </c>
      <c r="Q28" s="20">
        <f t="shared" ref="Q28:Q47" si="20">AVERAGE(N28:P28)</f>
        <v>-1.927586717420686</v>
      </c>
      <c r="R28" s="19">
        <f>STDEV(N28:P28)/SQRT(3)</f>
        <v>1.7097764795850196E-2</v>
      </c>
      <c r="S28" s="19"/>
      <c r="T28" s="19"/>
      <c r="U28" s="84"/>
      <c r="V28" s="112"/>
      <c r="W28" s="84"/>
      <c r="X28" s="84"/>
      <c r="Y28" s="84"/>
      <c r="Z28" s="84"/>
      <c r="AA28" s="112"/>
      <c r="AB28" s="113"/>
      <c r="AC28" s="75"/>
    </row>
    <row r="29" spans="1:32" s="16" customFormat="1" ht="13">
      <c r="B29" s="171"/>
      <c r="C29" s="15">
        <v>0.74097222222222225</v>
      </c>
      <c r="D29" s="22">
        <f>2+35/60+D28</f>
        <v>2.5833333333333335</v>
      </c>
      <c r="E29" s="172"/>
      <c r="F29" s="19">
        <v>0.13500000000000001</v>
      </c>
      <c r="G29" s="19">
        <v>0.11799999999999999</v>
      </c>
      <c r="H29" s="19">
        <v>0.16200000000000001</v>
      </c>
      <c r="I29" s="19">
        <f t="shared" si="17"/>
        <v>0.16650900000000002</v>
      </c>
      <c r="J29" s="19">
        <f t="shared" si="17"/>
        <v>0.14554120000000001</v>
      </c>
      <c r="K29" s="19">
        <f t="shared" si="17"/>
        <v>0.19981080000000001</v>
      </c>
      <c r="L29" s="20">
        <f t="shared" si="18"/>
        <v>0.17062033333333337</v>
      </c>
      <c r="M29" s="19">
        <f t="shared" ref="M29:M48" si="21">STDEV(I29:K29)/SQRT(3)</f>
        <v>1.5800576649533288E-2</v>
      </c>
      <c r="N29" s="19">
        <f t="shared" si="19"/>
        <v>-1.7927059169684521</v>
      </c>
      <c r="O29" s="19">
        <f t="shared" si="19"/>
        <v>-1.9272960709412168</v>
      </c>
      <c r="P29" s="19">
        <f t="shared" si="19"/>
        <v>-1.6103843601744976</v>
      </c>
      <c r="Q29" s="20">
        <f t="shared" si="20"/>
        <v>-1.7767954493613889</v>
      </c>
      <c r="R29" s="19">
        <f t="shared" ref="R29:R48" si="22">STDEV(N29:P29)/SQRT(3)</f>
        <v>9.1829761587912825E-2</v>
      </c>
      <c r="S29" s="19">
        <f>(N29-N28)/(D29-D28)</f>
        <v>4.5593433157309779E-2</v>
      </c>
      <c r="T29" s="19">
        <f>(O29-O28)/(D29-D28)</f>
        <v>1.3349487511420427E-2</v>
      </c>
      <c r="U29" s="19">
        <f>(P29-P28)/(D29-D28)</f>
        <v>0.11616951965819537</v>
      </c>
      <c r="V29" s="20">
        <f>AVERAGE(S29:U29)</f>
        <v>5.8370813442308524E-2</v>
      </c>
      <c r="W29" s="19">
        <f>STDEV(S29:U29)/SQRT(3)</f>
        <v>3.0361356128454718E-2</v>
      </c>
      <c r="X29" s="19">
        <f>I29/D29</f>
        <v>6.4455096774193546E-2</v>
      </c>
      <c r="Y29" s="19">
        <f>J29/D29</f>
        <v>5.6338529032258063E-2</v>
      </c>
      <c r="Z29" s="19">
        <f>K29/D29</f>
        <v>7.7346116129032264E-2</v>
      </c>
      <c r="AA29" s="20">
        <f>AVERAGE(X29:Z29)</f>
        <v>6.6046580645161293E-2</v>
      </c>
      <c r="AB29" s="111">
        <f>STDEV(X29:Z29)/SQRT(3)</f>
        <v>6.1163522514322173E-3</v>
      </c>
    </row>
    <row r="30" spans="1:32" s="16" customFormat="1" ht="13">
      <c r="B30" s="171"/>
      <c r="C30" s="15">
        <v>0.8847222222222223</v>
      </c>
      <c r="D30" s="22">
        <f>3+27/60+D29</f>
        <v>6.0333333333333332</v>
      </c>
      <c r="E30" s="172"/>
      <c r="F30" s="19">
        <v>0.151</v>
      </c>
      <c r="G30" s="19">
        <v>0.14899999999999999</v>
      </c>
      <c r="H30" s="19">
        <v>0.14599999999999999</v>
      </c>
      <c r="I30" s="19">
        <f t="shared" si="17"/>
        <v>0.1862434</v>
      </c>
      <c r="J30" s="19">
        <f t="shared" si="17"/>
        <v>0.18377660000000001</v>
      </c>
      <c r="K30" s="19">
        <f t="shared" si="17"/>
        <v>0.1800764</v>
      </c>
      <c r="L30" s="20">
        <f t="shared" si="18"/>
        <v>0.18336546666666667</v>
      </c>
      <c r="M30" s="19">
        <f t="shared" si="21"/>
        <v>1.7920886523210245E-3</v>
      </c>
      <c r="N30" s="19">
        <f t="shared" si="19"/>
        <v>-1.6807008585919574</v>
      </c>
      <c r="O30" s="19">
        <f t="shared" si="19"/>
        <v>-1.6940343894614225</v>
      </c>
      <c r="P30" s="19">
        <f t="shared" si="19"/>
        <v>-1.7143740736985453</v>
      </c>
      <c r="Q30" s="20">
        <f t="shared" si="20"/>
        <v>-1.6963697739173085</v>
      </c>
      <c r="R30" s="19">
        <f t="shared" si="22"/>
        <v>9.790503380338024E-3</v>
      </c>
      <c r="S30" s="19">
        <f t="shared" ref="S30:S46" si="23">(N30-N29)/(D30-D29)</f>
        <v>3.2465234312027441E-2</v>
      </c>
      <c r="T30" s="19">
        <f t="shared" ref="T30:T46" si="24">(O30-O29)/(D30-D29)</f>
        <v>6.7612081588346182E-2</v>
      </c>
      <c r="U30" s="19">
        <f t="shared" ref="U30:U46" si="25">(P30-P29)/(D30-D29)</f>
        <v>-3.0141945948999344E-2</v>
      </c>
      <c r="V30" s="20">
        <f t="shared" ref="V30:V48" si="26">AVERAGE(S30:U30)</f>
        <v>2.3311789983791426E-2</v>
      </c>
      <c r="W30" s="19">
        <f t="shared" ref="W30:W48" si="27">STDEV(S30:U30)/SQRT(3)</f>
        <v>2.8587885734145117E-2</v>
      </c>
      <c r="X30" s="19">
        <f t="shared" ref="X30:X48" si="28">I30/D30</f>
        <v>3.0869071823204423E-2</v>
      </c>
      <c r="Y30" s="19">
        <f t="shared" ref="Y30:Y48" si="29">J30/D30</f>
        <v>3.0460209944751383E-2</v>
      </c>
      <c r="Z30" s="19">
        <f t="shared" ref="Z30:Z48" si="30">K30/D30</f>
        <v>2.9846917127071822E-2</v>
      </c>
      <c r="AA30" s="20">
        <f t="shared" ref="AA30:AA48" si="31">AVERAGE(X30:Z30)</f>
        <v>3.0392066298342544E-2</v>
      </c>
      <c r="AB30" s="111">
        <f t="shared" ref="AB30:AB48" si="32">STDEV(X30:Z30)/SQRT(3)</f>
        <v>2.9703126834050206E-4</v>
      </c>
    </row>
    <row r="31" spans="1:32" s="16" customFormat="1" ht="15" customHeight="1">
      <c r="B31" s="197" t="s">
        <v>10</v>
      </c>
      <c r="C31" s="15">
        <v>0.46249999999999997</v>
      </c>
      <c r="D31" s="22">
        <f>1+52/60+12+D30</f>
        <v>19.899999999999999</v>
      </c>
      <c r="E31" s="172">
        <v>2</v>
      </c>
      <c r="F31" s="19">
        <v>0.20200000000000001</v>
      </c>
      <c r="G31" s="19">
        <v>0.193</v>
      </c>
      <c r="H31" s="19">
        <v>0.23</v>
      </c>
      <c r="I31" s="19">
        <f t="shared" si="17"/>
        <v>0.24914680000000003</v>
      </c>
      <c r="J31" s="19">
        <f t="shared" si="17"/>
        <v>0.23804620000000001</v>
      </c>
      <c r="K31" s="19">
        <f t="shared" si="17"/>
        <v>0.28368200000000005</v>
      </c>
      <c r="L31" s="20">
        <f t="shared" si="18"/>
        <v>0.25695833333333334</v>
      </c>
      <c r="M31" s="19">
        <f t="shared" si="21"/>
        <v>1.3740713229588123E-2</v>
      </c>
      <c r="N31" s="19">
        <f t="shared" si="19"/>
        <v>-1.3897129980056768</v>
      </c>
      <c r="O31" s="19">
        <f t="shared" si="19"/>
        <v>-1.4352905065019961</v>
      </c>
      <c r="P31" s="19">
        <f t="shared" si="19"/>
        <v>-1.2599013864836861</v>
      </c>
      <c r="Q31" s="20">
        <f t="shared" si="20"/>
        <v>-1.3616349636637863</v>
      </c>
      <c r="R31" s="19">
        <f t="shared" si="22"/>
        <v>5.2540834483214324E-2</v>
      </c>
      <c r="S31" s="19">
        <f t="shared" si="23"/>
        <v>2.0984701484587542E-2</v>
      </c>
      <c r="T31" s="19">
        <f t="shared" si="24"/>
        <v>1.8659414636497097E-2</v>
      </c>
      <c r="U31" s="19">
        <f t="shared" si="25"/>
        <v>3.2774472635686967E-2</v>
      </c>
      <c r="V31" s="20">
        <f t="shared" si="26"/>
        <v>2.4139529585590531E-2</v>
      </c>
      <c r="W31" s="19">
        <f t="shared" si="27"/>
        <v>4.3693409434483474E-3</v>
      </c>
      <c r="X31" s="19">
        <f t="shared" si="28"/>
        <v>1.2519939698492464E-2</v>
      </c>
      <c r="Y31" s="19">
        <f t="shared" si="29"/>
        <v>1.1962120603015077E-2</v>
      </c>
      <c r="Z31" s="19">
        <f t="shared" si="30"/>
        <v>1.4255376884422114E-2</v>
      </c>
      <c r="AA31" s="20">
        <f t="shared" si="31"/>
        <v>1.2912479061976552E-2</v>
      </c>
      <c r="AB31" s="111">
        <f t="shared" si="32"/>
        <v>6.90488101989353E-4</v>
      </c>
    </row>
    <row r="32" spans="1:32" s="16" customFormat="1" ht="13">
      <c r="B32" s="197"/>
      <c r="C32" s="15">
        <v>0.6069444444444444</v>
      </c>
      <c r="D32" s="22">
        <f>3+28/60+D31</f>
        <v>23.366666666666667</v>
      </c>
      <c r="E32" s="172"/>
      <c r="F32" s="19">
        <v>0.22</v>
      </c>
      <c r="G32" s="19">
        <v>0.24199999999999999</v>
      </c>
      <c r="H32" s="19">
        <v>0.23400000000000001</v>
      </c>
      <c r="I32" s="19">
        <f t="shared" si="17"/>
        <v>0.27134800000000003</v>
      </c>
      <c r="J32" s="19">
        <f t="shared" si="17"/>
        <v>0.29848279999999999</v>
      </c>
      <c r="K32" s="19">
        <f t="shared" si="17"/>
        <v>0.28861560000000003</v>
      </c>
      <c r="L32" s="20">
        <f t="shared" si="18"/>
        <v>0.28614880000000004</v>
      </c>
      <c r="M32" s="19">
        <f t="shared" si="21"/>
        <v>7.9296525657391315E-3</v>
      </c>
      <c r="N32" s="19">
        <f t="shared" si="19"/>
        <v>-1.3043531490545199</v>
      </c>
      <c r="O32" s="19">
        <f t="shared" si="19"/>
        <v>-1.2090429692501954</v>
      </c>
      <c r="P32" s="19">
        <f t="shared" si="19"/>
        <v>-1.2426595800491802</v>
      </c>
      <c r="Q32" s="20">
        <f t="shared" si="20"/>
        <v>-1.2520185661179652</v>
      </c>
      <c r="R32" s="19">
        <f t="shared" si="22"/>
        <v>2.7908783317323552E-2</v>
      </c>
      <c r="S32" s="19">
        <f t="shared" si="23"/>
        <v>2.4623033351295245E-2</v>
      </c>
      <c r="T32" s="19">
        <f t="shared" si="24"/>
        <v>6.5263712668788623E-2</v>
      </c>
      <c r="U32" s="19">
        <f t="shared" si="25"/>
        <v>4.9735980099536231E-3</v>
      </c>
      <c r="V32" s="20">
        <f t="shared" si="26"/>
        <v>3.1620114676679162E-2</v>
      </c>
      <c r="W32" s="19">
        <f t="shared" si="27"/>
        <v>1.7752406801139157E-2</v>
      </c>
      <c r="X32" s="19">
        <f t="shared" si="28"/>
        <v>1.1612610556348076E-2</v>
      </c>
      <c r="Y32" s="19">
        <f t="shared" si="29"/>
        <v>1.277387161198288E-2</v>
      </c>
      <c r="Z32" s="19">
        <f t="shared" si="30"/>
        <v>1.2351594864479317E-2</v>
      </c>
      <c r="AA32" s="20">
        <f t="shared" si="31"/>
        <v>1.2246025677603424E-2</v>
      </c>
      <c r="AB32" s="111">
        <f t="shared" si="32"/>
        <v>3.3935745645103234E-4</v>
      </c>
    </row>
    <row r="33" spans="2:28" s="16" customFormat="1" ht="15" customHeight="1">
      <c r="B33" s="21" t="s">
        <v>24</v>
      </c>
      <c r="C33" s="15">
        <v>0.52083333333333337</v>
      </c>
      <c r="D33" s="22">
        <f>8+56/60+13+D32</f>
        <v>45.3</v>
      </c>
      <c r="E33" s="17">
        <v>3</v>
      </c>
      <c r="F33" s="19">
        <v>0.25800000000000001</v>
      </c>
      <c r="G33" s="19">
        <v>0.25800000000000001</v>
      </c>
      <c r="H33" s="19">
        <v>0.40100000000000002</v>
      </c>
      <c r="I33" s="19">
        <f t="shared" si="17"/>
        <v>0.31821720000000003</v>
      </c>
      <c r="J33" s="19">
        <f t="shared" si="17"/>
        <v>0.31821720000000003</v>
      </c>
      <c r="K33" s="19">
        <f t="shared" si="17"/>
        <v>0.49459340000000007</v>
      </c>
      <c r="L33" s="20">
        <f t="shared" si="18"/>
        <v>0.37700926666666668</v>
      </c>
      <c r="M33" s="19">
        <f t="shared" si="21"/>
        <v>5.8792066666666816E-2</v>
      </c>
      <c r="N33" s="19">
        <f t="shared" si="19"/>
        <v>-1.1450211104852641</v>
      </c>
      <c r="O33" s="19">
        <f t="shared" si="19"/>
        <v>-1.1450211104852641</v>
      </c>
      <c r="P33" s="19">
        <f t="shared" si="19"/>
        <v>-0.70401926810031235</v>
      </c>
      <c r="Q33" s="20">
        <f t="shared" si="20"/>
        <v>-0.9980204963569469</v>
      </c>
      <c r="R33" s="19">
        <f t="shared" si="22"/>
        <v>0.14700061412831744</v>
      </c>
      <c r="S33" s="19">
        <f t="shared" si="23"/>
        <v>7.2643786581727586E-3</v>
      </c>
      <c r="T33" s="19">
        <f t="shared" si="24"/>
        <v>2.9189297309239184E-3</v>
      </c>
      <c r="U33" s="19">
        <f t="shared" si="25"/>
        <v>2.4558068933838963E-2</v>
      </c>
      <c r="V33" s="20">
        <f t="shared" si="26"/>
        <v>1.1580459107645213E-2</v>
      </c>
      <c r="W33" s="19">
        <f t="shared" si="27"/>
        <v>6.60894593702411E-3</v>
      </c>
      <c r="X33" s="19">
        <f t="shared" si="28"/>
        <v>7.0246622516556305E-3</v>
      </c>
      <c r="Y33" s="19">
        <f t="shared" si="29"/>
        <v>7.0246622516556305E-3</v>
      </c>
      <c r="Z33" s="19">
        <f t="shared" si="30"/>
        <v>1.0918176600441504E-2</v>
      </c>
      <c r="AA33" s="20">
        <f t="shared" si="31"/>
        <v>8.3225003679175888E-3</v>
      </c>
      <c r="AB33" s="111">
        <f t="shared" si="32"/>
        <v>1.2978381162619577E-3</v>
      </c>
    </row>
    <row r="34" spans="2:28" s="16" customFormat="1" ht="13">
      <c r="B34" s="21" t="s">
        <v>25</v>
      </c>
      <c r="C34" s="15">
        <v>0.54166666666666663</v>
      </c>
      <c r="D34" s="22">
        <f>30/60+24+D33</f>
        <v>69.8</v>
      </c>
      <c r="E34" s="17">
        <v>4</v>
      </c>
      <c r="F34" s="19">
        <v>0.39400000000000002</v>
      </c>
      <c r="G34" s="19">
        <v>0.42499999999999999</v>
      </c>
      <c r="H34" s="19">
        <v>0.432</v>
      </c>
      <c r="I34" s="19">
        <f t="shared" si="17"/>
        <v>0.48595960000000005</v>
      </c>
      <c r="J34" s="19">
        <f t="shared" si="17"/>
        <v>0.52419499999999997</v>
      </c>
      <c r="K34" s="19">
        <f t="shared" si="17"/>
        <v>0.53282879999999999</v>
      </c>
      <c r="L34" s="20">
        <f t="shared" si="18"/>
        <v>0.51432779999999989</v>
      </c>
      <c r="M34" s="19">
        <f t="shared" si="21"/>
        <v>1.4401408542685425E-2</v>
      </c>
      <c r="N34" s="19">
        <f t="shared" si="19"/>
        <v>-0.72162978610894779</v>
      </c>
      <c r="O34" s="19">
        <f t="shared" si="19"/>
        <v>-0.64589152648246495</v>
      </c>
      <c r="P34" s="19">
        <f t="shared" si="19"/>
        <v>-0.62955510716277141</v>
      </c>
      <c r="Q34" s="20">
        <f t="shared" si="20"/>
        <v>-0.66569213991806142</v>
      </c>
      <c r="R34" s="19">
        <f t="shared" si="22"/>
        <v>2.8363620156107282E-2</v>
      </c>
      <c r="S34" s="19">
        <f t="shared" si="23"/>
        <v>1.7281278545972095E-2</v>
      </c>
      <c r="T34" s="19">
        <f t="shared" si="24"/>
        <v>2.0372636081746904E-2</v>
      </c>
      <c r="U34" s="19">
        <f t="shared" si="25"/>
        <v>3.0393535076547319E-3</v>
      </c>
      <c r="V34" s="20">
        <f t="shared" si="26"/>
        <v>1.3564422711791244E-2</v>
      </c>
      <c r="W34" s="19">
        <f t="shared" si="27"/>
        <v>5.3376628520790826E-3</v>
      </c>
      <c r="X34" s="19">
        <f t="shared" si="28"/>
        <v>6.9621719197707748E-3</v>
      </c>
      <c r="Y34" s="19">
        <f t="shared" si="29"/>
        <v>7.5099570200573068E-3</v>
      </c>
      <c r="Z34" s="19">
        <f t="shared" si="30"/>
        <v>7.6336504297994275E-3</v>
      </c>
      <c r="AA34" s="20">
        <f t="shared" si="31"/>
        <v>7.3685931232091691E-3</v>
      </c>
      <c r="AB34" s="111">
        <f t="shared" si="32"/>
        <v>2.0632390462300043E-4</v>
      </c>
    </row>
    <row r="35" spans="2:28" s="16" customFormat="1" ht="13">
      <c r="B35" s="21" t="s">
        <v>26</v>
      </c>
      <c r="C35" s="15">
        <v>0.50277777777777777</v>
      </c>
      <c r="D35" s="22">
        <f>10+13+4/60+D34</f>
        <v>92.86666666666666</v>
      </c>
      <c r="E35" s="17">
        <v>5</v>
      </c>
      <c r="F35" s="19">
        <v>0.6</v>
      </c>
      <c r="G35" s="19">
        <v>0.61799999999999999</v>
      </c>
      <c r="H35" s="19">
        <v>0.58899999999999997</v>
      </c>
      <c r="I35" s="19">
        <f t="shared" si="17"/>
        <v>0.74004000000000003</v>
      </c>
      <c r="J35" s="19">
        <f t="shared" si="17"/>
        <v>0.76224120000000006</v>
      </c>
      <c r="K35" s="19">
        <f t="shared" si="17"/>
        <v>0.72647260000000002</v>
      </c>
      <c r="L35" s="20">
        <f t="shared" si="18"/>
        <v>0.74291793333333345</v>
      </c>
      <c r="M35" s="19">
        <f t="shared" si="21"/>
        <v>1.0425290750435278E-2</v>
      </c>
      <c r="N35" s="19">
        <f t="shared" si="19"/>
        <v>-0.30105104019073525</v>
      </c>
      <c r="O35" s="19">
        <f t="shared" si="19"/>
        <v>-0.27149223794919081</v>
      </c>
      <c r="P35" s="19">
        <f t="shared" si="19"/>
        <v>-0.31955451175529492</v>
      </c>
      <c r="Q35" s="20">
        <f t="shared" si="20"/>
        <v>-0.29736592996507366</v>
      </c>
      <c r="R35" s="19">
        <f t="shared" si="22"/>
        <v>1.3996196732025542E-2</v>
      </c>
      <c r="S35" s="19">
        <f t="shared" si="23"/>
        <v>1.8233182626512107E-2</v>
      </c>
      <c r="T35" s="19">
        <f t="shared" si="24"/>
        <v>1.6231183028899171E-2</v>
      </c>
      <c r="U35" s="19">
        <f t="shared" si="25"/>
        <v>1.3439332170844358E-2</v>
      </c>
      <c r="V35" s="20">
        <f t="shared" si="26"/>
        <v>1.5967899275418546E-2</v>
      </c>
      <c r="W35" s="19">
        <f t="shared" si="27"/>
        <v>1.3901126212123493E-3</v>
      </c>
      <c r="X35" s="19">
        <f t="shared" si="28"/>
        <v>7.968844221105529E-3</v>
      </c>
      <c r="Y35" s="19">
        <f t="shared" si="29"/>
        <v>8.207909547738694E-3</v>
      </c>
      <c r="Z35" s="19">
        <f t="shared" si="30"/>
        <v>7.8227487437185945E-3</v>
      </c>
      <c r="AA35" s="20">
        <f t="shared" si="31"/>
        <v>7.9998341708542725E-3</v>
      </c>
      <c r="AB35" s="111">
        <f t="shared" si="32"/>
        <v>1.1226084799463645E-4</v>
      </c>
    </row>
    <row r="36" spans="2:28" s="16" customFormat="1" ht="13">
      <c r="B36" s="21" t="s">
        <v>27</v>
      </c>
      <c r="C36" s="15">
        <v>0.51458333333333328</v>
      </c>
      <c r="D36" s="22">
        <f>17/60+24+D35</f>
        <v>117.14999999999999</v>
      </c>
      <c r="E36" s="17">
        <v>6</v>
      </c>
      <c r="F36" s="19">
        <v>0.69899999999999995</v>
      </c>
      <c r="G36" s="19">
        <v>0.86099999999999999</v>
      </c>
      <c r="H36" s="19">
        <v>0.72599999999999998</v>
      </c>
      <c r="I36" s="19">
        <f t="shared" si="17"/>
        <v>0.86214659999999999</v>
      </c>
      <c r="J36" s="19">
        <f t="shared" si="17"/>
        <v>1.0619574000000001</v>
      </c>
      <c r="K36" s="19">
        <f t="shared" si="17"/>
        <v>0.89544840000000003</v>
      </c>
      <c r="L36" s="20">
        <f t="shared" si="18"/>
        <v>0.93985079999999999</v>
      </c>
      <c r="M36" s="19">
        <f t="shared" si="21"/>
        <v>6.180552508603096E-2</v>
      </c>
      <c r="N36" s="19">
        <f t="shared" si="19"/>
        <v>-0.14832995317307143</v>
      </c>
      <c r="O36" s="19">
        <f t="shared" si="19"/>
        <v>6.0113809020849181E-2</v>
      </c>
      <c r="P36" s="19">
        <f t="shared" si="19"/>
        <v>-0.11043068058208554</v>
      </c>
      <c r="Q36" s="20">
        <f t="shared" si="20"/>
        <v>-6.6215608244769256E-2</v>
      </c>
      <c r="R36" s="19">
        <f t="shared" si="22"/>
        <v>6.4105199908001523E-2</v>
      </c>
      <c r="S36" s="19">
        <f t="shared" si="23"/>
        <v>6.289131929347859E-3</v>
      </c>
      <c r="T36" s="19">
        <f t="shared" si="24"/>
        <v>1.3655705434593273E-2</v>
      </c>
      <c r="U36" s="19">
        <f t="shared" si="25"/>
        <v>8.6118255802282526E-3</v>
      </c>
      <c r="V36" s="20">
        <f t="shared" si="26"/>
        <v>9.5188876480564611E-3</v>
      </c>
      <c r="W36" s="19">
        <f t="shared" si="27"/>
        <v>2.1743713649555155E-3</v>
      </c>
      <c r="X36" s="19">
        <f t="shared" si="28"/>
        <v>7.3593393085787454E-3</v>
      </c>
      <c r="Y36" s="19">
        <f t="shared" si="29"/>
        <v>9.0649372599231771E-3</v>
      </c>
      <c r="Z36" s="19">
        <f t="shared" si="30"/>
        <v>7.6436056338028179E-3</v>
      </c>
      <c r="AA36" s="20">
        <f t="shared" si="31"/>
        <v>8.0226274007682459E-3</v>
      </c>
      <c r="AB36" s="111">
        <f t="shared" si="32"/>
        <v>5.2757597171174554E-4</v>
      </c>
    </row>
    <row r="37" spans="2:28" s="16" customFormat="1" ht="13">
      <c r="B37" s="21" t="s">
        <v>28</v>
      </c>
      <c r="C37" s="15">
        <v>0.49444444444444446</v>
      </c>
      <c r="D37" s="22">
        <f>11+31/60+12+24+D36</f>
        <v>164.66666666666666</v>
      </c>
      <c r="E37" s="17">
        <v>8</v>
      </c>
      <c r="F37" s="19">
        <v>1.321</v>
      </c>
      <c r="G37" s="19">
        <v>1.2589999999999999</v>
      </c>
      <c r="H37" s="19">
        <v>1.3160000000000001</v>
      </c>
      <c r="I37" s="19">
        <f t="shared" si="17"/>
        <v>1.6293214</v>
      </c>
      <c r="J37" s="19">
        <f t="shared" si="17"/>
        <v>1.5528506</v>
      </c>
      <c r="K37" s="19">
        <f t="shared" si="17"/>
        <v>1.6231544000000002</v>
      </c>
      <c r="L37" s="20">
        <f t="shared" si="18"/>
        <v>1.6017754666666668</v>
      </c>
      <c r="M37" s="19">
        <f t="shared" si="21"/>
        <v>2.4527127199717325E-2</v>
      </c>
      <c r="N37" s="19">
        <f t="shared" si="19"/>
        <v>0.48816360911544365</v>
      </c>
      <c r="O37" s="19">
        <f t="shared" si="19"/>
        <v>0.4400923386374655</v>
      </c>
      <c r="P37" s="19">
        <f t="shared" si="19"/>
        <v>0.484371416478381</v>
      </c>
      <c r="Q37" s="20">
        <f t="shared" si="20"/>
        <v>0.47087578807709668</v>
      </c>
      <c r="R37" s="19">
        <f t="shared" si="22"/>
        <v>1.5430605419111039E-2</v>
      </c>
      <c r="S37" s="19">
        <f t="shared" si="23"/>
        <v>1.3395164411543635E-2</v>
      </c>
      <c r="T37" s="19">
        <f t="shared" si="24"/>
        <v>7.9967421175015721E-3</v>
      </c>
      <c r="U37" s="19">
        <f t="shared" si="25"/>
        <v>1.2517757216284809E-2</v>
      </c>
      <c r="V37" s="20">
        <f t="shared" si="26"/>
        <v>1.1303221248443338E-2</v>
      </c>
      <c r="W37" s="19">
        <f t="shared" si="27"/>
        <v>1.6725294246627428E-3</v>
      </c>
      <c r="X37" s="19">
        <f t="shared" si="28"/>
        <v>9.8946643724696359E-3</v>
      </c>
      <c r="Y37" s="19">
        <f t="shared" si="29"/>
        <v>9.4302668016194337E-3</v>
      </c>
      <c r="Z37" s="19">
        <f t="shared" si="30"/>
        <v>9.8572129554655892E-3</v>
      </c>
      <c r="AA37" s="20">
        <f t="shared" si="31"/>
        <v>9.7273813765182196E-3</v>
      </c>
      <c r="AB37" s="111">
        <f t="shared" si="32"/>
        <v>1.4895016518046952E-4</v>
      </c>
    </row>
    <row r="38" spans="2:28" s="16" customFormat="1" ht="13">
      <c r="B38" s="21" t="s">
        <v>29</v>
      </c>
      <c r="C38" s="15">
        <v>0.49513888888888885</v>
      </c>
      <c r="D38" s="22">
        <f>24+1/60+D37</f>
        <v>188.68333333333334</v>
      </c>
      <c r="E38" s="17">
        <v>9</v>
      </c>
      <c r="F38" s="19">
        <f>2*0.774</f>
        <v>1.548</v>
      </c>
      <c r="G38" s="19">
        <v>1.4139999999999999</v>
      </c>
      <c r="H38" s="19">
        <f>2*0.798</f>
        <v>1.5960000000000001</v>
      </c>
      <c r="I38" s="19">
        <f t="shared" si="17"/>
        <v>1.9093032000000001</v>
      </c>
      <c r="J38" s="19">
        <f t="shared" si="17"/>
        <v>1.7440275999999999</v>
      </c>
      <c r="K38" s="19">
        <f t="shared" si="17"/>
        <v>1.9685064000000001</v>
      </c>
      <c r="L38" s="20">
        <f t="shared" si="18"/>
        <v>1.8739457333333334</v>
      </c>
      <c r="M38" s="19">
        <f t="shared" si="21"/>
        <v>6.7169675075322899E-2</v>
      </c>
      <c r="N38" s="19">
        <f t="shared" si="19"/>
        <v>0.64673835874279084</v>
      </c>
      <c r="O38" s="19">
        <f t="shared" si="19"/>
        <v>0.5561971510496363</v>
      </c>
      <c r="P38" s="19">
        <f t="shared" si="19"/>
        <v>0.6772750826028725</v>
      </c>
      <c r="Q38" s="20">
        <f t="shared" si="20"/>
        <v>0.62673686413176644</v>
      </c>
      <c r="R38" s="19">
        <f t="shared" si="22"/>
        <v>3.6354785183928054E-2</v>
      </c>
      <c r="S38" s="19">
        <f t="shared" si="23"/>
        <v>6.6026960288971728E-3</v>
      </c>
      <c r="T38" s="19">
        <f t="shared" si="24"/>
        <v>4.834343334302737E-3</v>
      </c>
      <c r="U38" s="19">
        <f t="shared" si="25"/>
        <v>8.0320749253778509E-3</v>
      </c>
      <c r="V38" s="20">
        <f t="shared" si="26"/>
        <v>6.4897047628592539E-3</v>
      </c>
      <c r="W38" s="19">
        <f t="shared" si="27"/>
        <v>9.2483279602145448E-4</v>
      </c>
      <c r="X38" s="19">
        <f t="shared" si="28"/>
        <v>1.011908771309955E-2</v>
      </c>
      <c r="Y38" s="19">
        <f t="shared" si="29"/>
        <v>9.2431460118364093E-3</v>
      </c>
      <c r="Z38" s="19">
        <f t="shared" si="30"/>
        <v>1.0432857874746047E-2</v>
      </c>
      <c r="AA38" s="20">
        <f t="shared" si="31"/>
        <v>9.9316971998940021E-3</v>
      </c>
      <c r="AB38" s="111">
        <f t="shared" si="32"/>
        <v>3.5599156474864173E-4</v>
      </c>
    </row>
    <row r="39" spans="2:28" s="16" customFormat="1" ht="13">
      <c r="B39" s="21" t="s">
        <v>30</v>
      </c>
      <c r="C39" s="15">
        <v>0.50763888888888886</v>
      </c>
      <c r="D39" s="22">
        <f>18/60+24+D38</f>
        <v>212.98333333333335</v>
      </c>
      <c r="E39" s="17">
        <v>10</v>
      </c>
      <c r="F39" s="19">
        <f>2*0.836</f>
        <v>1.6719999999999999</v>
      </c>
      <c r="G39" s="19">
        <f>2*0.791</f>
        <v>1.5820000000000001</v>
      </c>
      <c r="H39" s="19">
        <f>2*0.895</f>
        <v>1.79</v>
      </c>
      <c r="I39" s="19">
        <f t="shared" si="17"/>
        <v>2.0622448000000002</v>
      </c>
      <c r="J39" s="19">
        <f t="shared" si="17"/>
        <v>1.9512388000000003</v>
      </c>
      <c r="K39" s="19">
        <f t="shared" si="17"/>
        <v>2.207786</v>
      </c>
      <c r="L39" s="20">
        <f t="shared" si="18"/>
        <v>2.0737565333333339</v>
      </c>
      <c r="M39" s="19">
        <f t="shared" si="21"/>
        <v>7.4282134371178171E-2</v>
      </c>
      <c r="N39" s="19">
        <f t="shared" si="19"/>
        <v>0.72379509823776533</v>
      </c>
      <c r="O39" s="19">
        <f t="shared" si="19"/>
        <v>0.66846445292071766</v>
      </c>
      <c r="P39" s="19">
        <f t="shared" si="19"/>
        <v>0.79199020342791904</v>
      </c>
      <c r="Q39" s="20">
        <f t="shared" si="20"/>
        <v>0.72808325152880071</v>
      </c>
      <c r="R39" s="19">
        <f t="shared" si="22"/>
        <v>3.5723213524622911E-2</v>
      </c>
      <c r="S39" s="19">
        <f t="shared" si="23"/>
        <v>3.171059238476315E-3</v>
      </c>
      <c r="T39" s="19">
        <f t="shared" si="24"/>
        <v>4.6200535749416176E-3</v>
      </c>
      <c r="U39" s="19">
        <f t="shared" si="25"/>
        <v>4.7207868652282504E-3</v>
      </c>
      <c r="V39" s="20">
        <f t="shared" si="26"/>
        <v>4.1706332262153945E-3</v>
      </c>
      <c r="W39" s="19">
        <f t="shared" si="27"/>
        <v>5.0063223916245708E-4</v>
      </c>
      <c r="X39" s="19">
        <f t="shared" si="28"/>
        <v>9.6826581109632995E-3</v>
      </c>
      <c r="Y39" s="19">
        <f t="shared" si="29"/>
        <v>9.1614623992487682E-3</v>
      </c>
      <c r="Z39" s="19">
        <f t="shared" si="30"/>
        <v>1.0366003599655685E-2</v>
      </c>
      <c r="AA39" s="20">
        <f t="shared" si="31"/>
        <v>9.7367080366225836E-3</v>
      </c>
      <c r="AB39" s="111">
        <f t="shared" si="32"/>
        <v>3.4876970516242983E-4</v>
      </c>
    </row>
    <row r="40" spans="2:28" s="16" customFormat="1" ht="13">
      <c r="B40" s="21" t="s">
        <v>31</v>
      </c>
      <c r="C40" s="15">
        <v>0.50763888888888886</v>
      </c>
      <c r="D40" s="22">
        <f>D39+24</f>
        <v>236.98333333333335</v>
      </c>
      <c r="E40" s="17">
        <v>11</v>
      </c>
      <c r="F40" s="19">
        <f>2*0.936</f>
        <v>1.8720000000000001</v>
      </c>
      <c r="G40" s="19">
        <f>2*0.906</f>
        <v>1.8120000000000001</v>
      </c>
      <c r="H40" s="19">
        <f>2*0.976</f>
        <v>1.952</v>
      </c>
      <c r="I40" s="19">
        <f t="shared" si="17"/>
        <v>2.3089248000000002</v>
      </c>
      <c r="J40" s="19">
        <f t="shared" si="17"/>
        <v>2.2349208000000003</v>
      </c>
      <c r="K40" s="19">
        <f t="shared" si="17"/>
        <v>2.4075967999999999</v>
      </c>
      <c r="L40" s="20">
        <f t="shared" si="18"/>
        <v>2.3171474666666669</v>
      </c>
      <c r="M40" s="19">
        <f t="shared" si="21"/>
        <v>5.0016528699132048E-2</v>
      </c>
      <c r="N40" s="19">
        <f t="shared" si="19"/>
        <v>0.83678196163065577</v>
      </c>
      <c r="O40" s="19">
        <f t="shared" si="19"/>
        <v>0.80420579119604307</v>
      </c>
      <c r="P40" s="19">
        <f t="shared" si="19"/>
        <v>0.87862907156615611</v>
      </c>
      <c r="Q40" s="20">
        <f t="shared" si="20"/>
        <v>0.83987227479761828</v>
      </c>
      <c r="R40" s="19">
        <f t="shared" si="22"/>
        <v>2.1539643233385117E-2</v>
      </c>
      <c r="S40" s="19">
        <f t="shared" si="23"/>
        <v>4.7077859747037681E-3</v>
      </c>
      <c r="T40" s="19">
        <f t="shared" si="24"/>
        <v>5.6558890948052261E-3</v>
      </c>
      <c r="U40" s="19">
        <f t="shared" si="25"/>
        <v>3.6099528390932112E-3</v>
      </c>
      <c r="V40" s="20">
        <f t="shared" si="26"/>
        <v>4.657875969534069E-3</v>
      </c>
      <c r="W40" s="19">
        <f t="shared" si="27"/>
        <v>5.9113789904760648E-4</v>
      </c>
      <c r="X40" s="19">
        <f t="shared" si="28"/>
        <v>9.7429838947886635E-3</v>
      </c>
      <c r="Y40" s="19">
        <f t="shared" si="29"/>
        <v>9.4307087699556941E-3</v>
      </c>
      <c r="Z40" s="19">
        <f t="shared" si="30"/>
        <v>1.0159350727899289E-2</v>
      </c>
      <c r="AA40" s="20">
        <f t="shared" si="31"/>
        <v>9.7776811308812137E-3</v>
      </c>
      <c r="AB40" s="111">
        <f t="shared" si="32"/>
        <v>2.1105504760868707E-4</v>
      </c>
    </row>
    <row r="41" spans="2:28" s="16" customFormat="1" ht="13">
      <c r="B41" s="21" t="s">
        <v>32</v>
      </c>
      <c r="C41" s="15">
        <v>0.50624999999999998</v>
      </c>
      <c r="D41" s="22">
        <f>23+58/60+24+D39</f>
        <v>260.95000000000005</v>
      </c>
      <c r="E41" s="17">
        <v>12</v>
      </c>
      <c r="F41" s="19">
        <f>4*0.564</f>
        <v>2.2559999999999998</v>
      </c>
      <c r="G41" s="19">
        <f>4*0.366</f>
        <v>1.464</v>
      </c>
      <c r="H41" s="19">
        <f>4*0.699</f>
        <v>2.7959999999999998</v>
      </c>
      <c r="I41" s="19">
        <f t="shared" si="17"/>
        <v>2.7825503999999999</v>
      </c>
      <c r="J41" s="19">
        <f t="shared" si="17"/>
        <v>1.8056976</v>
      </c>
      <c r="K41" s="19">
        <f t="shared" si="17"/>
        <v>3.4485863999999999</v>
      </c>
      <c r="L41" s="20">
        <f t="shared" si="18"/>
        <v>2.6789448</v>
      </c>
      <c r="M41" s="19">
        <f t="shared" si="21"/>
        <v>0.47708192607240862</v>
      </c>
      <c r="N41" s="19">
        <f t="shared" si="19"/>
        <v>1.0233679172110679</v>
      </c>
      <c r="O41" s="19">
        <f t="shared" si="19"/>
        <v>0.5909469991143752</v>
      </c>
      <c r="P41" s="19">
        <f t="shared" si="19"/>
        <v>1.2379644079468193</v>
      </c>
      <c r="Q41" s="20">
        <f t="shared" si="20"/>
        <v>0.95075977475742091</v>
      </c>
      <c r="R41" s="19">
        <f t="shared" si="22"/>
        <v>0.1902733460016485</v>
      </c>
      <c r="S41" s="19">
        <f t="shared" si="23"/>
        <v>7.7852276320060599E-3</v>
      </c>
      <c r="T41" s="19">
        <f t="shared" si="24"/>
        <v>-8.8981415333101912E-3</v>
      </c>
      <c r="U41" s="19">
        <f t="shared" si="25"/>
        <v>1.4993129473462978E-2</v>
      </c>
      <c r="V41" s="20">
        <f t="shared" si="26"/>
        <v>4.6267385240529486E-3</v>
      </c>
      <c r="W41" s="19">
        <f t="shared" si="27"/>
        <v>7.0753150145079274E-3</v>
      </c>
      <c r="X41" s="19">
        <f t="shared" si="28"/>
        <v>1.0663155393753591E-2</v>
      </c>
      <c r="Y41" s="19">
        <f t="shared" si="29"/>
        <v>6.9197072236060536E-3</v>
      </c>
      <c r="Z41" s="19">
        <f t="shared" si="30"/>
        <v>1.3215506418854184E-2</v>
      </c>
      <c r="AA41" s="20">
        <f t="shared" si="31"/>
        <v>1.0266123012071277E-2</v>
      </c>
      <c r="AB41" s="111">
        <f t="shared" si="32"/>
        <v>1.8282503394229141E-3</v>
      </c>
    </row>
    <row r="42" spans="2:28" s="16" customFormat="1" ht="13">
      <c r="B42" s="21" t="s">
        <v>33</v>
      </c>
      <c r="C42" s="15">
        <v>0.50624999999999998</v>
      </c>
      <c r="D42" s="22">
        <f>D41+24</f>
        <v>284.95000000000005</v>
      </c>
      <c r="E42" s="17">
        <v>13</v>
      </c>
      <c r="F42" s="19">
        <f>4*0.664</f>
        <v>2.6560000000000001</v>
      </c>
      <c r="G42" s="19">
        <f>4*0.594</f>
        <v>2.3759999999999999</v>
      </c>
      <c r="H42" s="19">
        <f t="shared" ref="H42" si="33">4*0.564</f>
        <v>2.2559999999999998</v>
      </c>
      <c r="I42" s="19">
        <f t="shared" si="17"/>
        <v>3.2759104000000003</v>
      </c>
      <c r="J42" s="19">
        <f t="shared" si="17"/>
        <v>2.9305583999999998</v>
      </c>
      <c r="K42" s="19">
        <f t="shared" si="17"/>
        <v>2.7825503999999999</v>
      </c>
      <c r="L42" s="20">
        <f t="shared" si="18"/>
        <v>2.996339733333333</v>
      </c>
      <c r="M42" s="19">
        <f t="shared" si="21"/>
        <v>0.14616931992422746</v>
      </c>
      <c r="N42" s="19">
        <f t="shared" si="19"/>
        <v>1.1865958151894429</v>
      </c>
      <c r="O42" s="19">
        <f t="shared" si="19"/>
        <v>1.0751929850756539</v>
      </c>
      <c r="P42" s="19">
        <f t="shared" si="19"/>
        <v>1.0233679172110679</v>
      </c>
      <c r="Q42" s="20">
        <f t="shared" si="20"/>
        <v>1.0950522391587216</v>
      </c>
      <c r="R42" s="19">
        <f t="shared" si="22"/>
        <v>4.8154712989009286E-2</v>
      </c>
      <c r="S42" s="19">
        <f t="shared" si="23"/>
        <v>6.8011624157656254E-3</v>
      </c>
      <c r="T42" s="19">
        <f t="shared" si="24"/>
        <v>2.0176916081719943E-2</v>
      </c>
      <c r="U42" s="19">
        <f t="shared" si="25"/>
        <v>-8.9415204473229735E-3</v>
      </c>
      <c r="V42" s="20">
        <f t="shared" si="26"/>
        <v>6.0121860167208661E-3</v>
      </c>
      <c r="W42" s="19">
        <f t="shared" si="27"/>
        <v>8.4150202870158005E-3</v>
      </c>
      <c r="X42" s="19">
        <f t="shared" si="28"/>
        <v>1.1496439375329005E-2</v>
      </c>
      <c r="Y42" s="19">
        <f t="shared" si="29"/>
        <v>1.0284465344797331E-2</v>
      </c>
      <c r="Z42" s="19">
        <f t="shared" si="30"/>
        <v>9.7650479031408995E-3</v>
      </c>
      <c r="AA42" s="20">
        <f t="shared" si="31"/>
        <v>1.051531754108908E-2</v>
      </c>
      <c r="AB42" s="111">
        <f t="shared" si="32"/>
        <v>5.1296480057633784E-4</v>
      </c>
    </row>
    <row r="43" spans="2:28" s="16" customFormat="1" ht="13">
      <c r="B43" s="21" t="s">
        <v>34</v>
      </c>
      <c r="C43" s="15">
        <v>0.50624999999999998</v>
      </c>
      <c r="D43" s="22">
        <f>D42+24</f>
        <v>308.95000000000005</v>
      </c>
      <c r="E43" s="17">
        <v>14</v>
      </c>
      <c r="F43" s="19">
        <f>4*0.674</f>
        <v>2.6960000000000002</v>
      </c>
      <c r="G43" s="19">
        <f>4*0.684</f>
        <v>2.7360000000000002</v>
      </c>
      <c r="H43" s="19">
        <f t="shared" ref="H43" si="34">4*0.664</f>
        <v>2.6560000000000001</v>
      </c>
      <c r="I43" s="19">
        <f t="shared" si="17"/>
        <v>3.3252464000000002</v>
      </c>
      <c r="J43" s="19">
        <f t="shared" si="17"/>
        <v>3.3745824000000004</v>
      </c>
      <c r="K43" s="19">
        <f t="shared" si="17"/>
        <v>3.2759104000000003</v>
      </c>
      <c r="L43" s="20">
        <f t="shared" si="18"/>
        <v>3.3252464000000006</v>
      </c>
      <c r="M43" s="19">
        <f t="shared" si="21"/>
        <v>2.8484152880739404E-2</v>
      </c>
      <c r="N43" s="19">
        <f t="shared" si="19"/>
        <v>1.2015437766253161</v>
      </c>
      <c r="O43" s="19">
        <f t="shared" si="19"/>
        <v>1.2162715833355595</v>
      </c>
      <c r="P43" s="19">
        <f t="shared" si="19"/>
        <v>1.1865958151894429</v>
      </c>
      <c r="Q43" s="20">
        <f t="shared" si="20"/>
        <v>1.2014703917167726</v>
      </c>
      <c r="R43" s="19">
        <f t="shared" si="22"/>
        <v>8.5667349434526644E-3</v>
      </c>
      <c r="S43" s="19">
        <f t="shared" si="23"/>
        <v>6.2283172649471585E-4</v>
      </c>
      <c r="T43" s="19">
        <f t="shared" si="24"/>
        <v>5.8782749274960688E-3</v>
      </c>
      <c r="U43" s="19">
        <f t="shared" si="25"/>
        <v>6.8011624157656254E-3</v>
      </c>
      <c r="V43" s="20">
        <f t="shared" si="26"/>
        <v>4.4340896899188039E-3</v>
      </c>
      <c r="W43" s="19">
        <f t="shared" si="27"/>
        <v>1.9241617895266988E-3</v>
      </c>
      <c r="X43" s="19">
        <f t="shared" si="28"/>
        <v>1.0763056805308301E-2</v>
      </c>
      <c r="Y43" s="19">
        <f t="shared" si="29"/>
        <v>1.0922746075416734E-2</v>
      </c>
      <c r="Z43" s="19">
        <f t="shared" si="30"/>
        <v>1.0603367535199869E-2</v>
      </c>
      <c r="AA43" s="20">
        <f t="shared" si="31"/>
        <v>1.0763056805308301E-2</v>
      </c>
      <c r="AB43" s="111">
        <f t="shared" si="32"/>
        <v>9.2196643083798272E-5</v>
      </c>
    </row>
    <row r="44" spans="2:28" s="16" customFormat="1" ht="13">
      <c r="B44" s="23" t="s">
        <v>35</v>
      </c>
      <c r="C44" s="15">
        <v>0.50624999999999998</v>
      </c>
      <c r="D44" s="22">
        <f>D43+24</f>
        <v>332.95000000000005</v>
      </c>
      <c r="E44" s="17">
        <v>15</v>
      </c>
      <c r="F44" s="19">
        <f>4*0.714</f>
        <v>2.8559999999999999</v>
      </c>
      <c r="G44" s="19">
        <f>4*0.728</f>
        <v>2.9119999999999999</v>
      </c>
      <c r="H44" s="19">
        <f>4*0.727</f>
        <v>2.9079999999999999</v>
      </c>
      <c r="I44" s="19">
        <f t="shared" si="17"/>
        <v>3.5225903999999999</v>
      </c>
      <c r="J44" s="19">
        <f t="shared" si="17"/>
        <v>3.5916608000000001</v>
      </c>
      <c r="K44" s="19">
        <f t="shared" si="17"/>
        <v>3.5867271999999999</v>
      </c>
      <c r="L44" s="20">
        <f t="shared" si="18"/>
        <v>3.5669928</v>
      </c>
      <c r="M44" s="19">
        <f t="shared" si="21"/>
        <v>2.2246834580527067E-2</v>
      </c>
      <c r="N44" s="19">
        <f t="shared" si="19"/>
        <v>1.2591966280525932</v>
      </c>
      <c r="O44" s="19">
        <f t="shared" si="19"/>
        <v>1.2786147139096951</v>
      </c>
      <c r="P44" s="19">
        <f t="shared" si="19"/>
        <v>1.2772401432465283</v>
      </c>
      <c r="Q44" s="20">
        <f t="shared" si="20"/>
        <v>1.2716838284029388</v>
      </c>
      <c r="R44" s="19">
        <f t="shared" si="22"/>
        <v>6.2561966766096202E-3</v>
      </c>
      <c r="S44" s="19">
        <f t="shared" si="23"/>
        <v>2.402202142803215E-3</v>
      </c>
      <c r="T44" s="19">
        <f t="shared" si="24"/>
        <v>2.5976304405889807E-3</v>
      </c>
      <c r="U44" s="19">
        <f t="shared" si="25"/>
        <v>3.7768470023785603E-3</v>
      </c>
      <c r="V44" s="20">
        <f t="shared" si="26"/>
        <v>2.9255598619235853E-3</v>
      </c>
      <c r="W44" s="19">
        <f t="shared" si="27"/>
        <v>4.2936596725942573E-4</v>
      </c>
      <c r="X44" s="19">
        <f t="shared" si="28"/>
        <v>1.0579938128848174E-2</v>
      </c>
      <c r="Y44" s="19">
        <f t="shared" si="29"/>
        <v>1.0787387896080492E-2</v>
      </c>
      <c r="Z44" s="19">
        <f t="shared" si="30"/>
        <v>1.0772570055563896E-2</v>
      </c>
      <c r="AA44" s="20">
        <f t="shared" si="31"/>
        <v>1.0713298693497519E-2</v>
      </c>
      <c r="AB44" s="111">
        <f t="shared" si="32"/>
        <v>6.6817343686820886E-5</v>
      </c>
    </row>
    <row r="45" spans="2:28" s="16" customFormat="1" ht="13">
      <c r="B45" s="23" t="s">
        <v>36</v>
      </c>
      <c r="C45" s="15">
        <v>0.48749999999999999</v>
      </c>
      <c r="D45" s="22">
        <f>11+33/60+12+24+24+D41+24</f>
        <v>356.50000000000006</v>
      </c>
      <c r="E45" s="17">
        <v>16</v>
      </c>
      <c r="F45" s="19">
        <f>4*0.76</f>
        <v>3.04</v>
      </c>
      <c r="G45" s="19">
        <f>4*0.797</f>
        <v>3.1880000000000002</v>
      </c>
      <c r="H45" s="19">
        <f>4*0.796</f>
        <v>3.1840000000000002</v>
      </c>
      <c r="I45" s="19">
        <f t="shared" si="17"/>
        <v>3.749536</v>
      </c>
      <c r="J45" s="19">
        <f t="shared" si="17"/>
        <v>3.9320792000000004</v>
      </c>
      <c r="K45" s="19">
        <f t="shared" si="17"/>
        <v>3.9271456000000002</v>
      </c>
      <c r="L45" s="20">
        <f t="shared" si="18"/>
        <v>3.8695869333333337</v>
      </c>
      <c r="M45" s="19">
        <f t="shared" si="21"/>
        <v>6.0042360179830209E-2</v>
      </c>
      <c r="N45" s="19">
        <f t="shared" si="19"/>
        <v>1.3216320989933856</v>
      </c>
      <c r="O45" s="19">
        <f t="shared" si="19"/>
        <v>1.3691683445032241</v>
      </c>
      <c r="P45" s="19">
        <f t="shared" si="19"/>
        <v>1.367912851557392</v>
      </c>
      <c r="Q45" s="20">
        <f t="shared" si="20"/>
        <v>1.3529044316846672</v>
      </c>
      <c r="R45" s="19">
        <f t="shared" si="22"/>
        <v>1.5640366146608256E-2</v>
      </c>
      <c r="S45" s="19">
        <f t="shared" si="23"/>
        <v>2.6511877257236667E-3</v>
      </c>
      <c r="T45" s="19">
        <f t="shared" si="24"/>
        <v>3.8451647810415716E-3</v>
      </c>
      <c r="U45" s="19">
        <f t="shared" si="25"/>
        <v>3.8502211596969666E-3</v>
      </c>
      <c r="V45" s="20">
        <f t="shared" si="26"/>
        <v>3.4488578888207349E-3</v>
      </c>
      <c r="W45" s="19">
        <f t="shared" si="27"/>
        <v>3.9883775254387772E-4</v>
      </c>
      <c r="X45" s="19">
        <f t="shared" si="28"/>
        <v>1.0517632538569422E-2</v>
      </c>
      <c r="Y45" s="19">
        <f t="shared" si="29"/>
        <v>1.1029675175315567E-2</v>
      </c>
      <c r="Z45" s="19">
        <f t="shared" si="30"/>
        <v>1.1015836185133238E-2</v>
      </c>
      <c r="AA45" s="20">
        <f t="shared" si="31"/>
        <v>1.0854381299672741E-2</v>
      </c>
      <c r="AB45" s="111">
        <f t="shared" si="32"/>
        <v>1.6842176768535819E-4</v>
      </c>
    </row>
    <row r="46" spans="2:28" s="16" customFormat="1" ht="13">
      <c r="B46" s="23" t="s">
        <v>37</v>
      </c>
      <c r="C46" s="15">
        <v>0.52638888888888891</v>
      </c>
      <c r="D46" s="22">
        <f>56/60+24+D45</f>
        <v>381.43333333333339</v>
      </c>
      <c r="E46" s="17">
        <v>17</v>
      </c>
      <c r="F46" s="19">
        <f>4*0.804</f>
        <v>3.2160000000000002</v>
      </c>
      <c r="G46" s="19">
        <f>4*0.86</f>
        <v>3.44</v>
      </c>
      <c r="H46" s="19">
        <f>4*0.86</f>
        <v>3.44</v>
      </c>
      <c r="I46" s="19">
        <f t="shared" si="17"/>
        <v>3.9666144000000005</v>
      </c>
      <c r="J46" s="19">
        <f t="shared" si="17"/>
        <v>4.242896</v>
      </c>
      <c r="K46" s="19">
        <f t="shared" si="17"/>
        <v>4.242896</v>
      </c>
      <c r="L46" s="20">
        <f t="shared" si="18"/>
        <v>4.1508021333333334</v>
      </c>
      <c r="M46" s="19">
        <f t="shared" si="21"/>
        <v>9.2093866666666496E-2</v>
      </c>
      <c r="N46" s="19">
        <f t="shared" si="19"/>
        <v>1.3779129348919754</v>
      </c>
      <c r="O46" s="19">
        <f t="shared" si="19"/>
        <v>1.4452460549605624</v>
      </c>
      <c r="P46" s="19">
        <f t="shared" si="19"/>
        <v>1.4452460549605624</v>
      </c>
      <c r="Q46" s="20">
        <f t="shared" si="20"/>
        <v>1.4228016816043667</v>
      </c>
      <c r="R46" s="19">
        <f t="shared" si="22"/>
        <v>2.2444373356195646E-2</v>
      </c>
      <c r="S46" s="19">
        <f t="shared" si="23"/>
        <v>2.2572527766814084E-3</v>
      </c>
      <c r="T46" s="19">
        <f t="shared" si="24"/>
        <v>3.0512450718183782E-3</v>
      </c>
      <c r="U46" s="19">
        <f t="shared" si="25"/>
        <v>3.1015990669720746E-3</v>
      </c>
      <c r="V46" s="20">
        <f t="shared" si="26"/>
        <v>2.8033656384906201E-3</v>
      </c>
      <c r="W46" s="19">
        <f t="shared" si="27"/>
        <v>2.7344306206964446E-4</v>
      </c>
      <c r="X46" s="19">
        <f t="shared" si="28"/>
        <v>1.0399233767368697E-2</v>
      </c>
      <c r="Y46" s="19">
        <f t="shared" si="29"/>
        <v>1.1123558507384425E-2</v>
      </c>
      <c r="Z46" s="19">
        <f t="shared" si="30"/>
        <v>1.1123558507384425E-2</v>
      </c>
      <c r="AA46" s="20">
        <f t="shared" si="31"/>
        <v>1.0882116927379183E-2</v>
      </c>
      <c r="AB46" s="111">
        <f t="shared" si="32"/>
        <v>2.414415800052426E-4</v>
      </c>
    </row>
    <row r="47" spans="2:28" s="16" customFormat="1" ht="13">
      <c r="B47" s="23" t="s">
        <v>84</v>
      </c>
      <c r="C47" s="15">
        <v>0.52638888888888891</v>
      </c>
      <c r="D47" s="22">
        <f>D46+24</f>
        <v>405.43333333333339</v>
      </c>
      <c r="E47" s="17">
        <v>18</v>
      </c>
      <c r="F47" s="19">
        <f>4*0.844</f>
        <v>3.3759999999999999</v>
      </c>
      <c r="G47" s="19">
        <f>4*0.849</f>
        <v>3.3959999999999999</v>
      </c>
      <c r="H47" s="19">
        <f>4*0.861</f>
        <v>3.444</v>
      </c>
      <c r="I47" s="19">
        <f t="shared" si="17"/>
        <v>4.1639584000000003</v>
      </c>
      <c r="J47" s="19">
        <f t="shared" si="17"/>
        <v>4.1886264000000004</v>
      </c>
      <c r="K47" s="19">
        <f t="shared" si="17"/>
        <v>4.2478296000000002</v>
      </c>
      <c r="L47" s="20">
        <f t="shared" si="18"/>
        <v>4.2001381333333336</v>
      </c>
      <c r="M47" s="19">
        <f t="shared" si="21"/>
        <v>2.4886305140333229E-2</v>
      </c>
      <c r="N47" s="19">
        <f t="shared" si="19"/>
        <v>1.4264661603089661</v>
      </c>
      <c r="O47" s="19">
        <f t="shared" si="19"/>
        <v>1.4323728520243564</v>
      </c>
      <c r="P47" s="19">
        <f t="shared" si="19"/>
        <v>1.4464081701407399</v>
      </c>
      <c r="Q47" s="20">
        <f t="shared" si="20"/>
        <v>1.4350823941580206</v>
      </c>
      <c r="R47" s="19">
        <f t="shared" si="22"/>
        <v>5.9140271942565272E-3</v>
      </c>
      <c r="S47" s="19">
        <f>(N47-N46)/(D47-D46)</f>
        <v>2.0230510590412789E-3</v>
      </c>
      <c r="T47" s="19">
        <f>(O47-O46)/(D47-D46)</f>
        <v>-5.3638345567524892E-4</v>
      </c>
      <c r="U47" s="19">
        <f>(P47-P46)/(D47-D46)</f>
        <v>4.8421465840729296E-5</v>
      </c>
      <c r="V47" s="20">
        <f t="shared" si="26"/>
        <v>5.1169635640225316E-4</v>
      </c>
      <c r="W47" s="19">
        <f t="shared" si="27"/>
        <v>7.7430484456471273E-4</v>
      </c>
      <c r="X47" s="19">
        <f t="shared" si="28"/>
        <v>1.0270389870920002E-2</v>
      </c>
      <c r="Y47" s="19">
        <f t="shared" si="29"/>
        <v>1.0331233412809339E-2</v>
      </c>
      <c r="Z47" s="19">
        <f t="shared" si="30"/>
        <v>1.0477257913343746E-2</v>
      </c>
      <c r="AA47" s="20">
        <f t="shared" si="31"/>
        <v>1.035962706569103E-2</v>
      </c>
      <c r="AB47" s="111">
        <f t="shared" si="32"/>
        <v>6.1381990809010698E-5</v>
      </c>
    </row>
    <row r="48" spans="2:28" s="16" customFormat="1" thickBot="1">
      <c r="B48" s="23" t="s">
        <v>85</v>
      </c>
      <c r="C48" s="15">
        <v>0.52638888888888891</v>
      </c>
      <c r="D48" s="22">
        <f>D47+24</f>
        <v>429.43333333333339</v>
      </c>
      <c r="E48" s="17">
        <v>19</v>
      </c>
      <c r="F48" s="19">
        <f>4*0.864</f>
        <v>3.456</v>
      </c>
      <c r="G48" s="19">
        <f>4*0.829</f>
        <v>3.3159999999999998</v>
      </c>
      <c r="H48" s="19">
        <f>4*0.871</f>
        <v>3.484</v>
      </c>
      <c r="I48" s="19">
        <f t="shared" si="17"/>
        <v>4.2626303999999999</v>
      </c>
      <c r="J48" s="19">
        <f t="shared" si="17"/>
        <v>4.0899543999999999</v>
      </c>
      <c r="K48" s="19">
        <f t="shared" si="17"/>
        <v>4.2971656000000005</v>
      </c>
      <c r="L48" s="20">
        <f t="shared" si="18"/>
        <v>4.2165834666666662</v>
      </c>
      <c r="M48" s="19">
        <f t="shared" si="21"/>
        <v>6.4094618607735923E-2</v>
      </c>
      <c r="N48" s="19">
        <f t="shared" si="19"/>
        <v>1.4498864345170646</v>
      </c>
      <c r="O48" s="19">
        <f>LN(J48)</f>
        <v>1.4085338208483038</v>
      </c>
      <c r="P48" s="19">
        <f t="shared" ref="P48" si="35">LN(K48)</f>
        <v>1.4579556425655118</v>
      </c>
      <c r="Q48" s="20">
        <f>AVERAGE(N48:P48)</f>
        <v>1.4387919659769601</v>
      </c>
      <c r="R48" s="19">
        <f t="shared" si="22"/>
        <v>1.530734616235398E-2</v>
      </c>
      <c r="S48" s="19">
        <f>(N48-N47)/(D48-D47)</f>
        <v>9.7584475867076859E-4</v>
      </c>
      <c r="T48" s="19">
        <f>(O48-O47)/(D48-D47)</f>
        <v>-9.9329296566885716E-4</v>
      </c>
      <c r="U48" s="19">
        <f>(P48-P47)/(D48-D47)</f>
        <v>4.8114468436549762E-4</v>
      </c>
      <c r="V48" s="20">
        <f t="shared" si="26"/>
        <v>1.5456549245580301E-4</v>
      </c>
      <c r="W48" s="19">
        <f t="shared" si="27"/>
        <v>5.9142943247571873E-4</v>
      </c>
      <c r="X48" s="19">
        <f t="shared" si="28"/>
        <v>9.9261749592486209E-3</v>
      </c>
      <c r="Y48" s="19">
        <f t="shared" si="29"/>
        <v>9.5240729643716517E-3</v>
      </c>
      <c r="Z48" s="19">
        <f t="shared" si="30"/>
        <v>1.0006595358224016E-2</v>
      </c>
      <c r="AA48" s="20">
        <f t="shared" si="31"/>
        <v>9.8189477606147636E-3</v>
      </c>
      <c r="AB48" s="111">
        <f t="shared" si="32"/>
        <v>1.4925394381992365E-4</v>
      </c>
    </row>
    <row r="49" spans="1:32" ht="15" thickBot="1">
      <c r="B49" s="192" t="s">
        <v>83</v>
      </c>
      <c r="C49" s="193"/>
      <c r="D49" s="193"/>
      <c r="E49" s="193"/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3"/>
      <c r="U49" s="193"/>
      <c r="V49" s="193"/>
      <c r="W49" s="193"/>
      <c r="X49" s="193"/>
      <c r="Y49" s="193"/>
      <c r="Z49" s="193"/>
      <c r="AA49" s="193"/>
      <c r="AB49" s="194"/>
    </row>
    <row r="50" spans="1:32" ht="60">
      <c r="B50" s="2" t="s">
        <v>1</v>
      </c>
      <c r="C50" s="3" t="s">
        <v>2</v>
      </c>
      <c r="D50" s="4" t="s">
        <v>3</v>
      </c>
      <c r="E50" s="5" t="s">
        <v>4</v>
      </c>
      <c r="F50" s="179" t="s">
        <v>54</v>
      </c>
      <c r="G50" s="180"/>
      <c r="H50" s="181"/>
      <c r="I50" s="182" t="s">
        <v>12</v>
      </c>
      <c r="J50" s="180"/>
      <c r="K50" s="181"/>
      <c r="L50" s="6" t="s">
        <v>5</v>
      </c>
      <c r="M50" s="7" t="s">
        <v>62</v>
      </c>
      <c r="N50" s="182" t="s">
        <v>56</v>
      </c>
      <c r="O50" s="180"/>
      <c r="P50" s="181"/>
      <c r="Q50" s="7" t="s">
        <v>6</v>
      </c>
      <c r="R50" s="7" t="s">
        <v>55</v>
      </c>
      <c r="S50" s="195" t="s">
        <v>7</v>
      </c>
      <c r="T50" s="196"/>
      <c r="U50" s="196"/>
      <c r="V50" s="6" t="s">
        <v>57</v>
      </c>
      <c r="W50" s="6" t="s">
        <v>55</v>
      </c>
      <c r="X50" s="182" t="s">
        <v>58</v>
      </c>
      <c r="Y50" s="180"/>
      <c r="Z50" s="181"/>
      <c r="AA50" s="6" t="s">
        <v>59</v>
      </c>
      <c r="AB50" s="106" t="s">
        <v>55</v>
      </c>
    </row>
    <row r="51" spans="1:32">
      <c r="B51" s="8"/>
      <c r="C51" s="9"/>
      <c r="D51" s="10"/>
      <c r="E51" s="11"/>
      <c r="F51" s="183" t="s">
        <v>15</v>
      </c>
      <c r="G51" s="184"/>
      <c r="H51" s="185"/>
      <c r="I51" s="186" t="s">
        <v>8</v>
      </c>
      <c r="J51" s="184"/>
      <c r="K51" s="185"/>
      <c r="L51" s="12" t="s">
        <v>8</v>
      </c>
      <c r="M51" s="12"/>
      <c r="N51" s="186" t="s">
        <v>8</v>
      </c>
      <c r="O51" s="184"/>
      <c r="P51" s="185"/>
      <c r="Q51" s="13"/>
      <c r="R51" s="13"/>
      <c r="S51" s="190" t="s">
        <v>60</v>
      </c>
      <c r="T51" s="191"/>
      <c r="U51" s="191"/>
      <c r="V51" s="12" t="s">
        <v>60</v>
      </c>
      <c r="W51" s="10"/>
      <c r="X51" s="187" t="s">
        <v>61</v>
      </c>
      <c r="Y51" s="188"/>
      <c r="Z51" s="189"/>
      <c r="AA51" s="109" t="s">
        <v>61</v>
      </c>
      <c r="AB51" s="110"/>
      <c r="AD51" s="149"/>
      <c r="AE51" s="149"/>
      <c r="AF51" s="149"/>
    </row>
    <row r="52" spans="1:32" s="16" customFormat="1" ht="13">
      <c r="B52" s="14" t="s">
        <v>86</v>
      </c>
      <c r="C52" s="15">
        <v>0.51041666666666663</v>
      </c>
      <c r="D52" s="16">
        <v>0</v>
      </c>
      <c r="E52" s="17">
        <v>1</v>
      </c>
      <c r="F52" s="18">
        <v>0.107</v>
      </c>
      <c r="G52" s="19">
        <v>0.109</v>
      </c>
      <c r="H52" s="19">
        <v>0.104</v>
      </c>
      <c r="I52" s="19">
        <f t="shared" ref="I52:K68" si="36">1.2334*F52</f>
        <v>0.1319738</v>
      </c>
      <c r="J52" s="19">
        <f t="shared" si="36"/>
        <v>0.13444059999999999</v>
      </c>
      <c r="K52" s="19">
        <f t="shared" si="36"/>
        <v>0.12827359999999999</v>
      </c>
      <c r="L52" s="20">
        <f t="shared" ref="L52:L68" si="37">AVERAGE(I52:K52)</f>
        <v>0.13156266666666666</v>
      </c>
      <c r="M52" s="152">
        <f t="shared" ref="M52:M68" si="38">STDEV(I52:K52)/SQRT(3)</f>
        <v>1.7920886523210245E-3</v>
      </c>
      <c r="N52" s="19">
        <f t="shared" ref="N52:P68" si="39">LN(I52)</f>
        <v>-2.0251518609449755</v>
      </c>
      <c r="O52" s="19">
        <f t="shared" si="39"/>
        <v>-2.0066328131777382</v>
      </c>
      <c r="P52" s="19">
        <f t="shared" si="39"/>
        <v>-2.0535897962655092</v>
      </c>
      <c r="Q52" s="20">
        <f t="shared" ref="Q52:Q68" si="40">AVERAGE(N52:P52)</f>
        <v>-2.028458156796074</v>
      </c>
      <c r="R52" s="19">
        <f>STDEV(N52:P52)/SQRT(3)</f>
        <v>1.3655746767906266E-2</v>
      </c>
      <c r="S52" s="19"/>
      <c r="V52" s="153"/>
      <c r="AA52" s="153"/>
      <c r="AB52" s="17"/>
      <c r="AD52" s="154"/>
      <c r="AE52" s="154"/>
      <c r="AF52" s="154"/>
    </row>
    <row r="53" spans="1:32" s="16" customFormat="1" ht="13">
      <c r="B53" s="21" t="s">
        <v>87</v>
      </c>
      <c r="C53" s="15">
        <v>0.4861111111111111</v>
      </c>
      <c r="D53" s="22">
        <f>12+11+25/60+D52</f>
        <v>23.416666666666668</v>
      </c>
      <c r="E53" s="156">
        <v>2</v>
      </c>
      <c r="F53" s="18">
        <v>0.187</v>
      </c>
      <c r="G53" s="19">
        <v>0.20300000000000001</v>
      </c>
      <c r="H53" s="19">
        <v>0.20399999999999999</v>
      </c>
      <c r="I53" s="19">
        <f t="shared" si="36"/>
        <v>0.23064580000000001</v>
      </c>
      <c r="J53" s="19">
        <f t="shared" si="36"/>
        <v>0.25038020000000005</v>
      </c>
      <c r="K53" s="19">
        <f t="shared" si="36"/>
        <v>0.25161359999999999</v>
      </c>
      <c r="L53" s="20">
        <f t="shared" si="37"/>
        <v>0.24421320000000002</v>
      </c>
      <c r="M53" s="152">
        <f t="shared" si="38"/>
        <v>6.7930375130226817E-3</v>
      </c>
      <c r="N53" s="19">
        <f t="shared" si="39"/>
        <v>-1.4668720785522951</v>
      </c>
      <c r="O53" s="19">
        <f t="shared" si="39"/>
        <v>-1.3847747163650941</v>
      </c>
      <c r="P53" s="19">
        <f t="shared" si="39"/>
        <v>-1.3798607015626654</v>
      </c>
      <c r="Q53" s="20">
        <f t="shared" si="40"/>
        <v>-1.410502498826685</v>
      </c>
      <c r="R53" s="19">
        <f t="shared" ref="R53:R68" si="41">STDEV(N53:P53)/SQRT(3)</f>
        <v>2.8220465530066817E-2</v>
      </c>
      <c r="S53" s="19">
        <f>(N53-N52)/(D53-D52)</f>
        <v>2.3841129497196314E-2</v>
      </c>
      <c r="T53" s="19">
        <f>(O53-O52)/(D53-D52)</f>
        <v>2.6556217657479463E-2</v>
      </c>
      <c r="U53" s="19">
        <f>(P53-P52)/(D53-D52)</f>
        <v>2.8771349239979094E-2</v>
      </c>
      <c r="V53" s="20">
        <f>AVERAGE(S53:U53)</f>
        <v>2.6389565464884957E-2</v>
      </c>
      <c r="W53" s="19">
        <f>STDEV(S53:U53)/SQRT(3)</f>
        <v>1.4256690117279082E-3</v>
      </c>
      <c r="X53" s="19">
        <f>I53/D53</f>
        <v>9.8496427046263352E-3</v>
      </c>
      <c r="Y53" s="19">
        <f>J53/D53</f>
        <v>1.0692392882562279E-2</v>
      </c>
      <c r="Z53" s="19">
        <f>K53/D53</f>
        <v>1.0745064768683274E-2</v>
      </c>
      <c r="AA53" s="20">
        <f>AVERAGE(X53:Z53)</f>
        <v>1.0429033451957295E-2</v>
      </c>
      <c r="AB53" s="111">
        <f>STDEV(X53:Z53)/SQRT(3)</f>
        <v>2.9009412867000756E-4</v>
      </c>
      <c r="AD53" s="154"/>
      <c r="AE53" s="154"/>
      <c r="AF53" s="154"/>
    </row>
    <row r="54" spans="1:32" s="16" customFormat="1" ht="13">
      <c r="B54" s="21" t="s">
        <v>88</v>
      </c>
      <c r="C54" s="15">
        <v>0.46875</v>
      </c>
      <c r="D54" s="22">
        <f>12+11+35/60+24+24+D53</f>
        <v>95</v>
      </c>
      <c r="E54" s="17">
        <v>5</v>
      </c>
      <c r="F54" s="18">
        <v>0.46600000000000003</v>
      </c>
      <c r="G54" s="19">
        <v>0.71699999999999997</v>
      </c>
      <c r="H54" s="19">
        <v>0.73799999999999999</v>
      </c>
      <c r="I54" s="19">
        <f t="shared" si="36"/>
        <v>0.57476440000000006</v>
      </c>
      <c r="J54" s="19">
        <f t="shared" si="36"/>
        <v>0.88434780000000002</v>
      </c>
      <c r="K54" s="19">
        <f t="shared" si="36"/>
        <v>0.91024919999999998</v>
      </c>
      <c r="L54" s="20">
        <f t="shared" si="37"/>
        <v>0.78978713333333328</v>
      </c>
      <c r="M54" s="152">
        <f t="shared" si="38"/>
        <v>0.10777105752178782</v>
      </c>
      <c r="N54" s="19">
        <f t="shared" si="39"/>
        <v>-0.55379506128123568</v>
      </c>
      <c r="O54" s="19">
        <f t="shared" si="39"/>
        <v>-0.12290485480726129</v>
      </c>
      <c r="P54" s="19">
        <f t="shared" si="39"/>
        <v>-9.4036870806409184E-2</v>
      </c>
      <c r="Q54" s="20">
        <f t="shared" si="40"/>
        <v>-0.25691226229830205</v>
      </c>
      <c r="R54" s="19">
        <f t="shared" si="41"/>
        <v>0.14867513508095881</v>
      </c>
      <c r="S54" s="19">
        <f t="shared" ref="S54:S68" si="42">(N54-N53)/(D54-D53)</f>
        <v>1.2755441451982204E-2</v>
      </c>
      <c r="T54" s="19">
        <f t="shared" ref="T54:T68" si="43">(O54-O53)/(D54-D53)</f>
        <v>1.7627984096267747E-2</v>
      </c>
      <c r="U54" s="19">
        <f t="shared" ref="U54:U68" si="44">(P54-P53)/(D54-D53)</f>
        <v>1.7962614632217783E-2</v>
      </c>
      <c r="V54" s="20">
        <f t="shared" ref="V54:V68" si="45">AVERAGE(S54:U54)</f>
        <v>1.6115346726822577E-2</v>
      </c>
      <c r="W54" s="19">
        <f t="shared" ref="W54:W68" si="46">STDEV(S54:U54)/SQRT(3)</f>
        <v>1.6827276458994266E-3</v>
      </c>
      <c r="X54" s="19">
        <f t="shared" ref="X54:X68" si="47">I54/D54</f>
        <v>6.0501515789473694E-3</v>
      </c>
      <c r="Y54" s="19">
        <f t="shared" ref="Y54:Y68" si="48">J54/D54</f>
        <v>9.3089242105263165E-3</v>
      </c>
      <c r="Z54" s="19">
        <f t="shared" ref="Z54:Z68" si="49">K54/D54</f>
        <v>9.5815705263157889E-3</v>
      </c>
      <c r="AA54" s="20">
        <f t="shared" ref="AA54:AA68" si="50">AVERAGE(X54:Z54)</f>
        <v>8.3135487719298243E-3</v>
      </c>
      <c r="AB54" s="111">
        <f t="shared" ref="AB54:AB68" si="51">STDEV(X54:Z54)/SQRT(3)</f>
        <v>1.1344321844398691E-3</v>
      </c>
      <c r="AD54" s="154"/>
      <c r="AE54" s="154"/>
      <c r="AF54" s="154"/>
    </row>
    <row r="55" spans="1:32" s="16" customFormat="1" ht="13">
      <c r="B55" s="21" t="s">
        <v>89</v>
      </c>
      <c r="C55" s="15">
        <v>0.4826388888888889</v>
      </c>
      <c r="D55" s="22">
        <f>20/60+24+D54</f>
        <v>119.33333333333333</v>
      </c>
      <c r="E55" s="17">
        <v>6</v>
      </c>
      <c r="F55" s="18">
        <v>0.70299999999999996</v>
      </c>
      <c r="G55" s="19">
        <v>0.753</v>
      </c>
      <c r="H55" s="19">
        <v>0.74199999999999999</v>
      </c>
      <c r="I55" s="19">
        <f t="shared" si="36"/>
        <v>0.86708019999999997</v>
      </c>
      <c r="J55" s="19">
        <f t="shared" si="36"/>
        <v>0.92875020000000008</v>
      </c>
      <c r="K55" s="19">
        <f t="shared" si="36"/>
        <v>0.91518280000000007</v>
      </c>
      <c r="L55" s="20">
        <f t="shared" si="37"/>
        <v>0.90367106666666663</v>
      </c>
      <c r="M55" s="152">
        <f t="shared" si="38"/>
        <v>1.870995482137194E-2</v>
      </c>
      <c r="N55" s="19">
        <f t="shared" si="39"/>
        <v>-0.14262380359621679</v>
      </c>
      <c r="O55" s="19">
        <f t="shared" si="39"/>
        <v>-7.3915467606988E-2</v>
      </c>
      <c r="P55" s="19">
        <f t="shared" si="39"/>
        <v>-8.8631452239501141E-2</v>
      </c>
      <c r="Q55" s="20">
        <f t="shared" si="40"/>
        <v>-0.10172357448090197</v>
      </c>
      <c r="R55" s="19">
        <f t="shared" si="41"/>
        <v>2.0886691194713983E-2</v>
      </c>
      <c r="S55" s="19">
        <f t="shared" si="42"/>
        <v>1.6897448945959685E-2</v>
      </c>
      <c r="T55" s="19">
        <f t="shared" si="43"/>
        <v>2.0132624876824643E-3</v>
      </c>
      <c r="U55" s="19">
        <f t="shared" si="44"/>
        <v>2.2214048905101552E-4</v>
      </c>
      <c r="V55" s="20">
        <f t="shared" si="45"/>
        <v>6.3776173075643884E-3</v>
      </c>
      <c r="W55" s="19">
        <f t="shared" si="46"/>
        <v>5.2852679773950405E-3</v>
      </c>
      <c r="X55" s="19">
        <f t="shared" si="47"/>
        <v>7.2660351955307258E-3</v>
      </c>
      <c r="Y55" s="19">
        <f t="shared" si="48"/>
        <v>7.7828229050279337E-3</v>
      </c>
      <c r="Z55" s="19">
        <f t="shared" si="49"/>
        <v>7.6691296089385482E-3</v>
      </c>
      <c r="AA55" s="20">
        <f t="shared" si="50"/>
        <v>7.5726625698324035E-3</v>
      </c>
      <c r="AB55" s="111">
        <f t="shared" si="51"/>
        <v>1.5678733090535154E-4</v>
      </c>
      <c r="AD55" s="154"/>
      <c r="AE55" s="154"/>
      <c r="AF55" s="154"/>
    </row>
    <row r="56" spans="1:32" s="16" customFormat="1" ht="13">
      <c r="B56" s="21" t="s">
        <v>90</v>
      </c>
      <c r="C56" s="15">
        <v>0.47222222222222227</v>
      </c>
      <c r="D56" s="22">
        <f>12+11+45/60+D55</f>
        <v>143.08333333333331</v>
      </c>
      <c r="E56" s="17">
        <v>7</v>
      </c>
      <c r="F56" s="18">
        <v>0.88</v>
      </c>
      <c r="G56" s="19">
        <v>0.93200000000000005</v>
      </c>
      <c r="H56" s="19">
        <v>0.95099999999999996</v>
      </c>
      <c r="I56" s="19">
        <f t="shared" si="36"/>
        <v>1.0853920000000001</v>
      </c>
      <c r="J56" s="19">
        <f t="shared" si="36"/>
        <v>1.1495288000000001</v>
      </c>
      <c r="K56" s="19">
        <f t="shared" si="36"/>
        <v>1.1729634</v>
      </c>
      <c r="L56" s="20">
        <f t="shared" si="37"/>
        <v>1.1359614</v>
      </c>
      <c r="M56" s="152">
        <f t="shared" si="38"/>
        <v>2.6174053829189921E-2</v>
      </c>
      <c r="N56" s="19">
        <f t="shared" si="39"/>
        <v>8.1941212065370611E-2</v>
      </c>
      <c r="O56" s="19">
        <f t="shared" si="39"/>
        <v>0.13935211927870964</v>
      </c>
      <c r="P56" s="19">
        <f t="shared" si="39"/>
        <v>0.15953336713850863</v>
      </c>
      <c r="Q56" s="20">
        <f t="shared" si="40"/>
        <v>0.12694223282752962</v>
      </c>
      <c r="R56" s="19">
        <f t="shared" si="41"/>
        <v>2.3242486911701599E-2</v>
      </c>
      <c r="S56" s="19">
        <f t="shared" si="42"/>
        <v>9.4553690804878958E-3</v>
      </c>
      <c r="T56" s="19">
        <f t="shared" si="43"/>
        <v>8.9796878688714853E-3</v>
      </c>
      <c r="U56" s="19">
        <f t="shared" si="44"/>
        <v>1.0449045026442522E-2</v>
      </c>
      <c r="V56" s="20">
        <f t="shared" si="45"/>
        <v>9.6280339919339684E-3</v>
      </c>
      <c r="W56" s="19">
        <f t="shared" si="46"/>
        <v>4.3286352462788206E-4</v>
      </c>
      <c r="X56" s="19">
        <f t="shared" si="47"/>
        <v>7.5857332556785112E-3</v>
      </c>
      <c r="Y56" s="19">
        <f t="shared" si="48"/>
        <v>8.0339811298776962E-3</v>
      </c>
      <c r="Z56" s="19">
        <f t="shared" si="49"/>
        <v>8.1977640069889352E-3</v>
      </c>
      <c r="AA56" s="20">
        <f t="shared" si="50"/>
        <v>7.9391594641817151E-3</v>
      </c>
      <c r="AB56" s="111">
        <f t="shared" si="51"/>
        <v>1.8292873963324349E-4</v>
      </c>
      <c r="AD56" s="154"/>
      <c r="AE56" s="154"/>
      <c r="AF56" s="154"/>
    </row>
    <row r="57" spans="1:32" s="16" customFormat="1" ht="13">
      <c r="B57" s="21" t="s">
        <v>91</v>
      </c>
      <c r="C57" s="15">
        <v>0.50694444444444442</v>
      </c>
      <c r="D57" s="22">
        <f>50/60+24+D56</f>
        <v>167.91666666666666</v>
      </c>
      <c r="E57" s="17">
        <v>8</v>
      </c>
      <c r="F57" s="18">
        <v>1.1359999999999999</v>
      </c>
      <c r="G57" s="19">
        <v>1.1870000000000001</v>
      </c>
      <c r="H57" s="19">
        <v>1.1299999999999999</v>
      </c>
      <c r="I57" s="19">
        <f t="shared" si="36"/>
        <v>1.4011423999999999</v>
      </c>
      <c r="J57" s="19">
        <f t="shared" si="36"/>
        <v>1.4640458000000001</v>
      </c>
      <c r="K57" s="19">
        <f t="shared" si="36"/>
        <v>1.393742</v>
      </c>
      <c r="L57" s="20">
        <f t="shared" si="37"/>
        <v>1.4196434</v>
      </c>
      <c r="M57" s="152">
        <f t="shared" si="38"/>
        <v>2.2303746504119017E-2</v>
      </c>
      <c r="N57" s="19">
        <f t="shared" si="39"/>
        <v>0.33728790387421492</v>
      </c>
      <c r="O57" s="19">
        <f t="shared" si="39"/>
        <v>0.38120369920278641</v>
      </c>
      <c r="P57" s="19">
        <f t="shared" si="39"/>
        <v>0.33199221629950459</v>
      </c>
      <c r="Q57" s="20">
        <f t="shared" si="40"/>
        <v>0.35016127312550199</v>
      </c>
      <c r="R57" s="19">
        <f t="shared" si="41"/>
        <v>1.5596316224192032E-2</v>
      </c>
      <c r="S57" s="19">
        <f t="shared" si="42"/>
        <v>1.0282417119819229E-2</v>
      </c>
      <c r="T57" s="19">
        <f t="shared" si="43"/>
        <v>9.7389897956004032E-3</v>
      </c>
      <c r="U57" s="19">
        <f t="shared" si="44"/>
        <v>6.9446516440669487E-3</v>
      </c>
      <c r="V57" s="20">
        <f t="shared" si="45"/>
        <v>8.9886861864955283E-3</v>
      </c>
      <c r="W57" s="19">
        <f t="shared" si="46"/>
        <v>1.0339868184456084E-3</v>
      </c>
      <c r="X57" s="19">
        <f t="shared" si="47"/>
        <v>8.3442723573200987E-3</v>
      </c>
      <c r="Y57" s="19">
        <f t="shared" si="48"/>
        <v>8.7188831761786604E-3</v>
      </c>
      <c r="Z57" s="19">
        <f t="shared" si="49"/>
        <v>8.300200496277917E-3</v>
      </c>
      <c r="AA57" s="20">
        <f t="shared" si="50"/>
        <v>8.4544520099255598E-3</v>
      </c>
      <c r="AB57" s="111">
        <f t="shared" si="51"/>
        <v>1.3282628191038596E-4</v>
      </c>
      <c r="AD57" s="154"/>
      <c r="AE57" s="154"/>
      <c r="AF57" s="154"/>
    </row>
    <row r="58" spans="1:32" s="16" customFormat="1" ht="13">
      <c r="B58" s="21" t="s">
        <v>92</v>
      </c>
      <c r="C58" s="15">
        <v>0.4861111111111111</v>
      </c>
      <c r="D58" s="22">
        <f>11+30/60+12+D57</f>
        <v>191.41666666666666</v>
      </c>
      <c r="E58" s="17">
        <v>9</v>
      </c>
      <c r="F58" s="18">
        <v>1.254</v>
      </c>
      <c r="G58" s="19">
        <v>1.3320000000000001</v>
      </c>
      <c r="H58" s="19">
        <v>1.2989999999999999</v>
      </c>
      <c r="I58" s="19">
        <f t="shared" si="36"/>
        <v>1.5466836000000002</v>
      </c>
      <c r="J58" s="19">
        <f t="shared" si="36"/>
        <v>1.6428888000000001</v>
      </c>
      <c r="K58" s="19">
        <f t="shared" si="36"/>
        <v>1.6021866</v>
      </c>
      <c r="L58" s="20">
        <f t="shared" si="37"/>
        <v>1.5972530000000003</v>
      </c>
      <c r="M58" s="152">
        <f t="shared" si="38"/>
        <v>2.7881388257402096E-2</v>
      </c>
      <c r="N58" s="19">
        <f t="shared" si="39"/>
        <v>0.43611302578598443</v>
      </c>
      <c r="O58" s="19">
        <f t="shared" si="39"/>
        <v>0.49645615569345286</v>
      </c>
      <c r="P58" s="19">
        <f t="shared" si="39"/>
        <v>0.47136932126371789</v>
      </c>
      <c r="Q58" s="20">
        <f t="shared" si="40"/>
        <v>0.46797950091438506</v>
      </c>
      <c r="R58" s="19">
        <f t="shared" si="41"/>
        <v>1.750182365029395E-2</v>
      </c>
      <c r="S58" s="19">
        <f t="shared" si="42"/>
        <v>4.2053243366710433E-3</v>
      </c>
      <c r="T58" s="19">
        <f t="shared" si="43"/>
        <v>4.9043598506666574E-3</v>
      </c>
      <c r="U58" s="19">
        <f t="shared" si="44"/>
        <v>5.9309406367750337E-3</v>
      </c>
      <c r="V58" s="20">
        <f t="shared" si="45"/>
        <v>5.0135416080375785E-3</v>
      </c>
      <c r="W58" s="19">
        <f t="shared" si="46"/>
        <v>5.0112486664273548E-4</v>
      </c>
      <c r="X58" s="19">
        <f t="shared" si="47"/>
        <v>8.0801929473225953E-3</v>
      </c>
      <c r="Y58" s="19">
        <f t="shared" si="48"/>
        <v>8.5827886808881159E-3</v>
      </c>
      <c r="Z58" s="19">
        <f t="shared" si="49"/>
        <v>8.3701520243796255E-3</v>
      </c>
      <c r="AA58" s="20">
        <f t="shared" si="50"/>
        <v>8.3443778841967801E-3</v>
      </c>
      <c r="AB58" s="111">
        <f t="shared" si="51"/>
        <v>1.4565810147532668E-4</v>
      </c>
      <c r="AD58" s="154"/>
      <c r="AE58" s="154"/>
      <c r="AF58" s="154"/>
    </row>
    <row r="59" spans="1:32" s="16" customFormat="1" ht="13">
      <c r="B59" s="21" t="s">
        <v>93</v>
      </c>
      <c r="C59" s="15">
        <v>0.47222222222222227</v>
      </c>
      <c r="D59" s="22">
        <f>23+40/60+D58</f>
        <v>215.08333333333331</v>
      </c>
      <c r="E59" s="17">
        <v>10</v>
      </c>
      <c r="F59" s="18">
        <v>1.4239999999999999</v>
      </c>
      <c r="G59" s="19">
        <v>1.5920000000000001</v>
      </c>
      <c r="H59" s="19">
        <v>1.502</v>
      </c>
      <c r="I59" s="19">
        <f t="shared" si="36"/>
        <v>1.7563616</v>
      </c>
      <c r="J59" s="19">
        <f t="shared" si="36"/>
        <v>1.9635728000000001</v>
      </c>
      <c r="K59" s="19">
        <f t="shared" si="36"/>
        <v>1.8525668000000002</v>
      </c>
      <c r="L59" s="20">
        <f t="shared" si="37"/>
        <v>1.8575004000000002</v>
      </c>
      <c r="M59" s="152">
        <f t="shared" si="38"/>
        <v>5.9867564000550461E-2</v>
      </c>
      <c r="N59" s="19">
        <f t="shared" si="39"/>
        <v>0.56324439656503944</v>
      </c>
      <c r="O59" s="19">
        <f t="shared" si="39"/>
        <v>0.67476567099744666</v>
      </c>
      <c r="P59" s="19">
        <f t="shared" si="39"/>
        <v>0.61657213691719848</v>
      </c>
      <c r="Q59" s="20">
        <f t="shared" si="40"/>
        <v>0.61819406815989486</v>
      </c>
      <c r="R59" s="19">
        <f t="shared" si="41"/>
        <v>3.2203631567853219E-2</v>
      </c>
      <c r="S59" s="19">
        <f t="shared" si="42"/>
        <v>5.3717480610868335E-3</v>
      </c>
      <c r="T59" s="19">
        <f t="shared" si="43"/>
        <v>7.5342048719997416E-3</v>
      </c>
      <c r="U59" s="19">
        <f t="shared" si="44"/>
        <v>6.1353302388794636E-3</v>
      </c>
      <c r="V59" s="20">
        <f t="shared" si="45"/>
        <v>6.3470943906553459E-3</v>
      </c>
      <c r="W59" s="19">
        <f t="shared" si="46"/>
        <v>6.3316346145076037E-4</v>
      </c>
      <c r="X59" s="19">
        <f t="shared" si="47"/>
        <v>8.1659586206896551E-3</v>
      </c>
      <c r="Y59" s="19">
        <f t="shared" si="48"/>
        <v>9.1293582332429308E-3</v>
      </c>
      <c r="Z59" s="19">
        <f t="shared" si="49"/>
        <v>8.6132512979465344E-3</v>
      </c>
      <c r="AA59" s="20">
        <f t="shared" si="50"/>
        <v>8.6361893839597068E-3</v>
      </c>
      <c r="AB59" s="111">
        <f t="shared" si="51"/>
        <v>2.7834590004130428E-4</v>
      </c>
      <c r="AD59" s="154"/>
      <c r="AE59" s="154"/>
      <c r="AF59" s="154"/>
    </row>
    <row r="60" spans="1:32" s="16" customFormat="1" ht="13">
      <c r="B60" s="21" t="s">
        <v>94</v>
      </c>
      <c r="C60" s="15">
        <v>0.54166666666666663</v>
      </c>
      <c r="D60" s="22">
        <f>1+40/60+24+D59</f>
        <v>240.74999999999997</v>
      </c>
      <c r="E60" s="17">
        <v>11</v>
      </c>
      <c r="F60" s="18">
        <v>1.6339999999999999</v>
      </c>
      <c r="G60" s="19">
        <v>1.837</v>
      </c>
      <c r="H60" s="19">
        <v>1.7989999999999999</v>
      </c>
      <c r="I60" s="19">
        <f t="shared" si="36"/>
        <v>2.0153756</v>
      </c>
      <c r="J60" s="19">
        <f t="shared" si="36"/>
        <v>2.2657558</v>
      </c>
      <c r="K60" s="19">
        <f t="shared" si="36"/>
        <v>2.2188865999999998</v>
      </c>
      <c r="L60" s="20">
        <f t="shared" si="37"/>
        <v>2.1666726666666665</v>
      </c>
      <c r="M60" s="152">
        <f t="shared" si="38"/>
        <v>7.6848947647562324E-2</v>
      </c>
      <c r="N60" s="19">
        <f t="shared" si="39"/>
        <v>0.70080558001306659</v>
      </c>
      <c r="O60" s="19">
        <f t="shared" si="39"/>
        <v>0.81790838980824399</v>
      </c>
      <c r="P60" s="19">
        <f t="shared" si="39"/>
        <v>0.7970055385436513</v>
      </c>
      <c r="Q60" s="20">
        <f t="shared" si="40"/>
        <v>0.77190650278832063</v>
      </c>
      <c r="R60" s="19">
        <f t="shared" si="41"/>
        <v>3.6058924981049657E-2</v>
      </c>
      <c r="S60" s="19">
        <f t="shared" si="42"/>
        <v>5.3595266278452158E-3</v>
      </c>
      <c r="T60" s="19">
        <f t="shared" si="43"/>
        <v>5.5769890445765214E-3</v>
      </c>
      <c r="U60" s="19">
        <f t="shared" si="44"/>
        <v>7.0298727906410218E-3</v>
      </c>
      <c r="V60" s="20">
        <f t="shared" si="45"/>
        <v>5.9887961543542527E-3</v>
      </c>
      <c r="W60" s="19">
        <f t="shared" si="46"/>
        <v>5.2430999025363E-4</v>
      </c>
      <c r="X60" s="19">
        <f t="shared" si="47"/>
        <v>8.3712382139148507E-3</v>
      </c>
      <c r="Y60" s="19">
        <f t="shared" si="48"/>
        <v>9.4112390446521293E-3</v>
      </c>
      <c r="Z60" s="19">
        <f t="shared" si="49"/>
        <v>9.2165590861889926E-3</v>
      </c>
      <c r="AA60" s="20">
        <f t="shared" si="50"/>
        <v>8.999678781585323E-3</v>
      </c>
      <c r="AB60" s="111">
        <f t="shared" si="51"/>
        <v>3.192064284426262E-4</v>
      </c>
      <c r="AD60" s="154"/>
      <c r="AE60" s="154"/>
      <c r="AF60" s="154"/>
    </row>
    <row r="61" spans="1:32" s="16" customFormat="1" ht="13">
      <c r="B61" s="21" t="s">
        <v>95</v>
      </c>
      <c r="C61" s="15">
        <v>0.5</v>
      </c>
      <c r="D61" s="22">
        <f>23+D60</f>
        <v>263.75</v>
      </c>
      <c r="E61" s="17">
        <v>12</v>
      </c>
      <c r="F61" s="18">
        <f>2*0.939</f>
        <v>1.8779999999999999</v>
      </c>
      <c r="G61" s="19">
        <f>2*1.075</f>
        <v>2.15</v>
      </c>
      <c r="H61" s="19">
        <f>2*1.044</f>
        <v>2.0880000000000001</v>
      </c>
      <c r="I61" s="19">
        <f t="shared" si="36"/>
        <v>2.3163252000000001</v>
      </c>
      <c r="J61" s="19">
        <f t="shared" si="36"/>
        <v>2.6518100000000002</v>
      </c>
      <c r="K61" s="19">
        <f t="shared" si="36"/>
        <v>2.5753392000000002</v>
      </c>
      <c r="L61" s="20">
        <f t="shared" si="37"/>
        <v>2.5144914666666671</v>
      </c>
      <c r="M61" s="152">
        <f t="shared" si="38"/>
        <v>0.10151247500777652</v>
      </c>
      <c r="N61" s="19">
        <f t="shared" si="39"/>
        <v>0.83998196436132655</v>
      </c>
      <c r="O61" s="19">
        <f t="shared" si="39"/>
        <v>0.97524242571482689</v>
      </c>
      <c r="P61" s="19">
        <f t="shared" si="39"/>
        <v>0.94598125359564778</v>
      </c>
      <c r="Q61" s="20">
        <f t="shared" si="40"/>
        <v>0.92040188122393374</v>
      </c>
      <c r="R61" s="19">
        <f t="shared" si="41"/>
        <v>4.1087615001719376E-2</v>
      </c>
      <c r="S61" s="19">
        <f t="shared" si="42"/>
        <v>6.0511471455765124E-3</v>
      </c>
      <c r="T61" s="19">
        <f t="shared" si="43"/>
        <v>6.8406102568079443E-3</v>
      </c>
      <c r="U61" s="19">
        <f t="shared" si="44"/>
        <v>6.4772050022607079E-3</v>
      </c>
      <c r="V61" s="20">
        <f t="shared" si="45"/>
        <v>6.4563208015483882E-3</v>
      </c>
      <c r="W61" s="19">
        <f t="shared" si="46"/>
        <v>2.2813746833751168E-4</v>
      </c>
      <c r="X61" s="19">
        <f t="shared" si="47"/>
        <v>8.7822756398104277E-3</v>
      </c>
      <c r="Y61" s="19">
        <f t="shared" si="48"/>
        <v>1.0054255924170617E-2</v>
      </c>
      <c r="Z61" s="19">
        <f t="shared" si="49"/>
        <v>9.7643192417061625E-3</v>
      </c>
      <c r="AA61" s="20">
        <f t="shared" si="50"/>
        <v>9.5336169352290695E-3</v>
      </c>
      <c r="AB61" s="111">
        <f t="shared" si="51"/>
        <v>3.8488142183043202E-4</v>
      </c>
      <c r="AD61" s="154"/>
      <c r="AE61" s="154"/>
      <c r="AF61" s="154"/>
    </row>
    <row r="62" spans="1:32" s="16" customFormat="1" ht="13">
      <c r="B62" s="21" t="s">
        <v>96</v>
      </c>
      <c r="C62" s="15">
        <v>0.49513888888888885</v>
      </c>
      <c r="D62" s="22">
        <f>24+1/60+D61</f>
        <v>287.76666666666665</v>
      </c>
      <c r="E62" s="17">
        <v>13</v>
      </c>
      <c r="F62" s="18">
        <f>2*1.118</f>
        <v>2.2360000000000002</v>
      </c>
      <c r="G62" s="19">
        <f>2*1.099</f>
        <v>2.198</v>
      </c>
      <c r="H62" s="19">
        <f>2*1.144</f>
        <v>2.2879999999999998</v>
      </c>
      <c r="I62" s="19">
        <f t="shared" si="36"/>
        <v>2.7578824000000002</v>
      </c>
      <c r="J62" s="19">
        <f t="shared" si="36"/>
        <v>2.7110132</v>
      </c>
      <c r="K62" s="19">
        <f t="shared" si="36"/>
        <v>2.8220191999999997</v>
      </c>
      <c r="L62" s="20">
        <f t="shared" si="37"/>
        <v>2.7636382666666663</v>
      </c>
      <c r="M62" s="152">
        <f t="shared" si="38"/>
        <v>3.2173646098493491E-2</v>
      </c>
      <c r="N62" s="19">
        <f t="shared" si="39"/>
        <v>1.0144631388681082</v>
      </c>
      <c r="O62" s="19">
        <f t="shared" si="39"/>
        <v>0.99732243955668498</v>
      </c>
      <c r="P62" s="19">
        <f t="shared" si="39"/>
        <v>1.0374526570928067</v>
      </c>
      <c r="Q62" s="20">
        <f t="shared" si="40"/>
        <v>1.0164127451725333</v>
      </c>
      <c r="R62" s="19">
        <f t="shared" si="41"/>
        <v>1.1625536739305161E-2</v>
      </c>
      <c r="S62" s="19">
        <f t="shared" si="42"/>
        <v>7.2650037962573959E-3</v>
      </c>
      <c r="T62" s="19">
        <f t="shared" si="43"/>
        <v>9.1936213081990727E-4</v>
      </c>
      <c r="U62" s="19">
        <f t="shared" si="44"/>
        <v>3.8086635737887135E-3</v>
      </c>
      <c r="V62" s="20">
        <f t="shared" si="45"/>
        <v>3.997676500288672E-3</v>
      </c>
      <c r="W62" s="19">
        <f t="shared" si="46"/>
        <v>1.8342651981399464E-3</v>
      </c>
      <c r="X62" s="19">
        <f t="shared" si="47"/>
        <v>9.5837451639059438E-3</v>
      </c>
      <c r="Y62" s="19">
        <f t="shared" si="48"/>
        <v>9.4208729294567358E-3</v>
      </c>
      <c r="Z62" s="19">
        <f t="shared" si="49"/>
        <v>9.8066229584153827E-3</v>
      </c>
      <c r="AA62" s="20">
        <f t="shared" si="50"/>
        <v>9.6037470172593547E-3</v>
      </c>
      <c r="AB62" s="111">
        <f t="shared" si="51"/>
        <v>1.1180463140910538E-4</v>
      </c>
      <c r="AD62" s="154"/>
      <c r="AE62" s="154"/>
      <c r="AF62" s="154"/>
    </row>
    <row r="63" spans="1:32" s="16" customFormat="1" ht="13">
      <c r="A63" s="17"/>
      <c r="B63" s="21" t="s">
        <v>97</v>
      </c>
      <c r="C63" s="15">
        <v>0.50763888888888886</v>
      </c>
      <c r="D63" s="22">
        <f>18/60+24+D62</f>
        <v>312.06666666666666</v>
      </c>
      <c r="E63" s="17">
        <v>14</v>
      </c>
      <c r="F63" s="18">
        <f>4*0.586</f>
        <v>2.3439999999999999</v>
      </c>
      <c r="G63" s="19">
        <f>4*0.597</f>
        <v>2.3879999999999999</v>
      </c>
      <c r="H63" s="19">
        <f>4*0.599</f>
        <v>2.3959999999999999</v>
      </c>
      <c r="I63" s="19">
        <f t="shared" si="36"/>
        <v>2.8910895999999999</v>
      </c>
      <c r="J63" s="19">
        <f t="shared" si="36"/>
        <v>2.9453592</v>
      </c>
      <c r="K63" s="19">
        <f t="shared" si="36"/>
        <v>2.9552263999999999</v>
      </c>
      <c r="L63" s="20">
        <f t="shared" si="37"/>
        <v>2.9305584000000002</v>
      </c>
      <c r="M63" s="152">
        <f t="shared" si="38"/>
        <v>1.9938907016517567E-2</v>
      </c>
      <c r="N63" s="19">
        <f t="shared" si="39"/>
        <v>1.0616334552900215</v>
      </c>
      <c r="O63" s="19">
        <f t="shared" si="39"/>
        <v>1.0802307791056109</v>
      </c>
      <c r="P63" s="19">
        <f t="shared" si="39"/>
        <v>1.0835752638284584</v>
      </c>
      <c r="Q63" s="20">
        <f t="shared" si="40"/>
        <v>1.0751464994080304</v>
      </c>
      <c r="R63" s="19">
        <f t="shared" si="41"/>
        <v>6.8251536128446323E-3</v>
      </c>
      <c r="S63" s="19">
        <f t="shared" si="42"/>
        <v>1.9411652848523972E-3</v>
      </c>
      <c r="T63" s="19">
        <f t="shared" si="43"/>
        <v>3.4118658250586798E-3</v>
      </c>
      <c r="U63" s="19">
        <f t="shared" si="44"/>
        <v>1.8980496599033619E-3</v>
      </c>
      <c r="V63" s="20">
        <f t="shared" si="45"/>
        <v>2.4170269232714797E-3</v>
      </c>
      <c r="W63" s="19">
        <f t="shared" si="46"/>
        <v>4.9757514329012271E-4</v>
      </c>
      <c r="X63" s="19">
        <f t="shared" si="47"/>
        <v>9.264333262123477E-3</v>
      </c>
      <c r="Y63" s="19">
        <f t="shared" si="48"/>
        <v>9.438237128818628E-3</v>
      </c>
      <c r="Z63" s="19">
        <f t="shared" si="49"/>
        <v>9.4698560136722929E-3</v>
      </c>
      <c r="AA63" s="20">
        <f t="shared" si="50"/>
        <v>9.3908088015381332E-3</v>
      </c>
      <c r="AB63" s="111">
        <f t="shared" si="51"/>
        <v>6.3893100886085272E-5</v>
      </c>
      <c r="AD63" s="155"/>
      <c r="AE63" s="154"/>
      <c r="AF63" s="154"/>
    </row>
    <row r="64" spans="1:32" s="16" customFormat="1" ht="13">
      <c r="B64" s="21" t="s">
        <v>98</v>
      </c>
      <c r="C64" s="15">
        <v>0.50763888888888886</v>
      </c>
      <c r="D64" s="22">
        <f>D63+24</f>
        <v>336.06666666666666</v>
      </c>
      <c r="E64" s="17">
        <v>15</v>
      </c>
      <c r="F64" s="18">
        <f>4*0.626</f>
        <v>2.504</v>
      </c>
      <c r="G64" s="19">
        <f>4*0.606</f>
        <v>2.4239999999999999</v>
      </c>
      <c r="H64" s="19">
        <f>4*0.618</f>
        <v>2.472</v>
      </c>
      <c r="I64" s="19">
        <f t="shared" si="36"/>
        <v>3.0884336000000001</v>
      </c>
      <c r="J64" s="19">
        <f t="shared" si="36"/>
        <v>2.9897616</v>
      </c>
      <c r="K64" s="19">
        <f t="shared" si="36"/>
        <v>3.0489648000000003</v>
      </c>
      <c r="L64" s="20">
        <f t="shared" si="37"/>
        <v>3.0423866666666668</v>
      </c>
      <c r="M64" s="152">
        <f t="shared" si="38"/>
        <v>2.8673418437136392E-2</v>
      </c>
      <c r="N64" s="19">
        <f t="shared" si="39"/>
        <v>1.1276640368131075</v>
      </c>
      <c r="O64" s="19">
        <f t="shared" si="39"/>
        <v>1.0951936517823233</v>
      </c>
      <c r="P64" s="19">
        <f t="shared" si="39"/>
        <v>1.1148021231706997</v>
      </c>
      <c r="Q64" s="20">
        <f t="shared" si="40"/>
        <v>1.11255327058871</v>
      </c>
      <c r="R64" s="19">
        <f t="shared" si="41"/>
        <v>9.4405946045695577E-3</v>
      </c>
      <c r="S64" s="19">
        <f t="shared" si="42"/>
        <v>2.7512742301285809E-3</v>
      </c>
      <c r="T64" s="19">
        <f t="shared" si="43"/>
        <v>6.2345302819634873E-4</v>
      </c>
      <c r="U64" s="19">
        <f t="shared" si="44"/>
        <v>1.3011191392600558E-3</v>
      </c>
      <c r="V64" s="20">
        <f t="shared" si="45"/>
        <v>1.5586154658616619E-3</v>
      </c>
      <c r="W64" s="19">
        <f t="shared" si="46"/>
        <v>6.2759701388392887E-4</v>
      </c>
      <c r="X64" s="19">
        <f t="shared" si="47"/>
        <v>9.1899432652251534E-3</v>
      </c>
      <c r="Y64" s="19">
        <f t="shared" si="48"/>
        <v>8.8963348541955967E-3</v>
      </c>
      <c r="Z64" s="19">
        <f t="shared" si="49"/>
        <v>9.0724999008133314E-3</v>
      </c>
      <c r="AA64" s="20">
        <f t="shared" si="50"/>
        <v>9.0529260067446927E-3</v>
      </c>
      <c r="AB64" s="111">
        <f t="shared" si="51"/>
        <v>8.5320626176759386E-5</v>
      </c>
      <c r="AD64" s="155"/>
      <c r="AE64" s="154"/>
      <c r="AF64" s="154"/>
    </row>
    <row r="65" spans="1:32" s="16" customFormat="1" ht="15" customHeight="1">
      <c r="B65" s="21" t="s">
        <v>99</v>
      </c>
      <c r="C65" s="15">
        <v>0.50624999999999998</v>
      </c>
      <c r="D65" s="22">
        <f>23+58/60+24+D63</f>
        <v>360.0333333333333</v>
      </c>
      <c r="E65" s="17">
        <v>16</v>
      </c>
      <c r="F65" s="18">
        <f>4*0.66</f>
        <v>2.64</v>
      </c>
      <c r="G65" s="19">
        <f>4*0.664</f>
        <v>2.6560000000000001</v>
      </c>
      <c r="H65" s="19">
        <f>4*0.666</f>
        <v>2.6640000000000001</v>
      </c>
      <c r="I65" s="19">
        <f t="shared" si="36"/>
        <v>3.2561760000000004</v>
      </c>
      <c r="J65" s="19">
        <f t="shared" si="36"/>
        <v>3.2759104000000003</v>
      </c>
      <c r="K65" s="19">
        <f t="shared" si="36"/>
        <v>3.2857776000000003</v>
      </c>
      <c r="L65" s="20">
        <f t="shared" si="37"/>
        <v>3.2726213333333334</v>
      </c>
      <c r="M65" s="152">
        <f t="shared" si="38"/>
        <v>8.7020524455121446E-3</v>
      </c>
      <c r="N65" s="19">
        <f t="shared" si="39"/>
        <v>1.1805535007334802</v>
      </c>
      <c r="O65" s="19">
        <f t="shared" si="39"/>
        <v>1.1865958151894429</v>
      </c>
      <c r="P65" s="19">
        <f t="shared" si="39"/>
        <v>1.1896033362533982</v>
      </c>
      <c r="Q65" s="20">
        <f t="shared" si="40"/>
        <v>1.1855842173921072</v>
      </c>
      <c r="R65" s="19">
        <f t="shared" si="41"/>
        <v>2.6609759056953385E-3</v>
      </c>
      <c r="S65" s="19">
        <f t="shared" si="42"/>
        <v>2.2067926531449014E-3</v>
      </c>
      <c r="T65" s="19">
        <f t="shared" si="43"/>
        <v>3.8137203090592361E-3</v>
      </c>
      <c r="U65" s="19">
        <f t="shared" si="44"/>
        <v>3.1210520062322075E-3</v>
      </c>
      <c r="V65" s="20">
        <f t="shared" si="45"/>
        <v>3.0471883228121153E-3</v>
      </c>
      <c r="W65" s="19">
        <f t="shared" si="46"/>
        <v>4.6534790054749087E-4</v>
      </c>
      <c r="X65" s="19">
        <f t="shared" si="47"/>
        <v>9.0440959170447199E-3</v>
      </c>
      <c r="Y65" s="19">
        <f t="shared" si="48"/>
        <v>9.0989086195722643E-3</v>
      </c>
      <c r="Z65" s="19">
        <f t="shared" si="49"/>
        <v>9.1263149708360348E-3</v>
      </c>
      <c r="AA65" s="20">
        <f t="shared" si="50"/>
        <v>9.0897731691510063E-3</v>
      </c>
      <c r="AB65" s="111">
        <f t="shared" si="51"/>
        <v>2.4170129929206893E-5</v>
      </c>
      <c r="AD65" s="155"/>
      <c r="AE65" s="154"/>
      <c r="AF65" s="154"/>
    </row>
    <row r="66" spans="1:32" s="16" customFormat="1" ht="13">
      <c r="B66" s="21" t="s">
        <v>100</v>
      </c>
      <c r="C66" s="15">
        <v>0.50624999999999998</v>
      </c>
      <c r="D66" s="22">
        <f>D65+24</f>
        <v>384.0333333333333</v>
      </c>
      <c r="E66" s="17">
        <v>17</v>
      </c>
      <c r="F66" s="18">
        <f>4*0.778</f>
        <v>3.1120000000000001</v>
      </c>
      <c r="G66" s="19">
        <f>0.638*4</f>
        <v>2.552</v>
      </c>
      <c r="H66" s="19">
        <f>4*0.636</f>
        <v>2.544</v>
      </c>
      <c r="I66" s="19">
        <f t="shared" si="36"/>
        <v>3.8383408000000001</v>
      </c>
      <c r="J66" s="19">
        <f t="shared" si="36"/>
        <v>3.1476368000000003</v>
      </c>
      <c r="K66" s="19">
        <f t="shared" si="36"/>
        <v>3.1377696000000004</v>
      </c>
      <c r="L66" s="20">
        <f t="shared" si="37"/>
        <v>3.3745824</v>
      </c>
      <c r="M66" s="152">
        <f t="shared" si="38"/>
        <v>0.23189669437551991</v>
      </c>
      <c r="N66" s="19">
        <f t="shared" si="39"/>
        <v>1.3450401898914006</v>
      </c>
      <c r="O66" s="19">
        <f t="shared" si="39"/>
        <v>1.1466519490577989</v>
      </c>
      <c r="P66" s="19">
        <f t="shared" si="39"/>
        <v>1.1435122290531312</v>
      </c>
      <c r="Q66" s="20">
        <f t="shared" si="40"/>
        <v>1.2117347893341102</v>
      </c>
      <c r="R66" s="19">
        <f t="shared" si="41"/>
        <v>6.6658862435867328E-2</v>
      </c>
      <c r="S66" s="19">
        <f t="shared" si="42"/>
        <v>6.8536120482466838E-3</v>
      </c>
      <c r="T66" s="19">
        <f t="shared" si="43"/>
        <v>-1.6643277554851676E-3</v>
      </c>
      <c r="U66" s="19">
        <f t="shared" si="44"/>
        <v>-1.9204628000111246E-3</v>
      </c>
      <c r="V66" s="20">
        <f t="shared" si="45"/>
        <v>1.0896071642501305E-3</v>
      </c>
      <c r="W66" s="19">
        <f t="shared" si="46"/>
        <v>2.8829507752365265E-3</v>
      </c>
      <c r="X66" s="19">
        <f t="shared" si="47"/>
        <v>9.994811561496399E-3</v>
      </c>
      <c r="Y66" s="19">
        <f t="shared" si="48"/>
        <v>8.1962593524867646E-3</v>
      </c>
      <c r="Z66" s="19">
        <f t="shared" si="49"/>
        <v>8.1705657495009139E-3</v>
      </c>
      <c r="AA66" s="20">
        <f t="shared" si="50"/>
        <v>8.7872122211613592E-3</v>
      </c>
      <c r="AB66" s="111">
        <f t="shared" si="51"/>
        <v>6.0384522448273567E-4</v>
      </c>
      <c r="AD66" s="155"/>
      <c r="AE66" s="154"/>
      <c r="AF66" s="154"/>
    </row>
    <row r="67" spans="1:32" s="16" customFormat="1" ht="13">
      <c r="B67" s="21" t="s">
        <v>101</v>
      </c>
      <c r="C67" s="15">
        <v>0.50624999999999998</v>
      </c>
      <c r="D67" s="22">
        <f>D66+24</f>
        <v>408.0333333333333</v>
      </c>
      <c r="E67" s="17">
        <v>18</v>
      </c>
      <c r="F67" s="18">
        <f>4*0.778</f>
        <v>3.1120000000000001</v>
      </c>
      <c r="G67" s="19">
        <f>4*0.629</f>
        <v>2.516</v>
      </c>
      <c r="H67" s="19">
        <f>4*0.655</f>
        <v>2.62</v>
      </c>
      <c r="I67" s="19">
        <f t="shared" si="36"/>
        <v>3.8383408000000001</v>
      </c>
      <c r="J67" s="19">
        <f t="shared" si="36"/>
        <v>3.1032344000000003</v>
      </c>
      <c r="K67" s="19">
        <f t="shared" si="36"/>
        <v>3.2315080000000003</v>
      </c>
      <c r="L67" s="20">
        <f t="shared" si="37"/>
        <v>3.3910277333333334</v>
      </c>
      <c r="M67" s="152">
        <f t="shared" si="38"/>
        <v>0.22670117175281157</v>
      </c>
      <c r="N67" s="19">
        <f t="shared" si="39"/>
        <v>1.3450401898914006</v>
      </c>
      <c r="O67" s="19">
        <f t="shared" si="39"/>
        <v>1.1324449224134496</v>
      </c>
      <c r="P67" s="19">
        <f t="shared" si="39"/>
        <v>1.172948901348261</v>
      </c>
      <c r="Q67" s="20">
        <f t="shared" si="40"/>
        <v>1.2168113378843703</v>
      </c>
      <c r="R67" s="19">
        <f t="shared" si="41"/>
        <v>6.5171880292726844E-2</v>
      </c>
      <c r="S67" s="19">
        <f t="shared" si="42"/>
        <v>0</v>
      </c>
      <c r="T67" s="19">
        <f t="shared" si="43"/>
        <v>-5.9195944351455221E-4</v>
      </c>
      <c r="U67" s="19">
        <f t="shared" si="44"/>
        <v>1.2265280122970752E-3</v>
      </c>
      <c r="V67" s="20">
        <f t="shared" si="45"/>
        <v>2.11522856260841E-4</v>
      </c>
      <c r="W67" s="19">
        <f t="shared" si="46"/>
        <v>5.3549995200019075E-4</v>
      </c>
      <c r="X67" s="19">
        <f t="shared" si="47"/>
        <v>9.4069294992239205E-3</v>
      </c>
      <c r="Y67" s="19">
        <f t="shared" si="48"/>
        <v>7.6053453149252529E-3</v>
      </c>
      <c r="Z67" s="19">
        <f t="shared" si="49"/>
        <v>7.9197157095008599E-3</v>
      </c>
      <c r="AA67" s="20">
        <f t="shared" si="50"/>
        <v>8.3106635078833441E-3</v>
      </c>
      <c r="AB67" s="111">
        <f t="shared" si="51"/>
        <v>5.555947351184008E-4</v>
      </c>
      <c r="AD67" s="155"/>
      <c r="AE67" s="154"/>
      <c r="AF67" s="154"/>
    </row>
    <row r="68" spans="1:32" s="16" customFormat="1" ht="15" thickBot="1">
      <c r="A68" s="26"/>
      <c r="B68" s="24" t="s">
        <v>102</v>
      </c>
      <c r="C68" s="25">
        <v>0.50624999999999998</v>
      </c>
      <c r="D68" s="151">
        <f>D67+24</f>
        <v>432.0333333333333</v>
      </c>
      <c r="E68" s="26">
        <v>19</v>
      </c>
      <c r="F68" s="27">
        <f>4*0.718</f>
        <v>2.8719999999999999</v>
      </c>
      <c r="G68" s="28">
        <f>4*0.698</f>
        <v>2.7919999999999998</v>
      </c>
      <c r="H68" s="28">
        <f>4*0.656</f>
        <v>2.6240000000000001</v>
      </c>
      <c r="I68" s="28">
        <f t="shared" si="36"/>
        <v>3.5423247999999998</v>
      </c>
      <c r="J68" s="28">
        <f t="shared" si="36"/>
        <v>3.4436527999999997</v>
      </c>
      <c r="K68" s="28">
        <f t="shared" si="36"/>
        <v>3.2364416000000005</v>
      </c>
      <c r="L68" s="29">
        <f t="shared" si="37"/>
        <v>3.4074730666666668</v>
      </c>
      <c r="M68" s="114">
        <f t="shared" si="38"/>
        <v>9.0134830187176121E-2</v>
      </c>
      <c r="N68" s="28">
        <f t="shared" si="39"/>
        <v>1.2647832347612331</v>
      </c>
      <c r="O68" s="28">
        <f t="shared" si="39"/>
        <v>1.2365327684753813</v>
      </c>
      <c r="P68" s="28">
        <f t="shared" si="39"/>
        <v>1.1744744546570982</v>
      </c>
      <c r="Q68" s="29">
        <f t="shared" si="40"/>
        <v>1.225263485964571</v>
      </c>
      <c r="R68" s="28">
        <f t="shared" si="41"/>
        <v>2.6671873370060276E-2</v>
      </c>
      <c r="S68" s="28">
        <f t="shared" si="42"/>
        <v>-3.3440397970903126E-3</v>
      </c>
      <c r="T68" s="28">
        <f t="shared" si="43"/>
        <v>4.3369935859138191E-3</v>
      </c>
      <c r="U68" s="28">
        <f t="shared" si="44"/>
        <v>6.3564721201549615E-5</v>
      </c>
      <c r="V68" s="29">
        <f t="shared" si="45"/>
        <v>3.521728366750187E-4</v>
      </c>
      <c r="W68" s="28">
        <f t="shared" si="46"/>
        <v>2.2220140594322556E-3</v>
      </c>
      <c r="X68" s="28">
        <f t="shared" si="47"/>
        <v>8.1991932721240651E-3</v>
      </c>
      <c r="Y68" s="28">
        <f t="shared" si="48"/>
        <v>7.9708034873852331E-3</v>
      </c>
      <c r="Z68" s="28">
        <f t="shared" si="49"/>
        <v>7.4911849394336876E-3</v>
      </c>
      <c r="AA68" s="29">
        <f t="shared" si="50"/>
        <v>7.8870605663143283E-3</v>
      </c>
      <c r="AB68" s="115">
        <f t="shared" si="51"/>
        <v>2.0862934230501379E-4</v>
      </c>
      <c r="AD68" s="149"/>
      <c r="AE68" s="149"/>
      <c r="AF68" s="149"/>
    </row>
    <row r="84" spans="1:4">
      <c r="A84" s="116" t="s">
        <v>63</v>
      </c>
      <c r="B84" s="116" t="s">
        <v>64</v>
      </c>
      <c r="C84" s="116" t="s">
        <v>65</v>
      </c>
      <c r="D84" s="116"/>
    </row>
  </sheetData>
  <mergeCells count="42">
    <mergeCell ref="B8:B9"/>
    <mergeCell ref="E8:E9"/>
    <mergeCell ref="B31:B32"/>
    <mergeCell ref="E31:E32"/>
    <mergeCell ref="F51:H51"/>
    <mergeCell ref="F27:H27"/>
    <mergeCell ref="B25:AB25"/>
    <mergeCell ref="F26:H26"/>
    <mergeCell ref="I26:K26"/>
    <mergeCell ref="N26:P26"/>
    <mergeCell ref="S26:U26"/>
    <mergeCell ref="X26:Z26"/>
    <mergeCell ref="I51:K51"/>
    <mergeCell ref="N51:P51"/>
    <mergeCell ref="S51:U51"/>
    <mergeCell ref="X51:Z51"/>
    <mergeCell ref="B49:AB49"/>
    <mergeCell ref="F50:H50"/>
    <mergeCell ref="I50:K50"/>
    <mergeCell ref="N50:P50"/>
    <mergeCell ref="S50:U50"/>
    <mergeCell ref="X50:Z50"/>
    <mergeCell ref="I27:K27"/>
    <mergeCell ref="N27:P27"/>
    <mergeCell ref="S27:U27"/>
    <mergeCell ref="X27:Z27"/>
    <mergeCell ref="B28:B30"/>
    <mergeCell ref="E28:E30"/>
    <mergeCell ref="B5:B7"/>
    <mergeCell ref="E5:E7"/>
    <mergeCell ref="A1:AB1"/>
    <mergeCell ref="B2:AB2"/>
    <mergeCell ref="F3:H3"/>
    <mergeCell ref="I3:K3"/>
    <mergeCell ref="N3:P3"/>
    <mergeCell ref="S3:U3"/>
    <mergeCell ref="X3:Z3"/>
    <mergeCell ref="F4:H4"/>
    <mergeCell ref="I4:K4"/>
    <mergeCell ref="N4:P4"/>
    <mergeCell ref="S4:U4"/>
    <mergeCell ref="X4:Z4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438C5E-35BB-8346-81B8-65372913640B}">
  <dimension ref="A1:AF151"/>
  <sheetViews>
    <sheetView zoomScaleNormal="100" workbookViewId="0">
      <selection sqref="A1:V1"/>
    </sheetView>
  </sheetViews>
  <sheetFormatPr baseColWidth="10" defaultColWidth="9.1640625" defaultRowHeight="13"/>
  <cols>
    <col min="1" max="1" width="85.6640625" style="30" customWidth="1"/>
    <col min="2" max="2" width="10.1640625" style="30" bestFit="1" customWidth="1"/>
    <col min="3" max="3" width="8.5" style="30" customWidth="1"/>
    <col min="4" max="4" width="9.33203125" style="30" customWidth="1"/>
    <col min="5" max="5" width="9.6640625" style="30" customWidth="1"/>
    <col min="6" max="6" width="13.33203125" style="30" customWidth="1"/>
    <col min="7" max="7" width="14.33203125" style="30" customWidth="1"/>
    <col min="8" max="8" width="12.1640625" style="30" customWidth="1"/>
    <col min="9" max="9" width="9.1640625" style="30"/>
    <col min="10" max="10" width="11.6640625" style="30" bestFit="1" customWidth="1"/>
    <col min="11" max="11" width="9.1640625" style="30" bestFit="1" customWidth="1"/>
    <col min="12" max="12" width="11.6640625" style="30" bestFit="1" customWidth="1"/>
    <col min="13" max="13" width="9.1640625" style="30"/>
    <col min="14" max="15" width="9.5" style="30" bestFit="1" customWidth="1"/>
    <col min="16" max="17" width="9" style="30" bestFit="1" customWidth="1"/>
    <col min="18" max="19" width="8.33203125" style="30" bestFit="1" customWidth="1"/>
    <col min="20" max="21" width="10.5" style="30" bestFit="1" customWidth="1"/>
    <col min="22" max="22" width="8.33203125" style="30" bestFit="1" customWidth="1"/>
    <col min="23" max="24" width="9.1640625" style="30"/>
    <col min="25" max="25" width="11.83203125" style="30" customWidth="1"/>
    <col min="26" max="26" width="9.1640625" style="30"/>
    <col min="27" max="27" width="9.6640625" style="30" bestFit="1" customWidth="1"/>
    <col min="28" max="16384" width="9.1640625" style="30"/>
  </cols>
  <sheetData>
    <row r="1" spans="1:28" ht="17" thickBot="1">
      <c r="A1" s="198" t="s">
        <v>66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</row>
    <row r="2" spans="1:28" ht="15" thickBot="1">
      <c r="A2" s="117"/>
      <c r="B2" s="201" t="s">
        <v>0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3"/>
    </row>
    <row r="3" spans="1:28" ht="47" customHeight="1">
      <c r="A3" s="40"/>
      <c r="B3" s="118" t="s">
        <v>1</v>
      </c>
      <c r="C3" s="119" t="s">
        <v>2</v>
      </c>
      <c r="D3" s="120" t="s">
        <v>3</v>
      </c>
      <c r="E3" s="121"/>
      <c r="F3" s="157">
        <v>620</v>
      </c>
      <c r="G3" s="32">
        <v>650</v>
      </c>
      <c r="H3" s="158" t="s">
        <v>67</v>
      </c>
      <c r="I3" s="123" t="s">
        <v>68</v>
      </c>
      <c r="J3" s="122" t="s">
        <v>12</v>
      </c>
      <c r="K3" s="122" t="s">
        <v>13</v>
      </c>
      <c r="L3" s="122" t="s">
        <v>69</v>
      </c>
      <c r="M3" s="122" t="s">
        <v>70</v>
      </c>
      <c r="N3" s="122" t="s">
        <v>71</v>
      </c>
      <c r="O3" s="124" t="s">
        <v>55</v>
      </c>
      <c r="P3" s="123" t="s">
        <v>72</v>
      </c>
      <c r="Q3" s="122" t="s">
        <v>73</v>
      </c>
      <c r="R3" s="122" t="s">
        <v>71</v>
      </c>
      <c r="S3" s="31" t="s">
        <v>55</v>
      </c>
      <c r="T3" s="31" t="s">
        <v>74</v>
      </c>
      <c r="U3" s="122" t="s">
        <v>75</v>
      </c>
      <c r="V3" s="125" t="s">
        <v>55</v>
      </c>
      <c r="X3" s="204" t="s">
        <v>76</v>
      </c>
      <c r="Y3" s="204"/>
      <c r="Z3" s="204"/>
      <c r="AA3" s="204"/>
      <c r="AB3" s="204"/>
    </row>
    <row r="4" spans="1:28" ht="37" customHeight="1" thickBot="1">
      <c r="A4" s="40"/>
      <c r="B4" s="34"/>
      <c r="C4" s="35"/>
      <c r="D4" s="39"/>
      <c r="E4" s="126"/>
      <c r="F4" s="127" t="s">
        <v>15</v>
      </c>
      <c r="G4" s="37" t="s">
        <v>15</v>
      </c>
      <c r="H4" s="35" t="s">
        <v>16</v>
      </c>
      <c r="I4" s="37" t="s">
        <v>15</v>
      </c>
      <c r="J4" s="37" t="s">
        <v>17</v>
      </c>
      <c r="K4" s="37" t="s">
        <v>18</v>
      </c>
      <c r="L4" s="38" t="s">
        <v>77</v>
      </c>
      <c r="M4" s="38" t="s">
        <v>77</v>
      </c>
      <c r="N4" s="37"/>
      <c r="O4" s="39"/>
      <c r="P4" s="38" t="s">
        <v>78</v>
      </c>
      <c r="Q4" s="38" t="s">
        <v>78</v>
      </c>
      <c r="R4" s="37"/>
      <c r="S4" s="37"/>
      <c r="T4" s="38" t="s">
        <v>79</v>
      </c>
      <c r="U4" s="38" t="s">
        <v>79</v>
      </c>
      <c r="V4" s="36"/>
      <c r="X4" s="30" t="s">
        <v>3</v>
      </c>
      <c r="Y4" s="128" t="str">
        <f>M3</f>
        <v>Average specific CPC conc.</v>
      </c>
      <c r="Z4" s="30" t="s">
        <v>14</v>
      </c>
      <c r="AA4" s="128" t="str">
        <f>Q3</f>
        <v>Average total CPC</v>
      </c>
      <c r="AB4" s="30" t="s">
        <v>14</v>
      </c>
    </row>
    <row r="5" spans="1:28">
      <c r="A5" s="40"/>
      <c r="B5" s="214" t="s">
        <v>10</v>
      </c>
      <c r="C5" s="215">
        <v>0.46249999999999997</v>
      </c>
      <c r="D5" s="216">
        <f>7+54/60+12</f>
        <v>19.899999999999999</v>
      </c>
      <c r="E5" s="82" t="s">
        <v>104</v>
      </c>
      <c r="F5" s="43">
        <v>3.9E-2</v>
      </c>
      <c r="G5" s="42">
        <v>2.5999999999999999E-2</v>
      </c>
      <c r="H5" s="42">
        <f>(F5-(0.605*G5))/6.17</f>
        <v>3.7714748784440848E-3</v>
      </c>
      <c r="I5" s="42">
        <f>'Growth curves'!F8</f>
        <v>0.157</v>
      </c>
      <c r="J5" s="42">
        <f>1.2334*I5</f>
        <v>0.1936438</v>
      </c>
      <c r="K5" s="44">
        <f t="shared" ref="K5:K13" si="0">J5*1/1000</f>
        <v>1.9364380000000002E-4</v>
      </c>
      <c r="L5" s="45">
        <f>(H5*2)/K5</f>
        <v>38.952704692265741</v>
      </c>
      <c r="M5" s="46"/>
      <c r="P5" s="47">
        <f>L5*J5</f>
        <v>7.5429497568881692</v>
      </c>
      <c r="Q5" s="46"/>
      <c r="U5" s="46"/>
      <c r="V5" s="41"/>
      <c r="X5" s="62">
        <f>D5</f>
        <v>19.899999999999999</v>
      </c>
      <c r="Y5" s="47">
        <f>M7</f>
        <v>46.578320309636524</v>
      </c>
      <c r="Z5" s="47">
        <f>O7</f>
        <v>5.0625719402312965</v>
      </c>
      <c r="AA5" s="47">
        <f>Q7</f>
        <v>10.336034575904918</v>
      </c>
      <c r="AB5" s="47">
        <f>S7</f>
        <v>1.5642272302121585</v>
      </c>
    </row>
    <row r="6" spans="1:28" ht="15" customHeight="1">
      <c r="A6" s="40"/>
      <c r="B6" s="206"/>
      <c r="C6" s="209"/>
      <c r="D6" s="212"/>
      <c r="E6" s="82" t="s">
        <v>105</v>
      </c>
      <c r="F6" s="43">
        <v>6.9000000000000006E-2</v>
      </c>
      <c r="G6" s="42">
        <v>4.8000000000000001E-2</v>
      </c>
      <c r="H6" s="42">
        <f t="shared" ref="H6:H52" si="1">(F6-(0.605*G6))/6.17</f>
        <v>6.4764991896272299E-3</v>
      </c>
      <c r="I6" s="42">
        <f>'Growth curves'!G8</f>
        <v>0.187</v>
      </c>
      <c r="J6" s="42">
        <f t="shared" ref="J6:J52" si="2">1.2334*I6</f>
        <v>0.23064580000000001</v>
      </c>
      <c r="K6" s="44">
        <f t="shared" si="0"/>
        <v>2.306458E-4</v>
      </c>
      <c r="L6" s="45">
        <f t="shared" ref="L6:L52" si="3">(H6*2)/K6</f>
        <v>56.159697593688939</v>
      </c>
      <c r="M6" s="46"/>
      <c r="P6" s="47">
        <f t="shared" ref="P6:P52" si="4">L6*J6</f>
        <v>12.952998379254462</v>
      </c>
      <c r="Q6" s="46"/>
      <c r="U6" s="46"/>
      <c r="V6" s="41"/>
      <c r="X6" s="62">
        <f>D8</f>
        <v>45.3</v>
      </c>
      <c r="Y6" s="47">
        <f>M10</f>
        <v>61.521963550612526</v>
      </c>
      <c r="Z6" s="47">
        <f>O10</f>
        <v>6.6288587836407382</v>
      </c>
      <c r="AA6" s="47">
        <f>Q10</f>
        <v>19.605078336034577</v>
      </c>
      <c r="AB6" s="47">
        <f>S10</f>
        <v>0.90957828898181814</v>
      </c>
    </row>
    <row r="7" spans="1:28" ht="15" customHeight="1">
      <c r="A7" s="40"/>
      <c r="B7" s="207"/>
      <c r="C7" s="210"/>
      <c r="D7" s="213"/>
      <c r="E7" s="85" t="s">
        <v>106</v>
      </c>
      <c r="F7" s="50">
        <v>5.2999999999999999E-2</v>
      </c>
      <c r="G7" s="51">
        <v>3.4000000000000002E-2</v>
      </c>
      <c r="H7" s="42">
        <f t="shared" si="1"/>
        <v>5.2560777957860617E-3</v>
      </c>
      <c r="I7" s="51">
        <f>'Growth curves'!H8</f>
        <v>0.191</v>
      </c>
      <c r="J7" s="51">
        <f t="shared" si="2"/>
        <v>0.23557940000000002</v>
      </c>
      <c r="K7" s="52">
        <f t="shared" si="0"/>
        <v>2.3557940000000003E-4</v>
      </c>
      <c r="L7" s="45">
        <f t="shared" si="3"/>
        <v>44.622558642954871</v>
      </c>
      <c r="M7" s="54">
        <f>AVERAGE(L5:L7)</f>
        <v>46.578320309636524</v>
      </c>
      <c r="N7" s="56">
        <f>STDEV(L5:L7)</f>
        <v>8.768631817453155</v>
      </c>
      <c r="O7" s="56">
        <f>N7/SQRT(3)</f>
        <v>5.0625719402312965</v>
      </c>
      <c r="P7" s="56">
        <f t="shared" si="4"/>
        <v>10.512155591572125</v>
      </c>
      <c r="Q7" s="54">
        <f>AVERAGE(P5:P7)</f>
        <v>10.336034575904918</v>
      </c>
      <c r="R7" s="56">
        <f>STDEV(P5:P7)</f>
        <v>2.7093210373101972</v>
      </c>
      <c r="S7" s="56">
        <f>R7/SQRT(3)</f>
        <v>1.5642272302121585</v>
      </c>
      <c r="T7" s="48"/>
      <c r="U7" s="129"/>
      <c r="V7" s="49"/>
      <c r="X7" s="62">
        <f>D11</f>
        <v>69.8</v>
      </c>
      <c r="Y7" s="47">
        <f>M13</f>
        <v>60.33388318597801</v>
      </c>
      <c r="Z7" s="47">
        <f>O13</f>
        <v>5.8326376948578611</v>
      </c>
      <c r="AA7" s="47">
        <f>Q13</f>
        <v>29.834683954619123</v>
      </c>
      <c r="AB7" s="47">
        <f>S13</f>
        <v>0.95207500737596762</v>
      </c>
    </row>
    <row r="8" spans="1:28">
      <c r="A8" s="40"/>
      <c r="B8" s="205" t="s">
        <v>24</v>
      </c>
      <c r="C8" s="208">
        <v>0.52083333333333337</v>
      </c>
      <c r="D8" s="211">
        <v>45.3</v>
      </c>
      <c r="E8" s="82" t="s">
        <v>104</v>
      </c>
      <c r="F8" s="43">
        <v>9.7000000000000003E-2</v>
      </c>
      <c r="G8" s="42">
        <v>5.7000000000000002E-2</v>
      </c>
      <c r="H8" s="42">
        <f t="shared" si="1"/>
        <v>1.0132090761750406E-2</v>
      </c>
      <c r="I8" s="42">
        <f>'Growth curves'!F10</f>
        <v>0.23</v>
      </c>
      <c r="J8" s="42">
        <f t="shared" si="2"/>
        <v>0.28368200000000005</v>
      </c>
      <c r="K8" s="44">
        <f t="shared" si="0"/>
        <v>2.8368200000000005E-4</v>
      </c>
      <c r="L8" s="45">
        <f t="shared" si="3"/>
        <v>71.432736386167633</v>
      </c>
      <c r="M8" s="55"/>
      <c r="N8" s="47"/>
      <c r="O8" s="47"/>
      <c r="P8" s="47">
        <f t="shared" si="4"/>
        <v>20.26418152350081</v>
      </c>
      <c r="Q8" s="55"/>
      <c r="R8" s="47"/>
      <c r="S8" s="47"/>
      <c r="T8" s="47">
        <f>(P8-$P$5)/(D8-$D$5)</f>
        <v>0.50083589632333225</v>
      </c>
      <c r="U8" s="55"/>
      <c r="V8" s="41"/>
      <c r="X8" s="62">
        <f>D14</f>
        <v>92.86666666666666</v>
      </c>
      <c r="Y8" s="47">
        <f>M16</f>
        <v>77.431012265738374</v>
      </c>
      <c r="Z8" s="47">
        <f>O16</f>
        <v>12.086099042707852</v>
      </c>
      <c r="AA8" s="47">
        <v>52.850290437601302</v>
      </c>
      <c r="AB8" s="47">
        <f>S16</f>
        <v>11.118540691127315</v>
      </c>
    </row>
    <row r="9" spans="1:28" ht="14" customHeight="1">
      <c r="A9" s="40"/>
      <c r="B9" s="206"/>
      <c r="C9" s="209"/>
      <c r="D9" s="212"/>
      <c r="E9" s="82" t="s">
        <v>105</v>
      </c>
      <c r="F9" s="43">
        <v>8.6999999999999994E-2</v>
      </c>
      <c r="G9" s="42">
        <v>5.2999999999999999E-2</v>
      </c>
      <c r="H9" s="42">
        <f t="shared" si="1"/>
        <v>8.9035656401944899E-3</v>
      </c>
      <c r="I9" s="42">
        <f>'Growth curves'!G10</f>
        <v>0.29499999999999998</v>
      </c>
      <c r="J9" s="42">
        <f t="shared" si="2"/>
        <v>0.36385299999999998</v>
      </c>
      <c r="K9" s="44">
        <f t="shared" si="0"/>
        <v>3.6385299999999997E-4</v>
      </c>
      <c r="L9" s="45">
        <f t="shared" si="3"/>
        <v>48.940454745155272</v>
      </c>
      <c r="M9" s="46"/>
      <c r="N9" s="47"/>
      <c r="O9" s="47"/>
      <c r="P9" s="47">
        <f t="shared" si="4"/>
        <v>17.80713128038898</v>
      </c>
      <c r="Q9" s="55"/>
      <c r="R9" s="47"/>
      <c r="S9" s="47"/>
      <c r="T9" s="47">
        <f>(P9-$P$6)/(D8-$D$5)</f>
        <v>0.19110759453285506</v>
      </c>
      <c r="U9" s="55"/>
      <c r="V9" s="41"/>
      <c r="X9" s="62">
        <f>D17</f>
        <v>117.14999999999999</v>
      </c>
      <c r="Y9" s="47">
        <f>M19</f>
        <v>69.025035502555696</v>
      </c>
      <c r="Z9" s="47">
        <f>O19</f>
        <v>10.454630248938562</v>
      </c>
      <c r="AA9" s="47">
        <f>Q19</f>
        <v>55.448359913560239</v>
      </c>
      <c r="AB9" s="47">
        <f>S19</f>
        <v>13.291460755204652</v>
      </c>
    </row>
    <row r="10" spans="1:28" ht="14" customHeight="1">
      <c r="A10" s="40"/>
      <c r="B10" s="207"/>
      <c r="C10" s="210"/>
      <c r="D10" s="213"/>
      <c r="E10" s="85" t="s">
        <v>106</v>
      </c>
      <c r="F10" s="43">
        <v>0.113</v>
      </c>
      <c r="G10" s="42">
        <v>8.1000000000000003E-2</v>
      </c>
      <c r="H10" s="42">
        <f t="shared" si="1"/>
        <v>1.0371961102106969E-2</v>
      </c>
      <c r="I10" s="51">
        <f>'Growth curves'!H10</f>
        <v>0.26200000000000001</v>
      </c>
      <c r="J10" s="51">
        <f t="shared" si="2"/>
        <v>0.32315080000000002</v>
      </c>
      <c r="K10" s="52">
        <f t="shared" si="0"/>
        <v>3.2315080000000002E-4</v>
      </c>
      <c r="L10" s="45">
        <f t="shared" si="3"/>
        <v>64.19269952051468</v>
      </c>
      <c r="M10" s="54">
        <f>AVERAGE(L8:L10)</f>
        <v>61.521963550612526</v>
      </c>
      <c r="N10" s="56">
        <f>STDEV(L8:L10)</f>
        <v>11.481520209464986</v>
      </c>
      <c r="O10" s="56">
        <f>N10/SQRT(3)</f>
        <v>6.6288587836407382</v>
      </c>
      <c r="P10" s="56">
        <f t="shared" si="4"/>
        <v>20.743922204213938</v>
      </c>
      <c r="Q10" s="54">
        <f>AVERAGE(P8:P10)</f>
        <v>19.605078336034577</v>
      </c>
      <c r="R10" s="56">
        <f>STDEV(P8:P10)</f>
        <v>1.5754358099780756</v>
      </c>
      <c r="S10" s="56">
        <f>R10/SQRT(3)</f>
        <v>0.90957828898181814</v>
      </c>
      <c r="T10" s="56">
        <f>(P10-$P$7)/(D8-$D$5)</f>
        <v>0.40282545719062257</v>
      </c>
      <c r="U10" s="54">
        <f>AVERAGE(T8:T10)</f>
        <v>0.36492298268226997</v>
      </c>
      <c r="V10" s="130">
        <f>STDEV(T8:T10)/SQRT(3)</f>
        <v>9.1397216246622184E-2</v>
      </c>
      <c r="X10" s="62">
        <f>D20</f>
        <v>164.66666666666666</v>
      </c>
      <c r="Y10" s="47">
        <f>M22</f>
        <v>78.344766865412154</v>
      </c>
      <c r="Z10" s="47">
        <f>O22</f>
        <v>5.4493221484426515</v>
      </c>
      <c r="AA10" s="47">
        <f>Q22</f>
        <v>83.106238789843331</v>
      </c>
      <c r="AB10" s="47">
        <f>S22</f>
        <v>9.2847403164857791</v>
      </c>
    </row>
    <row r="11" spans="1:28">
      <c r="A11" s="40"/>
      <c r="B11" s="205" t="s">
        <v>25</v>
      </c>
      <c r="C11" s="208">
        <v>0.54166666666666663</v>
      </c>
      <c r="D11" s="211">
        <v>69.8</v>
      </c>
      <c r="E11" s="82" t="s">
        <v>104</v>
      </c>
      <c r="F11" s="57">
        <v>0.13500000000000001</v>
      </c>
      <c r="G11" s="58">
        <v>7.8E-2</v>
      </c>
      <c r="H11" s="42">
        <f t="shared" si="1"/>
        <v>1.4231766612641817E-2</v>
      </c>
      <c r="I11" s="42">
        <f>'Growth curves'!F11</f>
        <v>0.33900000000000002</v>
      </c>
      <c r="J11" s="58">
        <f t="shared" si="2"/>
        <v>0.41812260000000007</v>
      </c>
      <c r="K11" s="59">
        <f t="shared" si="0"/>
        <v>4.1812260000000009E-4</v>
      </c>
      <c r="L11" s="45">
        <f t="shared" si="3"/>
        <v>68.074610712943112</v>
      </c>
      <c r="M11" s="61"/>
      <c r="N11" s="67"/>
      <c r="O11" s="67"/>
      <c r="P11" s="47">
        <f t="shared" si="4"/>
        <v>28.463533225283633</v>
      </c>
      <c r="Q11" s="55"/>
      <c r="R11" s="47"/>
      <c r="S11" s="47"/>
      <c r="T11" s="47">
        <f>(P11-$P$5)/(D11-$D$5)</f>
        <v>0.41925016970732393</v>
      </c>
      <c r="U11" s="55"/>
      <c r="V11" s="131"/>
      <c r="X11" s="62">
        <f>D23</f>
        <v>188.68333333333334</v>
      </c>
      <c r="Y11" s="47">
        <f>M25</f>
        <v>87.48587344742235</v>
      </c>
      <c r="Z11" s="47">
        <f>O25</f>
        <v>10.311087760969311</v>
      </c>
      <c r="AA11" s="47">
        <v>74.341368125337993</v>
      </c>
      <c r="AB11" s="47">
        <f>S25</f>
        <v>15.801160563928926</v>
      </c>
    </row>
    <row r="12" spans="1:28" ht="14" customHeight="1">
      <c r="A12" s="40"/>
      <c r="B12" s="206"/>
      <c r="C12" s="209"/>
      <c r="D12" s="212"/>
      <c r="E12" s="82" t="s">
        <v>105</v>
      </c>
      <c r="F12" s="43">
        <v>0.13600000000000001</v>
      </c>
      <c r="G12" s="42">
        <v>7.4999999999999997E-2</v>
      </c>
      <c r="H12" s="42">
        <f t="shared" si="1"/>
        <v>1.4688006482982173E-2</v>
      </c>
      <c r="I12" s="42">
        <f>'Growth curves'!G11</f>
        <v>0.48699999999999999</v>
      </c>
      <c r="J12" s="42">
        <f t="shared" si="2"/>
        <v>0.60066580000000003</v>
      </c>
      <c r="K12" s="44">
        <f t="shared" si="0"/>
        <v>6.0066580000000007E-4</v>
      </c>
      <c r="L12" s="45">
        <f t="shared" si="3"/>
        <v>48.905752526553606</v>
      </c>
      <c r="M12" s="46"/>
      <c r="N12" s="47"/>
      <c r="O12" s="47"/>
      <c r="P12" s="47">
        <f t="shared" si="4"/>
        <v>29.376012965964343</v>
      </c>
      <c r="Q12" s="55"/>
      <c r="R12" s="47"/>
      <c r="S12" s="47"/>
      <c r="T12" s="47">
        <f>(P12-$P$6)/(D11-$D$5)</f>
        <v>0.32911852879178122</v>
      </c>
      <c r="U12" s="55"/>
      <c r="V12" s="131"/>
      <c r="X12" s="62">
        <f>D26</f>
        <v>212.98333333333335</v>
      </c>
      <c r="Y12" s="47">
        <v>79.392540515184464</v>
      </c>
      <c r="Z12" s="47">
        <f>O28</f>
        <v>7.6686073629376779</v>
      </c>
      <c r="AA12" s="47">
        <v>96.182603997838996</v>
      </c>
      <c r="AB12" s="47">
        <f>S28</f>
        <v>12.027547340925175</v>
      </c>
    </row>
    <row r="13" spans="1:28" ht="14" customHeight="1">
      <c r="A13" s="40"/>
      <c r="B13" s="207"/>
      <c r="C13" s="210"/>
      <c r="D13" s="213"/>
      <c r="E13" s="85" t="s">
        <v>106</v>
      </c>
      <c r="F13" s="43">
        <v>0.16</v>
      </c>
      <c r="G13" s="51">
        <v>0.10299999999999999</v>
      </c>
      <c r="H13" s="42">
        <f t="shared" si="1"/>
        <v>1.5832252836304701E-2</v>
      </c>
      <c r="I13" s="51">
        <f>'Growth curves'!H11</f>
        <v>0.40100000000000002</v>
      </c>
      <c r="J13" s="51">
        <f t="shared" si="2"/>
        <v>0.49459340000000007</v>
      </c>
      <c r="K13" s="52">
        <f t="shared" si="0"/>
        <v>4.9459340000000012E-4</v>
      </c>
      <c r="L13" s="45">
        <f t="shared" si="3"/>
        <v>64.021286318437319</v>
      </c>
      <c r="M13" s="54">
        <f>AVERAGE(L11:L13)</f>
        <v>60.33388318597801</v>
      </c>
      <c r="N13" s="56">
        <f>STDEV(L11:L13)</f>
        <v>10.102424829635233</v>
      </c>
      <c r="O13" s="56">
        <f>N13/SQRT(3)</f>
        <v>5.8326376948578611</v>
      </c>
      <c r="P13" s="56">
        <f t="shared" si="4"/>
        <v>31.664505672609401</v>
      </c>
      <c r="Q13" s="54">
        <f>AVERAGE(P11:P13)</f>
        <v>29.834683954619123</v>
      </c>
      <c r="R13" s="56">
        <f>STDEV(P11:P13)</f>
        <v>1.6490422853916895</v>
      </c>
      <c r="S13" s="56">
        <f>R13/SQRT(3)</f>
        <v>0.95207500737596762</v>
      </c>
      <c r="T13" s="56">
        <f>(P13-$P$7)/(D11-$D$5)</f>
        <v>0.42389479120315182</v>
      </c>
      <c r="U13" s="54">
        <f>AVERAGE(T11:T13)</f>
        <v>0.39075449656741901</v>
      </c>
      <c r="V13" s="130">
        <f>STDEV(T11:T13)/SQRT(3)</f>
        <v>3.0847136657716146E-2</v>
      </c>
      <c r="X13" s="62">
        <f>D29</f>
        <v>236.98333333333335</v>
      </c>
      <c r="Y13" s="47">
        <v>80.356754100000003</v>
      </c>
      <c r="Z13" s="47">
        <f>O31</f>
        <v>4.8255827906571911</v>
      </c>
      <c r="AA13" s="47">
        <v>125.757642</v>
      </c>
      <c r="AB13" s="47">
        <f>S31</f>
        <v>6.0137736704625873</v>
      </c>
    </row>
    <row r="14" spans="1:28">
      <c r="A14" s="40"/>
      <c r="B14" s="205" t="s">
        <v>26</v>
      </c>
      <c r="C14" s="208">
        <v>0.50277777777777777</v>
      </c>
      <c r="D14" s="211">
        <v>92.86666666666666</v>
      </c>
      <c r="E14" s="82" t="s">
        <v>104</v>
      </c>
      <c r="F14" s="57">
        <v>0.127</v>
      </c>
      <c r="G14" s="58">
        <v>6.8000000000000005E-2</v>
      </c>
      <c r="H14" s="42">
        <f t="shared" si="1"/>
        <v>1.3915721231766612E-2</v>
      </c>
      <c r="I14" s="42">
        <f>'Growth curves'!F12</f>
        <v>0.51800000000000002</v>
      </c>
      <c r="J14" s="58">
        <f t="shared" si="2"/>
        <v>0.63890120000000006</v>
      </c>
      <c r="K14" s="59">
        <f t="shared" ref="K14:K19" si="5">I14*1/1000</f>
        <v>5.1800000000000001E-4</v>
      </c>
      <c r="L14" s="45">
        <f t="shared" si="3"/>
        <v>53.728653404504293</v>
      </c>
      <c r="M14" s="61"/>
      <c r="N14" s="67"/>
      <c r="O14" s="67"/>
      <c r="P14" s="47">
        <f t="shared" si="4"/>
        <v>34.327301134521882</v>
      </c>
      <c r="Q14" s="55"/>
      <c r="R14" s="47"/>
      <c r="S14" s="47"/>
      <c r="T14" s="47">
        <f>(P14-$P$5)/(D14-$D$5)</f>
        <v>0.36707653783874433</v>
      </c>
      <c r="U14" s="55"/>
      <c r="V14" s="131"/>
      <c r="X14" s="62">
        <f>D32</f>
        <v>260.95000000000005</v>
      </c>
      <c r="Y14" s="47">
        <v>85.887627058512194</v>
      </c>
      <c r="Z14" s="47">
        <f>O34</f>
        <v>6.5482677971834953</v>
      </c>
      <c r="AA14" s="47">
        <v>131.83576445164778</v>
      </c>
      <c r="AB14" s="47">
        <f>S34</f>
        <v>4.65535072096558</v>
      </c>
    </row>
    <row r="15" spans="1:28" ht="14" customHeight="1">
      <c r="A15" s="40"/>
      <c r="B15" s="206"/>
      <c r="C15" s="209"/>
      <c r="D15" s="212"/>
      <c r="E15" s="82" t="s">
        <v>105</v>
      </c>
      <c r="F15" s="43">
        <v>0.22900000000000001</v>
      </c>
      <c r="G15" s="42">
        <v>0.124</v>
      </c>
      <c r="H15" s="42">
        <f t="shared" si="1"/>
        <v>2.4956239870340357E-2</v>
      </c>
      <c r="I15" s="42">
        <f>'Growth curves'!G12</f>
        <v>0.58599999999999997</v>
      </c>
      <c r="J15" s="42">
        <f t="shared" si="2"/>
        <v>0.72277239999999998</v>
      </c>
      <c r="K15" s="44">
        <f t="shared" si="5"/>
        <v>5.8599999999999993E-4</v>
      </c>
      <c r="L15" s="45">
        <f t="shared" si="3"/>
        <v>85.17488010355072</v>
      </c>
      <c r="M15" s="46"/>
      <c r="N15" s="47"/>
      <c r="O15" s="47"/>
      <c r="P15" s="47">
        <f t="shared" si="4"/>
        <v>61.562052512155603</v>
      </c>
      <c r="Q15" s="55"/>
      <c r="R15" s="47"/>
      <c r="S15" s="47"/>
      <c r="T15" s="47">
        <f>(P15-$P$6)/(D14-$D$5)</f>
        <v>0.66618164640796451</v>
      </c>
      <c r="U15" s="55"/>
      <c r="V15" s="131"/>
      <c r="X15" s="62">
        <f>D35</f>
        <v>284.95000000000005</v>
      </c>
      <c r="Y15" s="47">
        <v>79.645334000000005</v>
      </c>
      <c r="Z15" s="47">
        <f>O37</f>
        <v>11.282300055422791</v>
      </c>
      <c r="AA15" s="47">
        <v>154.876431</v>
      </c>
      <c r="AB15" s="47">
        <f>S37</f>
        <v>21.552555140594535</v>
      </c>
    </row>
    <row r="16" spans="1:28" ht="14" customHeight="1">
      <c r="A16" s="40"/>
      <c r="B16" s="207"/>
      <c r="C16" s="210"/>
      <c r="D16" s="213"/>
      <c r="E16" s="85" t="s">
        <v>106</v>
      </c>
      <c r="F16" s="43">
        <v>0.26200000000000001</v>
      </c>
      <c r="G16" s="51">
        <v>0.17399999999999999</v>
      </c>
      <c r="H16" s="42">
        <f t="shared" si="1"/>
        <v>2.5401944894651547E-2</v>
      </c>
      <c r="I16" s="51">
        <f>'Growth curves'!H12</f>
        <v>0.54400000000000004</v>
      </c>
      <c r="J16" s="51">
        <f t="shared" si="2"/>
        <v>0.67096960000000005</v>
      </c>
      <c r="K16" s="52">
        <f t="shared" si="5"/>
        <v>5.44E-4</v>
      </c>
      <c r="L16" s="45">
        <f t="shared" si="3"/>
        <v>93.389503289160103</v>
      </c>
      <c r="M16" s="54">
        <f>AVERAGE(L14:L16)</f>
        <v>77.431012265738374</v>
      </c>
      <c r="N16" s="56">
        <f>STDEV(L14:L16)</f>
        <v>20.933737607279568</v>
      </c>
      <c r="O16" s="56">
        <f>N16/SQRT(3)</f>
        <v>12.086099042707852</v>
      </c>
      <c r="P16" s="56"/>
      <c r="Q16" s="54">
        <f>AVERAGE(P14:P16)</f>
        <v>47.944676823338739</v>
      </c>
      <c r="R16" s="56">
        <f>STDEV(P14:P16)</f>
        <v>19.257877383054488</v>
      </c>
      <c r="S16" s="56">
        <f>R16/SQRT(3)</f>
        <v>11.118540691127315</v>
      </c>
      <c r="T16" s="56">
        <f>(P16-$P$7)/(D14-$D$5)</f>
        <v>-0.14406791582785003</v>
      </c>
      <c r="U16" s="54">
        <f>AVERAGE(T14:T16)</f>
        <v>0.29639675613961958</v>
      </c>
      <c r="V16" s="130">
        <f>STDEV(T14:T16)/SQRT(3)</f>
        <v>0.23655359641570256</v>
      </c>
      <c r="X16" s="62">
        <f>D38</f>
        <v>308.95000000000005</v>
      </c>
      <c r="Y16" s="47">
        <v>72.576432670000003</v>
      </c>
      <c r="Z16" s="47">
        <f>O40</f>
        <v>6.1185715843932265</v>
      </c>
      <c r="AA16" s="47">
        <v>164.863428</v>
      </c>
      <c r="AB16" s="47">
        <f>S40</f>
        <v>8.6508681331228914</v>
      </c>
    </row>
    <row r="17" spans="1:28">
      <c r="A17" s="40"/>
      <c r="B17" s="205" t="s">
        <v>27</v>
      </c>
      <c r="C17" s="208">
        <v>0.51458333333333328</v>
      </c>
      <c r="D17" s="211">
        <v>117.14999999999999</v>
      </c>
      <c r="E17" s="82" t="s">
        <v>104</v>
      </c>
      <c r="F17" s="57">
        <v>0.156</v>
      </c>
      <c r="G17" s="42">
        <v>9.0999999999999998E-2</v>
      </c>
      <c r="H17" s="42">
        <f t="shared" si="1"/>
        <v>1.6360615883306322E-2</v>
      </c>
      <c r="I17" s="42">
        <f>'Growth curves'!F13</f>
        <v>0.53100000000000003</v>
      </c>
      <c r="J17" s="58">
        <f t="shared" si="2"/>
        <v>0.65493540000000006</v>
      </c>
      <c r="K17" s="59">
        <f t="shared" si="5"/>
        <v>5.31E-4</v>
      </c>
      <c r="L17" s="45">
        <f t="shared" si="3"/>
        <v>61.621905398517221</v>
      </c>
      <c r="M17" s="65"/>
      <c r="N17" s="64"/>
      <c r="O17" s="64"/>
      <c r="P17" s="47">
        <f t="shared" si="4"/>
        <v>40.358367260940042</v>
      </c>
      <c r="Q17" s="55"/>
      <c r="R17" s="47"/>
      <c r="S17" s="47"/>
      <c r="T17" s="47">
        <f>(P17-$P$5)/(D17-$D$5)</f>
        <v>0.33743359901338688</v>
      </c>
      <c r="U17" s="55"/>
      <c r="V17" s="131"/>
      <c r="X17" s="62">
        <f>D41</f>
        <v>332.95000000000005</v>
      </c>
      <c r="Y17" s="47">
        <v>79.756428999999997</v>
      </c>
      <c r="Z17" s="47">
        <f>O43</f>
        <v>24.357316317181493</v>
      </c>
      <c r="AA17" s="47">
        <v>169.89675643000001</v>
      </c>
      <c r="AB17" s="47">
        <f>S43</f>
        <v>43.105110281189049</v>
      </c>
    </row>
    <row r="18" spans="1:28" ht="15" customHeight="1">
      <c r="A18" s="40"/>
      <c r="B18" s="206"/>
      <c r="C18" s="209"/>
      <c r="D18" s="212"/>
      <c r="E18" s="82" t="s">
        <v>105</v>
      </c>
      <c r="F18" s="43">
        <v>0.30599999999999999</v>
      </c>
      <c r="G18" s="42">
        <v>0.16700000000000001</v>
      </c>
      <c r="H18" s="42">
        <f t="shared" si="1"/>
        <v>3.3219611021069691E-2</v>
      </c>
      <c r="I18" s="42">
        <f>'Growth curves'!G13</f>
        <v>0.74099999999999999</v>
      </c>
      <c r="J18" s="42">
        <f t="shared" si="2"/>
        <v>0.91394940000000002</v>
      </c>
      <c r="K18" s="44">
        <f t="shared" si="5"/>
        <v>7.4100000000000001E-4</v>
      </c>
      <c r="L18" s="45">
        <f t="shared" si="3"/>
        <v>89.661568208015353</v>
      </c>
      <c r="M18" s="46"/>
      <c r="P18" s="47">
        <f t="shared" si="4"/>
        <v>81.946136466774703</v>
      </c>
      <c r="Q18" s="55"/>
      <c r="R18" s="47"/>
      <c r="S18" s="47"/>
      <c r="T18" s="47">
        <f>(P18-$P$6)/(D17-$D$5)</f>
        <v>0.7094410086120333</v>
      </c>
      <c r="U18" s="55"/>
      <c r="V18" s="131"/>
      <c r="X18" s="62">
        <f>D44</f>
        <v>356.50000000000006</v>
      </c>
      <c r="Y18" s="47">
        <v>88.467557284036204</v>
      </c>
      <c r="Z18" s="47">
        <f>O46</f>
        <v>3.323633322692273</v>
      </c>
      <c r="AA18" s="47">
        <v>173.71758508914101</v>
      </c>
      <c r="AB18" s="47">
        <f>S46</f>
        <v>2.800539860820995</v>
      </c>
    </row>
    <row r="19" spans="1:28" ht="15" customHeight="1">
      <c r="A19" s="40"/>
      <c r="B19" s="207"/>
      <c r="C19" s="210"/>
      <c r="D19" s="213"/>
      <c r="E19" s="85" t="s">
        <v>106</v>
      </c>
      <c r="F19" s="50">
        <v>0.16400000000000001</v>
      </c>
      <c r="G19" s="42">
        <v>8.8999999999999996E-2</v>
      </c>
      <c r="H19" s="42">
        <f t="shared" si="1"/>
        <v>1.7853322528363049E-2</v>
      </c>
      <c r="I19" s="51">
        <f>'Growth curves'!H13</f>
        <v>0.64</v>
      </c>
      <c r="J19" s="51">
        <f t="shared" si="2"/>
        <v>0.78937600000000008</v>
      </c>
      <c r="K19" s="52">
        <f t="shared" si="5"/>
        <v>6.4000000000000005E-4</v>
      </c>
      <c r="L19" s="45">
        <f t="shared" si="3"/>
        <v>55.791632901134527</v>
      </c>
      <c r="M19" s="54">
        <f>AVERAGE(L17:L19)</f>
        <v>69.025035502555696</v>
      </c>
      <c r="N19" s="56">
        <f>STDEV(L17:L19)</f>
        <v>18.107950765508047</v>
      </c>
      <c r="O19" s="56">
        <f>N19/SQRT(3)</f>
        <v>10.454630248938562</v>
      </c>
      <c r="P19" s="56">
        <f t="shared" si="4"/>
        <v>44.040576012965971</v>
      </c>
      <c r="Q19" s="54">
        <f>AVERAGE(P17:P19)</f>
        <v>55.448359913560239</v>
      </c>
      <c r="R19" s="56">
        <f>STDEV(P17:P19)</f>
        <v>23.021485334822255</v>
      </c>
      <c r="S19" s="56">
        <f>R19/SQRT(3)</f>
        <v>13.291460755204652</v>
      </c>
      <c r="T19" s="56">
        <f>(P19-$P$7)/(D17-$D$5)</f>
        <v>0.34476524854903701</v>
      </c>
      <c r="U19" s="54">
        <f>AVERAGE(T17:T19)</f>
        <v>0.46387995205815241</v>
      </c>
      <c r="V19" s="130">
        <f>STDEV(T17:T19)/SQRT(3)</f>
        <v>0.1227987685105489</v>
      </c>
      <c r="X19" s="62">
        <f>D47</f>
        <v>381.43333333333339</v>
      </c>
      <c r="Y19" s="47">
        <v>81.385085122557328</v>
      </c>
      <c r="Z19" s="47">
        <f>O49</f>
        <v>3.6657546039235953</v>
      </c>
      <c r="AA19" s="47">
        <v>179.13128038897901</v>
      </c>
      <c r="AB19" s="47">
        <f>S49</f>
        <v>3.8321487131942211</v>
      </c>
    </row>
    <row r="20" spans="1:28">
      <c r="A20" s="40"/>
      <c r="B20" s="205" t="s">
        <v>28</v>
      </c>
      <c r="C20" s="208">
        <v>0.49444444444444446</v>
      </c>
      <c r="D20" s="211">
        <v>164.66666666666666</v>
      </c>
      <c r="E20" s="82" t="s">
        <v>104</v>
      </c>
      <c r="F20" s="43">
        <v>0.127</v>
      </c>
      <c r="G20" s="42">
        <v>6.7000000000000004E-2</v>
      </c>
      <c r="H20" s="42">
        <f t="shared" si="1"/>
        <v>1.4013776337115072E-2</v>
      </c>
      <c r="I20" s="42">
        <f>'Growth curves'!F14</f>
        <v>0.76200000000000001</v>
      </c>
      <c r="J20" s="42">
        <f t="shared" si="2"/>
        <v>0.9398508000000001</v>
      </c>
      <c r="K20" s="44">
        <f t="shared" ref="K20:K25" si="6">I20*0.5/1000</f>
        <v>3.8099999999999999E-4</v>
      </c>
      <c r="L20" s="45">
        <f t="shared" si="3"/>
        <v>73.563130378556806</v>
      </c>
      <c r="M20" s="46"/>
      <c r="P20" s="47">
        <f t="shared" si="4"/>
        <v>69.138366936790931</v>
      </c>
      <c r="Q20" s="55"/>
      <c r="R20" s="47"/>
      <c r="S20" s="47"/>
      <c r="T20" s="47">
        <f>(P20-$P$5)/(D17-$D$5)</f>
        <v>0.63337189902213631</v>
      </c>
      <c r="U20" s="55"/>
      <c r="V20" s="131"/>
      <c r="X20" s="62">
        <f>D50</f>
        <v>405.43333333333339</v>
      </c>
      <c r="Y20" s="47">
        <v>82.647876800000006</v>
      </c>
      <c r="Z20" s="47">
        <f>O52</f>
        <v>2.2819952371073726</v>
      </c>
      <c r="AA20" s="47">
        <v>184.66971989255799</v>
      </c>
      <c r="AB20" s="47">
        <f>S52</f>
        <v>4.4808637773135889</v>
      </c>
    </row>
    <row r="21" spans="1:28" ht="14" customHeight="1">
      <c r="A21" s="40"/>
      <c r="B21" s="206"/>
      <c r="C21" s="209"/>
      <c r="D21" s="212"/>
      <c r="E21" s="82" t="s">
        <v>105</v>
      </c>
      <c r="F21" s="43">
        <v>0.14599999999999999</v>
      </c>
      <c r="G21" s="42">
        <v>7.6999999999999999E-2</v>
      </c>
      <c r="H21" s="42">
        <f t="shared" si="1"/>
        <v>1.6112641815235005E-2</v>
      </c>
      <c r="I21" s="42">
        <f>'Growth curves'!G14</f>
        <v>0.89200000000000002</v>
      </c>
      <c r="J21" s="42">
        <f t="shared" si="2"/>
        <v>1.1001928000000001</v>
      </c>
      <c r="K21" s="44">
        <f t="shared" si="6"/>
        <v>4.46E-4</v>
      </c>
      <c r="L21" s="45">
        <f t="shared" si="3"/>
        <v>72.253999171457423</v>
      </c>
      <c r="M21" s="46"/>
      <c r="P21" s="47">
        <f t="shared" si="4"/>
        <v>79.493329659643422</v>
      </c>
      <c r="Q21" s="55"/>
      <c r="R21" s="47"/>
      <c r="S21" s="47"/>
      <c r="T21" s="47">
        <f>(P21-$P$6)/(D17-$D$5)</f>
        <v>0.68421934478549051</v>
      </c>
      <c r="U21" s="55"/>
      <c r="V21" s="131"/>
      <c r="X21" s="62"/>
      <c r="Y21" s="47"/>
      <c r="Z21" s="47"/>
      <c r="AA21" s="47"/>
      <c r="AB21" s="47"/>
    </row>
    <row r="22" spans="1:28" ht="14" customHeight="1">
      <c r="A22" s="40"/>
      <c r="B22" s="207"/>
      <c r="C22" s="210"/>
      <c r="D22" s="213"/>
      <c r="E22" s="85" t="s">
        <v>106</v>
      </c>
      <c r="F22" s="43">
        <v>0.184</v>
      </c>
      <c r="G22" s="51">
        <v>9.6000000000000002E-2</v>
      </c>
      <c r="H22" s="42">
        <f t="shared" si="1"/>
        <v>2.0408427876823339E-2</v>
      </c>
      <c r="I22" s="51">
        <f>'Growth curves'!H14</f>
        <v>0.91500000000000004</v>
      </c>
      <c r="J22" s="51">
        <f t="shared" si="2"/>
        <v>1.1285610000000001</v>
      </c>
      <c r="K22" s="52">
        <f t="shared" si="6"/>
        <v>4.5750000000000001E-4</v>
      </c>
      <c r="L22" s="45">
        <f t="shared" si="3"/>
        <v>89.217171046222248</v>
      </c>
      <c r="M22" s="54">
        <f>AVERAGE(L20:L22)</f>
        <v>78.344766865412154</v>
      </c>
      <c r="N22" s="56">
        <f>STDEV(L20:L22)</f>
        <v>9.4385028279130641</v>
      </c>
      <c r="O22" s="56">
        <f>N22/SQRT(3)</f>
        <v>5.4493221484426515</v>
      </c>
      <c r="P22" s="56">
        <f t="shared" si="4"/>
        <v>100.68701977309564</v>
      </c>
      <c r="Q22" s="54">
        <f>AVERAGE(P20:P22)</f>
        <v>83.106238789843331</v>
      </c>
      <c r="R22" s="56">
        <f>STDEV(P20:P22)</f>
        <v>16.081641963236507</v>
      </c>
      <c r="S22" s="56">
        <f>R22/SQRT(3)</f>
        <v>9.2847403164857791</v>
      </c>
      <c r="T22" s="56">
        <f>(P22-$P$7)/(D17-$D$5)</f>
        <v>0.92724796073546034</v>
      </c>
      <c r="U22" s="54">
        <f>AVERAGE(T20:T22)</f>
        <v>0.74827973484769572</v>
      </c>
      <c r="V22" s="130">
        <f>STDEV(T20:T22)/SQRT(3)</f>
        <v>9.0679996127820794E-2</v>
      </c>
      <c r="X22" s="62"/>
      <c r="Y22" s="47"/>
      <c r="Z22" s="47"/>
      <c r="AA22" s="47"/>
      <c r="AB22" s="47"/>
    </row>
    <row r="23" spans="1:28">
      <c r="A23" s="40"/>
      <c r="B23" s="205" t="s">
        <v>29</v>
      </c>
      <c r="C23" s="208">
        <v>0.49513888888888885</v>
      </c>
      <c r="D23" s="211">
        <v>188.68333333333334</v>
      </c>
      <c r="E23" s="82" t="s">
        <v>104</v>
      </c>
      <c r="F23" s="57">
        <v>0.17199999999999999</v>
      </c>
      <c r="G23" s="58">
        <v>8.7999999999999995E-2</v>
      </c>
      <c r="H23" s="42">
        <f t="shared" si="1"/>
        <v>1.924797406807131E-2</v>
      </c>
      <c r="I23" s="42">
        <f>'Growth curves'!F15</f>
        <v>0.84399999999999997</v>
      </c>
      <c r="J23" s="58">
        <f t="shared" si="2"/>
        <v>1.0409896000000001</v>
      </c>
      <c r="K23" s="59">
        <f t="shared" si="6"/>
        <v>4.2200000000000001E-4</v>
      </c>
      <c r="L23" s="45">
        <f t="shared" si="3"/>
        <v>91.222625915029909</v>
      </c>
      <c r="M23" s="65"/>
      <c r="N23" s="64"/>
      <c r="O23" s="64"/>
      <c r="P23" s="47">
        <f t="shared" si="4"/>
        <v>94.961804862236619</v>
      </c>
      <c r="Q23" s="55"/>
      <c r="R23" s="47"/>
      <c r="S23" s="47"/>
      <c r="T23" s="47">
        <f>(P23-$P$5)/(D23-$D$5)</f>
        <v>0.51793535166593341</v>
      </c>
      <c r="U23" s="55"/>
      <c r="V23" s="131"/>
      <c r="W23" s="47"/>
      <c r="X23" s="47"/>
      <c r="Y23" s="47"/>
    </row>
    <row r="24" spans="1:28" ht="14" customHeight="1">
      <c r="A24" s="40"/>
      <c r="B24" s="206"/>
      <c r="C24" s="209"/>
      <c r="D24" s="212"/>
      <c r="E24" s="82" t="s">
        <v>105</v>
      </c>
      <c r="F24" s="43">
        <v>0.14499999999999999</v>
      </c>
      <c r="G24" s="42">
        <v>7.9000000000000001E-2</v>
      </c>
      <c r="H24" s="42">
        <f t="shared" si="1"/>
        <v>1.5754457050243111E-2</v>
      </c>
      <c r="I24" s="42">
        <f>'Growth curves'!G15</f>
        <v>0.92600000000000005</v>
      </c>
      <c r="J24" s="42">
        <f t="shared" si="2"/>
        <v>1.1421284</v>
      </c>
      <c r="K24" s="44">
        <f t="shared" si="6"/>
        <v>4.6300000000000003E-4</v>
      </c>
      <c r="L24" s="45">
        <f t="shared" si="3"/>
        <v>68.053810152238057</v>
      </c>
      <c r="M24" s="46"/>
      <c r="P24" s="47">
        <f t="shared" si="4"/>
        <v>77.726189303079408</v>
      </c>
      <c r="Q24" s="55"/>
      <c r="R24" s="47"/>
      <c r="S24" s="47"/>
      <c r="T24" s="47">
        <f>(P24-$P$7)/(D23-$D$5)</f>
        <v>0.39822672288836153</v>
      </c>
      <c r="U24" s="55"/>
      <c r="V24" s="131"/>
      <c r="W24" s="47"/>
      <c r="X24" s="47"/>
      <c r="Y24" s="47"/>
    </row>
    <row r="25" spans="1:28" ht="14" customHeight="1">
      <c r="A25" s="40"/>
      <c r="B25" s="207"/>
      <c r="C25" s="210"/>
      <c r="D25" s="213"/>
      <c r="E25" s="85" t="s">
        <v>106</v>
      </c>
      <c r="F25" s="43">
        <v>0.255</v>
      </c>
      <c r="G25" s="51">
        <v>0.15</v>
      </c>
      <c r="H25" s="42">
        <f t="shared" si="1"/>
        <v>2.6620745542949759E-2</v>
      </c>
      <c r="I25" s="51">
        <f>'Growth curves'!H15</f>
        <v>1.032</v>
      </c>
      <c r="J25" s="51">
        <f t="shared" si="2"/>
        <v>1.2728688000000001</v>
      </c>
      <c r="K25" s="52">
        <f t="shared" si="6"/>
        <v>5.1599999999999997E-4</v>
      </c>
      <c r="L25" s="45">
        <f t="shared" si="3"/>
        <v>103.18118427499907</v>
      </c>
      <c r="M25" s="54">
        <f>AVERAGE(L23:L25)</f>
        <v>87.48587344742235</v>
      </c>
      <c r="N25" s="56">
        <f>STDEV(L23:L25)</f>
        <v>17.859327883300463</v>
      </c>
      <c r="O25" s="56">
        <f>N25/SQRT(3)</f>
        <v>10.311087760969311</v>
      </c>
      <c r="P25" s="56">
        <f t="shared" si="4"/>
        <v>131.33611021069694</v>
      </c>
      <c r="Q25" s="54">
        <f>AVERAGE(P23:P25)</f>
        <v>101.34136812533764</v>
      </c>
      <c r="R25" s="56">
        <f>STDEV(P23:P25)</f>
        <v>27.36841291527859</v>
      </c>
      <c r="S25" s="56">
        <f>R25/SQRT(3)</f>
        <v>15.801160563928926</v>
      </c>
      <c r="T25" s="56">
        <f>(P25-$P$7)/(D23-$D$5)</f>
        <v>0.71585240220672353</v>
      </c>
      <c r="U25" s="54">
        <f>AVERAGE(T23:T25)</f>
        <v>0.54400482558700614</v>
      </c>
      <c r="V25" s="130">
        <f>STDEV(T23:T25)/SQRT(3)</f>
        <v>9.2612510212360791E-2</v>
      </c>
    </row>
    <row r="26" spans="1:28">
      <c r="A26" s="40"/>
      <c r="B26" s="205" t="s">
        <v>30</v>
      </c>
      <c r="C26" s="208">
        <v>0.50763888888888886</v>
      </c>
      <c r="D26" s="211">
        <v>212.98333333333335</v>
      </c>
      <c r="E26" s="82" t="s">
        <v>104</v>
      </c>
      <c r="F26" s="57">
        <v>9.9000000000000005E-2</v>
      </c>
      <c r="G26" s="58">
        <v>4.5999999999999999E-2</v>
      </c>
      <c r="H26" s="42">
        <f t="shared" si="1"/>
        <v>1.1534846029173422E-2</v>
      </c>
      <c r="I26" s="42">
        <f>'Growth curves'!F16</f>
        <v>0.94599999999999995</v>
      </c>
      <c r="J26" s="58">
        <f t="shared" si="2"/>
        <v>1.1667964</v>
      </c>
      <c r="K26" s="52">
        <f t="shared" ref="K26:K28" si="7">I26*0.25/1000</f>
        <v>2.3649999999999998E-4</v>
      </c>
      <c r="L26" s="45">
        <f t="shared" si="3"/>
        <v>97.546266631487725</v>
      </c>
      <c r="M26" s="65"/>
      <c r="N26" s="64"/>
      <c r="O26" s="64"/>
      <c r="P26" s="47">
        <f t="shared" si="4"/>
        <v>113.81663273906</v>
      </c>
      <c r="Q26" s="55"/>
      <c r="R26" s="47"/>
      <c r="S26" s="47"/>
      <c r="T26" s="47">
        <f>(P26-$P$5)/(D26-$D$5)</f>
        <v>0.55040319196636256</v>
      </c>
      <c r="U26" s="55"/>
      <c r="V26" s="131"/>
    </row>
    <row r="27" spans="1:28" ht="14" customHeight="1">
      <c r="A27" s="40"/>
      <c r="B27" s="206"/>
      <c r="C27" s="209"/>
      <c r="D27" s="212"/>
      <c r="E27" s="82" t="s">
        <v>105</v>
      </c>
      <c r="F27" s="43">
        <v>0.112</v>
      </c>
      <c r="G27" s="42">
        <v>5.6000000000000001E-2</v>
      </c>
      <c r="H27" s="42">
        <f t="shared" si="1"/>
        <v>1.26612641815235E-2</v>
      </c>
      <c r="I27" s="42">
        <f>'Growth curves'!G16</f>
        <v>1.194</v>
      </c>
      <c r="J27" s="42">
        <f t="shared" si="2"/>
        <v>1.4726796</v>
      </c>
      <c r="K27" s="52">
        <f t="shared" si="7"/>
        <v>2.9849999999999999E-4</v>
      </c>
      <c r="L27" s="45">
        <f t="shared" si="3"/>
        <v>84.832590830978219</v>
      </c>
      <c r="M27" s="46"/>
      <c r="P27" s="47">
        <f t="shared" si="4"/>
        <v>124.93122593192867</v>
      </c>
      <c r="Q27" s="55"/>
      <c r="R27" s="47"/>
      <c r="S27" s="47"/>
      <c r="T27" s="47">
        <f>(P27-$P$6)/(D26-$D$5)</f>
        <v>0.57994766104104023</v>
      </c>
      <c r="U27" s="55"/>
      <c r="V27" s="131"/>
    </row>
    <row r="28" spans="1:28" ht="14" customHeight="1">
      <c r="A28" s="40"/>
      <c r="B28" s="207"/>
      <c r="C28" s="210"/>
      <c r="D28" s="213"/>
      <c r="E28" s="85" t="s">
        <v>106</v>
      </c>
      <c r="F28" s="43">
        <v>0.14599999999999999</v>
      </c>
      <c r="G28" s="51">
        <v>8.2000000000000003E-2</v>
      </c>
      <c r="H28" s="42">
        <f t="shared" si="1"/>
        <v>1.5622366288492706E-2</v>
      </c>
      <c r="I28" s="51">
        <f>'Growth curves'!H16</f>
        <v>1.1220000000000001</v>
      </c>
      <c r="J28" s="51">
        <f t="shared" si="2"/>
        <v>1.3838748000000003</v>
      </c>
      <c r="K28" s="52">
        <f t="shared" si="7"/>
        <v>2.8050000000000004E-4</v>
      </c>
      <c r="L28" s="45">
        <f t="shared" si="3"/>
        <v>111.38942095181963</v>
      </c>
      <c r="M28" s="54">
        <f>AVERAGE(L26:L28)</f>
        <v>97.922759471428506</v>
      </c>
      <c r="N28" s="56">
        <f>STDEV(L26:L28)</f>
        <v>13.282417575904843</v>
      </c>
      <c r="O28" s="56">
        <f>N28/SQRT(3)</f>
        <v>7.6686073629376779</v>
      </c>
      <c r="P28" s="56">
        <f t="shared" si="4"/>
        <v>154.14901264181523</v>
      </c>
      <c r="Q28" s="54">
        <f>AVERAGE(P26:P28)</f>
        <v>130.96562377093463</v>
      </c>
      <c r="R28" s="56">
        <f>STDEV(P26:P28)</f>
        <v>20.832323084922351</v>
      </c>
      <c r="S28" s="56">
        <f>R28/SQRT(3)</f>
        <v>12.027547340925175</v>
      </c>
      <c r="T28" s="56">
        <f>(P28-$P$7)/(D26-$D$5)</f>
        <v>0.74391121476172528</v>
      </c>
      <c r="U28" s="54">
        <f>AVERAGE(T26:T28)</f>
        <v>0.62475402258970936</v>
      </c>
      <c r="V28" s="130">
        <f>STDEV(T26:T28)/SQRT(3)</f>
        <v>6.018595142823361E-2</v>
      </c>
    </row>
    <row r="29" spans="1:28">
      <c r="A29" s="40"/>
      <c r="B29" s="205" t="s">
        <v>31</v>
      </c>
      <c r="C29" s="208">
        <v>0.50763888888888886</v>
      </c>
      <c r="D29" s="211">
        <v>236.98333333333335</v>
      </c>
      <c r="E29" s="82" t="s">
        <v>104</v>
      </c>
      <c r="F29" s="57">
        <v>9.9000000000000005E-2</v>
      </c>
      <c r="G29" s="58">
        <v>4.5999999999999999E-2</v>
      </c>
      <c r="H29" s="42">
        <f t="shared" si="1"/>
        <v>1.1534846029173422E-2</v>
      </c>
      <c r="I29" s="42">
        <f>'Growth curves'!F17</f>
        <v>1.1459999999999999</v>
      </c>
      <c r="J29" s="58">
        <f t="shared" si="2"/>
        <v>1.4134764</v>
      </c>
      <c r="K29" s="52">
        <f>I29*0.5/1000</f>
        <v>5.7299999999999994E-4</v>
      </c>
      <c r="L29" s="45">
        <f t="shared" si="3"/>
        <v>40.261242684723989</v>
      </c>
      <c r="M29" s="65"/>
      <c r="N29" s="64"/>
      <c r="O29" s="64"/>
      <c r="P29" s="47">
        <f t="shared" si="4"/>
        <v>56.908316369529999</v>
      </c>
      <c r="Q29" s="55"/>
      <c r="R29" s="47"/>
      <c r="S29" s="47"/>
      <c r="T29" s="47">
        <f>(P29-$P$5)/(D29-$D$5)</f>
        <v>0.22740284044211206</v>
      </c>
      <c r="U29" s="55"/>
      <c r="V29" s="131"/>
    </row>
    <row r="30" spans="1:28" ht="14" customHeight="1">
      <c r="A30" s="40"/>
      <c r="B30" s="206"/>
      <c r="C30" s="209"/>
      <c r="D30" s="212"/>
      <c r="E30" s="82" t="s">
        <v>105</v>
      </c>
      <c r="F30" s="43">
        <v>0.112</v>
      </c>
      <c r="G30" s="42">
        <v>5.6000000000000001E-2</v>
      </c>
      <c r="H30" s="42">
        <f t="shared" si="1"/>
        <v>1.26612641815235E-2</v>
      </c>
      <c r="I30" s="42">
        <f>'Growth curves'!G17</f>
        <v>1.194</v>
      </c>
      <c r="J30" s="42">
        <f t="shared" si="2"/>
        <v>1.4726796</v>
      </c>
      <c r="K30" s="52">
        <f>I30*0.5/1000</f>
        <v>5.9699999999999998E-4</v>
      </c>
      <c r="L30" s="45">
        <f t="shared" si="3"/>
        <v>42.41629541548911</v>
      </c>
      <c r="M30" s="46"/>
      <c r="P30" s="47">
        <f t="shared" si="4"/>
        <v>62.465612965964333</v>
      </c>
      <c r="Q30" s="55"/>
      <c r="R30" s="47"/>
      <c r="S30" s="47"/>
      <c r="T30" s="47">
        <f>(P30-$P$6)/(D29-$D$5)</f>
        <v>0.22808114205010305</v>
      </c>
      <c r="U30" s="55"/>
      <c r="V30" s="131"/>
    </row>
    <row r="31" spans="1:28" ht="14" customHeight="1">
      <c r="A31" s="40"/>
      <c r="B31" s="207"/>
      <c r="C31" s="210"/>
      <c r="D31" s="213"/>
      <c r="E31" s="85" t="s">
        <v>106</v>
      </c>
      <c r="F31" s="43">
        <v>0.14599999999999999</v>
      </c>
      <c r="G31" s="51">
        <v>8.2000000000000003E-2</v>
      </c>
      <c r="H31" s="42">
        <f t="shared" si="1"/>
        <v>1.5622366288492706E-2</v>
      </c>
      <c r="I31" s="51">
        <f>'Growth curves'!H17</f>
        <v>1.1220000000000001</v>
      </c>
      <c r="J31" s="51">
        <f t="shared" si="2"/>
        <v>1.3838748000000003</v>
      </c>
      <c r="K31" s="52">
        <f>I31*0.5/1000</f>
        <v>5.6100000000000008E-4</v>
      </c>
      <c r="L31" s="45">
        <f t="shared" si="3"/>
        <v>55.694710475909815</v>
      </c>
      <c r="M31" s="54">
        <f>AVERAGE(L29:L31)</f>
        <v>46.124082858707631</v>
      </c>
      <c r="N31" s="56">
        <f>STDEV(L29:L31)</f>
        <v>8.3581545695482635</v>
      </c>
      <c r="O31" s="56">
        <f>N31/SQRT(3)</f>
        <v>4.8255827906571911</v>
      </c>
      <c r="P31" s="56">
        <f t="shared" si="4"/>
        <v>77.074506320907616</v>
      </c>
      <c r="Q31" s="54">
        <f>AVERAGE(P29:P31)</f>
        <v>65.482811885467314</v>
      </c>
      <c r="R31" s="56">
        <f>STDEV(P29:P31)</f>
        <v>10.416161542461175</v>
      </c>
      <c r="S31" s="56">
        <f>R31/SQRT(3)</f>
        <v>6.0137736704625873</v>
      </c>
      <c r="T31" s="56">
        <f>(P31-$P$7)/(D29-$D$5)</f>
        <v>0.30662119337889671</v>
      </c>
      <c r="U31" s="54">
        <f>AVERAGE(T29:T31)</f>
        <v>0.25403505862370396</v>
      </c>
      <c r="V31" s="130">
        <f>STDEV(T29:T31)/SQRT(3)</f>
        <v>2.6293796477726589E-2</v>
      </c>
    </row>
    <row r="32" spans="1:28">
      <c r="A32" s="40"/>
      <c r="B32" s="205" t="s">
        <v>32</v>
      </c>
      <c r="C32" s="208">
        <v>0.50624999999999998</v>
      </c>
      <c r="D32" s="211">
        <v>260.95000000000005</v>
      </c>
      <c r="E32" s="82" t="s">
        <v>104</v>
      </c>
      <c r="F32" s="57">
        <v>0.159</v>
      </c>
      <c r="G32" s="58">
        <v>8.6999999999999994E-2</v>
      </c>
      <c r="H32" s="42">
        <f t="shared" si="1"/>
        <v>1.7239059967585093E-2</v>
      </c>
      <c r="I32" s="42">
        <f>'Growth curves'!F18</f>
        <v>1.1000000000000001</v>
      </c>
      <c r="J32" s="58">
        <f t="shared" si="2"/>
        <v>1.3567400000000001</v>
      </c>
      <c r="K32" s="52">
        <f>I32*0.5/1000</f>
        <v>5.5000000000000003E-4</v>
      </c>
      <c r="L32" s="45">
        <f t="shared" si="3"/>
        <v>62.687490791218515</v>
      </c>
      <c r="M32" s="65"/>
      <c r="N32" s="64"/>
      <c r="O32" s="64"/>
      <c r="P32" s="47">
        <f t="shared" si="4"/>
        <v>85.050626256077805</v>
      </c>
      <c r="Q32" s="55"/>
      <c r="R32" s="47"/>
      <c r="S32" s="47"/>
      <c r="T32" s="47">
        <f>(P32-$P$5)/(D32-$D$5)</f>
        <v>0.32154190624015611</v>
      </c>
      <c r="U32" s="55"/>
      <c r="V32" s="131"/>
    </row>
    <row r="33" spans="1:22" ht="14" customHeight="1">
      <c r="A33" s="40"/>
      <c r="B33" s="206"/>
      <c r="C33" s="209"/>
      <c r="D33" s="212"/>
      <c r="E33" s="82" t="s">
        <v>105</v>
      </c>
      <c r="F33" s="43">
        <v>0.123</v>
      </c>
      <c r="G33" s="42">
        <v>5.7000000000000002E-2</v>
      </c>
      <c r="H33" s="42">
        <f t="shared" si="1"/>
        <v>1.4346029173419773E-2</v>
      </c>
      <c r="I33" s="42">
        <f>'Growth curves'!G18</f>
        <v>1.3420000000000001</v>
      </c>
      <c r="J33" s="42">
        <f t="shared" si="2"/>
        <v>1.6552228000000002</v>
      </c>
      <c r="K33" s="52">
        <f>I33*0.5/1000</f>
        <v>6.7100000000000005E-4</v>
      </c>
      <c r="L33" s="45">
        <f t="shared" si="3"/>
        <v>42.760146567570111</v>
      </c>
      <c r="M33" s="46"/>
      <c r="P33" s="47">
        <f t="shared" si="4"/>
        <v>70.777569529983793</v>
      </c>
      <c r="Q33" s="55"/>
      <c r="R33" s="47"/>
      <c r="S33" s="47"/>
      <c r="T33" s="47">
        <f>(P33-$P$6)/(D32-$D$5)</f>
        <v>0.23988621095511023</v>
      </c>
      <c r="U33" s="55"/>
      <c r="V33" s="131"/>
    </row>
    <row r="34" spans="1:22" ht="14" customHeight="1">
      <c r="A34" s="40"/>
      <c r="B34" s="207"/>
      <c r="C34" s="210"/>
      <c r="D34" s="213"/>
      <c r="E34" s="85" t="s">
        <v>106</v>
      </c>
      <c r="F34" s="43">
        <v>0.16400000000000001</v>
      </c>
      <c r="G34" s="51">
        <v>8.8999999999999996E-2</v>
      </c>
      <c r="H34" s="42">
        <f t="shared" si="1"/>
        <v>1.7853322528363049E-2</v>
      </c>
      <c r="I34" s="51">
        <f>'Growth curves'!H18</f>
        <v>1.3360000000000001</v>
      </c>
      <c r="J34" s="51">
        <f t="shared" si="2"/>
        <v>1.6478224000000001</v>
      </c>
      <c r="K34" s="59">
        <f>J34*0.5/1000</f>
        <v>8.2391120000000005E-4</v>
      </c>
      <c r="L34" s="45">
        <f t="shared" si="3"/>
        <v>43.337977511078982</v>
      </c>
      <c r="M34" s="54">
        <f>AVERAGE(L32:L34)</f>
        <v>49.595204956622531</v>
      </c>
      <c r="N34" s="56">
        <f>STDEV(L32:L34)</f>
        <v>11.341932526288945</v>
      </c>
      <c r="O34" s="56">
        <f>N34/SQRT(3)</f>
        <v>6.5482677971834953</v>
      </c>
      <c r="P34" s="56">
        <f t="shared" si="4"/>
        <v>71.413290113452206</v>
      </c>
      <c r="Q34" s="54">
        <f>AVERAGE(P32:P34)</f>
        <v>75.747161966504606</v>
      </c>
      <c r="R34" s="56">
        <f>STDEV(P32:P34)</f>
        <v>8.0633039757647875</v>
      </c>
      <c r="S34" s="56">
        <f>R34/SQRT(3)</f>
        <v>4.65535072096558</v>
      </c>
      <c r="T34" s="56">
        <f>(P34-$P$7)/(D32-$D$5)</f>
        <v>0.25264938611026788</v>
      </c>
      <c r="U34" s="54">
        <f>AVERAGE(T32:T34)</f>
        <v>0.27135916776851138</v>
      </c>
      <c r="V34" s="130">
        <f>STDEV(T32:T34)/SQRT(3)</f>
        <v>2.5360435658688413E-2</v>
      </c>
    </row>
    <row r="35" spans="1:22">
      <c r="A35" s="40"/>
      <c r="B35" s="205" t="s">
        <v>33</v>
      </c>
      <c r="C35" s="208">
        <v>0.50624999999999998</v>
      </c>
      <c r="D35" s="211">
        <v>284.95000000000005</v>
      </c>
      <c r="E35" s="82" t="s">
        <v>104</v>
      </c>
      <c r="F35" s="57">
        <v>0.156</v>
      </c>
      <c r="G35" s="42">
        <v>9.0999999999999998E-2</v>
      </c>
      <c r="H35" s="42">
        <f t="shared" si="1"/>
        <v>1.6360615883306322E-2</v>
      </c>
      <c r="I35" s="42">
        <f>'Growth curves'!F19</f>
        <v>1.2</v>
      </c>
      <c r="J35" s="58">
        <f t="shared" si="2"/>
        <v>1.4800800000000001</v>
      </c>
      <c r="K35" s="59">
        <f>J35*0.5/1000</f>
        <v>7.4004000000000008E-4</v>
      </c>
      <c r="L35" s="45">
        <f t="shared" si="3"/>
        <v>44.21549073916632</v>
      </c>
      <c r="M35" s="65"/>
      <c r="N35" s="64"/>
      <c r="O35" s="64"/>
      <c r="P35" s="47">
        <f t="shared" si="4"/>
        <v>65.442463533225293</v>
      </c>
      <c r="Q35" s="55"/>
      <c r="R35" s="47"/>
      <c r="S35" s="47"/>
      <c r="T35" s="47">
        <f>(P35-$P$5)/(D35-$D$5)</f>
        <v>0.21844751471924961</v>
      </c>
      <c r="U35" s="55"/>
      <c r="V35" s="131"/>
    </row>
    <row r="36" spans="1:22" ht="14" customHeight="1">
      <c r="A36" s="40"/>
      <c r="B36" s="206"/>
      <c r="C36" s="209"/>
      <c r="D36" s="212"/>
      <c r="E36" s="82" t="s">
        <v>105</v>
      </c>
      <c r="F36" s="43">
        <v>0.30599999999999999</v>
      </c>
      <c r="G36" s="42">
        <v>0.16700000000000001</v>
      </c>
      <c r="H36" s="42">
        <f t="shared" si="1"/>
        <v>3.3219611021069691E-2</v>
      </c>
      <c r="I36" s="42">
        <f>'Growth curves'!G19</f>
        <v>1.4019999999999999</v>
      </c>
      <c r="J36" s="42">
        <f t="shared" si="2"/>
        <v>1.7292268</v>
      </c>
      <c r="K36" s="59">
        <f>J36*0.5/1000</f>
        <v>8.646134E-4</v>
      </c>
      <c r="L36" s="45">
        <f t="shared" si="3"/>
        <v>76.842692979474279</v>
      </c>
      <c r="M36" s="46"/>
      <c r="P36" s="47">
        <f t="shared" si="4"/>
        <v>132.87844408427878</v>
      </c>
      <c r="Q36" s="55"/>
      <c r="R36" s="47"/>
      <c r="S36" s="47"/>
      <c r="T36" s="47">
        <f>(P36-$P$6)/(D35-$D$5)</f>
        <v>0.45246348124891261</v>
      </c>
      <c r="U36" s="55"/>
      <c r="V36" s="131"/>
    </row>
    <row r="37" spans="1:22" ht="14" customHeight="1">
      <c r="A37" s="40"/>
      <c r="B37" s="207"/>
      <c r="C37" s="210"/>
      <c r="D37" s="213"/>
      <c r="E37" s="85" t="s">
        <v>106</v>
      </c>
      <c r="F37" s="50">
        <v>0.16400000000000001</v>
      </c>
      <c r="G37" s="42">
        <v>8.8999999999999996E-2</v>
      </c>
      <c r="H37" s="42">
        <f t="shared" si="1"/>
        <v>1.7853322528363049E-2</v>
      </c>
      <c r="I37" s="51">
        <f>'Growth curves'!H19</f>
        <v>1.3819999999999999</v>
      </c>
      <c r="J37" s="51">
        <f t="shared" si="2"/>
        <v>1.7045588</v>
      </c>
      <c r="K37" s="59">
        <f>J37*0.5/1000</f>
        <v>8.5227939999999998E-4</v>
      </c>
      <c r="L37" s="45">
        <f t="shared" si="3"/>
        <v>41.895468852967817</v>
      </c>
      <c r="M37" s="54">
        <f>AVERAGE(L35:L37)</f>
        <v>54.317884190536141</v>
      </c>
      <c r="N37" s="56">
        <f>STDEV(L35:L37)</f>
        <v>19.541516922229434</v>
      </c>
      <c r="O37" s="56">
        <f>N37/SQRT(3)</f>
        <v>11.282300055422791</v>
      </c>
      <c r="P37" s="56">
        <f t="shared" si="4"/>
        <v>71.413290113452206</v>
      </c>
      <c r="Q37" s="54">
        <f>AVERAGE(P35:P37)</f>
        <v>89.911399243652099</v>
      </c>
      <c r="R37" s="56">
        <f>STDEV(P35:P37)</f>
        <v>37.330120536439523</v>
      </c>
      <c r="S37" s="56">
        <f>R37/SQRT(3)</f>
        <v>21.552555140594535</v>
      </c>
      <c r="T37" s="56">
        <f>(P37-$P$7)/(D35-$D$5)</f>
        <v>0.22977224871488422</v>
      </c>
      <c r="U37" s="54">
        <f>AVERAGE(T35:T37)</f>
        <v>0.30022774822768217</v>
      </c>
      <c r="V37" s="130">
        <f>STDEV(T35:T37)/SQRT(3)</f>
        <v>7.6188037570214973E-2</v>
      </c>
    </row>
    <row r="38" spans="1:22">
      <c r="A38" s="40"/>
      <c r="B38" s="205" t="s">
        <v>34</v>
      </c>
      <c r="C38" s="208">
        <v>0.50624999999999998</v>
      </c>
      <c r="D38" s="211">
        <v>308.95000000000005</v>
      </c>
      <c r="E38" s="82" t="s">
        <v>104</v>
      </c>
      <c r="F38" s="57">
        <v>0.159</v>
      </c>
      <c r="G38" s="58">
        <v>8.6999999999999994E-2</v>
      </c>
      <c r="H38" s="42">
        <f t="shared" si="1"/>
        <v>1.7239059967585093E-2</v>
      </c>
      <c r="I38" s="42">
        <f>'Growth curves'!F20</f>
        <v>1.3959999999999999</v>
      </c>
      <c r="J38" s="58">
        <f t="shared" si="2"/>
        <v>1.7218263999999999</v>
      </c>
      <c r="K38" s="59">
        <f t="shared" ref="K38:K43" si="8">J38*0.25/1000</f>
        <v>4.3045659999999995E-4</v>
      </c>
      <c r="L38" s="45">
        <f t="shared" si="3"/>
        <v>80.096622830664444</v>
      </c>
      <c r="M38" s="65"/>
      <c r="N38" s="64"/>
      <c r="O38" s="64"/>
      <c r="P38" s="47">
        <f t="shared" si="4"/>
        <v>137.91247974068077</v>
      </c>
      <c r="Q38" s="55"/>
      <c r="R38" s="47"/>
      <c r="S38" s="47"/>
      <c r="T38" s="47">
        <f>(P38-$P$5)/(D38-$D$5)</f>
        <v>0.45102760762426075</v>
      </c>
      <c r="U38" s="55"/>
      <c r="V38" s="131"/>
    </row>
    <row r="39" spans="1:22" ht="14" customHeight="1">
      <c r="A39" s="40"/>
      <c r="B39" s="206"/>
      <c r="C39" s="209"/>
      <c r="D39" s="212"/>
      <c r="E39" s="82" t="s">
        <v>105</v>
      </c>
      <c r="F39" s="43">
        <v>0.123</v>
      </c>
      <c r="G39" s="42">
        <v>5.7000000000000002E-2</v>
      </c>
      <c r="H39" s="42">
        <f t="shared" si="1"/>
        <v>1.4346029173419773E-2</v>
      </c>
      <c r="I39" s="42">
        <f>'Growth curves'!G20</f>
        <v>1.464</v>
      </c>
      <c r="J39" s="42">
        <f t="shared" si="2"/>
        <v>1.8056976</v>
      </c>
      <c r="K39" s="59">
        <f t="shared" si="8"/>
        <v>4.5142439999999999E-4</v>
      </c>
      <c r="L39" s="45">
        <f t="shared" si="3"/>
        <v>63.55894441425751</v>
      </c>
      <c r="M39" s="46"/>
      <c r="P39" s="47">
        <f t="shared" si="4"/>
        <v>114.76823338735819</v>
      </c>
      <c r="Q39" s="55"/>
      <c r="R39" s="47"/>
      <c r="S39" s="47"/>
      <c r="T39" s="47">
        <f>(P39-$P$6)/(D38-$D$5)</f>
        <v>0.3522409099052195</v>
      </c>
      <c r="U39" s="55"/>
      <c r="V39" s="131"/>
    </row>
    <row r="40" spans="1:22" ht="14" customHeight="1">
      <c r="A40" s="40"/>
      <c r="B40" s="207"/>
      <c r="C40" s="210"/>
      <c r="D40" s="213"/>
      <c r="E40" s="85" t="s">
        <v>106</v>
      </c>
      <c r="F40" s="43">
        <v>0.16400000000000001</v>
      </c>
      <c r="G40" s="51">
        <v>8.8999999999999996E-2</v>
      </c>
      <c r="H40" s="42">
        <f t="shared" si="1"/>
        <v>1.7853322528363049E-2</v>
      </c>
      <c r="I40" s="51">
        <f>'Growth curves'!H20</f>
        <v>1.39</v>
      </c>
      <c r="J40" s="51">
        <f t="shared" si="2"/>
        <v>1.714426</v>
      </c>
      <c r="K40" s="59">
        <f t="shared" si="8"/>
        <v>4.286065E-4</v>
      </c>
      <c r="L40" s="45">
        <f t="shared" si="3"/>
        <v>83.308687704750383</v>
      </c>
      <c r="M40" s="54">
        <f>AVERAGE(L38:L40)</f>
        <v>75.65475164989077</v>
      </c>
      <c r="N40" s="56">
        <f>STDEV(L38:L40)</f>
        <v>10.597676853916273</v>
      </c>
      <c r="O40" s="56">
        <f>N40/SQRT(3)</f>
        <v>6.1185715843932265</v>
      </c>
      <c r="P40" s="56">
        <f t="shared" si="4"/>
        <v>142.82658022690438</v>
      </c>
      <c r="Q40" s="54">
        <f>AVERAGE(P38:P40)</f>
        <v>131.8357644516478</v>
      </c>
      <c r="R40" s="56">
        <f>STDEV(P38:P40)</f>
        <v>14.983743136147368</v>
      </c>
      <c r="S40" s="56">
        <f>R40/SQRT(3)</f>
        <v>8.6508681331228914</v>
      </c>
      <c r="T40" s="56">
        <f>(P40-$P$7)/(D38-$D$5)</f>
        <v>0.45775618278959435</v>
      </c>
      <c r="U40" s="54">
        <f>AVERAGE(T38:T40)</f>
        <v>0.42034156677302487</v>
      </c>
      <c r="V40" s="130">
        <f>STDEV(T38:T40)/SQRT(3)</f>
        <v>3.4105683936399928E-2</v>
      </c>
    </row>
    <row r="41" spans="1:22">
      <c r="A41" s="40"/>
      <c r="B41" s="205" t="s">
        <v>35</v>
      </c>
      <c r="C41" s="208">
        <v>0.50624999999999998</v>
      </c>
      <c r="D41" s="211">
        <f>D38+24</f>
        <v>332.95000000000005</v>
      </c>
      <c r="E41" s="82" t="s">
        <v>104</v>
      </c>
      <c r="F41" s="57">
        <v>0.156</v>
      </c>
      <c r="G41" s="42">
        <v>9.0999999999999998E-2</v>
      </c>
      <c r="H41" s="42">
        <f t="shared" si="1"/>
        <v>1.6360615883306322E-2</v>
      </c>
      <c r="I41" s="42">
        <f>'Growth curves'!F21</f>
        <v>1.61</v>
      </c>
      <c r="J41" s="58">
        <f t="shared" si="2"/>
        <v>1.9857740000000002</v>
      </c>
      <c r="K41" s="59">
        <f t="shared" si="8"/>
        <v>4.9644350000000001E-4</v>
      </c>
      <c r="L41" s="45">
        <f t="shared" si="3"/>
        <v>65.911290542856634</v>
      </c>
      <c r="M41" s="65"/>
      <c r="N41" s="64"/>
      <c r="O41" s="64"/>
      <c r="P41" s="47">
        <f t="shared" si="4"/>
        <v>130.88492706645059</v>
      </c>
      <c r="Q41" s="55"/>
      <c r="R41" s="47"/>
      <c r="S41" s="47"/>
      <c r="T41" s="47">
        <f>(P41-$P$5)/(D41-$D$5)</f>
        <v>0.39400088583153614</v>
      </c>
      <c r="U41" s="55"/>
      <c r="V41" s="131"/>
    </row>
    <row r="42" spans="1:22">
      <c r="A42" s="40"/>
      <c r="B42" s="206"/>
      <c r="C42" s="209"/>
      <c r="D42" s="212"/>
      <c r="E42" s="82" t="s">
        <v>105</v>
      </c>
      <c r="F42" s="43">
        <v>0.30599999999999999</v>
      </c>
      <c r="G42" s="42">
        <v>0.16700000000000001</v>
      </c>
      <c r="H42" s="42">
        <f t="shared" si="1"/>
        <v>3.3219611021069691E-2</v>
      </c>
      <c r="I42" s="42">
        <f>'Growth curves'!G21</f>
        <v>1.472</v>
      </c>
      <c r="J42" s="42">
        <f t="shared" si="2"/>
        <v>1.8155648</v>
      </c>
      <c r="K42" s="59">
        <f t="shared" si="8"/>
        <v>4.5389120000000001E-4</v>
      </c>
      <c r="L42" s="45">
        <f t="shared" si="3"/>
        <v>146.3769776592703</v>
      </c>
      <c r="M42" s="46"/>
      <c r="P42" s="47">
        <f t="shared" si="4"/>
        <v>265.75688816855757</v>
      </c>
      <c r="Q42" s="55"/>
      <c r="R42" s="47"/>
      <c r="S42" s="47"/>
      <c r="T42" s="47">
        <f>(P42-$P$6)/(D41-$D$5)</f>
        <v>0.80755115728894122</v>
      </c>
      <c r="U42" s="55"/>
      <c r="V42" s="131"/>
    </row>
    <row r="43" spans="1:22">
      <c r="A43" s="40"/>
      <c r="B43" s="207"/>
      <c r="C43" s="210"/>
      <c r="D43" s="213"/>
      <c r="E43" s="85" t="s">
        <v>106</v>
      </c>
      <c r="F43" s="50">
        <v>0.16400000000000001</v>
      </c>
      <c r="G43" s="42">
        <v>8.8999999999999996E-2</v>
      </c>
      <c r="H43" s="42">
        <f t="shared" si="1"/>
        <v>1.7853322528363049E-2</v>
      </c>
      <c r="I43" s="51">
        <f>'Growth curves'!H21</f>
        <v>1.3759999999999999</v>
      </c>
      <c r="J43" s="51">
        <f t="shared" si="2"/>
        <v>1.6971584</v>
      </c>
      <c r="K43" s="59">
        <f t="shared" si="8"/>
        <v>4.2428959999999999E-4</v>
      </c>
      <c r="L43" s="45">
        <f t="shared" si="3"/>
        <v>84.15630516686268</v>
      </c>
      <c r="M43" s="54">
        <f>AVERAGE(L41:L43)</f>
        <v>98.814857789663208</v>
      </c>
      <c r="N43" s="56">
        <f>STDEV(L41:L43)</f>
        <v>42.188109397384792</v>
      </c>
      <c r="O43" s="56">
        <f>N43/SQRT(3)</f>
        <v>24.357316317181493</v>
      </c>
      <c r="P43" s="56">
        <f t="shared" si="4"/>
        <v>142.82658022690438</v>
      </c>
      <c r="Q43" s="54">
        <f>AVERAGE(P41:P43)</f>
        <v>179.8227984873042</v>
      </c>
      <c r="R43" s="56">
        <f>STDEV(P41:P43)</f>
        <v>74.660241072879003</v>
      </c>
      <c r="S43" s="56">
        <f>R43/SQRT(3)</f>
        <v>43.105110281189049</v>
      </c>
      <c r="T43" s="56">
        <f>(P43-$P$7)/(D41-$D$5)</f>
        <v>0.42266227323217453</v>
      </c>
      <c r="U43" s="54">
        <f>AVERAGE(T41:T43)</f>
        <v>0.54140477211755067</v>
      </c>
      <c r="V43" s="130">
        <f>STDEV(T41:T43)/SQRT(3)</f>
        <v>0.13333015729981598</v>
      </c>
    </row>
    <row r="44" spans="1:22">
      <c r="A44" s="40"/>
      <c r="B44" s="205" t="s">
        <v>36</v>
      </c>
      <c r="C44" s="208">
        <v>0.48749999999999999</v>
      </c>
      <c r="D44" s="211">
        <f>11+33/60+12+24+24+24+D32</f>
        <v>356.50000000000006</v>
      </c>
      <c r="E44" s="82" t="s">
        <v>104</v>
      </c>
      <c r="F44" s="57">
        <v>0.13266666666666665</v>
      </c>
      <c r="G44" s="58">
        <v>6.3666666666666677E-2</v>
      </c>
      <c r="H44" s="42">
        <f t="shared" si="1"/>
        <v>1.52590491626148E-2</v>
      </c>
      <c r="I44" s="42">
        <f>'Growth curves'!F22</f>
        <v>1.4079999999999999</v>
      </c>
      <c r="J44" s="58">
        <f t="shared" si="2"/>
        <v>1.7366272</v>
      </c>
      <c r="K44" s="59">
        <f t="shared" ref="K44:K46" si="9">J44*0.1/1000</f>
        <v>1.7366272000000001E-4</v>
      </c>
      <c r="L44" s="45">
        <f>(H44*0.5)/K44</f>
        <v>43.933001747913423</v>
      </c>
      <c r="M44" s="65"/>
      <c r="N44" s="64"/>
      <c r="O44" s="64"/>
      <c r="P44" s="47">
        <f t="shared" si="4"/>
        <v>76.29524581307399</v>
      </c>
      <c r="Q44" s="55"/>
      <c r="R44" s="47"/>
      <c r="S44" s="47"/>
      <c r="T44" s="47">
        <f>(P44-$P$5)/(D44-$D$5)</f>
        <v>0.20425518733269701</v>
      </c>
      <c r="U44" s="55"/>
      <c r="V44" s="131"/>
    </row>
    <row r="45" spans="1:22">
      <c r="A45" s="40"/>
      <c r="B45" s="206"/>
      <c r="C45" s="209"/>
      <c r="D45" s="212"/>
      <c r="E45" s="82" t="s">
        <v>105</v>
      </c>
      <c r="F45" s="43">
        <v>0.13466666666666666</v>
      </c>
      <c r="G45" s="42">
        <v>6.5666666666666651E-2</v>
      </c>
      <c r="H45" s="42">
        <f t="shared" si="1"/>
        <v>1.5387088060507833E-2</v>
      </c>
      <c r="I45" s="42">
        <f>'Growth curves'!G22</f>
        <v>1.5960000000000001</v>
      </c>
      <c r="J45" s="42">
        <f t="shared" si="2"/>
        <v>1.9685064000000001</v>
      </c>
      <c r="K45" s="59">
        <f t="shared" si="9"/>
        <v>1.9685064000000003E-4</v>
      </c>
      <c r="L45" s="45">
        <f>(H45*0.5)/K45</f>
        <v>39.08315477284664</v>
      </c>
      <c r="M45" s="46"/>
      <c r="P45" s="47">
        <f t="shared" si="4"/>
        <v>76.935440302539163</v>
      </c>
      <c r="Q45" s="55"/>
      <c r="R45" s="47"/>
      <c r="S45" s="47"/>
      <c r="T45" s="47">
        <f>(P45-$P$6)/(D44-$D$5)</f>
        <v>0.19008449769246788</v>
      </c>
      <c r="U45" s="55"/>
      <c r="V45" s="131"/>
    </row>
    <row r="46" spans="1:22">
      <c r="A46" s="40"/>
      <c r="B46" s="207"/>
      <c r="C46" s="210"/>
      <c r="D46" s="213"/>
      <c r="E46" s="85" t="s">
        <v>106</v>
      </c>
      <c r="F46" s="43">
        <v>0.11666666666666667</v>
      </c>
      <c r="G46" s="42">
        <v>5.3666666666666661E-2</v>
      </c>
      <c r="H46" s="42">
        <f t="shared" si="1"/>
        <v>1.3646407347379798E-2</v>
      </c>
      <c r="I46" s="51">
        <f>'Growth curves'!H22</f>
        <v>1.704</v>
      </c>
      <c r="J46" s="51">
        <f t="shared" si="2"/>
        <v>2.1017136000000001</v>
      </c>
      <c r="K46" s="59">
        <f t="shared" si="9"/>
        <v>2.1017136000000002E-4</v>
      </c>
      <c r="L46" s="45">
        <f>(H46*0.5)/K46</f>
        <v>32.464954662185647</v>
      </c>
      <c r="M46" s="54">
        <f>AVERAGE(L44:L46)</f>
        <v>38.493703727648573</v>
      </c>
      <c r="N46" s="56">
        <f>STDEV(L44:L46)</f>
        <v>5.7567017806319818</v>
      </c>
      <c r="O46" s="56">
        <f>N46/SQRT(3)</f>
        <v>3.323633322692273</v>
      </c>
      <c r="P46" s="56">
        <f t="shared" si="4"/>
        <v>68.232036736898976</v>
      </c>
      <c r="Q46" s="54">
        <f>AVERAGE(P44:P46)</f>
        <v>73.820907617504034</v>
      </c>
      <c r="R46" s="56">
        <f>STDEV(P44:P46)</f>
        <v>4.8506773275638357</v>
      </c>
      <c r="S46" s="56">
        <f>R46/SQRT(3)</f>
        <v>2.800539860820995</v>
      </c>
      <c r="T46" s="56">
        <f>(P46-$P$7)/(D44-$D$5)</f>
        <v>0.17147914778766143</v>
      </c>
      <c r="U46" s="54">
        <f>AVERAGE(T44:T46)</f>
        <v>0.18860627760427548</v>
      </c>
      <c r="V46" s="130">
        <f>STDEV(T44:T46)/SQRT(3)</f>
        <v>9.4904520973500134E-3</v>
      </c>
    </row>
    <row r="47" spans="1:22">
      <c r="B47" s="205" t="s">
        <v>37</v>
      </c>
      <c r="C47" s="208">
        <v>0.52638888888888891</v>
      </c>
      <c r="D47" s="211">
        <f>56/60+24+D44</f>
        <v>381.43333333333339</v>
      </c>
      <c r="E47" s="82" t="s">
        <v>104</v>
      </c>
      <c r="F47" s="58">
        <v>0.1895</v>
      </c>
      <c r="G47" s="42">
        <v>0.1145</v>
      </c>
      <c r="H47" s="42">
        <f t="shared" si="1"/>
        <v>1.9485818476499189E-2</v>
      </c>
      <c r="I47" s="42">
        <f>'Growth curves'!F23</f>
        <v>1.512</v>
      </c>
      <c r="J47" s="51">
        <f t="shared" si="2"/>
        <v>1.8649008</v>
      </c>
      <c r="K47" s="52">
        <f>J47*0.25/1000</f>
        <v>4.6622520000000003E-4</v>
      </c>
      <c r="L47" s="45">
        <f t="shared" si="3"/>
        <v>83.589726494832064</v>
      </c>
      <c r="M47" s="55"/>
      <c r="N47" s="47"/>
      <c r="O47" s="47"/>
      <c r="P47" s="56">
        <f t="shared" si="4"/>
        <v>155.88654781199352</v>
      </c>
      <c r="Q47" s="55"/>
      <c r="R47" s="47"/>
      <c r="S47" s="47"/>
      <c r="T47" s="56">
        <f>(P47-$P$5)/(D47-$D$5)</f>
        <v>0.41031789983894151</v>
      </c>
      <c r="U47" s="55"/>
      <c r="V47" s="131"/>
    </row>
    <row r="48" spans="1:22">
      <c r="B48" s="206"/>
      <c r="C48" s="209"/>
      <c r="D48" s="212"/>
      <c r="E48" s="82" t="s">
        <v>105</v>
      </c>
      <c r="F48" s="42">
        <v>0.15750000000000003</v>
      </c>
      <c r="G48" s="42">
        <v>7.85E-2</v>
      </c>
      <c r="H48" s="42">
        <f t="shared" si="1"/>
        <v>1.7829416531604546E-2</v>
      </c>
      <c r="I48" s="42">
        <f>'Growth curves'!G23</f>
        <v>1.6279999999999999</v>
      </c>
      <c r="J48" s="51">
        <f t="shared" si="2"/>
        <v>2.0079751999999997</v>
      </c>
      <c r="K48" s="52">
        <f t="shared" ref="K48:K52" si="10">J48*0.25/1000</f>
        <v>5.019937999999999E-4</v>
      </c>
      <c r="L48" s="45">
        <f t="shared" si="3"/>
        <v>71.034409315830388</v>
      </c>
      <c r="M48" s="55"/>
      <c r="N48" s="47"/>
      <c r="O48" s="47"/>
      <c r="P48" s="56">
        <f t="shared" si="4"/>
        <v>142.63533225283638</v>
      </c>
      <c r="Q48" s="55"/>
      <c r="R48" s="47"/>
      <c r="S48" s="47"/>
      <c r="T48" s="56">
        <f>(P48-$P$7)/(D47-$D$5)</f>
        <v>0.36545226810233516</v>
      </c>
      <c r="U48" s="55"/>
      <c r="V48" s="131"/>
    </row>
    <row r="49" spans="2:32">
      <c r="B49" s="206"/>
      <c r="C49" s="210"/>
      <c r="D49" s="212"/>
      <c r="E49" s="85" t="s">
        <v>106</v>
      </c>
      <c r="F49" s="42">
        <v>0.16449999999999998</v>
      </c>
      <c r="G49" s="42">
        <v>8.2500000000000004E-2</v>
      </c>
      <c r="H49" s="42">
        <f t="shared" si="1"/>
        <v>1.8571717990275523E-2</v>
      </c>
      <c r="I49" s="51">
        <f>'Growth curves'!H23</f>
        <v>1.5920000000000001</v>
      </c>
      <c r="J49" s="51">
        <f t="shared" si="2"/>
        <v>1.9635728000000001</v>
      </c>
      <c r="K49" s="52">
        <f t="shared" si="10"/>
        <v>4.9089320000000002E-4</v>
      </c>
      <c r="L49" s="45">
        <f t="shared" si="3"/>
        <v>75.665004079402692</v>
      </c>
      <c r="M49" s="55">
        <f>AVERAGE(L47:L49)</f>
        <v>76.763046630021719</v>
      </c>
      <c r="N49" s="47">
        <f>STDEV(L47:L49)</f>
        <v>6.3492732220751931</v>
      </c>
      <c r="O49" s="47">
        <f>N49/SQRT(3)</f>
        <v>3.6657546039235953</v>
      </c>
      <c r="P49" s="56">
        <f t="shared" si="4"/>
        <v>148.57374392220419</v>
      </c>
      <c r="Q49" s="55">
        <f>AVERAGE(P47:P49)</f>
        <v>149.03187466234471</v>
      </c>
      <c r="R49" s="47">
        <f>STDEV(P47:P49)</f>
        <v>6.6374762734120845</v>
      </c>
      <c r="S49" s="47">
        <f>R49/SQRT(3)</f>
        <v>3.8321487131942211</v>
      </c>
      <c r="T49" s="56">
        <f>(P49-$P$7)/(D47-$D$5)</f>
        <v>0.38187789506905406</v>
      </c>
      <c r="U49" s="55">
        <f>AVERAGE(T47:T49)</f>
        <v>0.38588268767011025</v>
      </c>
      <c r="V49" s="131">
        <f>STDEV(T47:T49)/SQRT(3)</f>
        <v>1.310546960387533E-2</v>
      </c>
    </row>
    <row r="50" spans="2:32">
      <c r="B50" s="206" t="s">
        <v>84</v>
      </c>
      <c r="C50" s="208">
        <v>0.52638888888888891</v>
      </c>
      <c r="D50" s="212">
        <f>D47+24</f>
        <v>405.43333333333339</v>
      </c>
      <c r="E50" s="82" t="s">
        <v>104</v>
      </c>
      <c r="F50" s="57">
        <v>0.13266666666666665</v>
      </c>
      <c r="G50" s="58">
        <v>6.3666666666666677E-2</v>
      </c>
      <c r="H50" s="42">
        <f t="shared" si="1"/>
        <v>1.52590491626148E-2</v>
      </c>
      <c r="I50" s="42">
        <f>'Growth curves'!F24</f>
        <v>1.5920000000000001</v>
      </c>
      <c r="J50" s="51">
        <f t="shared" si="2"/>
        <v>1.9635728000000001</v>
      </c>
      <c r="K50" s="52">
        <f t="shared" si="10"/>
        <v>4.9089320000000002E-4</v>
      </c>
      <c r="L50" s="45">
        <f t="shared" si="3"/>
        <v>62.168509006092563</v>
      </c>
      <c r="M50" s="55"/>
      <c r="N50" s="47"/>
      <c r="O50" s="47"/>
      <c r="P50" s="56">
        <f t="shared" si="4"/>
        <v>122.07239330091839</v>
      </c>
      <c r="Q50" s="55"/>
      <c r="R50" s="47"/>
      <c r="S50" s="47"/>
      <c r="T50" s="56">
        <f>(P50-$P$5)/(D50-$D$5)</f>
        <v>0.29706755199039481</v>
      </c>
      <c r="U50" s="55"/>
      <c r="V50" s="131"/>
    </row>
    <row r="51" spans="2:32" ht="14" customHeight="1">
      <c r="B51" s="206"/>
      <c r="C51" s="209"/>
      <c r="D51" s="212"/>
      <c r="E51" s="82" t="s">
        <v>105</v>
      </c>
      <c r="F51" s="43">
        <v>0.13466666666666666</v>
      </c>
      <c r="G51" s="42">
        <v>6.5666666666666651E-2</v>
      </c>
      <c r="H51" s="42">
        <f t="shared" si="1"/>
        <v>1.5387088060507833E-2</v>
      </c>
      <c r="I51" s="42">
        <f>'Growth curves'!G24</f>
        <v>1.5920000000000001</v>
      </c>
      <c r="J51" s="51">
        <f t="shared" si="2"/>
        <v>1.9635728000000001</v>
      </c>
      <c r="K51" s="52">
        <f t="shared" si="10"/>
        <v>4.9089320000000002E-4</v>
      </c>
      <c r="L51" s="45">
        <f t="shared" si="3"/>
        <v>62.690165846696729</v>
      </c>
      <c r="M51" s="55"/>
      <c r="N51" s="47"/>
      <c r="O51" s="47"/>
      <c r="P51" s="56">
        <f t="shared" si="4"/>
        <v>123.09670448406267</v>
      </c>
      <c r="Q51" s="55"/>
      <c r="R51" s="47"/>
      <c r="S51" s="47"/>
      <c r="T51" s="56">
        <f>(P51-$P$6)/(D50-$D$5)</f>
        <v>0.28569178481274815</v>
      </c>
      <c r="U51" s="55"/>
      <c r="V51" s="131"/>
    </row>
    <row r="52" spans="2:32" ht="15" customHeight="1" thickBot="1">
      <c r="B52" s="226"/>
      <c r="C52" s="227"/>
      <c r="D52" s="231"/>
      <c r="E52" s="85" t="s">
        <v>106</v>
      </c>
      <c r="F52" s="43">
        <v>0.11666666666666667</v>
      </c>
      <c r="G52" s="42">
        <v>5.3666666666666661E-2</v>
      </c>
      <c r="H52" s="42">
        <f t="shared" si="1"/>
        <v>1.3646407347379798E-2</v>
      </c>
      <c r="I52" s="51">
        <f>'Growth curves'!H24</f>
        <v>1.5920000000000001</v>
      </c>
      <c r="J52" s="51">
        <f t="shared" si="2"/>
        <v>1.9635728000000001</v>
      </c>
      <c r="K52" s="52">
        <f t="shared" si="10"/>
        <v>4.9089320000000002E-4</v>
      </c>
      <c r="L52" s="45">
        <f t="shared" si="3"/>
        <v>55.598274114939045</v>
      </c>
      <c r="M52" s="55">
        <f>AVERAGE(L50:L52)</f>
        <v>60.152316322576119</v>
      </c>
      <c r="N52" s="47">
        <f>STDEV(L50:L52)</f>
        <v>3.9525316933001564</v>
      </c>
      <c r="O52" s="47">
        <f>N52/SQRT(3)</f>
        <v>2.2819952371073726</v>
      </c>
      <c r="P52" s="56">
        <f t="shared" si="4"/>
        <v>109.17125877903838</v>
      </c>
      <c r="Q52" s="55">
        <f>AVERAGE(P50:P52)</f>
        <v>118.11345218800648</v>
      </c>
      <c r="R52" s="47">
        <f>STDEV(P50:P52)</f>
        <v>7.7610837241021304</v>
      </c>
      <c r="S52" s="47">
        <f>R52/SQRT(3)</f>
        <v>4.4808637773135889</v>
      </c>
      <c r="T52" s="56">
        <f>(P52-$P$7)/(D50-$D$5)</f>
        <v>0.25590291333425447</v>
      </c>
      <c r="U52" s="55">
        <f>AVERAGE(T50:T52)</f>
        <v>0.27955408337913251</v>
      </c>
      <c r="V52" s="131">
        <f>STDEV(T50:T52)/SQRT(3)</f>
        <v>1.227307898191277E-2</v>
      </c>
    </row>
    <row r="53" spans="2:32" ht="15" thickBot="1">
      <c r="B53" s="217" t="s">
        <v>11</v>
      </c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9"/>
      <c r="X53" s="204" t="s">
        <v>76</v>
      </c>
      <c r="Y53" s="204"/>
      <c r="Z53" s="204"/>
      <c r="AA53" s="204"/>
      <c r="AB53" s="204"/>
    </row>
    <row r="54" spans="2:32" ht="45" customHeight="1">
      <c r="B54" s="118" t="s">
        <v>1</v>
      </c>
      <c r="C54" s="119" t="s">
        <v>2</v>
      </c>
      <c r="D54" s="120" t="s">
        <v>3</v>
      </c>
      <c r="E54" s="121"/>
      <c r="F54" s="157">
        <v>620</v>
      </c>
      <c r="G54" s="120">
        <v>650</v>
      </c>
      <c r="H54" s="31" t="s">
        <v>67</v>
      </c>
      <c r="I54" s="123" t="s">
        <v>68</v>
      </c>
      <c r="J54" s="122" t="s">
        <v>12</v>
      </c>
      <c r="K54" s="122" t="s">
        <v>13</v>
      </c>
      <c r="L54" s="122" t="s">
        <v>69</v>
      </c>
      <c r="M54" s="122" t="s">
        <v>70</v>
      </c>
      <c r="N54" s="122" t="s">
        <v>71</v>
      </c>
      <c r="O54" s="124" t="s">
        <v>55</v>
      </c>
      <c r="P54" s="123" t="s">
        <v>72</v>
      </c>
      <c r="Q54" s="122" t="s">
        <v>73</v>
      </c>
      <c r="R54" s="122" t="s">
        <v>71</v>
      </c>
      <c r="S54" s="31" t="s">
        <v>55</v>
      </c>
      <c r="T54" s="31" t="s">
        <v>74</v>
      </c>
      <c r="U54" s="122" t="s">
        <v>75</v>
      </c>
      <c r="V54" s="125" t="s">
        <v>55</v>
      </c>
      <c r="X54" s="30" t="s">
        <v>3</v>
      </c>
      <c r="Y54" s="128" t="str">
        <f>M54</f>
        <v>Average specific CPC conc.</v>
      </c>
      <c r="Z54" s="30" t="s">
        <v>14</v>
      </c>
      <c r="AA54" s="128" t="str">
        <f>Q54</f>
        <v>Average total CPC</v>
      </c>
      <c r="AB54" s="30" t="s">
        <v>14</v>
      </c>
      <c r="AD54" s="16"/>
      <c r="AE54" s="16"/>
      <c r="AF54" s="16"/>
    </row>
    <row r="55" spans="2:32" ht="25" customHeight="1" thickBot="1">
      <c r="B55" s="34"/>
      <c r="C55" s="35"/>
      <c r="D55" s="39"/>
      <c r="E55" s="126"/>
      <c r="F55" s="127" t="s">
        <v>15</v>
      </c>
      <c r="G55" s="39" t="s">
        <v>15</v>
      </c>
      <c r="H55" s="37" t="s">
        <v>16</v>
      </c>
      <c r="I55" s="37" t="s">
        <v>15</v>
      </c>
      <c r="J55" s="37" t="s">
        <v>17</v>
      </c>
      <c r="K55" s="37" t="s">
        <v>18</v>
      </c>
      <c r="L55" s="38" t="s">
        <v>77</v>
      </c>
      <c r="M55" s="38" t="s">
        <v>77</v>
      </c>
      <c r="N55" s="37"/>
      <c r="O55" s="39"/>
      <c r="P55" s="38" t="s">
        <v>78</v>
      </c>
      <c r="Q55" s="38" t="s">
        <v>78</v>
      </c>
      <c r="R55" s="37"/>
      <c r="S55" s="37"/>
      <c r="T55" s="38" t="s">
        <v>79</v>
      </c>
      <c r="U55" s="38" t="s">
        <v>79</v>
      </c>
      <c r="V55" s="36"/>
      <c r="X55" s="62">
        <f>D56</f>
        <v>19.899999999999999</v>
      </c>
      <c r="Y55" s="47">
        <f>M58</f>
        <v>46.604506158297852</v>
      </c>
      <c r="Z55" s="47">
        <f>O58</f>
        <v>5.635085063823154</v>
      </c>
      <c r="AA55" s="47">
        <f>Q58</f>
        <v>14.212317666126419</v>
      </c>
      <c r="AB55" s="47">
        <f>S58</f>
        <v>1.6104016214440815</v>
      </c>
      <c r="AD55" s="132"/>
      <c r="AE55" s="16"/>
      <c r="AF55" s="16"/>
    </row>
    <row r="56" spans="2:32">
      <c r="B56" s="214" t="s">
        <v>10</v>
      </c>
      <c r="C56" s="215">
        <v>0.46249999999999997</v>
      </c>
      <c r="D56" s="216">
        <f>7+54/60+12</f>
        <v>19.899999999999999</v>
      </c>
      <c r="E56" s="82" t="s">
        <v>104</v>
      </c>
      <c r="F56" s="43">
        <v>7.0999999999999994E-2</v>
      </c>
      <c r="G56" s="42">
        <v>4.3999999999999997E-2</v>
      </c>
      <c r="H56" s="42">
        <f>(F56-(0.605*G56))/6.17</f>
        <v>7.1928687196110208E-3</v>
      </c>
      <c r="I56" s="30">
        <v>0.20899999999999999</v>
      </c>
      <c r="J56" s="42">
        <f>1.2334*I56</f>
        <v>0.25778060000000003</v>
      </c>
      <c r="K56" s="44">
        <f>J56*1/1000</f>
        <v>2.5778060000000003E-4</v>
      </c>
      <c r="L56" s="45">
        <f t="shared" ref="L56:L76" si="11">(H56*2)/K56</f>
        <v>55.806129085051552</v>
      </c>
      <c r="M56" s="46"/>
      <c r="P56" s="47">
        <f>L56*J56</f>
        <v>14.385737439222041</v>
      </c>
      <c r="Q56" s="46"/>
      <c r="U56" s="46"/>
      <c r="V56" s="41"/>
      <c r="X56" s="62">
        <f>D59</f>
        <v>45.3</v>
      </c>
      <c r="Y56" s="47">
        <f>M61</f>
        <v>35.074532074288435</v>
      </c>
      <c r="Z56" s="47">
        <f>O61</f>
        <v>2.5449630585579315</v>
      </c>
      <c r="AA56" s="47">
        <f>Q61</f>
        <v>16.794705564559699</v>
      </c>
      <c r="AB56" s="47">
        <f>S61</f>
        <v>3.5030007370944651</v>
      </c>
      <c r="AD56" s="132"/>
      <c r="AE56" s="16"/>
      <c r="AF56" s="16"/>
    </row>
    <row r="57" spans="2:32" ht="15" customHeight="1">
      <c r="B57" s="206"/>
      <c r="C57" s="209"/>
      <c r="D57" s="212"/>
      <c r="E57" s="82" t="s">
        <v>105</v>
      </c>
      <c r="F57" s="43">
        <v>6.0999999999999999E-2</v>
      </c>
      <c r="G57" s="42">
        <v>4.2999999999999997E-2</v>
      </c>
      <c r="H57" s="42">
        <f t="shared" ref="H57:H103" si="12">(F57-(0.605*G57))/6.17</f>
        <v>5.6701782820097251E-3</v>
      </c>
      <c r="I57" s="30">
        <v>0.193</v>
      </c>
      <c r="J57" s="42">
        <f t="shared" ref="J57:J103" si="13">1.2334*I57</f>
        <v>0.23804620000000001</v>
      </c>
      <c r="K57" s="44">
        <f>J57*1/1000</f>
        <v>2.3804620000000002E-4</v>
      </c>
      <c r="L57" s="45">
        <f t="shared" si="11"/>
        <v>47.639309361037689</v>
      </c>
      <c r="M57" s="46"/>
      <c r="P57" s="47">
        <f t="shared" ref="P57:P103" si="14">L57*J57</f>
        <v>11.340356564019451</v>
      </c>
      <c r="Q57" s="46"/>
      <c r="U57" s="46"/>
      <c r="V57" s="41"/>
      <c r="X57" s="62">
        <f>D62</f>
        <v>69.8</v>
      </c>
      <c r="Y57" s="47">
        <f>M64</f>
        <v>55.150346505609157</v>
      </c>
      <c r="Z57" s="47">
        <f>O64</f>
        <v>10.71305579231162</v>
      </c>
      <c r="AA57" s="47">
        <f>Q64</f>
        <v>28.358725013506213</v>
      </c>
      <c r="AB57" s="47">
        <f>S64</f>
        <v>6.3649499257173154</v>
      </c>
      <c r="AD57" s="132"/>
      <c r="AE57" s="16"/>
      <c r="AF57" s="16"/>
    </row>
    <row r="58" spans="2:32" ht="15" customHeight="1">
      <c r="B58" s="207"/>
      <c r="C58" s="210"/>
      <c r="D58" s="213"/>
      <c r="E58" s="85" t="s">
        <v>106</v>
      </c>
      <c r="F58" s="50">
        <v>0.08</v>
      </c>
      <c r="G58" s="51">
        <v>4.5999999999999999E-2</v>
      </c>
      <c r="H58" s="42">
        <f t="shared" si="12"/>
        <v>8.4554294975688823E-3</v>
      </c>
      <c r="I58" s="48">
        <v>0.377</v>
      </c>
      <c r="J58" s="51">
        <f t="shared" si="13"/>
        <v>0.46499180000000001</v>
      </c>
      <c r="K58" s="52">
        <f>J58*1/1000</f>
        <v>4.649918E-4</v>
      </c>
      <c r="L58" s="53">
        <f t="shared" si="11"/>
        <v>36.3680800288043</v>
      </c>
      <c r="M58" s="54">
        <f>AVERAGE(L56:L58)</f>
        <v>46.604506158297852</v>
      </c>
      <c r="N58" s="56">
        <f>STDEV(L56:L58)</f>
        <v>9.7602536355142124</v>
      </c>
      <c r="O58" s="56">
        <f>N58/SQRT(3)</f>
        <v>5.635085063823154</v>
      </c>
      <c r="P58" s="56">
        <f t="shared" si="14"/>
        <v>16.910858995137765</v>
      </c>
      <c r="Q58" s="54">
        <f>AVERAGE(P56:P58)</f>
        <v>14.212317666126419</v>
      </c>
      <c r="R58" s="56">
        <f>STDEV(P56:P58)</f>
        <v>2.7892974289324508</v>
      </c>
      <c r="S58" s="56">
        <f>R58/SQRT(3)</f>
        <v>1.6104016214440815</v>
      </c>
      <c r="T58" s="48"/>
      <c r="U58" s="129"/>
      <c r="V58" s="49"/>
      <c r="X58" s="62">
        <f>D65</f>
        <v>92.86666666666666</v>
      </c>
      <c r="Y58" s="47">
        <f>M67</f>
        <v>68.285753551897059</v>
      </c>
      <c r="Z58" s="47">
        <f>O67</f>
        <v>6.897939886503103</v>
      </c>
      <c r="AA58" s="47">
        <f>Q67</f>
        <v>49.801773419773106</v>
      </c>
      <c r="AB58" s="47">
        <f>S67</f>
        <v>4.631767258283535</v>
      </c>
      <c r="AD58" s="132"/>
      <c r="AE58" s="16"/>
      <c r="AF58" s="16"/>
    </row>
    <row r="59" spans="2:32">
      <c r="B59" s="205" t="s">
        <v>24</v>
      </c>
      <c r="C59" s="208">
        <v>0.52083333333333337</v>
      </c>
      <c r="D59" s="211">
        <v>45.3</v>
      </c>
      <c r="E59" s="82" t="s">
        <v>104</v>
      </c>
      <c r="F59" s="43">
        <v>5.7000000000000002E-2</v>
      </c>
      <c r="G59" s="42">
        <v>3.3000000000000002E-2</v>
      </c>
      <c r="H59" s="42">
        <f t="shared" si="12"/>
        <v>6.0024311183144241E-3</v>
      </c>
      <c r="I59" s="42">
        <v>0.29799999999999999</v>
      </c>
      <c r="J59" s="42">
        <f t="shared" si="13"/>
        <v>0.36755320000000002</v>
      </c>
      <c r="K59" s="44">
        <f>J59*1/1000</f>
        <v>3.6755320000000002E-4</v>
      </c>
      <c r="L59" s="45">
        <f t="shared" si="11"/>
        <v>32.6615636501841</v>
      </c>
      <c r="M59" s="55"/>
      <c r="N59" s="47"/>
      <c r="O59" s="47"/>
      <c r="P59" s="47">
        <f t="shared" si="14"/>
        <v>12.004862236628847</v>
      </c>
      <c r="Q59" s="55"/>
      <c r="R59" s="47"/>
      <c r="S59" s="47"/>
      <c r="T59" s="47">
        <f>(P59-$P$56)/(D59-$D$56)</f>
        <v>-9.3735244196582426E-2</v>
      </c>
      <c r="U59" s="55"/>
      <c r="V59" s="41"/>
      <c r="X59" s="62">
        <f>D68</f>
        <v>117.14999999999999</v>
      </c>
      <c r="Y59" s="47">
        <f>M70</f>
        <v>82.280457853534145</v>
      </c>
      <c r="Z59" s="47">
        <f>O70</f>
        <v>5.7075066589869916</v>
      </c>
      <c r="AA59" s="47">
        <f>Q70</f>
        <v>75.15410718530525</v>
      </c>
      <c r="AB59" s="47">
        <f>S70</f>
        <v>5.2963085128280927</v>
      </c>
      <c r="AD59" s="132"/>
      <c r="AE59" s="16"/>
      <c r="AF59" s="16"/>
    </row>
    <row r="60" spans="2:32">
      <c r="B60" s="206"/>
      <c r="C60" s="209"/>
      <c r="D60" s="212"/>
      <c r="E60" s="82" t="s">
        <v>105</v>
      </c>
      <c r="F60" s="43">
        <v>7.6999999999999999E-2</v>
      </c>
      <c r="G60" s="42">
        <v>5.1999999999999998E-2</v>
      </c>
      <c r="H60" s="42">
        <f t="shared" si="12"/>
        <v>7.3808752025931934E-3</v>
      </c>
      <c r="I60" s="42">
        <v>0.29799999999999999</v>
      </c>
      <c r="J60" s="42">
        <f t="shared" si="13"/>
        <v>0.36755320000000002</v>
      </c>
      <c r="K60" s="44">
        <f t="shared" ref="K60:K61" si="15">J60*1/1000</f>
        <v>3.6755320000000002E-4</v>
      </c>
      <c r="L60" s="45">
        <f t="shared" si="11"/>
        <v>40.16221435478289</v>
      </c>
      <c r="M60" s="46"/>
      <c r="N60" s="47"/>
      <c r="O60" s="47"/>
      <c r="P60" s="47">
        <f t="shared" si="14"/>
        <v>14.761750405186387</v>
      </c>
      <c r="Q60" s="55"/>
      <c r="R60" s="47"/>
      <c r="S60" s="47"/>
      <c r="T60" s="47">
        <f>(P60-$P$57)/(D59-$D$56)</f>
        <v>0.13470054492783209</v>
      </c>
      <c r="U60" s="55"/>
      <c r="V60" s="41"/>
      <c r="X60" s="62">
        <f>D71</f>
        <v>164.66666666666666</v>
      </c>
      <c r="Y60" s="47">
        <f>M73</f>
        <v>74.412672827625954</v>
      </c>
      <c r="Z60" s="47">
        <f>O73</f>
        <v>11.399632127536142</v>
      </c>
      <c r="AA60" s="47">
        <f>Q73</f>
        <v>88.516940032414922</v>
      </c>
      <c r="AB60" s="47">
        <f>S73</f>
        <v>4.5487771299491877</v>
      </c>
      <c r="AD60" s="132"/>
      <c r="AE60" s="16"/>
      <c r="AF60" s="16"/>
    </row>
    <row r="61" spans="2:32">
      <c r="B61" s="207"/>
      <c r="C61" s="210"/>
      <c r="D61" s="213"/>
      <c r="E61" s="85" t="s">
        <v>106</v>
      </c>
      <c r="F61" s="43">
        <v>0.114</v>
      </c>
      <c r="G61" s="42">
        <v>6.8000000000000005E-2</v>
      </c>
      <c r="H61" s="42">
        <f t="shared" si="12"/>
        <v>1.1808752025931931E-2</v>
      </c>
      <c r="I61" s="51">
        <v>0.59099999999999997</v>
      </c>
      <c r="J61" s="51">
        <f t="shared" si="13"/>
        <v>0.72893940000000002</v>
      </c>
      <c r="K61" s="44">
        <f t="shared" si="15"/>
        <v>7.2893939999999998E-4</v>
      </c>
      <c r="L61" s="45">
        <f t="shared" si="11"/>
        <v>32.399818217898307</v>
      </c>
      <c r="M61" s="54">
        <f>AVERAGE(L59:L61)</f>
        <v>35.074532074288435</v>
      </c>
      <c r="N61" s="56">
        <f>STDEV(L59:L61)</f>
        <v>4.4080053208082246</v>
      </c>
      <c r="O61" s="56">
        <f>N61/SQRT(3)</f>
        <v>2.5449630585579315</v>
      </c>
      <c r="P61" s="56">
        <f t="shared" si="14"/>
        <v>23.617504051863861</v>
      </c>
      <c r="Q61" s="54">
        <f t="shared" ref="Q61:Q97" si="16">AVERAGE(P59:P61)</f>
        <v>16.794705564559699</v>
      </c>
      <c r="R61" s="56">
        <f t="shared" ref="R61:R97" si="17">STDEV(P59:P61)</f>
        <v>6.0673752555988401</v>
      </c>
      <c r="S61" s="56">
        <f t="shared" ref="S61:S97" si="18">R61/SQRT(3)</f>
        <v>3.5030007370944651</v>
      </c>
      <c r="T61" s="56">
        <f>(P61-$P$58)/(D59-$D$56)</f>
        <v>0.26404114396559436</v>
      </c>
      <c r="U61" s="54">
        <f>AVERAGE(T59:T61)</f>
        <v>0.10166881489894801</v>
      </c>
      <c r="V61" s="130">
        <f>STDEV(T59:T61)/SQRT(3)</f>
        <v>0.10459335124362824</v>
      </c>
      <c r="X61" s="62">
        <f>D74</f>
        <v>188.68333333333334</v>
      </c>
      <c r="Y61" s="47">
        <f>M76</f>
        <v>69.886238881240843</v>
      </c>
      <c r="Z61" s="47">
        <f>O76</f>
        <v>6.5025599218284835</v>
      </c>
      <c r="AA61" s="47">
        <f>Q76</f>
        <v>91.960598163155055</v>
      </c>
      <c r="AB61" s="47">
        <f>S76</f>
        <v>8.0566681027764915</v>
      </c>
      <c r="AD61" s="132"/>
      <c r="AE61" s="16"/>
      <c r="AF61" s="16"/>
    </row>
    <row r="62" spans="2:32">
      <c r="B62" s="205" t="s">
        <v>25</v>
      </c>
      <c r="C62" s="208">
        <v>0.54166666666666663</v>
      </c>
      <c r="D62" s="211">
        <v>69.8</v>
      </c>
      <c r="E62" s="82" t="s">
        <v>104</v>
      </c>
      <c r="F62" s="57">
        <v>7.6999999999999999E-2</v>
      </c>
      <c r="G62" s="58">
        <v>4.5999999999999999E-2</v>
      </c>
      <c r="H62" s="42">
        <f t="shared" si="12"/>
        <v>7.9692058346839557E-3</v>
      </c>
      <c r="I62" s="42">
        <v>0.374</v>
      </c>
      <c r="J62" s="42">
        <f t="shared" si="13"/>
        <v>0.46129160000000002</v>
      </c>
      <c r="K62" s="59">
        <f>J62*1/1000</f>
        <v>4.612916E-4</v>
      </c>
      <c r="L62" s="60">
        <f t="shared" si="11"/>
        <v>34.551705839360423</v>
      </c>
      <c r="M62" s="55"/>
      <c r="N62" s="47"/>
      <c r="O62" s="47"/>
      <c r="P62" s="47">
        <f t="shared" si="14"/>
        <v>15.938411669367913</v>
      </c>
      <c r="Q62" s="55"/>
      <c r="R62" s="47"/>
      <c r="S62" s="47"/>
      <c r="T62" s="47">
        <f>(P62-$P$56)/(D62-$D$56)</f>
        <v>3.111571603498741E-2</v>
      </c>
      <c r="U62" s="55"/>
      <c r="V62" s="131"/>
      <c r="X62" s="62">
        <f>D77</f>
        <v>212.98333333333335</v>
      </c>
      <c r="Y62" s="47">
        <f>M79</f>
        <v>69.913381341989577</v>
      </c>
      <c r="Z62" s="47">
        <f>O79</f>
        <v>2.7395171077797364</v>
      </c>
      <c r="AA62" s="47">
        <f>Q79</f>
        <v>110.83522420313345</v>
      </c>
      <c r="AB62" s="47">
        <f>S79</f>
        <v>21.003468993996368</v>
      </c>
      <c r="AD62" s="132"/>
      <c r="AE62" s="16"/>
      <c r="AF62" s="16"/>
    </row>
    <row r="63" spans="2:32">
      <c r="B63" s="206"/>
      <c r="C63" s="209"/>
      <c r="D63" s="212"/>
      <c r="E63" s="82" t="s">
        <v>105</v>
      </c>
      <c r="F63" s="43">
        <v>0.223</v>
      </c>
      <c r="G63" s="42">
        <v>0.18</v>
      </c>
      <c r="H63" s="42">
        <f t="shared" si="12"/>
        <v>1.8492706645056728E-2</v>
      </c>
      <c r="I63" s="42">
        <v>0.42499999999999999</v>
      </c>
      <c r="J63" s="42">
        <f t="shared" si="13"/>
        <v>0.52419499999999997</v>
      </c>
      <c r="K63" s="44">
        <f>J63*1/1000</f>
        <v>5.2419499999999998E-4</v>
      </c>
      <c r="L63" s="45">
        <f t="shared" si="11"/>
        <v>70.556593042881858</v>
      </c>
      <c r="M63" s="46"/>
      <c r="N63" s="47"/>
      <c r="O63" s="47"/>
      <c r="P63" s="47">
        <f t="shared" si="14"/>
        <v>36.985413290113456</v>
      </c>
      <c r="Q63" s="55"/>
      <c r="R63" s="47"/>
      <c r="S63" s="47"/>
      <c r="T63" s="47">
        <f>(P63-$P$57)/(D62-$D$56)</f>
        <v>0.51392899250689394</v>
      </c>
      <c r="U63" s="55"/>
      <c r="V63" s="131"/>
      <c r="X63" s="62">
        <f>D80</f>
        <v>236.98333333333335</v>
      </c>
      <c r="Y63" s="47">
        <v>76.9875258</v>
      </c>
      <c r="Z63" s="47">
        <f>O82</f>
        <v>6.1826282472687248</v>
      </c>
      <c r="AA63" s="159">
        <v>135.45326</v>
      </c>
      <c r="AB63" s="47">
        <f>S82</f>
        <v>13.064161022825482</v>
      </c>
      <c r="AD63" s="132"/>
      <c r="AE63" s="16"/>
      <c r="AF63" s="16"/>
    </row>
    <row r="64" spans="2:32">
      <c r="B64" s="207"/>
      <c r="C64" s="210"/>
      <c r="D64" s="213"/>
      <c r="E64" s="85" t="s">
        <v>106</v>
      </c>
      <c r="F64" s="50">
        <v>0.17299999999999999</v>
      </c>
      <c r="G64" s="51">
        <v>0.122</v>
      </c>
      <c r="H64" s="42">
        <f t="shared" si="12"/>
        <v>1.6076175040518635E-2</v>
      </c>
      <c r="I64" s="51">
        <v>0.432</v>
      </c>
      <c r="J64" s="51">
        <f t="shared" si="13"/>
        <v>0.53282879999999999</v>
      </c>
      <c r="K64" s="44">
        <f>J64*1/1000</f>
        <v>5.328288E-4</v>
      </c>
      <c r="L64" s="45">
        <f t="shared" si="11"/>
        <v>60.342740634585198</v>
      </c>
      <c r="M64" s="54">
        <f>AVERAGE(L62:L64)</f>
        <v>55.150346505609157</v>
      </c>
      <c r="N64" s="56">
        <f>STDEV(L62:L64)</f>
        <v>18.555556936603779</v>
      </c>
      <c r="O64" s="56">
        <f>N64/SQRT(3)</f>
        <v>10.71305579231162</v>
      </c>
      <c r="P64" s="56">
        <f t="shared" si="14"/>
        <v>32.15235008103727</v>
      </c>
      <c r="Q64" s="54">
        <f t="shared" si="16"/>
        <v>28.358725013506213</v>
      </c>
      <c r="R64" s="56">
        <f t="shared" si="17"/>
        <v>11.024416658974141</v>
      </c>
      <c r="S64" s="56">
        <f t="shared" si="18"/>
        <v>6.3649499257173154</v>
      </c>
      <c r="T64" s="56">
        <f>(P64-$P$58)/(D62-$D$56)</f>
        <v>0.3054407031242386</v>
      </c>
      <c r="U64" s="54">
        <f t="shared" ref="U64:U97" si="19">AVERAGE(T62:T64)</f>
        <v>0.28349513722204001</v>
      </c>
      <c r="V64" s="130">
        <f t="shared" ref="V64:V97" si="20">STDEV(T62:T64)/SQRT(3)</f>
        <v>0.13980745197289521</v>
      </c>
      <c r="X64" s="62">
        <f>D83</f>
        <v>260.95000000000005</v>
      </c>
      <c r="Y64" s="47">
        <v>81.169239543444391</v>
      </c>
      <c r="Z64" s="47">
        <f>O85</f>
        <v>10.455557634110161</v>
      </c>
      <c r="AA64" s="159">
        <v>158.8653156</v>
      </c>
      <c r="AB64" s="47">
        <f>S85</f>
        <v>40.702577029079997</v>
      </c>
      <c r="AD64" s="22"/>
      <c r="AE64" s="16"/>
      <c r="AF64" s="16"/>
    </row>
    <row r="65" spans="2:32">
      <c r="B65" s="205" t="s">
        <v>26</v>
      </c>
      <c r="C65" s="208">
        <v>0.50277777777777777</v>
      </c>
      <c r="D65" s="211">
        <v>92.86666666666666</v>
      </c>
      <c r="E65" s="82" t="s">
        <v>104</v>
      </c>
      <c r="F65" s="57">
        <v>0.22</v>
      </c>
      <c r="G65" s="58">
        <v>0.13</v>
      </c>
      <c r="H65" s="42">
        <f t="shared" si="12"/>
        <v>2.2909238249594815E-2</v>
      </c>
      <c r="I65" s="42">
        <v>0.6</v>
      </c>
      <c r="J65" s="42">
        <f t="shared" si="13"/>
        <v>0.74004000000000003</v>
      </c>
      <c r="K65" s="59">
        <f t="shared" ref="K65:K70" si="21">I65*1/1000</f>
        <v>5.9999999999999995E-4</v>
      </c>
      <c r="L65" s="60">
        <f t="shared" si="11"/>
        <v>76.364127498649395</v>
      </c>
      <c r="M65" s="55"/>
      <c r="N65" s="47"/>
      <c r="O65" s="47"/>
      <c r="P65" s="47">
        <f t="shared" si="14"/>
        <v>56.512508914100501</v>
      </c>
      <c r="Q65" s="55"/>
      <c r="R65" s="47"/>
      <c r="S65" s="47"/>
      <c r="T65" s="47">
        <f>(P65-$P$56)/(D65-$D$56)</f>
        <v>0.57734268809792311</v>
      </c>
      <c r="U65" s="55"/>
      <c r="V65" s="131"/>
      <c r="X65" s="62">
        <f>D86</f>
        <v>284.95000000000005</v>
      </c>
      <c r="Y65" s="47">
        <v>68.865333500000006</v>
      </c>
      <c r="Z65" s="47">
        <f>O88</f>
        <v>0.41845672665661171</v>
      </c>
      <c r="AA65" s="159">
        <v>173.6757633</v>
      </c>
      <c r="AB65" s="47">
        <f>S88</f>
        <v>7.3759966433422894</v>
      </c>
      <c r="AD65" s="22"/>
      <c r="AE65" s="16"/>
      <c r="AF65" s="16"/>
    </row>
    <row r="66" spans="2:32">
      <c r="B66" s="206"/>
      <c r="C66" s="209"/>
      <c r="D66" s="212"/>
      <c r="E66" s="82" t="s">
        <v>105</v>
      </c>
      <c r="F66" s="43">
        <v>0.158</v>
      </c>
      <c r="G66" s="42">
        <v>9.1999999999999998E-2</v>
      </c>
      <c r="H66" s="42">
        <f t="shared" si="12"/>
        <v>1.6586709886547816E-2</v>
      </c>
      <c r="I66" s="42">
        <v>0.60799999999999998</v>
      </c>
      <c r="J66" s="42">
        <f t="shared" si="13"/>
        <v>0.7499072</v>
      </c>
      <c r="K66" s="44">
        <f t="shared" si="21"/>
        <v>6.0800000000000003E-4</v>
      </c>
      <c r="L66" s="45">
        <f t="shared" si="11"/>
        <v>54.5615456794336</v>
      </c>
      <c r="M66" s="46"/>
      <c r="N66" s="47"/>
      <c r="O66" s="47"/>
      <c r="P66" s="47">
        <f t="shared" si="14"/>
        <v>40.916095948136146</v>
      </c>
      <c r="Q66" s="55"/>
      <c r="R66" s="47"/>
      <c r="S66" s="47"/>
      <c r="T66" s="47">
        <f>(P66-$P$57)/(D65-$D$56)</f>
        <v>0.40533219804636855</v>
      </c>
      <c r="U66" s="55"/>
      <c r="V66" s="131"/>
      <c r="X66" s="62">
        <f>D89</f>
        <v>308.95000000000005</v>
      </c>
      <c r="Y66" s="47">
        <v>71.867553240000007</v>
      </c>
      <c r="Z66" s="47">
        <f>O91</f>
        <v>3.8301979641178878</v>
      </c>
      <c r="AA66" s="159">
        <v>199.4489465153971</v>
      </c>
      <c r="AB66" s="47">
        <f>S91</f>
        <v>13.064161022825482</v>
      </c>
      <c r="AD66" s="22"/>
      <c r="AE66" s="16"/>
      <c r="AF66" s="16"/>
    </row>
    <row r="67" spans="2:32">
      <c r="B67" s="207"/>
      <c r="C67" s="210"/>
      <c r="D67" s="213"/>
      <c r="E67" s="85" t="s">
        <v>106</v>
      </c>
      <c r="F67" s="50">
        <v>0.20200000000000001</v>
      </c>
      <c r="G67" s="51">
        <v>0.11899999999999999</v>
      </c>
      <c r="H67" s="42">
        <f t="shared" si="12"/>
        <v>2.1070502431118319E-2</v>
      </c>
      <c r="I67" s="51">
        <v>0.56999999999999995</v>
      </c>
      <c r="J67" s="51">
        <f t="shared" si="13"/>
        <v>0.70303799999999994</v>
      </c>
      <c r="K67" s="44">
        <f t="shared" si="21"/>
        <v>5.6999999999999998E-4</v>
      </c>
      <c r="L67" s="45">
        <f t="shared" si="11"/>
        <v>73.931587477608147</v>
      </c>
      <c r="M67" s="54">
        <f>AVERAGE(L65:L67)</f>
        <v>68.285753551897059</v>
      </c>
      <c r="N67" s="56">
        <f>STDEV(L65:L67)</f>
        <v>11.947582350979269</v>
      </c>
      <c r="O67" s="56">
        <f>N67/SQRT(3)</f>
        <v>6.897939886503103</v>
      </c>
      <c r="P67" s="56">
        <f t="shared" si="14"/>
        <v>51.976715397082671</v>
      </c>
      <c r="Q67" s="54">
        <f t="shared" si="16"/>
        <v>49.801773419773106</v>
      </c>
      <c r="R67" s="56">
        <f t="shared" si="17"/>
        <v>8.0224562201810805</v>
      </c>
      <c r="S67" s="56">
        <f t="shared" si="18"/>
        <v>4.631767258283535</v>
      </c>
      <c r="T67" s="56">
        <f>(P67-$P$58)/(D65-$D$56)</f>
        <v>0.48057363730395025</v>
      </c>
      <c r="U67" s="54">
        <f t="shared" si="19"/>
        <v>0.48774950781608067</v>
      </c>
      <c r="V67" s="130">
        <f t="shared" si="20"/>
        <v>4.97846094362141E-2</v>
      </c>
      <c r="X67" s="62">
        <f>D92</f>
        <v>332.95000000000005</v>
      </c>
      <c r="Y67" s="47">
        <v>77.866753299999999</v>
      </c>
      <c r="Z67" s="47">
        <f>O94</f>
        <v>3.4254557798169745</v>
      </c>
      <c r="AA67" s="159">
        <v>211.67553559999999</v>
      </c>
      <c r="AB67" s="47">
        <f>S94</f>
        <v>13.064161022825482</v>
      </c>
      <c r="AD67" s="133"/>
      <c r="AE67" s="16"/>
      <c r="AF67" s="16"/>
    </row>
    <row r="68" spans="2:32">
      <c r="B68" s="205" t="s">
        <v>27</v>
      </c>
      <c r="C68" s="208">
        <v>0.51458333333333328</v>
      </c>
      <c r="D68" s="211">
        <v>117.14999999999999</v>
      </c>
      <c r="E68" s="82" t="s">
        <v>104</v>
      </c>
      <c r="F68" s="43">
        <v>0.248</v>
      </c>
      <c r="G68" s="42">
        <v>0.14099999999999999</v>
      </c>
      <c r="H68" s="42">
        <f t="shared" si="12"/>
        <v>2.6368719611021069E-2</v>
      </c>
      <c r="I68" s="42">
        <v>0.64900000000000002</v>
      </c>
      <c r="J68" s="42">
        <f t="shared" si="13"/>
        <v>0.80047660000000009</v>
      </c>
      <c r="K68" s="59">
        <f t="shared" si="21"/>
        <v>6.4900000000000005E-4</v>
      </c>
      <c r="L68" s="60">
        <f t="shared" si="11"/>
        <v>81.2595365516828</v>
      </c>
      <c r="M68" s="46"/>
      <c r="P68" s="47">
        <f t="shared" si="14"/>
        <v>65.046357536466786</v>
      </c>
      <c r="Q68" s="55"/>
      <c r="R68" s="47"/>
      <c r="S68" s="47"/>
      <c r="T68" s="47">
        <f>(P68-$P$56)/(D68-$D$56)</f>
        <v>0.52093182619274803</v>
      </c>
      <c r="U68" s="55"/>
      <c r="V68" s="131"/>
      <c r="X68" s="62">
        <f>D95</f>
        <v>356.50000000000006</v>
      </c>
      <c r="Y68" s="47">
        <v>76.839336109853903</v>
      </c>
      <c r="Z68" s="47">
        <f>O97</f>
        <v>7.5133629483793918</v>
      </c>
      <c r="AA68" s="47">
        <v>252.8765453</v>
      </c>
      <c r="AB68" s="47">
        <f>S97</f>
        <v>6.6001243069319733</v>
      </c>
      <c r="AD68" s="22"/>
    </row>
    <row r="69" spans="2:32" ht="15" customHeight="1">
      <c r="B69" s="206"/>
      <c r="C69" s="209"/>
      <c r="D69" s="212"/>
      <c r="E69" s="82" t="s">
        <v>105</v>
      </c>
      <c r="F69" s="43">
        <v>0.29599999999999999</v>
      </c>
      <c r="G69" s="42">
        <v>0.16900000000000001</v>
      </c>
      <c r="H69" s="42">
        <f t="shared" si="12"/>
        <v>3.1402755267423012E-2</v>
      </c>
      <c r="I69" s="42">
        <v>0.86099999999999999</v>
      </c>
      <c r="J69" s="42">
        <f t="shared" si="13"/>
        <v>1.0619574000000001</v>
      </c>
      <c r="K69" s="44">
        <f t="shared" si="21"/>
        <v>8.61E-4</v>
      </c>
      <c r="L69" s="45">
        <f t="shared" si="11"/>
        <v>72.944843826766572</v>
      </c>
      <c r="M69" s="46"/>
      <c r="P69" s="47">
        <f t="shared" si="14"/>
        <v>77.464316693679081</v>
      </c>
      <c r="Q69" s="55"/>
      <c r="R69" s="47"/>
      <c r="S69" s="47"/>
      <c r="T69" s="47">
        <f>(P69-$P$57)/(D68-$D$56)</f>
        <v>0.67993789336410926</v>
      </c>
      <c r="U69" s="55"/>
      <c r="V69" s="131"/>
      <c r="X69" s="62">
        <f>D98</f>
        <v>381.43333333333339</v>
      </c>
      <c r="Y69" s="47">
        <v>72.989915068337098</v>
      </c>
      <c r="Z69" s="47">
        <f>O100</f>
        <v>6.8715806328807147</v>
      </c>
      <c r="AA69" s="47">
        <v>261.75632669999999</v>
      </c>
      <c r="AB69" s="47">
        <f>S100</f>
        <v>5.0584411354882457</v>
      </c>
    </row>
    <row r="70" spans="2:32" ht="15" customHeight="1">
      <c r="B70" s="207"/>
      <c r="C70" s="210"/>
      <c r="D70" s="213"/>
      <c r="E70" s="85" t="s">
        <v>106</v>
      </c>
      <c r="F70" s="43">
        <v>0.34300000000000003</v>
      </c>
      <c r="G70" s="42">
        <v>0.224</v>
      </c>
      <c r="H70" s="42">
        <f t="shared" si="12"/>
        <v>3.3627228525121559E-2</v>
      </c>
      <c r="I70" s="51">
        <v>0.72599999999999998</v>
      </c>
      <c r="J70" s="51">
        <f t="shared" si="13"/>
        <v>0.89544840000000003</v>
      </c>
      <c r="K70" s="52">
        <f t="shared" si="21"/>
        <v>7.2599999999999997E-4</v>
      </c>
      <c r="L70" s="53">
        <f t="shared" si="11"/>
        <v>92.636993182153063</v>
      </c>
      <c r="M70" s="54">
        <f>AVERAGE(L68:L70)</f>
        <v>82.280457853534145</v>
      </c>
      <c r="N70" s="56">
        <f>STDEV(L68:L70)</f>
        <v>9.8856915179031635</v>
      </c>
      <c r="O70" s="56">
        <f>N70/SQRT(3)</f>
        <v>5.7075066589869916</v>
      </c>
      <c r="P70" s="56">
        <f t="shared" si="14"/>
        <v>82.951647325769869</v>
      </c>
      <c r="Q70" s="54">
        <f t="shared" si="16"/>
        <v>75.15410718530525</v>
      </c>
      <c r="R70" s="56">
        <f t="shared" si="17"/>
        <v>9.1734754367778173</v>
      </c>
      <c r="S70" s="56">
        <f t="shared" si="18"/>
        <v>5.2963085128280927</v>
      </c>
      <c r="T70" s="56">
        <f>(P70-$P$58)/(D68-$D$56)</f>
        <v>0.67908265635611409</v>
      </c>
      <c r="U70" s="54">
        <f t="shared" si="19"/>
        <v>0.62665079197099038</v>
      </c>
      <c r="V70" s="130">
        <f t="shared" si="20"/>
        <v>5.2860059438423444E-2</v>
      </c>
      <c r="X70" s="62">
        <f>D101</f>
        <v>405.43333333333339</v>
      </c>
      <c r="Y70" s="47">
        <v>73.765764300000001</v>
      </c>
      <c r="Z70" s="47">
        <f>O103</f>
        <v>5.043741870662986</v>
      </c>
      <c r="AA70" s="47">
        <v>256.97664350000002</v>
      </c>
      <c r="AB70" s="47">
        <f>S103</f>
        <v>21.773601704709211</v>
      </c>
    </row>
    <row r="71" spans="2:32">
      <c r="B71" s="205" t="s">
        <v>28</v>
      </c>
      <c r="C71" s="208">
        <v>0.49444444444444446</v>
      </c>
      <c r="D71" s="211">
        <v>164.66666666666666</v>
      </c>
      <c r="E71" s="82" t="s">
        <v>104</v>
      </c>
      <c r="F71" s="43">
        <v>0.17899999999999999</v>
      </c>
      <c r="G71" s="42">
        <v>9.6000000000000002E-2</v>
      </c>
      <c r="H71" s="42">
        <f t="shared" si="12"/>
        <v>1.9598055105348459E-2</v>
      </c>
      <c r="I71" s="42">
        <v>0.80700000000000005</v>
      </c>
      <c r="J71" s="42">
        <f t="shared" si="13"/>
        <v>0.99535380000000007</v>
      </c>
      <c r="K71" s="44">
        <f>I71*0.5/1000</f>
        <v>4.0350000000000005E-4</v>
      </c>
      <c r="L71" s="45">
        <f t="shared" si="11"/>
        <v>97.140297919942782</v>
      </c>
      <c r="M71" s="46"/>
      <c r="P71" s="47">
        <f t="shared" si="14"/>
        <v>96.688964667747143</v>
      </c>
      <c r="Q71" s="55"/>
      <c r="R71" s="47"/>
      <c r="S71" s="47"/>
      <c r="T71" s="47">
        <f>(P71-$P$56)/(D71-$D$56)</f>
        <v>0.56852332877175993</v>
      </c>
      <c r="U71" s="55"/>
      <c r="V71" s="131"/>
      <c r="X71" s="62"/>
      <c r="Y71" s="47"/>
      <c r="Z71" s="47"/>
      <c r="AA71" s="47"/>
      <c r="AB71" s="47"/>
    </row>
    <row r="72" spans="2:32">
      <c r="B72" s="206"/>
      <c r="C72" s="209"/>
      <c r="D72" s="212"/>
      <c r="E72" s="82" t="s">
        <v>105</v>
      </c>
      <c r="F72" s="43">
        <v>0.16800000000000001</v>
      </c>
      <c r="G72" s="42">
        <v>9.6000000000000002E-2</v>
      </c>
      <c r="H72" s="42">
        <f t="shared" si="12"/>
        <v>1.7815235008103732E-2</v>
      </c>
      <c r="I72" s="42">
        <v>1.159</v>
      </c>
      <c r="J72" s="42">
        <f t="shared" si="13"/>
        <v>1.4295106000000002</v>
      </c>
      <c r="K72" s="44">
        <f t="shared" ref="K72:K73" si="22">I72*0.5/1000</f>
        <v>5.7950000000000005E-4</v>
      </c>
      <c r="L72" s="45">
        <f t="shared" si="11"/>
        <v>61.484849035733326</v>
      </c>
      <c r="M72" s="46"/>
      <c r="P72" s="47">
        <f t="shared" si="14"/>
        <v>87.89324343598058</v>
      </c>
      <c r="Q72" s="55"/>
      <c r="R72" s="47"/>
      <c r="S72" s="47"/>
      <c r="T72" s="47">
        <f>(P72-$P$57)/(D71-$D$56)</f>
        <v>0.52880188951389229</v>
      </c>
      <c r="U72" s="55"/>
      <c r="V72" s="131"/>
    </row>
    <row r="73" spans="2:32">
      <c r="B73" s="207"/>
      <c r="C73" s="210"/>
      <c r="D73" s="213"/>
      <c r="E73" s="85" t="s">
        <v>106</v>
      </c>
      <c r="F73" s="50">
        <v>0.215</v>
      </c>
      <c r="G73" s="51">
        <v>0.188</v>
      </c>
      <c r="H73" s="42">
        <f t="shared" si="12"/>
        <v>1.6411669367909238E-2</v>
      </c>
      <c r="I73" s="51">
        <v>1.016</v>
      </c>
      <c r="J73" s="51">
        <f t="shared" si="13"/>
        <v>1.2531344</v>
      </c>
      <c r="K73" s="44">
        <f t="shared" si="22"/>
        <v>5.0799999999999999E-4</v>
      </c>
      <c r="L73" s="45">
        <f t="shared" si="11"/>
        <v>64.612871527201733</v>
      </c>
      <c r="M73" s="54">
        <f>AVERAGE(L71:L73)</f>
        <v>74.412672827625954</v>
      </c>
      <c r="N73" s="56">
        <f>STDEV(L71:L73)</f>
        <v>19.744742032487093</v>
      </c>
      <c r="O73" s="56">
        <f>N73/SQRT(3)</f>
        <v>11.399632127536142</v>
      </c>
      <c r="P73" s="56">
        <f t="shared" si="14"/>
        <v>80.96861199351703</v>
      </c>
      <c r="Q73" s="54">
        <f t="shared" si="16"/>
        <v>88.516940032414922</v>
      </c>
      <c r="R73" s="56">
        <f t="shared" si="17"/>
        <v>7.8787131013793301</v>
      </c>
      <c r="S73" s="56">
        <f t="shared" si="18"/>
        <v>4.5487771299491877</v>
      </c>
      <c r="T73" s="56">
        <f>(P73-$P$58)/(D71-$D$56)</f>
        <v>0.44248965921054073</v>
      </c>
      <c r="U73" s="54">
        <f t="shared" si="19"/>
        <v>0.51327162583206432</v>
      </c>
      <c r="V73" s="130">
        <f t="shared" si="20"/>
        <v>3.7202209984922963E-2</v>
      </c>
      <c r="X73" s="62"/>
      <c r="Y73" s="47"/>
      <c r="Z73" s="47"/>
      <c r="AA73" s="47"/>
      <c r="AB73" s="47"/>
    </row>
    <row r="74" spans="2:32">
      <c r="B74" s="205" t="s">
        <v>29</v>
      </c>
      <c r="C74" s="208">
        <v>0.49513888888888885</v>
      </c>
      <c r="D74" s="211">
        <v>188.68333333333334</v>
      </c>
      <c r="E74" s="82" t="s">
        <v>104</v>
      </c>
      <c r="F74" s="43">
        <v>0.14099999999999999</v>
      </c>
      <c r="G74" s="42">
        <v>7.4999999999999997E-2</v>
      </c>
      <c r="H74" s="42">
        <f t="shared" si="12"/>
        <v>1.5498379254457049E-2</v>
      </c>
      <c r="I74" s="42">
        <v>0.748</v>
      </c>
      <c r="J74" s="42">
        <f t="shared" si="13"/>
        <v>0.92258320000000005</v>
      </c>
      <c r="K74" s="59">
        <f>I74*0.5/1000</f>
        <v>3.7399999999999998E-4</v>
      </c>
      <c r="L74" s="60">
        <f t="shared" si="11"/>
        <v>82.879033446294386</v>
      </c>
      <c r="M74" s="46"/>
      <c r="P74" s="47">
        <f t="shared" si="14"/>
        <v>76.462803889789313</v>
      </c>
      <c r="Q74" s="55"/>
      <c r="R74" s="47"/>
      <c r="S74" s="47"/>
      <c r="T74" s="47">
        <f>(P74-$P$56)/(D74-$D$56)</f>
        <v>0.36779144732240904</v>
      </c>
      <c r="U74" s="55"/>
      <c r="V74" s="131"/>
      <c r="Y74" s="47"/>
      <c r="Z74" s="47"/>
      <c r="AA74" s="47"/>
      <c r="AB74" s="47"/>
    </row>
    <row r="75" spans="2:32">
      <c r="B75" s="206"/>
      <c r="C75" s="209"/>
      <c r="D75" s="212"/>
      <c r="E75" s="82" t="s">
        <v>105</v>
      </c>
      <c r="F75" s="43">
        <v>0.193</v>
      </c>
      <c r="G75" s="42">
        <v>0.105</v>
      </c>
      <c r="H75" s="42">
        <f t="shared" si="12"/>
        <v>2.0984602917341978E-2</v>
      </c>
      <c r="I75" s="42">
        <v>1.3140000000000001</v>
      </c>
      <c r="J75" s="42">
        <f t="shared" si="13"/>
        <v>1.6206876000000001</v>
      </c>
      <c r="K75" s="44">
        <f>I75*0.5/1000</f>
        <v>6.5700000000000003E-4</v>
      </c>
      <c r="L75" s="45">
        <f t="shared" si="11"/>
        <v>63.880069763598101</v>
      </c>
      <c r="M75" s="46"/>
      <c r="P75" s="47">
        <f t="shared" si="14"/>
        <v>103.52963695299839</v>
      </c>
      <c r="Q75" s="55"/>
      <c r="R75" s="47"/>
      <c r="S75" s="47"/>
      <c r="T75" s="47">
        <f>(P75-$P$57)/(D74-$D$56)</f>
        <v>0.54619895559778187</v>
      </c>
      <c r="U75" s="55"/>
      <c r="V75" s="131"/>
      <c r="Y75" s="47"/>
      <c r="Z75" s="47"/>
      <c r="AA75" s="47"/>
      <c r="AB75" s="47"/>
    </row>
    <row r="76" spans="2:32">
      <c r="B76" s="207"/>
      <c r="C76" s="210"/>
      <c r="D76" s="213"/>
      <c r="E76" s="85" t="s">
        <v>106</v>
      </c>
      <c r="F76" s="50">
        <v>0.17799999999999999</v>
      </c>
      <c r="G76" s="51">
        <v>9.6000000000000002E-2</v>
      </c>
      <c r="H76" s="42">
        <f t="shared" si="12"/>
        <v>1.9435980551053486E-2</v>
      </c>
      <c r="I76" s="51">
        <v>1.236</v>
      </c>
      <c r="J76" s="51">
        <f t="shared" si="13"/>
        <v>1.5244824000000001</v>
      </c>
      <c r="K76" s="44">
        <f>I76*0.5/1000</f>
        <v>6.1799999999999995E-4</v>
      </c>
      <c r="L76" s="45">
        <f t="shared" si="11"/>
        <v>62.899613433830055</v>
      </c>
      <c r="M76" s="54">
        <f>AVERAGE(L74:L76)</f>
        <v>69.886238881240843</v>
      </c>
      <c r="N76" s="56">
        <f>STDEV(L74:L76)</f>
        <v>11.26276416386804</v>
      </c>
      <c r="O76" s="56">
        <f>N76/SQRT(3)</f>
        <v>6.5025599218284835</v>
      </c>
      <c r="P76" s="56">
        <f t="shared" si="14"/>
        <v>95.889353646677492</v>
      </c>
      <c r="Q76" s="54">
        <f t="shared" si="16"/>
        <v>91.960598163155055</v>
      </c>
      <c r="R76" s="56">
        <f t="shared" si="17"/>
        <v>13.954558493728435</v>
      </c>
      <c r="S76" s="56">
        <f t="shared" si="18"/>
        <v>8.0566681027764915</v>
      </c>
      <c r="T76" s="56">
        <f>(P76-$P$58)/(D74-$D$56)</f>
        <v>0.46792827876887372</v>
      </c>
      <c r="U76" s="54">
        <f t="shared" si="19"/>
        <v>0.46063956056302152</v>
      </c>
      <c r="V76" s="130">
        <f t="shared" si="20"/>
        <v>5.1630591100206145E-2</v>
      </c>
    </row>
    <row r="77" spans="2:32">
      <c r="B77" s="205" t="s">
        <v>30</v>
      </c>
      <c r="C77" s="208">
        <v>0.50763888888888886</v>
      </c>
      <c r="D77" s="211">
        <v>212.98333333333335</v>
      </c>
      <c r="E77" s="82" t="s">
        <v>104</v>
      </c>
      <c r="F77" s="43">
        <v>8.4000000000000005E-2</v>
      </c>
      <c r="G77" s="42">
        <v>4.2000000000000003E-2</v>
      </c>
      <c r="H77" s="42">
        <f t="shared" si="12"/>
        <v>9.4959481361426255E-3</v>
      </c>
      <c r="I77" s="42">
        <v>0.872</v>
      </c>
      <c r="J77" s="42">
        <f t="shared" si="13"/>
        <v>1.0755247999999999</v>
      </c>
      <c r="K77" s="59">
        <f t="shared" ref="K77:K94" si="23">J77*0.25/1000</f>
        <v>2.6888119999999996E-4</v>
      </c>
      <c r="L77" s="60">
        <f>(H77*2)/K77</f>
        <v>70.633038949116767</v>
      </c>
      <c r="M77" s="46"/>
      <c r="P77" s="47">
        <f t="shared" si="14"/>
        <v>75.967585089141011</v>
      </c>
      <c r="Q77" s="55"/>
      <c r="R77" s="47"/>
      <c r="S77" s="47"/>
      <c r="T77" s="47">
        <f>(P77-$P$56)/(D77-$D$56)</f>
        <v>0.31893921959388327</v>
      </c>
      <c r="U77" s="55"/>
      <c r="V77" s="131"/>
    </row>
    <row r="78" spans="2:32">
      <c r="B78" s="206"/>
      <c r="C78" s="209"/>
      <c r="D78" s="212"/>
      <c r="E78" s="82" t="s">
        <v>105</v>
      </c>
      <c r="F78" s="43">
        <v>0.16600000000000001</v>
      </c>
      <c r="G78" s="42">
        <v>8.5000000000000006E-2</v>
      </c>
      <c r="H78" s="42">
        <f t="shared" si="12"/>
        <v>1.856969205834684E-2</v>
      </c>
      <c r="I78" s="42">
        <v>1.6220000000000001</v>
      </c>
      <c r="J78" s="42">
        <f t="shared" si="13"/>
        <v>2.0005748000000003</v>
      </c>
      <c r="K78" s="44">
        <f t="shared" si="23"/>
        <v>5.0014370000000012E-4</v>
      </c>
      <c r="L78" s="45">
        <f>(H78*2)/K78</f>
        <v>74.257426648968433</v>
      </c>
      <c r="M78" s="46"/>
      <c r="P78" s="47">
        <f t="shared" si="14"/>
        <v>148.55753646677471</v>
      </c>
      <c r="Q78" s="55"/>
      <c r="R78" s="47"/>
      <c r="S78" s="47"/>
      <c r="T78" s="47">
        <f>(P78-$P$57)/(D77-$D$56)</f>
        <v>0.71066299474884032</v>
      </c>
      <c r="U78" s="55"/>
      <c r="V78" s="131"/>
    </row>
    <row r="79" spans="2:32">
      <c r="B79" s="207"/>
      <c r="C79" s="210"/>
      <c r="D79" s="213"/>
      <c r="E79" s="85" t="s">
        <v>106</v>
      </c>
      <c r="F79" s="50">
        <v>0.122</v>
      </c>
      <c r="G79" s="51">
        <v>6.4000000000000001E-2</v>
      </c>
      <c r="H79" s="42">
        <f t="shared" si="12"/>
        <v>1.3497568881685575E-2</v>
      </c>
      <c r="I79" s="51">
        <v>1.35</v>
      </c>
      <c r="J79" s="51">
        <f t="shared" si="13"/>
        <v>1.6650900000000002</v>
      </c>
      <c r="K79" s="44">
        <f t="shared" si="23"/>
        <v>4.1627250000000004E-4</v>
      </c>
      <c r="L79" s="45">
        <f>(H79*2)/K79</f>
        <v>64.849678427883532</v>
      </c>
      <c r="M79" s="54">
        <f>AVERAGE(L77:L79)</f>
        <v>69.913381341989577</v>
      </c>
      <c r="N79" s="56">
        <f>STDEV(L77:L79)</f>
        <v>4.7449828188786469</v>
      </c>
      <c r="O79" s="56">
        <f>N79/SQRT(3)</f>
        <v>2.7395171077797364</v>
      </c>
      <c r="P79" s="56">
        <f t="shared" si="14"/>
        <v>107.9805510534846</v>
      </c>
      <c r="Q79" s="54">
        <f t="shared" si="16"/>
        <v>110.83522420313345</v>
      </c>
      <c r="R79" s="56">
        <f t="shared" si="17"/>
        <v>36.379075432799283</v>
      </c>
      <c r="S79" s="56">
        <f t="shared" si="18"/>
        <v>21.003468993996368</v>
      </c>
      <c r="T79" s="56">
        <f>(P79-$P$58)/(D77-$D$56)</f>
        <v>0.47166003655596117</v>
      </c>
      <c r="U79" s="54">
        <f t="shared" si="19"/>
        <v>0.50042075029956157</v>
      </c>
      <c r="V79" s="130">
        <f t="shared" si="20"/>
        <v>0.11399161225969484</v>
      </c>
    </row>
    <row r="80" spans="2:32">
      <c r="B80" s="205" t="s">
        <v>31</v>
      </c>
      <c r="C80" s="208">
        <v>0.50763888888888886</v>
      </c>
      <c r="D80" s="211">
        <v>236.98333333333335</v>
      </c>
      <c r="E80" s="82" t="s">
        <v>104</v>
      </c>
      <c r="F80" s="43">
        <v>0.14099999999999999</v>
      </c>
      <c r="G80" s="42">
        <v>7.4999999999999997E-2</v>
      </c>
      <c r="H80" s="42">
        <f t="shared" si="12"/>
        <v>1.5498379254457049E-2</v>
      </c>
      <c r="I80" s="42">
        <f>'Growth curves'!F40</f>
        <v>1.8720000000000001</v>
      </c>
      <c r="J80" s="42">
        <f t="shared" si="13"/>
        <v>2.3089248000000002</v>
      </c>
      <c r="K80" s="59">
        <f t="shared" si="23"/>
        <v>5.7723120000000006E-4</v>
      </c>
      <c r="L80" s="45">
        <f t="shared" ref="L80:L103" si="24">(H80*2)/K80</f>
        <v>53.699035168081863</v>
      </c>
      <c r="M80" s="46"/>
      <c r="P80" s="47">
        <f t="shared" si="14"/>
        <v>123.98703403565639</v>
      </c>
      <c r="Q80" s="55"/>
      <c r="R80" s="47"/>
      <c r="S80" s="47"/>
      <c r="T80" s="47">
        <f>(P80-$P$56)/(D80-$D$56)</f>
        <v>0.50488121272829645</v>
      </c>
      <c r="U80" s="55"/>
      <c r="V80" s="131"/>
    </row>
    <row r="81" spans="2:22">
      <c r="B81" s="206"/>
      <c r="C81" s="209"/>
      <c r="D81" s="212"/>
      <c r="E81" s="82" t="s">
        <v>105</v>
      </c>
      <c r="F81" s="43">
        <v>0.193</v>
      </c>
      <c r="G81" s="42">
        <v>0.105</v>
      </c>
      <c r="H81" s="42">
        <f t="shared" si="12"/>
        <v>2.0984602917341978E-2</v>
      </c>
      <c r="I81" s="42">
        <f>'Growth curves'!G40</f>
        <v>1.8120000000000001</v>
      </c>
      <c r="J81" s="42">
        <f t="shared" si="13"/>
        <v>2.2349208000000003</v>
      </c>
      <c r="K81" s="44">
        <f t="shared" si="23"/>
        <v>5.5873020000000008E-4</v>
      </c>
      <c r="L81" s="45">
        <f t="shared" si="24"/>
        <v>75.115334439921</v>
      </c>
      <c r="M81" s="46"/>
      <c r="P81" s="47">
        <f t="shared" si="14"/>
        <v>167.87682333873582</v>
      </c>
      <c r="Q81" s="55"/>
      <c r="R81" s="47"/>
      <c r="S81" s="47"/>
      <c r="T81" s="47">
        <f>(P81-$P$57)/(D80-$D$56)</f>
        <v>0.72108929032498892</v>
      </c>
      <c r="U81" s="55"/>
      <c r="V81" s="131"/>
    </row>
    <row r="82" spans="2:22">
      <c r="B82" s="207"/>
      <c r="C82" s="210"/>
      <c r="D82" s="213"/>
      <c r="E82" s="85" t="s">
        <v>106</v>
      </c>
      <c r="F82" s="50">
        <v>0.17799999999999999</v>
      </c>
      <c r="G82" s="51">
        <v>9.6000000000000002E-2</v>
      </c>
      <c r="H82" s="42">
        <f t="shared" si="12"/>
        <v>1.9435980551053486E-2</v>
      </c>
      <c r="I82" s="51">
        <f>'Growth curves'!H40</f>
        <v>1.952</v>
      </c>
      <c r="J82" s="51">
        <f t="shared" si="13"/>
        <v>2.4075967999999999</v>
      </c>
      <c r="K82" s="44">
        <f t="shared" si="23"/>
        <v>6.0189919999999999E-4</v>
      </c>
      <c r="L82" s="45">
        <f t="shared" si="24"/>
        <v>64.582177716978151</v>
      </c>
      <c r="M82" s="54">
        <f>AVERAGE(L80:L82)</f>
        <v>64.465515774993676</v>
      </c>
      <c r="N82" s="56">
        <f>STDEV(L80:L82)</f>
        <v>10.708626248579947</v>
      </c>
      <c r="O82" s="56">
        <f>N82/SQRT(3)</f>
        <v>6.1826282472687248</v>
      </c>
      <c r="P82" s="56">
        <f t="shared" si="14"/>
        <v>155.48784440842789</v>
      </c>
      <c r="Q82" s="54">
        <f t="shared" si="16"/>
        <v>149.11723392760669</v>
      </c>
      <c r="R82" s="56">
        <f t="shared" si="17"/>
        <v>22.627790649794726</v>
      </c>
      <c r="S82" s="56">
        <f t="shared" si="18"/>
        <v>13.064161022825482</v>
      </c>
      <c r="T82" s="56">
        <f>(P82-$P$58)/(D80-$D$56)</f>
        <v>0.6383584740727376</v>
      </c>
      <c r="U82" s="54">
        <f t="shared" si="19"/>
        <v>0.62144299237534106</v>
      </c>
      <c r="V82" s="130">
        <f t="shared" si="20"/>
        <v>6.2984345529412775E-2</v>
      </c>
    </row>
    <row r="83" spans="2:22">
      <c r="B83" s="205" t="s">
        <v>32</v>
      </c>
      <c r="C83" s="208">
        <v>0.50624999999999998</v>
      </c>
      <c r="D83" s="211">
        <v>260.95000000000005</v>
      </c>
      <c r="E83" s="82" t="s">
        <v>104</v>
      </c>
      <c r="F83" s="43">
        <v>8.8999999999999996E-2</v>
      </c>
      <c r="G83" s="42">
        <v>0.04</v>
      </c>
      <c r="H83" s="42">
        <f t="shared" si="12"/>
        <v>1.0502431118314424E-2</v>
      </c>
      <c r="I83" s="42">
        <v>1.1279999999999999</v>
      </c>
      <c r="J83" s="42">
        <f t="shared" si="13"/>
        <v>1.3912751999999999</v>
      </c>
      <c r="K83" s="59">
        <f t="shared" si="23"/>
        <v>3.4781879999999996E-4</v>
      </c>
      <c r="L83" s="45">
        <f t="shared" si="24"/>
        <v>60.390244105921965</v>
      </c>
      <c r="M83" s="46"/>
      <c r="P83" s="47">
        <f t="shared" si="14"/>
        <v>84.019448946515396</v>
      </c>
      <c r="Q83" s="55"/>
      <c r="R83" s="47"/>
      <c r="S83" s="47"/>
      <c r="T83" s="47">
        <f>(P83-$P$56)/(D83-$D$56)</f>
        <v>0.28887662936027109</v>
      </c>
      <c r="U83" s="55"/>
      <c r="V83" s="131"/>
    </row>
    <row r="84" spans="2:22">
      <c r="B84" s="206"/>
      <c r="C84" s="209"/>
      <c r="D84" s="212"/>
      <c r="E84" s="82" t="s">
        <v>105</v>
      </c>
      <c r="F84" s="43">
        <v>0.249</v>
      </c>
      <c r="G84" s="42">
        <v>0.128</v>
      </c>
      <c r="H84" s="42">
        <f t="shared" si="12"/>
        <v>2.7805510534846027E-2</v>
      </c>
      <c r="I84" s="42">
        <v>1.927</v>
      </c>
      <c r="J84" s="42">
        <f t="shared" si="13"/>
        <v>2.3767618000000001</v>
      </c>
      <c r="K84" s="44">
        <f t="shared" si="23"/>
        <v>5.9419045000000002E-4</v>
      </c>
      <c r="L84" s="45">
        <f t="shared" si="24"/>
        <v>93.591240097669115</v>
      </c>
      <c r="M84" s="46"/>
      <c r="P84" s="47">
        <f t="shared" si="14"/>
        <v>222.44408427876823</v>
      </c>
      <c r="Q84" s="55"/>
      <c r="R84" s="47"/>
      <c r="S84" s="47"/>
      <c r="T84" s="47">
        <f>(P84-$P$57)/(D83-$D$56)</f>
        <v>0.87576738317672154</v>
      </c>
      <c r="U84" s="55"/>
      <c r="V84" s="131"/>
    </row>
    <row r="85" spans="2:22">
      <c r="B85" s="207"/>
      <c r="C85" s="210"/>
      <c r="D85" s="213"/>
      <c r="E85" s="85" t="s">
        <v>106</v>
      </c>
      <c r="F85" s="50">
        <v>0.222</v>
      </c>
      <c r="G85" s="51">
        <v>0.14199999999999999</v>
      </c>
      <c r="H85" s="42">
        <f t="shared" si="12"/>
        <v>2.2056726094003245E-2</v>
      </c>
      <c r="I85" s="51">
        <v>1.5980000000000001</v>
      </c>
      <c r="J85" s="51">
        <f t="shared" si="13"/>
        <v>1.9709732000000002</v>
      </c>
      <c r="K85" s="44">
        <f t="shared" si="23"/>
        <v>4.9274330000000002E-4</v>
      </c>
      <c r="L85" s="45">
        <f t="shared" si="24"/>
        <v>89.52623442674205</v>
      </c>
      <c r="M85" s="54">
        <f>AVERAGE(L83:L85)</f>
        <v>81.169239543444391</v>
      </c>
      <c r="N85" s="56">
        <f>STDEV(L83:L85)</f>
        <v>18.109557043743443</v>
      </c>
      <c r="O85" s="56">
        <f>N85/SQRT(3)</f>
        <v>10.455557634110161</v>
      </c>
      <c r="P85" s="56">
        <f t="shared" si="14"/>
        <v>176.45380875202596</v>
      </c>
      <c r="Q85" s="54">
        <f t="shared" si="16"/>
        <v>160.97244732576988</v>
      </c>
      <c r="R85" s="56">
        <f t="shared" si="17"/>
        <v>70.498931413352437</v>
      </c>
      <c r="S85" s="56">
        <f t="shared" si="18"/>
        <v>40.702577029079997</v>
      </c>
      <c r="T85" s="56">
        <f>(P85-$P$58)/(D83-$D$56)</f>
        <v>0.66186662417294406</v>
      </c>
      <c r="U85" s="54">
        <f t="shared" si="19"/>
        <v>0.60883687890331217</v>
      </c>
      <c r="V85" s="130">
        <f t="shared" si="20"/>
        <v>0.17148304546060522</v>
      </c>
    </row>
    <row r="86" spans="2:22">
      <c r="B86" s="205" t="s">
        <v>33</v>
      </c>
      <c r="C86" s="208">
        <v>0.50624999999999998</v>
      </c>
      <c r="D86" s="211">
        <v>284.95000000000005</v>
      </c>
      <c r="E86" s="82" t="s">
        <v>104</v>
      </c>
      <c r="F86" s="43">
        <v>0.17899999999999999</v>
      </c>
      <c r="G86" s="42">
        <v>9.6000000000000002E-2</v>
      </c>
      <c r="H86" s="42">
        <f t="shared" si="12"/>
        <v>1.9598055105348459E-2</v>
      </c>
      <c r="I86" s="42">
        <f>'Growth curves'!F42</f>
        <v>2.6560000000000001</v>
      </c>
      <c r="J86" s="42">
        <f t="shared" si="13"/>
        <v>3.2759104000000003</v>
      </c>
      <c r="K86" s="59">
        <f t="shared" si="23"/>
        <v>8.1897760000000013E-4</v>
      </c>
      <c r="L86" s="45">
        <f t="shared" si="24"/>
        <v>47.859807411944978</v>
      </c>
      <c r="M86" s="46"/>
      <c r="P86" s="47">
        <f t="shared" si="14"/>
        <v>156.78444084278766</v>
      </c>
      <c r="Q86" s="55"/>
      <c r="R86" s="47"/>
      <c r="S86" s="47"/>
      <c r="T86" s="47">
        <f>(P86-$P$56)/(D86-$D$56)</f>
        <v>0.53725222940413342</v>
      </c>
      <c r="U86" s="55"/>
      <c r="V86" s="131"/>
    </row>
    <row r="87" spans="2:22">
      <c r="B87" s="206"/>
      <c r="C87" s="209"/>
      <c r="D87" s="212"/>
      <c r="E87" s="82" t="s">
        <v>105</v>
      </c>
      <c r="F87" s="43">
        <v>0.16800000000000001</v>
      </c>
      <c r="G87" s="42">
        <v>9.6000000000000002E-2</v>
      </c>
      <c r="H87" s="42">
        <f t="shared" si="12"/>
        <v>1.7815235008103732E-2</v>
      </c>
      <c r="I87" s="42">
        <f>'Growth curves'!G42</f>
        <v>2.3759999999999999</v>
      </c>
      <c r="J87" s="42">
        <f t="shared" si="13"/>
        <v>2.9305583999999998</v>
      </c>
      <c r="K87" s="44">
        <f t="shared" si="23"/>
        <v>7.3263959999999998E-4</v>
      </c>
      <c r="L87" s="45">
        <f t="shared" si="24"/>
        <v>48.63301139633657</v>
      </c>
      <c r="M87" s="46"/>
      <c r="P87" s="47">
        <f t="shared" si="14"/>
        <v>142.52188006482984</v>
      </c>
      <c r="Q87" s="55"/>
      <c r="R87" s="47"/>
      <c r="S87" s="47"/>
      <c r="T87" s="47">
        <f>(P87-$P$57)/(D86-$D$56)</f>
        <v>0.49493123373254233</v>
      </c>
      <c r="U87" s="55"/>
      <c r="V87" s="131"/>
    </row>
    <row r="88" spans="2:22">
      <c r="B88" s="207"/>
      <c r="C88" s="210"/>
      <c r="D88" s="213"/>
      <c r="E88" s="85" t="s">
        <v>106</v>
      </c>
      <c r="F88" s="50">
        <v>0.215</v>
      </c>
      <c r="G88" s="51">
        <v>0.188</v>
      </c>
      <c r="H88" s="42">
        <f t="shared" si="12"/>
        <v>1.6411669367909238E-2</v>
      </c>
      <c r="I88" s="51">
        <f>'Growth curves'!H42</f>
        <v>2.2559999999999998</v>
      </c>
      <c r="J88" s="51">
        <f t="shared" si="13"/>
        <v>2.7825503999999999</v>
      </c>
      <c r="K88" s="44">
        <f t="shared" si="23"/>
        <v>6.9563759999999991E-4</v>
      </c>
      <c r="L88" s="45">
        <f t="shared" si="24"/>
        <v>47.184537948809094</v>
      </c>
      <c r="M88" s="54">
        <f>AVERAGE(L86:L88)</f>
        <v>47.892452252363547</v>
      </c>
      <c r="N88" s="56">
        <f>STDEV(L86:L88)</f>
        <v>0.7247883113382132</v>
      </c>
      <c r="O88" s="56">
        <f>N88/SQRT(3)</f>
        <v>0.41845672665661171</v>
      </c>
      <c r="P88" s="56">
        <f t="shared" si="14"/>
        <v>131.29335494327393</v>
      </c>
      <c r="Q88" s="54">
        <f t="shared" si="16"/>
        <v>143.53322528363049</v>
      </c>
      <c r="R88" s="56">
        <f t="shared" si="17"/>
        <v>12.77560094272634</v>
      </c>
      <c r="S88" s="56">
        <f t="shared" si="18"/>
        <v>7.3759966433422894</v>
      </c>
      <c r="T88" s="56">
        <f>(P88-$P$58)/(D86-$D$56)</f>
        <v>0.43155063553343187</v>
      </c>
      <c r="U88" s="54">
        <f t="shared" si="19"/>
        <v>0.48791136622336923</v>
      </c>
      <c r="V88" s="130">
        <f t="shared" si="20"/>
        <v>3.0714630832804752E-2</v>
      </c>
    </row>
    <row r="89" spans="2:22">
      <c r="B89" s="205" t="s">
        <v>34</v>
      </c>
      <c r="C89" s="208">
        <v>0.50624999999999998</v>
      </c>
      <c r="D89" s="211">
        <v>308.95000000000005</v>
      </c>
      <c r="E89" s="82" t="s">
        <v>104</v>
      </c>
      <c r="F89" s="43">
        <v>0.14099999999999999</v>
      </c>
      <c r="G89" s="42">
        <v>7.4999999999999997E-2</v>
      </c>
      <c r="H89" s="42">
        <f t="shared" si="12"/>
        <v>1.5498379254457049E-2</v>
      </c>
      <c r="I89" s="42">
        <f>'Growth curves'!F43</f>
        <v>2.6960000000000002</v>
      </c>
      <c r="J89" s="42">
        <f t="shared" si="13"/>
        <v>3.3252464000000002</v>
      </c>
      <c r="K89" s="59">
        <f t="shared" si="23"/>
        <v>8.3131160000000004E-4</v>
      </c>
      <c r="L89" s="45">
        <f t="shared" si="24"/>
        <v>37.286570413445567</v>
      </c>
      <c r="M89" s="46"/>
      <c r="P89" s="47">
        <f t="shared" si="14"/>
        <v>123.98703403565639</v>
      </c>
      <c r="Q89" s="55"/>
      <c r="R89" s="47"/>
      <c r="S89" s="47"/>
      <c r="T89" s="47">
        <f>(P89-$P$56)/(D89-$D$56)</f>
        <v>0.37917763915043878</v>
      </c>
      <c r="U89" s="55"/>
      <c r="V89" s="131"/>
    </row>
    <row r="90" spans="2:22">
      <c r="B90" s="206"/>
      <c r="C90" s="209"/>
      <c r="D90" s="212"/>
      <c r="E90" s="82" t="s">
        <v>105</v>
      </c>
      <c r="F90" s="43">
        <v>0.193</v>
      </c>
      <c r="G90" s="42">
        <v>0.105</v>
      </c>
      <c r="H90" s="42">
        <f t="shared" si="12"/>
        <v>2.0984602917341978E-2</v>
      </c>
      <c r="I90" s="42">
        <f>'Growth curves'!G43</f>
        <v>2.7360000000000002</v>
      </c>
      <c r="J90" s="42">
        <f t="shared" si="13"/>
        <v>3.3745824000000004</v>
      </c>
      <c r="K90" s="44">
        <f t="shared" si="23"/>
        <v>8.4364560000000006E-4</v>
      </c>
      <c r="L90" s="45">
        <f t="shared" si="24"/>
        <v>49.747436405386281</v>
      </c>
      <c r="M90" s="46"/>
      <c r="P90" s="47">
        <f t="shared" si="14"/>
        <v>167.87682333873582</v>
      </c>
      <c r="Q90" s="55"/>
      <c r="R90" s="47"/>
      <c r="S90" s="47"/>
      <c r="T90" s="47">
        <f>(P90-$P$57)/(D89-$D$56)</f>
        <v>0.54155497932785446</v>
      </c>
      <c r="U90" s="55"/>
      <c r="V90" s="131"/>
    </row>
    <row r="91" spans="2:22">
      <c r="B91" s="207"/>
      <c r="C91" s="210"/>
      <c r="D91" s="213"/>
      <c r="E91" s="85" t="s">
        <v>106</v>
      </c>
      <c r="F91" s="50">
        <v>0.17799999999999999</v>
      </c>
      <c r="G91" s="51">
        <v>9.6000000000000002E-2</v>
      </c>
      <c r="H91" s="42">
        <f t="shared" si="12"/>
        <v>1.9435980551053486E-2</v>
      </c>
      <c r="I91" s="51">
        <f>'Growth curves'!H43</f>
        <v>2.6560000000000001</v>
      </c>
      <c r="J91" s="51">
        <f t="shared" si="13"/>
        <v>3.2759104000000003</v>
      </c>
      <c r="K91" s="44">
        <f t="shared" si="23"/>
        <v>8.1897760000000013E-4</v>
      </c>
      <c r="L91" s="45">
        <f t="shared" si="24"/>
        <v>47.464010129345375</v>
      </c>
      <c r="M91" s="54">
        <f>AVERAGE(L89:L91)</f>
        <v>44.832672316059075</v>
      </c>
      <c r="N91" s="56">
        <f>STDEV(L89:L91)</f>
        <v>6.6340974768990568</v>
      </c>
      <c r="O91" s="56">
        <f>N91/SQRT(3)</f>
        <v>3.8301979641178878</v>
      </c>
      <c r="P91" s="56">
        <f t="shared" si="14"/>
        <v>155.48784440842789</v>
      </c>
      <c r="Q91" s="54">
        <f t="shared" si="16"/>
        <v>149.11723392760669</v>
      </c>
      <c r="R91" s="56">
        <f t="shared" si="17"/>
        <v>22.627790649794726</v>
      </c>
      <c r="S91" s="56">
        <f t="shared" si="18"/>
        <v>13.064161022825482</v>
      </c>
      <c r="T91" s="56">
        <f>(P91-$P$58)/(D89-$D$56)</f>
        <v>0.47942219482196879</v>
      </c>
      <c r="U91" s="54">
        <f t="shared" si="19"/>
        <v>0.46671827110008729</v>
      </c>
      <c r="V91" s="130">
        <f t="shared" si="20"/>
        <v>4.7302721589149069E-2</v>
      </c>
    </row>
    <row r="92" spans="2:22">
      <c r="B92" s="205" t="s">
        <v>35</v>
      </c>
      <c r="C92" s="208">
        <v>0.50624999999999998</v>
      </c>
      <c r="D92" s="211">
        <f>D89+24</f>
        <v>332.95000000000005</v>
      </c>
      <c r="E92" s="82" t="s">
        <v>104</v>
      </c>
      <c r="F92" s="43">
        <v>0.14099999999999999</v>
      </c>
      <c r="G92" s="42">
        <v>7.4999999999999997E-2</v>
      </c>
      <c r="H92" s="42">
        <f t="shared" si="12"/>
        <v>1.5498379254457049E-2</v>
      </c>
      <c r="I92" s="42">
        <f>'Growth curves'!F44</f>
        <v>2.8559999999999999</v>
      </c>
      <c r="J92" s="42">
        <f t="shared" si="13"/>
        <v>3.5225903999999999</v>
      </c>
      <c r="K92" s="59">
        <f t="shared" si="23"/>
        <v>8.8064760000000001E-4</v>
      </c>
      <c r="L92" s="45">
        <f t="shared" si="24"/>
        <v>35.197686916893993</v>
      </c>
      <c r="M92" s="46"/>
      <c r="P92" s="47">
        <f t="shared" si="14"/>
        <v>123.98703403565638</v>
      </c>
      <c r="Q92" s="55"/>
      <c r="R92" s="47"/>
      <c r="S92" s="47"/>
      <c r="T92" s="47">
        <f>(P92-$P$56)/(D92-$D$56)</f>
        <v>0.3501079591005728</v>
      </c>
      <c r="U92" s="55"/>
      <c r="V92" s="131"/>
    </row>
    <row r="93" spans="2:22">
      <c r="B93" s="206"/>
      <c r="C93" s="209"/>
      <c r="D93" s="212"/>
      <c r="E93" s="82" t="s">
        <v>105</v>
      </c>
      <c r="F93" s="43">
        <v>0.193</v>
      </c>
      <c r="G93" s="42">
        <v>0.105</v>
      </c>
      <c r="H93" s="42">
        <f t="shared" si="12"/>
        <v>2.0984602917341978E-2</v>
      </c>
      <c r="I93" s="42">
        <f>'Growth curves'!G44</f>
        <v>2.9119999999999999</v>
      </c>
      <c r="J93" s="42">
        <f t="shared" si="13"/>
        <v>3.5916608000000001</v>
      </c>
      <c r="K93" s="44">
        <f t="shared" si="23"/>
        <v>8.9791520000000007E-4</v>
      </c>
      <c r="L93" s="45">
        <f t="shared" si="24"/>
        <v>46.740723216049751</v>
      </c>
      <c r="M93" s="46"/>
      <c r="P93" s="47">
        <f t="shared" si="14"/>
        <v>167.87682333873582</v>
      </c>
      <c r="Q93" s="55"/>
      <c r="R93" s="47"/>
      <c r="S93" s="47"/>
      <c r="T93" s="47">
        <f>(P93-$P$57)/(D92-$D$56)</f>
        <v>0.50003662921167968</v>
      </c>
      <c r="U93" s="55"/>
      <c r="V93" s="131"/>
    </row>
    <row r="94" spans="2:22">
      <c r="B94" s="207"/>
      <c r="C94" s="210"/>
      <c r="D94" s="213"/>
      <c r="E94" s="85" t="s">
        <v>106</v>
      </c>
      <c r="F94" s="50">
        <v>0.17799999999999999</v>
      </c>
      <c r="G94" s="51">
        <v>9.6000000000000002E-2</v>
      </c>
      <c r="H94" s="42">
        <f t="shared" si="12"/>
        <v>1.9435980551053486E-2</v>
      </c>
      <c r="I94" s="51">
        <f>'Growth curves'!H44</f>
        <v>2.9079999999999999</v>
      </c>
      <c r="J94" s="51">
        <f t="shared" si="13"/>
        <v>3.5867271999999999</v>
      </c>
      <c r="K94" s="44">
        <f t="shared" si="23"/>
        <v>8.9668179999999992E-4</v>
      </c>
      <c r="L94" s="45">
        <f t="shared" si="24"/>
        <v>43.350897834780383</v>
      </c>
      <c r="M94" s="54">
        <f>AVERAGE(L92:L94)</f>
        <v>41.763102655908042</v>
      </c>
      <c r="N94" s="56">
        <f>STDEV(L92:L94)</f>
        <v>5.9330634497234689</v>
      </c>
      <c r="O94" s="56">
        <f>N94/SQRT(3)</f>
        <v>3.4254557798169745</v>
      </c>
      <c r="P94" s="56">
        <f t="shared" si="14"/>
        <v>155.48784440842789</v>
      </c>
      <c r="Q94" s="54">
        <f t="shared" si="16"/>
        <v>149.11723392760669</v>
      </c>
      <c r="R94" s="56">
        <f t="shared" si="17"/>
        <v>22.627790649794726</v>
      </c>
      <c r="S94" s="56">
        <f t="shared" si="18"/>
        <v>13.064161022825482</v>
      </c>
      <c r="T94" s="56">
        <f>(P94-$P$58)/(D92-$D$56)</f>
        <v>0.44266725894678194</v>
      </c>
      <c r="U94" s="54">
        <f t="shared" si="19"/>
        <v>0.43093728241967816</v>
      </c>
      <c r="V94" s="130">
        <f t="shared" si="20"/>
        <v>4.3676255152031516E-2</v>
      </c>
    </row>
    <row r="95" spans="2:22">
      <c r="B95" s="205" t="s">
        <v>36</v>
      </c>
      <c r="C95" s="208">
        <v>0.48749999999999999</v>
      </c>
      <c r="D95" s="211">
        <f>11+33/60+12+24+24+24+D83</f>
        <v>356.50000000000006</v>
      </c>
      <c r="E95" s="82" t="s">
        <v>104</v>
      </c>
      <c r="F95" s="57">
        <v>6.6666666666666652E-2</v>
      </c>
      <c r="G95" s="58">
        <v>3.7666666666666661E-2</v>
      </c>
      <c r="H95" s="42">
        <f t="shared" si="12"/>
        <v>7.1115613182063733E-3</v>
      </c>
      <c r="I95" s="42">
        <v>1.04</v>
      </c>
      <c r="J95" s="42">
        <f t="shared" si="13"/>
        <v>1.2827360000000001</v>
      </c>
      <c r="K95" s="59">
        <f>J95*0.05/1000</f>
        <v>6.4136800000000012E-5</v>
      </c>
      <c r="L95" s="45">
        <f>(H95*0.5)/K95</f>
        <v>55.440568583140816</v>
      </c>
      <c r="M95" s="46"/>
      <c r="P95" s="47"/>
      <c r="Q95" s="55"/>
      <c r="R95" s="47"/>
      <c r="S95" s="47"/>
      <c r="T95" s="47">
        <f>(P95-$P$56)/(D95-$D$56)</f>
        <v>-4.2738376230606175E-2</v>
      </c>
      <c r="U95" s="55"/>
      <c r="V95" s="131"/>
    </row>
    <row r="96" spans="2:22">
      <c r="B96" s="206"/>
      <c r="C96" s="209"/>
      <c r="D96" s="212"/>
      <c r="E96" s="82" t="s">
        <v>105</v>
      </c>
      <c r="F96" s="43">
        <v>0.12366666666666665</v>
      </c>
      <c r="G96" s="42">
        <v>6.1666666666666668E-2</v>
      </c>
      <c r="H96" s="42">
        <f t="shared" si="12"/>
        <v>1.399648838465694E-2</v>
      </c>
      <c r="I96" s="42">
        <v>3.6760000000000002</v>
      </c>
      <c r="J96" s="42">
        <f t="shared" si="13"/>
        <v>4.5339784000000005</v>
      </c>
      <c r="K96" s="44">
        <f>J96*0.05/1000</f>
        <v>2.2669892000000001E-4</v>
      </c>
      <c r="L96" s="45">
        <f>(H96*0.5)/K96</f>
        <v>30.870214080986663</v>
      </c>
      <c r="M96" s="46"/>
      <c r="P96" s="47">
        <f t="shared" si="14"/>
        <v>139.96488384656939</v>
      </c>
      <c r="Q96" s="55"/>
      <c r="R96" s="47"/>
      <c r="S96" s="47"/>
      <c r="T96" s="47">
        <f>(P96-$P$57)/(D95-$D$56)</f>
        <v>0.38212872038784879</v>
      </c>
      <c r="U96" s="55"/>
      <c r="V96" s="131"/>
    </row>
    <row r="97" spans="2:28">
      <c r="B97" s="207"/>
      <c r="C97" s="210"/>
      <c r="D97" s="213"/>
      <c r="E97" s="85" t="s">
        <v>106</v>
      </c>
      <c r="F97" s="43">
        <v>0.11066666666666666</v>
      </c>
      <c r="G97" s="42">
        <v>5.6666666666666664E-2</v>
      </c>
      <c r="H97" s="42">
        <f t="shared" si="12"/>
        <v>1.2379794705564559E-2</v>
      </c>
      <c r="I97" s="51">
        <v>1.984</v>
      </c>
      <c r="J97" s="51">
        <f t="shared" si="13"/>
        <v>2.4470656000000002</v>
      </c>
      <c r="K97" s="44">
        <f>J97*0.05/1000</f>
        <v>1.2235328000000001E-4</v>
      </c>
      <c r="L97" s="45">
        <f>(H97*0.5)/K97</f>
        <v>50.590367113838546</v>
      </c>
      <c r="M97" s="54">
        <f>AVERAGE(L95:L97)</f>
        <v>45.63371659265534</v>
      </c>
      <c r="N97" s="56">
        <f>STDEV(L95:L97)</f>
        <v>13.013526362298606</v>
      </c>
      <c r="O97" s="56">
        <f>N97/SQRT(3)</f>
        <v>7.5133629483793918</v>
      </c>
      <c r="P97" s="56">
        <f t="shared" si="14"/>
        <v>123.79794705564559</v>
      </c>
      <c r="Q97" s="54">
        <f t="shared" si="16"/>
        <v>131.8814154511075</v>
      </c>
      <c r="R97" s="56">
        <f t="shared" si="17"/>
        <v>11.431750635876501</v>
      </c>
      <c r="S97" s="56">
        <f t="shared" si="18"/>
        <v>6.6001243069319733</v>
      </c>
      <c r="T97" s="56">
        <f>(P97-$P$58)/(D95-$D$56)</f>
        <v>0.3175492812255134</v>
      </c>
      <c r="U97" s="54">
        <f t="shared" si="19"/>
        <v>0.21897987512758532</v>
      </c>
      <c r="V97" s="130">
        <f t="shared" si="20"/>
        <v>0.13218037967253007</v>
      </c>
    </row>
    <row r="98" spans="2:28">
      <c r="B98" s="205" t="s">
        <v>37</v>
      </c>
      <c r="C98" s="208">
        <v>0.52638888888888891</v>
      </c>
      <c r="D98" s="211">
        <f>56/60+24+D95</f>
        <v>381.43333333333339</v>
      </c>
      <c r="E98" s="82" t="s">
        <v>104</v>
      </c>
      <c r="F98" s="42">
        <v>9.849999999999999E-2</v>
      </c>
      <c r="G98" s="42">
        <v>5.7500000000000009E-2</v>
      </c>
      <c r="H98" s="42">
        <f t="shared" si="12"/>
        <v>1.0326175040518635E-2</v>
      </c>
      <c r="I98" s="42">
        <v>1.19</v>
      </c>
      <c r="J98" s="51">
        <f t="shared" si="13"/>
        <v>1.467746</v>
      </c>
      <c r="K98" s="59">
        <f>J98*0.25/1000</f>
        <v>3.6693650000000001E-4</v>
      </c>
      <c r="L98" s="45">
        <f t="shared" si="24"/>
        <v>56.28317183228507</v>
      </c>
      <c r="M98" s="55"/>
      <c r="N98" s="47"/>
      <c r="O98" s="47"/>
      <c r="P98" s="56">
        <f t="shared" si="14"/>
        <v>82.609400324149078</v>
      </c>
      <c r="Q98" s="55"/>
      <c r="R98" s="47"/>
      <c r="S98" s="47"/>
      <c r="T98" s="56">
        <f>(P98-$P$56)/(D98-$D$56)</f>
        <v>0.18870642509199803</v>
      </c>
      <c r="U98" s="55"/>
      <c r="V98" s="131"/>
    </row>
    <row r="99" spans="2:28">
      <c r="B99" s="206"/>
      <c r="C99" s="209"/>
      <c r="D99" s="212"/>
      <c r="E99" s="82" t="s">
        <v>105</v>
      </c>
      <c r="F99" s="42">
        <v>8.950000000000001E-2</v>
      </c>
      <c r="G99" s="42">
        <v>5.2500000000000005E-2</v>
      </c>
      <c r="H99" s="42">
        <f t="shared" si="12"/>
        <v>9.3577795786061613E-3</v>
      </c>
      <c r="I99" s="42">
        <v>2.504</v>
      </c>
      <c r="J99" s="51">
        <f t="shared" si="13"/>
        <v>3.0884336000000001</v>
      </c>
      <c r="K99" s="44">
        <f>J99*0.1/1000</f>
        <v>3.0884336000000002E-4</v>
      </c>
      <c r="L99" s="45">
        <f t="shared" si="24"/>
        <v>60.598871729708939</v>
      </c>
      <c r="M99" s="55"/>
      <c r="N99" s="47"/>
      <c r="O99" s="47"/>
      <c r="P99" s="56"/>
      <c r="Q99" s="55"/>
      <c r="R99" s="47"/>
      <c r="S99" s="47"/>
      <c r="T99" s="56">
        <f>(P99-$P$57)/(D98-$D$56)</f>
        <v>-3.1367388615211454E-2</v>
      </c>
      <c r="U99" s="55"/>
      <c r="V99" s="131"/>
    </row>
    <row r="100" spans="2:28">
      <c r="B100" s="206"/>
      <c r="C100" s="210"/>
      <c r="D100" s="212"/>
      <c r="E100" s="85" t="s">
        <v>106</v>
      </c>
      <c r="F100" s="42">
        <v>4.0500000000000008E-2</v>
      </c>
      <c r="G100" s="42">
        <v>1.8500000000000003E-2</v>
      </c>
      <c r="H100" s="42">
        <f t="shared" si="12"/>
        <v>4.7500000000000016E-3</v>
      </c>
      <c r="I100" s="51">
        <v>2.0179999999999998</v>
      </c>
      <c r="J100" s="51">
        <f t="shared" si="13"/>
        <v>2.4890011999999997</v>
      </c>
      <c r="K100" s="44">
        <f>J100*0.1/1000</f>
        <v>2.4890011999999999E-4</v>
      </c>
      <c r="L100" s="45">
        <f t="shared" si="24"/>
        <v>38.167920529728967</v>
      </c>
      <c r="M100" s="55">
        <f>AVERAGE(L98:L100)</f>
        <v>51.683321363907659</v>
      </c>
      <c r="N100" s="47">
        <f>STDEV(L98:L100)</f>
        <v>11.901926784455698</v>
      </c>
      <c r="O100" s="47">
        <f>N100/SQRT(3)</f>
        <v>6.8715806328807147</v>
      </c>
      <c r="P100" s="56">
        <f t="shared" si="14"/>
        <v>95.000000000000028</v>
      </c>
      <c r="Q100" s="55">
        <f>AVERAGE(P98:P100)</f>
        <v>88.804700162074553</v>
      </c>
      <c r="R100" s="47">
        <f>STDEV(P98:P100)</f>
        <v>8.7614770537620448</v>
      </c>
      <c r="S100" s="47">
        <f>R100/SQRT(3)</f>
        <v>5.0584411354882457</v>
      </c>
      <c r="T100" s="56">
        <f>(P100-$P$58)/(D98-$D$56)</f>
        <v>0.21599430482628315</v>
      </c>
      <c r="U100" s="55">
        <f>AVERAGE(T98:T100)</f>
        <v>0.12444444710102325</v>
      </c>
      <c r="V100" s="131">
        <f>STDEV(T98:T100)/SQRT(3)</f>
        <v>7.8303157039473603E-2</v>
      </c>
    </row>
    <row r="101" spans="2:28">
      <c r="B101" s="206" t="s">
        <v>84</v>
      </c>
      <c r="C101" s="208">
        <v>0.52638888888888891</v>
      </c>
      <c r="D101" s="212">
        <f>D98+24</f>
        <v>405.43333333333339</v>
      </c>
      <c r="E101" s="82" t="s">
        <v>104</v>
      </c>
      <c r="F101" s="43">
        <v>0.14099999999999999</v>
      </c>
      <c r="G101" s="42">
        <v>7.4999999999999997E-2</v>
      </c>
      <c r="H101" s="42">
        <f t="shared" si="12"/>
        <v>1.5498379254457049E-2</v>
      </c>
      <c r="I101" s="42">
        <f>'Growth curves'!F47</f>
        <v>3.3759999999999999</v>
      </c>
      <c r="J101" s="51">
        <f t="shared" si="13"/>
        <v>4.1639584000000003</v>
      </c>
      <c r="K101" s="52">
        <f>J101*0.15/1000</f>
        <v>6.2459376E-4</v>
      </c>
      <c r="L101" s="45">
        <f t="shared" si="24"/>
        <v>49.627070415999832</v>
      </c>
      <c r="M101" s="55"/>
      <c r="N101" s="47"/>
      <c r="O101" s="47"/>
      <c r="P101" s="56">
        <f t="shared" si="14"/>
        <v>206.645056726094</v>
      </c>
      <c r="Q101" s="55"/>
      <c r="R101" s="47"/>
      <c r="S101" s="47"/>
      <c r="T101" s="56">
        <f>(P101-$P$56)/(D101-$D$56)</f>
        <v>0.49868403757618518</v>
      </c>
      <c r="U101" s="55"/>
      <c r="V101" s="131"/>
    </row>
    <row r="102" spans="2:28">
      <c r="B102" s="206"/>
      <c r="C102" s="209"/>
      <c r="D102" s="212"/>
      <c r="E102" s="82" t="s">
        <v>105</v>
      </c>
      <c r="F102" s="43">
        <v>0.193</v>
      </c>
      <c r="G102" s="42">
        <v>0.105</v>
      </c>
      <c r="H102" s="42">
        <f t="shared" si="12"/>
        <v>2.0984602917341978E-2</v>
      </c>
      <c r="I102" s="42">
        <f>'Growth curves'!G47</f>
        <v>3.3959999999999999</v>
      </c>
      <c r="J102" s="51">
        <f t="shared" si="13"/>
        <v>4.1886264000000004</v>
      </c>
      <c r="K102" s="52">
        <f>J102*0.15/1000</f>
        <v>6.2829396E-4</v>
      </c>
      <c r="L102" s="45">
        <f t="shared" si="24"/>
        <v>66.798677858822572</v>
      </c>
      <c r="M102" s="55"/>
      <c r="N102" s="47"/>
      <c r="O102" s="47"/>
      <c r="P102" s="56">
        <f t="shared" si="14"/>
        <v>279.79470556455971</v>
      </c>
      <c r="Q102" s="55"/>
      <c r="R102" s="47"/>
      <c r="S102" s="47"/>
      <c r="T102" s="56">
        <f>(P102-$P$57)/(D101-$D$56)</f>
        <v>0.69631942504030842</v>
      </c>
      <c r="U102" s="55"/>
      <c r="V102" s="131"/>
    </row>
    <row r="103" spans="2:28" ht="14" thickBot="1">
      <c r="B103" s="226"/>
      <c r="C103" s="227"/>
      <c r="D103" s="231"/>
      <c r="E103" s="85" t="s">
        <v>106</v>
      </c>
      <c r="F103" s="50">
        <v>0.17799999999999999</v>
      </c>
      <c r="G103" s="51">
        <v>9.6000000000000002E-2</v>
      </c>
      <c r="H103" s="42">
        <f t="shared" si="12"/>
        <v>1.9435980551053486E-2</v>
      </c>
      <c r="I103" s="51">
        <f>'Growth curves'!H47</f>
        <v>3.444</v>
      </c>
      <c r="J103" s="51">
        <f t="shared" si="13"/>
        <v>4.2478296000000002</v>
      </c>
      <c r="K103" s="52">
        <f>J103*0.15/1000</f>
        <v>6.3717443999999999E-4</v>
      </c>
      <c r="L103" s="45">
        <f t="shared" si="24"/>
        <v>61.00678034433863</v>
      </c>
      <c r="M103" s="55">
        <f>AVERAGE(L101:L103)</f>
        <v>59.144176206387016</v>
      </c>
      <c r="N103" s="47">
        <f>STDEV(L101:L103)</f>
        <v>8.7360171802507836</v>
      </c>
      <c r="O103" s="47">
        <f>N103/SQRT(3)</f>
        <v>5.043741870662986</v>
      </c>
      <c r="P103" s="56">
        <f t="shared" si="14"/>
        <v>259.14640734737986</v>
      </c>
      <c r="Q103" s="55">
        <f>AVERAGE(P101:P103)</f>
        <v>248.52872321267785</v>
      </c>
      <c r="R103" s="47">
        <f>STDEV(P101:P103)</f>
        <v>37.712984416324673</v>
      </c>
      <c r="S103" s="47">
        <f>R103/SQRT(3)</f>
        <v>21.773601704709211</v>
      </c>
      <c r="T103" s="56">
        <f>(P103-$P$58)/(D101-$D$56)</f>
        <v>0.62831285237482803</v>
      </c>
      <c r="U103" s="55">
        <f>AVERAGE(T101:T103)</f>
        <v>0.60777210499710721</v>
      </c>
      <c r="V103" s="131">
        <f>STDEV(T101:T103)/SQRT(3)</f>
        <v>5.7969469900543705E-2</v>
      </c>
    </row>
    <row r="104" spans="2:28" ht="15" thickBot="1">
      <c r="B104" s="217" t="s">
        <v>83</v>
      </c>
      <c r="C104" s="218"/>
      <c r="D104" s="218"/>
      <c r="E104" s="218"/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9"/>
      <c r="X104" s="204" t="s">
        <v>76</v>
      </c>
      <c r="Y104" s="204"/>
      <c r="Z104" s="204"/>
      <c r="AA104" s="204"/>
      <c r="AB104" s="204"/>
    </row>
    <row r="105" spans="2:28" ht="45" customHeight="1">
      <c r="B105" s="118" t="s">
        <v>1</v>
      </c>
      <c r="C105" s="119" t="s">
        <v>2</v>
      </c>
      <c r="D105" s="120" t="s">
        <v>3</v>
      </c>
      <c r="E105" s="121"/>
      <c r="F105" s="157">
        <v>620</v>
      </c>
      <c r="G105" s="120">
        <v>650</v>
      </c>
      <c r="H105" s="31" t="s">
        <v>67</v>
      </c>
      <c r="I105" s="123" t="s">
        <v>68</v>
      </c>
      <c r="J105" s="122" t="s">
        <v>12</v>
      </c>
      <c r="K105" s="122" t="s">
        <v>13</v>
      </c>
      <c r="L105" s="122" t="s">
        <v>69</v>
      </c>
      <c r="M105" s="122" t="s">
        <v>70</v>
      </c>
      <c r="N105" s="122" t="s">
        <v>71</v>
      </c>
      <c r="O105" s="124" t="s">
        <v>55</v>
      </c>
      <c r="P105" s="123" t="s">
        <v>72</v>
      </c>
      <c r="Q105" s="122" t="s">
        <v>73</v>
      </c>
      <c r="R105" s="122" t="s">
        <v>71</v>
      </c>
      <c r="S105" s="31" t="s">
        <v>55</v>
      </c>
      <c r="T105" s="31" t="s">
        <v>74</v>
      </c>
      <c r="U105" s="122" t="s">
        <v>75</v>
      </c>
      <c r="V105" s="125" t="s">
        <v>55</v>
      </c>
      <c r="X105" s="30" t="s">
        <v>3</v>
      </c>
      <c r="Y105" s="128" t="str">
        <f>M105</f>
        <v>Average specific CPC conc.</v>
      </c>
      <c r="Z105" s="30" t="s">
        <v>14</v>
      </c>
      <c r="AA105" s="128" t="str">
        <f>Q105</f>
        <v>Average total CPC</v>
      </c>
      <c r="AB105" s="30" t="s">
        <v>14</v>
      </c>
    </row>
    <row r="106" spans="2:28" ht="31" customHeight="1">
      <c r="B106" s="34"/>
      <c r="C106" s="35"/>
      <c r="D106" s="39"/>
      <c r="E106" s="126"/>
      <c r="F106" s="127" t="s">
        <v>15</v>
      </c>
      <c r="G106" s="39" t="s">
        <v>15</v>
      </c>
      <c r="H106" s="37" t="s">
        <v>16</v>
      </c>
      <c r="I106" s="37" t="s">
        <v>15</v>
      </c>
      <c r="J106" s="37" t="s">
        <v>17</v>
      </c>
      <c r="K106" s="37" t="s">
        <v>18</v>
      </c>
      <c r="L106" s="38" t="s">
        <v>77</v>
      </c>
      <c r="M106" s="38" t="s">
        <v>77</v>
      </c>
      <c r="N106" s="37"/>
      <c r="O106" s="39"/>
      <c r="P106" s="38" t="s">
        <v>78</v>
      </c>
      <c r="Q106" s="38" t="s">
        <v>78</v>
      </c>
      <c r="R106" s="37"/>
      <c r="S106" s="37"/>
      <c r="T106" s="38" t="s">
        <v>79</v>
      </c>
      <c r="U106" s="38" t="s">
        <v>79</v>
      </c>
      <c r="V106" s="36"/>
      <c r="X106" s="62">
        <f>D107</f>
        <v>23.416666666666668</v>
      </c>
      <c r="Y106" s="47">
        <v>45.092707896066486</v>
      </c>
      <c r="Z106" s="47">
        <f>O109</f>
        <v>4.7887860770958861</v>
      </c>
      <c r="AA106" s="47">
        <v>10.984602917341975</v>
      </c>
      <c r="AB106" s="47">
        <f>S109</f>
        <v>0.90062284391425096</v>
      </c>
    </row>
    <row r="107" spans="2:28">
      <c r="B107" s="206" t="s">
        <v>87</v>
      </c>
      <c r="C107" s="220">
        <v>0.4861111111111111</v>
      </c>
      <c r="D107" s="222">
        <f>12+11+25/60+D106</f>
        <v>23.416666666666668</v>
      </c>
      <c r="E107" s="82" t="s">
        <v>104</v>
      </c>
      <c r="F107" s="43">
        <v>0.11799999999999999</v>
      </c>
      <c r="G107" s="42">
        <v>7.6000000000000012E-2</v>
      </c>
      <c r="H107" s="42">
        <f>(F107-(0.474*G107))/5.34</f>
        <v>1.5351310861423221E-2</v>
      </c>
      <c r="I107" s="30">
        <f>'Growth curves'!F53</f>
        <v>0.187</v>
      </c>
      <c r="J107" s="42">
        <f>1.2334*I107</f>
        <v>0.23064580000000001</v>
      </c>
      <c r="K107" s="44">
        <f>J107*2/1000</f>
        <v>4.612916E-4</v>
      </c>
      <c r="L107" s="45">
        <f t="shared" ref="L107:L124" si="25">(H107*2)/K107</f>
        <v>66.557946693255289</v>
      </c>
      <c r="M107" s="46"/>
      <c r="P107" s="47">
        <f>L107*J107</f>
        <v>15.351310861423222</v>
      </c>
      <c r="Q107" s="46"/>
      <c r="U107" s="46"/>
      <c r="V107" s="41"/>
      <c r="X107" s="62">
        <f>D110</f>
        <v>95</v>
      </c>
      <c r="Y107" s="47">
        <v>43.083289002712903</v>
      </c>
      <c r="Z107" s="47">
        <f>O112</f>
        <v>7.6676820152821294</v>
      </c>
      <c r="AA107" s="47">
        <v>40.773845193508123</v>
      </c>
      <c r="AB107" s="47">
        <v>25.985773455789666</v>
      </c>
    </row>
    <row r="108" spans="2:28" ht="15" customHeight="1">
      <c r="B108" s="206"/>
      <c r="C108" s="220"/>
      <c r="D108" s="222"/>
      <c r="E108" s="82" t="s">
        <v>105</v>
      </c>
      <c r="F108" s="43">
        <v>9.4E-2</v>
      </c>
      <c r="G108" s="42">
        <v>5.7000000000000002E-2</v>
      </c>
      <c r="H108" s="42">
        <f t="shared" ref="H108:H151" si="26">(F108-(0.474*G108))/5.34</f>
        <v>1.2543445692883895E-2</v>
      </c>
      <c r="I108" s="30">
        <f>'Growth curves'!G53</f>
        <v>0.20300000000000001</v>
      </c>
      <c r="J108" s="42">
        <f t="shared" ref="J108:J151" si="27">1.2334*I108</f>
        <v>0.25038020000000005</v>
      </c>
      <c r="K108" s="44">
        <f>J108*2/1000</f>
        <v>5.0076040000000008E-4</v>
      </c>
      <c r="L108" s="45">
        <f t="shared" si="25"/>
        <v>50.09759435004802</v>
      </c>
      <c r="M108" s="46"/>
      <c r="P108" s="47">
        <f t="shared" ref="P108:P151" si="28">L108*J108</f>
        <v>12.543445692883896</v>
      </c>
      <c r="Q108" s="46"/>
      <c r="U108" s="46"/>
      <c r="V108" s="41"/>
      <c r="X108" s="62">
        <f>D113</f>
        <v>119.33333333333333</v>
      </c>
      <c r="Y108" s="47">
        <v>48.674567799999998</v>
      </c>
      <c r="Z108" s="47">
        <f>O115</f>
        <v>11.406675804585708</v>
      </c>
      <c r="AA108" s="47">
        <v>44.808551810237219</v>
      </c>
      <c r="AB108" s="47">
        <v>47.426568000000003</v>
      </c>
    </row>
    <row r="109" spans="2:28" ht="15" customHeight="1">
      <c r="B109" s="207"/>
      <c r="C109" s="221"/>
      <c r="D109" s="223"/>
      <c r="E109" s="85" t="s">
        <v>106</v>
      </c>
      <c r="F109" s="50">
        <v>0.11299999999999999</v>
      </c>
      <c r="G109" s="51">
        <v>6.8000000000000005E-2</v>
      </c>
      <c r="H109" s="42">
        <f t="shared" si="26"/>
        <v>1.5125093632958797E-2</v>
      </c>
      <c r="I109" s="51">
        <f>'Growth curves'!H53</f>
        <v>0.20399999999999999</v>
      </c>
      <c r="J109" s="51">
        <f t="shared" si="27"/>
        <v>0.25161359999999999</v>
      </c>
      <c r="K109" s="52">
        <f>J109*2/1000</f>
        <v>5.0322720000000004E-4</v>
      </c>
      <c r="L109" s="53">
        <f t="shared" si="25"/>
        <v>60.112385153102998</v>
      </c>
      <c r="M109" s="54">
        <f>AVERAGE(L107:L109)</f>
        <v>58.922642065468771</v>
      </c>
      <c r="N109" s="56">
        <f>STDEV(L107:L109)</f>
        <v>8.2944207921085251</v>
      </c>
      <c r="O109" s="56">
        <f>N109/SQRT(3)</f>
        <v>4.7887860770958861</v>
      </c>
      <c r="P109" s="56">
        <f t="shared" si="28"/>
        <v>15.125093632958796</v>
      </c>
      <c r="Q109" s="54">
        <f>AVERAGE(P107:P109)</f>
        <v>14.339950062421972</v>
      </c>
      <c r="R109" s="56">
        <f>STDEV(P107:P109)</f>
        <v>1.5599245241166573</v>
      </c>
      <c r="S109" s="56">
        <f>R109/SQRT(3)</f>
        <v>0.90062284391425096</v>
      </c>
      <c r="T109" s="48"/>
      <c r="U109" s="129"/>
      <c r="V109" s="49"/>
      <c r="X109" s="62">
        <f>D116</f>
        <v>143.08333333333331</v>
      </c>
      <c r="Y109" s="47">
        <v>48.674567799999998</v>
      </c>
      <c r="Z109" s="47">
        <f>O118</f>
        <v>12.678806925633978</v>
      </c>
      <c r="AA109" s="47">
        <v>79.381439220973789</v>
      </c>
      <c r="AB109" s="47">
        <f>S118</f>
        <v>14.768807700381389</v>
      </c>
    </row>
    <row r="110" spans="2:28">
      <c r="B110" s="205" t="s">
        <v>88</v>
      </c>
      <c r="C110" s="224">
        <v>0.46875</v>
      </c>
      <c r="D110" s="225">
        <f>12+11+35/60+24+24+D107</f>
        <v>95</v>
      </c>
      <c r="E110" s="82" t="s">
        <v>104</v>
      </c>
      <c r="F110" s="43">
        <v>0.11099999999999999</v>
      </c>
      <c r="G110" s="42">
        <v>8.2000000000000003E-2</v>
      </c>
      <c r="H110" s="42">
        <f t="shared" si="26"/>
        <v>1.3507865168539324E-2</v>
      </c>
      <c r="I110" s="42">
        <f>'Growth curves'!F54</f>
        <v>0.46600000000000003</v>
      </c>
      <c r="J110" s="42">
        <f t="shared" si="27"/>
        <v>0.57476440000000006</v>
      </c>
      <c r="K110" s="44">
        <f>J110*1/1000</f>
        <v>5.747644000000001E-4</v>
      </c>
      <c r="L110" s="45">
        <f t="shared" si="25"/>
        <v>47.003137871932644</v>
      </c>
      <c r="M110" s="55"/>
      <c r="N110" s="47"/>
      <c r="O110" s="47"/>
      <c r="P110" s="47">
        <f t="shared" si="28"/>
        <v>27.015730337078647</v>
      </c>
      <c r="Q110" s="55"/>
      <c r="R110" s="47"/>
      <c r="S110" s="47"/>
      <c r="T110" s="47">
        <f>(P110-$P$107)/(D110-$D$107)</f>
        <v>0.16294881688924925</v>
      </c>
      <c r="U110" s="55"/>
      <c r="V110" s="41"/>
      <c r="X110" s="62">
        <f>D119</f>
        <v>167.91666666666666</v>
      </c>
      <c r="Y110" s="47">
        <v>74.75200579596428</v>
      </c>
      <c r="Z110" s="47">
        <f>O121</f>
        <v>1.0033368054532246</v>
      </c>
      <c r="AA110" s="47">
        <v>76.192785881505003</v>
      </c>
      <c r="AB110" s="47">
        <f>S121</f>
        <v>2.7625227283331277</v>
      </c>
    </row>
    <row r="111" spans="2:28">
      <c r="B111" s="206"/>
      <c r="C111" s="220"/>
      <c r="D111" s="222"/>
      <c r="E111" s="82" t="s">
        <v>105</v>
      </c>
      <c r="F111" s="43">
        <v>0.10699999999999998</v>
      </c>
      <c r="G111" s="42">
        <v>8.5999999999999993E-2</v>
      </c>
      <c r="H111" s="42">
        <f t="shared" si="26"/>
        <v>1.2403745318352059E-2</v>
      </c>
      <c r="I111" s="42">
        <f>'Growth curves'!G54</f>
        <v>0.71699999999999997</v>
      </c>
      <c r="J111" s="42">
        <f t="shared" si="27"/>
        <v>0.88434780000000002</v>
      </c>
      <c r="K111" s="44">
        <f t="shared" ref="K111:K112" si="29">J111*1/1000</f>
        <v>8.8434780000000001E-4</v>
      </c>
      <c r="L111" s="45">
        <f t="shared" si="25"/>
        <v>28.051735569087317</v>
      </c>
      <c r="M111" s="46"/>
      <c r="N111" s="47"/>
      <c r="O111" s="47"/>
      <c r="P111" s="47">
        <f t="shared" si="28"/>
        <v>24.807490636704117</v>
      </c>
      <c r="Q111" s="55"/>
      <c r="R111" s="47"/>
      <c r="S111" s="47"/>
      <c r="T111" s="47">
        <f>(P111-$P$108)/(D110-$D$107)</f>
        <v>0.17132542412787272</v>
      </c>
      <c r="U111" s="55"/>
      <c r="V111" s="41"/>
      <c r="X111" s="62">
        <f>D122</f>
        <v>191.41666666666666</v>
      </c>
      <c r="Y111" s="47">
        <v>66.324702716590593</v>
      </c>
      <c r="Z111" s="47">
        <f>O124</f>
        <v>12.93124090841853</v>
      </c>
      <c r="AA111" s="47">
        <v>93.928675382676005</v>
      </c>
      <c r="AB111" s="47">
        <f>S124</f>
        <v>24.627584115786664</v>
      </c>
    </row>
    <row r="112" spans="2:28">
      <c r="B112" s="207"/>
      <c r="C112" s="221"/>
      <c r="D112" s="223"/>
      <c r="E112" s="85" t="s">
        <v>106</v>
      </c>
      <c r="F112" s="43">
        <v>8.0000000000000016E-2</v>
      </c>
      <c r="G112" s="42">
        <v>5.8999999999999997E-2</v>
      </c>
      <c r="H112" s="42">
        <f t="shared" si="26"/>
        <v>9.7441947565543099E-3</v>
      </c>
      <c r="I112" s="51">
        <f>'Growth curves'!H54</f>
        <v>0.73799999999999999</v>
      </c>
      <c r="J112" s="51">
        <f t="shared" si="27"/>
        <v>0.91024919999999998</v>
      </c>
      <c r="K112" s="44">
        <f t="shared" si="29"/>
        <v>9.1024919999999998E-4</v>
      </c>
      <c r="L112" s="45">
        <f t="shared" si="25"/>
        <v>21.409949619410398</v>
      </c>
      <c r="M112" s="54">
        <f>AVERAGE(L110:L112)</f>
        <v>32.154941020143454</v>
      </c>
      <c r="N112" s="56">
        <f>STDEV(L110:L112)</f>
        <v>13.280814826750769</v>
      </c>
      <c r="O112" s="56">
        <f>N112/SQRT(3)</f>
        <v>7.6676820152821294</v>
      </c>
      <c r="P112" s="56">
        <f t="shared" si="28"/>
        <v>19.488389513108618</v>
      </c>
      <c r="Q112" s="54">
        <f t="shared" ref="Q112:Q148" si="30">AVERAGE(P110:P112)</f>
        <v>23.770536828963795</v>
      </c>
      <c r="R112" s="56">
        <f t="shared" ref="R112:R148" si="31">STDEV(P110:P112)</f>
        <v>3.8693242135535475</v>
      </c>
      <c r="S112" s="56">
        <f t="shared" ref="S112:S148" si="32">R112/SQRT(3)</f>
        <v>2.2339553762770779</v>
      </c>
      <c r="T112" s="56">
        <f>(P112-$P$109)/(D110-$D$107)</f>
        <v>6.0954075159252469E-2</v>
      </c>
      <c r="U112" s="54">
        <f>AVERAGE(T110:T112)</f>
        <v>0.13174277205879148</v>
      </c>
      <c r="V112" s="130">
        <f>STDEV(T110:T112)/SQRT(3)</f>
        <v>3.5476854397191837E-2</v>
      </c>
      <c r="X112" s="62">
        <f>D125</f>
        <v>215.08333333333331</v>
      </c>
      <c r="Y112" s="42">
        <v>65.647679999999994</v>
      </c>
      <c r="Z112" s="47">
        <f>O127</f>
        <v>2.9698829410066341</v>
      </c>
      <c r="AA112" s="47">
        <v>119.67646999999999</v>
      </c>
      <c r="AB112" s="47">
        <f>S127</f>
        <v>7.6961200361833253</v>
      </c>
    </row>
    <row r="113" spans="2:28">
      <c r="B113" s="205" t="s">
        <v>89</v>
      </c>
      <c r="C113" s="224">
        <v>0.4826388888888889</v>
      </c>
      <c r="D113" s="211">
        <v>119.33333333333333</v>
      </c>
      <c r="E113" s="82" t="s">
        <v>104</v>
      </c>
      <c r="F113" s="43">
        <v>0.11099999999999999</v>
      </c>
      <c r="G113" s="42">
        <v>8.2000000000000003E-2</v>
      </c>
      <c r="H113" s="42">
        <f t="shared" si="26"/>
        <v>1.3507865168539324E-2</v>
      </c>
      <c r="I113" s="42">
        <f>'Growth curves'!F55</f>
        <v>0.70299999999999996</v>
      </c>
      <c r="J113" s="42">
        <f t="shared" si="27"/>
        <v>0.86708019999999997</v>
      </c>
      <c r="K113" s="59">
        <f>J113*0.25/1000</f>
        <v>2.1677004999999999E-4</v>
      </c>
      <c r="L113" s="60">
        <f t="shared" si="25"/>
        <v>124.62851919385842</v>
      </c>
      <c r="M113" s="55"/>
      <c r="N113" s="47"/>
      <c r="O113" s="47"/>
      <c r="P113" s="47">
        <f t="shared" si="28"/>
        <v>108.0629213483146</v>
      </c>
      <c r="Q113" s="55"/>
      <c r="R113" s="47"/>
      <c r="S113" s="47"/>
      <c r="T113" s="47">
        <f>(P113-$P$107)/(D113-$D$107)</f>
        <v>0.96658499204404569</v>
      </c>
      <c r="U113" s="55"/>
      <c r="V113" s="131"/>
      <c r="X113" s="62">
        <f>D128</f>
        <v>240.74999999999997</v>
      </c>
      <c r="Y113" s="47">
        <v>65.647679999999994</v>
      </c>
      <c r="Z113" s="47">
        <f>O130</f>
        <v>2.6776611559050436</v>
      </c>
      <c r="AA113" s="47">
        <v>129.75764699999999</v>
      </c>
      <c r="AB113" s="47">
        <f>S130</f>
        <v>6.2397600423085207</v>
      </c>
    </row>
    <row r="114" spans="2:28">
      <c r="B114" s="206"/>
      <c r="C114" s="220"/>
      <c r="D114" s="212"/>
      <c r="E114" s="82" t="s">
        <v>105</v>
      </c>
      <c r="F114" s="43">
        <v>0.10699999999999998</v>
      </c>
      <c r="G114" s="42">
        <v>8.5999999999999993E-2</v>
      </c>
      <c r="H114" s="42">
        <f t="shared" si="26"/>
        <v>1.2403745318352059E-2</v>
      </c>
      <c r="I114" s="42">
        <f>'Growth curves'!G55</f>
        <v>0.753</v>
      </c>
      <c r="J114" s="42">
        <f t="shared" si="27"/>
        <v>0.92875020000000008</v>
      </c>
      <c r="K114" s="59">
        <f t="shared" ref="K114:K115" si="33">J114*0.25/1000</f>
        <v>2.3218755000000002E-4</v>
      </c>
      <c r="L114" s="45">
        <f t="shared" si="25"/>
        <v>106.84246694839631</v>
      </c>
      <c r="M114" s="46"/>
      <c r="N114" s="47"/>
      <c r="O114" s="47"/>
      <c r="P114" s="47">
        <f t="shared" si="28"/>
        <v>99.229962546816466</v>
      </c>
      <c r="Q114" s="55"/>
      <c r="R114" s="47"/>
      <c r="S114" s="47"/>
      <c r="T114" s="47">
        <f>(P114-$P$108)/(D113-$D$107)</f>
        <v>0.90376907232596959</v>
      </c>
      <c r="U114" s="55"/>
      <c r="V114" s="131"/>
      <c r="X114" s="62">
        <f>D131</f>
        <v>263.75</v>
      </c>
      <c r="Y114" s="47">
        <v>74.493603411399903</v>
      </c>
      <c r="Z114" s="47">
        <f>O133</f>
        <v>1.0066346650857698</v>
      </c>
      <c r="AA114" s="47">
        <v>137.942916909779</v>
      </c>
      <c r="AB114" s="47">
        <f>S133</f>
        <v>6.0771808069601079</v>
      </c>
    </row>
    <row r="115" spans="2:28">
      <c r="B115" s="207"/>
      <c r="C115" s="221"/>
      <c r="D115" s="213"/>
      <c r="E115" s="85" t="s">
        <v>106</v>
      </c>
      <c r="F115" s="43">
        <v>8.0000000000000016E-2</v>
      </c>
      <c r="G115" s="42">
        <v>5.8999999999999997E-2</v>
      </c>
      <c r="H115" s="42">
        <f t="shared" si="26"/>
        <v>9.7441947565543099E-3</v>
      </c>
      <c r="I115" s="51">
        <f>'Growth curves'!H55</f>
        <v>0.74199999999999999</v>
      </c>
      <c r="J115" s="51">
        <f t="shared" si="27"/>
        <v>0.91518280000000007</v>
      </c>
      <c r="K115" s="59">
        <f t="shared" si="33"/>
        <v>2.2879570000000003E-4</v>
      </c>
      <c r="L115" s="45">
        <f t="shared" si="25"/>
        <v>85.178128404985827</v>
      </c>
      <c r="M115" s="54">
        <f>AVERAGE(L113:L115)</f>
        <v>105.54970484908019</v>
      </c>
      <c r="N115" s="56">
        <f>STDEV(L113:L115)</f>
        <v>19.756942039009047</v>
      </c>
      <c r="O115" s="56">
        <f>N115/SQRT(3)</f>
        <v>11.406675804585708</v>
      </c>
      <c r="P115" s="56">
        <f t="shared" si="28"/>
        <v>77.953558052434474</v>
      </c>
      <c r="Q115" s="54">
        <f t="shared" si="30"/>
        <v>95.082147315855181</v>
      </c>
      <c r="R115" s="56">
        <f t="shared" si="31"/>
        <v>15.477296854214249</v>
      </c>
      <c r="S115" s="56">
        <f t="shared" si="32"/>
        <v>8.9358215051083452</v>
      </c>
      <c r="T115" s="56">
        <f>(P115-$P$109)/(D113-$D$107)</f>
        <v>0.65503177500756582</v>
      </c>
      <c r="U115" s="54">
        <f t="shared" ref="U115:U148" si="34">AVERAGE(T113:T115)</f>
        <v>0.84179527979252711</v>
      </c>
      <c r="V115" s="130">
        <f t="shared" ref="V115:V148" si="35">STDEV(T113:T115)/SQRT(3)</f>
        <v>9.512608296742904E-2</v>
      </c>
      <c r="X115" s="62">
        <f>D134</f>
        <v>287.76666666666665</v>
      </c>
      <c r="Y115" s="47">
        <v>73.533722181445896</v>
      </c>
      <c r="Z115" s="47">
        <f>O136</f>
        <v>2.4034913327320138</v>
      </c>
      <c r="AA115" s="47">
        <v>156.71867214118501</v>
      </c>
      <c r="AB115" s="47">
        <f>S136</f>
        <v>6.0771808069601079</v>
      </c>
    </row>
    <row r="116" spans="2:28">
      <c r="B116" s="230" t="s">
        <v>90</v>
      </c>
      <c r="C116" s="224">
        <v>0.47222222222222227</v>
      </c>
      <c r="D116" s="211">
        <v>143.08333333333331</v>
      </c>
      <c r="E116" s="82" t="s">
        <v>104</v>
      </c>
      <c r="F116" s="57">
        <v>7.8E-2</v>
      </c>
      <c r="G116" s="58">
        <v>5.3999999999999992E-2</v>
      </c>
      <c r="H116" s="42">
        <f t="shared" si="26"/>
        <v>9.8134831460674164E-3</v>
      </c>
      <c r="I116" s="42">
        <f>'Growth curves'!F56</f>
        <v>0.88</v>
      </c>
      <c r="J116" s="42">
        <f t="shared" si="27"/>
        <v>1.0853920000000001</v>
      </c>
      <c r="K116" s="59">
        <f>I116*0.25/1000</f>
        <v>2.2000000000000001E-4</v>
      </c>
      <c r="L116" s="60">
        <f t="shared" si="25"/>
        <v>89.213483146067418</v>
      </c>
      <c r="M116" s="55"/>
      <c r="N116" s="47"/>
      <c r="O116" s="47"/>
      <c r="P116" s="47">
        <f t="shared" si="28"/>
        <v>96.831600898876417</v>
      </c>
      <c r="Q116" s="55"/>
      <c r="R116" s="47"/>
      <c r="S116" s="47"/>
      <c r="T116" s="47">
        <f>(P116-$P$107)/(D116-$D$107)</f>
        <v>0.68089378861381511</v>
      </c>
      <c r="U116" s="55"/>
      <c r="V116" s="131"/>
      <c r="X116" s="62">
        <f>D137</f>
        <v>312.06666666666666</v>
      </c>
      <c r="Y116" s="47">
        <v>72.634572835904606</v>
      </c>
      <c r="Z116" s="47">
        <f>O139</f>
        <v>2.8139801250946128</v>
      </c>
      <c r="AA116" s="47">
        <v>183.15433099225643</v>
      </c>
      <c r="AB116" s="47">
        <f>S139</f>
        <v>8.3196800564113627</v>
      </c>
    </row>
    <row r="117" spans="2:28">
      <c r="B117" s="228"/>
      <c r="C117" s="220"/>
      <c r="D117" s="212"/>
      <c r="E117" s="82" t="s">
        <v>105</v>
      </c>
      <c r="F117" s="43">
        <v>0.11800000000000001</v>
      </c>
      <c r="G117" s="42">
        <v>9.1999999999999985E-2</v>
      </c>
      <c r="H117" s="42">
        <f t="shared" si="26"/>
        <v>1.3931086142322101E-2</v>
      </c>
      <c r="I117" s="42">
        <f>'Growth curves'!G56</f>
        <v>0.93200000000000005</v>
      </c>
      <c r="J117" s="42">
        <f t="shared" si="27"/>
        <v>1.1495288000000001</v>
      </c>
      <c r="K117" s="59">
        <f t="shared" ref="K117:K118" si="36">I117*0.25/1000</f>
        <v>2.3300000000000003E-4</v>
      </c>
      <c r="L117" s="45">
        <f t="shared" si="25"/>
        <v>119.58013856070471</v>
      </c>
      <c r="M117" s="46"/>
      <c r="N117" s="47"/>
      <c r="O117" s="47"/>
      <c r="P117" s="47">
        <f t="shared" si="28"/>
        <v>137.46081318352063</v>
      </c>
      <c r="Q117" s="55"/>
      <c r="R117" s="47"/>
      <c r="S117" s="47"/>
      <c r="T117" s="47">
        <f>(P117-$P$108)/(D116-$D$107)</f>
        <v>1.0438777227629812</v>
      </c>
      <c r="U117" s="55"/>
      <c r="V117" s="131"/>
      <c r="X117" s="62">
        <f>D140</f>
        <v>336.06666666666666</v>
      </c>
      <c r="Y117" s="47">
        <v>71.647679999999994</v>
      </c>
      <c r="Z117" s="47">
        <f>O142</f>
        <v>3.1119404999374845</v>
      </c>
      <c r="AA117" s="47">
        <v>199.53657799999999</v>
      </c>
      <c r="AB117" s="47">
        <f>S142</f>
        <v>8.3196800564113573</v>
      </c>
    </row>
    <row r="118" spans="2:28">
      <c r="B118" s="228"/>
      <c r="C118" s="220"/>
      <c r="D118" s="212"/>
      <c r="E118" s="85" t="s">
        <v>106</v>
      </c>
      <c r="F118" s="50">
        <v>7.2999999999999995E-2</v>
      </c>
      <c r="G118" s="51">
        <v>5.1000000000000004E-2</v>
      </c>
      <c r="H118" s="42">
        <f t="shared" si="26"/>
        <v>9.1434456928838944E-3</v>
      </c>
      <c r="I118" s="51">
        <f>'Growth curves'!H56</f>
        <v>0.95099999999999996</v>
      </c>
      <c r="J118" s="51">
        <f t="shared" si="27"/>
        <v>1.1729634</v>
      </c>
      <c r="K118" s="59">
        <f t="shared" si="36"/>
        <v>2.3774999999999998E-4</v>
      </c>
      <c r="L118" s="45">
        <f t="shared" si="25"/>
        <v>76.916472705647905</v>
      </c>
      <c r="M118" s="54">
        <f>AVERAGE(L116:L118)</f>
        <v>95.23669813747334</v>
      </c>
      <c r="N118" s="56">
        <f>STDEV(L116:L118)</f>
        <v>21.960337774554205</v>
      </c>
      <c r="O118" s="56">
        <f>N118/SQRT(3)</f>
        <v>12.678806925633978</v>
      </c>
      <c r="P118" s="56">
        <f t="shared" si="28"/>
        <v>90.220207340823961</v>
      </c>
      <c r="Q118" s="54">
        <f t="shared" si="30"/>
        <v>108.17087380774034</v>
      </c>
      <c r="R118" s="56">
        <f t="shared" si="31"/>
        <v>25.580325304275036</v>
      </c>
      <c r="S118" s="56">
        <f t="shared" si="32"/>
        <v>14.768807700381389</v>
      </c>
      <c r="T118" s="56">
        <f>(P118-$P$109)/(D116-$D$107)</f>
        <v>0.62753576914650566</v>
      </c>
      <c r="U118" s="54">
        <f t="shared" si="34"/>
        <v>0.78410242684110065</v>
      </c>
      <c r="V118" s="130">
        <f t="shared" si="35"/>
        <v>0.13079777373085516</v>
      </c>
      <c r="X118" s="62">
        <f>D143</f>
        <v>360.0333333333333</v>
      </c>
      <c r="Y118" s="47">
        <v>73.647563426000005</v>
      </c>
      <c r="Z118" s="47">
        <f>O145</f>
        <v>1.8081692854910481</v>
      </c>
      <c r="AA118" s="47">
        <v>218.54768000000001</v>
      </c>
      <c r="AB118" s="47">
        <f>S145</f>
        <v>6.0771808069601079</v>
      </c>
    </row>
    <row r="119" spans="2:28">
      <c r="B119" s="228" t="s">
        <v>91</v>
      </c>
      <c r="C119" s="220">
        <v>0.50694444444444442</v>
      </c>
      <c r="D119" s="212">
        <f>50/60+24+D116</f>
        <v>167.91666666666666</v>
      </c>
      <c r="E119" s="82" t="s">
        <v>104</v>
      </c>
      <c r="F119" s="43">
        <v>0.10499999999999998</v>
      </c>
      <c r="G119" s="42">
        <v>6.6000000000000003E-2</v>
      </c>
      <c r="H119" s="42">
        <f t="shared" si="26"/>
        <v>1.3804494382022468E-2</v>
      </c>
      <c r="I119" s="42">
        <f>'Growth curves'!F57</f>
        <v>1.1359999999999999</v>
      </c>
      <c r="J119" s="42">
        <f t="shared" si="27"/>
        <v>1.4011423999999999</v>
      </c>
      <c r="K119" s="59">
        <f>I119*0.25/1000</f>
        <v>2.8399999999999996E-4</v>
      </c>
      <c r="L119" s="60">
        <f t="shared" si="25"/>
        <v>97.214749169172322</v>
      </c>
      <c r="M119" s="46"/>
      <c r="P119" s="47">
        <f t="shared" si="28"/>
        <v>136.2117069662921</v>
      </c>
      <c r="Q119" s="55"/>
      <c r="R119" s="47"/>
      <c r="S119" s="47"/>
      <c r="T119" s="47">
        <f>(P119-$P$107)/(D119-$D$107)</f>
        <v>0.83640412529321018</v>
      </c>
      <c r="U119" s="55"/>
      <c r="V119" s="131"/>
      <c r="X119" s="62">
        <f>D146</f>
        <v>384.0333333333333</v>
      </c>
      <c r="Y119" s="47">
        <v>71.547578000000001</v>
      </c>
      <c r="Z119" s="47">
        <f>O148</f>
        <v>3.4417695354524187</v>
      </c>
      <c r="AA119" s="47">
        <v>228.57579999999999</v>
      </c>
      <c r="AB119" s="47">
        <f>S148</f>
        <v>6.0771808069601079</v>
      </c>
    </row>
    <row r="120" spans="2:28" ht="15" customHeight="1">
      <c r="B120" s="228"/>
      <c r="C120" s="220"/>
      <c r="D120" s="212"/>
      <c r="E120" s="82" t="s">
        <v>105</v>
      </c>
      <c r="F120" s="43">
        <v>0.10999999999999999</v>
      </c>
      <c r="G120" s="42">
        <v>7.2000000000000008E-2</v>
      </c>
      <c r="H120" s="42">
        <f t="shared" si="26"/>
        <v>1.4208239700374528E-2</v>
      </c>
      <c r="I120" s="42">
        <f>'Growth curves'!G57</f>
        <v>1.1870000000000001</v>
      </c>
      <c r="J120" s="42">
        <f t="shared" si="27"/>
        <v>1.4640458000000001</v>
      </c>
      <c r="K120" s="59">
        <f t="shared" ref="K120:K121" si="37">I120*0.25/1000</f>
        <v>2.9675000000000003E-4</v>
      </c>
      <c r="L120" s="45">
        <f t="shared" si="25"/>
        <v>95.758987028640448</v>
      </c>
      <c r="M120" s="46"/>
      <c r="P120" s="47">
        <f t="shared" si="28"/>
        <v>140.19554277153554</v>
      </c>
      <c r="Q120" s="55"/>
      <c r="R120" s="47"/>
      <c r="S120" s="47"/>
      <c r="T120" s="47">
        <f>(P120-$P$108)/(D119-$D$107)</f>
        <v>0.88340551611523632</v>
      </c>
      <c r="U120" s="55"/>
      <c r="V120" s="131"/>
      <c r="X120" s="62">
        <f>D149</f>
        <v>408.0333333333333</v>
      </c>
      <c r="Y120" s="47">
        <v>70.534243200000006</v>
      </c>
      <c r="Z120" s="47">
        <f>O151</f>
        <v>3.495366597707279</v>
      </c>
      <c r="AA120" s="47">
        <v>231.65870000000001</v>
      </c>
      <c r="AB120" s="47">
        <f>S151</f>
        <v>6.0771808069601079</v>
      </c>
    </row>
    <row r="121" spans="2:28" ht="15" customHeight="1">
      <c r="B121" s="228"/>
      <c r="C121" s="220"/>
      <c r="D121" s="212"/>
      <c r="E121" s="85" t="s">
        <v>106</v>
      </c>
      <c r="F121" s="43">
        <v>0.10200000000000001</v>
      </c>
      <c r="G121" s="42">
        <v>6.6000000000000003E-2</v>
      </c>
      <c r="H121" s="42">
        <f t="shared" si="26"/>
        <v>1.3242696629213483E-2</v>
      </c>
      <c r="I121" s="51">
        <f>'Growth curves'!H57</f>
        <v>1.1299999999999999</v>
      </c>
      <c r="J121" s="51">
        <f t="shared" si="27"/>
        <v>1.393742</v>
      </c>
      <c r="K121" s="59">
        <f t="shared" si="37"/>
        <v>2.8249999999999998E-4</v>
      </c>
      <c r="L121" s="53">
        <f t="shared" si="25"/>
        <v>93.753604454608734</v>
      </c>
      <c r="M121" s="54">
        <f>AVERAGE(L119:L121)</f>
        <v>95.575780217473834</v>
      </c>
      <c r="N121" s="56">
        <f>STDEV(L119:L121)</f>
        <v>1.7378303241488349</v>
      </c>
      <c r="O121" s="56">
        <f>N121/SQRT(3)</f>
        <v>1.0033368054532246</v>
      </c>
      <c r="P121" s="56">
        <f t="shared" si="28"/>
        <v>130.66833617977528</v>
      </c>
      <c r="Q121" s="54">
        <f t="shared" si="30"/>
        <v>135.69186197253433</v>
      </c>
      <c r="R121" s="56">
        <f t="shared" si="31"/>
        <v>4.784829722536772</v>
      </c>
      <c r="S121" s="56">
        <f t="shared" si="32"/>
        <v>2.7625227283331277</v>
      </c>
      <c r="T121" s="56">
        <f>(P121-$P$109)/(D119-$D$107)</f>
        <v>0.79960721485686148</v>
      </c>
      <c r="U121" s="54">
        <f t="shared" si="34"/>
        <v>0.83980561875510273</v>
      </c>
      <c r="V121" s="130">
        <f t="shared" si="35"/>
        <v>2.4250198911732728E-2</v>
      </c>
      <c r="X121" s="62"/>
      <c r="Y121" s="47"/>
      <c r="Z121" s="47"/>
      <c r="AA121" s="47"/>
      <c r="AB121" s="47"/>
    </row>
    <row r="122" spans="2:28">
      <c r="B122" s="228" t="s">
        <v>92</v>
      </c>
      <c r="C122" s="220">
        <v>0.4861111111111111</v>
      </c>
      <c r="D122" s="212">
        <f>11+30/60+12+D119</f>
        <v>191.41666666666666</v>
      </c>
      <c r="E122" s="82" t="s">
        <v>104</v>
      </c>
      <c r="F122" s="43">
        <v>0.16499999999999998</v>
      </c>
      <c r="G122" s="42">
        <v>0.114</v>
      </c>
      <c r="H122" s="42">
        <f t="shared" si="26"/>
        <v>2.0779775280898874E-2</v>
      </c>
      <c r="I122" s="42">
        <f>'Growth curves'!F58</f>
        <v>1.254</v>
      </c>
      <c r="J122" s="42">
        <f t="shared" si="27"/>
        <v>1.5466836000000002</v>
      </c>
      <c r="K122" s="44">
        <f>I122*0.125/1000</f>
        <v>1.5674999999999999E-4</v>
      </c>
      <c r="L122" s="45">
        <f t="shared" si="25"/>
        <v>265.13269895883735</v>
      </c>
      <c r="M122" s="46"/>
      <c r="P122" s="47">
        <f t="shared" si="28"/>
        <v>410.07639730337087</v>
      </c>
      <c r="Q122" s="55"/>
      <c r="R122" s="47"/>
      <c r="S122" s="47"/>
      <c r="T122" s="47">
        <f>(P122-$P$107)/(D122-$D$107)</f>
        <v>2.3495540859639741</v>
      </c>
      <c r="U122" s="55"/>
      <c r="V122" s="131"/>
      <c r="X122" s="62"/>
      <c r="Y122" s="47"/>
      <c r="Z122" s="47"/>
      <c r="AA122" s="47"/>
      <c r="AB122" s="47"/>
    </row>
    <row r="123" spans="2:28" ht="14" customHeight="1">
      <c r="B123" s="228"/>
      <c r="C123" s="220"/>
      <c r="D123" s="212"/>
      <c r="E123" s="82" t="s">
        <v>105</v>
      </c>
      <c r="F123" s="43">
        <v>0.193</v>
      </c>
      <c r="G123" s="42">
        <v>0.14000000000000001</v>
      </c>
      <c r="H123" s="42">
        <f t="shared" si="26"/>
        <v>2.3715355805243445E-2</v>
      </c>
      <c r="I123" s="42">
        <f>'Growth curves'!G58</f>
        <v>1.3320000000000001</v>
      </c>
      <c r="J123" s="42">
        <f t="shared" si="27"/>
        <v>1.6428888000000001</v>
      </c>
      <c r="K123" s="44">
        <f>I123*0.125/1000</f>
        <v>1.6650000000000001E-4</v>
      </c>
      <c r="L123" s="45">
        <f t="shared" si="25"/>
        <v>284.86913880172307</v>
      </c>
      <c r="M123" s="46"/>
      <c r="P123" s="47">
        <f t="shared" si="28"/>
        <v>468.00831760299627</v>
      </c>
      <c r="Q123" s="55"/>
      <c r="R123" s="47"/>
      <c r="S123" s="47"/>
      <c r="T123" s="47">
        <f>(P123-$P$108)/(D122-$D$107)</f>
        <v>2.7111004280363833</v>
      </c>
      <c r="U123" s="55"/>
      <c r="V123" s="131"/>
      <c r="X123" s="62"/>
      <c r="Y123" s="47"/>
      <c r="Z123" s="47"/>
      <c r="AA123" s="47"/>
      <c r="AB123" s="47"/>
    </row>
    <row r="124" spans="2:28" ht="14" customHeight="1">
      <c r="B124" s="229"/>
      <c r="C124" s="221"/>
      <c r="D124" s="213"/>
      <c r="E124" s="85" t="s">
        <v>106</v>
      </c>
      <c r="F124" s="50">
        <v>0.15200000000000002</v>
      </c>
      <c r="G124" s="51">
        <v>0.10099999999999999</v>
      </c>
      <c r="H124" s="42">
        <f t="shared" si="26"/>
        <v>1.9499250936329593E-2</v>
      </c>
      <c r="I124" s="51">
        <f>'Growth curves'!H58</f>
        <v>1.2989999999999999</v>
      </c>
      <c r="J124" s="51">
        <f t="shared" si="27"/>
        <v>1.6021866</v>
      </c>
      <c r="K124" s="44">
        <f>I124*0.125/1000</f>
        <v>1.62375E-4</v>
      </c>
      <c r="L124" s="45">
        <f t="shared" si="25"/>
        <v>240.17553116341298</v>
      </c>
      <c r="M124" s="54">
        <f>AVERAGE(L122:L124)</f>
        <v>263.39245630799115</v>
      </c>
      <c r="N124" s="56">
        <f>STDEV(L122:L124)</f>
        <v>22.397566258294017</v>
      </c>
      <c r="O124" s="56">
        <f>N124/SQRT(3)</f>
        <v>12.93124090841853</v>
      </c>
      <c r="P124" s="56">
        <f t="shared" si="28"/>
        <v>384.80601767790267</v>
      </c>
      <c r="Q124" s="54">
        <f t="shared" si="30"/>
        <v>420.9635775280899</v>
      </c>
      <c r="R124" s="56">
        <f t="shared" si="31"/>
        <v>42.656226956218745</v>
      </c>
      <c r="S124" s="56">
        <f t="shared" si="32"/>
        <v>24.627584115786664</v>
      </c>
      <c r="T124" s="56">
        <f>(P124-$P$109)/(D122-$D$107)</f>
        <v>2.2004816907437137</v>
      </c>
      <c r="U124" s="54">
        <f t="shared" si="34"/>
        <v>2.4203787349146904</v>
      </c>
      <c r="V124" s="130">
        <f t="shared" si="35"/>
        <v>0.15159702272014255</v>
      </c>
    </row>
    <row r="125" spans="2:28">
      <c r="B125" s="205" t="s">
        <v>93</v>
      </c>
      <c r="C125" s="224">
        <v>0.47222222222222227</v>
      </c>
      <c r="D125" s="211">
        <v>215.08333333333331</v>
      </c>
      <c r="E125" s="82" t="s">
        <v>104</v>
      </c>
      <c r="F125" s="43">
        <v>0.16499999999999998</v>
      </c>
      <c r="G125" s="42">
        <v>0.114</v>
      </c>
      <c r="H125" s="42">
        <f t="shared" si="26"/>
        <v>2.0779775280898874E-2</v>
      </c>
      <c r="I125" s="42">
        <f>'Growth curves'!F59</f>
        <v>1.4239999999999999</v>
      </c>
      <c r="J125" s="42">
        <f t="shared" si="27"/>
        <v>1.7563616</v>
      </c>
      <c r="K125" s="59">
        <f>I125*0.1/1000</f>
        <v>1.4239999999999999E-4</v>
      </c>
      <c r="L125" s="45">
        <f t="shared" ref="L125:L151" si="38">(H125*0.5)/K125</f>
        <v>72.962694104279763</v>
      </c>
      <c r="M125" s="46"/>
      <c r="P125" s="47">
        <f t="shared" si="28"/>
        <v>128.14887415730337</v>
      </c>
      <c r="Q125" s="55"/>
      <c r="R125" s="47"/>
      <c r="S125" s="47"/>
      <c r="T125" s="47">
        <f>(P125-$P$107)/(D125-$D$107)</f>
        <v>0.58850902589154863</v>
      </c>
      <c r="U125" s="55"/>
      <c r="V125" s="131"/>
      <c r="Y125" s="47"/>
      <c r="Z125" s="47"/>
      <c r="AA125" s="47"/>
      <c r="AB125" s="47"/>
    </row>
    <row r="126" spans="2:28">
      <c r="B126" s="206"/>
      <c r="C126" s="220"/>
      <c r="D126" s="212"/>
      <c r="E126" s="82" t="s">
        <v>105</v>
      </c>
      <c r="F126" s="43">
        <v>0.193</v>
      </c>
      <c r="G126" s="42">
        <v>0.14000000000000001</v>
      </c>
      <c r="H126" s="42">
        <f t="shared" si="26"/>
        <v>2.3715355805243445E-2</v>
      </c>
      <c r="I126" s="42">
        <f>'Growth curves'!G59</f>
        <v>1.5920000000000001</v>
      </c>
      <c r="J126" s="42">
        <f t="shared" si="27"/>
        <v>1.9635728000000001</v>
      </c>
      <c r="K126" s="44">
        <f>I126*0.1/1000</f>
        <v>1.5920000000000002E-4</v>
      </c>
      <c r="L126" s="45">
        <f t="shared" si="38"/>
        <v>74.482901398377649</v>
      </c>
      <c r="M126" s="46"/>
      <c r="P126" s="47">
        <f t="shared" si="28"/>
        <v>146.25259925093633</v>
      </c>
      <c r="Q126" s="55"/>
      <c r="R126" s="47"/>
      <c r="S126" s="47"/>
      <c r="T126" s="47">
        <f>(P126-$P$108)/(D125-$D$107)</f>
        <v>0.69761297508549103</v>
      </c>
      <c r="U126" s="55"/>
      <c r="V126" s="131"/>
      <c r="Y126" s="47"/>
      <c r="Z126" s="47"/>
      <c r="AA126" s="47"/>
      <c r="AB126" s="47"/>
    </row>
    <row r="127" spans="2:28">
      <c r="B127" s="207"/>
      <c r="C127" s="221"/>
      <c r="D127" s="213"/>
      <c r="E127" s="85" t="s">
        <v>106</v>
      </c>
      <c r="F127" s="50">
        <v>0.15200000000000002</v>
      </c>
      <c r="G127" s="51">
        <v>0.10099999999999999</v>
      </c>
      <c r="H127" s="42">
        <f t="shared" si="26"/>
        <v>1.9499250936329593E-2</v>
      </c>
      <c r="I127" s="51">
        <f>'Growth curves'!H59</f>
        <v>1.502</v>
      </c>
      <c r="J127" s="51">
        <f t="shared" si="27"/>
        <v>1.8525668000000002</v>
      </c>
      <c r="K127" s="52">
        <f>I127*0.1/1000</f>
        <v>1.5019999999999999E-4</v>
      </c>
      <c r="L127" s="45">
        <f t="shared" si="38"/>
        <v>64.910955180857499</v>
      </c>
      <c r="M127" s="54">
        <f>AVERAGE(L125:L127)</f>
        <v>70.785516894504966</v>
      </c>
      <c r="N127" s="56">
        <f>STDEV(L125:L127)</f>
        <v>5.1439881463555723</v>
      </c>
      <c r="O127" s="56">
        <f>N127/SQRT(3)</f>
        <v>2.9698829410066341</v>
      </c>
      <c r="P127" s="56">
        <f t="shared" si="28"/>
        <v>120.25188052434461</v>
      </c>
      <c r="Q127" s="54">
        <f t="shared" si="30"/>
        <v>131.55111797752809</v>
      </c>
      <c r="R127" s="56">
        <f t="shared" si="31"/>
        <v>13.330070923818345</v>
      </c>
      <c r="S127" s="56">
        <f t="shared" si="32"/>
        <v>7.6961200361833253</v>
      </c>
      <c r="T127" s="56">
        <f>(P127-$P$109)/(D125-$D$107)</f>
        <v>0.54848758378114348</v>
      </c>
      <c r="U127" s="54">
        <f t="shared" si="34"/>
        <v>0.61153652825272775</v>
      </c>
      <c r="V127" s="130">
        <f t="shared" si="35"/>
        <v>4.4561923139470792E-2</v>
      </c>
    </row>
    <row r="128" spans="2:28">
      <c r="B128" s="205" t="s">
        <v>94</v>
      </c>
      <c r="C128" s="224">
        <v>0.54166666666666663</v>
      </c>
      <c r="D128" s="211">
        <v>240.74999999999997</v>
      </c>
      <c r="E128" s="82" t="s">
        <v>104</v>
      </c>
      <c r="F128" s="43">
        <v>0.16499999999999998</v>
      </c>
      <c r="G128" s="42">
        <v>0.114</v>
      </c>
      <c r="H128" s="42">
        <f t="shared" si="26"/>
        <v>2.0779775280898874E-2</v>
      </c>
      <c r="I128" s="42">
        <f>'Growth curves'!F60</f>
        <v>1.6339999999999999</v>
      </c>
      <c r="J128" s="42">
        <f t="shared" si="27"/>
        <v>2.0153756</v>
      </c>
      <c r="K128" s="59">
        <f>J128*0.1/1000</f>
        <v>2.0153756000000002E-4</v>
      </c>
      <c r="L128" s="45">
        <f t="shared" si="38"/>
        <v>51.553108216897314</v>
      </c>
      <c r="M128" s="46"/>
      <c r="P128" s="47">
        <f t="shared" si="28"/>
        <v>103.89887640449436</v>
      </c>
      <c r="Q128" s="55"/>
      <c r="R128" s="47"/>
      <c r="S128" s="47"/>
      <c r="T128" s="47">
        <f>(P128-$P$107)/(D128-$D$107)</f>
        <v>0.40742744881781201</v>
      </c>
      <c r="U128" s="55"/>
      <c r="V128" s="131"/>
    </row>
    <row r="129" spans="2:22">
      <c r="B129" s="206"/>
      <c r="C129" s="220"/>
      <c r="D129" s="212"/>
      <c r="E129" s="82" t="s">
        <v>105</v>
      </c>
      <c r="F129" s="43">
        <v>0.193</v>
      </c>
      <c r="G129" s="42">
        <v>0.14000000000000001</v>
      </c>
      <c r="H129" s="42">
        <f t="shared" si="26"/>
        <v>2.3715355805243445E-2</v>
      </c>
      <c r="I129" s="42">
        <f>'Growth curves'!G60</f>
        <v>1.837</v>
      </c>
      <c r="J129" s="42">
        <f t="shared" si="27"/>
        <v>2.2657558</v>
      </c>
      <c r="K129" s="44">
        <f>J129*0.1/1000</f>
        <v>2.2657558E-4</v>
      </c>
      <c r="L129" s="45">
        <f t="shared" si="38"/>
        <v>52.334315563141104</v>
      </c>
      <c r="M129" s="46"/>
      <c r="P129" s="47">
        <f t="shared" si="28"/>
        <v>118.57677902621722</v>
      </c>
      <c r="Q129" s="55"/>
      <c r="R129" s="47"/>
      <c r="S129" s="47"/>
      <c r="T129" s="47">
        <f>(P129-$P$108)/(D128-$D$107)</f>
        <v>0.4878834355828221</v>
      </c>
      <c r="U129" s="55"/>
      <c r="V129" s="131"/>
    </row>
    <row r="130" spans="2:22">
      <c r="B130" s="207"/>
      <c r="C130" s="221"/>
      <c r="D130" s="213"/>
      <c r="E130" s="85" t="s">
        <v>106</v>
      </c>
      <c r="F130" s="50">
        <v>0.15200000000000002</v>
      </c>
      <c r="G130" s="51">
        <v>0.10099999999999999</v>
      </c>
      <c r="H130" s="42">
        <f t="shared" si="26"/>
        <v>1.9499250936329593E-2</v>
      </c>
      <c r="I130" s="51">
        <f>'Growth curves'!H60</f>
        <v>1.7989999999999999</v>
      </c>
      <c r="J130" s="51">
        <f t="shared" si="27"/>
        <v>2.2188865999999998</v>
      </c>
      <c r="K130" s="52">
        <f>J130*0.1/1000</f>
        <v>2.2188865999999999E-4</v>
      </c>
      <c r="L130" s="45">
        <f t="shared" si="38"/>
        <v>43.939268767339428</v>
      </c>
      <c r="M130" s="54">
        <f>AVERAGE(L128:L130)</f>
        <v>49.275564182459277</v>
      </c>
      <c r="N130" s="56">
        <f>STDEV(L128:L130)</f>
        <v>4.6378451674811441</v>
      </c>
      <c r="O130" s="56">
        <f>N130/SQRT(3)</f>
        <v>2.6776611559050436</v>
      </c>
      <c r="P130" s="56">
        <f t="shared" si="28"/>
        <v>97.496254681647969</v>
      </c>
      <c r="Q130" s="54">
        <f t="shared" si="30"/>
        <v>106.65730337078651</v>
      </c>
      <c r="R130" s="56">
        <f t="shared" si="31"/>
        <v>10.807581420316485</v>
      </c>
      <c r="S130" s="56">
        <f t="shared" si="32"/>
        <v>6.2397600423085207</v>
      </c>
      <c r="T130" s="56">
        <f>(P130-$P$109)/(D128-$D$107)</f>
        <v>0.37900840973323241</v>
      </c>
      <c r="U130" s="54">
        <f t="shared" si="34"/>
        <v>0.42477309804462221</v>
      </c>
      <c r="V130" s="130">
        <f t="shared" si="35"/>
        <v>3.2604173934031873E-2</v>
      </c>
    </row>
    <row r="131" spans="2:22">
      <c r="B131" s="230" t="s">
        <v>95</v>
      </c>
      <c r="C131" s="224">
        <v>0.5</v>
      </c>
      <c r="D131" s="211">
        <f>23+D128</f>
        <v>263.75</v>
      </c>
      <c r="E131" s="82" t="s">
        <v>104</v>
      </c>
      <c r="F131" s="57">
        <v>9.8000000000000004E-2</v>
      </c>
      <c r="G131" s="58">
        <v>6.5000000000000002E-2</v>
      </c>
      <c r="H131" s="42">
        <f t="shared" si="26"/>
        <v>1.2582397003745319E-2</v>
      </c>
      <c r="I131" s="42">
        <f>'Growth curves'!F61</f>
        <v>1.8779999999999999</v>
      </c>
      <c r="J131" s="42">
        <f t="shared" si="27"/>
        <v>2.3163252000000001</v>
      </c>
      <c r="K131" s="59">
        <f t="shared" ref="K131:K136" si="39">J131*0.075/1000</f>
        <v>1.7372439000000001E-4</v>
      </c>
      <c r="L131" s="45">
        <f t="shared" si="38"/>
        <v>36.21367444071992</v>
      </c>
      <c r="M131" s="46"/>
      <c r="P131" s="47">
        <f t="shared" si="28"/>
        <v>83.882646691635458</v>
      </c>
      <c r="Q131" s="55"/>
      <c r="R131" s="47"/>
      <c r="S131" s="47"/>
      <c r="T131" s="47">
        <f>(P131-$P$107)/(D131-$D$107)</f>
        <v>0.28515118930740185</v>
      </c>
      <c r="U131" s="55"/>
      <c r="V131" s="131"/>
    </row>
    <row r="132" spans="2:22">
      <c r="B132" s="228"/>
      <c r="C132" s="220"/>
      <c r="D132" s="212"/>
      <c r="E132" s="82" t="s">
        <v>105</v>
      </c>
      <c r="F132" s="43">
        <v>0.121</v>
      </c>
      <c r="G132" s="42">
        <v>7.8000000000000014E-2</v>
      </c>
      <c r="H132" s="42">
        <f t="shared" si="26"/>
        <v>1.5735580524344567E-2</v>
      </c>
      <c r="I132" s="42">
        <f>'Growth curves'!G61</f>
        <v>2.15</v>
      </c>
      <c r="J132" s="42">
        <f t="shared" si="27"/>
        <v>2.6518100000000002</v>
      </c>
      <c r="K132" s="44">
        <f t="shared" si="39"/>
        <v>1.9888575E-4</v>
      </c>
      <c r="L132" s="45">
        <f t="shared" si="38"/>
        <v>39.559346319041374</v>
      </c>
      <c r="M132" s="46"/>
      <c r="P132" s="47">
        <f t="shared" si="28"/>
        <v>104.90387016229711</v>
      </c>
      <c r="Q132" s="55"/>
      <c r="R132" s="47"/>
      <c r="S132" s="47"/>
      <c r="T132" s="47">
        <f>(P132-$P$108)/(D131-$D$107)</f>
        <v>0.38430135008077621</v>
      </c>
      <c r="U132" s="55"/>
      <c r="V132" s="131"/>
    </row>
    <row r="133" spans="2:22">
      <c r="B133" s="229"/>
      <c r="C133" s="221"/>
      <c r="D133" s="213"/>
      <c r="E133" s="85" t="s">
        <v>106</v>
      </c>
      <c r="F133" s="43">
        <v>0.11099999999999999</v>
      </c>
      <c r="G133" s="42">
        <v>7.3000000000000009E-2</v>
      </c>
      <c r="H133" s="42">
        <f t="shared" si="26"/>
        <v>1.4306741573033707E-2</v>
      </c>
      <c r="I133" s="51">
        <f>'Growth curves'!H61</f>
        <v>2.0880000000000001</v>
      </c>
      <c r="J133" s="51">
        <f t="shared" si="27"/>
        <v>2.5753392000000002</v>
      </c>
      <c r="K133" s="52">
        <f t="shared" si="39"/>
        <v>1.9315044000000001E-4</v>
      </c>
      <c r="L133" s="45">
        <f t="shared" si="38"/>
        <v>37.035229050044379</v>
      </c>
      <c r="M133" s="54">
        <f>AVERAGE(L131:L133)</f>
        <v>37.602749936601889</v>
      </c>
      <c r="N133" s="56">
        <f>STDEV(L131:L133)</f>
        <v>1.743542384588634</v>
      </c>
      <c r="O133" s="56">
        <f>N133/SQRT(3)</f>
        <v>1.0066346650857698</v>
      </c>
      <c r="P133" s="56">
        <f t="shared" si="28"/>
        <v>95.378277153558059</v>
      </c>
      <c r="Q133" s="54">
        <f t="shared" si="30"/>
        <v>94.721598002496876</v>
      </c>
      <c r="R133" s="56">
        <f t="shared" si="31"/>
        <v>10.525985924437336</v>
      </c>
      <c r="S133" s="56">
        <f t="shared" si="32"/>
        <v>6.0771808069601079</v>
      </c>
      <c r="T133" s="56">
        <f>(P133-$P$109)/(D131-$D$107)</f>
        <v>0.33392448066823549</v>
      </c>
      <c r="U133" s="54">
        <f t="shared" si="34"/>
        <v>0.33445900668547118</v>
      </c>
      <c r="V133" s="130">
        <f t="shared" si="35"/>
        <v>2.8623433778949974E-2</v>
      </c>
    </row>
    <row r="134" spans="2:22">
      <c r="B134" s="205" t="s">
        <v>96</v>
      </c>
      <c r="C134" s="224">
        <v>0.49513888888888885</v>
      </c>
      <c r="D134" s="211">
        <v>287.76666666666665</v>
      </c>
      <c r="E134" s="82" t="s">
        <v>104</v>
      </c>
      <c r="F134" s="57">
        <v>9.8000000000000004E-2</v>
      </c>
      <c r="G134" s="58">
        <v>6.5000000000000002E-2</v>
      </c>
      <c r="H134" s="42">
        <f t="shared" si="26"/>
        <v>1.2582397003745319E-2</v>
      </c>
      <c r="I134" s="42">
        <f>'Growth curves'!F62</f>
        <v>2.2360000000000002</v>
      </c>
      <c r="J134" s="42">
        <f t="shared" si="27"/>
        <v>2.7578824000000002</v>
      </c>
      <c r="K134" s="59">
        <f t="shared" si="39"/>
        <v>2.0684118000000002E-4</v>
      </c>
      <c r="L134" s="45">
        <f t="shared" si="38"/>
        <v>30.415599552626119</v>
      </c>
      <c r="M134" s="46"/>
      <c r="P134" s="47">
        <f t="shared" si="28"/>
        <v>83.882646691635458</v>
      </c>
      <c r="Q134" s="55"/>
      <c r="R134" s="47"/>
      <c r="S134" s="47"/>
      <c r="T134" s="47">
        <f>(P134-$P$107)/(D134-$D$107)</f>
        <v>0.25924469767434177</v>
      </c>
      <c r="U134" s="55"/>
      <c r="V134" s="131"/>
    </row>
    <row r="135" spans="2:22">
      <c r="B135" s="206"/>
      <c r="C135" s="220"/>
      <c r="D135" s="212"/>
      <c r="E135" s="82" t="s">
        <v>105</v>
      </c>
      <c r="F135" s="43">
        <v>0.121</v>
      </c>
      <c r="G135" s="42">
        <v>7.8000000000000014E-2</v>
      </c>
      <c r="H135" s="42">
        <f t="shared" si="26"/>
        <v>1.5735580524344567E-2</v>
      </c>
      <c r="I135" s="42">
        <f>'Growth curves'!G62</f>
        <v>2.198</v>
      </c>
      <c r="J135" s="42">
        <f t="shared" si="27"/>
        <v>2.7110132</v>
      </c>
      <c r="K135" s="44">
        <f t="shared" si="39"/>
        <v>2.0332599E-4</v>
      </c>
      <c r="L135" s="45">
        <f t="shared" si="38"/>
        <v>38.695447946287061</v>
      </c>
      <c r="M135" s="46"/>
      <c r="P135" s="47">
        <f t="shared" si="28"/>
        <v>104.90387016229711</v>
      </c>
      <c r="Q135" s="55"/>
      <c r="R135" s="47"/>
      <c r="S135" s="47"/>
      <c r="T135" s="47">
        <f>(P135-$P$108)/(D134-$D$107)</f>
        <v>0.34938689037039239</v>
      </c>
      <c r="U135" s="55"/>
      <c r="V135" s="131"/>
    </row>
    <row r="136" spans="2:22">
      <c r="B136" s="207"/>
      <c r="C136" s="221"/>
      <c r="D136" s="213"/>
      <c r="E136" s="85" t="s">
        <v>106</v>
      </c>
      <c r="F136" s="43">
        <v>0.11099999999999999</v>
      </c>
      <c r="G136" s="42">
        <v>7.3000000000000009E-2</v>
      </c>
      <c r="H136" s="42">
        <f t="shared" si="26"/>
        <v>1.4306741573033707E-2</v>
      </c>
      <c r="I136" s="51">
        <f>'Growth curves'!H62</f>
        <v>2.2879999999999998</v>
      </c>
      <c r="J136" s="51">
        <f t="shared" si="27"/>
        <v>2.8220191999999997</v>
      </c>
      <c r="K136" s="52">
        <f t="shared" si="39"/>
        <v>2.1165143999999996E-4</v>
      </c>
      <c r="L136" s="45">
        <f t="shared" si="38"/>
        <v>33.79788385336218</v>
      </c>
      <c r="M136" s="54">
        <f>AVERAGE(L134:L136)</f>
        <v>34.302977117425122</v>
      </c>
      <c r="N136" s="56">
        <f>STDEV(L134:L136)</f>
        <v>4.162969103843281</v>
      </c>
      <c r="O136" s="56">
        <f>N136/SQRT(3)</f>
        <v>2.4034913327320138</v>
      </c>
      <c r="P136" s="56">
        <f t="shared" si="28"/>
        <v>95.378277153558045</v>
      </c>
      <c r="Q136" s="54">
        <f t="shared" si="30"/>
        <v>94.721598002496876</v>
      </c>
      <c r="R136" s="56">
        <f t="shared" si="31"/>
        <v>10.525985924437336</v>
      </c>
      <c r="S136" s="56">
        <f t="shared" si="32"/>
        <v>6.0771808069601079</v>
      </c>
      <c r="T136" s="56">
        <f>(P136-$P$109)/(D134-$D$107)</f>
        <v>0.30358684895252225</v>
      </c>
      <c r="U136" s="54">
        <f t="shared" si="34"/>
        <v>0.30407281233241878</v>
      </c>
      <c r="V136" s="130">
        <f t="shared" si="35"/>
        <v>2.6022944019447949E-2</v>
      </c>
    </row>
    <row r="137" spans="2:22">
      <c r="B137" s="205" t="s">
        <v>103</v>
      </c>
      <c r="C137" s="224">
        <v>0.50763888888888886</v>
      </c>
      <c r="D137" s="211">
        <v>312.06666666666666</v>
      </c>
      <c r="E137" s="82" t="s">
        <v>104</v>
      </c>
      <c r="F137" s="43">
        <v>0.16499999999999998</v>
      </c>
      <c r="G137" s="42">
        <v>0.114</v>
      </c>
      <c r="H137" s="42">
        <f t="shared" si="26"/>
        <v>2.0779775280898874E-2</v>
      </c>
      <c r="I137" s="42">
        <f>'Growth curves'!F63</f>
        <v>2.3439999999999999</v>
      </c>
      <c r="J137" s="42">
        <f t="shared" si="27"/>
        <v>2.8910895999999999</v>
      </c>
      <c r="K137" s="59">
        <f t="shared" ref="K137:K139" si="40">J137*0.075/1000</f>
        <v>2.1683171999999998E-4</v>
      </c>
      <c r="L137" s="45">
        <f t="shared" si="38"/>
        <v>47.916825270995581</v>
      </c>
      <c r="M137" s="46"/>
      <c r="P137" s="47">
        <f t="shared" si="28"/>
        <v>138.53183520599251</v>
      </c>
      <c r="Q137" s="55"/>
      <c r="R137" s="47"/>
      <c r="S137" s="47"/>
      <c r="T137" s="47">
        <f>(P137-$P$107)/(D137-$D$107)</f>
        <v>0.42674700968151497</v>
      </c>
      <c r="U137" s="55"/>
      <c r="V137" s="131"/>
    </row>
    <row r="138" spans="2:22">
      <c r="B138" s="206"/>
      <c r="C138" s="220"/>
      <c r="D138" s="212"/>
      <c r="E138" s="82" t="s">
        <v>105</v>
      </c>
      <c r="F138" s="43">
        <v>0.193</v>
      </c>
      <c r="G138" s="42">
        <v>0.14000000000000001</v>
      </c>
      <c r="H138" s="42">
        <f t="shared" si="26"/>
        <v>2.3715355805243445E-2</v>
      </c>
      <c r="I138" s="42">
        <f>'Growth curves'!G63</f>
        <v>2.3879999999999999</v>
      </c>
      <c r="J138" s="42">
        <f t="shared" si="27"/>
        <v>2.9453592</v>
      </c>
      <c r="K138" s="44">
        <f t="shared" si="40"/>
        <v>2.2090194E-4</v>
      </c>
      <c r="L138" s="45">
        <f t="shared" si="38"/>
        <v>53.678468838352991</v>
      </c>
      <c r="M138" s="46"/>
      <c r="P138" s="47">
        <f t="shared" si="28"/>
        <v>158.10237203495629</v>
      </c>
      <c r="Q138" s="55"/>
      <c r="R138" s="47"/>
      <c r="S138" s="47"/>
      <c r="T138" s="47">
        <f>(P138-$P$108)/(D137-$D$107)</f>
        <v>0.50427481843780497</v>
      </c>
      <c r="U138" s="55"/>
      <c r="V138" s="131"/>
    </row>
    <row r="139" spans="2:22">
      <c r="B139" s="207"/>
      <c r="C139" s="221"/>
      <c r="D139" s="213"/>
      <c r="E139" s="85" t="s">
        <v>106</v>
      </c>
      <c r="F139" s="50">
        <v>0.15200000000000002</v>
      </c>
      <c r="G139" s="51">
        <v>0.10099999999999999</v>
      </c>
      <c r="H139" s="42">
        <f t="shared" si="26"/>
        <v>1.9499250936329593E-2</v>
      </c>
      <c r="I139" s="51">
        <f>'Growth curves'!H63</f>
        <v>2.3959999999999999</v>
      </c>
      <c r="J139" s="51">
        <f t="shared" si="27"/>
        <v>2.9552263999999999</v>
      </c>
      <c r="K139" s="52">
        <f t="shared" si="40"/>
        <v>2.2164198E-4</v>
      </c>
      <c r="L139" s="45">
        <f t="shared" si="38"/>
        <v>43.988171681938574</v>
      </c>
      <c r="M139" s="54">
        <f>AVERAGE(L137:L139)</f>
        <v>48.527821930429049</v>
      </c>
      <c r="N139" s="56">
        <f>STDEV(L137:L139)</f>
        <v>4.8739565481528944</v>
      </c>
      <c r="O139" s="56">
        <f>N139/SQRT(3)</f>
        <v>2.8139801250946128</v>
      </c>
      <c r="P139" s="56">
        <f t="shared" si="28"/>
        <v>129.99500624219726</v>
      </c>
      <c r="Q139" s="54">
        <f t="shared" si="30"/>
        <v>142.20973782771534</v>
      </c>
      <c r="R139" s="56">
        <f t="shared" si="31"/>
        <v>14.410108560421984</v>
      </c>
      <c r="S139" s="56">
        <f t="shared" si="32"/>
        <v>8.3196800564113627</v>
      </c>
      <c r="T139" s="56">
        <f>(P139-$P$109)/(D137-$D$107)</f>
        <v>0.39795569932180314</v>
      </c>
      <c r="U139" s="54">
        <f t="shared" si="34"/>
        <v>0.44299250914704102</v>
      </c>
      <c r="V139" s="130">
        <f t="shared" si="35"/>
        <v>3.1748364588137651E-2</v>
      </c>
    </row>
    <row r="140" spans="2:22">
      <c r="B140" s="205" t="s">
        <v>98</v>
      </c>
      <c r="C140" s="224">
        <v>0.50763888888888886</v>
      </c>
      <c r="D140" s="211">
        <v>336.06666666666666</v>
      </c>
      <c r="E140" s="82" t="s">
        <v>104</v>
      </c>
      <c r="F140" s="43">
        <v>0.16499999999999998</v>
      </c>
      <c r="G140" s="42">
        <v>0.114</v>
      </c>
      <c r="H140" s="42">
        <f t="shared" si="26"/>
        <v>2.0779775280898874E-2</v>
      </c>
      <c r="I140" s="42">
        <f>'Growth curves'!F64</f>
        <v>2.504</v>
      </c>
      <c r="J140" s="42">
        <f t="shared" si="27"/>
        <v>3.0884336000000001</v>
      </c>
      <c r="K140" s="59">
        <f t="shared" ref="K140:K148" si="41">J140*0.075/1000</f>
        <v>2.3163252000000002E-4</v>
      </c>
      <c r="L140" s="45">
        <f t="shared" si="38"/>
        <v>44.855047298407996</v>
      </c>
      <c r="M140" s="46"/>
      <c r="P140" s="47">
        <f t="shared" si="28"/>
        <v>138.53183520599248</v>
      </c>
      <c r="Q140" s="55"/>
      <c r="R140" s="47"/>
      <c r="S140" s="47"/>
      <c r="T140" s="47">
        <f>(P140-$P$107)/(D140-$D$107)</f>
        <v>0.39398856339219335</v>
      </c>
      <c r="U140" s="55"/>
      <c r="V140" s="131"/>
    </row>
    <row r="141" spans="2:22">
      <c r="B141" s="206"/>
      <c r="C141" s="220"/>
      <c r="D141" s="212"/>
      <c r="E141" s="82" t="s">
        <v>105</v>
      </c>
      <c r="F141" s="43">
        <v>0.193</v>
      </c>
      <c r="G141" s="42">
        <v>0.14000000000000001</v>
      </c>
      <c r="H141" s="42">
        <f t="shared" si="26"/>
        <v>2.3715355805243445E-2</v>
      </c>
      <c r="I141" s="42">
        <f>'Growth curves'!G64</f>
        <v>2.4239999999999999</v>
      </c>
      <c r="J141" s="42">
        <f t="shared" si="27"/>
        <v>2.9897616</v>
      </c>
      <c r="K141" s="44">
        <f t="shared" si="41"/>
        <v>2.2423212E-4</v>
      </c>
      <c r="L141" s="45">
        <f t="shared" si="38"/>
        <v>52.881263855605177</v>
      </c>
      <c r="M141" s="46"/>
      <c r="P141" s="47">
        <f t="shared" si="28"/>
        <v>158.10237203495629</v>
      </c>
      <c r="Q141" s="55"/>
      <c r="R141" s="47"/>
      <c r="S141" s="47"/>
      <c r="T141" s="47">
        <f>(P141-$P$108)/(D140-$D$107)</f>
        <v>0.46556509304996774</v>
      </c>
      <c r="U141" s="55"/>
      <c r="V141" s="131"/>
    </row>
    <row r="142" spans="2:22">
      <c r="B142" s="207"/>
      <c r="C142" s="221"/>
      <c r="D142" s="213"/>
      <c r="E142" s="85" t="s">
        <v>106</v>
      </c>
      <c r="F142" s="50">
        <v>0.15200000000000002</v>
      </c>
      <c r="G142" s="51">
        <v>0.10099999999999999</v>
      </c>
      <c r="H142" s="42">
        <f t="shared" si="26"/>
        <v>1.9499250936329593E-2</v>
      </c>
      <c r="I142" s="51">
        <f>'Growth curves'!H64</f>
        <v>2.472</v>
      </c>
      <c r="J142" s="51">
        <f t="shared" si="27"/>
        <v>3.0489648000000003</v>
      </c>
      <c r="K142" s="52">
        <f t="shared" si="41"/>
        <v>2.2867236000000002E-4</v>
      </c>
      <c r="L142" s="45">
        <f t="shared" si="38"/>
        <v>42.635784526668616</v>
      </c>
      <c r="M142" s="54">
        <f>AVERAGE(L140:L142)</f>
        <v>46.79069856022727</v>
      </c>
      <c r="N142" s="56">
        <f>STDEV(L140:L142)</f>
        <v>5.3900390560230154</v>
      </c>
      <c r="O142" s="56">
        <f>N142/SQRT(3)</f>
        <v>3.1119404999374845</v>
      </c>
      <c r="P142" s="56">
        <f t="shared" si="28"/>
        <v>129.99500624219729</v>
      </c>
      <c r="Q142" s="54">
        <f t="shared" si="30"/>
        <v>142.20973782771534</v>
      </c>
      <c r="R142" s="56">
        <f t="shared" si="31"/>
        <v>14.410108560421975</v>
      </c>
      <c r="S142" s="56">
        <f t="shared" si="32"/>
        <v>8.3196800564113573</v>
      </c>
      <c r="T142" s="56">
        <f>(P142-$P$109)/(D140-$D$107)</f>
        <v>0.3674073648144523</v>
      </c>
      <c r="U142" s="54">
        <f t="shared" si="34"/>
        <v>0.40898700708553776</v>
      </c>
      <c r="V142" s="130">
        <f t="shared" si="35"/>
        <v>2.931125999797253E-2</v>
      </c>
    </row>
    <row r="143" spans="2:22">
      <c r="B143" s="205" t="s">
        <v>99</v>
      </c>
      <c r="C143" s="224">
        <v>0.50624999999999998</v>
      </c>
      <c r="D143" s="211">
        <v>360.0333333333333</v>
      </c>
      <c r="E143" s="82" t="s">
        <v>104</v>
      </c>
      <c r="F143" s="57">
        <v>9.8000000000000004E-2</v>
      </c>
      <c r="G143" s="58">
        <v>6.5000000000000002E-2</v>
      </c>
      <c r="H143" s="42">
        <f t="shared" si="26"/>
        <v>1.2582397003745319E-2</v>
      </c>
      <c r="I143" s="42">
        <f>'Growth curves'!F65</f>
        <v>2.64</v>
      </c>
      <c r="J143" s="42">
        <f t="shared" si="27"/>
        <v>3.2561760000000004</v>
      </c>
      <c r="K143" s="59">
        <f t="shared" si="41"/>
        <v>2.4421320000000003E-4</v>
      </c>
      <c r="L143" s="45">
        <f t="shared" si="38"/>
        <v>25.761091136239394</v>
      </c>
      <c r="M143" s="46"/>
      <c r="P143" s="47">
        <f t="shared" si="28"/>
        <v>83.882646691635458</v>
      </c>
      <c r="Q143" s="55"/>
      <c r="R143" s="47"/>
      <c r="S143" s="47"/>
      <c r="T143" s="47">
        <f>(P143-$P$107)/(D143-$D$107)</f>
        <v>0.20358865919754099</v>
      </c>
      <c r="U143" s="55"/>
      <c r="V143" s="131"/>
    </row>
    <row r="144" spans="2:22">
      <c r="B144" s="206"/>
      <c r="C144" s="220"/>
      <c r="D144" s="212"/>
      <c r="E144" s="82" t="s">
        <v>105</v>
      </c>
      <c r="F144" s="43">
        <v>0.121</v>
      </c>
      <c r="G144" s="42">
        <v>7.8000000000000014E-2</v>
      </c>
      <c r="H144" s="42">
        <f t="shared" si="26"/>
        <v>1.5735580524344567E-2</v>
      </c>
      <c r="I144" s="42">
        <f>'Growth curves'!G65</f>
        <v>2.6560000000000001</v>
      </c>
      <c r="J144" s="42">
        <f t="shared" si="27"/>
        <v>3.2759104000000003</v>
      </c>
      <c r="K144" s="44">
        <f t="shared" si="41"/>
        <v>2.4569328000000003E-4</v>
      </c>
      <c r="L144" s="45">
        <f t="shared" si="38"/>
        <v>32.022814226633642</v>
      </c>
      <c r="M144" s="46"/>
      <c r="P144" s="47">
        <f t="shared" si="28"/>
        <v>104.90387016229711</v>
      </c>
      <c r="Q144" s="55"/>
      <c r="R144" s="47"/>
      <c r="S144" s="47"/>
      <c r="T144" s="47">
        <f>(P144-$P$108)/(D143-$D$107)</f>
        <v>0.27437864376713345</v>
      </c>
      <c r="U144" s="55"/>
      <c r="V144" s="131"/>
    </row>
    <row r="145" spans="1:22">
      <c r="B145" s="207"/>
      <c r="C145" s="221"/>
      <c r="D145" s="213"/>
      <c r="E145" s="85" t="s">
        <v>106</v>
      </c>
      <c r="F145" s="43">
        <v>0.11099999999999999</v>
      </c>
      <c r="G145" s="42">
        <v>7.3000000000000009E-2</v>
      </c>
      <c r="H145" s="42">
        <f t="shared" si="26"/>
        <v>1.4306741573033707E-2</v>
      </c>
      <c r="I145" s="51">
        <f>'Growth curves'!H65</f>
        <v>2.6640000000000001</v>
      </c>
      <c r="J145" s="51">
        <f t="shared" si="27"/>
        <v>3.2857776000000003</v>
      </c>
      <c r="K145" s="52">
        <f t="shared" si="41"/>
        <v>2.4643332000000003E-4</v>
      </c>
      <c r="L145" s="45">
        <f t="shared" si="38"/>
        <v>29.027611958142888</v>
      </c>
      <c r="M145" s="54">
        <f>AVERAGE(L143:L145)</f>
        <v>28.937172440338642</v>
      </c>
      <c r="N145" s="56">
        <f>STDEV(L143:L145)</f>
        <v>3.1318410711560096</v>
      </c>
      <c r="O145" s="56">
        <f>N145/SQRT(3)</f>
        <v>1.8081692854910481</v>
      </c>
      <c r="P145" s="56">
        <f t="shared" si="28"/>
        <v>95.378277153558045</v>
      </c>
      <c r="Q145" s="54">
        <f t="shared" si="30"/>
        <v>94.721598002496876</v>
      </c>
      <c r="R145" s="56">
        <f t="shared" si="31"/>
        <v>10.525985924437336</v>
      </c>
      <c r="S145" s="56">
        <f t="shared" si="32"/>
        <v>6.0771808069601079</v>
      </c>
      <c r="T145" s="56">
        <f>(P145-$P$109)/(D143-$D$107)</f>
        <v>0.23841120023943932</v>
      </c>
      <c r="U145" s="54">
        <f t="shared" si="34"/>
        <v>0.23879283440137125</v>
      </c>
      <c r="V145" s="130">
        <f t="shared" si="35"/>
        <v>2.0436199192576148E-2</v>
      </c>
    </row>
    <row r="146" spans="1:22">
      <c r="B146" s="205" t="s">
        <v>100</v>
      </c>
      <c r="C146" s="224">
        <v>0.50624999999999998</v>
      </c>
      <c r="D146" s="211">
        <v>384.0333333333333</v>
      </c>
      <c r="E146" s="82" t="s">
        <v>104</v>
      </c>
      <c r="F146" s="57">
        <v>9.8000000000000004E-2</v>
      </c>
      <c r="G146" s="58">
        <v>6.5000000000000002E-2</v>
      </c>
      <c r="H146" s="42">
        <f t="shared" si="26"/>
        <v>1.2582397003745319E-2</v>
      </c>
      <c r="I146" s="42">
        <f>'Growth curves'!F66</f>
        <v>3.1120000000000001</v>
      </c>
      <c r="J146" s="42">
        <f t="shared" si="27"/>
        <v>3.8383408000000001</v>
      </c>
      <c r="K146" s="59">
        <f t="shared" si="41"/>
        <v>2.8787555999999998E-4</v>
      </c>
      <c r="L146" s="45">
        <f t="shared" si="38"/>
        <v>21.853881940768641</v>
      </c>
      <c r="M146" s="46"/>
      <c r="P146" s="47">
        <f t="shared" si="28"/>
        <v>83.882646691635458</v>
      </c>
      <c r="Q146" s="55"/>
      <c r="R146" s="47"/>
      <c r="S146" s="47"/>
      <c r="T146" s="47">
        <f>(P146-$P$107)/(D146-$D$107)</f>
        <v>0.19003929148277188</v>
      </c>
      <c r="U146" s="55"/>
      <c r="V146" s="131"/>
    </row>
    <row r="147" spans="1:22" ht="12" customHeight="1">
      <c r="B147" s="206"/>
      <c r="C147" s="220"/>
      <c r="D147" s="212"/>
      <c r="E147" s="82" t="s">
        <v>105</v>
      </c>
      <c r="F147" s="43">
        <v>0.121</v>
      </c>
      <c r="G147" s="42">
        <v>7.8000000000000014E-2</v>
      </c>
      <c r="H147" s="42">
        <f t="shared" si="26"/>
        <v>1.5735580524344567E-2</v>
      </c>
      <c r="I147" s="42">
        <f>'Growth curves'!G66</f>
        <v>2.552</v>
      </c>
      <c r="J147" s="42">
        <f t="shared" si="27"/>
        <v>3.1476368000000003</v>
      </c>
      <c r="K147" s="44">
        <f t="shared" si="41"/>
        <v>2.3607276000000001E-4</v>
      </c>
      <c r="L147" s="45">
        <f t="shared" si="38"/>
        <v>33.327819195117144</v>
      </c>
      <c r="M147" s="46"/>
      <c r="P147" s="47">
        <f t="shared" si="28"/>
        <v>104.90387016229711</v>
      </c>
      <c r="Q147" s="55"/>
      <c r="R147" s="47"/>
      <c r="S147" s="47"/>
      <c r="T147" s="47">
        <f>(P147-$P$108)/(D146-$D$107)</f>
        <v>0.25611801396518896</v>
      </c>
      <c r="U147" s="55"/>
      <c r="V147" s="131"/>
    </row>
    <row r="148" spans="1:22">
      <c r="B148" s="206"/>
      <c r="C148" s="220"/>
      <c r="D148" s="212"/>
      <c r="E148" s="85" t="s">
        <v>106</v>
      </c>
      <c r="F148" s="43">
        <v>0.11099999999999999</v>
      </c>
      <c r="G148" s="42">
        <v>7.3000000000000009E-2</v>
      </c>
      <c r="H148" s="42">
        <f t="shared" si="26"/>
        <v>1.4306741573033707E-2</v>
      </c>
      <c r="I148" s="51">
        <f>'Growth curves'!H66</f>
        <v>2.544</v>
      </c>
      <c r="J148" s="42">
        <f t="shared" si="27"/>
        <v>3.1377696000000004</v>
      </c>
      <c r="K148" s="44">
        <f t="shared" si="41"/>
        <v>2.3533272000000001E-4</v>
      </c>
      <c r="L148" s="45">
        <f t="shared" si="38"/>
        <v>30.396838937300572</v>
      </c>
      <c r="M148" s="55">
        <f>AVERAGE(L146:L148)</f>
        <v>28.526180024395455</v>
      </c>
      <c r="N148" s="47">
        <f>STDEV(L146:L148)</f>
        <v>5.9613197033463212</v>
      </c>
      <c r="O148" s="47">
        <f>N148/SQRT(3)</f>
        <v>3.4417695354524187</v>
      </c>
      <c r="P148" s="47">
        <f t="shared" si="28"/>
        <v>95.378277153558059</v>
      </c>
      <c r="Q148" s="55">
        <f t="shared" si="30"/>
        <v>94.721598002496876</v>
      </c>
      <c r="R148" s="47">
        <f t="shared" si="31"/>
        <v>10.525985924437336</v>
      </c>
      <c r="S148" s="47">
        <f t="shared" si="32"/>
        <v>6.0771808069601079</v>
      </c>
      <c r="T148" s="47">
        <f>(P148-$P$109)/(D146-$D$107)</f>
        <v>0.22254429963654648</v>
      </c>
      <c r="U148" s="55">
        <f t="shared" si="34"/>
        <v>0.22290053502816912</v>
      </c>
      <c r="V148" s="131">
        <f t="shared" si="35"/>
        <v>1.9076115685744643E-2</v>
      </c>
    </row>
    <row r="149" spans="1:22">
      <c r="B149" s="206" t="s">
        <v>101</v>
      </c>
      <c r="C149" s="224">
        <v>0.50624999999999998</v>
      </c>
      <c r="D149" s="204">
        <v>408.0333333333333</v>
      </c>
      <c r="E149" s="82" t="s">
        <v>104</v>
      </c>
      <c r="F149" s="57">
        <v>9.8000000000000004E-2</v>
      </c>
      <c r="G149" s="58">
        <v>6.5000000000000002E-2</v>
      </c>
      <c r="H149" s="42">
        <f t="shared" si="26"/>
        <v>1.2582397003745319E-2</v>
      </c>
      <c r="I149" s="42">
        <f>'Growth curves'!F67</f>
        <v>3.1120000000000001</v>
      </c>
      <c r="J149" s="42">
        <f t="shared" si="27"/>
        <v>3.8383408000000001</v>
      </c>
      <c r="K149" s="44">
        <f t="shared" ref="K149:K151" si="42">J149*0.075/1000</f>
        <v>2.8787555999999998E-4</v>
      </c>
      <c r="L149" s="45">
        <f t="shared" si="38"/>
        <v>21.853881940768641</v>
      </c>
      <c r="M149" s="46"/>
      <c r="P149" s="47">
        <f t="shared" si="28"/>
        <v>83.882646691635458</v>
      </c>
      <c r="Q149" s="46"/>
      <c r="T149" s="47">
        <f>(P149-$P$107)/(D149-$D$107)</f>
        <v>0.17818087922228779</v>
      </c>
      <c r="U149" s="46"/>
      <c r="V149" s="41"/>
    </row>
    <row r="150" spans="1:22">
      <c r="B150" s="206"/>
      <c r="C150" s="220"/>
      <c r="D150" s="204"/>
      <c r="E150" s="82" t="s">
        <v>105</v>
      </c>
      <c r="F150" s="43">
        <v>0.121</v>
      </c>
      <c r="G150" s="42">
        <v>7.8000000000000014E-2</v>
      </c>
      <c r="H150" s="42">
        <f t="shared" si="26"/>
        <v>1.5735580524344567E-2</v>
      </c>
      <c r="I150" s="42">
        <f>'Growth curves'!G67</f>
        <v>2.516</v>
      </c>
      <c r="J150" s="42">
        <f t="shared" si="27"/>
        <v>3.1032344000000003</v>
      </c>
      <c r="K150" s="44">
        <f t="shared" si="42"/>
        <v>2.3274258000000002E-4</v>
      </c>
      <c r="L150" s="45">
        <f t="shared" si="38"/>
        <v>33.804687832249186</v>
      </c>
      <c r="M150" s="46"/>
      <c r="P150" s="47">
        <f t="shared" si="28"/>
        <v>104.90387016229711</v>
      </c>
      <c r="Q150" s="46"/>
      <c r="T150" s="47">
        <f>(P150-$P$108)/(D149-$D$107)</f>
        <v>0.24013630316613052</v>
      </c>
      <c r="U150" s="46"/>
      <c r="V150" s="41"/>
    </row>
    <row r="151" spans="1:22" ht="14" thickBot="1">
      <c r="A151" s="69"/>
      <c r="B151" s="226"/>
      <c r="C151" s="232"/>
      <c r="D151" s="233"/>
      <c r="E151" s="134" t="s">
        <v>106</v>
      </c>
      <c r="F151" s="135">
        <v>0.11099999999999999</v>
      </c>
      <c r="G151" s="70">
        <v>7.3000000000000009E-2</v>
      </c>
      <c r="H151" s="70">
        <f t="shared" si="26"/>
        <v>1.4306741573033707E-2</v>
      </c>
      <c r="I151" s="70">
        <f>'Growth curves'!H67</f>
        <v>2.62</v>
      </c>
      <c r="J151" s="70">
        <f t="shared" si="27"/>
        <v>3.2315080000000003</v>
      </c>
      <c r="K151" s="71">
        <f t="shared" si="42"/>
        <v>2.423631E-4</v>
      </c>
      <c r="L151" s="72">
        <f t="shared" si="38"/>
        <v>29.515098571180403</v>
      </c>
      <c r="M151" s="73">
        <f>AVERAGE(L149:L151)</f>
        <v>28.39122278139941</v>
      </c>
      <c r="N151" s="68">
        <f>STDEV(L149:L151)</f>
        <v>6.0541525383081716</v>
      </c>
      <c r="O151" s="68">
        <f>N151/SQRT(3)</f>
        <v>3.495366597707279</v>
      </c>
      <c r="P151" s="74">
        <f t="shared" si="28"/>
        <v>95.378277153558045</v>
      </c>
      <c r="Q151" s="73">
        <f>AVERAGE(P149:P151)</f>
        <v>94.721598002496876</v>
      </c>
      <c r="R151" s="68">
        <f>STDEV(P149:P151)</f>
        <v>10.525985924437336</v>
      </c>
      <c r="S151" s="68">
        <f>R151/SQRT(3)</f>
        <v>6.0771808069601079</v>
      </c>
      <c r="T151" s="74">
        <f t="shared" ref="T151" si="43">(P151-$P$109)/(D149-$D$107)</f>
        <v>0.20865758162828599</v>
      </c>
      <c r="U151" s="73">
        <f>AVERAGE(T149:T151)</f>
        <v>0.20899158800556808</v>
      </c>
      <c r="V151" s="69">
        <f>STDEV(T149:T151)/SQRT(3)</f>
        <v>1.7885770034773197E-2</v>
      </c>
    </row>
  </sheetData>
  <mergeCells count="148">
    <mergeCell ref="B149:B151"/>
    <mergeCell ref="C149:C151"/>
    <mergeCell ref="D149:D151"/>
    <mergeCell ref="D50:D52"/>
    <mergeCell ref="C50:C52"/>
    <mergeCell ref="B50:B52"/>
    <mergeCell ref="B56:B58"/>
    <mergeCell ref="C56:C58"/>
    <mergeCell ref="D56:D58"/>
    <mergeCell ref="B98:B100"/>
    <mergeCell ref="B143:B145"/>
    <mergeCell ref="C143:C145"/>
    <mergeCell ref="D143:D145"/>
    <mergeCell ref="B146:B148"/>
    <mergeCell ref="C146:C148"/>
    <mergeCell ref="D146:D148"/>
    <mergeCell ref="B137:B139"/>
    <mergeCell ref="C137:C139"/>
    <mergeCell ref="D137:D139"/>
    <mergeCell ref="B140:B142"/>
    <mergeCell ref="C140:C142"/>
    <mergeCell ref="D140:D142"/>
    <mergeCell ref="B131:B133"/>
    <mergeCell ref="C131:C133"/>
    <mergeCell ref="D131:D133"/>
    <mergeCell ref="B134:B136"/>
    <mergeCell ref="C134:C136"/>
    <mergeCell ref="D134:D136"/>
    <mergeCell ref="B125:B127"/>
    <mergeCell ref="C125:C127"/>
    <mergeCell ref="D125:D127"/>
    <mergeCell ref="B128:B130"/>
    <mergeCell ref="C128:C130"/>
    <mergeCell ref="D128:D130"/>
    <mergeCell ref="B119:B121"/>
    <mergeCell ref="C119:C121"/>
    <mergeCell ref="D119:D121"/>
    <mergeCell ref="B122:B124"/>
    <mergeCell ref="C122:C124"/>
    <mergeCell ref="D122:D124"/>
    <mergeCell ref="B113:B115"/>
    <mergeCell ref="C113:C115"/>
    <mergeCell ref="D113:D115"/>
    <mergeCell ref="B116:B118"/>
    <mergeCell ref="C116:C118"/>
    <mergeCell ref="D116:D118"/>
    <mergeCell ref="B107:B109"/>
    <mergeCell ref="C107:C109"/>
    <mergeCell ref="D107:D109"/>
    <mergeCell ref="B110:B112"/>
    <mergeCell ref="C110:C112"/>
    <mergeCell ref="D110:D112"/>
    <mergeCell ref="X104:AB104"/>
    <mergeCell ref="B95:B97"/>
    <mergeCell ref="C95:C97"/>
    <mergeCell ref="D95:D97"/>
    <mergeCell ref="B104:V104"/>
    <mergeCell ref="C98:C100"/>
    <mergeCell ref="D98:D100"/>
    <mergeCell ref="B101:B103"/>
    <mergeCell ref="C101:C103"/>
    <mergeCell ref="D101:D103"/>
    <mergeCell ref="B89:B91"/>
    <mergeCell ref="C89:C91"/>
    <mergeCell ref="D89:D91"/>
    <mergeCell ref="B92:B94"/>
    <mergeCell ref="C92:C94"/>
    <mergeCell ref="D92:D94"/>
    <mergeCell ref="B83:B85"/>
    <mergeCell ref="C83:C85"/>
    <mergeCell ref="D83:D85"/>
    <mergeCell ref="B86:B88"/>
    <mergeCell ref="C86:C88"/>
    <mergeCell ref="D86:D88"/>
    <mergeCell ref="B77:B79"/>
    <mergeCell ref="C77:C79"/>
    <mergeCell ref="D77:D79"/>
    <mergeCell ref="B80:B82"/>
    <mergeCell ref="C80:C82"/>
    <mergeCell ref="D80:D82"/>
    <mergeCell ref="B71:B73"/>
    <mergeCell ref="C71:C73"/>
    <mergeCell ref="D71:D73"/>
    <mergeCell ref="B74:B76"/>
    <mergeCell ref="C74:C76"/>
    <mergeCell ref="D74:D76"/>
    <mergeCell ref="B65:B67"/>
    <mergeCell ref="C65:C67"/>
    <mergeCell ref="D65:D67"/>
    <mergeCell ref="B68:B70"/>
    <mergeCell ref="C68:C70"/>
    <mergeCell ref="D68:D70"/>
    <mergeCell ref="B59:B61"/>
    <mergeCell ref="C59:C61"/>
    <mergeCell ref="D59:D61"/>
    <mergeCell ref="B62:B64"/>
    <mergeCell ref="C62:C64"/>
    <mergeCell ref="D62:D64"/>
    <mergeCell ref="X53:AB53"/>
    <mergeCell ref="B44:B46"/>
    <mergeCell ref="C44:C46"/>
    <mergeCell ref="D44:D46"/>
    <mergeCell ref="B53:V53"/>
    <mergeCell ref="B47:B49"/>
    <mergeCell ref="C47:C49"/>
    <mergeCell ref="D47:D49"/>
    <mergeCell ref="B38:B40"/>
    <mergeCell ref="C38:C40"/>
    <mergeCell ref="D38:D40"/>
    <mergeCell ref="B41:B43"/>
    <mergeCell ref="C41:C43"/>
    <mergeCell ref="D41:D43"/>
    <mergeCell ref="B32:B34"/>
    <mergeCell ref="C32:C34"/>
    <mergeCell ref="D32:D34"/>
    <mergeCell ref="B35:B37"/>
    <mergeCell ref="C35:C37"/>
    <mergeCell ref="D35:D37"/>
    <mergeCell ref="B26:B28"/>
    <mergeCell ref="C26:C28"/>
    <mergeCell ref="D26:D28"/>
    <mergeCell ref="B29:B31"/>
    <mergeCell ref="C29:C31"/>
    <mergeCell ref="D29:D31"/>
    <mergeCell ref="B20:B22"/>
    <mergeCell ref="C20:C22"/>
    <mergeCell ref="D20:D22"/>
    <mergeCell ref="B23:B25"/>
    <mergeCell ref="C23:C25"/>
    <mergeCell ref="D23:D25"/>
    <mergeCell ref="B14:B16"/>
    <mergeCell ref="C14:C16"/>
    <mergeCell ref="D14:D16"/>
    <mergeCell ref="B17:B19"/>
    <mergeCell ref="C17:C19"/>
    <mergeCell ref="D17:D19"/>
    <mergeCell ref="A1:V1"/>
    <mergeCell ref="B2:V2"/>
    <mergeCell ref="X3:AB3"/>
    <mergeCell ref="B8:B10"/>
    <mergeCell ref="C8:C10"/>
    <mergeCell ref="D8:D10"/>
    <mergeCell ref="B11:B13"/>
    <mergeCell ref="C11:C13"/>
    <mergeCell ref="D11:D13"/>
    <mergeCell ref="B5:B7"/>
    <mergeCell ref="C5:C7"/>
    <mergeCell ref="D5:D7"/>
  </mergeCells>
  <phoneticPr fontId="21" type="noConversion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F3DAB-FDBC-3448-9680-7678E88EFA4D}">
  <dimension ref="A1:W601"/>
  <sheetViews>
    <sheetView zoomScaleNormal="100" workbookViewId="0">
      <selection sqref="A1:O1"/>
    </sheetView>
  </sheetViews>
  <sheetFormatPr baseColWidth="10" defaultColWidth="9.1640625" defaultRowHeight="13"/>
  <cols>
    <col min="1" max="1" width="76.5" style="16" customWidth="1"/>
    <col min="2" max="2" width="10.33203125" style="16" bestFit="1" customWidth="1"/>
    <col min="3" max="7" width="9.1640625" style="16"/>
    <col min="8" max="8" width="9.6640625" style="16" bestFit="1" customWidth="1"/>
    <col min="9" max="9" width="12.1640625" style="16" customWidth="1"/>
    <col min="10" max="10" width="12.5" style="16" bestFit="1" customWidth="1"/>
    <col min="11" max="12" width="13.6640625" style="16" customWidth="1"/>
    <col min="13" max="13" width="14.5" style="16" customWidth="1"/>
    <col min="14" max="15" width="10.5" style="16" bestFit="1" customWidth="1"/>
    <col min="16" max="17" width="9.1640625" style="16"/>
    <col min="18" max="18" width="12.6640625" style="16" customWidth="1"/>
    <col min="19" max="16384" width="9.1640625" style="16"/>
  </cols>
  <sheetData>
    <row r="1" spans="1:23" ht="17" thickBot="1">
      <c r="A1" s="240" t="s">
        <v>80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2"/>
    </row>
    <row r="2" spans="1:23" ht="16" customHeight="1" thickBot="1">
      <c r="A2" s="136"/>
      <c r="B2" s="243" t="s">
        <v>0</v>
      </c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5"/>
      <c r="Q2" s="234" t="s">
        <v>76</v>
      </c>
      <c r="R2" s="234"/>
      <c r="S2" s="234"/>
      <c r="T2" s="234"/>
      <c r="U2" s="234"/>
    </row>
    <row r="3" spans="1:23" ht="37" customHeight="1">
      <c r="A3" s="23"/>
      <c r="B3" s="137" t="s">
        <v>1</v>
      </c>
      <c r="C3" s="31" t="s">
        <v>2</v>
      </c>
      <c r="D3" s="31" t="s">
        <v>3</v>
      </c>
      <c r="E3" s="33" t="s">
        <v>19</v>
      </c>
      <c r="F3" s="138"/>
      <c r="G3" s="160" t="s">
        <v>81</v>
      </c>
      <c r="H3" s="33" t="s">
        <v>82</v>
      </c>
      <c r="I3" s="31" t="s">
        <v>21</v>
      </c>
      <c r="J3" s="31" t="s">
        <v>21</v>
      </c>
      <c r="K3" s="31" t="s">
        <v>39</v>
      </c>
      <c r="L3" s="33" t="s">
        <v>39</v>
      </c>
      <c r="M3" s="31" t="s">
        <v>40</v>
      </c>
      <c r="N3" s="31" t="s">
        <v>71</v>
      </c>
      <c r="O3" s="139" t="s">
        <v>55</v>
      </c>
      <c r="Q3" s="30" t="str">
        <f>D3</f>
        <v>Hours</v>
      </c>
      <c r="R3" s="128" t="str">
        <f>M3</f>
        <v>Average NO3 concentration</v>
      </c>
      <c r="S3" s="128" t="str">
        <f>O3</f>
        <v>Standard error</v>
      </c>
      <c r="T3" s="30"/>
      <c r="U3" s="140"/>
      <c r="V3" s="140"/>
      <c r="W3" s="140"/>
    </row>
    <row r="4" spans="1:23" ht="15" customHeight="1">
      <c r="A4" s="23"/>
      <c r="B4" s="141"/>
      <c r="C4" s="142"/>
      <c r="D4" s="143"/>
      <c r="E4" s="143"/>
      <c r="F4" s="144"/>
      <c r="G4" s="161" t="s">
        <v>15</v>
      </c>
      <c r="H4" s="39" t="s">
        <v>22</v>
      </c>
      <c r="I4" s="37" t="s">
        <v>17</v>
      </c>
      <c r="J4" s="37" t="s">
        <v>23</v>
      </c>
      <c r="K4" s="37" t="s">
        <v>23</v>
      </c>
      <c r="L4" s="39" t="s">
        <v>17</v>
      </c>
      <c r="M4" s="37" t="s">
        <v>17</v>
      </c>
      <c r="N4" s="37"/>
      <c r="O4" s="36"/>
      <c r="Q4" s="62">
        <v>0</v>
      </c>
      <c r="R4" s="42">
        <f>M7</f>
        <v>1.6376992657142857</v>
      </c>
      <c r="S4" s="42">
        <f>O7</f>
        <v>2.3634879420523461E-2</v>
      </c>
      <c r="T4" s="42"/>
      <c r="U4" s="140"/>
      <c r="V4" s="140"/>
      <c r="W4" s="140"/>
    </row>
    <row r="5" spans="1:23">
      <c r="A5" s="23"/>
      <c r="B5" s="205" t="s">
        <v>10</v>
      </c>
      <c r="C5" s="208">
        <v>0.46249999999999997</v>
      </c>
      <c r="D5" s="235">
        <f>7+54/60+12</f>
        <v>19.899999999999999</v>
      </c>
      <c r="E5" s="237">
        <v>2</v>
      </c>
      <c r="F5" s="82" t="s">
        <v>104</v>
      </c>
      <c r="G5" s="43">
        <v>0.64500000000000002</v>
      </c>
      <c r="H5" s="42">
        <f>5.5946*G5</f>
        <v>3.608517</v>
      </c>
      <c r="I5" s="42">
        <f>H5/10</f>
        <v>0.3608517</v>
      </c>
      <c r="J5" s="42">
        <f>I5/14</f>
        <v>2.577512142857143E-2</v>
      </c>
      <c r="K5" s="42">
        <f>J5</f>
        <v>2.577512142857143E-2</v>
      </c>
      <c r="L5" s="42">
        <f>K5*62</f>
        <v>1.5980575285714287</v>
      </c>
      <c r="M5" s="76"/>
      <c r="N5" s="30"/>
      <c r="O5" s="41"/>
      <c r="Q5" s="62">
        <f>D8</f>
        <v>50.4</v>
      </c>
      <c r="R5" s="42">
        <f>M10</f>
        <v>1.5100471409523808</v>
      </c>
      <c r="S5" s="42">
        <f>O10</f>
        <v>8.0881143388100152E-3</v>
      </c>
      <c r="T5" s="42"/>
      <c r="U5" s="145"/>
      <c r="V5" s="145"/>
      <c r="W5" s="145"/>
    </row>
    <row r="6" spans="1:23">
      <c r="A6" s="23"/>
      <c r="B6" s="206"/>
      <c r="C6" s="209"/>
      <c r="D6" s="236"/>
      <c r="E6" s="238"/>
      <c r="F6" s="82" t="s">
        <v>105</v>
      </c>
      <c r="G6" s="43">
        <v>0.66</v>
      </c>
      <c r="H6" s="42">
        <f>5.5946*G6</f>
        <v>3.6924359999999998</v>
      </c>
      <c r="I6" s="42">
        <f t="shared" ref="I6:I7" si="0">H6/10</f>
        <v>0.36924360000000001</v>
      </c>
      <c r="J6" s="42">
        <f t="shared" ref="J6:J31" si="1">I6/14</f>
        <v>2.6374542857142858E-2</v>
      </c>
      <c r="K6" s="42">
        <f t="shared" ref="K6:K31" si="2">J6</f>
        <v>2.6374542857142858E-2</v>
      </c>
      <c r="L6" s="42">
        <f t="shared" ref="L6:L31" si="3">K6*62</f>
        <v>1.6352216571428571</v>
      </c>
      <c r="M6" s="76"/>
      <c r="N6" s="30"/>
      <c r="O6" s="41"/>
      <c r="Q6" s="62">
        <f>D11</f>
        <v>97.25</v>
      </c>
      <c r="R6" s="42">
        <f>M13</f>
        <v>1.4574795257142856</v>
      </c>
      <c r="S6" s="42">
        <f>O13</f>
        <v>3.0345978850395337E-2</v>
      </c>
      <c r="T6" s="42"/>
      <c r="U6" s="145"/>
      <c r="V6" s="145"/>
      <c r="W6" s="145"/>
    </row>
    <row r="7" spans="1:23">
      <c r="A7" s="23"/>
      <c r="B7" s="207"/>
      <c r="C7" s="210"/>
      <c r="D7" s="246"/>
      <c r="E7" s="239"/>
      <c r="F7" s="82" t="s">
        <v>106</v>
      </c>
      <c r="G7" s="43">
        <v>0.67800000000000005</v>
      </c>
      <c r="H7" s="42">
        <f>5.5946*G7</f>
        <v>3.7931387999999999</v>
      </c>
      <c r="I7" s="42">
        <f t="shared" si="0"/>
        <v>0.37931387999999999</v>
      </c>
      <c r="J7" s="42">
        <f t="shared" si="1"/>
        <v>2.7093848571428571E-2</v>
      </c>
      <c r="K7" s="42">
        <f t="shared" si="2"/>
        <v>2.7093848571428571E-2</v>
      </c>
      <c r="L7" s="42">
        <f t="shared" si="3"/>
        <v>1.6798186114285714</v>
      </c>
      <c r="M7" s="77">
        <f>AVERAGE(L5:L7)</f>
        <v>1.6376992657142857</v>
      </c>
      <c r="N7" s="42">
        <f>STDEV(L5:L7)</f>
        <v>4.0936811987110695E-2</v>
      </c>
      <c r="O7" s="66">
        <f>N7/SQRT(3)</f>
        <v>2.3634879420523461E-2</v>
      </c>
      <c r="Q7" s="62">
        <f>D14</f>
        <v>165</v>
      </c>
      <c r="R7" s="42">
        <f>M16</f>
        <v>1.3711828180952381</v>
      </c>
      <c r="S7" s="42">
        <f>O16</f>
        <v>1.9020705742527809E-2</v>
      </c>
      <c r="T7" s="42"/>
      <c r="U7" s="145"/>
      <c r="V7" s="145"/>
      <c r="W7" s="145"/>
    </row>
    <row r="8" spans="1:23">
      <c r="A8" s="23"/>
      <c r="B8" s="205" t="s">
        <v>25</v>
      </c>
      <c r="C8" s="208">
        <v>0.5625</v>
      </c>
      <c r="D8" s="235">
        <f>2+24/60+48+D4</f>
        <v>50.4</v>
      </c>
      <c r="E8" s="237">
        <v>4</v>
      </c>
      <c r="F8" s="82" t="s">
        <v>104</v>
      </c>
      <c r="G8" s="57">
        <v>0.59399999999999997</v>
      </c>
      <c r="H8" s="58">
        <f t="shared" ref="H8:H13" si="4">5.7436*G8</f>
        <v>3.4116983999999997</v>
      </c>
      <c r="I8" s="58">
        <f>H8/10</f>
        <v>0.34116983999999995</v>
      </c>
      <c r="J8" s="58">
        <f t="shared" si="1"/>
        <v>2.4369274285714282E-2</v>
      </c>
      <c r="K8" s="58">
        <f t="shared" si="2"/>
        <v>2.4369274285714282E-2</v>
      </c>
      <c r="L8" s="58">
        <f t="shared" si="3"/>
        <v>1.5108950057142856</v>
      </c>
      <c r="M8" s="79"/>
      <c r="N8" s="58"/>
      <c r="O8" s="63"/>
      <c r="Q8" s="62">
        <f>D17</f>
        <v>213.31666666666666</v>
      </c>
      <c r="R8" s="42">
        <f>M19</f>
        <v>1.2883429450793651</v>
      </c>
      <c r="S8" s="42">
        <f>O19</f>
        <v>6.5338106300606089E-3</v>
      </c>
      <c r="T8" s="42"/>
      <c r="U8" s="145"/>
      <c r="V8" s="145"/>
      <c r="W8" s="145"/>
    </row>
    <row r="9" spans="1:23" ht="15" customHeight="1">
      <c r="A9" s="23"/>
      <c r="B9" s="206"/>
      <c r="C9" s="209"/>
      <c r="D9" s="236"/>
      <c r="E9" s="238"/>
      <c r="F9" s="82" t="s">
        <v>105</v>
      </c>
      <c r="G9" s="43">
        <v>0.59899999999999998</v>
      </c>
      <c r="H9" s="42">
        <f t="shared" si="4"/>
        <v>3.4404163999999997</v>
      </c>
      <c r="I9" s="42">
        <f t="shared" ref="I9:I10" si="5">H9/10</f>
        <v>0.34404163999999998</v>
      </c>
      <c r="J9" s="42">
        <f t="shared" si="1"/>
        <v>2.4574402857142855E-2</v>
      </c>
      <c r="K9" s="42">
        <f t="shared" si="2"/>
        <v>2.4574402857142855E-2</v>
      </c>
      <c r="L9" s="42">
        <f t="shared" si="3"/>
        <v>1.523612977142857</v>
      </c>
      <c r="M9" s="77"/>
      <c r="N9" s="42"/>
      <c r="O9" s="66"/>
      <c r="Q9" s="62">
        <f>D20</f>
        <v>261.2833333333333</v>
      </c>
      <c r="R9" s="42">
        <f>M22</f>
        <v>1.1934270663492066</v>
      </c>
      <c r="S9" s="42">
        <f>O22</f>
        <v>6.3761235655140028E-3</v>
      </c>
      <c r="T9" s="42"/>
      <c r="U9" s="145"/>
      <c r="V9" s="145"/>
      <c r="W9" s="145"/>
    </row>
    <row r="10" spans="1:23" ht="15" customHeight="1">
      <c r="A10" s="23"/>
      <c r="B10" s="206"/>
      <c r="C10" s="209"/>
      <c r="D10" s="236"/>
      <c r="E10" s="238"/>
      <c r="F10" s="82" t="s">
        <v>106</v>
      </c>
      <c r="G10" s="50">
        <v>0.58799999999999997</v>
      </c>
      <c r="H10" s="51">
        <f t="shared" si="4"/>
        <v>3.3772367999999995</v>
      </c>
      <c r="I10" s="42">
        <f t="shared" si="5"/>
        <v>0.33772367999999997</v>
      </c>
      <c r="J10" s="51">
        <f t="shared" si="1"/>
        <v>2.4123119999999998E-2</v>
      </c>
      <c r="K10" s="51">
        <f t="shared" si="2"/>
        <v>2.4123119999999998E-2</v>
      </c>
      <c r="L10" s="51">
        <f t="shared" si="3"/>
        <v>1.4956334399999998</v>
      </c>
      <c r="M10" s="80">
        <f>AVERAGE(L8:L10)</f>
        <v>1.5100471409523808</v>
      </c>
      <c r="N10" s="51">
        <f>STDEV(L8:L10)</f>
        <v>1.4009024972245302E-2</v>
      </c>
      <c r="O10" s="81">
        <f>N10/SQRT(3)</f>
        <v>8.0881143388100152E-3</v>
      </c>
      <c r="Q10" s="62">
        <f>D23</f>
        <v>309.2833333333333</v>
      </c>
      <c r="R10" s="42">
        <f>M25</f>
        <v>1.0928403428571427</v>
      </c>
      <c r="S10" s="42">
        <f>O25</f>
        <v>6.6125938808369061E-2</v>
      </c>
      <c r="T10" s="42"/>
      <c r="U10" s="145"/>
      <c r="V10" s="145"/>
      <c r="W10" s="145"/>
    </row>
    <row r="11" spans="1:23">
      <c r="A11" s="23"/>
      <c r="B11" s="206" t="s">
        <v>27</v>
      </c>
      <c r="C11" s="209">
        <v>0.51458333333333328</v>
      </c>
      <c r="D11" s="236">
        <f>9+51/60+13+24+D8</f>
        <v>97.25</v>
      </c>
      <c r="E11" s="238">
        <v>6</v>
      </c>
      <c r="F11" s="82" t="s">
        <v>104</v>
      </c>
      <c r="G11" s="43">
        <v>0.55100000000000005</v>
      </c>
      <c r="H11" s="42">
        <f t="shared" si="4"/>
        <v>3.1647236000000003</v>
      </c>
      <c r="I11" s="42">
        <f>H11/10</f>
        <v>0.31647236000000001</v>
      </c>
      <c r="J11" s="42">
        <f t="shared" si="1"/>
        <v>2.2605168571428573E-2</v>
      </c>
      <c r="K11" s="42">
        <f t="shared" si="2"/>
        <v>2.2605168571428573E-2</v>
      </c>
      <c r="L11" s="42">
        <f t="shared" si="3"/>
        <v>1.4015204514285715</v>
      </c>
      <c r="M11" s="77"/>
      <c r="N11" s="42"/>
      <c r="O11" s="66"/>
      <c r="Q11" s="62">
        <f>D26</f>
        <v>356.83333333333331</v>
      </c>
      <c r="R11" s="42">
        <f>M28</f>
        <v>0.99250387301587251</v>
      </c>
      <c r="S11" s="42">
        <f>O28</f>
        <v>1.3630176518686423E-2</v>
      </c>
      <c r="T11" s="42"/>
      <c r="U11" s="145"/>
      <c r="V11" s="145"/>
      <c r="W11" s="145"/>
    </row>
    <row r="12" spans="1:23" ht="15" customHeight="1">
      <c r="A12" s="23"/>
      <c r="B12" s="206"/>
      <c r="C12" s="209"/>
      <c r="D12" s="236"/>
      <c r="E12" s="238"/>
      <c r="F12" s="82" t="s">
        <v>105</v>
      </c>
      <c r="G12" s="43">
        <v>0.59199999999999997</v>
      </c>
      <c r="H12" s="42">
        <f t="shared" si="4"/>
        <v>3.4002111999999998</v>
      </c>
      <c r="I12" s="42">
        <f t="shared" ref="I12:I25" si="6">H12/10</f>
        <v>0.34002111999999995</v>
      </c>
      <c r="J12" s="42">
        <f t="shared" si="1"/>
        <v>2.4287222857142854E-2</v>
      </c>
      <c r="K12" s="42">
        <f t="shared" si="2"/>
        <v>2.4287222857142854E-2</v>
      </c>
      <c r="L12" s="42">
        <f t="shared" si="3"/>
        <v>1.5058078171428568</v>
      </c>
      <c r="M12" s="77"/>
      <c r="N12" s="42"/>
      <c r="O12" s="66"/>
      <c r="Q12" s="62">
        <f>D29</f>
        <v>405.43333333333339</v>
      </c>
      <c r="R12" s="42">
        <f>M31</f>
        <v>0.91438591999999996</v>
      </c>
      <c r="S12" s="42">
        <f>O31</f>
        <v>1.0050956363888976E-2</v>
      </c>
      <c r="T12" s="42"/>
      <c r="U12" s="145"/>
      <c r="V12" s="145"/>
      <c r="W12" s="145"/>
    </row>
    <row r="13" spans="1:23" ht="15" customHeight="1">
      <c r="A13" s="23"/>
      <c r="B13" s="207"/>
      <c r="C13" s="210"/>
      <c r="D13" s="236"/>
      <c r="E13" s="239"/>
      <c r="F13" s="82" t="s">
        <v>106</v>
      </c>
      <c r="G13" s="43">
        <v>0.57599999999999996</v>
      </c>
      <c r="H13" s="42">
        <f t="shared" si="4"/>
        <v>3.3083135999999995</v>
      </c>
      <c r="I13" s="51">
        <f t="shared" si="6"/>
        <v>0.33083135999999996</v>
      </c>
      <c r="J13" s="42">
        <f t="shared" si="1"/>
        <v>2.3630811428571426E-2</v>
      </c>
      <c r="K13" s="42">
        <f t="shared" si="2"/>
        <v>2.3630811428571426E-2</v>
      </c>
      <c r="L13" s="42">
        <f t="shared" si="3"/>
        <v>1.4651103085714285</v>
      </c>
      <c r="M13" s="77">
        <f>AVERAGE(L11:L13)</f>
        <v>1.4574795257142856</v>
      </c>
      <c r="N13" s="42">
        <f>STDEV(L11:L13)</f>
        <v>5.256077717429531E-2</v>
      </c>
      <c r="O13" s="66">
        <f>N13/SQRT(3)</f>
        <v>3.0345978850395337E-2</v>
      </c>
      <c r="Q13" s="62"/>
      <c r="R13" s="42"/>
      <c r="S13" s="42"/>
      <c r="T13" s="42"/>
      <c r="U13" s="145"/>
      <c r="V13" s="145"/>
      <c r="W13" s="145"/>
    </row>
    <row r="14" spans="1:23">
      <c r="A14" s="23"/>
      <c r="B14" s="247" t="s">
        <v>28</v>
      </c>
      <c r="C14" s="249">
        <v>0.49444444444444446</v>
      </c>
      <c r="D14" s="251">
        <v>165</v>
      </c>
      <c r="E14" s="237">
        <v>8</v>
      </c>
      <c r="F14" s="82" t="s">
        <v>104</v>
      </c>
      <c r="G14" s="57">
        <v>0.59799999999999998</v>
      </c>
      <c r="H14" s="58">
        <f>5.2957*G14</f>
        <v>3.1668286000000001</v>
      </c>
      <c r="I14" s="42">
        <f t="shared" si="6"/>
        <v>0.31668286000000001</v>
      </c>
      <c r="J14" s="58">
        <f t="shared" si="1"/>
        <v>2.2620204285714287E-2</v>
      </c>
      <c r="K14" s="58">
        <f t="shared" si="2"/>
        <v>2.2620204285714287E-2</v>
      </c>
      <c r="L14" s="58">
        <f t="shared" si="3"/>
        <v>1.4024526657142857</v>
      </c>
      <c r="M14" s="83"/>
      <c r="N14" s="64"/>
      <c r="O14" s="78"/>
      <c r="Q14" s="30"/>
      <c r="R14" s="42"/>
      <c r="S14" s="42"/>
      <c r="T14" s="42"/>
      <c r="U14" s="42"/>
    </row>
    <row r="15" spans="1:23">
      <c r="B15" s="248"/>
      <c r="C15" s="250"/>
      <c r="D15" s="251"/>
      <c r="E15" s="238"/>
      <c r="F15" s="82" t="s">
        <v>105</v>
      </c>
      <c r="G15" s="43">
        <v>0.58599999999999997</v>
      </c>
      <c r="H15" s="42">
        <f>5.2957*G15</f>
        <v>3.1032801999999999</v>
      </c>
      <c r="I15" s="42">
        <f t="shared" si="6"/>
        <v>0.31032801999999998</v>
      </c>
      <c r="J15" s="42">
        <f t="shared" si="1"/>
        <v>2.2166287142857143E-2</v>
      </c>
      <c r="K15" s="42">
        <f t="shared" si="2"/>
        <v>2.2166287142857143E-2</v>
      </c>
      <c r="L15" s="42">
        <f t="shared" si="3"/>
        <v>1.3743098028571428</v>
      </c>
      <c r="M15" s="76"/>
      <c r="N15" s="30"/>
      <c r="O15" s="41"/>
      <c r="Q15" s="30"/>
      <c r="R15" s="42"/>
      <c r="S15" s="42"/>
      <c r="T15" s="42"/>
      <c r="U15" s="42"/>
    </row>
    <row r="16" spans="1:23">
      <c r="B16" s="248"/>
      <c r="C16" s="250"/>
      <c r="D16" s="251"/>
      <c r="E16" s="238"/>
      <c r="F16" s="82" t="s">
        <v>106</v>
      </c>
      <c r="G16" s="50">
        <v>0.56999999999999995</v>
      </c>
      <c r="H16" s="51">
        <f>5.2957*G16</f>
        <v>3.0185489999999997</v>
      </c>
      <c r="I16" s="42">
        <f t="shared" si="6"/>
        <v>0.30185489999999998</v>
      </c>
      <c r="J16" s="51">
        <f t="shared" si="1"/>
        <v>2.1561064285714283E-2</v>
      </c>
      <c r="K16" s="51">
        <f t="shared" si="2"/>
        <v>2.1561064285714283E-2</v>
      </c>
      <c r="L16" s="51">
        <f t="shared" si="3"/>
        <v>1.3367859857142856</v>
      </c>
      <c r="M16" s="80">
        <f>AVERAGE(L14:L16)</f>
        <v>1.3711828180952381</v>
      </c>
      <c r="N16" s="51">
        <f>STDEV(L14:L16)</f>
        <v>3.2944828741875272E-2</v>
      </c>
      <c r="O16" s="81">
        <f>N16/SQRT(3)</f>
        <v>1.9020705742527809E-2</v>
      </c>
      <c r="Q16" s="145"/>
      <c r="R16" s="145"/>
      <c r="S16" s="145"/>
      <c r="T16" s="42"/>
      <c r="U16" s="42"/>
    </row>
    <row r="17" spans="2:21">
      <c r="B17" s="206" t="s">
        <v>30</v>
      </c>
      <c r="C17" s="209">
        <v>0.50763888888888886</v>
      </c>
      <c r="D17" s="236">
        <f>19/60+48+D14</f>
        <v>213.31666666666666</v>
      </c>
      <c r="E17" s="238">
        <v>10</v>
      </c>
      <c r="F17" s="82" t="s">
        <v>104</v>
      </c>
      <c r="G17" s="43">
        <v>0.8</v>
      </c>
      <c r="H17" s="42">
        <f>5.4029*G17</f>
        <v>4.3223200000000004</v>
      </c>
      <c r="I17" s="42">
        <f t="shared" ref="I17:I22" si="7">H17/15</f>
        <v>0.28815466666666667</v>
      </c>
      <c r="J17" s="42">
        <f t="shared" si="1"/>
        <v>2.0582476190476189E-2</v>
      </c>
      <c r="K17" s="42">
        <f t="shared" si="2"/>
        <v>2.0582476190476189E-2</v>
      </c>
      <c r="L17" s="42">
        <f t="shared" si="3"/>
        <v>1.2761135238095238</v>
      </c>
      <c r="M17" s="76"/>
      <c r="N17" s="30"/>
      <c r="O17" s="41"/>
      <c r="T17" s="42"/>
      <c r="U17" s="42"/>
    </row>
    <row r="18" spans="2:21">
      <c r="B18" s="206"/>
      <c r="C18" s="209"/>
      <c r="D18" s="236"/>
      <c r="E18" s="238"/>
      <c r="F18" s="82" t="s">
        <v>105</v>
      </c>
      <c r="G18" s="43">
        <v>0.81399999999999995</v>
      </c>
      <c r="H18" s="42">
        <f>5.4029*G18</f>
        <v>4.3979605999999993</v>
      </c>
      <c r="I18" s="42">
        <f t="shared" si="7"/>
        <v>0.29319737333333329</v>
      </c>
      <c r="J18" s="42">
        <f t="shared" si="1"/>
        <v>2.0942669523809521E-2</v>
      </c>
      <c r="K18" s="42">
        <f t="shared" si="2"/>
        <v>2.0942669523809521E-2</v>
      </c>
      <c r="L18" s="42">
        <f t="shared" si="3"/>
        <v>1.2984455104761903</v>
      </c>
      <c r="M18" s="76"/>
      <c r="N18" s="30"/>
      <c r="O18" s="41"/>
      <c r="T18" s="42"/>
      <c r="U18" s="42"/>
    </row>
    <row r="19" spans="2:21">
      <c r="B19" s="207"/>
      <c r="C19" s="210"/>
      <c r="D19" s="246"/>
      <c r="E19" s="239"/>
      <c r="F19" s="82" t="s">
        <v>106</v>
      </c>
      <c r="G19" s="43">
        <v>0.80900000000000005</v>
      </c>
      <c r="H19" s="42">
        <f>5.4029*G19</f>
        <v>4.3709461000000003</v>
      </c>
      <c r="I19" s="51">
        <f t="shared" si="7"/>
        <v>0.29139640666666666</v>
      </c>
      <c r="J19" s="42">
        <f t="shared" si="1"/>
        <v>2.0814029047619049E-2</v>
      </c>
      <c r="K19" s="42">
        <f t="shared" si="2"/>
        <v>2.0814029047619049E-2</v>
      </c>
      <c r="L19" s="42">
        <f t="shared" si="3"/>
        <v>1.290469800952381</v>
      </c>
      <c r="M19" s="77">
        <f>AVERAGE(L17:L19)</f>
        <v>1.2883429450793651</v>
      </c>
      <c r="N19" s="42">
        <f>STDEV(L17:L19)</f>
        <v>1.1316891978298592E-2</v>
      </c>
      <c r="O19" s="66">
        <f>N19/SQRT(3)</f>
        <v>6.5338106300606089E-3</v>
      </c>
      <c r="T19" s="42"/>
      <c r="U19" s="42"/>
    </row>
    <row r="20" spans="2:21">
      <c r="B20" s="205" t="s">
        <v>32</v>
      </c>
      <c r="C20" s="208">
        <v>0.50624999999999998</v>
      </c>
      <c r="D20" s="235">
        <f>23+58/60+24+D17</f>
        <v>261.2833333333333</v>
      </c>
      <c r="E20" s="237">
        <v>12</v>
      </c>
      <c r="F20" s="82" t="s">
        <v>104</v>
      </c>
      <c r="G20" s="57">
        <v>1.179</v>
      </c>
      <c r="H20" s="58">
        <f>3.3959*G20</f>
        <v>4.0037661</v>
      </c>
      <c r="I20" s="42">
        <f t="shared" si="7"/>
        <v>0.26691774000000001</v>
      </c>
      <c r="J20" s="58">
        <f t="shared" si="1"/>
        <v>1.906555285714286E-2</v>
      </c>
      <c r="K20" s="58">
        <f t="shared" si="2"/>
        <v>1.906555285714286E-2</v>
      </c>
      <c r="L20" s="58">
        <f t="shared" si="3"/>
        <v>1.1820642771428573</v>
      </c>
      <c r="M20" s="79"/>
      <c r="N20" s="58"/>
      <c r="O20" s="63"/>
      <c r="T20" s="42"/>
      <c r="U20" s="42"/>
    </row>
    <row r="21" spans="2:21">
      <c r="B21" s="206"/>
      <c r="C21" s="209"/>
      <c r="D21" s="236"/>
      <c r="E21" s="238"/>
      <c r="F21" s="82" t="s">
        <v>105</v>
      </c>
      <c r="G21" s="43">
        <v>1.1910000000000001</v>
      </c>
      <c r="H21" s="42">
        <f>3.3959*G21</f>
        <v>4.0445169000000005</v>
      </c>
      <c r="I21" s="42">
        <f t="shared" si="7"/>
        <v>0.26963446000000002</v>
      </c>
      <c r="J21" s="42">
        <f t="shared" si="1"/>
        <v>1.9259604285714289E-2</v>
      </c>
      <c r="K21" s="42">
        <f t="shared" si="2"/>
        <v>1.9259604285714289E-2</v>
      </c>
      <c r="L21" s="42">
        <f t="shared" si="3"/>
        <v>1.1940954657142859</v>
      </c>
      <c r="M21" s="77"/>
      <c r="N21" s="42"/>
      <c r="O21" s="66"/>
      <c r="T21" s="42"/>
      <c r="U21" s="42"/>
    </row>
    <row r="22" spans="2:21">
      <c r="B22" s="206"/>
      <c r="C22" s="209"/>
      <c r="D22" s="236"/>
      <c r="E22" s="238"/>
      <c r="F22" s="82" t="s">
        <v>106</v>
      </c>
      <c r="G22" s="50">
        <v>1.2010000000000001</v>
      </c>
      <c r="H22" s="51">
        <f>3.3959*G22</f>
        <v>4.0784759000000008</v>
      </c>
      <c r="I22" s="42">
        <f t="shared" si="7"/>
        <v>0.27189839333333338</v>
      </c>
      <c r="J22" s="51">
        <f t="shared" si="1"/>
        <v>1.9421313809523812E-2</v>
      </c>
      <c r="K22" s="51">
        <f t="shared" si="2"/>
        <v>1.9421313809523812E-2</v>
      </c>
      <c r="L22" s="51">
        <f t="shared" si="3"/>
        <v>1.2041214561904763</v>
      </c>
      <c r="M22" s="80">
        <f>AVERAGE(L20:L22)</f>
        <v>1.1934270663492066</v>
      </c>
      <c r="N22" s="51">
        <f>STDEV(L20:L22)</f>
        <v>1.1043769970807478E-2</v>
      </c>
      <c r="O22" s="81">
        <f>N22/SQRT(3)</f>
        <v>6.3761235655140028E-3</v>
      </c>
      <c r="T22" s="42"/>
      <c r="U22" s="42"/>
    </row>
    <row r="23" spans="2:21">
      <c r="B23" s="206" t="s">
        <v>34</v>
      </c>
      <c r="C23" s="209">
        <v>0.50624999999999998</v>
      </c>
      <c r="D23" s="236">
        <f>D20+48</f>
        <v>309.2833333333333</v>
      </c>
      <c r="E23" s="238">
        <v>14</v>
      </c>
      <c r="F23" s="82" t="s">
        <v>104</v>
      </c>
      <c r="G23" s="57">
        <v>0.41</v>
      </c>
      <c r="H23" s="42">
        <f>5.388*G23</f>
        <v>2.2090799999999997</v>
      </c>
      <c r="I23" s="42">
        <f t="shared" si="6"/>
        <v>0.22090799999999997</v>
      </c>
      <c r="J23" s="42">
        <f t="shared" si="1"/>
        <v>1.5779142857142856E-2</v>
      </c>
      <c r="K23" s="42">
        <f t="shared" si="2"/>
        <v>1.5779142857142856E-2</v>
      </c>
      <c r="L23" s="42">
        <f t="shared" si="3"/>
        <v>0.97830685714285703</v>
      </c>
      <c r="M23" s="77"/>
      <c r="N23" s="42"/>
      <c r="O23" s="66"/>
      <c r="T23" s="42"/>
      <c r="U23" s="42"/>
    </row>
    <row r="24" spans="2:21">
      <c r="B24" s="206"/>
      <c r="C24" s="209"/>
      <c r="D24" s="236"/>
      <c r="E24" s="238"/>
      <c r="F24" s="82" t="s">
        <v>105</v>
      </c>
      <c r="G24" s="43">
        <v>0.45800000000000002</v>
      </c>
      <c r="H24" s="42">
        <f>5.388*G24</f>
        <v>2.4677039999999999</v>
      </c>
      <c r="I24" s="42">
        <f t="shared" si="6"/>
        <v>0.2467704</v>
      </c>
      <c r="J24" s="42">
        <f t="shared" si="1"/>
        <v>1.7626457142857144E-2</v>
      </c>
      <c r="K24" s="42">
        <f t="shared" si="2"/>
        <v>1.7626457142857144E-2</v>
      </c>
      <c r="L24" s="42">
        <f t="shared" si="3"/>
        <v>1.0928403428571429</v>
      </c>
      <c r="M24" s="77"/>
      <c r="N24" s="42"/>
      <c r="O24" s="66"/>
      <c r="T24" s="42"/>
      <c r="U24" s="42"/>
    </row>
    <row r="25" spans="2:21">
      <c r="B25" s="207"/>
      <c r="C25" s="210"/>
      <c r="D25" s="246"/>
      <c r="E25" s="239"/>
      <c r="F25" s="82" t="s">
        <v>106</v>
      </c>
      <c r="G25" s="50">
        <v>0.50600000000000001</v>
      </c>
      <c r="H25" s="42">
        <f>5.388*G25</f>
        <v>2.7263280000000001</v>
      </c>
      <c r="I25" s="51">
        <f t="shared" si="6"/>
        <v>0.27263280000000001</v>
      </c>
      <c r="J25" s="42">
        <f t="shared" si="1"/>
        <v>1.9473771428571429E-2</v>
      </c>
      <c r="K25" s="42">
        <f t="shared" si="2"/>
        <v>1.9473771428571429E-2</v>
      </c>
      <c r="L25" s="42">
        <f t="shared" si="3"/>
        <v>1.2073738285714286</v>
      </c>
      <c r="M25" s="77">
        <f>AVERAGE(L23:L25)</f>
        <v>1.0928403428571427</v>
      </c>
      <c r="N25" s="42">
        <f>STDEV(L23:L25)</f>
        <v>0.11453348571428579</v>
      </c>
      <c r="O25" s="66">
        <f>N25/SQRT(3)</f>
        <v>6.6125938808369061E-2</v>
      </c>
    </row>
    <row r="26" spans="2:21">
      <c r="B26" s="205" t="s">
        <v>36</v>
      </c>
      <c r="C26" s="208">
        <v>0.48749999999999999</v>
      </c>
      <c r="D26" s="235">
        <f>11+33/60+12+24+D23</f>
        <v>356.83333333333331</v>
      </c>
      <c r="E26" s="237">
        <v>16</v>
      </c>
      <c r="F26" s="82" t="s">
        <v>104</v>
      </c>
      <c r="G26" s="57">
        <v>0.83133333333333304</v>
      </c>
      <c r="H26" s="58">
        <f>3.9395*G26</f>
        <v>3.2750376666666652</v>
      </c>
      <c r="I26" s="42">
        <f>H26/15</f>
        <v>0.21833584444444434</v>
      </c>
      <c r="J26" s="58">
        <f t="shared" si="1"/>
        <v>1.5595417460317453E-2</v>
      </c>
      <c r="K26" s="58">
        <f t="shared" si="2"/>
        <v>1.5595417460317453E-2</v>
      </c>
      <c r="L26" s="58">
        <f t="shared" si="3"/>
        <v>0.96691588253968208</v>
      </c>
      <c r="M26" s="83"/>
      <c r="N26" s="64"/>
      <c r="O26" s="78"/>
    </row>
    <row r="27" spans="2:21">
      <c r="B27" s="206"/>
      <c r="C27" s="209"/>
      <c r="D27" s="236"/>
      <c r="E27" s="238"/>
      <c r="F27" s="82" t="s">
        <v>105</v>
      </c>
      <c r="G27" s="43">
        <v>0.85733333333333295</v>
      </c>
      <c r="H27" s="42">
        <f>3.9395*G27</f>
        <v>3.3774646666666648</v>
      </c>
      <c r="I27" s="42">
        <f>H27/15</f>
        <v>0.22516431111111099</v>
      </c>
      <c r="J27" s="42">
        <f t="shared" si="1"/>
        <v>1.608316507936507E-2</v>
      </c>
      <c r="K27" s="42">
        <f t="shared" si="2"/>
        <v>1.608316507936507E-2</v>
      </c>
      <c r="L27" s="42">
        <f t="shared" si="3"/>
        <v>0.99715623492063432</v>
      </c>
      <c r="M27" s="76"/>
      <c r="N27" s="30"/>
      <c r="O27" s="41"/>
    </row>
    <row r="28" spans="2:21">
      <c r="B28" s="206"/>
      <c r="C28" s="209"/>
      <c r="D28" s="236"/>
      <c r="E28" s="238"/>
      <c r="F28" s="82" t="s">
        <v>106</v>
      </c>
      <c r="G28" s="50">
        <v>0.87133333333333296</v>
      </c>
      <c r="H28" s="51">
        <f>3.9395*G28</f>
        <v>3.432617666666665</v>
      </c>
      <c r="I28" s="42">
        <f>H28/15</f>
        <v>0.22884117777777765</v>
      </c>
      <c r="J28" s="51">
        <f t="shared" si="1"/>
        <v>1.6345798412698405E-2</v>
      </c>
      <c r="K28" s="51">
        <f t="shared" si="2"/>
        <v>1.6345798412698405E-2</v>
      </c>
      <c r="L28" s="51">
        <f t="shared" si="3"/>
        <v>1.013439501587301</v>
      </c>
      <c r="M28" s="80">
        <f>AVERAGE(L26:L28)</f>
        <v>0.99250387301587251</v>
      </c>
      <c r="N28" s="51">
        <f>STDEV(L26:L28)</f>
        <v>2.3608158246497167E-2</v>
      </c>
      <c r="O28" s="81">
        <f>N28/SQRT(3)</f>
        <v>1.3630176518686423E-2</v>
      </c>
    </row>
    <row r="29" spans="2:21">
      <c r="B29" s="206" t="s">
        <v>84</v>
      </c>
      <c r="C29" s="209">
        <v>0.52638888888888891</v>
      </c>
      <c r="D29" s="236">
        <v>405.43333333333339</v>
      </c>
      <c r="E29" s="238">
        <v>18</v>
      </c>
      <c r="F29" s="82" t="s">
        <v>104</v>
      </c>
      <c r="G29" s="57">
        <v>0.61</v>
      </c>
      <c r="H29" s="42">
        <f>5.1849*G29</f>
        <v>3.1627889999999996</v>
      </c>
      <c r="I29" s="42">
        <f t="shared" ref="I29:I30" si="8">H29/15</f>
        <v>0.21085259999999997</v>
      </c>
      <c r="J29" s="42">
        <f t="shared" si="1"/>
        <v>1.5060899999999999E-2</v>
      </c>
      <c r="K29" s="42">
        <f t="shared" si="2"/>
        <v>1.5060899999999999E-2</v>
      </c>
      <c r="L29" s="42">
        <f t="shared" si="3"/>
        <v>0.93377579999999993</v>
      </c>
      <c r="M29" s="76"/>
      <c r="N29" s="30"/>
      <c r="O29" s="41"/>
    </row>
    <row r="30" spans="2:21" ht="15" customHeight="1">
      <c r="B30" s="206"/>
      <c r="C30" s="209"/>
      <c r="D30" s="236"/>
      <c r="E30" s="238"/>
      <c r="F30" s="82" t="s">
        <v>105</v>
      </c>
      <c r="G30" s="43">
        <v>0.58799999999999997</v>
      </c>
      <c r="H30" s="42">
        <f>5.1849*G30</f>
        <v>3.0487211999999997</v>
      </c>
      <c r="I30" s="42">
        <f t="shared" si="8"/>
        <v>0.20324807999999997</v>
      </c>
      <c r="J30" s="42">
        <f t="shared" si="1"/>
        <v>1.4517719999999998E-2</v>
      </c>
      <c r="K30" s="42">
        <f t="shared" si="2"/>
        <v>1.4517719999999998E-2</v>
      </c>
      <c r="L30" s="42">
        <f t="shared" si="3"/>
        <v>0.90009863999999984</v>
      </c>
      <c r="M30" s="76"/>
      <c r="N30" s="30"/>
      <c r="O30" s="41"/>
    </row>
    <row r="31" spans="2:21" ht="16" customHeight="1" thickBot="1">
      <c r="B31" s="226"/>
      <c r="C31" s="227"/>
      <c r="D31" s="252"/>
      <c r="E31" s="253"/>
      <c r="F31" s="82" t="s">
        <v>106</v>
      </c>
      <c r="G31" s="50">
        <v>0.59399999999999997</v>
      </c>
      <c r="H31" s="42">
        <f>5.1849*G31</f>
        <v>3.0798305999999998</v>
      </c>
      <c r="I31" s="42">
        <f>H31/15</f>
        <v>0.20532203999999998</v>
      </c>
      <c r="J31" s="70">
        <f t="shared" si="1"/>
        <v>1.4665859999999999E-2</v>
      </c>
      <c r="K31" s="70">
        <f t="shared" si="2"/>
        <v>1.4665859999999999E-2</v>
      </c>
      <c r="L31" s="70">
        <f t="shared" si="3"/>
        <v>0.90928332000000001</v>
      </c>
      <c r="M31" s="146">
        <f>AVERAGE(L29:L31)</f>
        <v>0.91438591999999996</v>
      </c>
      <c r="N31" s="70">
        <f>STDEV(L29:L31)</f>
        <v>1.7408767086913447E-2</v>
      </c>
      <c r="O31" s="147">
        <f>N31/SQRT(3)</f>
        <v>1.0050956363888976E-2</v>
      </c>
    </row>
    <row r="32" spans="2:21" ht="17" thickBot="1">
      <c r="B32" s="243" t="s">
        <v>11</v>
      </c>
      <c r="C32" s="244"/>
      <c r="D32" s="244"/>
      <c r="E32" s="244"/>
      <c r="F32" s="244"/>
      <c r="G32" s="244"/>
      <c r="H32" s="244"/>
      <c r="I32" s="244"/>
      <c r="J32" s="244"/>
      <c r="K32" s="244"/>
      <c r="L32" s="244"/>
      <c r="M32" s="244"/>
      <c r="N32" s="244"/>
      <c r="O32" s="245"/>
      <c r="Q32" s="234" t="s">
        <v>76</v>
      </c>
      <c r="R32" s="234"/>
      <c r="S32" s="234"/>
    </row>
    <row r="33" spans="2:23" ht="30">
      <c r="B33" s="137" t="s">
        <v>1</v>
      </c>
      <c r="C33" s="31" t="s">
        <v>2</v>
      </c>
      <c r="D33" s="31" t="s">
        <v>3</v>
      </c>
      <c r="E33" s="33" t="s">
        <v>19</v>
      </c>
      <c r="F33" s="138"/>
      <c r="G33" s="160">
        <v>410</v>
      </c>
      <c r="H33" s="33" t="s">
        <v>82</v>
      </c>
      <c r="I33" s="31" t="s">
        <v>21</v>
      </c>
      <c r="J33" s="31" t="s">
        <v>21</v>
      </c>
      <c r="K33" s="31" t="s">
        <v>39</v>
      </c>
      <c r="L33" s="33" t="s">
        <v>39</v>
      </c>
      <c r="M33" s="31" t="s">
        <v>40</v>
      </c>
      <c r="N33" s="31" t="s">
        <v>71</v>
      </c>
      <c r="O33" s="139" t="s">
        <v>55</v>
      </c>
      <c r="Q33" s="30" t="s">
        <v>3</v>
      </c>
      <c r="R33" s="128" t="str">
        <f>M33</f>
        <v>Average NO3 concentration</v>
      </c>
      <c r="S33" s="128" t="str">
        <f>O33</f>
        <v>Standard error</v>
      </c>
      <c r="T33" s="30"/>
      <c r="U33" s="30"/>
    </row>
    <row r="34" spans="2:23" ht="14">
      <c r="B34" s="141"/>
      <c r="C34" s="142"/>
      <c r="D34" s="143"/>
      <c r="E34" s="143"/>
      <c r="F34" s="144"/>
      <c r="G34" s="162" t="s">
        <v>15</v>
      </c>
      <c r="H34" s="39" t="s">
        <v>22</v>
      </c>
      <c r="I34" s="37" t="s">
        <v>17</v>
      </c>
      <c r="J34" s="37" t="s">
        <v>23</v>
      </c>
      <c r="K34" s="37" t="s">
        <v>23</v>
      </c>
      <c r="L34" s="39" t="s">
        <v>17</v>
      </c>
      <c r="M34" s="37" t="s">
        <v>17</v>
      </c>
      <c r="N34" s="37"/>
      <c r="O34" s="36"/>
      <c r="Q34" s="62">
        <v>0</v>
      </c>
      <c r="R34" s="42">
        <f>M37</f>
        <v>1.6071420933333334</v>
      </c>
      <c r="S34" s="42">
        <f>O37</f>
        <v>1.5295317627711318E-2</v>
      </c>
      <c r="T34" s="42"/>
      <c r="U34" s="140"/>
      <c r="V34" s="140"/>
      <c r="W34" s="140"/>
    </row>
    <row r="35" spans="2:23">
      <c r="B35" s="205" t="s">
        <v>10</v>
      </c>
      <c r="C35" s="208">
        <v>0.46249999999999997</v>
      </c>
      <c r="D35" s="235">
        <f>7+54/60+12</f>
        <v>19.899999999999999</v>
      </c>
      <c r="E35" s="237">
        <v>2</v>
      </c>
      <c r="F35" s="82" t="s">
        <v>104</v>
      </c>
      <c r="G35" s="43">
        <v>0.65800000000000003</v>
      </c>
      <c r="H35" s="42">
        <f>5.5946*G35</f>
        <v>3.6812467999999998</v>
      </c>
      <c r="I35" s="42">
        <f>H35/10</f>
        <v>0.36812467999999998</v>
      </c>
      <c r="J35" s="42">
        <f>I35/14</f>
        <v>2.6294619999999998E-2</v>
      </c>
      <c r="K35" s="42">
        <f>J35</f>
        <v>2.6294619999999998E-2</v>
      </c>
      <c r="L35" s="42">
        <f>K35*62</f>
        <v>1.6302664399999998</v>
      </c>
      <c r="M35" s="76"/>
      <c r="N35" s="30"/>
      <c r="O35" s="41"/>
      <c r="Q35" s="62">
        <f>D38</f>
        <v>50.4</v>
      </c>
      <c r="R35" s="42">
        <f>M40</f>
        <v>1.4829154685714283</v>
      </c>
      <c r="S35" s="42">
        <f>O40</f>
        <v>2.4704748160087803E-2</v>
      </c>
      <c r="T35" s="42"/>
      <c r="U35" s="145"/>
      <c r="V35" s="145"/>
      <c r="W35" s="145"/>
    </row>
    <row r="36" spans="2:23">
      <c r="B36" s="206"/>
      <c r="C36" s="209"/>
      <c r="D36" s="236"/>
      <c r="E36" s="238"/>
      <c r="F36" s="82" t="s">
        <v>105</v>
      </c>
      <c r="G36" s="43">
        <v>0.65100000000000002</v>
      </c>
      <c r="H36" s="42">
        <f>5.5946*G36</f>
        <v>3.6420846</v>
      </c>
      <c r="I36" s="42">
        <f t="shared" ref="I36:I37" si="9">H36/10</f>
        <v>0.36420846000000001</v>
      </c>
      <c r="J36" s="42">
        <f t="shared" ref="J36:J61" si="10">I36/14</f>
        <v>2.6014890000000002E-2</v>
      </c>
      <c r="K36" s="42">
        <f t="shared" ref="K36:K61" si="11">J36</f>
        <v>2.6014890000000002E-2</v>
      </c>
      <c r="L36" s="42">
        <f t="shared" ref="L36:L61" si="12">K36*62</f>
        <v>1.6129231800000001</v>
      </c>
      <c r="M36" s="76"/>
      <c r="N36" s="30"/>
      <c r="O36" s="41"/>
      <c r="Q36" s="62">
        <f>D41</f>
        <v>97.25</v>
      </c>
      <c r="R36" s="42">
        <f>M43</f>
        <v>1.4337393123809523</v>
      </c>
      <c r="S36" s="42">
        <f>O43</f>
        <v>4.2974282860318222E-2</v>
      </c>
      <c r="T36" s="42"/>
      <c r="U36" s="145"/>
      <c r="V36" s="145"/>
      <c r="W36" s="145"/>
    </row>
    <row r="37" spans="2:23">
      <c r="B37" s="207"/>
      <c r="C37" s="210"/>
      <c r="D37" s="246"/>
      <c r="E37" s="239"/>
      <c r="F37" s="82" t="s">
        <v>106</v>
      </c>
      <c r="G37" s="43">
        <v>0.63700000000000001</v>
      </c>
      <c r="H37" s="42">
        <f>5.5946*G37</f>
        <v>3.5637601999999999</v>
      </c>
      <c r="I37" s="42">
        <f t="shared" si="9"/>
        <v>0.35637602000000002</v>
      </c>
      <c r="J37" s="42">
        <f t="shared" si="10"/>
        <v>2.5455430000000001E-2</v>
      </c>
      <c r="K37" s="42">
        <f t="shared" si="11"/>
        <v>2.5455430000000001E-2</v>
      </c>
      <c r="L37" s="42">
        <f t="shared" si="12"/>
        <v>1.57823666</v>
      </c>
      <c r="M37" s="77">
        <f>AVERAGE(L35:L37)</f>
        <v>1.6071420933333334</v>
      </c>
      <c r="N37" s="42">
        <f>STDEV(L35:L37)</f>
        <v>2.6492267249099873E-2</v>
      </c>
      <c r="O37" s="66">
        <f>N37/SQRT(3)</f>
        <v>1.5295317627711318E-2</v>
      </c>
      <c r="Q37" s="62">
        <f>D44</f>
        <v>165</v>
      </c>
      <c r="R37" s="42">
        <f>M46</f>
        <v>1.3070796304761905</v>
      </c>
      <c r="S37" s="42">
        <f>O46</f>
        <v>2.3229835016291448E-2</v>
      </c>
      <c r="T37" s="42"/>
      <c r="U37" s="145"/>
      <c r="V37" s="145"/>
      <c r="W37" s="145"/>
    </row>
    <row r="38" spans="2:23">
      <c r="B38" s="205" t="s">
        <v>25</v>
      </c>
      <c r="C38" s="208">
        <v>0.5625</v>
      </c>
      <c r="D38" s="235">
        <f>2+24/60+48+D34</f>
        <v>50.4</v>
      </c>
      <c r="E38" s="237">
        <v>4</v>
      </c>
      <c r="F38" s="82" t="s">
        <v>104</v>
      </c>
      <c r="G38" s="57">
        <v>0.58899999999999997</v>
      </c>
      <c r="H38" s="58">
        <f t="shared" ref="H38:H43" si="13">5.7436*G38</f>
        <v>3.3829803999999997</v>
      </c>
      <c r="I38" s="58">
        <f>H38/10</f>
        <v>0.33829803999999997</v>
      </c>
      <c r="J38" s="58">
        <f t="shared" si="10"/>
        <v>2.4164145714285712E-2</v>
      </c>
      <c r="K38" s="58">
        <f t="shared" si="11"/>
        <v>2.4164145714285712E-2</v>
      </c>
      <c r="L38" s="58">
        <f t="shared" si="12"/>
        <v>1.4981770342857141</v>
      </c>
      <c r="M38" s="79"/>
      <c r="N38" s="58"/>
      <c r="O38" s="63"/>
      <c r="Q38" s="62">
        <f>D47</f>
        <v>213.31666666666666</v>
      </c>
      <c r="R38" s="42">
        <f>M49</f>
        <v>1.1687073022222221</v>
      </c>
      <c r="S38" s="42">
        <f>O49</f>
        <v>6.593253206349213E-2</v>
      </c>
      <c r="T38" s="42"/>
      <c r="U38" s="145"/>
      <c r="V38" s="145"/>
      <c r="W38" s="145"/>
    </row>
    <row r="39" spans="2:23" ht="15" customHeight="1">
      <c r="B39" s="206"/>
      <c r="C39" s="209"/>
      <c r="D39" s="236"/>
      <c r="E39" s="238"/>
      <c r="F39" s="82" t="s">
        <v>105</v>
      </c>
      <c r="G39" s="43">
        <v>0.59599999999999997</v>
      </c>
      <c r="H39" s="42">
        <f t="shared" si="13"/>
        <v>3.4231855999999996</v>
      </c>
      <c r="I39" s="42">
        <f t="shared" ref="I39:I40" si="14">H39/10</f>
        <v>0.34231855999999994</v>
      </c>
      <c r="J39" s="42">
        <f t="shared" si="10"/>
        <v>2.445132571428571E-2</v>
      </c>
      <c r="K39" s="42">
        <f t="shared" si="11"/>
        <v>2.445132571428571E-2</v>
      </c>
      <c r="L39" s="42">
        <f t="shared" si="12"/>
        <v>1.5159821942857139</v>
      </c>
      <c r="M39" s="77"/>
      <c r="N39" s="42"/>
      <c r="O39" s="66"/>
      <c r="Q39" s="62">
        <f>D50</f>
        <v>261.2833333333333</v>
      </c>
      <c r="R39" s="42">
        <f>M52</f>
        <v>0.99992545015873013</v>
      </c>
      <c r="S39" s="42">
        <f>O52</f>
        <v>9.0850694632078465E-3</v>
      </c>
      <c r="T39" s="42"/>
      <c r="U39" s="145"/>
      <c r="V39" s="145"/>
      <c r="W39" s="145"/>
    </row>
    <row r="40" spans="2:23" ht="15" customHeight="1">
      <c r="B40" s="206"/>
      <c r="C40" s="209"/>
      <c r="D40" s="236"/>
      <c r="E40" s="238"/>
      <c r="F40" s="82" t="s">
        <v>106</v>
      </c>
      <c r="G40" s="50">
        <v>0.56399999999999995</v>
      </c>
      <c r="H40" s="51">
        <f t="shared" si="13"/>
        <v>3.2393903999999996</v>
      </c>
      <c r="I40" s="42">
        <f t="shared" si="14"/>
        <v>0.32393903999999996</v>
      </c>
      <c r="J40" s="51">
        <f t="shared" si="10"/>
        <v>2.3138502857142855E-2</v>
      </c>
      <c r="K40" s="51">
        <f t="shared" si="11"/>
        <v>2.3138502857142855E-2</v>
      </c>
      <c r="L40" s="51">
        <f t="shared" si="12"/>
        <v>1.4345871771428571</v>
      </c>
      <c r="M40" s="80">
        <f>AVERAGE(L38:L40)</f>
        <v>1.4829154685714283</v>
      </c>
      <c r="N40" s="51">
        <f>STDEV(L38:L40)</f>
        <v>4.278987900146581E-2</v>
      </c>
      <c r="O40" s="81">
        <f>N40/SQRT(3)</f>
        <v>2.4704748160087803E-2</v>
      </c>
      <c r="Q40" s="62">
        <f>D53</f>
        <v>309.2833333333333</v>
      </c>
      <c r="R40" s="42">
        <f>M55</f>
        <v>0.88206691428571427</v>
      </c>
      <c r="S40" s="42">
        <f>O55</f>
        <v>0.13793676114635364</v>
      </c>
      <c r="T40" s="42"/>
      <c r="U40" s="145"/>
      <c r="V40" s="145"/>
      <c r="W40" s="145"/>
    </row>
    <row r="41" spans="2:23">
      <c r="B41" s="206" t="s">
        <v>27</v>
      </c>
      <c r="C41" s="209">
        <v>0.51458333333333328</v>
      </c>
      <c r="D41" s="236">
        <f>9+51/60+13+24+D38</f>
        <v>97.25</v>
      </c>
      <c r="E41" s="238">
        <v>6</v>
      </c>
      <c r="F41" s="82" t="s">
        <v>104</v>
      </c>
      <c r="G41" s="43">
        <v>0.59599999999999997</v>
      </c>
      <c r="H41" s="42">
        <f t="shared" si="13"/>
        <v>3.4231855999999996</v>
      </c>
      <c r="I41" s="42">
        <f>H41/10</f>
        <v>0.34231855999999994</v>
      </c>
      <c r="J41" s="42">
        <f t="shared" si="10"/>
        <v>2.445132571428571E-2</v>
      </c>
      <c r="K41" s="42">
        <f t="shared" si="11"/>
        <v>2.445132571428571E-2</v>
      </c>
      <c r="L41" s="42">
        <f t="shared" si="12"/>
        <v>1.5159821942857139</v>
      </c>
      <c r="M41" s="77"/>
      <c r="N41" s="42"/>
      <c r="O41" s="66"/>
      <c r="Q41" s="62">
        <f>D56</f>
        <v>356.83333333333331</v>
      </c>
      <c r="R41" s="42">
        <f>M58</f>
        <v>0.79671697619047566</v>
      </c>
      <c r="S41" s="42">
        <f>O58</f>
        <v>6.3614185427673511E-2</v>
      </c>
      <c r="T41" s="42"/>
      <c r="U41" s="145"/>
      <c r="V41" s="145"/>
      <c r="W41" s="145"/>
    </row>
    <row r="42" spans="2:23" ht="15" customHeight="1">
      <c r="B42" s="206"/>
      <c r="C42" s="209"/>
      <c r="D42" s="236"/>
      <c r="E42" s="238"/>
      <c r="F42" s="82" t="s">
        <v>105</v>
      </c>
      <c r="G42" s="43">
        <v>0.53900000000000003</v>
      </c>
      <c r="H42" s="42">
        <f t="shared" si="13"/>
        <v>3.0958003999999999</v>
      </c>
      <c r="I42" s="42">
        <f t="shared" ref="I42:I55" si="15">H42/10</f>
        <v>0.30958004</v>
      </c>
      <c r="J42" s="42">
        <f t="shared" si="10"/>
        <v>2.2112860000000002E-2</v>
      </c>
      <c r="K42" s="42">
        <f t="shared" si="11"/>
        <v>2.2112860000000002E-2</v>
      </c>
      <c r="L42" s="42">
        <f t="shared" si="12"/>
        <v>1.3709973200000001</v>
      </c>
      <c r="M42" s="77"/>
      <c r="N42" s="42"/>
      <c r="O42" s="66"/>
      <c r="Q42" s="62">
        <f>D59</f>
        <v>405.43333333333339</v>
      </c>
      <c r="R42" s="42">
        <f>M61</f>
        <v>0.69446385999999993</v>
      </c>
      <c r="S42" s="42">
        <f>O61</f>
        <v>1.9207748024929912E-2</v>
      </c>
      <c r="T42" s="42"/>
      <c r="U42" s="145"/>
      <c r="V42" s="145"/>
      <c r="W42" s="145"/>
    </row>
    <row r="43" spans="2:23" ht="15" customHeight="1">
      <c r="B43" s="207"/>
      <c r="C43" s="210"/>
      <c r="D43" s="236"/>
      <c r="E43" s="239"/>
      <c r="F43" s="82" t="s">
        <v>106</v>
      </c>
      <c r="G43" s="43">
        <v>0.55600000000000005</v>
      </c>
      <c r="H43" s="42">
        <f t="shared" si="13"/>
        <v>3.1934416000000003</v>
      </c>
      <c r="I43" s="51">
        <f t="shared" si="15"/>
        <v>0.31934416000000004</v>
      </c>
      <c r="J43" s="42">
        <f t="shared" si="10"/>
        <v>2.2810297142857146E-2</v>
      </c>
      <c r="K43" s="42">
        <f t="shared" si="11"/>
        <v>2.2810297142857146E-2</v>
      </c>
      <c r="L43" s="42">
        <f t="shared" si="12"/>
        <v>1.4142384228571432</v>
      </c>
      <c r="M43" s="77">
        <f>AVERAGE(L41:L43)</f>
        <v>1.4337393123809523</v>
      </c>
      <c r="N43" s="42">
        <f>STDEV(L41:L43)</f>
        <v>7.443364133290753E-2</v>
      </c>
      <c r="O43" s="66">
        <f>N43/SQRT(3)</f>
        <v>4.2974282860318222E-2</v>
      </c>
      <c r="Q43" s="62"/>
      <c r="R43" s="42"/>
      <c r="S43" s="42"/>
      <c r="T43" s="42"/>
      <c r="U43" s="145"/>
      <c r="V43" s="145"/>
      <c r="W43" s="145"/>
    </row>
    <row r="44" spans="2:23">
      <c r="B44" s="247" t="s">
        <v>28</v>
      </c>
      <c r="C44" s="249">
        <v>0.49444444444444446</v>
      </c>
      <c r="D44" s="251">
        <v>165</v>
      </c>
      <c r="E44" s="237">
        <v>8</v>
      </c>
      <c r="F44" s="82" t="s">
        <v>104</v>
      </c>
      <c r="G44" s="57">
        <v>0.53900000000000003</v>
      </c>
      <c r="H44" s="58">
        <f>5.2957*G44</f>
        <v>2.8543823000000001</v>
      </c>
      <c r="I44" s="42">
        <f t="shared" si="15"/>
        <v>0.28543823000000001</v>
      </c>
      <c r="J44" s="58">
        <f t="shared" si="10"/>
        <v>2.0388445000000002E-2</v>
      </c>
      <c r="K44" s="58">
        <f t="shared" si="11"/>
        <v>2.0388445000000002E-2</v>
      </c>
      <c r="L44" s="58">
        <f t="shared" si="12"/>
        <v>1.26408359</v>
      </c>
      <c r="M44" s="83"/>
      <c r="N44" s="64"/>
      <c r="O44" s="78"/>
    </row>
    <row r="45" spans="2:23">
      <c r="B45" s="248"/>
      <c r="C45" s="250"/>
      <c r="D45" s="251"/>
      <c r="E45" s="238"/>
      <c r="F45" s="82" t="s">
        <v>105</v>
      </c>
      <c r="G45" s="43">
        <v>0.56000000000000005</v>
      </c>
      <c r="H45" s="42">
        <f>5.2957*G45</f>
        <v>2.9655920000000004</v>
      </c>
      <c r="I45" s="42">
        <f t="shared" si="15"/>
        <v>0.29655920000000002</v>
      </c>
      <c r="J45" s="42">
        <f t="shared" si="10"/>
        <v>2.1182800000000002E-2</v>
      </c>
      <c r="K45" s="42">
        <f t="shared" si="11"/>
        <v>2.1182800000000002E-2</v>
      </c>
      <c r="L45" s="42">
        <f t="shared" si="12"/>
        <v>1.3133336</v>
      </c>
      <c r="M45" s="76"/>
      <c r="N45" s="30"/>
      <c r="O45" s="41"/>
      <c r="Q45" s="145"/>
      <c r="R45" s="145"/>
      <c r="S45" s="145"/>
    </row>
    <row r="46" spans="2:23">
      <c r="B46" s="248"/>
      <c r="C46" s="250"/>
      <c r="D46" s="251"/>
      <c r="E46" s="238"/>
      <c r="F46" s="82" t="s">
        <v>106</v>
      </c>
      <c r="G46" s="50">
        <v>0.57299999999999995</v>
      </c>
      <c r="H46" s="51">
        <f>5.2957*G46</f>
        <v>3.0344360999999997</v>
      </c>
      <c r="I46" s="42">
        <f t="shared" si="15"/>
        <v>0.30344360999999997</v>
      </c>
      <c r="J46" s="51">
        <f t="shared" si="10"/>
        <v>2.1674543571428569E-2</v>
      </c>
      <c r="K46" s="51">
        <f t="shared" si="11"/>
        <v>2.1674543571428569E-2</v>
      </c>
      <c r="L46" s="51">
        <f t="shared" si="12"/>
        <v>1.3438217014285712</v>
      </c>
      <c r="M46" s="80">
        <f>AVERAGE(L44:L46)</f>
        <v>1.3070796304761905</v>
      </c>
      <c r="N46" s="51">
        <f>STDEV(L44:L46)</f>
        <v>4.0235254499659381E-2</v>
      </c>
      <c r="O46" s="81">
        <f>N46/SQRT(3)</f>
        <v>2.3229835016291448E-2</v>
      </c>
    </row>
    <row r="47" spans="2:23">
      <c r="B47" s="206" t="s">
        <v>30</v>
      </c>
      <c r="C47" s="209">
        <v>0.50763888888888886</v>
      </c>
      <c r="D47" s="236">
        <f>19/60+48+D44</f>
        <v>213.31666666666666</v>
      </c>
      <c r="E47" s="238">
        <v>10</v>
      </c>
      <c r="F47" s="82" t="s">
        <v>104</v>
      </c>
      <c r="G47" s="43">
        <v>0.79400000000000004</v>
      </c>
      <c r="H47" s="42">
        <f>5.4029*G47</f>
        <v>4.2899026000000005</v>
      </c>
      <c r="I47" s="42">
        <f t="shared" ref="I47:I52" si="16">H47/15</f>
        <v>0.28599350666666667</v>
      </c>
      <c r="J47" s="42">
        <f t="shared" si="10"/>
        <v>2.042810761904762E-2</v>
      </c>
      <c r="K47" s="42">
        <f t="shared" si="11"/>
        <v>2.042810761904762E-2</v>
      </c>
      <c r="L47" s="42">
        <f t="shared" si="12"/>
        <v>1.2665426723809525</v>
      </c>
      <c r="M47" s="76"/>
      <c r="N47" s="30"/>
      <c r="O47" s="41"/>
    </row>
    <row r="48" spans="2:23">
      <c r="B48" s="206"/>
      <c r="C48" s="209"/>
      <c r="D48" s="236"/>
      <c r="E48" s="238"/>
      <c r="F48" s="82" t="s">
        <v>105</v>
      </c>
      <c r="G48" s="43">
        <v>0.65400000000000003</v>
      </c>
      <c r="H48" s="42">
        <f>5.4029*G48</f>
        <v>3.5334965999999999</v>
      </c>
      <c r="I48" s="42">
        <f t="shared" si="16"/>
        <v>0.23556643999999999</v>
      </c>
      <c r="J48" s="42">
        <f t="shared" si="10"/>
        <v>1.6826174285714285E-2</v>
      </c>
      <c r="K48" s="42">
        <f t="shared" si="11"/>
        <v>1.6826174285714285E-2</v>
      </c>
      <c r="L48" s="42">
        <f t="shared" si="12"/>
        <v>1.0432228057142856</v>
      </c>
      <c r="M48" s="76"/>
      <c r="N48" s="30"/>
      <c r="O48" s="41"/>
    </row>
    <row r="49" spans="2:23">
      <c r="B49" s="207"/>
      <c r="C49" s="210"/>
      <c r="D49" s="246"/>
      <c r="E49" s="239"/>
      <c r="F49" s="82" t="s">
        <v>106</v>
      </c>
      <c r="G49" s="43">
        <v>0.75</v>
      </c>
      <c r="H49" s="42">
        <f>5.4029*G49</f>
        <v>4.0521750000000001</v>
      </c>
      <c r="I49" s="51">
        <f t="shared" si="16"/>
        <v>0.27014500000000002</v>
      </c>
      <c r="J49" s="42">
        <f t="shared" si="10"/>
        <v>1.929607142857143E-2</v>
      </c>
      <c r="K49" s="42">
        <f t="shared" si="11"/>
        <v>1.929607142857143E-2</v>
      </c>
      <c r="L49" s="42">
        <f t="shared" si="12"/>
        <v>1.1963564285714285</v>
      </c>
      <c r="M49" s="77">
        <f>AVERAGE(L47:L49)</f>
        <v>1.1687073022222221</v>
      </c>
      <c r="N49" s="42">
        <f>STDEV(L47:L49)</f>
        <v>0.11419849540563244</v>
      </c>
      <c r="O49" s="66">
        <f>N49/SQRT(3)</f>
        <v>6.593253206349213E-2</v>
      </c>
    </row>
    <row r="50" spans="2:23">
      <c r="B50" s="205" t="s">
        <v>32</v>
      </c>
      <c r="C50" s="208">
        <v>0.50624999999999998</v>
      </c>
      <c r="D50" s="235">
        <f>23+58/60+24+D47</f>
        <v>261.2833333333333</v>
      </c>
      <c r="E50" s="237">
        <v>12</v>
      </c>
      <c r="F50" s="82" t="s">
        <v>104</v>
      </c>
      <c r="G50" s="57">
        <v>1.0149999999999999</v>
      </c>
      <c r="H50" s="58">
        <f>3.3959*G50</f>
        <v>3.4468384999999997</v>
      </c>
      <c r="I50" s="42">
        <f t="shared" si="16"/>
        <v>0.22978923333333331</v>
      </c>
      <c r="J50" s="58">
        <f t="shared" si="10"/>
        <v>1.6413516666666666E-2</v>
      </c>
      <c r="K50" s="58">
        <f t="shared" si="11"/>
        <v>1.6413516666666666E-2</v>
      </c>
      <c r="L50" s="58">
        <f t="shared" si="12"/>
        <v>1.0176380333333332</v>
      </c>
      <c r="M50" s="79"/>
      <c r="N50" s="58"/>
      <c r="O50" s="63"/>
    </row>
    <row r="51" spans="2:23">
      <c r="B51" s="206"/>
      <c r="C51" s="209"/>
      <c r="D51" s="236"/>
      <c r="E51" s="238"/>
      <c r="F51" s="82" t="s">
        <v>105</v>
      </c>
      <c r="G51" s="43">
        <v>0.98499999999999999</v>
      </c>
      <c r="H51" s="42">
        <f>3.3959*G51</f>
        <v>3.3449615000000001</v>
      </c>
      <c r="I51" s="42">
        <f t="shared" si="16"/>
        <v>0.22299743333333336</v>
      </c>
      <c r="J51" s="42">
        <f t="shared" si="10"/>
        <v>1.5928388095238097E-2</v>
      </c>
      <c r="K51" s="42">
        <f t="shared" si="11"/>
        <v>1.5928388095238097E-2</v>
      </c>
      <c r="L51" s="42">
        <f t="shared" si="12"/>
        <v>0.98756006190476198</v>
      </c>
      <c r="M51" s="77"/>
      <c r="N51" s="42"/>
      <c r="O51" s="66"/>
    </row>
    <row r="52" spans="2:23">
      <c r="B52" s="206"/>
      <c r="C52" s="209"/>
      <c r="D52" s="236"/>
      <c r="E52" s="238"/>
      <c r="F52" s="82" t="s">
        <v>106</v>
      </c>
      <c r="G52" s="50">
        <v>0.99199999999999999</v>
      </c>
      <c r="H52" s="51">
        <f>3.3959*G52</f>
        <v>3.3687328000000001</v>
      </c>
      <c r="I52" s="42">
        <f t="shared" si="16"/>
        <v>0.22458218666666668</v>
      </c>
      <c r="J52" s="51">
        <f t="shared" si="10"/>
        <v>1.6041584761904763E-2</v>
      </c>
      <c r="K52" s="51">
        <f t="shared" si="11"/>
        <v>1.6041584761904763E-2</v>
      </c>
      <c r="L52" s="51">
        <f t="shared" si="12"/>
        <v>0.99457825523809529</v>
      </c>
      <c r="M52" s="80">
        <f>AVERAGE(L50:L52)</f>
        <v>0.99992545015873013</v>
      </c>
      <c r="N52" s="51">
        <f>STDEV(L50:L52)</f>
        <v>1.5735801900568495E-2</v>
      </c>
      <c r="O52" s="81">
        <f>N52/SQRT(3)</f>
        <v>9.0850694632078465E-3</v>
      </c>
    </row>
    <row r="53" spans="2:23">
      <c r="B53" s="206" t="s">
        <v>34</v>
      </c>
      <c r="C53" s="209">
        <v>0.50624999999999998</v>
      </c>
      <c r="D53" s="236">
        <f>D50+48</f>
        <v>309.2833333333333</v>
      </c>
      <c r="E53" s="238">
        <v>14</v>
      </c>
      <c r="F53" s="82" t="s">
        <v>104</v>
      </c>
      <c r="G53" s="57">
        <v>0.30499999999999999</v>
      </c>
      <c r="H53" s="42">
        <f>5.388*G53</f>
        <v>1.64334</v>
      </c>
      <c r="I53" s="42">
        <f t="shared" si="15"/>
        <v>0.16433400000000001</v>
      </c>
      <c r="J53" s="42">
        <f t="shared" si="10"/>
        <v>1.1738142857142858E-2</v>
      </c>
      <c r="K53" s="42">
        <f t="shared" si="11"/>
        <v>1.1738142857142858E-2</v>
      </c>
      <c r="L53" s="42">
        <f t="shared" si="12"/>
        <v>0.72776485714285721</v>
      </c>
      <c r="M53" s="77"/>
      <c r="N53" s="42"/>
      <c r="O53" s="66"/>
    </row>
    <row r="54" spans="2:23">
      <c r="B54" s="206"/>
      <c r="C54" s="209"/>
      <c r="D54" s="236"/>
      <c r="E54" s="238"/>
      <c r="F54" s="82" t="s">
        <v>105</v>
      </c>
      <c r="G54" s="43">
        <v>0.48499999999999999</v>
      </c>
      <c r="H54" s="42">
        <f>5.388*G54</f>
        <v>2.6131799999999998</v>
      </c>
      <c r="I54" s="42">
        <f t="shared" si="15"/>
        <v>0.26131799999999999</v>
      </c>
      <c r="J54" s="42">
        <f t="shared" si="10"/>
        <v>1.8665571428571427E-2</v>
      </c>
      <c r="K54" s="42">
        <f t="shared" si="11"/>
        <v>1.8665571428571427E-2</v>
      </c>
      <c r="L54" s="42">
        <f t="shared" si="12"/>
        <v>1.1572654285714286</v>
      </c>
      <c r="M54" s="77"/>
      <c r="N54" s="42"/>
      <c r="O54" s="66"/>
    </row>
    <row r="55" spans="2:23">
      <c r="B55" s="207"/>
      <c r="C55" s="210"/>
      <c r="D55" s="246"/>
      <c r="E55" s="239"/>
      <c r="F55" s="82" t="s">
        <v>106</v>
      </c>
      <c r="G55" s="50">
        <v>0.31900000000000001</v>
      </c>
      <c r="H55" s="42">
        <f>5.388*G55</f>
        <v>1.718772</v>
      </c>
      <c r="I55" s="51">
        <f t="shared" si="15"/>
        <v>0.17187720000000001</v>
      </c>
      <c r="J55" s="42">
        <f t="shared" si="10"/>
        <v>1.2276942857142857E-2</v>
      </c>
      <c r="K55" s="42">
        <f t="shared" si="11"/>
        <v>1.2276942857142857E-2</v>
      </c>
      <c r="L55" s="42">
        <f t="shared" si="12"/>
        <v>0.76117045714285714</v>
      </c>
      <c r="M55" s="77">
        <f>AVERAGE(L53:L55)</f>
        <v>0.88206691428571427</v>
      </c>
      <c r="N55" s="42">
        <f>STDEV(L53:L55)</f>
        <v>0.23891347853697714</v>
      </c>
      <c r="O55" s="66">
        <f>N55/SQRT(3)</f>
        <v>0.13793676114635364</v>
      </c>
    </row>
    <row r="56" spans="2:23">
      <c r="B56" s="205" t="s">
        <v>36</v>
      </c>
      <c r="C56" s="208">
        <v>0.48749999999999999</v>
      </c>
      <c r="D56" s="235">
        <f>11+33/60+12+24+D53</f>
        <v>356.83333333333331</v>
      </c>
      <c r="E56" s="237">
        <v>16</v>
      </c>
      <c r="F56" s="82" t="s">
        <v>104</v>
      </c>
      <c r="G56" s="57">
        <v>0.794333333333333</v>
      </c>
      <c r="H56" s="58">
        <f>3.9395*G56</f>
        <v>3.1292761666666653</v>
      </c>
      <c r="I56" s="42">
        <f>H56/15</f>
        <v>0.20861841111111101</v>
      </c>
      <c r="J56" s="58">
        <f t="shared" si="10"/>
        <v>1.4901315079365072E-2</v>
      </c>
      <c r="K56" s="58">
        <f t="shared" si="11"/>
        <v>1.4901315079365072E-2</v>
      </c>
      <c r="L56" s="58">
        <f t="shared" si="12"/>
        <v>0.92388153492063441</v>
      </c>
      <c r="M56" s="83"/>
      <c r="N56" s="64"/>
      <c r="O56" s="78"/>
    </row>
    <row r="57" spans="2:23">
      <c r="B57" s="206"/>
      <c r="C57" s="209"/>
      <c r="D57" s="236"/>
      <c r="E57" s="238"/>
      <c r="F57" s="82" t="s">
        <v>105</v>
      </c>
      <c r="G57" s="43">
        <v>0.63333333333333297</v>
      </c>
      <c r="H57" s="42">
        <f>3.9395*G57</f>
        <v>2.4950166666666651</v>
      </c>
      <c r="I57" s="42">
        <f>H57/15</f>
        <v>0.16633444444444434</v>
      </c>
      <c r="J57" s="42">
        <f t="shared" si="10"/>
        <v>1.1881031746031738E-2</v>
      </c>
      <c r="K57" s="42">
        <f t="shared" si="11"/>
        <v>1.1881031746031738E-2</v>
      </c>
      <c r="L57" s="42">
        <f t="shared" si="12"/>
        <v>0.73662396825396781</v>
      </c>
      <c r="M57" s="76"/>
      <c r="N57" s="30"/>
      <c r="O57" s="41"/>
    </row>
    <row r="58" spans="2:23">
      <c r="B58" s="206"/>
      <c r="C58" s="209"/>
      <c r="D58" s="236"/>
      <c r="E58" s="238"/>
      <c r="F58" s="82" t="s">
        <v>106</v>
      </c>
      <c r="G58" s="50">
        <v>0.62733333333333297</v>
      </c>
      <c r="H58" s="51">
        <f>3.9395*G58</f>
        <v>2.4713796666666652</v>
      </c>
      <c r="I58" s="42">
        <f>H58/15</f>
        <v>0.16475864444444435</v>
      </c>
      <c r="J58" s="51">
        <f t="shared" si="10"/>
        <v>1.1768474603174596E-2</v>
      </c>
      <c r="K58" s="51">
        <f t="shared" si="11"/>
        <v>1.1768474603174596E-2</v>
      </c>
      <c r="L58" s="51">
        <f t="shared" si="12"/>
        <v>0.72964542539682498</v>
      </c>
      <c r="M58" s="80">
        <f>AVERAGE(L56:L58)</f>
        <v>0.79671697619047566</v>
      </c>
      <c r="N58" s="51">
        <f>STDEV(L56:L58)</f>
        <v>0.1101830012428382</v>
      </c>
      <c r="O58" s="81">
        <f>N58/SQRT(3)</f>
        <v>6.3614185427673511E-2</v>
      </c>
    </row>
    <row r="59" spans="2:23">
      <c r="B59" s="206" t="s">
        <v>84</v>
      </c>
      <c r="C59" s="209">
        <v>0.52638888888888891</v>
      </c>
      <c r="D59" s="236">
        <v>405.43333333333339</v>
      </c>
      <c r="E59" s="238">
        <v>18</v>
      </c>
      <c r="F59" s="82" t="s">
        <v>104</v>
      </c>
      <c r="G59" s="57">
        <v>0.47699999999999998</v>
      </c>
      <c r="H59" s="42">
        <f>5.1849*G59</f>
        <v>2.4731972999999998</v>
      </c>
      <c r="I59" s="42">
        <f t="shared" ref="I59:I61" si="17">H59/15</f>
        <v>0.16487981999999998</v>
      </c>
      <c r="J59" s="42">
        <f t="shared" si="10"/>
        <v>1.1777129999999999E-2</v>
      </c>
      <c r="K59" s="42">
        <f t="shared" si="11"/>
        <v>1.1777129999999999E-2</v>
      </c>
      <c r="L59" s="42">
        <f t="shared" si="12"/>
        <v>0.73018205999999986</v>
      </c>
      <c r="M59" s="76"/>
      <c r="N59" s="30"/>
      <c r="O59" s="41"/>
    </row>
    <row r="60" spans="2:23">
      <c r="B60" s="206"/>
      <c r="C60" s="209"/>
      <c r="D60" s="236"/>
      <c r="E60" s="238"/>
      <c r="F60" s="82" t="s">
        <v>105</v>
      </c>
      <c r="G60" s="43">
        <v>0.45</v>
      </c>
      <c r="H60" s="42">
        <f>5.1849*G60</f>
        <v>2.333205</v>
      </c>
      <c r="I60" s="42">
        <f t="shared" si="17"/>
        <v>0.15554699999999999</v>
      </c>
      <c r="J60" s="42">
        <f t="shared" si="10"/>
        <v>1.1110499999999999E-2</v>
      </c>
      <c r="K60" s="42">
        <f t="shared" si="11"/>
        <v>1.1110499999999999E-2</v>
      </c>
      <c r="L60" s="42">
        <f t="shared" si="12"/>
        <v>0.68885099999999988</v>
      </c>
      <c r="M60" s="76"/>
      <c r="N60" s="30"/>
      <c r="O60" s="41"/>
    </row>
    <row r="61" spans="2:23" ht="14" thickBot="1">
      <c r="B61" s="226"/>
      <c r="C61" s="227"/>
      <c r="D61" s="252"/>
      <c r="E61" s="253"/>
      <c r="F61" s="82" t="s">
        <v>106</v>
      </c>
      <c r="G61" s="50">
        <v>0.434</v>
      </c>
      <c r="H61" s="42">
        <f>5.1849*G61</f>
        <v>2.2502466000000001</v>
      </c>
      <c r="I61" s="42">
        <f t="shared" si="17"/>
        <v>0.15001644</v>
      </c>
      <c r="J61" s="70">
        <f t="shared" si="10"/>
        <v>1.071546E-2</v>
      </c>
      <c r="K61" s="70">
        <f t="shared" si="11"/>
        <v>1.071546E-2</v>
      </c>
      <c r="L61" s="70">
        <f t="shared" si="12"/>
        <v>0.66435851999999995</v>
      </c>
      <c r="M61" s="146">
        <f>AVERAGE(L59:L61)</f>
        <v>0.69446385999999993</v>
      </c>
      <c r="N61" s="70">
        <f>STDEV(L59:L61)</f>
        <v>3.3268795478159363E-2</v>
      </c>
      <c r="O61" s="147">
        <f>N61/SQRT(3)</f>
        <v>1.9207748024929912E-2</v>
      </c>
    </row>
    <row r="62" spans="2:23" ht="17" thickBot="1">
      <c r="B62" s="243" t="s">
        <v>83</v>
      </c>
      <c r="C62" s="244"/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5"/>
      <c r="Q62" s="234" t="s">
        <v>107</v>
      </c>
      <c r="R62" s="234"/>
      <c r="S62" s="234"/>
    </row>
    <row r="63" spans="2:23" ht="30">
      <c r="B63" s="137" t="s">
        <v>1</v>
      </c>
      <c r="C63" s="31" t="s">
        <v>2</v>
      </c>
      <c r="D63" s="31" t="s">
        <v>3</v>
      </c>
      <c r="E63" s="33" t="s">
        <v>19</v>
      </c>
      <c r="F63" s="138"/>
      <c r="G63" s="160" t="s">
        <v>20</v>
      </c>
      <c r="H63" s="33" t="s">
        <v>38</v>
      </c>
      <c r="I63" s="31" t="s">
        <v>21</v>
      </c>
      <c r="J63" s="31" t="s">
        <v>21</v>
      </c>
      <c r="K63" s="31" t="s">
        <v>39</v>
      </c>
      <c r="L63" s="33" t="s">
        <v>39</v>
      </c>
      <c r="M63" s="31" t="s">
        <v>40</v>
      </c>
      <c r="N63" s="31" t="s">
        <v>71</v>
      </c>
      <c r="O63" s="139" t="s">
        <v>55</v>
      </c>
      <c r="Q63" s="30" t="s">
        <v>3</v>
      </c>
      <c r="R63" s="128" t="str">
        <f>M63</f>
        <v>Average NO3 concentration</v>
      </c>
      <c r="S63" s="128" t="str">
        <f>O63</f>
        <v>Standard error</v>
      </c>
      <c r="T63" s="30"/>
      <c r="U63" s="140"/>
      <c r="V63" s="140"/>
      <c r="W63" s="140"/>
    </row>
    <row r="64" spans="2:23" ht="14">
      <c r="B64" s="141"/>
      <c r="C64" s="142"/>
      <c r="D64" s="143"/>
      <c r="E64" s="143"/>
      <c r="F64" s="144"/>
      <c r="G64" s="143"/>
      <c r="H64" s="37"/>
      <c r="I64" s="37" t="s">
        <v>17</v>
      </c>
      <c r="J64" s="37" t="s">
        <v>23</v>
      </c>
      <c r="K64" s="37" t="s">
        <v>23</v>
      </c>
      <c r="L64" s="39" t="s">
        <v>17</v>
      </c>
      <c r="M64" s="37" t="s">
        <v>17</v>
      </c>
      <c r="N64" s="37"/>
      <c r="O64" s="36"/>
      <c r="Q64" s="62">
        <v>0</v>
      </c>
      <c r="R64" s="42">
        <f>M67</f>
        <v>1.58690829</v>
      </c>
      <c r="S64" s="42">
        <f>O67</f>
        <v>1.2388042857143233E-3</v>
      </c>
      <c r="T64" s="42"/>
      <c r="U64" s="140"/>
      <c r="V64" s="140"/>
      <c r="W64" s="140"/>
    </row>
    <row r="65" spans="2:23">
      <c r="B65" s="206" t="s">
        <v>87</v>
      </c>
      <c r="C65" s="209">
        <v>0.4861111111111111</v>
      </c>
      <c r="D65" s="236">
        <v>23.416666666666668</v>
      </c>
      <c r="E65" s="238">
        <v>2</v>
      </c>
      <c r="F65" s="82" t="s">
        <v>104</v>
      </c>
      <c r="G65" s="43">
        <v>0.63800000000000001</v>
      </c>
      <c r="H65" s="42">
        <f>5.5946*G65</f>
        <v>3.5693547999999997</v>
      </c>
      <c r="I65" s="42">
        <f>H65/10</f>
        <v>0.35693547999999997</v>
      </c>
      <c r="J65" s="42">
        <f>I65/14</f>
        <v>2.5495391428571428E-2</v>
      </c>
      <c r="K65" s="42">
        <f>J65</f>
        <v>2.5495391428571428E-2</v>
      </c>
      <c r="L65" s="42">
        <f>K65*62</f>
        <v>1.5807142685714286</v>
      </c>
      <c r="M65" s="76"/>
      <c r="N65" s="30"/>
      <c r="O65" s="41"/>
      <c r="Q65" s="62">
        <f>D68</f>
        <v>119.33333333333333</v>
      </c>
      <c r="R65" s="42">
        <f>M70</f>
        <v>1.4337393123809523</v>
      </c>
      <c r="S65" s="42">
        <f>O70</f>
        <v>3.6041732764186304E-2</v>
      </c>
      <c r="T65" s="42"/>
      <c r="U65" s="145"/>
      <c r="V65" s="145"/>
      <c r="W65" s="145"/>
    </row>
    <row r="66" spans="2:23">
      <c r="B66" s="206"/>
      <c r="C66" s="209"/>
      <c r="D66" s="236"/>
      <c r="E66" s="238"/>
      <c r="F66" s="82" t="s">
        <v>105</v>
      </c>
      <c r="G66" s="43">
        <v>0.64100000000000001</v>
      </c>
      <c r="H66" s="42">
        <f>5.5946*G66</f>
        <v>3.5861386</v>
      </c>
      <c r="I66" s="42">
        <f t="shared" ref="I66:I67" si="18">H66/10</f>
        <v>0.35861386000000001</v>
      </c>
      <c r="J66" s="42">
        <f t="shared" ref="J66:J88" si="19">I66/14</f>
        <v>2.5615275714285714E-2</v>
      </c>
      <c r="K66" s="42">
        <f t="shared" ref="K66:K88" si="20">J66</f>
        <v>2.5615275714285714E-2</v>
      </c>
      <c r="L66" s="42">
        <f t="shared" ref="L66:L88" si="21">K66*62</f>
        <v>1.5881470942857143</v>
      </c>
      <c r="M66" s="76"/>
      <c r="N66" s="30"/>
      <c r="O66" s="41"/>
      <c r="Q66" s="62">
        <f>D71</f>
        <v>166.58333333333331</v>
      </c>
      <c r="R66" s="42">
        <f>M73</f>
        <v>1.3319955409523809</v>
      </c>
      <c r="S66" s="42">
        <f>O73</f>
        <v>2.4412027538976949E-2</v>
      </c>
      <c r="T66" s="42"/>
      <c r="U66" s="145"/>
      <c r="V66" s="145"/>
      <c r="W66" s="145"/>
    </row>
    <row r="67" spans="2:23">
      <c r="B67" s="206"/>
      <c r="C67" s="209"/>
      <c r="D67" s="236"/>
      <c r="E67" s="238"/>
      <c r="F67" s="82" t="s">
        <v>106</v>
      </c>
      <c r="G67" s="43">
        <v>0.64</v>
      </c>
      <c r="H67" s="42">
        <f>5.5946*G67</f>
        <v>3.5805439999999997</v>
      </c>
      <c r="I67" s="42">
        <f t="shared" si="18"/>
        <v>0.35805439999999999</v>
      </c>
      <c r="J67" s="42">
        <f t="shared" si="19"/>
        <v>2.5575314285714284E-2</v>
      </c>
      <c r="K67" s="42">
        <f t="shared" si="20"/>
        <v>2.5575314285714284E-2</v>
      </c>
      <c r="L67" s="42">
        <f t="shared" si="21"/>
        <v>1.5856694857142857</v>
      </c>
      <c r="M67" s="77">
        <f>AVERAGE(L66:L67)</f>
        <v>1.58690829</v>
      </c>
      <c r="N67" s="42">
        <f>STDEV(L66:L67)</f>
        <v>1.7519338219831107E-3</v>
      </c>
      <c r="O67" s="66">
        <f>N67/SQRT(2)</f>
        <v>1.2388042857143233E-3</v>
      </c>
      <c r="Q67" s="62">
        <f>D74</f>
        <v>215.41666666666663</v>
      </c>
      <c r="R67" s="42">
        <f>M76</f>
        <v>1.2367224733333333</v>
      </c>
      <c r="S67" s="42">
        <f>O76</f>
        <v>1.7877904704060608E-2</v>
      </c>
      <c r="T67" s="42"/>
      <c r="U67" s="145"/>
      <c r="V67" s="145"/>
      <c r="W67" s="145"/>
    </row>
    <row r="68" spans="2:23">
      <c r="B68" s="205" t="s">
        <v>89</v>
      </c>
      <c r="C68" s="208">
        <v>0.4826388888888889</v>
      </c>
      <c r="D68" s="235">
        <v>119.33333333333333</v>
      </c>
      <c r="E68" s="237">
        <v>6</v>
      </c>
      <c r="F68" s="82" t="s">
        <v>104</v>
      </c>
      <c r="G68" s="57">
        <v>0.54900000000000004</v>
      </c>
      <c r="H68" s="58">
        <f t="shared" ref="H68:H73" si="22">5.7436*G68</f>
        <v>3.1532363999999999</v>
      </c>
      <c r="I68" s="58">
        <f>H68/10</f>
        <v>0.31532364000000002</v>
      </c>
      <c r="J68" s="58">
        <f t="shared" si="19"/>
        <v>2.2523117142857145E-2</v>
      </c>
      <c r="K68" s="58">
        <f t="shared" si="20"/>
        <v>2.2523117142857145E-2</v>
      </c>
      <c r="L68" s="58">
        <f t="shared" si="21"/>
        <v>1.396433262857143</v>
      </c>
      <c r="M68" s="79"/>
      <c r="N68" s="58"/>
      <c r="O68" s="63"/>
      <c r="Q68" s="62">
        <f>D77</f>
        <v>263.75</v>
      </c>
      <c r="R68" s="42">
        <f>M79</f>
        <v>1.10277477015873</v>
      </c>
      <c r="S68" s="42">
        <f>O79</f>
        <v>3.8172471242552748E-2</v>
      </c>
      <c r="T68" s="42"/>
      <c r="U68" s="145"/>
      <c r="V68" s="145"/>
      <c r="W68" s="145"/>
    </row>
    <row r="69" spans="2:23" ht="15" customHeight="1">
      <c r="B69" s="206"/>
      <c r="C69" s="209"/>
      <c r="D69" s="236"/>
      <c r="E69" s="238"/>
      <c r="F69" s="82" t="s">
        <v>105</v>
      </c>
      <c r="G69" s="43">
        <v>0.55000000000000004</v>
      </c>
      <c r="H69" s="42">
        <f t="shared" si="22"/>
        <v>3.1589800000000001</v>
      </c>
      <c r="I69" s="42">
        <f t="shared" ref="I69:I70" si="23">H69/10</f>
        <v>0.31589800000000001</v>
      </c>
      <c r="J69" s="42">
        <f t="shared" si="19"/>
        <v>2.2564142857142859E-2</v>
      </c>
      <c r="K69" s="42">
        <f t="shared" si="20"/>
        <v>2.2564142857142859E-2</v>
      </c>
      <c r="L69" s="42">
        <f t="shared" si="21"/>
        <v>1.3989768571428574</v>
      </c>
      <c r="M69" s="77"/>
      <c r="N69" s="42"/>
      <c r="O69" s="66"/>
      <c r="Q69" s="62">
        <f>D80</f>
        <v>312.06666666666666</v>
      </c>
      <c r="R69" s="42">
        <f>M82</f>
        <v>0.98822846126984121</v>
      </c>
      <c r="S69" s="42">
        <f>O82</f>
        <v>1.4757858388965778E-2</v>
      </c>
      <c r="T69" s="42"/>
      <c r="U69" s="145"/>
      <c r="V69" s="145"/>
      <c r="W69" s="145"/>
    </row>
    <row r="70" spans="2:23" ht="15" customHeight="1">
      <c r="B70" s="207"/>
      <c r="C70" s="210"/>
      <c r="D70" s="246"/>
      <c r="E70" s="239"/>
      <c r="F70" s="82" t="s">
        <v>106</v>
      </c>
      <c r="G70" s="50">
        <v>0.59199999999999997</v>
      </c>
      <c r="H70" s="51">
        <f t="shared" si="22"/>
        <v>3.4002111999999998</v>
      </c>
      <c r="I70" s="42">
        <f t="shared" si="23"/>
        <v>0.34002111999999995</v>
      </c>
      <c r="J70" s="51">
        <f t="shared" si="19"/>
        <v>2.4287222857142854E-2</v>
      </c>
      <c r="K70" s="51">
        <f t="shared" si="20"/>
        <v>2.4287222857142854E-2</v>
      </c>
      <c r="L70" s="51">
        <f t="shared" si="21"/>
        <v>1.5058078171428568</v>
      </c>
      <c r="M70" s="80">
        <f>AVERAGE(L68:L70)</f>
        <v>1.4337393123809523</v>
      </c>
      <c r="N70" s="51">
        <f>STDEV(L68:L70)</f>
        <v>6.2426112340390555E-2</v>
      </c>
      <c r="O70" s="81">
        <f>N70/SQRT(3)</f>
        <v>3.6041732764186304E-2</v>
      </c>
      <c r="Q70" s="62">
        <f>D83</f>
        <v>360.0333333333333</v>
      </c>
      <c r="R70" s="42">
        <f>M85</f>
        <v>0.87570394285714281</v>
      </c>
      <c r="S70" s="42">
        <f>O85</f>
        <v>6.0049226002590623E-3</v>
      </c>
      <c r="T70" s="42"/>
      <c r="U70" s="145"/>
      <c r="V70" s="145"/>
      <c r="W70" s="145"/>
    </row>
    <row r="71" spans="2:23">
      <c r="B71" s="206" t="s">
        <v>91</v>
      </c>
      <c r="C71" s="209">
        <v>0.50694444444444442</v>
      </c>
      <c r="D71" s="236">
        <f>11+15/60+12+24+D68</f>
        <v>166.58333333333331</v>
      </c>
      <c r="E71" s="238">
        <v>8</v>
      </c>
      <c r="F71" s="82" t="s">
        <v>104</v>
      </c>
      <c r="G71" s="43">
        <v>0.52600000000000002</v>
      </c>
      <c r="H71" s="42">
        <f t="shared" si="22"/>
        <v>3.0211336000000002</v>
      </c>
      <c r="I71" s="42">
        <f>H71/10</f>
        <v>0.30211336</v>
      </c>
      <c r="J71" s="42">
        <f t="shared" si="19"/>
        <v>2.1579525714285713E-2</v>
      </c>
      <c r="K71" s="42">
        <f t="shared" si="20"/>
        <v>2.1579525714285713E-2</v>
      </c>
      <c r="L71" s="42">
        <f t="shared" si="21"/>
        <v>1.3379305942857143</v>
      </c>
      <c r="M71" s="77"/>
      <c r="N71" s="42"/>
      <c r="O71" s="66"/>
      <c r="Q71" s="62">
        <f>D86</f>
        <v>408.0333333333333</v>
      </c>
      <c r="R71" s="42">
        <f>M88</f>
        <v>0.7618242619047616</v>
      </c>
      <c r="S71" s="42">
        <f>O88</f>
        <v>9.8495597428977455E-2</v>
      </c>
      <c r="T71" s="42"/>
      <c r="U71" s="145"/>
      <c r="V71" s="145"/>
      <c r="W71" s="145"/>
    </row>
    <row r="72" spans="2:23" ht="15" customHeight="1">
      <c r="B72" s="206"/>
      <c r="C72" s="209"/>
      <c r="D72" s="236"/>
      <c r="E72" s="238"/>
      <c r="F72" s="82" t="s">
        <v>105</v>
      </c>
      <c r="G72" s="43">
        <v>0.53900000000000003</v>
      </c>
      <c r="H72" s="42">
        <f t="shared" si="22"/>
        <v>3.0958003999999999</v>
      </c>
      <c r="I72" s="42">
        <f t="shared" ref="I72:I85" si="24">H72/10</f>
        <v>0.30958004</v>
      </c>
      <c r="J72" s="42">
        <f t="shared" si="19"/>
        <v>2.2112860000000002E-2</v>
      </c>
      <c r="K72" s="42">
        <f t="shared" si="20"/>
        <v>2.2112860000000002E-2</v>
      </c>
      <c r="L72" s="42">
        <f t="shared" si="21"/>
        <v>1.3709973200000001</v>
      </c>
      <c r="M72" s="77"/>
      <c r="N72" s="42"/>
      <c r="O72" s="66"/>
      <c r="Q72" s="62"/>
      <c r="R72" s="42"/>
      <c r="S72" s="42"/>
      <c r="T72" s="42"/>
      <c r="U72" s="145"/>
      <c r="V72" s="145"/>
      <c r="W72" s="145"/>
    </row>
    <row r="73" spans="2:23" ht="15" customHeight="1">
      <c r="B73" s="206"/>
      <c r="C73" s="209"/>
      <c r="D73" s="236"/>
      <c r="E73" s="238"/>
      <c r="F73" s="82" t="s">
        <v>106</v>
      </c>
      <c r="G73" s="43">
        <v>0.50600000000000001</v>
      </c>
      <c r="H73" s="42">
        <f t="shared" si="22"/>
        <v>2.9062616000000001</v>
      </c>
      <c r="I73" s="51">
        <f t="shared" si="24"/>
        <v>0.29062616000000002</v>
      </c>
      <c r="J73" s="42">
        <f t="shared" si="19"/>
        <v>2.0759011428571429E-2</v>
      </c>
      <c r="K73" s="42">
        <f t="shared" si="20"/>
        <v>2.0759011428571429E-2</v>
      </c>
      <c r="L73" s="42">
        <f t="shared" si="21"/>
        <v>1.2870587085714287</v>
      </c>
      <c r="M73" s="77">
        <f>AVERAGE(L71:L73)</f>
        <v>1.3319955409523809</v>
      </c>
      <c r="N73" s="42">
        <f>STDEV(L71:L73)</f>
        <v>4.2282872013278697E-2</v>
      </c>
      <c r="O73" s="66">
        <f>N73/SQRT(3)</f>
        <v>2.4412027538976949E-2</v>
      </c>
      <c r="Q73" s="62"/>
      <c r="R73" s="42"/>
      <c r="S73" s="42"/>
      <c r="T73" s="42"/>
      <c r="U73" s="145"/>
      <c r="V73" s="145"/>
      <c r="W73" s="145"/>
    </row>
    <row r="74" spans="2:23">
      <c r="B74" s="205" t="s">
        <v>93</v>
      </c>
      <c r="C74" s="208">
        <v>0.47222222222222227</v>
      </c>
      <c r="D74" s="235">
        <f>50/60+24+24+D71</f>
        <v>215.41666666666663</v>
      </c>
      <c r="E74" s="237">
        <v>10</v>
      </c>
      <c r="F74" s="82" t="s">
        <v>104</v>
      </c>
      <c r="G74" s="57">
        <v>0.53900000000000003</v>
      </c>
      <c r="H74" s="58">
        <f>5.2957*G74</f>
        <v>2.8543823000000001</v>
      </c>
      <c r="I74" s="42">
        <f t="shared" si="24"/>
        <v>0.28543823000000001</v>
      </c>
      <c r="J74" s="58">
        <f t="shared" si="19"/>
        <v>2.0388445000000002E-2</v>
      </c>
      <c r="K74" s="58">
        <f t="shared" si="20"/>
        <v>2.0388445000000002E-2</v>
      </c>
      <c r="L74" s="58">
        <f t="shared" si="21"/>
        <v>1.26408359</v>
      </c>
      <c r="M74" s="83"/>
      <c r="N74" s="64"/>
      <c r="O74" s="78"/>
      <c r="Q74" s="30"/>
      <c r="R74" s="42"/>
      <c r="S74" s="42"/>
      <c r="T74" s="42"/>
      <c r="U74" s="42"/>
    </row>
    <row r="75" spans="2:23">
      <c r="B75" s="206"/>
      <c r="C75" s="209"/>
      <c r="D75" s="236"/>
      <c r="E75" s="238"/>
      <c r="F75" s="82" t="s">
        <v>105</v>
      </c>
      <c r="G75" s="43">
        <v>0.53</v>
      </c>
      <c r="H75" s="42">
        <f>5.2957*G75</f>
        <v>2.806721</v>
      </c>
      <c r="I75" s="42">
        <f t="shared" si="24"/>
        <v>0.28067209999999998</v>
      </c>
      <c r="J75" s="42">
        <f t="shared" si="19"/>
        <v>2.0048007142857142E-2</v>
      </c>
      <c r="K75" s="42">
        <f t="shared" si="20"/>
        <v>2.0048007142857142E-2</v>
      </c>
      <c r="L75" s="42">
        <f t="shared" si="21"/>
        <v>1.2429764428571428</v>
      </c>
      <c r="M75" s="76"/>
      <c r="N75" s="30"/>
      <c r="O75" s="41"/>
      <c r="T75" s="42"/>
      <c r="U75" s="42"/>
    </row>
    <row r="76" spans="2:23">
      <c r="B76" s="207"/>
      <c r="C76" s="210"/>
      <c r="D76" s="246"/>
      <c r="E76" s="239"/>
      <c r="F76" s="82" t="s">
        <v>106</v>
      </c>
      <c r="G76" s="50">
        <v>0.51300000000000001</v>
      </c>
      <c r="H76" s="51">
        <f>5.2957*G76</f>
        <v>2.7166941000000002</v>
      </c>
      <c r="I76" s="42">
        <f t="shared" si="24"/>
        <v>0.27166941</v>
      </c>
      <c r="J76" s="51">
        <f t="shared" si="19"/>
        <v>1.9404957857142857E-2</v>
      </c>
      <c r="K76" s="51">
        <f t="shared" si="20"/>
        <v>1.9404957857142857E-2</v>
      </c>
      <c r="L76" s="51">
        <f t="shared" si="21"/>
        <v>1.203107387142857</v>
      </c>
      <c r="M76" s="80">
        <f>AVERAGE(L74:L76)</f>
        <v>1.2367224733333333</v>
      </c>
      <c r="N76" s="51">
        <f>STDEV(L74:L76)</f>
        <v>3.0965439280307608E-2</v>
      </c>
      <c r="O76" s="81">
        <f>N76/SQRT(3)</f>
        <v>1.7877904704060608E-2</v>
      </c>
      <c r="T76" s="42"/>
      <c r="U76" s="42"/>
    </row>
    <row r="77" spans="2:23">
      <c r="B77" s="254" t="s">
        <v>95</v>
      </c>
      <c r="C77" s="209">
        <v>0.5</v>
      </c>
      <c r="D77" s="236">
        <v>263.75</v>
      </c>
      <c r="E77" s="238">
        <v>12</v>
      </c>
      <c r="F77" s="82" t="s">
        <v>104</v>
      </c>
      <c r="G77" s="43">
        <v>0.72</v>
      </c>
      <c r="H77" s="42">
        <f>5.4029*G77</f>
        <v>3.8900879999999995</v>
      </c>
      <c r="I77" s="42">
        <f t="shared" ref="I77:I82" si="25">H77/15</f>
        <v>0.25933919999999999</v>
      </c>
      <c r="J77" s="42">
        <f t="shared" si="19"/>
        <v>1.8524228571428571E-2</v>
      </c>
      <c r="K77" s="42">
        <f t="shared" si="20"/>
        <v>1.8524228571428571E-2</v>
      </c>
      <c r="L77" s="42">
        <f t="shared" si="21"/>
        <v>1.1485021714285715</v>
      </c>
      <c r="M77" s="76"/>
      <c r="N77" s="30"/>
      <c r="O77" s="41"/>
      <c r="T77" s="42"/>
      <c r="U77" s="42"/>
    </row>
    <row r="78" spans="2:23">
      <c r="B78" s="206"/>
      <c r="C78" s="209"/>
      <c r="D78" s="236"/>
      <c r="E78" s="238"/>
      <c r="F78" s="82" t="s">
        <v>105</v>
      </c>
      <c r="G78" s="43">
        <v>0.65400000000000003</v>
      </c>
      <c r="H78" s="42">
        <f>5.4029*G78</f>
        <v>3.5334965999999999</v>
      </c>
      <c r="I78" s="42">
        <f t="shared" si="25"/>
        <v>0.23556643999999999</v>
      </c>
      <c r="J78" s="42">
        <f t="shared" si="19"/>
        <v>1.6826174285714285E-2</v>
      </c>
      <c r="K78" s="42">
        <f t="shared" si="20"/>
        <v>1.6826174285714285E-2</v>
      </c>
      <c r="L78" s="42">
        <f t="shared" si="21"/>
        <v>1.0432228057142856</v>
      </c>
      <c r="M78" s="76"/>
      <c r="N78" s="30"/>
      <c r="O78" s="41"/>
      <c r="T78" s="42"/>
      <c r="U78" s="42"/>
    </row>
    <row r="79" spans="2:23">
      <c r="B79" s="206"/>
      <c r="C79" s="209"/>
      <c r="D79" s="236"/>
      <c r="E79" s="238"/>
      <c r="F79" s="82" t="s">
        <v>106</v>
      </c>
      <c r="G79" s="43">
        <v>0.7</v>
      </c>
      <c r="H79" s="42">
        <f>5.4029*G79</f>
        <v>3.7820299999999998</v>
      </c>
      <c r="I79" s="51">
        <f t="shared" si="25"/>
        <v>0.25213533333333332</v>
      </c>
      <c r="J79" s="42">
        <f t="shared" si="19"/>
        <v>1.8009666666666667E-2</v>
      </c>
      <c r="K79" s="42">
        <f t="shared" si="20"/>
        <v>1.8009666666666667E-2</v>
      </c>
      <c r="L79" s="42">
        <f t="shared" si="21"/>
        <v>1.1165993333333333</v>
      </c>
      <c r="M79" s="77">
        <f>AVERAGE(L77:L79)</f>
        <v>1.10277477015873</v>
      </c>
      <c r="N79" s="42">
        <f>STDEV(L77:L79)</f>
        <v>5.3984026540515047E-2</v>
      </c>
      <c r="O79" s="66">
        <f>N79/SQRT(2)</f>
        <v>3.8172471242552748E-2</v>
      </c>
      <c r="T79" s="42"/>
      <c r="U79" s="42"/>
    </row>
    <row r="80" spans="2:23">
      <c r="B80" s="205" t="s">
        <v>103</v>
      </c>
      <c r="C80" s="208">
        <v>0.50763888888888886</v>
      </c>
      <c r="D80" s="235">
        <v>312.06666666666666</v>
      </c>
      <c r="E80" s="237">
        <v>14</v>
      </c>
      <c r="F80" s="82" t="s">
        <v>104</v>
      </c>
      <c r="G80" s="57">
        <v>0.97899999999999998</v>
      </c>
      <c r="H80" s="58">
        <f>3.3959*G80</f>
        <v>3.3245860999999999</v>
      </c>
      <c r="I80" s="42">
        <f t="shared" si="25"/>
        <v>0.22163907333333333</v>
      </c>
      <c r="J80" s="58">
        <f t="shared" si="19"/>
        <v>1.5831362380952379E-2</v>
      </c>
      <c r="K80" s="58">
        <f t="shared" si="20"/>
        <v>1.5831362380952379E-2</v>
      </c>
      <c r="L80" s="58">
        <f t="shared" si="21"/>
        <v>0.98154446761904746</v>
      </c>
      <c r="M80" s="79"/>
      <c r="N80" s="58"/>
      <c r="O80" s="63"/>
      <c r="T80" s="42"/>
      <c r="U80" s="42"/>
    </row>
    <row r="81" spans="1:21">
      <c r="B81" s="206"/>
      <c r="C81" s="209"/>
      <c r="D81" s="236"/>
      <c r="E81" s="238"/>
      <c r="F81" s="82" t="s">
        <v>105</v>
      </c>
      <c r="G81" s="43">
        <v>0.96899999999999997</v>
      </c>
      <c r="H81" s="42">
        <f>3.3959*G81</f>
        <v>3.2906271</v>
      </c>
      <c r="I81" s="42">
        <f t="shared" si="25"/>
        <v>0.21937514</v>
      </c>
      <c r="J81" s="42">
        <f t="shared" si="19"/>
        <v>1.5669652857142856E-2</v>
      </c>
      <c r="K81" s="42">
        <f t="shared" si="20"/>
        <v>1.5669652857142856E-2</v>
      </c>
      <c r="L81" s="42">
        <f t="shared" si="21"/>
        <v>0.97151847714285711</v>
      </c>
      <c r="M81" s="77"/>
      <c r="N81" s="42"/>
      <c r="O81" s="66"/>
      <c r="T81" s="42"/>
      <c r="U81" s="42"/>
    </row>
    <row r="82" spans="1:21">
      <c r="B82" s="207"/>
      <c r="C82" s="210"/>
      <c r="D82" s="246"/>
      <c r="E82" s="239"/>
      <c r="F82" s="82" t="s">
        <v>106</v>
      </c>
      <c r="G82" s="50">
        <v>1.0089999999999999</v>
      </c>
      <c r="H82" s="51">
        <f>3.3959*G82</f>
        <v>3.4264630999999999</v>
      </c>
      <c r="I82" s="42">
        <f t="shared" si="25"/>
        <v>0.22843087333333331</v>
      </c>
      <c r="J82" s="51">
        <f t="shared" si="19"/>
        <v>1.6316490952380951E-2</v>
      </c>
      <c r="K82" s="51">
        <f t="shared" si="20"/>
        <v>1.6316490952380951E-2</v>
      </c>
      <c r="L82" s="51">
        <f t="shared" si="21"/>
        <v>1.0116224390476189</v>
      </c>
      <c r="M82" s="80">
        <f>AVERAGE(L80:L82)</f>
        <v>0.98822846126984121</v>
      </c>
      <c r="N82" s="51">
        <f>STDEV(L80:L82)</f>
        <v>2.087076348525696E-2</v>
      </c>
      <c r="O82" s="81">
        <f>N82/SQRT(2)</f>
        <v>1.4757858388965778E-2</v>
      </c>
      <c r="T82" s="42"/>
      <c r="U82" s="42"/>
    </row>
    <row r="83" spans="1:21">
      <c r="B83" s="206" t="s">
        <v>99</v>
      </c>
      <c r="C83" s="209">
        <v>0.50624999999999998</v>
      </c>
      <c r="D83" s="236">
        <v>360.0333333333333</v>
      </c>
      <c r="E83" s="238">
        <v>16</v>
      </c>
      <c r="F83" s="82" t="s">
        <v>104</v>
      </c>
      <c r="G83" s="57">
        <v>0.37</v>
      </c>
      <c r="H83" s="42">
        <f>5.388*G83</f>
        <v>1.99356</v>
      </c>
      <c r="I83" s="42">
        <f t="shared" si="24"/>
        <v>0.19935600000000001</v>
      </c>
      <c r="J83" s="42">
        <f t="shared" si="19"/>
        <v>1.4239714285714286E-2</v>
      </c>
      <c r="K83" s="42">
        <f t="shared" si="20"/>
        <v>1.4239714285714286E-2</v>
      </c>
      <c r="L83" s="42">
        <f t="shared" si="21"/>
        <v>0.88286228571428571</v>
      </c>
      <c r="M83" s="77"/>
      <c r="N83" s="42"/>
      <c r="O83" s="66"/>
      <c r="T83" s="42"/>
      <c r="U83" s="42"/>
    </row>
    <row r="84" spans="1:21">
      <c r="B84" s="206"/>
      <c r="C84" s="209"/>
      <c r="D84" s="236"/>
      <c r="E84" s="238"/>
      <c r="F84" s="82" t="s">
        <v>105</v>
      </c>
      <c r="G84" s="43">
        <v>0.36899999999999999</v>
      </c>
      <c r="H84" s="42">
        <f>5.388*G84</f>
        <v>1.9881719999999998</v>
      </c>
      <c r="I84" s="42">
        <f t="shared" si="24"/>
        <v>0.19881719999999997</v>
      </c>
      <c r="J84" s="42">
        <f t="shared" si="19"/>
        <v>1.4201228571428569E-2</v>
      </c>
      <c r="K84" s="42">
        <f t="shared" si="20"/>
        <v>1.4201228571428569E-2</v>
      </c>
      <c r="L84" s="42">
        <f t="shared" si="21"/>
        <v>0.88047617142857126</v>
      </c>
      <c r="M84" s="77"/>
      <c r="N84" s="42"/>
      <c r="O84" s="66"/>
      <c r="T84" s="42"/>
      <c r="U84" s="42"/>
    </row>
    <row r="85" spans="1:21">
      <c r="B85" s="206"/>
      <c r="C85" s="209"/>
      <c r="D85" s="236"/>
      <c r="E85" s="238"/>
      <c r="F85" s="82" t="s">
        <v>106</v>
      </c>
      <c r="G85" s="50">
        <v>0.36199999999999999</v>
      </c>
      <c r="H85" s="42">
        <f>5.388*G85</f>
        <v>1.950456</v>
      </c>
      <c r="I85" s="51">
        <f t="shared" si="24"/>
        <v>0.19504559999999999</v>
      </c>
      <c r="J85" s="42">
        <f t="shared" si="19"/>
        <v>1.393182857142857E-2</v>
      </c>
      <c r="K85" s="42">
        <f t="shared" si="20"/>
        <v>1.393182857142857E-2</v>
      </c>
      <c r="L85" s="42">
        <f t="shared" si="21"/>
        <v>0.86377337142857136</v>
      </c>
      <c r="M85" s="77">
        <f>AVERAGE(L83:L85)</f>
        <v>0.87570394285714281</v>
      </c>
      <c r="N85" s="42">
        <f>STDEV(L83:L85)</f>
        <v>1.0400831039167311E-2</v>
      </c>
      <c r="O85" s="66">
        <f>N85/SQRT(3)</f>
        <v>6.0049226002590623E-3</v>
      </c>
    </row>
    <row r="86" spans="1:21">
      <c r="B86" s="205" t="s">
        <v>101</v>
      </c>
      <c r="C86" s="208">
        <v>0.50624999999999998</v>
      </c>
      <c r="D86" s="255">
        <v>408.0333333333333</v>
      </c>
      <c r="E86" s="237">
        <v>18</v>
      </c>
      <c r="F86" s="82" t="s">
        <v>104</v>
      </c>
      <c r="G86" s="57">
        <v>0.82433333333333303</v>
      </c>
      <c r="H86" s="58">
        <f>3.9395*G86</f>
        <v>3.2474611666666653</v>
      </c>
      <c r="I86" s="42">
        <f>H86/15</f>
        <v>0.21649741111111101</v>
      </c>
      <c r="J86" s="58">
        <f t="shared" si="19"/>
        <v>1.5464100793650787E-2</v>
      </c>
      <c r="K86" s="58">
        <f t="shared" si="20"/>
        <v>1.5464100793650787E-2</v>
      </c>
      <c r="L86" s="58">
        <f t="shared" si="21"/>
        <v>0.95877424920634879</v>
      </c>
      <c r="M86" s="83"/>
      <c r="N86" s="64"/>
      <c r="O86" s="78"/>
    </row>
    <row r="87" spans="1:21">
      <c r="B87" s="206"/>
      <c r="C87" s="209"/>
      <c r="D87" s="204"/>
      <c r="E87" s="238"/>
      <c r="F87" s="82" t="s">
        <v>105</v>
      </c>
      <c r="G87" s="43">
        <v>0.57333333333333303</v>
      </c>
      <c r="H87" s="42">
        <f>3.9395*G87</f>
        <v>2.2586466666666651</v>
      </c>
      <c r="I87" s="42">
        <f>H87/15</f>
        <v>0.15057644444444435</v>
      </c>
      <c r="J87" s="42">
        <f t="shared" si="19"/>
        <v>1.0755460317460311E-2</v>
      </c>
      <c r="K87" s="42">
        <f t="shared" si="20"/>
        <v>1.0755460317460311E-2</v>
      </c>
      <c r="L87" s="42">
        <f t="shared" si="21"/>
        <v>0.66683853968253926</v>
      </c>
      <c r="M87" s="76"/>
      <c r="N87" s="30"/>
      <c r="O87" s="41"/>
    </row>
    <row r="88" spans="1:21" ht="14" thickBot="1">
      <c r="A88" s="26"/>
      <c r="B88" s="226"/>
      <c r="C88" s="227"/>
      <c r="D88" s="233"/>
      <c r="E88" s="253"/>
      <c r="F88" s="134" t="s">
        <v>106</v>
      </c>
      <c r="G88" s="135">
        <v>0.56733333333333302</v>
      </c>
      <c r="H88" s="70">
        <f>3.9395*G88</f>
        <v>2.2350096666666652</v>
      </c>
      <c r="I88" s="70">
        <f>H88/15</f>
        <v>0.14900064444444436</v>
      </c>
      <c r="J88" s="70">
        <f t="shared" si="19"/>
        <v>1.0642903174603169E-2</v>
      </c>
      <c r="K88" s="70">
        <f t="shared" si="20"/>
        <v>1.0642903174603169E-2</v>
      </c>
      <c r="L88" s="70">
        <f t="shared" si="21"/>
        <v>0.65985999682539653</v>
      </c>
      <c r="M88" s="146">
        <f>AVERAGE(L86:L88)</f>
        <v>0.7618242619047616</v>
      </c>
      <c r="N88" s="70">
        <f>STDEV(L86:L88)</f>
        <v>0.17059937906883943</v>
      </c>
      <c r="O88" s="147">
        <f>N88/SQRT(3)</f>
        <v>9.8495597428977455E-2</v>
      </c>
    </row>
    <row r="89" spans="1:21"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</row>
    <row r="90" spans="1:21"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</row>
    <row r="91" spans="1:21"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</row>
    <row r="92" spans="1:21"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</row>
    <row r="93" spans="1:21"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</row>
    <row r="94" spans="1:21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</row>
    <row r="95" spans="1:21"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</row>
    <row r="96" spans="1:21"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</row>
    <row r="97" spans="2:15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</row>
    <row r="98" spans="2:15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</row>
    <row r="99" spans="2:15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</row>
    <row r="100" spans="2:15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</row>
    <row r="101" spans="2:15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</row>
    <row r="102" spans="2:15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</row>
    <row r="103" spans="2:15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</row>
    <row r="104" spans="2:15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</row>
    <row r="105" spans="2:15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</row>
    <row r="106" spans="2:15"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</row>
    <row r="107" spans="2:15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</row>
    <row r="108" spans="2:15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</row>
    <row r="109" spans="2:15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</row>
    <row r="110" spans="2:15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</row>
    <row r="111" spans="2:15"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</row>
    <row r="112" spans="2:15"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</row>
    <row r="113" spans="2:15"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</row>
    <row r="114" spans="2:15"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</row>
    <row r="115" spans="2:15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</row>
    <row r="116" spans="2:15"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</row>
    <row r="117" spans="2:15"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</row>
    <row r="118" spans="2:15"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</row>
    <row r="119" spans="2:15"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</row>
    <row r="120" spans="2:15"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</row>
    <row r="121" spans="2:15"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</row>
    <row r="122" spans="2:15"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</row>
    <row r="123" spans="2:15"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</row>
    <row r="124" spans="2:15"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</row>
    <row r="125" spans="2:15"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</row>
    <row r="126" spans="2:15"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2:15"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</row>
    <row r="128" spans="2:15"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</row>
    <row r="129" spans="2:15"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</row>
    <row r="130" spans="2:15"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</row>
    <row r="131" spans="2:15"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</row>
    <row r="132" spans="2:15"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</row>
    <row r="133" spans="2:15"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</row>
    <row r="134" spans="2:15"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</row>
    <row r="135" spans="2:15"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</row>
    <row r="136" spans="2:15"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</row>
    <row r="137" spans="2:15"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</row>
    <row r="138" spans="2:15"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</row>
    <row r="139" spans="2:15"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</row>
    <row r="140" spans="2:15"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</row>
    <row r="141" spans="2:15"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</row>
    <row r="142" spans="2:15"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</row>
    <row r="143" spans="2:15"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2:15"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</row>
    <row r="145" spans="2:15"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</row>
    <row r="146" spans="2:15"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</row>
    <row r="147" spans="2:15"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</row>
    <row r="148" spans="2:15"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</row>
    <row r="149" spans="2:15"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</row>
    <row r="150" spans="2:15"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</row>
    <row r="151" spans="2:15"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</row>
    <row r="152" spans="2:15"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</row>
    <row r="153" spans="2:15"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</row>
    <row r="154" spans="2:15"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</row>
    <row r="155" spans="2:15"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</row>
    <row r="156" spans="2:15"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</row>
    <row r="157" spans="2:15"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</row>
    <row r="158" spans="2:15"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</row>
    <row r="159" spans="2:15"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</row>
    <row r="160" spans="2:15"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</row>
    <row r="161" spans="2:15"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</row>
    <row r="162" spans="2:15"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</row>
    <row r="163" spans="2:15"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</row>
    <row r="164" spans="2:15"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</row>
    <row r="165" spans="2:15"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</row>
    <row r="166" spans="2:15"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</row>
    <row r="167" spans="2:15"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</row>
    <row r="168" spans="2:15"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</row>
    <row r="169" spans="2:15"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</row>
    <row r="170" spans="2:15"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</row>
    <row r="171" spans="2:15"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</row>
    <row r="172" spans="2:15"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</row>
    <row r="173" spans="2:15"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</row>
    <row r="174" spans="2:15"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</row>
    <row r="175" spans="2:15"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</row>
    <row r="176" spans="2:15"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</row>
    <row r="177" spans="2:15"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2:15"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</row>
    <row r="179" spans="2:15"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</row>
    <row r="180" spans="2:15"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</row>
    <row r="181" spans="2:15"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</row>
    <row r="182" spans="2:15"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</row>
    <row r="183" spans="2:15"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</row>
    <row r="184" spans="2:15"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</row>
    <row r="185" spans="2:15"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</row>
    <row r="186" spans="2:15"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</row>
    <row r="187" spans="2:15"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</row>
    <row r="188" spans="2:15"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</row>
    <row r="189" spans="2:15"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</row>
    <row r="190" spans="2:15"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</row>
    <row r="191" spans="2:15"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</row>
    <row r="192" spans="2:15"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</row>
    <row r="193" spans="2:15">
      <c r="B193" s="30"/>
      <c r="C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</row>
    <row r="194" spans="2:15">
      <c r="B194" s="30"/>
      <c r="C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</row>
    <row r="195" spans="2:15">
      <c r="B195" s="30"/>
      <c r="C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</row>
    <row r="196" spans="2:15">
      <c r="B196" s="30"/>
      <c r="C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</row>
    <row r="197" spans="2:15">
      <c r="B197" s="30"/>
      <c r="C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</row>
    <row r="198" spans="2:15">
      <c r="B198" s="30"/>
      <c r="C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</row>
    <row r="199" spans="2:15">
      <c r="B199" s="30"/>
      <c r="C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</row>
    <row r="200" spans="2:15">
      <c r="B200" s="30"/>
      <c r="C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</row>
    <row r="201" spans="2:15"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</row>
    <row r="202" spans="2:15">
      <c r="B202" s="30"/>
      <c r="C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</row>
    <row r="203" spans="2:15">
      <c r="B203" s="30"/>
      <c r="C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</row>
    <row r="204" spans="2:15">
      <c r="B204" s="30"/>
      <c r="C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</row>
    <row r="205" spans="2:15">
      <c r="B205" s="30"/>
      <c r="C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</row>
    <row r="206" spans="2:15">
      <c r="B206" s="30"/>
      <c r="C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</row>
    <row r="207" spans="2:15">
      <c r="B207" s="30"/>
      <c r="C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</row>
    <row r="208" spans="2:15"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</row>
    <row r="209" spans="2:15">
      <c r="B209" s="30"/>
      <c r="C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</row>
    <row r="210" spans="2:15">
      <c r="B210" s="30"/>
      <c r="C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</row>
    <row r="211" spans="2:15">
      <c r="B211" s="30"/>
      <c r="C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</row>
    <row r="212" spans="2:15">
      <c r="B212" s="30"/>
      <c r="C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</row>
    <row r="213" spans="2:15">
      <c r="B213" s="30"/>
      <c r="C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</row>
    <row r="214" spans="2:15">
      <c r="B214" s="30"/>
      <c r="C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</row>
    <row r="215" spans="2:15">
      <c r="B215" s="30"/>
      <c r="C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</row>
    <row r="216" spans="2:15">
      <c r="B216" s="30"/>
      <c r="C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</row>
    <row r="217" spans="2:15">
      <c r="B217" s="30"/>
      <c r="C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</row>
    <row r="218" spans="2:15">
      <c r="B218" s="30"/>
      <c r="C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</row>
    <row r="219" spans="2:15">
      <c r="B219" s="30"/>
      <c r="C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</row>
    <row r="220" spans="2:15">
      <c r="B220" s="30"/>
      <c r="C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</row>
    <row r="221" spans="2:15"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</row>
    <row r="222" spans="2:15">
      <c r="B222" s="30"/>
      <c r="C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</row>
    <row r="223" spans="2:15">
      <c r="B223" s="30"/>
      <c r="C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</row>
    <row r="224" spans="2:15">
      <c r="B224" s="30"/>
      <c r="C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</row>
    <row r="225" spans="2:15">
      <c r="B225" s="30"/>
      <c r="C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</row>
    <row r="226" spans="2:15">
      <c r="B226" s="30"/>
      <c r="C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</row>
    <row r="227" spans="2:15">
      <c r="B227" s="30"/>
      <c r="C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</row>
    <row r="228" spans="2:15"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</row>
    <row r="229" spans="2:15">
      <c r="B229" s="30"/>
      <c r="C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</row>
    <row r="230" spans="2:15"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</row>
    <row r="231" spans="2:15">
      <c r="B231" s="30"/>
      <c r="C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</row>
    <row r="232" spans="2:15">
      <c r="B232" s="30"/>
      <c r="C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</row>
    <row r="233" spans="2:15">
      <c r="B233" s="30"/>
      <c r="C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</row>
    <row r="234" spans="2:15">
      <c r="B234" s="30"/>
      <c r="C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</row>
    <row r="235" spans="2:15">
      <c r="B235" s="30"/>
      <c r="C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</row>
    <row r="236" spans="2:15">
      <c r="B236" s="30"/>
      <c r="C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</row>
    <row r="237" spans="2:15">
      <c r="B237" s="30"/>
      <c r="C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</row>
    <row r="238" spans="2:15">
      <c r="B238" s="30"/>
      <c r="C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</row>
    <row r="239" spans="2:15">
      <c r="B239" s="30"/>
      <c r="C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</row>
    <row r="240" spans="2:15">
      <c r="B240" s="30"/>
      <c r="C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</row>
    <row r="241" spans="2:15"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</row>
    <row r="242" spans="2:15">
      <c r="B242" s="30"/>
      <c r="C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</row>
    <row r="243" spans="2:15">
      <c r="B243" s="30"/>
      <c r="C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</row>
    <row r="244" spans="2:15">
      <c r="B244" s="30"/>
      <c r="C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</row>
    <row r="245" spans="2:15">
      <c r="B245" s="30"/>
      <c r="C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</row>
    <row r="246" spans="2:15">
      <c r="B246" s="30"/>
      <c r="C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</row>
    <row r="247" spans="2:15">
      <c r="B247" s="30"/>
      <c r="C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</row>
    <row r="248" spans="2:15">
      <c r="B248" s="30"/>
      <c r="C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</row>
    <row r="249" spans="2:15"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</row>
    <row r="250" spans="2:15">
      <c r="B250" s="30"/>
      <c r="C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</row>
    <row r="251" spans="2:15">
      <c r="B251" s="30"/>
      <c r="C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</row>
    <row r="252" spans="2:15"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</row>
    <row r="253" spans="2:15"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</row>
    <row r="254" spans="2:15">
      <c r="B254" s="30"/>
      <c r="C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</row>
    <row r="255" spans="2:15">
      <c r="B255" s="30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</row>
    <row r="256" spans="2:15">
      <c r="B256" s="30"/>
      <c r="C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</row>
    <row r="257" spans="2:15">
      <c r="B257" s="30"/>
      <c r="C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</row>
    <row r="258" spans="2:15">
      <c r="B258" s="30"/>
      <c r="C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</row>
    <row r="259" spans="2:15">
      <c r="B259" s="30"/>
      <c r="C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</row>
    <row r="260" spans="2:15">
      <c r="B260" s="30"/>
      <c r="C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</row>
    <row r="261" spans="2:15">
      <c r="B261" s="30"/>
      <c r="C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</row>
    <row r="262" spans="2:15">
      <c r="B262" s="30"/>
      <c r="C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</row>
    <row r="263" spans="2:15">
      <c r="B263" s="30"/>
      <c r="C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</row>
    <row r="264" spans="2:15"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</row>
    <row r="265" spans="2:15">
      <c r="B265" s="30"/>
      <c r="C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</row>
    <row r="266" spans="2:15">
      <c r="B266" s="30"/>
      <c r="C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</row>
    <row r="267" spans="2:15">
      <c r="B267" s="30"/>
      <c r="C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</row>
    <row r="268" spans="2:15">
      <c r="B268" s="30"/>
      <c r="C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</row>
    <row r="269" spans="2:15">
      <c r="B269" s="30"/>
      <c r="C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</row>
    <row r="270" spans="2:15">
      <c r="B270" s="30"/>
      <c r="C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</row>
    <row r="271" spans="2:15">
      <c r="B271" s="30"/>
      <c r="C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</row>
    <row r="272" spans="2:15">
      <c r="B272" s="30"/>
      <c r="C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</row>
    <row r="273" spans="2:15">
      <c r="B273" s="30"/>
      <c r="C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</row>
    <row r="274" spans="2:15">
      <c r="B274" s="30"/>
      <c r="C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</row>
    <row r="275" spans="2:15">
      <c r="B275" s="30"/>
      <c r="C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</row>
    <row r="276" spans="2:15">
      <c r="B276" s="30"/>
      <c r="C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</row>
    <row r="277" spans="2:15">
      <c r="B277" s="30"/>
      <c r="C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</row>
    <row r="278" spans="2:15">
      <c r="B278" s="30"/>
      <c r="C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</row>
    <row r="279" spans="2:15"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</row>
    <row r="280" spans="2:15">
      <c r="B280" s="30"/>
      <c r="C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</row>
    <row r="281" spans="2:15">
      <c r="B281" s="30"/>
      <c r="C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</row>
    <row r="282" spans="2:15">
      <c r="B282" s="30"/>
      <c r="C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</row>
    <row r="283" spans="2:15">
      <c r="B283" s="30"/>
      <c r="C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</row>
    <row r="284" spans="2:15">
      <c r="B284" s="30"/>
      <c r="C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</row>
    <row r="285" spans="2:15">
      <c r="B285" s="30"/>
      <c r="C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</row>
    <row r="286" spans="2:15">
      <c r="B286" s="30"/>
      <c r="C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</row>
    <row r="287" spans="2:15">
      <c r="B287" s="30"/>
      <c r="C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</row>
    <row r="288" spans="2:15"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</row>
    <row r="289" spans="2:15">
      <c r="B289" s="30"/>
      <c r="C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</row>
    <row r="290" spans="2:15"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</row>
    <row r="291" spans="2:15">
      <c r="B291" s="30"/>
      <c r="C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</row>
    <row r="292" spans="2:15">
      <c r="B292" s="30"/>
      <c r="C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</row>
    <row r="293" spans="2:15">
      <c r="B293" s="30"/>
      <c r="C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</row>
    <row r="294" spans="2:15">
      <c r="B294" s="30"/>
      <c r="C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</row>
    <row r="295" spans="2:15">
      <c r="B295" s="30"/>
      <c r="C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</row>
    <row r="296" spans="2:15">
      <c r="B296" s="30"/>
      <c r="C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</row>
    <row r="297" spans="2:15"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</row>
    <row r="298" spans="2:15"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</row>
    <row r="299" spans="2:15">
      <c r="B299" s="30"/>
      <c r="C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</row>
    <row r="300" spans="2:15">
      <c r="B300" s="30"/>
      <c r="C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</row>
    <row r="301" spans="2:15">
      <c r="B301" s="30"/>
      <c r="C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</row>
    <row r="302" spans="2:15">
      <c r="B302" s="30"/>
      <c r="C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</row>
    <row r="303" spans="2:15">
      <c r="B303" s="30"/>
      <c r="C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</row>
    <row r="304" spans="2:15">
      <c r="B304" s="30"/>
      <c r="C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</row>
    <row r="305" spans="2:15">
      <c r="B305" s="30"/>
      <c r="C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</row>
    <row r="306" spans="2:15">
      <c r="B306" s="30"/>
      <c r="C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</row>
    <row r="307" spans="2:15">
      <c r="B307" s="30"/>
      <c r="C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</row>
    <row r="308" spans="2:15"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</row>
    <row r="309" spans="2:15">
      <c r="B309" s="30"/>
      <c r="C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</row>
    <row r="310" spans="2:15">
      <c r="B310" s="30"/>
      <c r="C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</row>
    <row r="311" spans="2:15">
      <c r="B311" s="30"/>
      <c r="C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</row>
    <row r="312" spans="2:15">
      <c r="B312" s="30"/>
      <c r="C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</row>
    <row r="313" spans="2:15">
      <c r="B313" s="30"/>
      <c r="C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</row>
    <row r="314" spans="2:15">
      <c r="B314" s="30"/>
      <c r="C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</row>
    <row r="315" spans="2:15">
      <c r="B315" s="30"/>
      <c r="C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</row>
    <row r="316" spans="2:15">
      <c r="B316" s="30"/>
      <c r="C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</row>
    <row r="317" spans="2:15"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</row>
    <row r="318" spans="2:15">
      <c r="B318" s="30"/>
      <c r="C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</row>
    <row r="319" spans="2:15">
      <c r="B319" s="30"/>
      <c r="C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</row>
    <row r="320" spans="2:15">
      <c r="B320" s="30"/>
      <c r="C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</row>
    <row r="321" spans="2:15">
      <c r="B321" s="30"/>
      <c r="C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</row>
    <row r="322" spans="2:15">
      <c r="B322" s="30"/>
      <c r="C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</row>
    <row r="323" spans="2:15">
      <c r="B323" s="30"/>
      <c r="C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</row>
    <row r="324" spans="2:15">
      <c r="B324" s="30"/>
      <c r="C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</row>
    <row r="325" spans="2:15"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</row>
    <row r="326" spans="2:15">
      <c r="B326" s="30"/>
      <c r="C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</row>
    <row r="327" spans="2:15"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</row>
    <row r="328" spans="2:15">
      <c r="B328" s="30"/>
      <c r="C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</row>
    <row r="329" spans="2:15">
      <c r="B329" s="30"/>
      <c r="C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</row>
    <row r="330" spans="2:15">
      <c r="B330" s="30"/>
      <c r="C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</row>
    <row r="331" spans="2:15"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</row>
    <row r="332" spans="2:15"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</row>
    <row r="333" spans="2:15">
      <c r="B333" s="30"/>
      <c r="C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</row>
    <row r="334" spans="2:15">
      <c r="B334" s="30"/>
      <c r="C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</row>
    <row r="335" spans="2:15">
      <c r="B335" s="30"/>
      <c r="C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</row>
    <row r="336" spans="2:15">
      <c r="B336" s="30"/>
      <c r="C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</row>
    <row r="337" spans="2:15">
      <c r="B337" s="30"/>
      <c r="C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</row>
    <row r="338" spans="2:15">
      <c r="B338" s="30"/>
      <c r="C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</row>
    <row r="339" spans="2:15"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</row>
    <row r="340" spans="2:15">
      <c r="B340" s="30"/>
      <c r="C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</row>
    <row r="341" spans="2:15">
      <c r="B341" s="30"/>
      <c r="C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</row>
    <row r="342" spans="2:15">
      <c r="B342" s="30"/>
      <c r="C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</row>
    <row r="343" spans="2:15">
      <c r="B343" s="30"/>
      <c r="C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</row>
    <row r="344" spans="2:15">
      <c r="B344" s="30"/>
      <c r="C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</row>
    <row r="345" spans="2:15">
      <c r="B345" s="30"/>
      <c r="C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</row>
    <row r="346" spans="2:15">
      <c r="B346" s="30"/>
      <c r="C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</row>
    <row r="347" spans="2:15">
      <c r="B347" s="30"/>
      <c r="C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</row>
    <row r="348" spans="2:15">
      <c r="B348" s="30"/>
      <c r="C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</row>
    <row r="349" spans="2:15">
      <c r="B349" s="30"/>
      <c r="C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</row>
    <row r="350" spans="2:15">
      <c r="B350" s="30"/>
      <c r="C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</row>
    <row r="351" spans="2:15"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</row>
    <row r="352" spans="2:15">
      <c r="B352" s="30"/>
      <c r="C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</row>
    <row r="353" spans="2:15">
      <c r="B353" s="30"/>
      <c r="C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</row>
    <row r="354" spans="2:15"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</row>
    <row r="355" spans="2:15">
      <c r="B355" s="30"/>
      <c r="C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</row>
    <row r="356" spans="2:15">
      <c r="B356" s="30"/>
      <c r="C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</row>
    <row r="357" spans="2:15">
      <c r="B357" s="30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</row>
    <row r="358" spans="2:15">
      <c r="B358" s="30"/>
      <c r="C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</row>
    <row r="359" spans="2:15">
      <c r="B359" s="30"/>
      <c r="C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</row>
    <row r="360" spans="2:15">
      <c r="B360" s="30"/>
      <c r="C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</row>
    <row r="361" spans="2:15">
      <c r="B361" s="30"/>
      <c r="C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</row>
    <row r="362" spans="2:15">
      <c r="B362" s="30"/>
      <c r="C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</row>
    <row r="363" spans="2:15">
      <c r="B363" s="30"/>
      <c r="C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</row>
    <row r="364" spans="2:15"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</row>
    <row r="365" spans="2:15">
      <c r="B365" s="30"/>
      <c r="C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</row>
    <row r="366" spans="2:15">
      <c r="B366" s="30"/>
      <c r="C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</row>
    <row r="367" spans="2:15">
      <c r="B367" s="30"/>
      <c r="C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</row>
    <row r="368" spans="2:15">
      <c r="B368" s="30"/>
      <c r="C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</row>
    <row r="369" spans="2:15">
      <c r="B369" s="30"/>
      <c r="C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</row>
    <row r="370" spans="2:15">
      <c r="B370" s="30"/>
      <c r="C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</row>
    <row r="371" spans="2:15"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</row>
    <row r="372" spans="2:15">
      <c r="B372" s="30"/>
      <c r="C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</row>
    <row r="373" spans="2:15">
      <c r="B373" s="30"/>
      <c r="C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</row>
    <row r="374" spans="2:15">
      <c r="B374" s="30"/>
      <c r="C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</row>
    <row r="375" spans="2:15">
      <c r="B375" s="30"/>
      <c r="C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</row>
    <row r="376" spans="2:15">
      <c r="B376" s="30"/>
      <c r="C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</row>
    <row r="377" spans="2:15"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</row>
    <row r="378" spans="2:15">
      <c r="B378" s="30"/>
      <c r="C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</row>
    <row r="379" spans="2:15">
      <c r="B379" s="30"/>
      <c r="C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</row>
    <row r="380" spans="2:15">
      <c r="B380" s="30"/>
      <c r="C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</row>
    <row r="381" spans="2:15">
      <c r="B381" s="30"/>
      <c r="C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</row>
    <row r="382" spans="2:15">
      <c r="B382" s="30"/>
      <c r="C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</row>
    <row r="383" spans="2:15">
      <c r="B383" s="30"/>
      <c r="C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</row>
    <row r="384" spans="2:15">
      <c r="B384" s="30"/>
      <c r="C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</row>
    <row r="385" spans="2:15">
      <c r="B385" s="30"/>
      <c r="C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</row>
    <row r="386" spans="2:15">
      <c r="B386" s="30"/>
      <c r="C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</row>
    <row r="387" spans="2:15"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</row>
    <row r="388" spans="2:15">
      <c r="B388" s="30"/>
      <c r="C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</row>
    <row r="389" spans="2:15">
      <c r="B389" s="30"/>
      <c r="C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</row>
    <row r="390" spans="2:15">
      <c r="B390" s="30"/>
      <c r="C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</row>
    <row r="391" spans="2:15">
      <c r="B391" s="30"/>
      <c r="C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</row>
    <row r="392" spans="2:15"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</row>
    <row r="393" spans="2:15">
      <c r="B393" s="30"/>
      <c r="C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</row>
    <row r="394" spans="2:15">
      <c r="B394" s="30"/>
      <c r="C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</row>
    <row r="395" spans="2:15">
      <c r="B395" s="30"/>
      <c r="C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</row>
    <row r="396" spans="2:15">
      <c r="B396" s="30"/>
      <c r="C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</row>
    <row r="397" spans="2:15">
      <c r="B397" s="30"/>
      <c r="C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</row>
    <row r="398" spans="2:15">
      <c r="B398" s="30"/>
      <c r="C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</row>
    <row r="399" spans="2:15">
      <c r="B399" s="30"/>
      <c r="C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</row>
    <row r="400" spans="2:15">
      <c r="B400" s="30"/>
      <c r="C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</row>
    <row r="401" spans="2:15"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</row>
    <row r="402" spans="2:15">
      <c r="B402" s="30"/>
      <c r="C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</row>
    <row r="403" spans="2:15">
      <c r="B403" s="30"/>
      <c r="C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</row>
    <row r="404" spans="2:15">
      <c r="B404" s="30"/>
      <c r="C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</row>
    <row r="405" spans="2:15">
      <c r="B405" s="30"/>
      <c r="C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</row>
    <row r="406" spans="2:15">
      <c r="B406" s="30"/>
      <c r="C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</row>
    <row r="407" spans="2:15">
      <c r="B407" s="30"/>
      <c r="C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</row>
    <row r="408" spans="2:15">
      <c r="B408" s="30"/>
      <c r="C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</row>
    <row r="409" spans="2:15">
      <c r="B409" s="30"/>
      <c r="C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</row>
    <row r="410" spans="2:15">
      <c r="B410" s="30"/>
      <c r="C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</row>
    <row r="411" spans="2:15">
      <c r="B411" s="30"/>
      <c r="C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</row>
    <row r="412" spans="2:15">
      <c r="B412" s="30"/>
      <c r="C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</row>
    <row r="413" spans="2:15">
      <c r="B413" s="30"/>
      <c r="C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</row>
    <row r="414" spans="2:15">
      <c r="B414" s="30"/>
      <c r="C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</row>
    <row r="415" spans="2:15">
      <c r="B415" s="30"/>
      <c r="C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</row>
    <row r="416" spans="2:15">
      <c r="B416" s="30"/>
      <c r="C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</row>
    <row r="417" spans="2:15">
      <c r="B417" s="30"/>
      <c r="C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</row>
    <row r="418" spans="2:15">
      <c r="B418" s="30"/>
      <c r="C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</row>
    <row r="419" spans="2:15">
      <c r="B419" s="30"/>
      <c r="C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</row>
    <row r="420" spans="2:15">
      <c r="B420" s="30"/>
      <c r="C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</row>
    <row r="421" spans="2:15">
      <c r="B421" s="30"/>
      <c r="C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</row>
    <row r="422" spans="2:15">
      <c r="B422" s="30"/>
      <c r="C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</row>
    <row r="423" spans="2:15">
      <c r="B423" s="30"/>
      <c r="C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</row>
    <row r="424" spans="2:15">
      <c r="B424" s="30"/>
      <c r="C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</row>
    <row r="425" spans="2:15">
      <c r="B425" s="30"/>
      <c r="C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</row>
    <row r="426" spans="2:15">
      <c r="B426" s="30"/>
      <c r="C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</row>
    <row r="427" spans="2:15">
      <c r="B427" s="30"/>
      <c r="C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</row>
    <row r="428" spans="2:15">
      <c r="B428" s="30"/>
      <c r="C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</row>
    <row r="429" spans="2:15">
      <c r="B429" s="30"/>
      <c r="C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</row>
    <row r="430" spans="2:15">
      <c r="B430" s="30"/>
      <c r="C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</row>
    <row r="431" spans="2:15">
      <c r="B431" s="30"/>
      <c r="C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</row>
    <row r="432" spans="2:15">
      <c r="B432" s="30"/>
      <c r="C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</row>
    <row r="433" spans="2:15">
      <c r="B433" s="30"/>
      <c r="C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</row>
    <row r="434" spans="2:15">
      <c r="B434" s="30"/>
      <c r="C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</row>
    <row r="435" spans="2:15">
      <c r="B435" s="30"/>
      <c r="C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</row>
    <row r="436" spans="2:15">
      <c r="B436" s="30"/>
      <c r="C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</row>
    <row r="437" spans="2:15">
      <c r="B437" s="30"/>
      <c r="C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</row>
    <row r="438" spans="2:15">
      <c r="B438" s="30"/>
      <c r="C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</row>
    <row r="439" spans="2:15">
      <c r="B439" s="30"/>
      <c r="C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</row>
    <row r="440" spans="2:15">
      <c r="B440" s="30"/>
      <c r="C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</row>
    <row r="441" spans="2:15">
      <c r="B441" s="30"/>
      <c r="C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</row>
    <row r="442" spans="2:15">
      <c r="B442" s="30"/>
      <c r="C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</row>
    <row r="443" spans="2:15">
      <c r="B443" s="30"/>
      <c r="C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</row>
    <row r="444" spans="2:15">
      <c r="B444" s="30"/>
      <c r="C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</row>
    <row r="445" spans="2:15">
      <c r="B445" s="30"/>
      <c r="C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</row>
    <row r="446" spans="2:15">
      <c r="B446" s="30"/>
      <c r="C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</row>
    <row r="447" spans="2:15">
      <c r="B447" s="30"/>
      <c r="C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</row>
    <row r="448" spans="2:15">
      <c r="B448" s="30"/>
      <c r="C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</row>
    <row r="449" spans="2:15">
      <c r="B449" s="30"/>
      <c r="C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</row>
    <row r="450" spans="2:15">
      <c r="B450" s="30"/>
      <c r="C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</row>
    <row r="451" spans="2:15">
      <c r="B451" s="30"/>
      <c r="C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</row>
    <row r="452" spans="2:15">
      <c r="B452" s="30"/>
      <c r="C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</row>
    <row r="453" spans="2:15">
      <c r="B453" s="30"/>
      <c r="C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</row>
    <row r="454" spans="2:15">
      <c r="B454" s="30"/>
      <c r="C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</row>
    <row r="455" spans="2:15">
      <c r="B455" s="30"/>
      <c r="C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</row>
    <row r="456" spans="2:15">
      <c r="B456" s="30"/>
      <c r="C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</row>
    <row r="457" spans="2:15">
      <c r="B457" s="30"/>
      <c r="C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</row>
    <row r="458" spans="2:15">
      <c r="B458" s="30"/>
      <c r="C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</row>
    <row r="459" spans="2:15">
      <c r="B459" s="30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</row>
    <row r="460" spans="2:15"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</row>
    <row r="461" spans="2:15">
      <c r="B461" s="30"/>
      <c r="C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</row>
    <row r="462" spans="2:15">
      <c r="B462" s="30"/>
      <c r="C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</row>
    <row r="463" spans="2:15">
      <c r="B463" s="30"/>
      <c r="C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</row>
    <row r="464" spans="2:15">
      <c r="B464" s="30"/>
      <c r="C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</row>
    <row r="465" spans="2:15">
      <c r="B465" s="30"/>
      <c r="C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</row>
    <row r="466" spans="2:15">
      <c r="B466" s="30"/>
      <c r="C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</row>
    <row r="467" spans="2:15">
      <c r="B467" s="30"/>
      <c r="C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</row>
    <row r="468" spans="2:15">
      <c r="B468" s="30"/>
      <c r="C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</row>
    <row r="469" spans="2:15">
      <c r="B469" s="30"/>
      <c r="C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</row>
    <row r="470" spans="2:15">
      <c r="B470" s="30"/>
      <c r="C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</row>
    <row r="471" spans="2:15">
      <c r="B471" s="30"/>
      <c r="C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</row>
    <row r="472" spans="2:15">
      <c r="B472" s="30"/>
      <c r="C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</row>
    <row r="473" spans="2:15">
      <c r="B473" s="30"/>
      <c r="C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</row>
    <row r="474" spans="2:15">
      <c r="B474" s="30"/>
      <c r="C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</row>
    <row r="475" spans="2:15">
      <c r="B475" s="30"/>
      <c r="C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</row>
    <row r="476" spans="2:15">
      <c r="B476" s="30"/>
      <c r="C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</row>
    <row r="477" spans="2:15">
      <c r="B477" s="30"/>
      <c r="C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</row>
    <row r="478" spans="2:15">
      <c r="B478" s="30"/>
      <c r="C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</row>
    <row r="479" spans="2:15">
      <c r="B479" s="30"/>
      <c r="C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</row>
    <row r="480" spans="2:15">
      <c r="B480" s="30"/>
      <c r="C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</row>
    <row r="481" spans="2:15">
      <c r="B481" s="30"/>
      <c r="C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</row>
    <row r="482" spans="2:15">
      <c r="B482" s="30"/>
      <c r="C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</row>
    <row r="483" spans="2:15">
      <c r="B483" s="30"/>
      <c r="C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</row>
    <row r="484" spans="2:15">
      <c r="B484" s="30"/>
      <c r="C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</row>
    <row r="485" spans="2:15">
      <c r="B485" s="30"/>
      <c r="C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</row>
    <row r="486" spans="2:15">
      <c r="B486" s="30"/>
      <c r="C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</row>
    <row r="487" spans="2:15">
      <c r="B487" s="30"/>
      <c r="C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</row>
    <row r="488" spans="2:15"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</row>
    <row r="489" spans="2:15">
      <c r="B489" s="30"/>
      <c r="C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</row>
    <row r="490" spans="2:15">
      <c r="B490" s="30"/>
      <c r="C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</row>
    <row r="491" spans="2:15">
      <c r="B491" s="30"/>
      <c r="C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</row>
    <row r="492" spans="2:15">
      <c r="B492" s="30"/>
      <c r="C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</row>
    <row r="493" spans="2:15">
      <c r="B493" s="30"/>
      <c r="C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</row>
    <row r="494" spans="2:15">
      <c r="B494" s="30"/>
      <c r="C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</row>
    <row r="495" spans="2:15">
      <c r="B495" s="30"/>
      <c r="C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</row>
    <row r="496" spans="2:15">
      <c r="B496" s="30"/>
      <c r="C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</row>
    <row r="497" spans="2:15">
      <c r="B497" s="30"/>
      <c r="C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</row>
    <row r="498" spans="2:15">
      <c r="B498" s="30"/>
      <c r="C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</row>
    <row r="499" spans="2:15">
      <c r="B499" s="30"/>
      <c r="C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</row>
    <row r="500" spans="2:15">
      <c r="B500" s="30"/>
      <c r="C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</row>
    <row r="501" spans="2:15">
      <c r="B501" s="30"/>
      <c r="C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</row>
    <row r="502" spans="2:15">
      <c r="B502" s="30"/>
      <c r="C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</row>
    <row r="503" spans="2:15">
      <c r="B503" s="30"/>
      <c r="C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</row>
    <row r="504" spans="2:15">
      <c r="B504" s="30"/>
      <c r="C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</row>
    <row r="505" spans="2:15">
      <c r="B505" s="30"/>
      <c r="C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</row>
    <row r="506" spans="2:15">
      <c r="B506" s="30"/>
      <c r="C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</row>
    <row r="507" spans="2:15">
      <c r="B507" s="30"/>
      <c r="C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</row>
    <row r="508" spans="2:15">
      <c r="B508" s="30"/>
      <c r="C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</row>
    <row r="509" spans="2:15">
      <c r="B509" s="30"/>
      <c r="C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</row>
    <row r="510" spans="2:15">
      <c r="B510" s="30"/>
      <c r="C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</row>
    <row r="511" spans="2:15">
      <c r="B511" s="30"/>
      <c r="C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</row>
    <row r="512" spans="2:15">
      <c r="B512" s="30"/>
      <c r="C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</row>
    <row r="513" spans="2:15">
      <c r="B513" s="30"/>
      <c r="C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</row>
    <row r="514" spans="2:15">
      <c r="B514" s="30"/>
      <c r="C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</row>
    <row r="515" spans="2:15">
      <c r="B515" s="30"/>
      <c r="C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</row>
    <row r="516" spans="2:15">
      <c r="B516" s="30"/>
      <c r="C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</row>
    <row r="517" spans="2:15">
      <c r="B517" s="30"/>
      <c r="C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</row>
    <row r="518" spans="2:15"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</row>
    <row r="519" spans="2:15">
      <c r="B519" s="30"/>
      <c r="C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</row>
    <row r="520" spans="2:15">
      <c r="B520" s="30"/>
      <c r="C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</row>
    <row r="521" spans="2:15">
      <c r="B521" s="30"/>
      <c r="C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</row>
    <row r="522" spans="2:15">
      <c r="B522" s="30"/>
      <c r="C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</row>
    <row r="523" spans="2:15">
      <c r="B523" s="30"/>
      <c r="C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</row>
    <row r="524" spans="2:15">
      <c r="B524" s="30"/>
      <c r="C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</row>
    <row r="525" spans="2:15">
      <c r="B525" s="30"/>
      <c r="C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</row>
    <row r="526" spans="2:15">
      <c r="B526" s="30"/>
      <c r="C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</row>
    <row r="527" spans="2:15">
      <c r="B527" s="30"/>
      <c r="C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</row>
    <row r="528" spans="2:15">
      <c r="B528" s="30"/>
      <c r="C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</row>
    <row r="529" spans="2:15">
      <c r="B529" s="30"/>
      <c r="C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</row>
    <row r="530" spans="2:15">
      <c r="B530" s="30"/>
      <c r="C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</row>
    <row r="531" spans="2:15">
      <c r="B531" s="30"/>
      <c r="C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</row>
    <row r="532" spans="2:15">
      <c r="B532" s="30"/>
      <c r="C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</row>
    <row r="533" spans="2:15">
      <c r="B533" s="30"/>
      <c r="C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</row>
    <row r="534" spans="2:15">
      <c r="B534" s="30"/>
      <c r="C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</row>
    <row r="535" spans="2:15">
      <c r="B535" s="30"/>
      <c r="C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</row>
    <row r="536" spans="2:15">
      <c r="B536" s="30"/>
      <c r="C536" s="30"/>
      <c r="D536" s="30"/>
      <c r="E536" s="30"/>
      <c r="F536" s="30"/>
      <c r="G536" s="30"/>
      <c r="H536" s="30"/>
      <c r="I536" s="30"/>
      <c r="J536" s="30"/>
      <c r="K536" s="30"/>
      <c r="L536" s="30"/>
      <c r="M536" s="30"/>
      <c r="N536" s="30"/>
      <c r="O536" s="30"/>
    </row>
    <row r="537" spans="2:15">
      <c r="B537" s="30"/>
      <c r="C537" s="30"/>
      <c r="D537" s="30"/>
      <c r="E537" s="30"/>
      <c r="F537" s="30"/>
      <c r="G537" s="30"/>
      <c r="H537" s="30"/>
      <c r="I537" s="30"/>
      <c r="J537" s="30"/>
      <c r="K537" s="30"/>
      <c r="L537" s="30"/>
      <c r="M537" s="30"/>
      <c r="N537" s="30"/>
      <c r="O537" s="30"/>
    </row>
    <row r="538" spans="2:15">
      <c r="B538" s="30"/>
      <c r="C538" s="30"/>
      <c r="D538" s="30"/>
      <c r="E538" s="30"/>
      <c r="F538" s="30"/>
      <c r="G538" s="30"/>
      <c r="H538" s="30"/>
      <c r="I538" s="30"/>
      <c r="J538" s="30"/>
      <c r="K538" s="30"/>
      <c r="L538" s="30"/>
      <c r="M538" s="30"/>
      <c r="N538" s="30"/>
      <c r="O538" s="30"/>
    </row>
    <row r="539" spans="2:15">
      <c r="B539" s="30"/>
      <c r="C539" s="30"/>
      <c r="D539" s="30"/>
      <c r="E539" s="30"/>
      <c r="F539" s="30"/>
      <c r="G539" s="30"/>
      <c r="H539" s="30"/>
      <c r="I539" s="30"/>
      <c r="J539" s="30"/>
      <c r="K539" s="30"/>
      <c r="L539" s="30"/>
      <c r="M539" s="30"/>
      <c r="N539" s="30"/>
      <c r="O539" s="30"/>
    </row>
    <row r="540" spans="2:15">
      <c r="B540" s="30"/>
      <c r="C540" s="30"/>
      <c r="D540" s="30"/>
      <c r="E540" s="30"/>
      <c r="F540" s="30"/>
      <c r="G540" s="30"/>
      <c r="H540" s="30"/>
      <c r="I540" s="30"/>
      <c r="J540" s="30"/>
      <c r="K540" s="30"/>
      <c r="L540" s="30"/>
      <c r="M540" s="30"/>
      <c r="N540" s="30"/>
      <c r="O540" s="30"/>
    </row>
    <row r="541" spans="2:15">
      <c r="B541" s="30"/>
      <c r="C541" s="30"/>
      <c r="D541" s="30"/>
      <c r="E541" s="30"/>
      <c r="F541" s="30"/>
      <c r="G541" s="30"/>
      <c r="H541" s="30"/>
      <c r="I541" s="30"/>
      <c r="J541" s="30"/>
      <c r="K541" s="30"/>
      <c r="L541" s="30"/>
      <c r="M541" s="30"/>
      <c r="N541" s="30"/>
      <c r="O541" s="30"/>
    </row>
    <row r="542" spans="2:15">
      <c r="B542" s="30"/>
      <c r="C542" s="30"/>
      <c r="D542" s="30"/>
      <c r="E542" s="30"/>
      <c r="F542" s="30"/>
      <c r="G542" s="30"/>
      <c r="H542" s="30"/>
      <c r="I542" s="30"/>
      <c r="J542" s="30"/>
      <c r="K542" s="30"/>
      <c r="L542" s="30"/>
      <c r="M542" s="30"/>
      <c r="N542" s="30"/>
      <c r="O542" s="30"/>
    </row>
    <row r="543" spans="2:15">
      <c r="B543" s="30"/>
      <c r="C543" s="30"/>
      <c r="D543" s="30"/>
      <c r="E543" s="30"/>
      <c r="F543" s="30"/>
      <c r="G543" s="30"/>
      <c r="H543" s="30"/>
      <c r="I543" s="30"/>
      <c r="J543" s="30"/>
      <c r="K543" s="30"/>
      <c r="L543" s="30"/>
      <c r="M543" s="30"/>
      <c r="N543" s="30"/>
      <c r="O543" s="30"/>
    </row>
    <row r="544" spans="2:15"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</row>
    <row r="545" spans="2:15">
      <c r="B545" s="30"/>
      <c r="C545" s="30"/>
      <c r="D545" s="30"/>
      <c r="E545" s="30"/>
      <c r="F545" s="30"/>
      <c r="G545" s="30"/>
      <c r="H545" s="30"/>
      <c r="I545" s="30"/>
      <c r="J545" s="30"/>
      <c r="K545" s="30"/>
      <c r="L545" s="30"/>
      <c r="M545" s="30"/>
      <c r="N545" s="30"/>
      <c r="O545" s="30"/>
    </row>
    <row r="546" spans="2:15">
      <c r="B546" s="30"/>
      <c r="C546" s="30"/>
      <c r="D546" s="30"/>
      <c r="E546" s="30"/>
      <c r="F546" s="30"/>
      <c r="G546" s="30"/>
      <c r="H546" s="30"/>
      <c r="I546" s="30"/>
      <c r="J546" s="30"/>
      <c r="K546" s="30"/>
      <c r="L546" s="30"/>
      <c r="M546" s="30"/>
      <c r="N546" s="30"/>
      <c r="O546" s="30"/>
    </row>
    <row r="547" spans="2:15">
      <c r="B547" s="30"/>
      <c r="C547" s="30"/>
      <c r="D547" s="30"/>
      <c r="E547" s="30"/>
      <c r="F547" s="30"/>
      <c r="G547" s="30"/>
      <c r="H547" s="30"/>
      <c r="I547" s="30"/>
      <c r="J547" s="30"/>
      <c r="K547" s="30"/>
      <c r="L547" s="30"/>
      <c r="M547" s="30"/>
      <c r="N547" s="30"/>
      <c r="O547" s="30"/>
    </row>
    <row r="548" spans="2:15">
      <c r="B548" s="30"/>
      <c r="C548" s="30"/>
      <c r="D548" s="30"/>
      <c r="E548" s="30"/>
      <c r="F548" s="30"/>
      <c r="G548" s="30"/>
      <c r="H548" s="30"/>
      <c r="I548" s="30"/>
      <c r="J548" s="30"/>
      <c r="K548" s="30"/>
      <c r="L548" s="30"/>
      <c r="M548" s="30"/>
      <c r="N548" s="30"/>
      <c r="O548" s="30"/>
    </row>
    <row r="549" spans="2:15">
      <c r="B549" s="30"/>
      <c r="C549" s="30"/>
      <c r="D549" s="30"/>
      <c r="E549" s="30"/>
      <c r="F549" s="30"/>
      <c r="G549" s="30"/>
      <c r="H549" s="30"/>
      <c r="I549" s="30"/>
      <c r="J549" s="30"/>
      <c r="K549" s="30"/>
      <c r="L549" s="30"/>
      <c r="M549" s="30"/>
      <c r="N549" s="30"/>
      <c r="O549" s="30"/>
    </row>
    <row r="550" spans="2:15">
      <c r="B550" s="30"/>
      <c r="C550" s="30"/>
      <c r="D550" s="30"/>
      <c r="E550" s="30"/>
      <c r="F550" s="30"/>
      <c r="G550" s="30"/>
      <c r="H550" s="30"/>
      <c r="I550" s="30"/>
      <c r="J550" s="30"/>
      <c r="K550" s="30"/>
      <c r="L550" s="30"/>
      <c r="M550" s="30"/>
      <c r="N550" s="30"/>
      <c r="O550" s="30"/>
    </row>
    <row r="551" spans="2:15">
      <c r="B551" s="30"/>
      <c r="C551" s="30"/>
      <c r="D551" s="30"/>
      <c r="E551" s="30"/>
      <c r="F551" s="30"/>
      <c r="G551" s="30"/>
      <c r="H551" s="30"/>
      <c r="I551" s="30"/>
      <c r="J551" s="30"/>
      <c r="K551" s="30"/>
      <c r="L551" s="30"/>
      <c r="M551" s="30"/>
      <c r="N551" s="30"/>
      <c r="O551" s="30"/>
    </row>
    <row r="552" spans="2:15">
      <c r="B552" s="30"/>
      <c r="C552" s="30"/>
      <c r="D552" s="30"/>
      <c r="E552" s="30"/>
      <c r="F552" s="30"/>
      <c r="G552" s="30"/>
      <c r="H552" s="30"/>
      <c r="I552" s="30"/>
      <c r="J552" s="30"/>
      <c r="K552" s="30"/>
      <c r="L552" s="30"/>
      <c r="M552" s="30"/>
      <c r="N552" s="30"/>
      <c r="O552" s="30"/>
    </row>
    <row r="553" spans="2:15">
      <c r="B553" s="30"/>
      <c r="C553" s="30"/>
      <c r="D553" s="30"/>
      <c r="E553" s="30"/>
      <c r="F553" s="30"/>
      <c r="G553" s="30"/>
      <c r="H553" s="30"/>
      <c r="I553" s="30"/>
      <c r="J553" s="30"/>
      <c r="K553" s="30"/>
      <c r="L553" s="30"/>
      <c r="M553" s="30"/>
      <c r="N553" s="30"/>
      <c r="O553" s="30"/>
    </row>
    <row r="554" spans="2:15">
      <c r="B554" s="30"/>
      <c r="C554" s="30"/>
      <c r="D554" s="30"/>
      <c r="E554" s="30"/>
      <c r="F554" s="30"/>
      <c r="G554" s="30"/>
      <c r="H554" s="30"/>
      <c r="I554" s="30"/>
      <c r="J554" s="30"/>
      <c r="K554" s="30"/>
      <c r="L554" s="30"/>
      <c r="M554" s="30"/>
      <c r="N554" s="30"/>
      <c r="O554" s="30"/>
    </row>
    <row r="555" spans="2:15">
      <c r="B555" s="30"/>
      <c r="C555" s="30"/>
      <c r="D555" s="30"/>
      <c r="E555" s="30"/>
      <c r="F555" s="30"/>
      <c r="G555" s="30"/>
      <c r="H555" s="30"/>
      <c r="I555" s="30"/>
      <c r="J555" s="30"/>
      <c r="K555" s="30"/>
      <c r="L555" s="30"/>
      <c r="M555" s="30"/>
      <c r="N555" s="30"/>
      <c r="O555" s="30"/>
    </row>
    <row r="556" spans="2:15">
      <c r="B556" s="30"/>
      <c r="C556" s="30"/>
      <c r="D556" s="30"/>
      <c r="E556" s="30"/>
      <c r="F556" s="30"/>
      <c r="G556" s="30"/>
      <c r="H556" s="30"/>
      <c r="I556" s="30"/>
      <c r="J556" s="30"/>
      <c r="K556" s="30"/>
      <c r="L556" s="30"/>
      <c r="M556" s="30"/>
      <c r="N556" s="30"/>
      <c r="O556" s="30"/>
    </row>
    <row r="557" spans="2:15">
      <c r="B557" s="30"/>
      <c r="C557" s="30"/>
      <c r="D557" s="30"/>
      <c r="E557" s="30"/>
      <c r="F557" s="30"/>
      <c r="G557" s="30"/>
      <c r="H557" s="30"/>
      <c r="I557" s="30"/>
      <c r="J557" s="30"/>
      <c r="K557" s="30"/>
      <c r="L557" s="30"/>
      <c r="M557" s="30"/>
      <c r="N557" s="30"/>
      <c r="O557" s="30"/>
    </row>
    <row r="558" spans="2:15">
      <c r="B558" s="30"/>
      <c r="C558" s="30"/>
      <c r="D558" s="30"/>
      <c r="E558" s="30"/>
      <c r="F558" s="30"/>
      <c r="G558" s="30"/>
      <c r="H558" s="30"/>
      <c r="I558" s="30"/>
      <c r="J558" s="30"/>
      <c r="K558" s="30"/>
      <c r="L558" s="30"/>
      <c r="M558" s="30"/>
      <c r="N558" s="30"/>
      <c r="O558" s="30"/>
    </row>
    <row r="559" spans="2:15">
      <c r="B559" s="30"/>
      <c r="C559" s="30"/>
      <c r="D559" s="30"/>
      <c r="E559" s="30"/>
      <c r="F559" s="30"/>
      <c r="G559" s="30"/>
      <c r="H559" s="30"/>
      <c r="I559" s="30"/>
      <c r="J559" s="30"/>
      <c r="K559" s="30"/>
      <c r="L559" s="30"/>
      <c r="M559" s="30"/>
      <c r="N559" s="30"/>
      <c r="O559" s="30"/>
    </row>
    <row r="560" spans="2:15">
      <c r="B560" s="30"/>
      <c r="C560" s="30"/>
      <c r="D560" s="30"/>
      <c r="E560" s="30"/>
      <c r="F560" s="30"/>
      <c r="G560" s="30"/>
      <c r="H560" s="30"/>
      <c r="I560" s="30"/>
      <c r="J560" s="30"/>
      <c r="K560" s="30"/>
      <c r="L560" s="30"/>
      <c r="M560" s="30"/>
      <c r="N560" s="30"/>
      <c r="O560" s="30"/>
    </row>
    <row r="561" spans="2:15">
      <c r="B561" s="30"/>
      <c r="C561" s="30"/>
      <c r="D561" s="30"/>
      <c r="E561" s="30"/>
      <c r="F561" s="30"/>
      <c r="G561" s="30"/>
      <c r="H561" s="30"/>
      <c r="I561" s="30"/>
      <c r="J561" s="30"/>
      <c r="K561" s="30"/>
      <c r="L561" s="30"/>
      <c r="M561" s="30"/>
      <c r="N561" s="30"/>
      <c r="O561" s="30"/>
    </row>
    <row r="562" spans="2:15">
      <c r="B562" s="30"/>
      <c r="C562" s="30"/>
      <c r="D562" s="30"/>
      <c r="E562" s="30"/>
      <c r="F562" s="30"/>
      <c r="G562" s="30"/>
      <c r="H562" s="30"/>
      <c r="I562" s="30"/>
      <c r="J562" s="30"/>
      <c r="K562" s="30"/>
      <c r="L562" s="30"/>
      <c r="M562" s="30"/>
      <c r="N562" s="30"/>
      <c r="O562" s="30"/>
    </row>
    <row r="563" spans="2:15">
      <c r="B563" s="30"/>
      <c r="C563" s="30"/>
      <c r="D563" s="30"/>
      <c r="E563" s="30"/>
      <c r="F563" s="30"/>
      <c r="G563" s="30"/>
      <c r="H563" s="30"/>
      <c r="I563" s="30"/>
      <c r="J563" s="30"/>
      <c r="K563" s="30"/>
      <c r="L563" s="30"/>
      <c r="M563" s="30"/>
      <c r="N563" s="30"/>
      <c r="O563" s="30"/>
    </row>
    <row r="564" spans="2:15">
      <c r="B564" s="30"/>
      <c r="C564" s="30"/>
      <c r="D564" s="30"/>
      <c r="E564" s="30"/>
      <c r="F564" s="30"/>
      <c r="G564" s="30"/>
      <c r="H564" s="30"/>
      <c r="I564" s="30"/>
      <c r="J564" s="30"/>
      <c r="K564" s="30"/>
      <c r="L564" s="30"/>
      <c r="M564" s="30"/>
      <c r="N564" s="30"/>
      <c r="O564" s="30"/>
    </row>
    <row r="565" spans="2:15">
      <c r="B565" s="30"/>
      <c r="C565" s="30"/>
      <c r="D565" s="30"/>
      <c r="E565" s="30"/>
      <c r="F565" s="30"/>
      <c r="G565" s="30"/>
      <c r="H565" s="30"/>
      <c r="I565" s="30"/>
      <c r="J565" s="30"/>
      <c r="K565" s="30"/>
      <c r="L565" s="30"/>
      <c r="M565" s="30"/>
      <c r="N565" s="30"/>
      <c r="O565" s="30"/>
    </row>
    <row r="566" spans="2:15">
      <c r="B566" s="30"/>
      <c r="C566" s="30"/>
      <c r="D566" s="30"/>
      <c r="E566" s="30"/>
      <c r="F566" s="30"/>
      <c r="G566" s="30"/>
      <c r="H566" s="30"/>
      <c r="I566" s="30"/>
      <c r="J566" s="30"/>
      <c r="K566" s="30"/>
      <c r="L566" s="30"/>
      <c r="M566" s="30"/>
      <c r="N566" s="30"/>
      <c r="O566" s="30"/>
    </row>
    <row r="567" spans="2:15"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</row>
    <row r="568" spans="2:15">
      <c r="B568" s="30"/>
      <c r="C568" s="30"/>
      <c r="D568" s="30"/>
      <c r="E568" s="30"/>
      <c r="F568" s="30"/>
      <c r="G568" s="30"/>
      <c r="H568" s="30"/>
      <c r="I568" s="30"/>
      <c r="J568" s="30"/>
      <c r="K568" s="30"/>
      <c r="L568" s="30"/>
      <c r="M568" s="30"/>
      <c r="N568" s="30"/>
      <c r="O568" s="30"/>
    </row>
    <row r="569" spans="2:15">
      <c r="B569" s="30"/>
      <c r="C569" s="30"/>
      <c r="D569" s="30"/>
      <c r="E569" s="30"/>
      <c r="F569" s="30"/>
      <c r="G569" s="30"/>
      <c r="H569" s="30"/>
      <c r="I569" s="30"/>
      <c r="J569" s="30"/>
      <c r="K569" s="30"/>
      <c r="L569" s="30"/>
      <c r="M569" s="30"/>
      <c r="N569" s="30"/>
      <c r="O569" s="30"/>
    </row>
    <row r="570" spans="2:15">
      <c r="B570" s="30"/>
      <c r="C570" s="30"/>
      <c r="D570" s="30"/>
      <c r="E570" s="30"/>
      <c r="F570" s="30"/>
      <c r="G570" s="30"/>
      <c r="H570" s="30"/>
      <c r="I570" s="30"/>
      <c r="J570" s="30"/>
      <c r="K570" s="30"/>
      <c r="L570" s="30"/>
      <c r="M570" s="30"/>
      <c r="N570" s="30"/>
      <c r="O570" s="30"/>
    </row>
    <row r="571" spans="2:15">
      <c r="B571" s="30"/>
      <c r="C571" s="30"/>
      <c r="D571" s="30"/>
      <c r="E571" s="30"/>
      <c r="F571" s="30"/>
      <c r="G571" s="30"/>
      <c r="H571" s="30"/>
      <c r="I571" s="30"/>
      <c r="J571" s="30"/>
      <c r="K571" s="30"/>
      <c r="L571" s="30"/>
      <c r="M571" s="30"/>
      <c r="N571" s="30"/>
      <c r="O571" s="30"/>
    </row>
    <row r="572" spans="2:15">
      <c r="B572" s="30"/>
      <c r="C572" s="30"/>
      <c r="D572" s="30"/>
      <c r="E572" s="30"/>
      <c r="F572" s="30"/>
      <c r="G572" s="30"/>
      <c r="H572" s="30"/>
      <c r="I572" s="30"/>
      <c r="J572" s="30"/>
      <c r="K572" s="30"/>
      <c r="L572" s="30"/>
      <c r="M572" s="30"/>
      <c r="N572" s="30"/>
      <c r="O572" s="30"/>
    </row>
    <row r="573" spans="2:15">
      <c r="B573" s="30"/>
      <c r="C573" s="30"/>
      <c r="D573" s="30"/>
      <c r="E573" s="30"/>
      <c r="F573" s="30"/>
      <c r="G573" s="30"/>
      <c r="H573" s="30"/>
      <c r="I573" s="30"/>
      <c r="J573" s="30"/>
      <c r="K573" s="30"/>
      <c r="L573" s="30"/>
      <c r="M573" s="30"/>
      <c r="N573" s="30"/>
      <c r="O573" s="30"/>
    </row>
    <row r="574" spans="2:15">
      <c r="B574" s="30"/>
      <c r="C574" s="30"/>
      <c r="D574" s="30"/>
      <c r="E574" s="30"/>
      <c r="F574" s="30"/>
      <c r="G574" s="30"/>
      <c r="H574" s="30"/>
      <c r="I574" s="30"/>
      <c r="J574" s="30"/>
      <c r="K574" s="30"/>
      <c r="L574" s="30"/>
      <c r="M574" s="30"/>
      <c r="N574" s="30"/>
      <c r="O574" s="30"/>
    </row>
    <row r="575" spans="2:15">
      <c r="B575" s="30"/>
      <c r="C575" s="30"/>
      <c r="D575" s="30"/>
      <c r="E575" s="30"/>
      <c r="F575" s="30"/>
      <c r="G575" s="30"/>
      <c r="H575" s="30"/>
      <c r="I575" s="30"/>
      <c r="J575" s="30"/>
      <c r="K575" s="30"/>
      <c r="L575" s="30"/>
      <c r="M575" s="30"/>
      <c r="N575" s="30"/>
      <c r="O575" s="30"/>
    </row>
    <row r="576" spans="2:15">
      <c r="B576" s="30"/>
      <c r="C576" s="30"/>
      <c r="D576" s="30"/>
      <c r="E576" s="30"/>
      <c r="F576" s="30"/>
      <c r="G576" s="30"/>
      <c r="H576" s="30"/>
      <c r="I576" s="30"/>
      <c r="J576" s="30"/>
      <c r="K576" s="30"/>
      <c r="L576" s="30"/>
      <c r="M576" s="30"/>
      <c r="N576" s="30"/>
      <c r="O576" s="30"/>
    </row>
    <row r="577" spans="2:15">
      <c r="B577" s="30"/>
      <c r="C577" s="30"/>
      <c r="D577" s="30"/>
      <c r="E577" s="30"/>
      <c r="F577" s="30"/>
      <c r="G577" s="30"/>
      <c r="H577" s="30"/>
      <c r="I577" s="30"/>
      <c r="J577" s="30"/>
      <c r="K577" s="30"/>
      <c r="L577" s="30"/>
      <c r="M577" s="30"/>
      <c r="N577" s="30"/>
      <c r="O577" s="30"/>
    </row>
    <row r="578" spans="2:15">
      <c r="B578" s="30"/>
      <c r="C578" s="30"/>
      <c r="D578" s="30"/>
      <c r="E578" s="30"/>
      <c r="F578" s="30"/>
      <c r="G578" s="30"/>
      <c r="H578" s="30"/>
      <c r="I578" s="30"/>
      <c r="J578" s="30"/>
      <c r="K578" s="30"/>
      <c r="L578" s="30"/>
      <c r="M578" s="30"/>
      <c r="N578" s="30"/>
      <c r="O578" s="30"/>
    </row>
    <row r="579" spans="2:15">
      <c r="B579" s="30"/>
      <c r="C579" s="30"/>
      <c r="D579" s="30"/>
      <c r="E579" s="30"/>
      <c r="F579" s="30"/>
      <c r="G579" s="30"/>
      <c r="H579" s="30"/>
      <c r="I579" s="30"/>
      <c r="J579" s="30"/>
      <c r="K579" s="30"/>
      <c r="L579" s="30"/>
      <c r="M579" s="30"/>
      <c r="N579" s="30"/>
      <c r="O579" s="30"/>
    </row>
    <row r="580" spans="2:15">
      <c r="B580" s="30"/>
      <c r="C580" s="30"/>
      <c r="D580" s="30"/>
      <c r="E580" s="30"/>
      <c r="F580" s="30"/>
      <c r="G580" s="30"/>
      <c r="H580" s="30"/>
      <c r="I580" s="30"/>
      <c r="J580" s="30"/>
      <c r="K580" s="30"/>
      <c r="L580" s="30"/>
      <c r="M580" s="30"/>
      <c r="N580" s="30"/>
      <c r="O580" s="30"/>
    </row>
    <row r="581" spans="2:15">
      <c r="B581" s="30"/>
      <c r="C581" s="30"/>
      <c r="D581" s="30"/>
      <c r="E581" s="30"/>
      <c r="F581" s="30"/>
      <c r="G581" s="30"/>
      <c r="H581" s="30"/>
      <c r="I581" s="30"/>
      <c r="J581" s="30"/>
      <c r="K581" s="30"/>
      <c r="L581" s="30"/>
      <c r="M581" s="30"/>
      <c r="N581" s="30"/>
      <c r="O581" s="30"/>
    </row>
    <row r="582" spans="2:15">
      <c r="B582" s="30"/>
      <c r="C582" s="30"/>
      <c r="D582" s="30"/>
      <c r="E582" s="30"/>
      <c r="F582" s="30"/>
      <c r="G582" s="30"/>
      <c r="H582" s="30"/>
      <c r="I582" s="30"/>
      <c r="J582" s="30"/>
      <c r="K582" s="30"/>
      <c r="L582" s="30"/>
      <c r="M582" s="30"/>
      <c r="N582" s="30"/>
      <c r="O582" s="30"/>
    </row>
    <row r="583" spans="2:15">
      <c r="B583" s="30"/>
      <c r="C583" s="30"/>
      <c r="D583" s="30"/>
      <c r="E583" s="30"/>
      <c r="F583" s="30"/>
      <c r="G583" s="30"/>
      <c r="H583" s="30"/>
      <c r="I583" s="30"/>
      <c r="J583" s="30"/>
      <c r="K583" s="30"/>
      <c r="L583" s="30"/>
      <c r="M583" s="30"/>
      <c r="N583" s="30"/>
      <c r="O583" s="30"/>
    </row>
    <row r="584" spans="2:15">
      <c r="B584" s="30"/>
      <c r="C584" s="30"/>
      <c r="D584" s="30"/>
      <c r="E584" s="30"/>
      <c r="F584" s="30"/>
      <c r="G584" s="30"/>
      <c r="H584" s="30"/>
      <c r="I584" s="30"/>
      <c r="J584" s="30"/>
      <c r="K584" s="30"/>
      <c r="L584" s="30"/>
      <c r="M584" s="30"/>
      <c r="N584" s="30"/>
      <c r="O584" s="30"/>
    </row>
    <row r="585" spans="2:15">
      <c r="B585" s="30"/>
      <c r="C585" s="30"/>
      <c r="D585" s="30"/>
      <c r="E585" s="30"/>
      <c r="F585" s="30"/>
      <c r="G585" s="30"/>
      <c r="H585" s="30"/>
      <c r="I585" s="30"/>
      <c r="J585" s="30"/>
      <c r="K585" s="30"/>
      <c r="L585" s="30"/>
      <c r="M585" s="30"/>
      <c r="N585" s="30"/>
      <c r="O585" s="30"/>
    </row>
    <row r="586" spans="2:15">
      <c r="B586" s="30"/>
      <c r="C586" s="30"/>
      <c r="D586" s="30"/>
      <c r="E586" s="30"/>
      <c r="F586" s="30"/>
      <c r="G586" s="30"/>
      <c r="H586" s="30"/>
      <c r="I586" s="30"/>
      <c r="J586" s="30"/>
      <c r="K586" s="30"/>
      <c r="L586" s="30"/>
      <c r="M586" s="30"/>
      <c r="N586" s="30"/>
      <c r="O586" s="30"/>
    </row>
    <row r="587" spans="2:15">
      <c r="B587" s="30"/>
      <c r="C587" s="30"/>
      <c r="D587" s="30"/>
      <c r="E587" s="30"/>
      <c r="F587" s="30"/>
      <c r="G587" s="30"/>
      <c r="H587" s="30"/>
      <c r="I587" s="30"/>
      <c r="J587" s="30"/>
      <c r="K587" s="30"/>
      <c r="L587" s="30"/>
      <c r="M587" s="30"/>
      <c r="N587" s="30"/>
      <c r="O587" s="30"/>
    </row>
    <row r="588" spans="2:15">
      <c r="B588" s="30"/>
      <c r="C588" s="30"/>
      <c r="D588" s="30"/>
      <c r="E588" s="30"/>
      <c r="F588" s="30"/>
      <c r="G588" s="30"/>
      <c r="H588" s="30"/>
      <c r="I588" s="30"/>
      <c r="J588" s="30"/>
      <c r="K588" s="30"/>
      <c r="L588" s="30"/>
      <c r="M588" s="30"/>
      <c r="N588" s="30"/>
      <c r="O588" s="30"/>
    </row>
    <row r="589" spans="2:15">
      <c r="B589" s="30"/>
      <c r="C589" s="30"/>
      <c r="D589" s="30"/>
      <c r="E589" s="30"/>
      <c r="F589" s="30"/>
      <c r="G589" s="30"/>
      <c r="H589" s="30"/>
      <c r="I589" s="30"/>
      <c r="J589" s="30"/>
      <c r="K589" s="30"/>
      <c r="L589" s="30"/>
      <c r="M589" s="30"/>
      <c r="N589" s="30"/>
      <c r="O589" s="30"/>
    </row>
    <row r="590" spans="2:15">
      <c r="B590" s="30"/>
      <c r="C590" s="30"/>
      <c r="D590" s="30"/>
      <c r="E590" s="30"/>
      <c r="F590" s="30"/>
      <c r="G590" s="30"/>
      <c r="H590" s="30"/>
      <c r="I590" s="30"/>
      <c r="J590" s="30"/>
      <c r="K590" s="30"/>
      <c r="L590" s="30"/>
      <c r="M590" s="30"/>
      <c r="N590" s="30"/>
      <c r="O590" s="30"/>
    </row>
    <row r="591" spans="2:15">
      <c r="B591" s="30"/>
      <c r="C591" s="30"/>
      <c r="D591" s="30"/>
      <c r="E591" s="30"/>
      <c r="F591" s="30"/>
      <c r="G591" s="30"/>
      <c r="H591" s="30"/>
      <c r="I591" s="30"/>
      <c r="J591" s="30"/>
      <c r="K591" s="30"/>
      <c r="L591" s="30"/>
      <c r="M591" s="30"/>
      <c r="N591" s="30"/>
      <c r="O591" s="30"/>
    </row>
    <row r="592" spans="2:15">
      <c r="B592" s="30"/>
      <c r="C592" s="30"/>
      <c r="D592" s="30"/>
      <c r="E592" s="30"/>
      <c r="F592" s="30"/>
      <c r="G592" s="30"/>
      <c r="H592" s="30"/>
      <c r="I592" s="30"/>
      <c r="J592" s="30"/>
      <c r="K592" s="30"/>
      <c r="L592" s="30"/>
      <c r="M592" s="30"/>
      <c r="N592" s="30"/>
      <c r="O592" s="30"/>
    </row>
    <row r="593" spans="2:15"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</row>
    <row r="594" spans="2:15">
      <c r="B594" s="30"/>
      <c r="C594" s="30"/>
      <c r="D594" s="30"/>
      <c r="E594" s="30"/>
      <c r="F594" s="30"/>
      <c r="G594" s="30"/>
      <c r="H594" s="30"/>
      <c r="I594" s="30"/>
      <c r="J594" s="30"/>
      <c r="K594" s="30"/>
      <c r="L594" s="30"/>
      <c r="M594" s="30"/>
      <c r="N594" s="30"/>
      <c r="O594" s="30"/>
    </row>
    <row r="595" spans="2:15">
      <c r="B595" s="30"/>
      <c r="C595" s="30"/>
      <c r="D595" s="30"/>
      <c r="E595" s="30"/>
      <c r="F595" s="30"/>
      <c r="G595" s="30"/>
      <c r="H595" s="30"/>
      <c r="I595" s="30"/>
      <c r="J595" s="30"/>
      <c r="K595" s="30"/>
      <c r="L595" s="30"/>
      <c r="M595" s="30"/>
      <c r="N595" s="30"/>
      <c r="O595" s="30"/>
    </row>
    <row r="596" spans="2:15">
      <c r="B596" s="30"/>
      <c r="C596" s="30"/>
      <c r="D596" s="30"/>
      <c r="E596" s="30"/>
      <c r="F596" s="30"/>
      <c r="G596" s="30"/>
      <c r="H596" s="30"/>
      <c r="I596" s="30"/>
      <c r="J596" s="30"/>
      <c r="K596" s="30"/>
      <c r="L596" s="30"/>
      <c r="M596" s="30"/>
      <c r="N596" s="30"/>
      <c r="O596" s="30"/>
    </row>
    <row r="597" spans="2:15">
      <c r="B597" s="30"/>
      <c r="C597" s="30"/>
      <c r="D597" s="30"/>
      <c r="E597" s="30"/>
      <c r="F597" s="30"/>
      <c r="G597" s="30"/>
      <c r="H597" s="30"/>
      <c r="I597" s="30"/>
      <c r="J597" s="30"/>
      <c r="K597" s="30"/>
      <c r="L597" s="30"/>
      <c r="M597" s="30"/>
      <c r="N597" s="30"/>
      <c r="O597" s="30"/>
    </row>
    <row r="598" spans="2:15">
      <c r="B598" s="30"/>
      <c r="C598" s="30"/>
      <c r="D598" s="30"/>
      <c r="E598" s="30"/>
      <c r="F598" s="30"/>
      <c r="G598" s="30"/>
      <c r="H598" s="30"/>
      <c r="I598" s="30"/>
      <c r="J598" s="30"/>
      <c r="K598" s="30"/>
      <c r="L598" s="30"/>
      <c r="M598" s="30"/>
      <c r="N598" s="30"/>
      <c r="O598" s="30"/>
    </row>
    <row r="599" spans="2:15">
      <c r="B599" s="30"/>
      <c r="C599" s="30"/>
      <c r="D599" s="30"/>
      <c r="E599" s="30"/>
      <c r="F599" s="30"/>
      <c r="G599" s="30"/>
      <c r="H599" s="30"/>
      <c r="I599" s="30"/>
      <c r="J599" s="30"/>
      <c r="K599" s="30"/>
      <c r="L599" s="30"/>
      <c r="M599" s="30"/>
      <c r="N599" s="30"/>
      <c r="O599" s="30"/>
    </row>
    <row r="600" spans="2:15">
      <c r="B600" s="30"/>
      <c r="C600" s="30"/>
      <c r="D600" s="30"/>
      <c r="E600" s="30"/>
      <c r="F600" s="30"/>
      <c r="G600" s="30"/>
      <c r="H600" s="30"/>
      <c r="I600" s="30"/>
      <c r="J600" s="30"/>
      <c r="K600" s="30"/>
      <c r="L600" s="30"/>
      <c r="M600" s="30"/>
      <c r="N600" s="30"/>
      <c r="O600" s="30"/>
    </row>
    <row r="601" spans="2:15">
      <c r="B601" s="30"/>
      <c r="C601" s="30"/>
      <c r="D601" s="30"/>
      <c r="E601" s="30"/>
      <c r="F601" s="30"/>
      <c r="G601" s="30"/>
      <c r="H601" s="30"/>
      <c r="I601" s="30"/>
      <c r="J601" s="30"/>
      <c r="K601" s="30"/>
      <c r="L601" s="30"/>
      <c r="M601" s="30"/>
      <c r="N601" s="30"/>
      <c r="O601" s="30"/>
    </row>
  </sheetData>
  <mergeCells count="112">
    <mergeCell ref="B35:B37"/>
    <mergeCell ref="C35:C37"/>
    <mergeCell ref="D35:D37"/>
    <mergeCell ref="E35:E37"/>
    <mergeCell ref="Q62:S62"/>
    <mergeCell ref="Q32:S32"/>
    <mergeCell ref="E5:E7"/>
    <mergeCell ref="D5:D7"/>
    <mergeCell ref="C5:C7"/>
    <mergeCell ref="B62:O62"/>
    <mergeCell ref="B50:B52"/>
    <mergeCell ref="C50:C52"/>
    <mergeCell ref="D50:D52"/>
    <mergeCell ref="E50:E52"/>
    <mergeCell ref="B53:B55"/>
    <mergeCell ref="C53:C55"/>
    <mergeCell ref="D53:D55"/>
    <mergeCell ref="E53:E55"/>
    <mergeCell ref="B44:B46"/>
    <mergeCell ref="C44:C46"/>
    <mergeCell ref="D44:D46"/>
    <mergeCell ref="E44:E46"/>
    <mergeCell ref="B47:B49"/>
    <mergeCell ref="B86:B88"/>
    <mergeCell ref="C86:C88"/>
    <mergeCell ref="D86:D88"/>
    <mergeCell ref="E86:E88"/>
    <mergeCell ref="B80:B82"/>
    <mergeCell ref="C80:C82"/>
    <mergeCell ref="D80:D82"/>
    <mergeCell ref="E80:E82"/>
    <mergeCell ref="B83:B85"/>
    <mergeCell ref="C83:C85"/>
    <mergeCell ref="D83:D85"/>
    <mergeCell ref="E83:E85"/>
    <mergeCell ref="B74:B76"/>
    <mergeCell ref="C74:C76"/>
    <mergeCell ref="D74:D76"/>
    <mergeCell ref="E74:E76"/>
    <mergeCell ref="B77:B79"/>
    <mergeCell ref="C77:C79"/>
    <mergeCell ref="D77:D79"/>
    <mergeCell ref="E77:E79"/>
    <mergeCell ref="B68:B70"/>
    <mergeCell ref="C68:C70"/>
    <mergeCell ref="D68:D70"/>
    <mergeCell ref="E68:E70"/>
    <mergeCell ref="B71:B73"/>
    <mergeCell ref="C71:C73"/>
    <mergeCell ref="D71:D73"/>
    <mergeCell ref="E71:E73"/>
    <mergeCell ref="B65:B67"/>
    <mergeCell ref="C65:C67"/>
    <mergeCell ref="D65:D67"/>
    <mergeCell ref="E65:E67"/>
    <mergeCell ref="B56:B58"/>
    <mergeCell ref="C56:C58"/>
    <mergeCell ref="D56:D58"/>
    <mergeCell ref="E56:E58"/>
    <mergeCell ref="B59:B61"/>
    <mergeCell ref="C59:C61"/>
    <mergeCell ref="D59:D61"/>
    <mergeCell ref="E59:E61"/>
    <mergeCell ref="C47:C49"/>
    <mergeCell ref="D47:D49"/>
    <mergeCell ref="E47:E49"/>
    <mergeCell ref="B38:B40"/>
    <mergeCell ref="C38:C40"/>
    <mergeCell ref="D38:D40"/>
    <mergeCell ref="E38:E40"/>
    <mergeCell ref="B41:B43"/>
    <mergeCell ref="C41:C43"/>
    <mergeCell ref="D41:D43"/>
    <mergeCell ref="E41:E43"/>
    <mergeCell ref="B32:O32"/>
    <mergeCell ref="B26:B28"/>
    <mergeCell ref="C26:C28"/>
    <mergeCell ref="D26:D28"/>
    <mergeCell ref="E26:E28"/>
    <mergeCell ref="B29:B31"/>
    <mergeCell ref="C29:C31"/>
    <mergeCell ref="D29:D31"/>
    <mergeCell ref="E29:E31"/>
    <mergeCell ref="A1:O1"/>
    <mergeCell ref="B2:O2"/>
    <mergeCell ref="B20:B22"/>
    <mergeCell ref="C20:C22"/>
    <mergeCell ref="D20:D22"/>
    <mergeCell ref="E20:E22"/>
    <mergeCell ref="B23:B25"/>
    <mergeCell ref="C23:C25"/>
    <mergeCell ref="D23:D25"/>
    <mergeCell ref="E23:E25"/>
    <mergeCell ref="B14:B16"/>
    <mergeCell ref="C14:C16"/>
    <mergeCell ref="D14:D16"/>
    <mergeCell ref="E14:E16"/>
    <mergeCell ref="B17:B19"/>
    <mergeCell ref="C17:C19"/>
    <mergeCell ref="D17:D19"/>
    <mergeCell ref="E17:E19"/>
    <mergeCell ref="B5:B7"/>
    <mergeCell ref="Q2:S2"/>
    <mergeCell ref="T2:U2"/>
    <mergeCell ref="B8:B10"/>
    <mergeCell ref="C8:C10"/>
    <mergeCell ref="D8:D10"/>
    <mergeCell ref="E8:E10"/>
    <mergeCell ref="B11:B13"/>
    <mergeCell ref="C11:C13"/>
    <mergeCell ref="D11:D13"/>
    <mergeCell ref="E11:E13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4FFF4F-2DC8-4579-B619-9E0710A2EF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B2F7083-3F2F-444E-947B-93BD741506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37AF1F-2B78-4D0E-9918-D7F1CACCE6F1}">
  <ds:schemaRefs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bb877b61-73df-4c71-aa42-e1c67dd7a7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Information Sheet</vt:lpstr>
      <vt:lpstr>Growth curves</vt:lpstr>
      <vt:lpstr>C-phycocyanin</vt:lpstr>
      <vt:lpstr>Nitrate content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Ssekimpi</dc:creator>
  <cp:keywords/>
  <dc:description/>
  <cp:lastModifiedBy>Karen Ssekimpi</cp:lastModifiedBy>
  <cp:revision/>
  <dcterms:created xsi:type="dcterms:W3CDTF">2022-05-30T19:54:58Z</dcterms:created>
  <dcterms:modified xsi:type="dcterms:W3CDTF">2023-04-02T17:39:09Z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