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130F8A81-ADC5-994B-8AFA-3FC04F7F3310}" xr6:coauthVersionLast="47" xr6:coauthVersionMax="47" xr10:uidLastSave="{00000000-0000-0000-0000-000000000000}"/>
  <bookViews>
    <workbookView xWindow="0" yWindow="500" windowWidth="25600" windowHeight="14260" xr2:uid="{00000000-000D-0000-FFFF-FFFF00000000}"/>
  </bookViews>
  <sheets>
    <sheet name="Information Sheet" sheetId="18" r:id="rId1"/>
    <sheet name="Growth curves CeBER" sheetId="19" r:id="rId2"/>
    <sheet name="Growth curves UTEX #1926" sheetId="20" r:id="rId3"/>
    <sheet name="C-phycocyanin CeBER" sheetId="21" r:id="rId4"/>
    <sheet name="C-phycocyanin UTEX #1926" sheetId="22" r:id="rId5"/>
    <sheet name="Nitrate content CeBER" sheetId="23" r:id="rId6"/>
    <sheet name="Nitrate content UTEX #1926" sheetId="24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9" i="22" l="1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18" i="22"/>
  <c r="M6" i="22"/>
  <c r="M7" i="22"/>
  <c r="M8" i="22"/>
  <c r="M9" i="22"/>
  <c r="M10" i="22"/>
  <c r="M11" i="22"/>
  <c r="M12" i="22"/>
  <c r="M13" i="22"/>
  <c r="M14" i="22"/>
  <c r="M15" i="22"/>
  <c r="M16" i="22"/>
  <c r="L6" i="22"/>
  <c r="L7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M5" i="22"/>
  <c r="L5" i="22"/>
  <c r="L54" i="22"/>
  <c r="M54" i="22"/>
  <c r="L55" i="22"/>
  <c r="M55" i="22"/>
  <c r="L56" i="22"/>
  <c r="M56" i="22"/>
  <c r="L57" i="22"/>
  <c r="M57" i="22"/>
  <c r="L58" i="22"/>
  <c r="M58" i="22"/>
  <c r="L59" i="22"/>
  <c r="M59" i="22"/>
  <c r="L60" i="22"/>
  <c r="M60" i="22"/>
  <c r="L61" i="22"/>
  <c r="M61" i="22"/>
  <c r="L62" i="22"/>
  <c r="M62" i="22"/>
  <c r="L63" i="22"/>
  <c r="M63" i="22"/>
  <c r="L64" i="22"/>
  <c r="M64" i="22"/>
  <c r="L65" i="22"/>
  <c r="M65" i="22"/>
  <c r="L66" i="22"/>
  <c r="M66" i="22"/>
  <c r="L67" i="22"/>
  <c r="M67" i="22"/>
  <c r="L68" i="22"/>
  <c r="M68" i="22"/>
  <c r="L69" i="22"/>
  <c r="M69" i="22"/>
  <c r="L70" i="22"/>
  <c r="M70" i="22"/>
  <c r="L71" i="22"/>
  <c r="M71" i="22"/>
  <c r="L72" i="22"/>
  <c r="M72" i="22"/>
  <c r="L73" i="22"/>
  <c r="M73" i="22"/>
  <c r="L74" i="22"/>
  <c r="M74" i="22"/>
  <c r="L75" i="22"/>
  <c r="M75" i="22"/>
  <c r="L76" i="22"/>
  <c r="M76" i="22"/>
  <c r="L77" i="22"/>
  <c r="M77" i="22"/>
  <c r="L78" i="22"/>
  <c r="M78" i="22"/>
  <c r="L79" i="22"/>
  <c r="M79" i="22"/>
  <c r="L80" i="22"/>
  <c r="M80" i="22"/>
  <c r="L81" i="22"/>
  <c r="M81" i="22"/>
  <c r="L82" i="22"/>
  <c r="M82" i="22"/>
  <c r="L83" i="22"/>
  <c r="M83" i="22"/>
  <c r="L84" i="22"/>
  <c r="M84" i="22"/>
  <c r="L85" i="22"/>
  <c r="M85" i="22"/>
  <c r="L86" i="22"/>
  <c r="M86" i="22"/>
  <c r="L87" i="22"/>
  <c r="M87" i="22"/>
  <c r="L88" i="22"/>
  <c r="M88" i="22"/>
  <c r="L89" i="22"/>
  <c r="M89" i="22"/>
  <c r="L90" i="22"/>
  <c r="M90" i="22"/>
  <c r="L91" i="22"/>
  <c r="M91" i="22"/>
  <c r="L92" i="22"/>
  <c r="M92" i="22"/>
  <c r="L93" i="22"/>
  <c r="M93" i="22"/>
  <c r="L94" i="22"/>
  <c r="M94" i="22"/>
  <c r="L95" i="22"/>
  <c r="M95" i="22"/>
  <c r="L96" i="22"/>
  <c r="M96" i="22"/>
  <c r="L97" i="22"/>
  <c r="M97" i="22"/>
  <c r="L98" i="22"/>
  <c r="M98" i="22"/>
  <c r="L99" i="22"/>
  <c r="M99" i="22"/>
  <c r="L100" i="22"/>
  <c r="M100" i="22"/>
  <c r="M53" i="22"/>
  <c r="L53" i="22"/>
  <c r="L148" i="22"/>
  <c r="M148" i="22"/>
  <c r="L105" i="22"/>
  <c r="M105" i="22"/>
  <c r="L106" i="22"/>
  <c r="M106" i="22"/>
  <c r="L107" i="22"/>
  <c r="M107" i="22"/>
  <c r="L108" i="22"/>
  <c r="M108" i="22"/>
  <c r="L109" i="22"/>
  <c r="M109" i="22"/>
  <c r="L110" i="22"/>
  <c r="M110" i="22"/>
  <c r="L111" i="22"/>
  <c r="M111" i="22"/>
  <c r="L112" i="22"/>
  <c r="M112" i="22"/>
  <c r="L113" i="22"/>
  <c r="M113" i="22"/>
  <c r="L114" i="22"/>
  <c r="M114" i="22"/>
  <c r="L115" i="22"/>
  <c r="M115" i="22"/>
  <c r="L116" i="22"/>
  <c r="M116" i="22"/>
  <c r="L117" i="22"/>
  <c r="M117" i="22"/>
  <c r="L118" i="22"/>
  <c r="M118" i="22"/>
  <c r="L119" i="22"/>
  <c r="M119" i="22"/>
  <c r="L120" i="22"/>
  <c r="M120" i="22"/>
  <c r="L121" i="22"/>
  <c r="M121" i="22"/>
  <c r="L122" i="22"/>
  <c r="M122" i="22"/>
  <c r="L123" i="22"/>
  <c r="M123" i="22"/>
  <c r="L124" i="22"/>
  <c r="M124" i="22"/>
  <c r="L125" i="22"/>
  <c r="M125" i="22"/>
  <c r="L126" i="22"/>
  <c r="M126" i="22"/>
  <c r="L127" i="22"/>
  <c r="M127" i="22"/>
  <c r="L128" i="22"/>
  <c r="M128" i="22"/>
  <c r="L129" i="22"/>
  <c r="M129" i="22"/>
  <c r="L130" i="22"/>
  <c r="M130" i="22"/>
  <c r="L131" i="22"/>
  <c r="M131" i="22"/>
  <c r="L132" i="22"/>
  <c r="M132" i="22"/>
  <c r="L133" i="22"/>
  <c r="M133" i="22"/>
  <c r="L134" i="22"/>
  <c r="M134" i="22"/>
  <c r="L135" i="22"/>
  <c r="M135" i="22"/>
  <c r="L136" i="22"/>
  <c r="M136" i="22"/>
  <c r="L137" i="22"/>
  <c r="M137" i="22"/>
  <c r="L138" i="22"/>
  <c r="M138" i="22"/>
  <c r="L139" i="22"/>
  <c r="M139" i="22"/>
  <c r="L140" i="22"/>
  <c r="M140" i="22"/>
  <c r="L141" i="22"/>
  <c r="M141" i="22"/>
  <c r="L142" i="22"/>
  <c r="M142" i="22"/>
  <c r="L143" i="22"/>
  <c r="M143" i="22"/>
  <c r="L144" i="22"/>
  <c r="M144" i="22"/>
  <c r="L145" i="22"/>
  <c r="M145" i="22"/>
  <c r="L146" i="22"/>
  <c r="M146" i="22"/>
  <c r="L147" i="22"/>
  <c r="M147" i="22"/>
  <c r="M104" i="22"/>
  <c r="L104" i="22"/>
  <c r="L153" i="22"/>
  <c r="M153" i="22"/>
  <c r="L154" i="22"/>
  <c r="M154" i="22"/>
  <c r="L155" i="22"/>
  <c r="M155" i="22"/>
  <c r="L156" i="22"/>
  <c r="M156" i="22"/>
  <c r="L157" i="22"/>
  <c r="M157" i="22"/>
  <c r="L158" i="22"/>
  <c r="M158" i="22"/>
  <c r="L159" i="22"/>
  <c r="M159" i="22"/>
  <c r="L160" i="22"/>
  <c r="M160" i="22"/>
  <c r="L161" i="22"/>
  <c r="M161" i="22"/>
  <c r="L162" i="22"/>
  <c r="M162" i="22"/>
  <c r="L163" i="22"/>
  <c r="M163" i="22"/>
  <c r="L164" i="22"/>
  <c r="M164" i="22"/>
  <c r="L165" i="22"/>
  <c r="M165" i="22"/>
  <c r="L166" i="22"/>
  <c r="M166" i="22"/>
  <c r="L167" i="22"/>
  <c r="M167" i="22"/>
  <c r="L168" i="22"/>
  <c r="M168" i="22"/>
  <c r="L169" i="22"/>
  <c r="M169" i="22"/>
  <c r="L170" i="22"/>
  <c r="M170" i="22"/>
  <c r="L171" i="22"/>
  <c r="M171" i="22"/>
  <c r="L172" i="22"/>
  <c r="M172" i="22"/>
  <c r="L173" i="22"/>
  <c r="M173" i="22"/>
  <c r="L174" i="22"/>
  <c r="M174" i="22"/>
  <c r="L175" i="22"/>
  <c r="M175" i="22"/>
  <c r="L176" i="22"/>
  <c r="M176" i="22"/>
  <c r="L177" i="22"/>
  <c r="M177" i="22"/>
  <c r="L178" i="22"/>
  <c r="M178" i="22"/>
  <c r="L179" i="22"/>
  <c r="M179" i="22"/>
  <c r="L180" i="22"/>
  <c r="M180" i="22"/>
  <c r="L181" i="22"/>
  <c r="M181" i="22"/>
  <c r="L182" i="22"/>
  <c r="M182" i="22"/>
  <c r="L183" i="22"/>
  <c r="M183" i="22"/>
  <c r="L184" i="22"/>
  <c r="M184" i="22"/>
  <c r="L185" i="22"/>
  <c r="M185" i="22"/>
  <c r="L186" i="22"/>
  <c r="M186" i="22"/>
  <c r="L187" i="22"/>
  <c r="M187" i="22"/>
  <c r="L188" i="22"/>
  <c r="M188" i="22"/>
  <c r="L189" i="22"/>
  <c r="M189" i="22"/>
  <c r="L190" i="22"/>
  <c r="M190" i="22"/>
  <c r="L191" i="22"/>
  <c r="M191" i="22"/>
  <c r="L192" i="22"/>
  <c r="M192" i="22"/>
  <c r="L193" i="22"/>
  <c r="M193" i="22"/>
  <c r="M152" i="22"/>
  <c r="L152" i="22"/>
  <c r="M168" i="21"/>
  <c r="M169" i="21"/>
  <c r="M170" i="21"/>
  <c r="M171" i="21"/>
  <c r="M172" i="21"/>
  <c r="M173" i="21"/>
  <c r="M174" i="21"/>
  <c r="M175" i="21"/>
  <c r="M176" i="21"/>
  <c r="M177" i="21"/>
  <c r="M178" i="21"/>
  <c r="M179" i="21"/>
  <c r="M180" i="21"/>
  <c r="M181" i="21"/>
  <c r="M182" i="21"/>
  <c r="M183" i="21"/>
  <c r="M184" i="21"/>
  <c r="M185" i="21"/>
  <c r="M186" i="21"/>
  <c r="M187" i="21"/>
  <c r="M188" i="21"/>
  <c r="M189" i="21"/>
  <c r="M190" i="21"/>
  <c r="M191" i="21"/>
  <c r="M192" i="21"/>
  <c r="M193" i="21"/>
  <c r="M194" i="21"/>
  <c r="M195" i="21"/>
  <c r="M196" i="21"/>
  <c r="M167" i="21"/>
  <c r="M153" i="21"/>
  <c r="M154" i="21"/>
  <c r="M155" i="21"/>
  <c r="M156" i="21"/>
  <c r="M157" i="21"/>
  <c r="M158" i="21"/>
  <c r="M159" i="21"/>
  <c r="M160" i="21"/>
  <c r="M161" i="21"/>
  <c r="M162" i="21"/>
  <c r="M163" i="21"/>
  <c r="M164" i="21"/>
  <c r="M165" i="21"/>
  <c r="L153" i="21"/>
  <c r="L154" i="21"/>
  <c r="L155" i="21"/>
  <c r="L156" i="21"/>
  <c r="L157" i="21"/>
  <c r="L158" i="21"/>
  <c r="L159" i="21"/>
  <c r="L160" i="21"/>
  <c r="L161" i="21"/>
  <c r="L162" i="21"/>
  <c r="L163" i="21"/>
  <c r="L164" i="21"/>
  <c r="L165" i="21"/>
  <c r="L166" i="21"/>
  <c r="L167" i="21"/>
  <c r="L168" i="21"/>
  <c r="L169" i="21"/>
  <c r="L170" i="21"/>
  <c r="L171" i="21"/>
  <c r="L172" i="21"/>
  <c r="L173" i="21"/>
  <c r="L174" i="21"/>
  <c r="L175" i="21"/>
  <c r="L176" i="21"/>
  <c r="L177" i="21"/>
  <c r="L178" i="21"/>
  <c r="L179" i="21"/>
  <c r="L180" i="21"/>
  <c r="L181" i="21"/>
  <c r="L182" i="21"/>
  <c r="L183" i="21"/>
  <c r="L184" i="21"/>
  <c r="L185" i="21"/>
  <c r="L186" i="21"/>
  <c r="L187" i="21"/>
  <c r="L188" i="21"/>
  <c r="L189" i="21"/>
  <c r="L190" i="21"/>
  <c r="L191" i="21"/>
  <c r="L192" i="21"/>
  <c r="L193" i="21"/>
  <c r="L194" i="21"/>
  <c r="L195" i="21"/>
  <c r="L196" i="21"/>
  <c r="M152" i="21"/>
  <c r="L152" i="21"/>
  <c r="M148" i="21"/>
  <c r="M120" i="21"/>
  <c r="M121" i="21"/>
  <c r="M122" i="21"/>
  <c r="M123" i="21"/>
  <c r="M124" i="21"/>
  <c r="M125" i="21"/>
  <c r="M126" i="21"/>
  <c r="M127" i="21"/>
  <c r="M128" i="21"/>
  <c r="M129" i="21"/>
  <c r="M130" i="21"/>
  <c r="M131" i="21"/>
  <c r="M132" i="21"/>
  <c r="M133" i="21"/>
  <c r="M134" i="21"/>
  <c r="M135" i="21"/>
  <c r="M136" i="21"/>
  <c r="M137" i="21"/>
  <c r="M138" i="21"/>
  <c r="M139" i="21"/>
  <c r="M140" i="21"/>
  <c r="M141" i="21"/>
  <c r="M142" i="21"/>
  <c r="M143" i="21"/>
  <c r="M144" i="21"/>
  <c r="M145" i="21"/>
  <c r="M146" i="21"/>
  <c r="M147" i="21"/>
  <c r="M119" i="21"/>
  <c r="M105" i="21"/>
  <c r="M106" i="21"/>
  <c r="M107" i="21"/>
  <c r="M108" i="21"/>
  <c r="M109" i="21"/>
  <c r="M110" i="21"/>
  <c r="M111" i="21"/>
  <c r="M112" i="21"/>
  <c r="M113" i="21"/>
  <c r="M114" i="21"/>
  <c r="M115" i="21"/>
  <c r="M116" i="21"/>
  <c r="M117" i="21"/>
  <c r="L105" i="21"/>
  <c r="L106" i="21"/>
  <c r="L107" i="21"/>
  <c r="L108" i="21"/>
  <c r="L109" i="21"/>
  <c r="L110" i="21"/>
  <c r="L111" i="21"/>
  <c r="L112" i="21"/>
  <c r="L113" i="21"/>
  <c r="L114" i="21"/>
  <c r="L115" i="21"/>
  <c r="L116" i="21"/>
  <c r="L117" i="21"/>
  <c r="L118" i="21"/>
  <c r="L119" i="21"/>
  <c r="L120" i="21"/>
  <c r="L121" i="21"/>
  <c r="L122" i="21"/>
  <c r="L123" i="21"/>
  <c r="L124" i="21"/>
  <c r="L125" i="21"/>
  <c r="L126" i="21"/>
  <c r="L127" i="21"/>
  <c r="L128" i="21"/>
  <c r="L129" i="21"/>
  <c r="L130" i="21"/>
  <c r="L131" i="21"/>
  <c r="L132" i="21"/>
  <c r="L133" i="21"/>
  <c r="L134" i="21"/>
  <c r="L135" i="21"/>
  <c r="L136" i="21"/>
  <c r="L137" i="21"/>
  <c r="L138" i="21"/>
  <c r="L139" i="21"/>
  <c r="L140" i="21"/>
  <c r="L141" i="21"/>
  <c r="L142" i="21"/>
  <c r="L143" i="21"/>
  <c r="L144" i="21"/>
  <c r="L145" i="21"/>
  <c r="L146" i="21"/>
  <c r="L147" i="21"/>
  <c r="L148" i="21"/>
  <c r="M104" i="21"/>
  <c r="L104" i="21"/>
  <c r="L54" i="21"/>
  <c r="M54" i="21"/>
  <c r="L55" i="21"/>
  <c r="M55" i="21"/>
  <c r="L56" i="21"/>
  <c r="M56" i="21"/>
  <c r="L57" i="21"/>
  <c r="M57" i="21"/>
  <c r="L58" i="21"/>
  <c r="M58" i="21"/>
  <c r="L59" i="21"/>
  <c r="M59" i="21"/>
  <c r="L60" i="21"/>
  <c r="M60" i="21"/>
  <c r="L61" i="21"/>
  <c r="M61" i="21"/>
  <c r="L62" i="21"/>
  <c r="M62" i="21"/>
  <c r="L63" i="21"/>
  <c r="M63" i="21"/>
  <c r="L64" i="21"/>
  <c r="M64" i="21"/>
  <c r="L65" i="21"/>
  <c r="M65" i="21"/>
  <c r="L66" i="21"/>
  <c r="M66" i="21"/>
  <c r="L67" i="21"/>
  <c r="M67" i="21"/>
  <c r="L68" i="21"/>
  <c r="M68" i="21"/>
  <c r="L69" i="21"/>
  <c r="M69" i="21"/>
  <c r="L70" i="21"/>
  <c r="M70" i="21"/>
  <c r="L71" i="21"/>
  <c r="M71" i="21"/>
  <c r="L72" i="21"/>
  <c r="M72" i="21"/>
  <c r="L73" i="21"/>
  <c r="M73" i="21"/>
  <c r="L74" i="21"/>
  <c r="M74" i="21"/>
  <c r="L75" i="21"/>
  <c r="M75" i="21"/>
  <c r="L76" i="21"/>
  <c r="M76" i="21"/>
  <c r="L77" i="21"/>
  <c r="M77" i="21"/>
  <c r="L78" i="21"/>
  <c r="M78" i="21"/>
  <c r="L79" i="21"/>
  <c r="M79" i="21"/>
  <c r="L80" i="21"/>
  <c r="M80" i="21"/>
  <c r="L81" i="21"/>
  <c r="M81" i="21"/>
  <c r="L82" i="21"/>
  <c r="M82" i="21"/>
  <c r="L83" i="21"/>
  <c r="M83" i="21"/>
  <c r="L84" i="21"/>
  <c r="M84" i="21"/>
  <c r="L85" i="21"/>
  <c r="M85" i="21"/>
  <c r="L86" i="21"/>
  <c r="M86" i="21"/>
  <c r="L87" i="21"/>
  <c r="M87" i="21"/>
  <c r="L88" i="21"/>
  <c r="M88" i="21"/>
  <c r="L89" i="21"/>
  <c r="M89" i="21"/>
  <c r="L90" i="21"/>
  <c r="M90" i="21"/>
  <c r="L91" i="21"/>
  <c r="M91" i="21"/>
  <c r="L92" i="21"/>
  <c r="M92" i="21"/>
  <c r="L93" i="21"/>
  <c r="M93" i="21"/>
  <c r="L94" i="21"/>
  <c r="M94" i="21"/>
  <c r="L95" i="21"/>
  <c r="M95" i="21"/>
  <c r="L96" i="21"/>
  <c r="M96" i="21"/>
  <c r="L97" i="21"/>
  <c r="M97" i="21"/>
  <c r="L98" i="21"/>
  <c r="M98" i="21"/>
  <c r="L99" i="21"/>
  <c r="M99" i="21"/>
  <c r="L100" i="21"/>
  <c r="M100" i="21"/>
  <c r="M53" i="21"/>
  <c r="L53" i="21"/>
  <c r="L6" i="21"/>
  <c r="M6" i="21"/>
  <c r="L7" i="21"/>
  <c r="M7" i="21"/>
  <c r="L8" i="21"/>
  <c r="M8" i="21"/>
  <c r="L9" i="21"/>
  <c r="M9" i="21"/>
  <c r="L10" i="21"/>
  <c r="M10" i="21"/>
  <c r="L11" i="21"/>
  <c r="M11" i="21"/>
  <c r="L12" i="21"/>
  <c r="M12" i="21"/>
  <c r="L13" i="21"/>
  <c r="M13" i="21"/>
  <c r="L14" i="21"/>
  <c r="M14" i="21"/>
  <c r="L15" i="21"/>
  <c r="M15" i="21"/>
  <c r="L16" i="21"/>
  <c r="M16" i="21"/>
  <c r="L17" i="21"/>
  <c r="M17" i="21"/>
  <c r="L18" i="21"/>
  <c r="M18" i="21"/>
  <c r="L19" i="21"/>
  <c r="M19" i="21"/>
  <c r="L20" i="21"/>
  <c r="M20" i="21"/>
  <c r="L21" i="21"/>
  <c r="M21" i="21"/>
  <c r="L22" i="21"/>
  <c r="M22" i="21"/>
  <c r="L23" i="21"/>
  <c r="M23" i="21"/>
  <c r="L24" i="21"/>
  <c r="M24" i="21"/>
  <c r="L25" i="21"/>
  <c r="M25" i="21"/>
  <c r="L26" i="21"/>
  <c r="M26" i="21"/>
  <c r="L27" i="21"/>
  <c r="M27" i="21"/>
  <c r="L28" i="21"/>
  <c r="M28" i="21"/>
  <c r="L29" i="21"/>
  <c r="M29" i="21"/>
  <c r="L30" i="21"/>
  <c r="M30" i="21"/>
  <c r="L31" i="21"/>
  <c r="M31" i="21"/>
  <c r="L32" i="21"/>
  <c r="M32" i="21"/>
  <c r="L33" i="21"/>
  <c r="M33" i="21"/>
  <c r="L34" i="21"/>
  <c r="M34" i="21"/>
  <c r="L35" i="21"/>
  <c r="M35" i="21"/>
  <c r="L36" i="21"/>
  <c r="M36" i="21"/>
  <c r="L37" i="21"/>
  <c r="M37" i="21"/>
  <c r="L38" i="21"/>
  <c r="M38" i="21"/>
  <c r="L39" i="21"/>
  <c r="M39" i="21"/>
  <c r="L40" i="21"/>
  <c r="M40" i="21"/>
  <c r="L41" i="21"/>
  <c r="M41" i="21"/>
  <c r="L42" i="21"/>
  <c r="M42" i="21"/>
  <c r="L43" i="21"/>
  <c r="M43" i="21"/>
  <c r="L44" i="21"/>
  <c r="M44" i="21"/>
  <c r="L45" i="21"/>
  <c r="M45" i="21"/>
  <c r="L46" i="21"/>
  <c r="M46" i="21"/>
  <c r="L47" i="21"/>
  <c r="M47" i="21"/>
  <c r="L48" i="21"/>
  <c r="M48" i="21"/>
  <c r="L49" i="21"/>
  <c r="M49" i="21"/>
  <c r="M5" i="21"/>
  <c r="L5" i="21"/>
  <c r="J109" i="24"/>
  <c r="J108" i="24"/>
  <c r="J107" i="24"/>
  <c r="I109" i="24"/>
  <c r="I108" i="24"/>
  <c r="I107" i="24"/>
  <c r="H109" i="24"/>
  <c r="H108" i="24"/>
  <c r="H107" i="24"/>
  <c r="H105" i="24"/>
  <c r="J105" i="24"/>
  <c r="J106" i="24"/>
  <c r="J104" i="24"/>
  <c r="I106" i="24"/>
  <c r="I105" i="24"/>
  <c r="I104" i="24"/>
  <c r="H106" i="24"/>
  <c r="H104" i="24"/>
  <c r="I102" i="24"/>
  <c r="H103" i="24"/>
  <c r="H102" i="24"/>
  <c r="H101" i="24"/>
  <c r="J103" i="24"/>
  <c r="J102" i="24"/>
  <c r="J101" i="24"/>
  <c r="I103" i="24"/>
  <c r="I101" i="24"/>
  <c r="H98" i="24"/>
  <c r="J100" i="24"/>
  <c r="J99" i="24"/>
  <c r="J98" i="24"/>
  <c r="I100" i="24"/>
  <c r="I99" i="24"/>
  <c r="I98" i="24"/>
  <c r="H100" i="24"/>
  <c r="H99" i="24"/>
  <c r="I97" i="24"/>
  <c r="I96" i="24"/>
  <c r="I95" i="24"/>
  <c r="H97" i="24"/>
  <c r="H96" i="24"/>
  <c r="H95" i="24"/>
  <c r="H91" i="24"/>
  <c r="H90" i="24"/>
  <c r="H89" i="24"/>
  <c r="H86" i="24"/>
  <c r="J87" i="24"/>
  <c r="H87" i="24"/>
  <c r="H88" i="24"/>
  <c r="J97" i="24"/>
  <c r="J96" i="24"/>
  <c r="J95" i="24"/>
  <c r="J94" i="24"/>
  <c r="I94" i="24"/>
  <c r="H94" i="24"/>
  <c r="J93" i="24"/>
  <c r="I93" i="24"/>
  <c r="H93" i="24"/>
  <c r="J92" i="24"/>
  <c r="I92" i="24"/>
  <c r="H92" i="24"/>
  <c r="J91" i="24"/>
  <c r="I91" i="24"/>
  <c r="J90" i="24"/>
  <c r="I90" i="24"/>
  <c r="J89" i="24"/>
  <c r="I89" i="24"/>
  <c r="J88" i="24"/>
  <c r="I88" i="24"/>
  <c r="I87" i="24"/>
  <c r="J86" i="24"/>
  <c r="I86" i="24"/>
  <c r="D89" i="24"/>
  <c r="D92" i="24" s="1"/>
  <c r="D95" i="24" s="1"/>
  <c r="D98" i="24" s="1"/>
  <c r="D101" i="24" s="1"/>
  <c r="D104" i="24" s="1"/>
  <c r="D107" i="24" s="1"/>
  <c r="H38" i="24"/>
  <c r="H39" i="24"/>
  <c r="H40" i="24"/>
  <c r="I38" i="24"/>
  <c r="I39" i="24"/>
  <c r="H109" i="23"/>
  <c r="J108" i="23"/>
  <c r="I108" i="23"/>
  <c r="J109" i="23"/>
  <c r="J107" i="23"/>
  <c r="I109" i="23"/>
  <c r="I107" i="23"/>
  <c r="H108" i="23"/>
  <c r="H107" i="23"/>
  <c r="I105" i="23"/>
  <c r="H105" i="23"/>
  <c r="H106" i="23"/>
  <c r="H104" i="23"/>
  <c r="J106" i="23"/>
  <c r="J105" i="23"/>
  <c r="J104" i="23"/>
  <c r="I106" i="23"/>
  <c r="I104" i="23"/>
  <c r="H103" i="23"/>
  <c r="H102" i="23"/>
  <c r="H101" i="23"/>
  <c r="J103" i="23"/>
  <c r="J102" i="23"/>
  <c r="J101" i="23"/>
  <c r="I103" i="23"/>
  <c r="I102" i="23"/>
  <c r="I101" i="23"/>
  <c r="H99" i="23"/>
  <c r="J100" i="23"/>
  <c r="I100" i="23"/>
  <c r="H100" i="23"/>
  <c r="J99" i="23"/>
  <c r="I99" i="23"/>
  <c r="J98" i="23"/>
  <c r="I98" i="23"/>
  <c r="H98" i="23"/>
  <c r="I96" i="23"/>
  <c r="H95" i="23"/>
  <c r="I92" i="23"/>
  <c r="H92" i="23"/>
  <c r="J94" i="23"/>
  <c r="J93" i="23"/>
  <c r="J92" i="23"/>
  <c r="H93" i="23"/>
  <c r="H94" i="23"/>
  <c r="I94" i="23"/>
  <c r="I93" i="23"/>
  <c r="J97" i="23"/>
  <c r="I97" i="23"/>
  <c r="H97" i="23"/>
  <c r="J96" i="23"/>
  <c r="H96" i="23"/>
  <c r="J95" i="23"/>
  <c r="I95" i="23"/>
  <c r="H90" i="23"/>
  <c r="H91" i="23"/>
  <c r="H89" i="23"/>
  <c r="J91" i="23"/>
  <c r="J90" i="23"/>
  <c r="J89" i="23"/>
  <c r="I91" i="23"/>
  <c r="I90" i="23"/>
  <c r="I89" i="23"/>
  <c r="J86" i="23"/>
  <c r="M86" i="23" s="1"/>
  <c r="I87" i="23"/>
  <c r="I86" i="23"/>
  <c r="H87" i="23"/>
  <c r="H86" i="23"/>
  <c r="J88" i="23"/>
  <c r="I88" i="23"/>
  <c r="H88" i="23"/>
  <c r="J87" i="23"/>
  <c r="L86" i="23"/>
  <c r="D89" i="23"/>
  <c r="D92" i="23" s="1"/>
  <c r="D95" i="23" s="1"/>
  <c r="D98" i="23" s="1"/>
  <c r="D101" i="23" s="1"/>
  <c r="D104" i="23" s="1"/>
  <c r="D107" i="23" s="1"/>
  <c r="O193" i="22"/>
  <c r="O192" i="22"/>
  <c r="O191" i="22"/>
  <c r="O190" i="22"/>
  <c r="O189" i="22"/>
  <c r="O188" i="22"/>
  <c r="K178" i="22"/>
  <c r="K177" i="22"/>
  <c r="J178" i="22"/>
  <c r="J177" i="22"/>
  <c r="I178" i="22"/>
  <c r="I177" i="22"/>
  <c r="H178" i="22"/>
  <c r="H177" i="22"/>
  <c r="K176" i="22"/>
  <c r="J176" i="22"/>
  <c r="I176" i="22"/>
  <c r="H176" i="22"/>
  <c r="W92" i="24" l="1"/>
  <c r="W91" i="24"/>
  <c r="W90" i="24"/>
  <c r="W89" i="24"/>
  <c r="W88" i="24"/>
  <c r="W87" i="24"/>
  <c r="W86" i="24"/>
  <c r="Y84" i="24"/>
  <c r="X84" i="24"/>
  <c r="W92" i="23"/>
  <c r="W91" i="23"/>
  <c r="W90" i="23"/>
  <c r="W89" i="23"/>
  <c r="W88" i="23"/>
  <c r="W87" i="23"/>
  <c r="W86" i="23"/>
  <c r="Y84" i="23"/>
  <c r="X84" i="23"/>
  <c r="AD151" i="22"/>
  <c r="AG150" i="22"/>
  <c r="AE150" i="22"/>
  <c r="Q172" i="22"/>
  <c r="Q171" i="22"/>
  <c r="Q170" i="22"/>
  <c r="Q169" i="22"/>
  <c r="Q168" i="22"/>
  <c r="Q167" i="22"/>
  <c r="Q166" i="22"/>
  <c r="Q165" i="22"/>
  <c r="Q164" i="22"/>
  <c r="Q163" i="22"/>
  <c r="Q162" i="22"/>
  <c r="Q161" i="22"/>
  <c r="O148" i="22"/>
  <c r="O147" i="22"/>
  <c r="O146" i="22"/>
  <c r="O145" i="22"/>
  <c r="O144" i="22"/>
  <c r="O143" i="22"/>
  <c r="O142" i="22"/>
  <c r="O141" i="22"/>
  <c r="O140" i="22"/>
  <c r="O139" i="22"/>
  <c r="O138" i="22"/>
  <c r="O137" i="22"/>
  <c r="O136" i="22"/>
  <c r="O135" i="22"/>
  <c r="O134" i="22"/>
  <c r="O133" i="22"/>
  <c r="O132" i="22"/>
  <c r="O131" i="22"/>
  <c r="O130" i="22"/>
  <c r="O129" i="22"/>
  <c r="O128" i="22"/>
  <c r="O127" i="22"/>
  <c r="O126" i="22"/>
  <c r="O125" i="22"/>
  <c r="O124" i="22"/>
  <c r="Q124" i="22" s="1"/>
  <c r="O123" i="22"/>
  <c r="Q123" i="22" s="1"/>
  <c r="O122" i="22"/>
  <c r="Q122" i="22" s="1"/>
  <c r="O121" i="22"/>
  <c r="Q121" i="22" s="1"/>
  <c r="O120" i="22"/>
  <c r="Q120" i="22" s="1"/>
  <c r="O119" i="22"/>
  <c r="Q119" i="22" s="1"/>
  <c r="O118" i="22"/>
  <c r="Q118" i="22" s="1"/>
  <c r="O117" i="22"/>
  <c r="Q117" i="22" s="1"/>
  <c r="O116" i="22"/>
  <c r="Q116" i="22" s="1"/>
  <c r="O115" i="22"/>
  <c r="Q115" i="22" s="1"/>
  <c r="O114" i="22"/>
  <c r="Q114" i="22" s="1"/>
  <c r="O113" i="22"/>
  <c r="Q113" i="22" s="1"/>
  <c r="O112" i="22"/>
  <c r="O111" i="22"/>
  <c r="O110" i="22"/>
  <c r="O109" i="22"/>
  <c r="O108" i="22"/>
  <c r="O107" i="22"/>
  <c r="O106" i="22"/>
  <c r="O105" i="22"/>
  <c r="O104" i="22"/>
  <c r="O100" i="22"/>
  <c r="O99" i="22"/>
  <c r="O98" i="22"/>
  <c r="O97" i="22"/>
  <c r="O96" i="22"/>
  <c r="O95" i="22"/>
  <c r="O94" i="22"/>
  <c r="O93" i="22"/>
  <c r="O92" i="22"/>
  <c r="O91" i="22"/>
  <c r="O90" i="22"/>
  <c r="O89" i="22"/>
  <c r="O88" i="22"/>
  <c r="O87" i="22"/>
  <c r="O86" i="22"/>
  <c r="O85" i="22"/>
  <c r="O84" i="22"/>
  <c r="O83" i="22"/>
  <c r="O82" i="22"/>
  <c r="O81" i="22"/>
  <c r="O80" i="22"/>
  <c r="O79" i="22"/>
  <c r="O78" i="22"/>
  <c r="O77" i="22"/>
  <c r="O76" i="22"/>
  <c r="O75" i="22"/>
  <c r="O74" i="22"/>
  <c r="O73" i="22"/>
  <c r="Q73" i="22" s="1"/>
  <c r="O72" i="22"/>
  <c r="Q72" i="22" s="1"/>
  <c r="O71" i="22"/>
  <c r="Q71" i="22" s="1"/>
  <c r="O70" i="22"/>
  <c r="Q70" i="22" s="1"/>
  <c r="O69" i="22"/>
  <c r="Q69" i="22" s="1"/>
  <c r="O68" i="22"/>
  <c r="Q68" i="22" s="1"/>
  <c r="O67" i="22"/>
  <c r="Q67" i="22" s="1"/>
  <c r="O66" i="22"/>
  <c r="Q66" i="22" s="1"/>
  <c r="O65" i="22"/>
  <c r="Q65" i="22" s="1"/>
  <c r="O64" i="22"/>
  <c r="Q64" i="22" s="1"/>
  <c r="O63" i="22"/>
  <c r="Q63" i="22" s="1"/>
  <c r="O62" i="22"/>
  <c r="Q62" i="22" s="1"/>
  <c r="O61" i="22"/>
  <c r="O60" i="22"/>
  <c r="O59" i="22"/>
  <c r="O58" i="22"/>
  <c r="O57" i="22"/>
  <c r="O56" i="22"/>
  <c r="O55" i="22"/>
  <c r="O54" i="22"/>
  <c r="O53" i="22"/>
  <c r="O49" i="22"/>
  <c r="O48" i="22"/>
  <c r="O47" i="22"/>
  <c r="O46" i="22"/>
  <c r="O45" i="22"/>
  <c r="O44" i="22"/>
  <c r="O43" i="22"/>
  <c r="O42" i="22"/>
  <c r="O41" i="22"/>
  <c r="O40" i="22"/>
  <c r="O39" i="22"/>
  <c r="O38" i="22"/>
  <c r="O37" i="22"/>
  <c r="O36" i="22"/>
  <c r="O35" i="22"/>
  <c r="O34" i="22"/>
  <c r="O33" i="22"/>
  <c r="O32" i="22"/>
  <c r="O31" i="22"/>
  <c r="O30" i="22"/>
  <c r="O29" i="22"/>
  <c r="O28" i="22"/>
  <c r="O27" i="22"/>
  <c r="O26" i="22"/>
  <c r="O25" i="22"/>
  <c r="Q25" i="22" s="1"/>
  <c r="O24" i="22"/>
  <c r="Q24" i="22" s="1"/>
  <c r="O23" i="22"/>
  <c r="Q23" i="22" s="1"/>
  <c r="O22" i="22"/>
  <c r="Q22" i="22" s="1"/>
  <c r="O21" i="22"/>
  <c r="Q21" i="22" s="1"/>
  <c r="O20" i="22"/>
  <c r="Q20" i="22" s="1"/>
  <c r="O19" i="22"/>
  <c r="Q19" i="22" s="1"/>
  <c r="O18" i="22"/>
  <c r="Q18" i="22" s="1"/>
  <c r="O17" i="22"/>
  <c r="Q17" i="22" s="1"/>
  <c r="O16" i="22"/>
  <c r="Q16" i="22" s="1"/>
  <c r="O15" i="22"/>
  <c r="Q15" i="22" s="1"/>
  <c r="O14" i="22"/>
  <c r="Q14" i="22" s="1"/>
  <c r="O12" i="22"/>
  <c r="O11" i="22"/>
  <c r="O10" i="22"/>
  <c r="O9" i="22"/>
  <c r="O8" i="22"/>
  <c r="O7" i="22"/>
  <c r="O6" i="22"/>
  <c r="O5" i="22"/>
  <c r="O13" i="22"/>
  <c r="Q172" i="21"/>
  <c r="Q171" i="21"/>
  <c r="Q170" i="21"/>
  <c r="Q169" i="21"/>
  <c r="Q168" i="21"/>
  <c r="Q166" i="21"/>
  <c r="Q165" i="21"/>
  <c r="Q167" i="21"/>
  <c r="Q164" i="21"/>
  <c r="Q163" i="21"/>
  <c r="Q162" i="21"/>
  <c r="Q161" i="21"/>
  <c r="AD151" i="21" l="1"/>
  <c r="AG150" i="21"/>
  <c r="AE150" i="21"/>
  <c r="O148" i="21"/>
  <c r="O147" i="21"/>
  <c r="O146" i="21"/>
  <c r="O145" i="21"/>
  <c r="O144" i="21"/>
  <c r="O143" i="21"/>
  <c r="O142" i="21"/>
  <c r="O141" i="21"/>
  <c r="O140" i="21"/>
  <c r="O139" i="21"/>
  <c r="O138" i="21"/>
  <c r="O137" i="21"/>
  <c r="O136" i="21"/>
  <c r="O135" i="21"/>
  <c r="O134" i="21"/>
  <c r="O133" i="21"/>
  <c r="O132" i="21"/>
  <c r="O131" i="21"/>
  <c r="O130" i="21"/>
  <c r="O129" i="21"/>
  <c r="O128" i="21"/>
  <c r="O127" i="21"/>
  <c r="O126" i="21"/>
  <c r="O125" i="21"/>
  <c r="O124" i="21"/>
  <c r="O123" i="21"/>
  <c r="O122" i="21"/>
  <c r="O121" i="21"/>
  <c r="O120" i="21"/>
  <c r="O119" i="21"/>
  <c r="O118" i="21"/>
  <c r="Q118" i="21" s="1"/>
  <c r="O117" i="21"/>
  <c r="Q117" i="21" s="1"/>
  <c r="O116" i="21"/>
  <c r="Q116" i="21" s="1"/>
  <c r="O115" i="21"/>
  <c r="Q115" i="21" s="1"/>
  <c r="O114" i="21"/>
  <c r="Q114" i="21" s="1"/>
  <c r="O113" i="21"/>
  <c r="Q113" i="21" s="1"/>
  <c r="O112" i="21"/>
  <c r="O111" i="21"/>
  <c r="O110" i="21"/>
  <c r="O109" i="21"/>
  <c r="O108" i="21"/>
  <c r="O107" i="21"/>
  <c r="O106" i="21"/>
  <c r="O105" i="21"/>
  <c r="O104" i="21"/>
  <c r="O100" i="21"/>
  <c r="O99" i="21"/>
  <c r="O98" i="21"/>
  <c r="O97" i="21"/>
  <c r="O96" i="21"/>
  <c r="O95" i="21"/>
  <c r="O94" i="21"/>
  <c r="O93" i="21"/>
  <c r="O92" i="21"/>
  <c r="O91" i="21"/>
  <c r="O90" i="21"/>
  <c r="O89" i="21"/>
  <c r="O88" i="21"/>
  <c r="O87" i="21"/>
  <c r="O86" i="21"/>
  <c r="O85" i="21"/>
  <c r="O84" i="21"/>
  <c r="O83" i="21"/>
  <c r="O82" i="21"/>
  <c r="O81" i="21"/>
  <c r="O80" i="21"/>
  <c r="O79" i="21"/>
  <c r="O78" i="21"/>
  <c r="O77" i="21"/>
  <c r="O76" i="21"/>
  <c r="O75" i="21"/>
  <c r="O74" i="21"/>
  <c r="O73" i="21"/>
  <c r="O72" i="21"/>
  <c r="O71" i="21"/>
  <c r="O70" i="21"/>
  <c r="O69" i="21"/>
  <c r="O68" i="21"/>
  <c r="O67" i="21"/>
  <c r="Q67" i="21" s="1"/>
  <c r="O66" i="21"/>
  <c r="Q66" i="21" s="1"/>
  <c r="O65" i="21"/>
  <c r="Q65" i="21" s="1"/>
  <c r="O64" i="21"/>
  <c r="Q64" i="21" s="1"/>
  <c r="O63" i="21"/>
  <c r="Q63" i="21" s="1"/>
  <c r="O62" i="21"/>
  <c r="Q62" i="21" s="1"/>
  <c r="O61" i="21"/>
  <c r="O60" i="21"/>
  <c r="O59" i="21"/>
  <c r="O58" i="21"/>
  <c r="O57" i="21"/>
  <c r="O56" i="21"/>
  <c r="O55" i="21"/>
  <c r="O54" i="21"/>
  <c r="O53" i="21"/>
  <c r="O49" i="21"/>
  <c r="O48" i="21"/>
  <c r="O47" i="21"/>
  <c r="O46" i="21"/>
  <c r="O45" i="21"/>
  <c r="O44" i="21"/>
  <c r="O43" i="21"/>
  <c r="O42" i="21"/>
  <c r="O41" i="21"/>
  <c r="O40" i="21"/>
  <c r="O39" i="21"/>
  <c r="O38" i="21"/>
  <c r="O37" i="21"/>
  <c r="O36" i="21"/>
  <c r="O35" i="21"/>
  <c r="O34" i="21"/>
  <c r="O33" i="21"/>
  <c r="O32" i="21"/>
  <c r="O31" i="21"/>
  <c r="O30" i="21"/>
  <c r="O29" i="21"/>
  <c r="O28" i="21"/>
  <c r="O27" i="21"/>
  <c r="O26" i="21"/>
  <c r="O25" i="21"/>
  <c r="O24" i="21"/>
  <c r="O23" i="21"/>
  <c r="O22" i="21"/>
  <c r="O21" i="21"/>
  <c r="O20" i="21"/>
  <c r="O19" i="21"/>
  <c r="Q19" i="21" s="1"/>
  <c r="O18" i="21"/>
  <c r="Q18" i="21" s="1"/>
  <c r="O17" i="21"/>
  <c r="Q17" i="21" s="1"/>
  <c r="O16" i="21"/>
  <c r="Q16" i="21" s="1"/>
  <c r="O15" i="21"/>
  <c r="Q15" i="21" s="1"/>
  <c r="O14" i="21"/>
  <c r="Q14" i="21" s="1"/>
  <c r="O13" i="21"/>
  <c r="O12" i="21"/>
  <c r="O11" i="21"/>
  <c r="O10" i="21"/>
  <c r="O8" i="21"/>
  <c r="O9" i="21"/>
  <c r="O7" i="21"/>
  <c r="O6" i="21"/>
  <c r="O5" i="21"/>
  <c r="K193" i="22" l="1"/>
  <c r="J193" i="22"/>
  <c r="I193" i="22"/>
  <c r="H193" i="22"/>
  <c r="K192" i="22"/>
  <c r="J192" i="22"/>
  <c r="I192" i="22"/>
  <c r="H192" i="22"/>
  <c r="K191" i="22"/>
  <c r="J191" i="22"/>
  <c r="I191" i="22"/>
  <c r="H191" i="22"/>
  <c r="G188" i="22"/>
  <c r="J190" i="22" s="1"/>
  <c r="F188" i="22"/>
  <c r="I190" i="22" s="1"/>
  <c r="G185" i="22"/>
  <c r="K187" i="22" s="1"/>
  <c r="F185" i="22"/>
  <c r="H187" i="22" s="1"/>
  <c r="G182" i="22"/>
  <c r="J184" i="22" s="1"/>
  <c r="F182" i="22"/>
  <c r="I184" i="22" s="1"/>
  <c r="K179" i="22"/>
  <c r="J179" i="22"/>
  <c r="I179" i="22"/>
  <c r="H179" i="22"/>
  <c r="K173" i="22"/>
  <c r="J173" i="22"/>
  <c r="I173" i="22"/>
  <c r="H173" i="22"/>
  <c r="K172" i="22"/>
  <c r="J172" i="22"/>
  <c r="I172" i="22"/>
  <c r="H172" i="22"/>
  <c r="K171" i="22"/>
  <c r="J171" i="22"/>
  <c r="I171" i="22"/>
  <c r="H171" i="22"/>
  <c r="K170" i="22"/>
  <c r="J170" i="22"/>
  <c r="I170" i="22"/>
  <c r="H170" i="22"/>
  <c r="K169" i="22"/>
  <c r="J169" i="22"/>
  <c r="I169" i="22"/>
  <c r="H169" i="22"/>
  <c r="K168" i="22"/>
  <c r="J168" i="22"/>
  <c r="I168" i="22"/>
  <c r="H168" i="22"/>
  <c r="K167" i="22"/>
  <c r="J167" i="22"/>
  <c r="I167" i="22"/>
  <c r="H167" i="22"/>
  <c r="G164" i="22"/>
  <c r="K166" i="22" s="1"/>
  <c r="F164" i="22"/>
  <c r="H166" i="22" s="1"/>
  <c r="K163" i="22"/>
  <c r="J163" i="22"/>
  <c r="I163" i="22"/>
  <c r="H163" i="22"/>
  <c r="K162" i="22"/>
  <c r="J162" i="22"/>
  <c r="I162" i="22"/>
  <c r="H162" i="22"/>
  <c r="K161" i="22"/>
  <c r="J161" i="22"/>
  <c r="I161" i="22"/>
  <c r="H161" i="22"/>
  <c r="G158" i="22"/>
  <c r="J160" i="22" s="1"/>
  <c r="F158" i="22"/>
  <c r="I160" i="22" s="1"/>
  <c r="G155" i="22"/>
  <c r="K157" i="22" s="1"/>
  <c r="F155" i="22"/>
  <c r="H157" i="22" s="1"/>
  <c r="G152" i="22"/>
  <c r="J154" i="22" s="1"/>
  <c r="F152" i="22"/>
  <c r="I154" i="22" s="1"/>
  <c r="D155" i="22"/>
  <c r="K196" i="21"/>
  <c r="J196" i="21"/>
  <c r="I196" i="21"/>
  <c r="H196" i="21"/>
  <c r="K195" i="21"/>
  <c r="J195" i="21"/>
  <c r="I195" i="21"/>
  <c r="H195" i="21"/>
  <c r="K194" i="21"/>
  <c r="J194" i="21"/>
  <c r="I194" i="21"/>
  <c r="H194" i="21"/>
  <c r="G191" i="21"/>
  <c r="K193" i="21" s="1"/>
  <c r="F191" i="21"/>
  <c r="I193" i="21" s="1"/>
  <c r="G185" i="21"/>
  <c r="K187" i="21" s="1"/>
  <c r="F185" i="21"/>
  <c r="I187" i="21" s="1"/>
  <c r="G182" i="21"/>
  <c r="K184" i="21" s="1"/>
  <c r="F182" i="21"/>
  <c r="I184" i="21" s="1"/>
  <c r="K181" i="21"/>
  <c r="J181" i="21"/>
  <c r="I181" i="21"/>
  <c r="H181" i="21"/>
  <c r="K180" i="21"/>
  <c r="J180" i="21"/>
  <c r="I180" i="21"/>
  <c r="H180" i="21"/>
  <c r="K179" i="21"/>
  <c r="J179" i="21"/>
  <c r="I179" i="21"/>
  <c r="H179" i="21"/>
  <c r="K175" i="21"/>
  <c r="J175" i="21"/>
  <c r="I175" i="21"/>
  <c r="H175" i="21"/>
  <c r="K174" i="21"/>
  <c r="J174" i="21"/>
  <c r="I174" i="21"/>
  <c r="H174" i="21"/>
  <c r="K173" i="21"/>
  <c r="J173" i="21"/>
  <c r="I173" i="21"/>
  <c r="H173" i="21"/>
  <c r="K172" i="21"/>
  <c r="J172" i="21"/>
  <c r="I172" i="21"/>
  <c r="H172" i="21"/>
  <c r="K171" i="21"/>
  <c r="J171" i="21"/>
  <c r="I171" i="21"/>
  <c r="H171" i="21"/>
  <c r="K170" i="21"/>
  <c r="J170" i="21"/>
  <c r="I170" i="21"/>
  <c r="H170" i="21"/>
  <c r="K169" i="21"/>
  <c r="J169" i="21"/>
  <c r="I169" i="21"/>
  <c r="H169" i="21"/>
  <c r="K168" i="21"/>
  <c r="J168" i="21"/>
  <c r="I168" i="21"/>
  <c r="H168" i="21"/>
  <c r="K167" i="21"/>
  <c r="J167" i="21"/>
  <c r="I167" i="21"/>
  <c r="H167" i="21"/>
  <c r="G164" i="21"/>
  <c r="K166" i="21" s="1"/>
  <c r="F164" i="21"/>
  <c r="I166" i="21" s="1"/>
  <c r="K163" i="21"/>
  <c r="J163" i="21"/>
  <c r="I163" i="21"/>
  <c r="H163" i="21"/>
  <c r="K162" i="21"/>
  <c r="J162" i="21"/>
  <c r="I162" i="21"/>
  <c r="H162" i="21"/>
  <c r="K161" i="21"/>
  <c r="J161" i="21"/>
  <c r="I161" i="21"/>
  <c r="H161" i="21"/>
  <c r="G158" i="21"/>
  <c r="K160" i="21" s="1"/>
  <c r="F158" i="21"/>
  <c r="I160" i="21" s="1"/>
  <c r="G155" i="21"/>
  <c r="K157" i="21" s="1"/>
  <c r="F155" i="21"/>
  <c r="I157" i="21" s="1"/>
  <c r="G152" i="21"/>
  <c r="K154" i="21" s="1"/>
  <c r="F152" i="21"/>
  <c r="I154" i="21" s="1"/>
  <c r="D155" i="21"/>
  <c r="J28" i="24"/>
  <c r="M28" i="24" s="1"/>
  <c r="I28" i="24"/>
  <c r="L28" i="24" s="1"/>
  <c r="H28" i="24"/>
  <c r="K28" i="24" s="1"/>
  <c r="J27" i="24"/>
  <c r="M27" i="24" s="1"/>
  <c r="I27" i="24"/>
  <c r="L27" i="24" s="1"/>
  <c r="H27" i="24"/>
  <c r="K27" i="24" s="1"/>
  <c r="J26" i="24"/>
  <c r="M26" i="24" s="1"/>
  <c r="I26" i="24"/>
  <c r="L26" i="24" s="1"/>
  <c r="H26" i="24"/>
  <c r="K26" i="24" s="1"/>
  <c r="J25" i="24"/>
  <c r="M25" i="24" s="1"/>
  <c r="I25" i="24"/>
  <c r="L25" i="24" s="1"/>
  <c r="H25" i="24"/>
  <c r="K25" i="24" s="1"/>
  <c r="J24" i="24"/>
  <c r="M24" i="24" s="1"/>
  <c r="I24" i="24"/>
  <c r="L24" i="24" s="1"/>
  <c r="H24" i="24"/>
  <c r="K24" i="24" s="1"/>
  <c r="J23" i="24"/>
  <c r="M23" i="24" s="1"/>
  <c r="I23" i="24"/>
  <c r="L23" i="24" s="1"/>
  <c r="H23" i="24"/>
  <c r="K23" i="24" s="1"/>
  <c r="J22" i="24"/>
  <c r="M22" i="24" s="1"/>
  <c r="I22" i="24"/>
  <c r="L22" i="24" s="1"/>
  <c r="H22" i="24"/>
  <c r="K22" i="24" s="1"/>
  <c r="J21" i="24"/>
  <c r="M21" i="24" s="1"/>
  <c r="I21" i="24"/>
  <c r="L21" i="24" s="1"/>
  <c r="H21" i="24"/>
  <c r="K21" i="24" s="1"/>
  <c r="J20" i="24"/>
  <c r="M20" i="24" s="1"/>
  <c r="I20" i="24"/>
  <c r="L20" i="24" s="1"/>
  <c r="H20" i="24"/>
  <c r="K20" i="24" s="1"/>
  <c r="J19" i="24"/>
  <c r="M19" i="24" s="1"/>
  <c r="I19" i="24"/>
  <c r="L19" i="24" s="1"/>
  <c r="H19" i="24"/>
  <c r="K19" i="24" s="1"/>
  <c r="J18" i="24"/>
  <c r="M18" i="24" s="1"/>
  <c r="I18" i="24"/>
  <c r="L18" i="24" s="1"/>
  <c r="H18" i="24"/>
  <c r="K18" i="24" s="1"/>
  <c r="J17" i="24"/>
  <c r="M17" i="24" s="1"/>
  <c r="I17" i="24"/>
  <c r="L17" i="24" s="1"/>
  <c r="H17" i="24"/>
  <c r="K17" i="24" s="1"/>
  <c r="J16" i="24"/>
  <c r="M16" i="24" s="1"/>
  <c r="I16" i="24"/>
  <c r="L16" i="24" s="1"/>
  <c r="H16" i="24"/>
  <c r="K16" i="24" s="1"/>
  <c r="J15" i="24"/>
  <c r="M15" i="24" s="1"/>
  <c r="I15" i="24"/>
  <c r="L15" i="24" s="1"/>
  <c r="H15" i="24"/>
  <c r="K15" i="24" s="1"/>
  <c r="J14" i="24"/>
  <c r="M14" i="24" s="1"/>
  <c r="I14" i="24"/>
  <c r="L14" i="24" s="1"/>
  <c r="H14" i="24"/>
  <c r="K14" i="24" s="1"/>
  <c r="J13" i="24"/>
  <c r="M13" i="24" s="1"/>
  <c r="I13" i="24"/>
  <c r="L13" i="24" s="1"/>
  <c r="H13" i="24"/>
  <c r="K13" i="24" s="1"/>
  <c r="J12" i="24"/>
  <c r="M12" i="24" s="1"/>
  <c r="I12" i="24"/>
  <c r="L12" i="24" s="1"/>
  <c r="H12" i="24"/>
  <c r="K12" i="24" s="1"/>
  <c r="J11" i="24"/>
  <c r="M11" i="24" s="1"/>
  <c r="I11" i="24"/>
  <c r="L11" i="24" s="1"/>
  <c r="H11" i="24"/>
  <c r="K11" i="24" s="1"/>
  <c r="J10" i="24"/>
  <c r="M10" i="24" s="1"/>
  <c r="I10" i="24"/>
  <c r="L10" i="24" s="1"/>
  <c r="H10" i="24"/>
  <c r="K10" i="24" s="1"/>
  <c r="J9" i="24"/>
  <c r="M9" i="24" s="1"/>
  <c r="I9" i="24"/>
  <c r="L9" i="24" s="1"/>
  <c r="H9" i="24"/>
  <c r="K9" i="24" s="1"/>
  <c r="J8" i="24"/>
  <c r="M8" i="24" s="1"/>
  <c r="I8" i="24"/>
  <c r="L8" i="24" s="1"/>
  <c r="H8" i="24"/>
  <c r="K8" i="24" s="1"/>
  <c r="J7" i="24"/>
  <c r="M7" i="24" s="1"/>
  <c r="I7" i="24"/>
  <c r="L7" i="24" s="1"/>
  <c r="H7" i="24"/>
  <c r="K7" i="24" s="1"/>
  <c r="J6" i="24"/>
  <c r="M6" i="24" s="1"/>
  <c r="I6" i="24"/>
  <c r="L6" i="24" s="1"/>
  <c r="H6" i="24"/>
  <c r="K6" i="24" s="1"/>
  <c r="J5" i="24"/>
  <c r="M5" i="24" s="1"/>
  <c r="I5" i="24"/>
  <c r="L5" i="24" s="1"/>
  <c r="H5" i="24"/>
  <c r="K5" i="24" s="1"/>
  <c r="D8" i="24"/>
  <c r="D11" i="24" s="1"/>
  <c r="J28" i="23"/>
  <c r="M28" i="23" s="1"/>
  <c r="I28" i="23"/>
  <c r="L28" i="23" s="1"/>
  <c r="H28" i="23"/>
  <c r="K28" i="23" s="1"/>
  <c r="J27" i="23"/>
  <c r="M27" i="23" s="1"/>
  <c r="I27" i="23"/>
  <c r="L27" i="23" s="1"/>
  <c r="H27" i="23"/>
  <c r="K27" i="23" s="1"/>
  <c r="J26" i="23"/>
  <c r="M26" i="23" s="1"/>
  <c r="I26" i="23"/>
  <c r="L26" i="23" s="1"/>
  <c r="H26" i="23"/>
  <c r="K26" i="23" s="1"/>
  <c r="J25" i="23"/>
  <c r="M25" i="23" s="1"/>
  <c r="I25" i="23"/>
  <c r="L25" i="23" s="1"/>
  <c r="H25" i="23"/>
  <c r="K25" i="23" s="1"/>
  <c r="J24" i="23"/>
  <c r="M24" i="23" s="1"/>
  <c r="I24" i="23"/>
  <c r="L24" i="23" s="1"/>
  <c r="H24" i="23"/>
  <c r="K24" i="23" s="1"/>
  <c r="J23" i="23"/>
  <c r="M23" i="23" s="1"/>
  <c r="I23" i="23"/>
  <c r="L23" i="23" s="1"/>
  <c r="H23" i="23"/>
  <c r="K23" i="23" s="1"/>
  <c r="J22" i="23"/>
  <c r="M22" i="23" s="1"/>
  <c r="I22" i="23"/>
  <c r="L22" i="23" s="1"/>
  <c r="H22" i="23"/>
  <c r="K22" i="23" s="1"/>
  <c r="L21" i="23"/>
  <c r="J21" i="23"/>
  <c r="M21" i="23" s="1"/>
  <c r="I21" i="23"/>
  <c r="H21" i="23"/>
  <c r="K21" i="23" s="1"/>
  <c r="M20" i="23"/>
  <c r="J20" i="23"/>
  <c r="I20" i="23"/>
  <c r="L20" i="23" s="1"/>
  <c r="H20" i="23"/>
  <c r="K20" i="23" s="1"/>
  <c r="M19" i="23"/>
  <c r="J19" i="23"/>
  <c r="I19" i="23"/>
  <c r="L19" i="23" s="1"/>
  <c r="H19" i="23"/>
  <c r="K19" i="23" s="1"/>
  <c r="J18" i="23"/>
  <c r="M18" i="23" s="1"/>
  <c r="I18" i="23"/>
  <c r="L18" i="23" s="1"/>
  <c r="H18" i="23"/>
  <c r="K18" i="23" s="1"/>
  <c r="L17" i="23"/>
  <c r="J17" i="23"/>
  <c r="M17" i="23" s="1"/>
  <c r="I17" i="23"/>
  <c r="H17" i="23"/>
  <c r="K17" i="23" s="1"/>
  <c r="J16" i="23"/>
  <c r="M16" i="23" s="1"/>
  <c r="I16" i="23"/>
  <c r="L16" i="23" s="1"/>
  <c r="H16" i="23"/>
  <c r="K16" i="23" s="1"/>
  <c r="M15" i="23"/>
  <c r="J15" i="23"/>
  <c r="I15" i="23"/>
  <c r="L15" i="23" s="1"/>
  <c r="H15" i="23"/>
  <c r="K15" i="23" s="1"/>
  <c r="J14" i="23"/>
  <c r="M14" i="23" s="1"/>
  <c r="I14" i="23"/>
  <c r="L14" i="23" s="1"/>
  <c r="H14" i="23"/>
  <c r="K14" i="23" s="1"/>
  <c r="J13" i="23"/>
  <c r="M13" i="23" s="1"/>
  <c r="I13" i="23"/>
  <c r="L13" i="23" s="1"/>
  <c r="H13" i="23"/>
  <c r="K13" i="23" s="1"/>
  <c r="J12" i="23"/>
  <c r="M12" i="23" s="1"/>
  <c r="I12" i="23"/>
  <c r="L12" i="23" s="1"/>
  <c r="H12" i="23"/>
  <c r="K12" i="23" s="1"/>
  <c r="J11" i="23"/>
  <c r="M11" i="23" s="1"/>
  <c r="I11" i="23"/>
  <c r="L11" i="23" s="1"/>
  <c r="H11" i="23"/>
  <c r="K11" i="23" s="1"/>
  <c r="J10" i="23"/>
  <c r="M10" i="23" s="1"/>
  <c r="I10" i="23"/>
  <c r="L10" i="23" s="1"/>
  <c r="H10" i="23"/>
  <c r="K10" i="23" s="1"/>
  <c r="J9" i="23"/>
  <c r="M9" i="23" s="1"/>
  <c r="I9" i="23"/>
  <c r="L9" i="23" s="1"/>
  <c r="H9" i="23"/>
  <c r="K9" i="23" s="1"/>
  <c r="J8" i="23"/>
  <c r="M8" i="23" s="1"/>
  <c r="I8" i="23"/>
  <c r="L8" i="23" s="1"/>
  <c r="H8" i="23"/>
  <c r="K8" i="23" s="1"/>
  <c r="J7" i="23"/>
  <c r="M7" i="23" s="1"/>
  <c r="I7" i="23"/>
  <c r="L7" i="23" s="1"/>
  <c r="H7" i="23"/>
  <c r="K7" i="23" s="1"/>
  <c r="J6" i="23"/>
  <c r="M6" i="23" s="1"/>
  <c r="I6" i="23"/>
  <c r="L6" i="23" s="1"/>
  <c r="H6" i="23"/>
  <c r="K6" i="23" s="1"/>
  <c r="L5" i="23"/>
  <c r="J5" i="23"/>
  <c r="M5" i="23" s="1"/>
  <c r="I5" i="23"/>
  <c r="H5" i="23"/>
  <c r="K5" i="23" s="1"/>
  <c r="D8" i="23"/>
  <c r="D11" i="23" s="1"/>
  <c r="K49" i="22"/>
  <c r="J49" i="22"/>
  <c r="I49" i="22"/>
  <c r="H49" i="22"/>
  <c r="K48" i="22"/>
  <c r="J48" i="22"/>
  <c r="I48" i="22"/>
  <c r="H48" i="22"/>
  <c r="K47" i="22"/>
  <c r="J47" i="22"/>
  <c r="I47" i="22"/>
  <c r="H47" i="22"/>
  <c r="G44" i="22"/>
  <c r="K46" i="22" s="1"/>
  <c r="F44" i="22"/>
  <c r="H46" i="22" s="1"/>
  <c r="G41" i="22"/>
  <c r="K41" i="22" s="1"/>
  <c r="F41" i="22"/>
  <c r="I41" i="22" s="1"/>
  <c r="G38" i="22"/>
  <c r="K40" i="22" s="1"/>
  <c r="F38" i="22"/>
  <c r="I38" i="22" s="1"/>
  <c r="G35" i="22"/>
  <c r="K37" i="22" s="1"/>
  <c r="F35" i="22"/>
  <c r="I37" i="22" s="1"/>
  <c r="K32" i="22"/>
  <c r="J32" i="22"/>
  <c r="I32" i="22"/>
  <c r="H32" i="22"/>
  <c r="K31" i="22"/>
  <c r="J31" i="22"/>
  <c r="I31" i="22"/>
  <c r="H31" i="22"/>
  <c r="K30" i="22"/>
  <c r="J30" i="22"/>
  <c r="I30" i="22"/>
  <c r="H30" i="22"/>
  <c r="K29" i="22"/>
  <c r="J29" i="22"/>
  <c r="I29" i="22"/>
  <c r="H29" i="22"/>
  <c r="K28" i="22"/>
  <c r="J28" i="22"/>
  <c r="I28" i="22"/>
  <c r="H28" i="22"/>
  <c r="K27" i="22"/>
  <c r="J27" i="22"/>
  <c r="I27" i="22"/>
  <c r="H27" i="22"/>
  <c r="K26" i="22"/>
  <c r="J26" i="22"/>
  <c r="I26" i="22"/>
  <c r="H26" i="22"/>
  <c r="K23" i="22"/>
  <c r="J23" i="22"/>
  <c r="I23" i="22"/>
  <c r="H23" i="22"/>
  <c r="K22" i="22"/>
  <c r="J22" i="22"/>
  <c r="I22" i="22"/>
  <c r="H22" i="22"/>
  <c r="K21" i="22"/>
  <c r="J21" i="22"/>
  <c r="I21" i="22"/>
  <c r="H21" i="22"/>
  <c r="K20" i="22"/>
  <c r="J20" i="22"/>
  <c r="I20" i="22"/>
  <c r="H20" i="22"/>
  <c r="G17" i="22"/>
  <c r="K19" i="22" s="1"/>
  <c r="F17" i="22"/>
  <c r="I17" i="22" s="1"/>
  <c r="G14" i="22"/>
  <c r="K16" i="22" s="1"/>
  <c r="F14" i="22"/>
  <c r="I16" i="22" s="1"/>
  <c r="K13" i="22"/>
  <c r="J13" i="22"/>
  <c r="I13" i="22"/>
  <c r="H13" i="22"/>
  <c r="K12" i="22"/>
  <c r="J12" i="22"/>
  <c r="I12" i="22"/>
  <c r="H12" i="22"/>
  <c r="K11" i="22"/>
  <c r="J11" i="22"/>
  <c r="I11" i="22"/>
  <c r="H11" i="22"/>
  <c r="G8" i="22"/>
  <c r="K10" i="22" s="1"/>
  <c r="F8" i="22"/>
  <c r="I8" i="22" s="1"/>
  <c r="G5" i="22"/>
  <c r="K7" i="22" s="1"/>
  <c r="F5" i="22"/>
  <c r="I7" i="22" s="1"/>
  <c r="D8" i="22"/>
  <c r="D11" i="22" s="1"/>
  <c r="D14" i="22" s="1"/>
  <c r="D17" i="22" s="1"/>
  <c r="D20" i="22" s="1"/>
  <c r="D23" i="22" s="1"/>
  <c r="D26" i="22" s="1"/>
  <c r="D29" i="22" s="1"/>
  <c r="D32" i="22" s="1"/>
  <c r="D35" i="22" s="1"/>
  <c r="D38" i="22" s="1"/>
  <c r="D41" i="22" s="1"/>
  <c r="D44" i="22" s="1"/>
  <c r="D47" i="22" s="1"/>
  <c r="K49" i="21"/>
  <c r="J49" i="21"/>
  <c r="I49" i="21"/>
  <c r="H49" i="21"/>
  <c r="K48" i="21"/>
  <c r="J48" i="21"/>
  <c r="I48" i="21"/>
  <c r="H48" i="21"/>
  <c r="K47" i="21"/>
  <c r="J47" i="21"/>
  <c r="I47" i="21"/>
  <c r="H47" i="21"/>
  <c r="G44" i="21"/>
  <c r="K46" i="21" s="1"/>
  <c r="F44" i="21"/>
  <c r="I46" i="21" s="1"/>
  <c r="G41" i="21"/>
  <c r="K41" i="21" s="1"/>
  <c r="F41" i="21"/>
  <c r="I41" i="21" s="1"/>
  <c r="G38" i="21"/>
  <c r="K40" i="21" s="1"/>
  <c r="F38" i="21"/>
  <c r="I40" i="21" s="1"/>
  <c r="G35" i="21"/>
  <c r="K37" i="21" s="1"/>
  <c r="F35" i="21"/>
  <c r="I37" i="21" s="1"/>
  <c r="K34" i="21"/>
  <c r="J34" i="21"/>
  <c r="I34" i="21"/>
  <c r="H34" i="21"/>
  <c r="K33" i="21"/>
  <c r="J33" i="21"/>
  <c r="I33" i="21"/>
  <c r="H33" i="21"/>
  <c r="K32" i="21"/>
  <c r="J32" i="21"/>
  <c r="I32" i="21"/>
  <c r="H32" i="21"/>
  <c r="K31" i="21"/>
  <c r="J31" i="21"/>
  <c r="I31" i="21"/>
  <c r="H31" i="21"/>
  <c r="K30" i="21"/>
  <c r="J30" i="21"/>
  <c r="I30" i="21"/>
  <c r="H30" i="21"/>
  <c r="K29" i="21"/>
  <c r="J29" i="21"/>
  <c r="I29" i="21"/>
  <c r="H29" i="21"/>
  <c r="K28" i="21"/>
  <c r="J28" i="21"/>
  <c r="I28" i="21"/>
  <c r="H28" i="21"/>
  <c r="K27" i="21"/>
  <c r="J27" i="21"/>
  <c r="I27" i="21"/>
  <c r="H27" i="21"/>
  <c r="K26" i="21"/>
  <c r="J26" i="21"/>
  <c r="I26" i="21"/>
  <c r="H26" i="21"/>
  <c r="K25" i="21"/>
  <c r="J25" i="21"/>
  <c r="I25" i="21"/>
  <c r="H25" i="21"/>
  <c r="K24" i="21"/>
  <c r="J24" i="21"/>
  <c r="I24" i="21"/>
  <c r="H24" i="21"/>
  <c r="K23" i="21"/>
  <c r="J23" i="21"/>
  <c r="I23" i="21"/>
  <c r="H23" i="21"/>
  <c r="K22" i="21"/>
  <c r="J22" i="21"/>
  <c r="I22" i="21"/>
  <c r="H22" i="21"/>
  <c r="K21" i="21"/>
  <c r="J21" i="21"/>
  <c r="I21" i="21"/>
  <c r="H21" i="21"/>
  <c r="K20" i="21"/>
  <c r="J20" i="21"/>
  <c r="I20" i="21"/>
  <c r="H20" i="21"/>
  <c r="G17" i="21"/>
  <c r="K19" i="21" s="1"/>
  <c r="F17" i="21"/>
  <c r="I19" i="21" s="1"/>
  <c r="G14" i="21"/>
  <c r="K16" i="21" s="1"/>
  <c r="F14" i="21"/>
  <c r="I16" i="21" s="1"/>
  <c r="K13" i="21"/>
  <c r="J13" i="21"/>
  <c r="I13" i="21"/>
  <c r="H13" i="21"/>
  <c r="K12" i="21"/>
  <c r="J12" i="21"/>
  <c r="I12" i="21"/>
  <c r="H12" i="21"/>
  <c r="K11" i="21"/>
  <c r="J11" i="21"/>
  <c r="I11" i="21"/>
  <c r="H11" i="21"/>
  <c r="G8" i="21"/>
  <c r="K10" i="21" s="1"/>
  <c r="F8" i="21"/>
  <c r="I10" i="21" s="1"/>
  <c r="G5" i="21"/>
  <c r="K7" i="21" s="1"/>
  <c r="F5" i="21"/>
  <c r="I7" i="21" s="1"/>
  <c r="D8" i="21"/>
  <c r="D11" i="21" s="1"/>
  <c r="D14" i="21" s="1"/>
  <c r="D17" i="21" s="1"/>
  <c r="D20" i="21" s="1"/>
  <c r="D23" i="21" s="1"/>
  <c r="D26" i="21" s="1"/>
  <c r="D29" i="21" s="1"/>
  <c r="D32" i="21" s="1"/>
  <c r="D35" i="21" s="1"/>
  <c r="D38" i="21" s="1"/>
  <c r="D41" i="21" s="1"/>
  <c r="D44" i="21" s="1"/>
  <c r="D47" i="21" s="1"/>
  <c r="J82" i="24"/>
  <c r="M82" i="24" s="1"/>
  <c r="I82" i="24"/>
  <c r="L82" i="24" s="1"/>
  <c r="H82" i="24"/>
  <c r="K82" i="24" s="1"/>
  <c r="J81" i="24"/>
  <c r="M81" i="24" s="1"/>
  <c r="I81" i="24"/>
  <c r="L81" i="24" s="1"/>
  <c r="H81" i="24"/>
  <c r="K81" i="24" s="1"/>
  <c r="J80" i="24"/>
  <c r="M80" i="24" s="1"/>
  <c r="I80" i="24"/>
  <c r="L80" i="24" s="1"/>
  <c r="H80" i="24"/>
  <c r="K80" i="24" s="1"/>
  <c r="J79" i="24"/>
  <c r="M79" i="24" s="1"/>
  <c r="I79" i="24"/>
  <c r="L79" i="24" s="1"/>
  <c r="H79" i="24"/>
  <c r="K79" i="24" s="1"/>
  <c r="J78" i="24"/>
  <c r="M78" i="24" s="1"/>
  <c r="I78" i="24"/>
  <c r="L78" i="24" s="1"/>
  <c r="H78" i="24"/>
  <c r="K78" i="24" s="1"/>
  <c r="J77" i="24"/>
  <c r="M77" i="24" s="1"/>
  <c r="I77" i="24"/>
  <c r="L77" i="24" s="1"/>
  <c r="H77" i="24"/>
  <c r="K77" i="24" s="1"/>
  <c r="J76" i="24"/>
  <c r="M76" i="24" s="1"/>
  <c r="I76" i="24"/>
  <c r="L76" i="24" s="1"/>
  <c r="H76" i="24"/>
  <c r="K76" i="24" s="1"/>
  <c r="J75" i="24"/>
  <c r="M75" i="24" s="1"/>
  <c r="I75" i="24"/>
  <c r="L75" i="24" s="1"/>
  <c r="H75" i="24"/>
  <c r="K75" i="24" s="1"/>
  <c r="J74" i="24"/>
  <c r="M74" i="24" s="1"/>
  <c r="I74" i="24"/>
  <c r="L74" i="24" s="1"/>
  <c r="H74" i="24"/>
  <c r="K74" i="24" s="1"/>
  <c r="L73" i="24"/>
  <c r="J73" i="24"/>
  <c r="M73" i="24" s="1"/>
  <c r="I73" i="24"/>
  <c r="H73" i="24"/>
  <c r="K73" i="24" s="1"/>
  <c r="J72" i="24"/>
  <c r="M72" i="24" s="1"/>
  <c r="I72" i="24"/>
  <c r="L72" i="24" s="1"/>
  <c r="H72" i="24"/>
  <c r="K72" i="24" s="1"/>
  <c r="J71" i="24"/>
  <c r="M71" i="24" s="1"/>
  <c r="I71" i="24"/>
  <c r="L71" i="24" s="1"/>
  <c r="H71" i="24"/>
  <c r="K71" i="24" s="1"/>
  <c r="J70" i="24"/>
  <c r="M70" i="24" s="1"/>
  <c r="I70" i="24"/>
  <c r="L70" i="24" s="1"/>
  <c r="H70" i="24"/>
  <c r="K70" i="24" s="1"/>
  <c r="J69" i="24"/>
  <c r="M69" i="24" s="1"/>
  <c r="I69" i="24"/>
  <c r="L69" i="24" s="1"/>
  <c r="H69" i="24"/>
  <c r="K69" i="24" s="1"/>
  <c r="J68" i="24"/>
  <c r="M68" i="24" s="1"/>
  <c r="I68" i="24"/>
  <c r="L68" i="24" s="1"/>
  <c r="H68" i="24"/>
  <c r="K68" i="24" s="1"/>
  <c r="J67" i="24"/>
  <c r="M67" i="24" s="1"/>
  <c r="I67" i="24"/>
  <c r="L67" i="24" s="1"/>
  <c r="H67" i="24"/>
  <c r="K67" i="24" s="1"/>
  <c r="J66" i="24"/>
  <c r="M66" i="24" s="1"/>
  <c r="I66" i="24"/>
  <c r="L66" i="24" s="1"/>
  <c r="H66" i="24"/>
  <c r="K66" i="24" s="1"/>
  <c r="J65" i="24"/>
  <c r="M65" i="24" s="1"/>
  <c r="I65" i="24"/>
  <c r="L65" i="24" s="1"/>
  <c r="H65" i="24"/>
  <c r="K65" i="24" s="1"/>
  <c r="J64" i="24"/>
  <c r="M64" i="24" s="1"/>
  <c r="I64" i="24"/>
  <c r="L64" i="24" s="1"/>
  <c r="H64" i="24"/>
  <c r="K64" i="24" s="1"/>
  <c r="J63" i="24"/>
  <c r="M63" i="24" s="1"/>
  <c r="I63" i="24"/>
  <c r="L63" i="24" s="1"/>
  <c r="H63" i="24"/>
  <c r="K63" i="24" s="1"/>
  <c r="J62" i="24"/>
  <c r="M62" i="24" s="1"/>
  <c r="I62" i="24"/>
  <c r="L62" i="24" s="1"/>
  <c r="H62" i="24"/>
  <c r="K62" i="24" s="1"/>
  <c r="J61" i="24"/>
  <c r="M61" i="24" s="1"/>
  <c r="I61" i="24"/>
  <c r="L61" i="24" s="1"/>
  <c r="H61" i="24"/>
  <c r="K61" i="24" s="1"/>
  <c r="J60" i="24"/>
  <c r="M60" i="24" s="1"/>
  <c r="I60" i="24"/>
  <c r="L60" i="24" s="1"/>
  <c r="H60" i="24"/>
  <c r="K60" i="24" s="1"/>
  <c r="J59" i="24"/>
  <c r="M59" i="24" s="1"/>
  <c r="I59" i="24"/>
  <c r="L59" i="24" s="1"/>
  <c r="H59" i="24"/>
  <c r="K59" i="24" s="1"/>
  <c r="D62" i="24"/>
  <c r="D65" i="24" s="1"/>
  <c r="J82" i="23"/>
  <c r="M82" i="23" s="1"/>
  <c r="I82" i="23"/>
  <c r="L82" i="23" s="1"/>
  <c r="H82" i="23"/>
  <c r="K82" i="23" s="1"/>
  <c r="J81" i="23"/>
  <c r="M81" i="23" s="1"/>
  <c r="I81" i="23"/>
  <c r="L81" i="23" s="1"/>
  <c r="H81" i="23"/>
  <c r="K81" i="23" s="1"/>
  <c r="J80" i="23"/>
  <c r="M80" i="23" s="1"/>
  <c r="I80" i="23"/>
  <c r="L80" i="23" s="1"/>
  <c r="H80" i="23"/>
  <c r="K80" i="23" s="1"/>
  <c r="J79" i="23"/>
  <c r="M79" i="23" s="1"/>
  <c r="I79" i="23"/>
  <c r="L79" i="23" s="1"/>
  <c r="H79" i="23"/>
  <c r="K79" i="23" s="1"/>
  <c r="J78" i="23"/>
  <c r="M78" i="23" s="1"/>
  <c r="I78" i="23"/>
  <c r="L78" i="23" s="1"/>
  <c r="H78" i="23"/>
  <c r="K78" i="23" s="1"/>
  <c r="J77" i="23"/>
  <c r="M77" i="23" s="1"/>
  <c r="I77" i="23"/>
  <c r="L77" i="23" s="1"/>
  <c r="H77" i="23"/>
  <c r="K77" i="23" s="1"/>
  <c r="J76" i="23"/>
  <c r="M76" i="23" s="1"/>
  <c r="I76" i="23"/>
  <c r="L76" i="23" s="1"/>
  <c r="H76" i="23"/>
  <c r="K76" i="23" s="1"/>
  <c r="J75" i="23"/>
  <c r="M75" i="23" s="1"/>
  <c r="I75" i="23"/>
  <c r="L75" i="23" s="1"/>
  <c r="H75" i="23"/>
  <c r="K75" i="23" s="1"/>
  <c r="J74" i="23"/>
  <c r="M74" i="23" s="1"/>
  <c r="I74" i="23"/>
  <c r="L74" i="23" s="1"/>
  <c r="H74" i="23"/>
  <c r="K74" i="23" s="1"/>
  <c r="J73" i="23"/>
  <c r="M73" i="23" s="1"/>
  <c r="I73" i="23"/>
  <c r="L73" i="23" s="1"/>
  <c r="H73" i="23"/>
  <c r="K73" i="23" s="1"/>
  <c r="J72" i="23"/>
  <c r="M72" i="23" s="1"/>
  <c r="I72" i="23"/>
  <c r="L72" i="23" s="1"/>
  <c r="H72" i="23"/>
  <c r="K72" i="23" s="1"/>
  <c r="J71" i="23"/>
  <c r="M71" i="23" s="1"/>
  <c r="I71" i="23"/>
  <c r="L71" i="23" s="1"/>
  <c r="H71" i="23"/>
  <c r="K71" i="23" s="1"/>
  <c r="J70" i="23"/>
  <c r="M70" i="23" s="1"/>
  <c r="I70" i="23"/>
  <c r="L70" i="23" s="1"/>
  <c r="H70" i="23"/>
  <c r="K70" i="23" s="1"/>
  <c r="J69" i="23"/>
  <c r="M69" i="23" s="1"/>
  <c r="I69" i="23"/>
  <c r="L69" i="23" s="1"/>
  <c r="H69" i="23"/>
  <c r="K69" i="23" s="1"/>
  <c r="J68" i="23"/>
  <c r="M68" i="23" s="1"/>
  <c r="I68" i="23"/>
  <c r="L68" i="23" s="1"/>
  <c r="H68" i="23"/>
  <c r="K68" i="23" s="1"/>
  <c r="J67" i="23"/>
  <c r="M67" i="23" s="1"/>
  <c r="I67" i="23"/>
  <c r="L67" i="23" s="1"/>
  <c r="H67" i="23"/>
  <c r="K67" i="23" s="1"/>
  <c r="J66" i="23"/>
  <c r="M66" i="23" s="1"/>
  <c r="I66" i="23"/>
  <c r="L66" i="23" s="1"/>
  <c r="H66" i="23"/>
  <c r="K66" i="23" s="1"/>
  <c r="J65" i="23"/>
  <c r="M65" i="23" s="1"/>
  <c r="I65" i="23"/>
  <c r="L65" i="23" s="1"/>
  <c r="H65" i="23"/>
  <c r="K65" i="23" s="1"/>
  <c r="J64" i="23"/>
  <c r="M64" i="23" s="1"/>
  <c r="I64" i="23"/>
  <c r="L64" i="23" s="1"/>
  <c r="H64" i="23"/>
  <c r="K64" i="23" s="1"/>
  <c r="J63" i="23"/>
  <c r="M63" i="23" s="1"/>
  <c r="I63" i="23"/>
  <c r="L63" i="23" s="1"/>
  <c r="H63" i="23"/>
  <c r="K63" i="23" s="1"/>
  <c r="J62" i="23"/>
  <c r="M62" i="23" s="1"/>
  <c r="I62" i="23"/>
  <c r="L62" i="23" s="1"/>
  <c r="H62" i="23"/>
  <c r="K62" i="23" s="1"/>
  <c r="J61" i="23"/>
  <c r="M61" i="23" s="1"/>
  <c r="I61" i="23"/>
  <c r="L61" i="23" s="1"/>
  <c r="H61" i="23"/>
  <c r="K61" i="23" s="1"/>
  <c r="J60" i="23"/>
  <c r="M60" i="23" s="1"/>
  <c r="I60" i="23"/>
  <c r="L60" i="23" s="1"/>
  <c r="H60" i="23"/>
  <c r="K60" i="23" s="1"/>
  <c r="J59" i="23"/>
  <c r="M59" i="23" s="1"/>
  <c r="I59" i="23"/>
  <c r="L59" i="23" s="1"/>
  <c r="H59" i="23"/>
  <c r="K59" i="23" s="1"/>
  <c r="D62" i="23"/>
  <c r="D65" i="23" s="1"/>
  <c r="K148" i="22"/>
  <c r="J148" i="22"/>
  <c r="I148" i="22"/>
  <c r="H148" i="22"/>
  <c r="K147" i="22"/>
  <c r="J147" i="22"/>
  <c r="I147" i="22"/>
  <c r="H147" i="22"/>
  <c r="K146" i="22"/>
  <c r="J146" i="22"/>
  <c r="I146" i="22"/>
  <c r="H146" i="22"/>
  <c r="G143" i="22"/>
  <c r="K145" i="22" s="1"/>
  <c r="F143" i="22"/>
  <c r="I145" i="22" s="1"/>
  <c r="G140" i="22"/>
  <c r="K140" i="22" s="1"/>
  <c r="F140" i="22"/>
  <c r="I140" i="22" s="1"/>
  <c r="G137" i="22"/>
  <c r="K139" i="22" s="1"/>
  <c r="F137" i="22"/>
  <c r="I139" i="22" s="1"/>
  <c r="G134" i="22"/>
  <c r="K136" i="22" s="1"/>
  <c r="F134" i="22"/>
  <c r="I136" i="22" s="1"/>
  <c r="K133" i="22"/>
  <c r="J133" i="22"/>
  <c r="I133" i="22"/>
  <c r="H133" i="22"/>
  <c r="K132" i="22"/>
  <c r="I132" i="22"/>
  <c r="K131" i="22"/>
  <c r="J131" i="22"/>
  <c r="I131" i="22"/>
  <c r="H131" i="22"/>
  <c r="K130" i="22"/>
  <c r="J130" i="22"/>
  <c r="I130" i="22"/>
  <c r="H130" i="22"/>
  <c r="K129" i="22"/>
  <c r="J129" i="22"/>
  <c r="I129" i="22"/>
  <c r="H129" i="22"/>
  <c r="K128" i="22"/>
  <c r="J128" i="22"/>
  <c r="I128" i="22"/>
  <c r="H128" i="22"/>
  <c r="K127" i="22"/>
  <c r="J127" i="22"/>
  <c r="I127" i="22"/>
  <c r="H127" i="22"/>
  <c r="K126" i="22"/>
  <c r="J126" i="22"/>
  <c r="I126" i="22"/>
  <c r="H126" i="22"/>
  <c r="K125" i="22"/>
  <c r="J125" i="22"/>
  <c r="I125" i="22"/>
  <c r="H125" i="22"/>
  <c r="K124" i="22"/>
  <c r="J124" i="22"/>
  <c r="I124" i="22"/>
  <c r="H124" i="22"/>
  <c r="K123" i="22"/>
  <c r="J123" i="22"/>
  <c r="I123" i="22"/>
  <c r="H123" i="22"/>
  <c r="K122" i="22"/>
  <c r="J122" i="22"/>
  <c r="I122" i="22"/>
  <c r="H122" i="22"/>
  <c r="K121" i="22"/>
  <c r="J121" i="22"/>
  <c r="I121" i="22"/>
  <c r="H121" i="22"/>
  <c r="K120" i="22"/>
  <c r="J120" i="22"/>
  <c r="I120" i="22"/>
  <c r="H120" i="22"/>
  <c r="K119" i="22"/>
  <c r="J119" i="22"/>
  <c r="I119" i="22"/>
  <c r="H119" i="22"/>
  <c r="G116" i="22"/>
  <c r="K118" i="22" s="1"/>
  <c r="F116" i="22"/>
  <c r="I118" i="22" s="1"/>
  <c r="G113" i="22"/>
  <c r="K115" i="22" s="1"/>
  <c r="F113" i="22"/>
  <c r="I115" i="22" s="1"/>
  <c r="K112" i="22"/>
  <c r="J112" i="22"/>
  <c r="I112" i="22"/>
  <c r="H112" i="22"/>
  <c r="K111" i="22"/>
  <c r="J111" i="22"/>
  <c r="I111" i="22"/>
  <c r="H111" i="22"/>
  <c r="K110" i="22"/>
  <c r="J110" i="22"/>
  <c r="I110" i="22"/>
  <c r="H110" i="22"/>
  <c r="G107" i="22"/>
  <c r="K109" i="22" s="1"/>
  <c r="F107" i="22"/>
  <c r="I109" i="22" s="1"/>
  <c r="G104" i="22"/>
  <c r="K106" i="22" s="1"/>
  <c r="F104" i="22"/>
  <c r="I106" i="22" s="1"/>
  <c r="D107" i="22"/>
  <c r="D110" i="22" s="1"/>
  <c r="D113" i="22" s="1"/>
  <c r="D116" i="22" s="1"/>
  <c r="D119" i="22" s="1"/>
  <c r="D122" i="22" s="1"/>
  <c r="D125" i="22" s="1"/>
  <c r="D128" i="22" s="1"/>
  <c r="D131" i="22" s="1"/>
  <c r="D134" i="22" s="1"/>
  <c r="D137" i="22" s="1"/>
  <c r="D140" i="22" s="1"/>
  <c r="D143" i="22" s="1"/>
  <c r="D146" i="22" s="1"/>
  <c r="K148" i="21"/>
  <c r="J148" i="21"/>
  <c r="I148" i="21"/>
  <c r="H148" i="21"/>
  <c r="K147" i="21"/>
  <c r="J147" i="21"/>
  <c r="I147" i="21"/>
  <c r="H147" i="21"/>
  <c r="K146" i="21"/>
  <c r="J146" i="21"/>
  <c r="I146" i="21"/>
  <c r="H146" i="21"/>
  <c r="G143" i="21"/>
  <c r="K145" i="21" s="1"/>
  <c r="F143" i="21"/>
  <c r="I145" i="21" s="1"/>
  <c r="G140" i="21"/>
  <c r="K140" i="21" s="1"/>
  <c r="F140" i="21"/>
  <c r="I140" i="21" s="1"/>
  <c r="G137" i="21"/>
  <c r="K139" i="21" s="1"/>
  <c r="F137" i="21"/>
  <c r="I139" i="21" s="1"/>
  <c r="G134" i="21"/>
  <c r="K136" i="21" s="1"/>
  <c r="F134" i="21"/>
  <c r="I136" i="21" s="1"/>
  <c r="K133" i="21"/>
  <c r="J133" i="21"/>
  <c r="I133" i="21"/>
  <c r="H133" i="21"/>
  <c r="K132" i="21"/>
  <c r="J132" i="21"/>
  <c r="I132" i="21"/>
  <c r="H132" i="21"/>
  <c r="K131" i="21"/>
  <c r="J131" i="21"/>
  <c r="I131" i="21"/>
  <c r="H131" i="21"/>
  <c r="K130" i="21"/>
  <c r="J130" i="21"/>
  <c r="I130" i="21"/>
  <c r="H130" i="21"/>
  <c r="K129" i="21"/>
  <c r="J129" i="21"/>
  <c r="I129" i="21"/>
  <c r="H129" i="21"/>
  <c r="K128" i="21"/>
  <c r="J128" i="21"/>
  <c r="I128" i="21"/>
  <c r="H128" i="21"/>
  <c r="K127" i="21"/>
  <c r="J127" i="21"/>
  <c r="I127" i="21"/>
  <c r="H127" i="21"/>
  <c r="K126" i="21"/>
  <c r="J126" i="21"/>
  <c r="I126" i="21"/>
  <c r="H126" i="21"/>
  <c r="K125" i="21"/>
  <c r="J125" i="21"/>
  <c r="I125" i="21"/>
  <c r="H125" i="21"/>
  <c r="K124" i="21"/>
  <c r="J124" i="21"/>
  <c r="I124" i="21"/>
  <c r="H124" i="21"/>
  <c r="K123" i="21"/>
  <c r="J123" i="21"/>
  <c r="I123" i="21"/>
  <c r="H123" i="21"/>
  <c r="K122" i="21"/>
  <c r="J122" i="21"/>
  <c r="I122" i="21"/>
  <c r="H122" i="21"/>
  <c r="K121" i="21"/>
  <c r="J121" i="21"/>
  <c r="I121" i="21"/>
  <c r="H121" i="21"/>
  <c r="K120" i="21"/>
  <c r="J120" i="21"/>
  <c r="I120" i="21"/>
  <c r="H120" i="21"/>
  <c r="K119" i="21"/>
  <c r="J119" i="21"/>
  <c r="I119" i="21"/>
  <c r="H119" i="21"/>
  <c r="G116" i="21"/>
  <c r="K118" i="21" s="1"/>
  <c r="F116" i="21"/>
  <c r="I118" i="21" s="1"/>
  <c r="G113" i="21"/>
  <c r="K115" i="21" s="1"/>
  <c r="F113" i="21"/>
  <c r="I115" i="21" s="1"/>
  <c r="K112" i="21"/>
  <c r="J112" i="21"/>
  <c r="I112" i="21"/>
  <c r="H112" i="21"/>
  <c r="K111" i="21"/>
  <c r="J111" i="21"/>
  <c r="I111" i="21"/>
  <c r="H111" i="21"/>
  <c r="K110" i="21"/>
  <c r="J110" i="21"/>
  <c r="I110" i="21"/>
  <c r="H110" i="21"/>
  <c r="G107" i="21"/>
  <c r="K109" i="21" s="1"/>
  <c r="F107" i="21"/>
  <c r="I109" i="21" s="1"/>
  <c r="G104" i="21"/>
  <c r="K106" i="21" s="1"/>
  <c r="F104" i="21"/>
  <c r="I106" i="21" s="1"/>
  <c r="D107" i="21"/>
  <c r="D110" i="21" s="1"/>
  <c r="D113" i="21" s="1"/>
  <c r="D116" i="21" s="1"/>
  <c r="D119" i="21" s="1"/>
  <c r="D122" i="21" s="1"/>
  <c r="D125" i="21" s="1"/>
  <c r="D128" i="21" s="1"/>
  <c r="D131" i="21" s="1"/>
  <c r="D134" i="21" s="1"/>
  <c r="D137" i="21" s="1"/>
  <c r="D140" i="21" s="1"/>
  <c r="D143" i="21" s="1"/>
  <c r="D146" i="21" s="1"/>
  <c r="J55" i="24"/>
  <c r="M55" i="24" s="1"/>
  <c r="I55" i="24"/>
  <c r="L55" i="24" s="1"/>
  <c r="H55" i="24"/>
  <c r="K55" i="24" s="1"/>
  <c r="J54" i="24"/>
  <c r="M54" i="24" s="1"/>
  <c r="I54" i="24"/>
  <c r="L54" i="24" s="1"/>
  <c r="H54" i="24"/>
  <c r="K54" i="24" s="1"/>
  <c r="J53" i="24"/>
  <c r="M53" i="24" s="1"/>
  <c r="I53" i="24"/>
  <c r="L53" i="24" s="1"/>
  <c r="H53" i="24"/>
  <c r="K53" i="24" s="1"/>
  <c r="J52" i="24"/>
  <c r="M52" i="24" s="1"/>
  <c r="I52" i="24"/>
  <c r="L52" i="24" s="1"/>
  <c r="H52" i="24"/>
  <c r="K52" i="24" s="1"/>
  <c r="J51" i="24"/>
  <c r="M51" i="24" s="1"/>
  <c r="I51" i="24"/>
  <c r="L51" i="24" s="1"/>
  <c r="H51" i="24"/>
  <c r="K51" i="24" s="1"/>
  <c r="J50" i="24"/>
  <c r="M50" i="24" s="1"/>
  <c r="I50" i="24"/>
  <c r="L50" i="24" s="1"/>
  <c r="H50" i="24"/>
  <c r="K50" i="24" s="1"/>
  <c r="J49" i="24"/>
  <c r="M49" i="24" s="1"/>
  <c r="I49" i="24"/>
  <c r="L49" i="24" s="1"/>
  <c r="H49" i="24"/>
  <c r="K49" i="24" s="1"/>
  <c r="J48" i="24"/>
  <c r="M48" i="24" s="1"/>
  <c r="I48" i="24"/>
  <c r="L48" i="24" s="1"/>
  <c r="H48" i="24"/>
  <c r="K48" i="24" s="1"/>
  <c r="J47" i="24"/>
  <c r="M47" i="24" s="1"/>
  <c r="I47" i="24"/>
  <c r="L47" i="24" s="1"/>
  <c r="H47" i="24"/>
  <c r="K47" i="24" s="1"/>
  <c r="J46" i="24"/>
  <c r="M46" i="24" s="1"/>
  <c r="I46" i="24"/>
  <c r="L46" i="24" s="1"/>
  <c r="H46" i="24"/>
  <c r="K46" i="24" s="1"/>
  <c r="J45" i="24"/>
  <c r="M45" i="24" s="1"/>
  <c r="I45" i="24"/>
  <c r="L45" i="24" s="1"/>
  <c r="H45" i="24"/>
  <c r="K45" i="24" s="1"/>
  <c r="J44" i="24"/>
  <c r="M44" i="24" s="1"/>
  <c r="I44" i="24"/>
  <c r="L44" i="24" s="1"/>
  <c r="H44" i="24"/>
  <c r="K44" i="24" s="1"/>
  <c r="J43" i="24"/>
  <c r="M43" i="24" s="1"/>
  <c r="I43" i="24"/>
  <c r="L43" i="24" s="1"/>
  <c r="H43" i="24"/>
  <c r="K43" i="24" s="1"/>
  <c r="J42" i="24"/>
  <c r="M42" i="24" s="1"/>
  <c r="I42" i="24"/>
  <c r="L42" i="24" s="1"/>
  <c r="H42" i="24"/>
  <c r="K42" i="24" s="1"/>
  <c r="J41" i="24"/>
  <c r="M41" i="24" s="1"/>
  <c r="I41" i="24"/>
  <c r="L41" i="24" s="1"/>
  <c r="H41" i="24"/>
  <c r="K41" i="24" s="1"/>
  <c r="J40" i="24"/>
  <c r="M40" i="24" s="1"/>
  <c r="I40" i="24"/>
  <c r="L40" i="24" s="1"/>
  <c r="K40" i="24"/>
  <c r="J39" i="24"/>
  <c r="M39" i="24" s="1"/>
  <c r="L39" i="24"/>
  <c r="K39" i="24"/>
  <c r="J38" i="24"/>
  <c r="M38" i="24" s="1"/>
  <c r="L38" i="24"/>
  <c r="K38" i="24"/>
  <c r="J37" i="24"/>
  <c r="M37" i="24" s="1"/>
  <c r="I37" i="24"/>
  <c r="L37" i="24" s="1"/>
  <c r="H37" i="24"/>
  <c r="K37" i="24" s="1"/>
  <c r="J36" i="24"/>
  <c r="M36" i="24" s="1"/>
  <c r="I36" i="24"/>
  <c r="L36" i="24" s="1"/>
  <c r="H36" i="24"/>
  <c r="K36" i="24" s="1"/>
  <c r="J35" i="24"/>
  <c r="M35" i="24" s="1"/>
  <c r="I35" i="24"/>
  <c r="L35" i="24" s="1"/>
  <c r="H35" i="24"/>
  <c r="K35" i="24" s="1"/>
  <c r="J34" i="24"/>
  <c r="M34" i="24" s="1"/>
  <c r="I34" i="24"/>
  <c r="L34" i="24" s="1"/>
  <c r="H34" i="24"/>
  <c r="K34" i="24" s="1"/>
  <c r="J33" i="24"/>
  <c r="M33" i="24" s="1"/>
  <c r="I33" i="24"/>
  <c r="L33" i="24" s="1"/>
  <c r="H33" i="24"/>
  <c r="K33" i="24" s="1"/>
  <c r="J32" i="24"/>
  <c r="M32" i="24" s="1"/>
  <c r="I32" i="24"/>
  <c r="L32" i="24" s="1"/>
  <c r="H32" i="24"/>
  <c r="K32" i="24" s="1"/>
  <c r="D47" i="24"/>
  <c r="D50" i="24" s="1"/>
  <c r="D35" i="24"/>
  <c r="D38" i="24" s="1"/>
  <c r="M109" i="24"/>
  <c r="L109" i="24"/>
  <c r="K109" i="24"/>
  <c r="M108" i="24"/>
  <c r="L108" i="24"/>
  <c r="K108" i="24"/>
  <c r="M107" i="24"/>
  <c r="L107" i="24"/>
  <c r="K107" i="24"/>
  <c r="M106" i="24"/>
  <c r="L106" i="24"/>
  <c r="K106" i="24"/>
  <c r="M105" i="24"/>
  <c r="L105" i="24"/>
  <c r="K105" i="24"/>
  <c r="M104" i="24"/>
  <c r="L104" i="24"/>
  <c r="K104" i="24"/>
  <c r="M103" i="24"/>
  <c r="L103" i="24"/>
  <c r="K103" i="24"/>
  <c r="M102" i="24"/>
  <c r="L102" i="24"/>
  <c r="K102" i="24"/>
  <c r="M101" i="24"/>
  <c r="L101" i="24"/>
  <c r="K101" i="24"/>
  <c r="M100" i="24"/>
  <c r="L100" i="24"/>
  <c r="K100" i="24"/>
  <c r="M99" i="24"/>
  <c r="L99" i="24"/>
  <c r="K99" i="24"/>
  <c r="M98" i="24"/>
  <c r="L98" i="24"/>
  <c r="K98" i="24"/>
  <c r="M97" i="24"/>
  <c r="L97" i="24"/>
  <c r="K97" i="24"/>
  <c r="M96" i="24"/>
  <c r="L96" i="24"/>
  <c r="K96" i="24"/>
  <c r="M95" i="24"/>
  <c r="L95" i="24"/>
  <c r="K95" i="24"/>
  <c r="M94" i="24"/>
  <c r="L94" i="24"/>
  <c r="K94" i="24"/>
  <c r="M93" i="24"/>
  <c r="L93" i="24"/>
  <c r="K93" i="24"/>
  <c r="M92" i="24"/>
  <c r="L92" i="24"/>
  <c r="K92" i="24"/>
  <c r="M91" i="24"/>
  <c r="L91" i="24"/>
  <c r="K91" i="24"/>
  <c r="M90" i="24"/>
  <c r="L90" i="24"/>
  <c r="K90" i="24"/>
  <c r="M89" i="24"/>
  <c r="L89" i="24"/>
  <c r="K89" i="24"/>
  <c r="M88" i="24"/>
  <c r="L88" i="24"/>
  <c r="K88" i="24"/>
  <c r="M87" i="24"/>
  <c r="L87" i="24"/>
  <c r="K87" i="24"/>
  <c r="M86" i="24"/>
  <c r="L86" i="24"/>
  <c r="K86" i="24"/>
  <c r="J55" i="23"/>
  <c r="M55" i="23" s="1"/>
  <c r="I55" i="23"/>
  <c r="L55" i="23" s="1"/>
  <c r="H55" i="23"/>
  <c r="K55" i="23" s="1"/>
  <c r="J54" i="23"/>
  <c r="M54" i="23" s="1"/>
  <c r="I54" i="23"/>
  <c r="L54" i="23" s="1"/>
  <c r="H54" i="23"/>
  <c r="K54" i="23" s="1"/>
  <c r="J53" i="23"/>
  <c r="M53" i="23" s="1"/>
  <c r="I53" i="23"/>
  <c r="L53" i="23" s="1"/>
  <c r="H53" i="23"/>
  <c r="K53" i="23" s="1"/>
  <c r="J52" i="23"/>
  <c r="M52" i="23" s="1"/>
  <c r="I52" i="23"/>
  <c r="L52" i="23" s="1"/>
  <c r="H52" i="23"/>
  <c r="K52" i="23" s="1"/>
  <c r="J51" i="23"/>
  <c r="M51" i="23" s="1"/>
  <c r="I51" i="23"/>
  <c r="L51" i="23" s="1"/>
  <c r="H51" i="23"/>
  <c r="K51" i="23" s="1"/>
  <c r="J50" i="23"/>
  <c r="M50" i="23" s="1"/>
  <c r="I50" i="23"/>
  <c r="L50" i="23" s="1"/>
  <c r="H50" i="23"/>
  <c r="K50" i="23" s="1"/>
  <c r="J49" i="23"/>
  <c r="M49" i="23" s="1"/>
  <c r="I49" i="23"/>
  <c r="L49" i="23" s="1"/>
  <c r="H49" i="23"/>
  <c r="K49" i="23" s="1"/>
  <c r="J48" i="23"/>
  <c r="M48" i="23" s="1"/>
  <c r="I48" i="23"/>
  <c r="L48" i="23" s="1"/>
  <c r="H48" i="23"/>
  <c r="K48" i="23" s="1"/>
  <c r="J47" i="23"/>
  <c r="M47" i="23" s="1"/>
  <c r="I47" i="23"/>
  <c r="L47" i="23" s="1"/>
  <c r="H47" i="23"/>
  <c r="K47" i="23" s="1"/>
  <c r="J46" i="23"/>
  <c r="M46" i="23" s="1"/>
  <c r="I46" i="23"/>
  <c r="L46" i="23" s="1"/>
  <c r="H46" i="23"/>
  <c r="K46" i="23" s="1"/>
  <c r="J45" i="23"/>
  <c r="M45" i="23" s="1"/>
  <c r="I45" i="23"/>
  <c r="L45" i="23" s="1"/>
  <c r="H45" i="23"/>
  <c r="K45" i="23" s="1"/>
  <c r="J44" i="23"/>
  <c r="M44" i="23" s="1"/>
  <c r="I44" i="23"/>
  <c r="L44" i="23" s="1"/>
  <c r="H44" i="23"/>
  <c r="K44" i="23" s="1"/>
  <c r="J43" i="23"/>
  <c r="M43" i="23" s="1"/>
  <c r="I43" i="23"/>
  <c r="L43" i="23" s="1"/>
  <c r="H43" i="23"/>
  <c r="K43" i="23" s="1"/>
  <c r="J42" i="23"/>
  <c r="M42" i="23" s="1"/>
  <c r="I42" i="23"/>
  <c r="L42" i="23" s="1"/>
  <c r="H42" i="23"/>
  <c r="K42" i="23" s="1"/>
  <c r="J41" i="23"/>
  <c r="M41" i="23" s="1"/>
  <c r="I41" i="23"/>
  <c r="L41" i="23" s="1"/>
  <c r="H41" i="23"/>
  <c r="K41" i="23" s="1"/>
  <c r="J40" i="23"/>
  <c r="M40" i="23" s="1"/>
  <c r="I40" i="23"/>
  <c r="L40" i="23" s="1"/>
  <c r="H40" i="23"/>
  <c r="K40" i="23" s="1"/>
  <c r="J39" i="23"/>
  <c r="M39" i="23" s="1"/>
  <c r="I39" i="23"/>
  <c r="L39" i="23" s="1"/>
  <c r="H39" i="23"/>
  <c r="K39" i="23" s="1"/>
  <c r="J38" i="23"/>
  <c r="M38" i="23" s="1"/>
  <c r="I38" i="23"/>
  <c r="L38" i="23" s="1"/>
  <c r="H38" i="23"/>
  <c r="K38" i="23" s="1"/>
  <c r="J37" i="23"/>
  <c r="M37" i="23" s="1"/>
  <c r="I37" i="23"/>
  <c r="L37" i="23" s="1"/>
  <c r="H37" i="23"/>
  <c r="K37" i="23" s="1"/>
  <c r="J36" i="23"/>
  <c r="M36" i="23" s="1"/>
  <c r="I36" i="23"/>
  <c r="L36" i="23" s="1"/>
  <c r="H36" i="23"/>
  <c r="K36" i="23" s="1"/>
  <c r="J35" i="23"/>
  <c r="M35" i="23" s="1"/>
  <c r="I35" i="23"/>
  <c r="L35" i="23" s="1"/>
  <c r="H35" i="23"/>
  <c r="K35" i="23" s="1"/>
  <c r="J34" i="23"/>
  <c r="M34" i="23" s="1"/>
  <c r="I34" i="23"/>
  <c r="L34" i="23" s="1"/>
  <c r="H34" i="23"/>
  <c r="K34" i="23" s="1"/>
  <c r="J33" i="23"/>
  <c r="M33" i="23" s="1"/>
  <c r="I33" i="23"/>
  <c r="L33" i="23" s="1"/>
  <c r="H33" i="23"/>
  <c r="K33" i="23" s="1"/>
  <c r="J32" i="23"/>
  <c r="M32" i="23" s="1"/>
  <c r="I32" i="23"/>
  <c r="L32" i="23" s="1"/>
  <c r="H32" i="23"/>
  <c r="K32" i="23" s="1"/>
  <c r="M109" i="23"/>
  <c r="L109" i="23"/>
  <c r="K109" i="23"/>
  <c r="M108" i="23"/>
  <c r="L108" i="23"/>
  <c r="K108" i="23"/>
  <c r="M107" i="23"/>
  <c r="L107" i="23"/>
  <c r="K107" i="23"/>
  <c r="M106" i="23"/>
  <c r="L106" i="23"/>
  <c r="K106" i="23"/>
  <c r="M105" i="23"/>
  <c r="L105" i="23"/>
  <c r="K105" i="23"/>
  <c r="M104" i="23"/>
  <c r="L104" i="23"/>
  <c r="K104" i="23"/>
  <c r="M103" i="23"/>
  <c r="L103" i="23"/>
  <c r="K103" i="23"/>
  <c r="M102" i="23"/>
  <c r="L102" i="23"/>
  <c r="K102" i="23"/>
  <c r="M101" i="23"/>
  <c r="L101" i="23"/>
  <c r="K101" i="23"/>
  <c r="M100" i="23"/>
  <c r="L100" i="23"/>
  <c r="K100" i="23"/>
  <c r="M99" i="23"/>
  <c r="L99" i="23"/>
  <c r="K99" i="23"/>
  <c r="M98" i="23"/>
  <c r="L98" i="23"/>
  <c r="K98" i="23"/>
  <c r="M97" i="23"/>
  <c r="L97" i="23"/>
  <c r="K97" i="23"/>
  <c r="M96" i="23"/>
  <c r="L96" i="23"/>
  <c r="K96" i="23"/>
  <c r="M95" i="23"/>
  <c r="L95" i="23"/>
  <c r="K95" i="23"/>
  <c r="M94" i="23"/>
  <c r="L94" i="23"/>
  <c r="K94" i="23"/>
  <c r="M93" i="23"/>
  <c r="L93" i="23"/>
  <c r="K93" i="23"/>
  <c r="M92" i="23"/>
  <c r="L92" i="23"/>
  <c r="K92" i="23"/>
  <c r="M91" i="23"/>
  <c r="L91" i="23"/>
  <c r="K91" i="23"/>
  <c r="M90" i="23"/>
  <c r="L90" i="23"/>
  <c r="K90" i="23"/>
  <c r="M89" i="23"/>
  <c r="L89" i="23"/>
  <c r="K89" i="23"/>
  <c r="M88" i="23"/>
  <c r="L88" i="23"/>
  <c r="K88" i="23"/>
  <c r="M87" i="23"/>
  <c r="L87" i="23"/>
  <c r="K87" i="23"/>
  <c r="K86" i="23"/>
  <c r="K100" i="22"/>
  <c r="J100" i="22"/>
  <c r="I100" i="22"/>
  <c r="H100" i="22"/>
  <c r="K99" i="22"/>
  <c r="J99" i="22"/>
  <c r="I99" i="22"/>
  <c r="H99" i="22"/>
  <c r="K98" i="22"/>
  <c r="J98" i="22"/>
  <c r="I98" i="22"/>
  <c r="H98" i="22"/>
  <c r="G95" i="22"/>
  <c r="K97" i="22" s="1"/>
  <c r="F95" i="22"/>
  <c r="I97" i="22" s="1"/>
  <c r="G92" i="22"/>
  <c r="K94" i="22" s="1"/>
  <c r="F92" i="22"/>
  <c r="I94" i="22" s="1"/>
  <c r="G89" i="22"/>
  <c r="K91" i="22" s="1"/>
  <c r="F89" i="22"/>
  <c r="I91" i="22" s="1"/>
  <c r="G86" i="22"/>
  <c r="K88" i="22" s="1"/>
  <c r="F86" i="22"/>
  <c r="I88" i="22" s="1"/>
  <c r="K85" i="22"/>
  <c r="J85" i="22"/>
  <c r="I85" i="22"/>
  <c r="H85" i="22"/>
  <c r="K84" i="22"/>
  <c r="J84" i="22"/>
  <c r="I84" i="22"/>
  <c r="H84" i="22"/>
  <c r="K83" i="22"/>
  <c r="J83" i="22"/>
  <c r="I83" i="22"/>
  <c r="H83" i="22"/>
  <c r="K82" i="22"/>
  <c r="J82" i="22"/>
  <c r="I82" i="22"/>
  <c r="H82" i="22"/>
  <c r="K81" i="22"/>
  <c r="J81" i="22"/>
  <c r="I81" i="22"/>
  <c r="H81" i="22"/>
  <c r="K80" i="22"/>
  <c r="J80" i="22"/>
  <c r="I80" i="22"/>
  <c r="H80" i="22"/>
  <c r="K79" i="22"/>
  <c r="J79" i="22"/>
  <c r="I79" i="22"/>
  <c r="H79" i="22"/>
  <c r="K78" i="22"/>
  <c r="J78" i="22"/>
  <c r="I78" i="22"/>
  <c r="H78" i="22"/>
  <c r="K77" i="22"/>
  <c r="J77" i="22"/>
  <c r="I77" i="22"/>
  <c r="H77" i="22"/>
  <c r="K76" i="22"/>
  <c r="J76" i="22"/>
  <c r="I76" i="22"/>
  <c r="H76" i="22"/>
  <c r="K75" i="22"/>
  <c r="J75" i="22"/>
  <c r="I75" i="22"/>
  <c r="H75" i="22"/>
  <c r="K74" i="22"/>
  <c r="J74" i="22"/>
  <c r="I74" i="22"/>
  <c r="H74" i="22"/>
  <c r="K73" i="22"/>
  <c r="J73" i="22"/>
  <c r="I73" i="22"/>
  <c r="H73" i="22"/>
  <c r="K72" i="22"/>
  <c r="J72" i="22"/>
  <c r="I72" i="22"/>
  <c r="H72" i="22"/>
  <c r="K71" i="22"/>
  <c r="J71" i="22"/>
  <c r="I71" i="22"/>
  <c r="H71" i="22"/>
  <c r="K70" i="22"/>
  <c r="J70" i="22"/>
  <c r="I70" i="22"/>
  <c r="H70" i="22"/>
  <c r="K69" i="22"/>
  <c r="J69" i="22"/>
  <c r="I69" i="22"/>
  <c r="H69" i="22"/>
  <c r="K68" i="22"/>
  <c r="J68" i="22"/>
  <c r="I68" i="22"/>
  <c r="H68" i="22"/>
  <c r="G65" i="22"/>
  <c r="K67" i="22" s="1"/>
  <c r="F65" i="22"/>
  <c r="I67" i="22" s="1"/>
  <c r="G62" i="22"/>
  <c r="K64" i="22" s="1"/>
  <c r="F62" i="22"/>
  <c r="I64" i="22" s="1"/>
  <c r="K61" i="22"/>
  <c r="J61" i="22"/>
  <c r="I61" i="22"/>
  <c r="H61" i="22"/>
  <c r="K60" i="22"/>
  <c r="J60" i="22"/>
  <c r="I60" i="22"/>
  <c r="H60" i="22"/>
  <c r="K59" i="22"/>
  <c r="J59" i="22"/>
  <c r="I59" i="22"/>
  <c r="H59" i="22"/>
  <c r="G56" i="22"/>
  <c r="K58" i="22" s="1"/>
  <c r="F56" i="22"/>
  <c r="I58" i="22" s="1"/>
  <c r="G53" i="22"/>
  <c r="K55" i="22" s="1"/>
  <c r="F53" i="22"/>
  <c r="I55" i="22" s="1"/>
  <c r="P193" i="22"/>
  <c r="Q193" i="22" s="1"/>
  <c r="P192" i="22"/>
  <c r="Q192" i="22" s="1"/>
  <c r="P191" i="22"/>
  <c r="Q191" i="22" s="1"/>
  <c r="P190" i="22"/>
  <c r="Q190" i="22" s="1"/>
  <c r="P189" i="22"/>
  <c r="Q189" i="22" s="1"/>
  <c r="P188" i="22"/>
  <c r="Q188" i="22" s="1"/>
  <c r="P187" i="22"/>
  <c r="Q187" i="22" s="1"/>
  <c r="P186" i="22"/>
  <c r="Q186" i="22" s="1"/>
  <c r="P185" i="22"/>
  <c r="Q185" i="22" s="1"/>
  <c r="P184" i="22"/>
  <c r="Q184" i="22" s="1"/>
  <c r="P183" i="22"/>
  <c r="Q183" i="22" s="1"/>
  <c r="P182" i="22"/>
  <c r="Q182" i="22" s="1"/>
  <c r="P181" i="22"/>
  <c r="Q181" i="22" s="1"/>
  <c r="P180" i="22"/>
  <c r="Q180" i="22" s="1"/>
  <c r="P179" i="22"/>
  <c r="Q179" i="22" s="1"/>
  <c r="P178" i="22"/>
  <c r="Q178" i="22" s="1"/>
  <c r="P177" i="22"/>
  <c r="Q177" i="22" s="1"/>
  <c r="P176" i="22"/>
  <c r="Q176" i="22" s="1"/>
  <c r="P175" i="22"/>
  <c r="Q175" i="22" s="1"/>
  <c r="P174" i="22"/>
  <c r="Q174" i="22" s="1"/>
  <c r="P173" i="22"/>
  <c r="Q173" i="22" s="1"/>
  <c r="P172" i="22"/>
  <c r="P171" i="22"/>
  <c r="P169" i="22"/>
  <c r="P168" i="22"/>
  <c r="P167" i="22"/>
  <c r="P166" i="22"/>
  <c r="P165" i="22"/>
  <c r="P163" i="22"/>
  <c r="P162" i="22"/>
  <c r="P160" i="22"/>
  <c r="Q160" i="22" s="1"/>
  <c r="P159" i="22"/>
  <c r="Q159" i="22" s="1"/>
  <c r="P158" i="22"/>
  <c r="Q158" i="22" s="1"/>
  <c r="P157" i="22"/>
  <c r="Q157" i="22" s="1"/>
  <c r="P156" i="22"/>
  <c r="Q156" i="22" s="1"/>
  <c r="P155" i="22"/>
  <c r="Q155" i="22" s="1"/>
  <c r="P154" i="22"/>
  <c r="Q154" i="22" s="1"/>
  <c r="P153" i="22"/>
  <c r="Q153" i="22" s="1"/>
  <c r="P152" i="22"/>
  <c r="Q152" i="22" s="1"/>
  <c r="D71" i="22"/>
  <c r="D74" i="22" s="1"/>
  <c r="D77" i="22" s="1"/>
  <c r="D80" i="22" s="1"/>
  <c r="D83" i="22" s="1"/>
  <c r="D86" i="22" s="1"/>
  <c r="D89" i="22" s="1"/>
  <c r="D92" i="22" s="1"/>
  <c r="D95" i="22" s="1"/>
  <c r="D98" i="22" s="1"/>
  <c r="D56" i="22"/>
  <c r="AD53" i="22" s="1"/>
  <c r="K100" i="21"/>
  <c r="J100" i="21"/>
  <c r="I100" i="21"/>
  <c r="H100" i="21"/>
  <c r="K99" i="21"/>
  <c r="J99" i="21"/>
  <c r="I99" i="21"/>
  <c r="H99" i="21"/>
  <c r="K98" i="21"/>
  <c r="J98" i="21"/>
  <c r="I98" i="21"/>
  <c r="H98" i="21"/>
  <c r="K85" i="21"/>
  <c r="J85" i="21"/>
  <c r="I85" i="21"/>
  <c r="H85" i="21"/>
  <c r="K84" i="21"/>
  <c r="J84" i="21"/>
  <c r="I84" i="21"/>
  <c r="H84" i="21"/>
  <c r="K83" i="21"/>
  <c r="J83" i="21"/>
  <c r="I83" i="21"/>
  <c r="H83" i="21"/>
  <c r="K82" i="21"/>
  <c r="J82" i="21"/>
  <c r="I82" i="21"/>
  <c r="H82" i="21"/>
  <c r="K81" i="21"/>
  <c r="J81" i="21"/>
  <c r="I81" i="21"/>
  <c r="H81" i="21"/>
  <c r="K80" i="21"/>
  <c r="J80" i="21"/>
  <c r="I80" i="21"/>
  <c r="H80" i="21"/>
  <c r="K79" i="21"/>
  <c r="J79" i="21"/>
  <c r="I79" i="21"/>
  <c r="H79" i="21"/>
  <c r="K78" i="21"/>
  <c r="J78" i="21"/>
  <c r="I78" i="21"/>
  <c r="H78" i="21"/>
  <c r="K77" i="21"/>
  <c r="J77" i="21"/>
  <c r="I77" i="21"/>
  <c r="H77" i="21"/>
  <c r="K76" i="21"/>
  <c r="J76" i="21"/>
  <c r="I76" i="21"/>
  <c r="H76" i="21"/>
  <c r="K75" i="21"/>
  <c r="J75" i="21"/>
  <c r="I75" i="21"/>
  <c r="H75" i="21"/>
  <c r="K74" i="21"/>
  <c r="J74" i="21"/>
  <c r="I74" i="21"/>
  <c r="H74" i="21"/>
  <c r="K73" i="21"/>
  <c r="J73" i="21"/>
  <c r="I73" i="21"/>
  <c r="H73" i="21"/>
  <c r="K72" i="21"/>
  <c r="J72" i="21"/>
  <c r="I72" i="21"/>
  <c r="H72" i="21"/>
  <c r="K71" i="21"/>
  <c r="J71" i="21"/>
  <c r="I71" i="21"/>
  <c r="H71" i="21"/>
  <c r="K70" i="21"/>
  <c r="J70" i="21"/>
  <c r="I70" i="21"/>
  <c r="H70" i="21"/>
  <c r="K69" i="21"/>
  <c r="J69" i="21"/>
  <c r="I69" i="21"/>
  <c r="H69" i="21"/>
  <c r="K68" i="21"/>
  <c r="J68" i="21"/>
  <c r="I68" i="21"/>
  <c r="H68" i="21"/>
  <c r="K61" i="21"/>
  <c r="J61" i="21"/>
  <c r="I61" i="21"/>
  <c r="H61" i="21"/>
  <c r="K60" i="21"/>
  <c r="J60" i="21"/>
  <c r="I60" i="21"/>
  <c r="H60" i="21"/>
  <c r="K59" i="21"/>
  <c r="I59" i="21"/>
  <c r="G95" i="21"/>
  <c r="J97" i="21" s="1"/>
  <c r="F95" i="21"/>
  <c r="H97" i="21" s="1"/>
  <c r="G92" i="21"/>
  <c r="K94" i="21" s="1"/>
  <c r="F92" i="21"/>
  <c r="H94" i="21" s="1"/>
  <c r="G89" i="21"/>
  <c r="J91" i="21" s="1"/>
  <c r="F89" i="21"/>
  <c r="H91" i="21" s="1"/>
  <c r="G86" i="21"/>
  <c r="K88" i="21" s="1"/>
  <c r="F86" i="21"/>
  <c r="H88" i="21" s="1"/>
  <c r="G65" i="21"/>
  <c r="J66" i="21" s="1"/>
  <c r="F65" i="21"/>
  <c r="H67" i="21" s="1"/>
  <c r="G62" i="21"/>
  <c r="K64" i="21" s="1"/>
  <c r="F62" i="21"/>
  <c r="H64" i="21" s="1"/>
  <c r="G56" i="21"/>
  <c r="J58" i="21" s="1"/>
  <c r="F56" i="21"/>
  <c r="I58" i="21" s="1"/>
  <c r="G53" i="21"/>
  <c r="J55" i="21" s="1"/>
  <c r="F53" i="21"/>
  <c r="H55" i="21" s="1"/>
  <c r="D68" i="21"/>
  <c r="D71" i="21" s="1"/>
  <c r="D74" i="21" s="1"/>
  <c r="D77" i="21" s="1"/>
  <c r="D80" i="21" s="1"/>
  <c r="D83" i="21" s="1"/>
  <c r="D86" i="21" s="1"/>
  <c r="D89" i="21" s="1"/>
  <c r="D92" i="21" s="1"/>
  <c r="D95" i="21" s="1"/>
  <c r="D98" i="21" s="1"/>
  <c r="D56" i="21"/>
  <c r="AD52" i="21" s="1"/>
  <c r="P196" i="21"/>
  <c r="Q196" i="21" s="1"/>
  <c r="P195" i="21"/>
  <c r="Q195" i="21" s="1"/>
  <c r="P194" i="21"/>
  <c r="Q194" i="21" s="1"/>
  <c r="P193" i="21"/>
  <c r="Q193" i="21" s="1"/>
  <c r="P192" i="21"/>
  <c r="Q192" i="21" s="1"/>
  <c r="P191" i="21"/>
  <c r="Q191" i="21" s="1"/>
  <c r="P190" i="21"/>
  <c r="Q190" i="21" s="1"/>
  <c r="P189" i="21"/>
  <c r="Q189" i="21" s="1"/>
  <c r="P188" i="21"/>
  <c r="Q188" i="21" s="1"/>
  <c r="P187" i="21"/>
  <c r="Q187" i="21" s="1"/>
  <c r="P186" i="21"/>
  <c r="Q186" i="21" s="1"/>
  <c r="P185" i="21"/>
  <c r="Q185" i="21" s="1"/>
  <c r="P184" i="21"/>
  <c r="Q184" i="21" s="1"/>
  <c r="P183" i="21"/>
  <c r="Q183" i="21" s="1"/>
  <c r="P182" i="21"/>
  <c r="Q182" i="21" s="1"/>
  <c r="P181" i="21"/>
  <c r="Q181" i="21" s="1"/>
  <c r="P180" i="21"/>
  <c r="Q180" i="21" s="1"/>
  <c r="P179" i="21"/>
  <c r="Q179" i="21" s="1"/>
  <c r="P178" i="21"/>
  <c r="Q178" i="21" s="1"/>
  <c r="P177" i="21"/>
  <c r="Q177" i="21" s="1"/>
  <c r="P176" i="21"/>
  <c r="Q176" i="21" s="1"/>
  <c r="P175" i="21"/>
  <c r="Q175" i="21" s="1"/>
  <c r="P174" i="21"/>
  <c r="Q174" i="21" s="1"/>
  <c r="P173" i="21"/>
  <c r="Q173" i="21" s="1"/>
  <c r="P171" i="21"/>
  <c r="P168" i="21"/>
  <c r="P166" i="21"/>
  <c r="P165" i="21"/>
  <c r="P163" i="21"/>
  <c r="P162" i="21"/>
  <c r="P160" i="21"/>
  <c r="Q160" i="21" s="1"/>
  <c r="P159" i="21"/>
  <c r="Q159" i="21" s="1"/>
  <c r="P158" i="21"/>
  <c r="Q158" i="21" s="1"/>
  <c r="P157" i="21"/>
  <c r="Q157" i="21" s="1"/>
  <c r="P156" i="21"/>
  <c r="Q156" i="21" s="1"/>
  <c r="P155" i="21"/>
  <c r="Q155" i="21" s="1"/>
  <c r="P154" i="21"/>
  <c r="Q154" i="21" s="1"/>
  <c r="P153" i="21"/>
  <c r="Q153" i="21" s="1"/>
  <c r="P152" i="21"/>
  <c r="Q152" i="21" s="1"/>
  <c r="Y57" i="24"/>
  <c r="X57" i="24"/>
  <c r="W35" i="24"/>
  <c r="Y30" i="24"/>
  <c r="X30" i="24"/>
  <c r="W5" i="24"/>
  <c r="Y3" i="24"/>
  <c r="X3" i="24"/>
  <c r="W59" i="23"/>
  <c r="Y57" i="23"/>
  <c r="X57" i="23"/>
  <c r="W32" i="23"/>
  <c r="Y30" i="23"/>
  <c r="X30" i="23"/>
  <c r="Y3" i="23"/>
  <c r="X3" i="23"/>
  <c r="W3" i="23"/>
  <c r="P148" i="22"/>
  <c r="Q148" i="22" s="1"/>
  <c r="P147" i="22"/>
  <c r="Q147" i="22" s="1"/>
  <c r="P146" i="22"/>
  <c r="Q146" i="22" s="1"/>
  <c r="P145" i="22"/>
  <c r="Q145" i="22" s="1"/>
  <c r="P144" i="22"/>
  <c r="Q144" i="22" s="1"/>
  <c r="P143" i="22"/>
  <c r="Q143" i="22" s="1"/>
  <c r="P142" i="22"/>
  <c r="Q142" i="22" s="1"/>
  <c r="P141" i="22"/>
  <c r="Q141" i="22" s="1"/>
  <c r="P140" i="22"/>
  <c r="Q140" i="22" s="1"/>
  <c r="P139" i="22"/>
  <c r="Q139" i="22" s="1"/>
  <c r="P138" i="22"/>
  <c r="Q138" i="22" s="1"/>
  <c r="P137" i="22"/>
  <c r="Q137" i="22" s="1"/>
  <c r="P136" i="22"/>
  <c r="Q136" i="22" s="1"/>
  <c r="P135" i="22"/>
  <c r="Q135" i="22" s="1"/>
  <c r="P134" i="22"/>
  <c r="Q134" i="22" s="1"/>
  <c r="P133" i="22"/>
  <c r="Q133" i="22" s="1"/>
  <c r="P132" i="22"/>
  <c r="Q132" i="22" s="1"/>
  <c r="P131" i="22"/>
  <c r="Q131" i="22" s="1"/>
  <c r="P130" i="22"/>
  <c r="Q130" i="22" s="1"/>
  <c r="P129" i="22"/>
  <c r="Q129" i="22" s="1"/>
  <c r="P128" i="22"/>
  <c r="Q128" i="22" s="1"/>
  <c r="P127" i="22"/>
  <c r="Q127" i="22" s="1"/>
  <c r="P126" i="22"/>
  <c r="Q126" i="22" s="1"/>
  <c r="P125" i="22"/>
  <c r="Q125" i="22" s="1"/>
  <c r="P123" i="22"/>
  <c r="P122" i="22"/>
  <c r="P120" i="22"/>
  <c r="P114" i="22"/>
  <c r="P112" i="22"/>
  <c r="Q112" i="22" s="1"/>
  <c r="P111" i="22"/>
  <c r="Q111" i="22" s="1"/>
  <c r="P110" i="22"/>
  <c r="Q110" i="22" s="1"/>
  <c r="P109" i="22"/>
  <c r="Q109" i="22" s="1"/>
  <c r="P108" i="22"/>
  <c r="Q108" i="22" s="1"/>
  <c r="P107" i="22"/>
  <c r="Q107" i="22" s="1"/>
  <c r="P106" i="22"/>
  <c r="Q106" i="22" s="1"/>
  <c r="P105" i="22"/>
  <c r="Q105" i="22" s="1"/>
  <c r="P104" i="22"/>
  <c r="Q104" i="22" s="1"/>
  <c r="AD103" i="22"/>
  <c r="AG102" i="22"/>
  <c r="AE102" i="22"/>
  <c r="P100" i="22"/>
  <c r="Q100" i="22" s="1"/>
  <c r="P99" i="22"/>
  <c r="Q99" i="22" s="1"/>
  <c r="P98" i="22"/>
  <c r="Q98" i="22" s="1"/>
  <c r="P97" i="22"/>
  <c r="Q97" i="22" s="1"/>
  <c r="P96" i="22"/>
  <c r="Q96" i="22" s="1"/>
  <c r="P95" i="22"/>
  <c r="Q95" i="22" s="1"/>
  <c r="P94" i="22"/>
  <c r="Q94" i="22" s="1"/>
  <c r="P93" i="22"/>
  <c r="Q93" i="22" s="1"/>
  <c r="P92" i="22"/>
  <c r="Q92" i="22" s="1"/>
  <c r="P91" i="22"/>
  <c r="Q91" i="22" s="1"/>
  <c r="P90" i="22"/>
  <c r="Q90" i="22" s="1"/>
  <c r="P89" i="22"/>
  <c r="Q89" i="22" s="1"/>
  <c r="P88" i="22"/>
  <c r="Q88" i="22" s="1"/>
  <c r="P87" i="22"/>
  <c r="Q87" i="22" s="1"/>
  <c r="P86" i="22"/>
  <c r="Q86" i="22" s="1"/>
  <c r="P85" i="22"/>
  <c r="Q85" i="22" s="1"/>
  <c r="P84" i="22"/>
  <c r="Q84" i="22" s="1"/>
  <c r="P83" i="22"/>
  <c r="Q83" i="22" s="1"/>
  <c r="P82" i="22"/>
  <c r="Q82" i="22" s="1"/>
  <c r="P81" i="22"/>
  <c r="Q81" i="22" s="1"/>
  <c r="P80" i="22"/>
  <c r="Q80" i="22" s="1"/>
  <c r="P79" i="22"/>
  <c r="Q79" i="22" s="1"/>
  <c r="P78" i="22"/>
  <c r="Q78" i="22" s="1"/>
  <c r="P77" i="22"/>
  <c r="Q77" i="22" s="1"/>
  <c r="P76" i="22"/>
  <c r="Q76" i="22" s="1"/>
  <c r="P75" i="22"/>
  <c r="Q75" i="22" s="1"/>
  <c r="P74" i="22"/>
  <c r="Q74" i="22" s="1"/>
  <c r="P73" i="22"/>
  <c r="P72" i="22"/>
  <c r="P69" i="22"/>
  <c r="P66" i="22"/>
  <c r="P62" i="22"/>
  <c r="P61" i="22"/>
  <c r="Q61" i="22" s="1"/>
  <c r="P60" i="22"/>
  <c r="Q60" i="22" s="1"/>
  <c r="P59" i="22"/>
  <c r="Q59" i="22" s="1"/>
  <c r="AD54" i="22"/>
  <c r="P58" i="22"/>
  <c r="Q58" i="22" s="1"/>
  <c r="P57" i="22"/>
  <c r="Q57" i="22" s="1"/>
  <c r="P56" i="22"/>
  <c r="Q56" i="22" s="1"/>
  <c r="P55" i="22"/>
  <c r="Q55" i="22" s="1"/>
  <c r="P54" i="22"/>
  <c r="Q54" i="22" s="1"/>
  <c r="P53" i="22"/>
  <c r="Q53" i="22" s="1"/>
  <c r="AD52" i="22"/>
  <c r="AG51" i="22"/>
  <c r="AE51" i="22"/>
  <c r="P49" i="22"/>
  <c r="Q49" i="22" s="1"/>
  <c r="P48" i="22"/>
  <c r="Q48" i="22" s="1"/>
  <c r="P47" i="22"/>
  <c r="Q47" i="22" s="1"/>
  <c r="P46" i="22"/>
  <c r="Q46" i="22" s="1"/>
  <c r="P45" i="22"/>
  <c r="Q45" i="22" s="1"/>
  <c r="P44" i="22"/>
  <c r="Q44" i="22" s="1"/>
  <c r="P43" i="22"/>
  <c r="Q43" i="22" s="1"/>
  <c r="P42" i="22"/>
  <c r="Q42" i="22" s="1"/>
  <c r="P41" i="22"/>
  <c r="Q41" i="22" s="1"/>
  <c r="P40" i="22"/>
  <c r="Q40" i="22" s="1"/>
  <c r="P39" i="22"/>
  <c r="Q39" i="22" s="1"/>
  <c r="P38" i="22"/>
  <c r="Q38" i="22" s="1"/>
  <c r="P37" i="22"/>
  <c r="Q37" i="22" s="1"/>
  <c r="P36" i="22"/>
  <c r="Q36" i="22" s="1"/>
  <c r="P35" i="22"/>
  <c r="Q35" i="22" s="1"/>
  <c r="P34" i="22"/>
  <c r="Q34" i="22" s="1"/>
  <c r="P33" i="22"/>
  <c r="Q33" i="22" s="1"/>
  <c r="P32" i="22"/>
  <c r="Q32" i="22" s="1"/>
  <c r="P31" i="22"/>
  <c r="Q31" i="22" s="1"/>
  <c r="P30" i="22"/>
  <c r="Q30" i="22" s="1"/>
  <c r="P29" i="22"/>
  <c r="Q29" i="22" s="1"/>
  <c r="P28" i="22"/>
  <c r="Q28" i="22" s="1"/>
  <c r="P27" i="22"/>
  <c r="Q27" i="22" s="1"/>
  <c r="P26" i="22"/>
  <c r="Q26" i="22" s="1"/>
  <c r="P25" i="22"/>
  <c r="P24" i="22"/>
  <c r="P23" i="22"/>
  <c r="P22" i="22"/>
  <c r="P21" i="22"/>
  <c r="P20" i="22"/>
  <c r="P19" i="22"/>
  <c r="P18" i="22"/>
  <c r="P17" i="22"/>
  <c r="P16" i="22"/>
  <c r="P15" i="22"/>
  <c r="P14" i="22"/>
  <c r="P13" i="22"/>
  <c r="Q13" i="22" s="1"/>
  <c r="P12" i="22"/>
  <c r="Q12" i="22" s="1"/>
  <c r="P11" i="22"/>
  <c r="Q11" i="22" s="1"/>
  <c r="P10" i="22"/>
  <c r="Q10" i="22" s="1"/>
  <c r="P9" i="22"/>
  <c r="Q9" i="22" s="1"/>
  <c r="P8" i="22"/>
  <c r="Q8" i="22" s="1"/>
  <c r="P7" i="22"/>
  <c r="Q7" i="22" s="1"/>
  <c r="P6" i="22"/>
  <c r="Q6" i="22" s="1"/>
  <c r="AD5" i="22"/>
  <c r="P5" i="22"/>
  <c r="Q5" i="22" s="1"/>
  <c r="AG4" i="22"/>
  <c r="AE4" i="22"/>
  <c r="P148" i="21"/>
  <c r="Q148" i="21" s="1"/>
  <c r="P147" i="21"/>
  <c r="Q147" i="21" s="1"/>
  <c r="P146" i="21"/>
  <c r="Q146" i="21" s="1"/>
  <c r="P145" i="21"/>
  <c r="Q145" i="21" s="1"/>
  <c r="P144" i="21"/>
  <c r="Q144" i="21" s="1"/>
  <c r="P143" i="21"/>
  <c r="Q143" i="21" s="1"/>
  <c r="P142" i="21"/>
  <c r="Q142" i="21" s="1"/>
  <c r="P141" i="21"/>
  <c r="Q141" i="21" s="1"/>
  <c r="P140" i="21"/>
  <c r="Q140" i="21" s="1"/>
  <c r="P139" i="21"/>
  <c r="Q139" i="21" s="1"/>
  <c r="P138" i="21"/>
  <c r="Q138" i="21" s="1"/>
  <c r="P137" i="21"/>
  <c r="Q137" i="21" s="1"/>
  <c r="P136" i="21"/>
  <c r="Q136" i="21" s="1"/>
  <c r="P135" i="21"/>
  <c r="Q135" i="21" s="1"/>
  <c r="P134" i="21"/>
  <c r="Q134" i="21" s="1"/>
  <c r="P133" i="21"/>
  <c r="Q133" i="21" s="1"/>
  <c r="P132" i="21"/>
  <c r="Q132" i="21" s="1"/>
  <c r="P131" i="21"/>
  <c r="Q131" i="21" s="1"/>
  <c r="P130" i="21"/>
  <c r="Q130" i="21" s="1"/>
  <c r="P129" i="21"/>
  <c r="Q129" i="21" s="1"/>
  <c r="P128" i="21"/>
  <c r="Q128" i="21" s="1"/>
  <c r="P127" i="21"/>
  <c r="Q127" i="21" s="1"/>
  <c r="P126" i="21"/>
  <c r="Q126" i="21" s="1"/>
  <c r="P125" i="21"/>
  <c r="Q125" i="21" s="1"/>
  <c r="Q124" i="21"/>
  <c r="Q123" i="21"/>
  <c r="Q122" i="21"/>
  <c r="Q121" i="21"/>
  <c r="Q120" i="21"/>
  <c r="P119" i="21"/>
  <c r="P118" i="21"/>
  <c r="P114" i="21"/>
  <c r="P112" i="21"/>
  <c r="Q112" i="21" s="1"/>
  <c r="P111" i="21"/>
  <c r="Q111" i="21" s="1"/>
  <c r="P110" i="21"/>
  <c r="Q110" i="21" s="1"/>
  <c r="P109" i="21"/>
  <c r="Q109" i="21" s="1"/>
  <c r="P108" i="21"/>
  <c r="Q108" i="21" s="1"/>
  <c r="P107" i="21"/>
  <c r="Q107" i="21" s="1"/>
  <c r="P106" i="21"/>
  <c r="Q106" i="21" s="1"/>
  <c r="P105" i="21"/>
  <c r="Q105" i="21" s="1"/>
  <c r="P104" i="21"/>
  <c r="Q104" i="21" s="1"/>
  <c r="AG102" i="21"/>
  <c r="AE102" i="21"/>
  <c r="P100" i="21"/>
  <c r="Q100" i="21" s="1"/>
  <c r="P99" i="21"/>
  <c r="Q99" i="21" s="1"/>
  <c r="P98" i="21"/>
  <c r="Q98" i="21" s="1"/>
  <c r="P97" i="21"/>
  <c r="Q97" i="21" s="1"/>
  <c r="P96" i="21"/>
  <c r="Q96" i="21" s="1"/>
  <c r="P95" i="21"/>
  <c r="Q95" i="21" s="1"/>
  <c r="P94" i="21"/>
  <c r="Q94" i="21" s="1"/>
  <c r="P93" i="21"/>
  <c r="Q93" i="21" s="1"/>
  <c r="P92" i="21"/>
  <c r="Q92" i="21" s="1"/>
  <c r="P91" i="21"/>
  <c r="Q91" i="21" s="1"/>
  <c r="P90" i="21"/>
  <c r="Q90" i="21" s="1"/>
  <c r="P89" i="21"/>
  <c r="Q89" i="21" s="1"/>
  <c r="P88" i="21"/>
  <c r="Q88" i="21" s="1"/>
  <c r="P87" i="21"/>
  <c r="Q87" i="21" s="1"/>
  <c r="P86" i="21"/>
  <c r="Q86" i="21" s="1"/>
  <c r="P85" i="21"/>
  <c r="Q85" i="21" s="1"/>
  <c r="P84" i="21"/>
  <c r="Q84" i="21" s="1"/>
  <c r="P83" i="21"/>
  <c r="Q83" i="21" s="1"/>
  <c r="P82" i="21"/>
  <c r="Q82" i="21" s="1"/>
  <c r="P81" i="21"/>
  <c r="Q81" i="21" s="1"/>
  <c r="P80" i="21"/>
  <c r="Q80" i="21" s="1"/>
  <c r="P79" i="21"/>
  <c r="Q79" i="21" s="1"/>
  <c r="P78" i="21"/>
  <c r="Q78" i="21" s="1"/>
  <c r="P77" i="21"/>
  <c r="Q77" i="21" s="1"/>
  <c r="P76" i="21"/>
  <c r="Q76" i="21" s="1"/>
  <c r="P75" i="21"/>
  <c r="Q75" i="21" s="1"/>
  <c r="P74" i="21"/>
  <c r="Q74" i="21" s="1"/>
  <c r="Q73" i="21"/>
  <c r="Q72" i="21"/>
  <c r="P71" i="21"/>
  <c r="Q70" i="21"/>
  <c r="P69" i="21"/>
  <c r="Q69" i="21"/>
  <c r="P62" i="21"/>
  <c r="P61" i="21"/>
  <c r="Q61" i="21" s="1"/>
  <c r="P60" i="21"/>
  <c r="Q60" i="21" s="1"/>
  <c r="P59" i="21"/>
  <c r="Q59" i="21" s="1"/>
  <c r="P58" i="21"/>
  <c r="Q58" i="21" s="1"/>
  <c r="P57" i="21"/>
  <c r="Q57" i="21" s="1"/>
  <c r="P56" i="21"/>
  <c r="Q56" i="21" s="1"/>
  <c r="P55" i="21"/>
  <c r="Q55" i="21" s="1"/>
  <c r="P54" i="21"/>
  <c r="Q54" i="21" s="1"/>
  <c r="P53" i="21"/>
  <c r="Q53" i="21" s="1"/>
  <c r="AG51" i="21"/>
  <c r="AE51" i="21"/>
  <c r="P49" i="21"/>
  <c r="Q49" i="21" s="1"/>
  <c r="P48" i="21"/>
  <c r="Q48" i="21" s="1"/>
  <c r="P47" i="21"/>
  <c r="Q47" i="21" s="1"/>
  <c r="P46" i="21"/>
  <c r="Q46" i="21" s="1"/>
  <c r="P45" i="21"/>
  <c r="Q45" i="21" s="1"/>
  <c r="P44" i="21"/>
  <c r="Q44" i="21" s="1"/>
  <c r="P43" i="21"/>
  <c r="Q43" i="21" s="1"/>
  <c r="P42" i="21"/>
  <c r="Q42" i="21" s="1"/>
  <c r="P41" i="21"/>
  <c r="Q41" i="21" s="1"/>
  <c r="P40" i="21"/>
  <c r="Q40" i="21" s="1"/>
  <c r="P39" i="21"/>
  <c r="Q39" i="21" s="1"/>
  <c r="P38" i="21"/>
  <c r="Q38" i="21" s="1"/>
  <c r="P37" i="21"/>
  <c r="Q37" i="21" s="1"/>
  <c r="P36" i="21"/>
  <c r="Q36" i="21" s="1"/>
  <c r="P35" i="21"/>
  <c r="Q35" i="21" s="1"/>
  <c r="P34" i="21"/>
  <c r="Q34" i="21" s="1"/>
  <c r="P33" i="21"/>
  <c r="Q33" i="21" s="1"/>
  <c r="P32" i="21"/>
  <c r="Q32" i="21" s="1"/>
  <c r="P31" i="21"/>
  <c r="Q31" i="21" s="1"/>
  <c r="P30" i="21"/>
  <c r="Q30" i="21" s="1"/>
  <c r="P29" i="21"/>
  <c r="Q29" i="21" s="1"/>
  <c r="P28" i="21"/>
  <c r="Q28" i="21" s="1"/>
  <c r="P27" i="21"/>
  <c r="Q27" i="21" s="1"/>
  <c r="P26" i="21"/>
  <c r="Q26" i="21" s="1"/>
  <c r="Q25" i="21"/>
  <c r="P25" i="21"/>
  <c r="Q24" i="21"/>
  <c r="P24" i="21"/>
  <c r="Q23" i="21"/>
  <c r="P23" i="21"/>
  <c r="Q22" i="21"/>
  <c r="P22" i="21"/>
  <c r="Q21" i="21"/>
  <c r="P21" i="21"/>
  <c r="Q20" i="21"/>
  <c r="P20" i="21"/>
  <c r="P19" i="21"/>
  <c r="P18" i="21"/>
  <c r="P17" i="21"/>
  <c r="P16" i="21"/>
  <c r="P15" i="21"/>
  <c r="P14" i="21"/>
  <c r="P13" i="21"/>
  <c r="Q13" i="21" s="1"/>
  <c r="P12" i="21"/>
  <c r="Q12" i="21" s="1"/>
  <c r="P11" i="21"/>
  <c r="Q11" i="21" s="1"/>
  <c r="P10" i="21"/>
  <c r="Q10" i="21" s="1"/>
  <c r="P9" i="21"/>
  <c r="Q9" i="21" s="1"/>
  <c r="P8" i="21"/>
  <c r="Q8" i="21" s="1"/>
  <c r="P7" i="21"/>
  <c r="Q7" i="21" s="1"/>
  <c r="P6" i="21"/>
  <c r="Q6" i="21" s="1"/>
  <c r="P5" i="21"/>
  <c r="Q5" i="21" s="1"/>
  <c r="AG4" i="21"/>
  <c r="AE4" i="21"/>
  <c r="W59" i="24" l="1"/>
  <c r="N5" i="24"/>
  <c r="O5" i="24" s="1"/>
  <c r="P5" i="24" s="1"/>
  <c r="Q5" i="24" s="1"/>
  <c r="R5" i="24" s="1"/>
  <c r="N6" i="24"/>
  <c r="O6" i="24" s="1"/>
  <c r="N7" i="24"/>
  <c r="O7" i="24" s="1"/>
  <c r="N8" i="24"/>
  <c r="O8" i="24" s="1"/>
  <c r="N9" i="24"/>
  <c r="O9" i="24" s="1"/>
  <c r="N10" i="24"/>
  <c r="O10" i="24" s="1"/>
  <c r="N11" i="24"/>
  <c r="O11" i="24" s="1"/>
  <c r="N12" i="24"/>
  <c r="O12" i="24" s="1"/>
  <c r="N13" i="24"/>
  <c r="O13" i="24" s="1"/>
  <c r="N14" i="24"/>
  <c r="O14" i="24" s="1"/>
  <c r="N15" i="24"/>
  <c r="O15" i="24" s="1"/>
  <c r="N16" i="24"/>
  <c r="O16" i="24" s="1"/>
  <c r="N17" i="24"/>
  <c r="O17" i="24" s="1"/>
  <c r="N18" i="24"/>
  <c r="O18" i="24" s="1"/>
  <c r="N19" i="24"/>
  <c r="O19" i="24" s="1"/>
  <c r="N20" i="24"/>
  <c r="O20" i="24" s="1"/>
  <c r="N21" i="24"/>
  <c r="O21" i="24" s="1"/>
  <c r="N22" i="24"/>
  <c r="O22" i="24" s="1"/>
  <c r="N23" i="24"/>
  <c r="O23" i="24" s="1"/>
  <c r="N24" i="24"/>
  <c r="O24" i="24" s="1"/>
  <c r="N25" i="24"/>
  <c r="O25" i="24" s="1"/>
  <c r="N26" i="24"/>
  <c r="O26" i="24" s="1"/>
  <c r="N27" i="24"/>
  <c r="O27" i="24" s="1"/>
  <c r="N28" i="24"/>
  <c r="O28" i="24" s="1"/>
  <c r="N15" i="23"/>
  <c r="O15" i="23" s="1"/>
  <c r="N19" i="23"/>
  <c r="O19" i="23" s="1"/>
  <c r="N23" i="23"/>
  <c r="O23" i="23" s="1"/>
  <c r="N27" i="23"/>
  <c r="O27" i="23" s="1"/>
  <c r="N12" i="23"/>
  <c r="O12" i="23" s="1"/>
  <c r="N16" i="23"/>
  <c r="O16" i="23" s="1"/>
  <c r="N20" i="23"/>
  <c r="O20" i="23" s="1"/>
  <c r="N24" i="23"/>
  <c r="O24" i="23" s="1"/>
  <c r="N5" i="23"/>
  <c r="O5" i="23" s="1"/>
  <c r="N9" i="23"/>
  <c r="O9" i="23" s="1"/>
  <c r="N13" i="23"/>
  <c r="O13" i="23" s="1"/>
  <c r="P13" i="23" s="1"/>
  <c r="Q13" i="23" s="1"/>
  <c r="R13" i="23" s="1"/>
  <c r="N17" i="23"/>
  <c r="O17" i="23" s="1"/>
  <c r="N21" i="23"/>
  <c r="O21" i="23" s="1"/>
  <c r="N25" i="23"/>
  <c r="O25" i="23" s="1"/>
  <c r="N7" i="23"/>
  <c r="O7" i="23" s="1"/>
  <c r="N11" i="23"/>
  <c r="O11" i="23" s="1"/>
  <c r="N8" i="23"/>
  <c r="O8" i="23" s="1"/>
  <c r="N28" i="23"/>
  <c r="O28" i="23" s="1"/>
  <c r="W5" i="23"/>
  <c r="N6" i="23"/>
  <c r="O6" i="23" s="1"/>
  <c r="N10" i="23"/>
  <c r="O10" i="23" s="1"/>
  <c r="N14" i="23"/>
  <c r="O14" i="23" s="1"/>
  <c r="N18" i="23"/>
  <c r="O18" i="23" s="1"/>
  <c r="N22" i="23"/>
  <c r="O22" i="23" s="1"/>
  <c r="N26" i="23"/>
  <c r="O26" i="23" s="1"/>
  <c r="D158" i="22"/>
  <c r="AD152" i="22"/>
  <c r="H153" i="22"/>
  <c r="D158" i="21"/>
  <c r="AD152" i="21"/>
  <c r="H152" i="22"/>
  <c r="I155" i="22"/>
  <c r="I157" i="22"/>
  <c r="H158" i="22"/>
  <c r="J156" i="22"/>
  <c r="I165" i="22"/>
  <c r="I186" i="22"/>
  <c r="I166" i="22"/>
  <c r="I187" i="22"/>
  <c r="H154" i="22"/>
  <c r="J155" i="22"/>
  <c r="J157" i="22"/>
  <c r="H159" i="22"/>
  <c r="I164" i="22"/>
  <c r="H185" i="22"/>
  <c r="I156" i="22"/>
  <c r="H160" i="22"/>
  <c r="J164" i="22"/>
  <c r="I185" i="22"/>
  <c r="H152" i="21"/>
  <c r="J165" i="21"/>
  <c r="H183" i="21"/>
  <c r="J164" i="21"/>
  <c r="H182" i="21"/>
  <c r="H160" i="21"/>
  <c r="H193" i="21"/>
  <c r="H153" i="21"/>
  <c r="J155" i="21"/>
  <c r="J166" i="21"/>
  <c r="J185" i="21"/>
  <c r="H154" i="21"/>
  <c r="J156" i="21"/>
  <c r="H158" i="21"/>
  <c r="H184" i="21"/>
  <c r="J186" i="21"/>
  <c r="H191" i="21"/>
  <c r="J157" i="21"/>
  <c r="H159" i="21"/>
  <c r="J187" i="21"/>
  <c r="H192" i="21"/>
  <c r="K152" i="22"/>
  <c r="K159" i="22"/>
  <c r="J165" i="22"/>
  <c r="J166" i="22"/>
  <c r="H182" i="22"/>
  <c r="H183" i="22"/>
  <c r="H184" i="22"/>
  <c r="J185" i="22"/>
  <c r="J186" i="22"/>
  <c r="J187" i="22"/>
  <c r="H188" i="22"/>
  <c r="H189" i="22"/>
  <c r="H190" i="22"/>
  <c r="K182" i="22"/>
  <c r="K184" i="22"/>
  <c r="K189" i="22"/>
  <c r="I152" i="22"/>
  <c r="I153" i="22"/>
  <c r="K155" i="22"/>
  <c r="K156" i="22"/>
  <c r="I158" i="22"/>
  <c r="I159" i="22"/>
  <c r="K164" i="22"/>
  <c r="K165" i="22"/>
  <c r="I182" i="22"/>
  <c r="I183" i="22"/>
  <c r="K185" i="22"/>
  <c r="K186" i="22"/>
  <c r="I188" i="22"/>
  <c r="I189" i="22"/>
  <c r="K153" i="22"/>
  <c r="K154" i="22"/>
  <c r="K158" i="22"/>
  <c r="K160" i="22"/>
  <c r="K183" i="22"/>
  <c r="K188" i="22"/>
  <c r="K190" i="22"/>
  <c r="J152" i="22"/>
  <c r="J153" i="22"/>
  <c r="H155" i="22"/>
  <c r="H156" i="22"/>
  <c r="J158" i="22"/>
  <c r="J159" i="22"/>
  <c r="H164" i="22"/>
  <c r="H165" i="22"/>
  <c r="J182" i="22"/>
  <c r="J183" i="22"/>
  <c r="H186" i="22"/>
  <c r="J188" i="22"/>
  <c r="J189" i="22"/>
  <c r="H44" i="22"/>
  <c r="J8" i="22"/>
  <c r="J18" i="22"/>
  <c r="J40" i="22"/>
  <c r="I46" i="22"/>
  <c r="J9" i="22"/>
  <c r="J19" i="22"/>
  <c r="J46" i="22"/>
  <c r="J10" i="22"/>
  <c r="J38" i="22"/>
  <c r="H45" i="22"/>
  <c r="J17" i="22"/>
  <c r="J39" i="22"/>
  <c r="I45" i="22"/>
  <c r="J5" i="22"/>
  <c r="H9" i="22"/>
  <c r="I10" i="22"/>
  <c r="J14" i="22"/>
  <c r="H18" i="22"/>
  <c r="I19" i="22"/>
  <c r="J35" i="22"/>
  <c r="H39" i="22"/>
  <c r="I40" i="22"/>
  <c r="J41" i="22"/>
  <c r="I44" i="22"/>
  <c r="J45" i="22"/>
  <c r="H10" i="22"/>
  <c r="H19" i="22"/>
  <c r="H40" i="22"/>
  <c r="J6" i="22"/>
  <c r="H8" i="22"/>
  <c r="I9" i="22"/>
  <c r="J15" i="22"/>
  <c r="H17" i="22"/>
  <c r="I18" i="22"/>
  <c r="J36" i="22"/>
  <c r="H38" i="22"/>
  <c r="I39" i="22"/>
  <c r="J44" i="22"/>
  <c r="J7" i="22"/>
  <c r="J16" i="22"/>
  <c r="J37" i="22"/>
  <c r="I152" i="21"/>
  <c r="I153" i="21"/>
  <c r="K155" i="21"/>
  <c r="K156" i="21"/>
  <c r="I158" i="21"/>
  <c r="I159" i="21"/>
  <c r="K164" i="21"/>
  <c r="K165" i="21"/>
  <c r="I182" i="21"/>
  <c r="I183" i="21"/>
  <c r="K185" i="21"/>
  <c r="K186" i="21"/>
  <c r="I191" i="21"/>
  <c r="I192" i="21"/>
  <c r="J152" i="21"/>
  <c r="J153" i="21"/>
  <c r="J154" i="21"/>
  <c r="H155" i="21"/>
  <c r="H156" i="21"/>
  <c r="H157" i="21"/>
  <c r="J158" i="21"/>
  <c r="J159" i="21"/>
  <c r="J160" i="21"/>
  <c r="H164" i="21"/>
  <c r="H165" i="21"/>
  <c r="H166" i="21"/>
  <c r="J182" i="21"/>
  <c r="J183" i="21"/>
  <c r="J184" i="21"/>
  <c r="H185" i="21"/>
  <c r="H186" i="21"/>
  <c r="H187" i="21"/>
  <c r="J191" i="21"/>
  <c r="J192" i="21"/>
  <c r="J193" i="21"/>
  <c r="K152" i="21"/>
  <c r="K153" i="21"/>
  <c r="I155" i="21"/>
  <c r="I156" i="21"/>
  <c r="K158" i="21"/>
  <c r="K159" i="21"/>
  <c r="I164" i="21"/>
  <c r="I165" i="21"/>
  <c r="K182" i="21"/>
  <c r="K183" i="21"/>
  <c r="I185" i="21"/>
  <c r="I186" i="21"/>
  <c r="K191" i="21"/>
  <c r="K192" i="21"/>
  <c r="J17" i="21"/>
  <c r="H37" i="21"/>
  <c r="J39" i="21"/>
  <c r="H41" i="21"/>
  <c r="J45" i="21"/>
  <c r="J38" i="21"/>
  <c r="I5" i="21"/>
  <c r="J18" i="21"/>
  <c r="J40" i="21"/>
  <c r="H35" i="21"/>
  <c r="J44" i="21"/>
  <c r="H6" i="21"/>
  <c r="J8" i="21"/>
  <c r="H16" i="21"/>
  <c r="H15" i="21"/>
  <c r="H7" i="21"/>
  <c r="J9" i="21"/>
  <c r="H14" i="21"/>
  <c r="J19" i="21"/>
  <c r="I35" i="21"/>
  <c r="J46" i="21"/>
  <c r="H5" i="21"/>
  <c r="J10" i="21"/>
  <c r="I14" i="21"/>
  <c r="H36" i="21"/>
  <c r="N59" i="24"/>
  <c r="O59" i="24" s="1"/>
  <c r="P59" i="24" s="1"/>
  <c r="Q59" i="24" s="1"/>
  <c r="R59" i="24" s="1"/>
  <c r="N63" i="24"/>
  <c r="O63" i="24" s="1"/>
  <c r="N67" i="24"/>
  <c r="O67" i="24" s="1"/>
  <c r="P67" i="24" s="1"/>
  <c r="Q67" i="24" s="1"/>
  <c r="R67" i="24" s="1"/>
  <c r="N71" i="24"/>
  <c r="O71" i="24" s="1"/>
  <c r="P71" i="24" s="1"/>
  <c r="Q71" i="24" s="1"/>
  <c r="R71" i="24" s="1"/>
  <c r="N75" i="24"/>
  <c r="O75" i="24" s="1"/>
  <c r="N79" i="24"/>
  <c r="O79" i="24" s="1"/>
  <c r="N60" i="24"/>
  <c r="O60" i="24" s="1"/>
  <c r="N64" i="24"/>
  <c r="O64" i="24" s="1"/>
  <c r="P64" i="24" s="1"/>
  <c r="Q64" i="24" s="1"/>
  <c r="R64" i="24" s="1"/>
  <c r="N68" i="24"/>
  <c r="O68" i="24" s="1"/>
  <c r="P68" i="24" s="1"/>
  <c r="Q68" i="24" s="1"/>
  <c r="R68" i="24" s="1"/>
  <c r="N72" i="24"/>
  <c r="O72" i="24" s="1"/>
  <c r="N76" i="24"/>
  <c r="O76" i="24" s="1"/>
  <c r="N80" i="24"/>
  <c r="O80" i="24" s="1"/>
  <c r="N96" i="24"/>
  <c r="N61" i="24"/>
  <c r="O61" i="24" s="1"/>
  <c r="N65" i="24"/>
  <c r="O65" i="24" s="1"/>
  <c r="N69" i="24"/>
  <c r="O69" i="24" s="1"/>
  <c r="P69" i="24" s="1"/>
  <c r="Q69" i="24" s="1"/>
  <c r="R69" i="24" s="1"/>
  <c r="N73" i="24"/>
  <c r="O73" i="24" s="1"/>
  <c r="P73" i="24" s="1"/>
  <c r="Q73" i="24" s="1"/>
  <c r="R73" i="24" s="1"/>
  <c r="N77" i="24"/>
  <c r="O77" i="24" s="1"/>
  <c r="N81" i="24"/>
  <c r="O81" i="24" s="1"/>
  <c r="P81" i="24" s="1"/>
  <c r="Q81" i="24" s="1"/>
  <c r="R81" i="24" s="1"/>
  <c r="N62" i="24"/>
  <c r="O62" i="24" s="1"/>
  <c r="P62" i="24" s="1"/>
  <c r="Q62" i="24" s="1"/>
  <c r="R62" i="24" s="1"/>
  <c r="N66" i="24"/>
  <c r="O66" i="24" s="1"/>
  <c r="P66" i="24" s="1"/>
  <c r="Q66" i="24" s="1"/>
  <c r="R66" i="24" s="1"/>
  <c r="N70" i="24"/>
  <c r="O70" i="24" s="1"/>
  <c r="N74" i="24"/>
  <c r="O74" i="24" s="1"/>
  <c r="P74" i="24" s="1"/>
  <c r="Q74" i="24" s="1"/>
  <c r="R74" i="24" s="1"/>
  <c r="N78" i="24"/>
  <c r="O78" i="24" s="1"/>
  <c r="P78" i="24" s="1"/>
  <c r="Q78" i="24" s="1"/>
  <c r="R78" i="24" s="1"/>
  <c r="N82" i="24"/>
  <c r="O82" i="24" s="1"/>
  <c r="P82" i="24" s="1"/>
  <c r="Q82" i="24" s="1"/>
  <c r="R82" i="24" s="1"/>
  <c r="D14" i="24"/>
  <c r="W6" i="24"/>
  <c r="N59" i="23"/>
  <c r="O59" i="23" s="1"/>
  <c r="N63" i="23"/>
  <c r="O63" i="23" s="1"/>
  <c r="P63" i="23" s="1"/>
  <c r="Q63" i="23" s="1"/>
  <c r="R63" i="23" s="1"/>
  <c r="N67" i="23"/>
  <c r="O67" i="23" s="1"/>
  <c r="N71" i="23"/>
  <c r="O71" i="23" s="1"/>
  <c r="P71" i="23" s="1"/>
  <c r="Q71" i="23" s="1"/>
  <c r="R71" i="23" s="1"/>
  <c r="N75" i="23"/>
  <c r="O75" i="23" s="1"/>
  <c r="N79" i="23"/>
  <c r="O79" i="23" s="1"/>
  <c r="N62" i="23"/>
  <c r="O62" i="23" s="1"/>
  <c r="N66" i="23"/>
  <c r="O66" i="23" s="1"/>
  <c r="P66" i="23" s="1"/>
  <c r="Q66" i="23" s="1"/>
  <c r="R66" i="23" s="1"/>
  <c r="N70" i="23"/>
  <c r="O70" i="23" s="1"/>
  <c r="N74" i="23"/>
  <c r="O74" i="23" s="1"/>
  <c r="N78" i="23"/>
  <c r="O78" i="23" s="1"/>
  <c r="P78" i="23" s="1"/>
  <c r="Q78" i="23" s="1"/>
  <c r="R78" i="23" s="1"/>
  <c r="N82" i="23"/>
  <c r="O82" i="23" s="1"/>
  <c r="D14" i="23"/>
  <c r="W6" i="23"/>
  <c r="K5" i="22"/>
  <c r="K6" i="22"/>
  <c r="K14" i="22"/>
  <c r="K15" i="22"/>
  <c r="K35" i="22"/>
  <c r="K36" i="22"/>
  <c r="H5" i="22"/>
  <c r="H6" i="22"/>
  <c r="H7" i="22"/>
  <c r="H14" i="22"/>
  <c r="H15" i="22"/>
  <c r="H16" i="22"/>
  <c r="H35" i="22"/>
  <c r="H36" i="22"/>
  <c r="H37" i="22"/>
  <c r="H41" i="22"/>
  <c r="I5" i="22"/>
  <c r="I6" i="22"/>
  <c r="K8" i="22"/>
  <c r="K9" i="22"/>
  <c r="I14" i="22"/>
  <c r="I15" i="22"/>
  <c r="K17" i="22"/>
  <c r="K18" i="22"/>
  <c r="I35" i="22"/>
  <c r="I36" i="22"/>
  <c r="K38" i="22"/>
  <c r="K39" i="22"/>
  <c r="K44" i="22"/>
  <c r="K45" i="22"/>
  <c r="J107" i="22"/>
  <c r="J108" i="22"/>
  <c r="H113" i="22"/>
  <c r="J134" i="22"/>
  <c r="H137" i="22"/>
  <c r="J109" i="22"/>
  <c r="H114" i="22"/>
  <c r="J135" i="22"/>
  <c r="H143" i="22"/>
  <c r="J63" i="22"/>
  <c r="H104" i="22"/>
  <c r="H115" i="22"/>
  <c r="J117" i="22"/>
  <c r="J136" i="22"/>
  <c r="H138" i="22"/>
  <c r="J140" i="22"/>
  <c r="H144" i="22"/>
  <c r="H105" i="22"/>
  <c r="J118" i="22"/>
  <c r="H139" i="22"/>
  <c r="H145" i="22"/>
  <c r="H106" i="22"/>
  <c r="J116" i="22"/>
  <c r="J5" i="21"/>
  <c r="J6" i="21"/>
  <c r="J7" i="21"/>
  <c r="H8" i="21"/>
  <c r="H9" i="21"/>
  <c r="H10" i="21"/>
  <c r="J14" i="21"/>
  <c r="J15" i="21"/>
  <c r="J16" i="21"/>
  <c r="H17" i="21"/>
  <c r="H18" i="21"/>
  <c r="H19" i="21"/>
  <c r="J35" i="21"/>
  <c r="J36" i="21"/>
  <c r="J37" i="21"/>
  <c r="H38" i="21"/>
  <c r="H39" i="21"/>
  <c r="H40" i="21"/>
  <c r="J41" i="21"/>
  <c r="H44" i="21"/>
  <c r="H45" i="21"/>
  <c r="H46" i="21"/>
  <c r="K5" i="21"/>
  <c r="K6" i="21"/>
  <c r="I8" i="21"/>
  <c r="I9" i="21"/>
  <c r="K14" i="21"/>
  <c r="K15" i="21"/>
  <c r="I17" i="21"/>
  <c r="I18" i="21"/>
  <c r="K35" i="21"/>
  <c r="K36" i="21"/>
  <c r="I38" i="21"/>
  <c r="I39" i="21"/>
  <c r="I44" i="21"/>
  <c r="I45" i="21"/>
  <c r="I6" i="21"/>
  <c r="K8" i="21"/>
  <c r="K9" i="21"/>
  <c r="I15" i="21"/>
  <c r="K17" i="21"/>
  <c r="K18" i="21"/>
  <c r="I36" i="21"/>
  <c r="K38" i="21"/>
  <c r="K39" i="21"/>
  <c r="K44" i="21"/>
  <c r="K45" i="21"/>
  <c r="H137" i="21"/>
  <c r="H138" i="21"/>
  <c r="J135" i="21"/>
  <c r="J140" i="21"/>
  <c r="J136" i="21"/>
  <c r="AD103" i="21"/>
  <c r="J113" i="21"/>
  <c r="H144" i="21"/>
  <c r="J105" i="21"/>
  <c r="H107" i="21"/>
  <c r="J115" i="21"/>
  <c r="H117" i="21"/>
  <c r="J134" i="21"/>
  <c r="J106" i="21"/>
  <c r="I107" i="21"/>
  <c r="H118" i="21"/>
  <c r="H143" i="21"/>
  <c r="H108" i="21"/>
  <c r="J104" i="21"/>
  <c r="H109" i="21"/>
  <c r="J114" i="21"/>
  <c r="H116" i="21"/>
  <c r="H139" i="21"/>
  <c r="H145" i="21"/>
  <c r="AD5" i="21"/>
  <c r="W32" i="24"/>
  <c r="N35" i="24"/>
  <c r="O35" i="24" s="1"/>
  <c r="P35" i="24" s="1"/>
  <c r="Q35" i="24" s="1"/>
  <c r="R35" i="24" s="1"/>
  <c r="N39" i="24"/>
  <c r="O39" i="24" s="1"/>
  <c r="P39" i="24" s="1"/>
  <c r="Q39" i="24" s="1"/>
  <c r="R39" i="24" s="1"/>
  <c r="N43" i="24"/>
  <c r="O43" i="24" s="1"/>
  <c r="N47" i="24"/>
  <c r="O47" i="24" s="1"/>
  <c r="P47" i="24" s="1"/>
  <c r="Q47" i="24" s="1"/>
  <c r="R47" i="24" s="1"/>
  <c r="N51" i="24"/>
  <c r="O51" i="24" s="1"/>
  <c r="N55" i="24"/>
  <c r="O55" i="24" s="1"/>
  <c r="P55" i="24" s="1"/>
  <c r="Q55" i="24" s="1"/>
  <c r="R55" i="24" s="1"/>
  <c r="N32" i="24"/>
  <c r="O32" i="24" s="1"/>
  <c r="P32" i="24" s="1"/>
  <c r="Q32" i="24" s="1"/>
  <c r="R32" i="24" s="1"/>
  <c r="N36" i="24"/>
  <c r="O36" i="24" s="1"/>
  <c r="P36" i="24" s="1"/>
  <c r="Q36" i="24" s="1"/>
  <c r="R36" i="24" s="1"/>
  <c r="N40" i="24"/>
  <c r="O40" i="24" s="1"/>
  <c r="P40" i="24" s="1"/>
  <c r="Q40" i="24" s="1"/>
  <c r="R40" i="24" s="1"/>
  <c r="N44" i="24"/>
  <c r="O44" i="24" s="1"/>
  <c r="P44" i="24" s="1"/>
  <c r="Q44" i="24" s="1"/>
  <c r="R44" i="24" s="1"/>
  <c r="N48" i="24"/>
  <c r="O48" i="24" s="1"/>
  <c r="P48" i="24" s="1"/>
  <c r="Q48" i="24" s="1"/>
  <c r="R48" i="24" s="1"/>
  <c r="N52" i="24"/>
  <c r="O52" i="24" s="1"/>
  <c r="P8" i="24"/>
  <c r="Q8" i="24" s="1"/>
  <c r="R8" i="24" s="1"/>
  <c r="N33" i="24"/>
  <c r="O33" i="24" s="1"/>
  <c r="P33" i="24" s="1"/>
  <c r="Q33" i="24" s="1"/>
  <c r="R33" i="24" s="1"/>
  <c r="N37" i="24"/>
  <c r="O37" i="24" s="1"/>
  <c r="P37" i="24" s="1"/>
  <c r="Q37" i="24" s="1"/>
  <c r="R37" i="24" s="1"/>
  <c r="N41" i="24"/>
  <c r="O41" i="24" s="1"/>
  <c r="P41" i="24" s="1"/>
  <c r="Q41" i="24" s="1"/>
  <c r="R41" i="24" s="1"/>
  <c r="N45" i="24"/>
  <c r="O45" i="24" s="1"/>
  <c r="P45" i="24" s="1"/>
  <c r="Q45" i="24" s="1"/>
  <c r="R45" i="24" s="1"/>
  <c r="N49" i="24"/>
  <c r="O49" i="24" s="1"/>
  <c r="P49" i="24" s="1"/>
  <c r="Q49" i="24" s="1"/>
  <c r="R49" i="24" s="1"/>
  <c r="N53" i="24"/>
  <c r="O53" i="24" s="1"/>
  <c r="P53" i="24" s="1"/>
  <c r="Q53" i="24" s="1"/>
  <c r="R53" i="24" s="1"/>
  <c r="P14" i="24"/>
  <c r="Q14" i="24" s="1"/>
  <c r="R14" i="24" s="1"/>
  <c r="N109" i="24"/>
  <c r="N34" i="24"/>
  <c r="O34" i="24" s="1"/>
  <c r="P34" i="24" s="1"/>
  <c r="Q34" i="24" s="1"/>
  <c r="R34" i="24" s="1"/>
  <c r="N38" i="24"/>
  <c r="O38" i="24" s="1"/>
  <c r="N42" i="24"/>
  <c r="O42" i="24" s="1"/>
  <c r="P42" i="24" s="1"/>
  <c r="Q42" i="24" s="1"/>
  <c r="R42" i="24" s="1"/>
  <c r="N46" i="24"/>
  <c r="O46" i="24" s="1"/>
  <c r="P46" i="24" s="1"/>
  <c r="Q46" i="24" s="1"/>
  <c r="R46" i="24" s="1"/>
  <c r="N50" i="24"/>
  <c r="O50" i="24" s="1"/>
  <c r="P50" i="24" s="1"/>
  <c r="Q50" i="24" s="1"/>
  <c r="R50" i="24" s="1"/>
  <c r="N54" i="24"/>
  <c r="O54" i="24" s="1"/>
  <c r="D68" i="24"/>
  <c r="W60" i="24"/>
  <c r="N61" i="23"/>
  <c r="O61" i="23" s="1"/>
  <c r="P61" i="23" s="1"/>
  <c r="Q61" i="23" s="1"/>
  <c r="R61" i="23" s="1"/>
  <c r="N65" i="23"/>
  <c r="O65" i="23" s="1"/>
  <c r="N69" i="23"/>
  <c r="O69" i="23" s="1"/>
  <c r="P69" i="23" s="1"/>
  <c r="Q69" i="23" s="1"/>
  <c r="R69" i="23" s="1"/>
  <c r="N73" i="23"/>
  <c r="O73" i="23" s="1"/>
  <c r="P73" i="23" s="1"/>
  <c r="Q73" i="23" s="1"/>
  <c r="R73" i="23" s="1"/>
  <c r="N77" i="23"/>
  <c r="O77" i="23" s="1"/>
  <c r="N81" i="23"/>
  <c r="O81" i="23" s="1"/>
  <c r="N60" i="23"/>
  <c r="O60" i="23" s="1"/>
  <c r="P60" i="23" s="1"/>
  <c r="Q60" i="23" s="1"/>
  <c r="R60" i="23" s="1"/>
  <c r="N64" i="23"/>
  <c r="O64" i="23" s="1"/>
  <c r="N68" i="23"/>
  <c r="O68" i="23" s="1"/>
  <c r="N72" i="23"/>
  <c r="O72" i="23" s="1"/>
  <c r="N76" i="23"/>
  <c r="O76" i="23" s="1"/>
  <c r="N80" i="23"/>
  <c r="O80" i="23" s="1"/>
  <c r="N108" i="23"/>
  <c r="P62" i="23"/>
  <c r="Q62" i="23" s="1"/>
  <c r="R62" i="23" s="1"/>
  <c r="P59" i="23"/>
  <c r="Q59" i="23" s="1"/>
  <c r="R59" i="23" s="1"/>
  <c r="P77" i="23"/>
  <c r="Q77" i="23" s="1"/>
  <c r="R77" i="23" s="1"/>
  <c r="P81" i="23"/>
  <c r="Q81" i="23" s="1"/>
  <c r="R81" i="23" s="1"/>
  <c r="N32" i="23"/>
  <c r="O32" i="23" s="1"/>
  <c r="N33" i="23"/>
  <c r="O33" i="23" s="1"/>
  <c r="P33" i="23" s="1"/>
  <c r="Q33" i="23" s="1"/>
  <c r="R33" i="23" s="1"/>
  <c r="N34" i="23"/>
  <c r="O34" i="23" s="1"/>
  <c r="N35" i="23"/>
  <c r="O35" i="23" s="1"/>
  <c r="P35" i="23" s="1"/>
  <c r="Q35" i="23" s="1"/>
  <c r="R35" i="23" s="1"/>
  <c r="N36" i="23"/>
  <c r="O36" i="23" s="1"/>
  <c r="N37" i="23"/>
  <c r="O37" i="23" s="1"/>
  <c r="N38" i="23"/>
  <c r="O38" i="23" s="1"/>
  <c r="P38" i="23" s="1"/>
  <c r="Q38" i="23" s="1"/>
  <c r="R38" i="23" s="1"/>
  <c r="N39" i="23"/>
  <c r="O39" i="23" s="1"/>
  <c r="P39" i="23" s="1"/>
  <c r="Q39" i="23" s="1"/>
  <c r="R39" i="23" s="1"/>
  <c r="N40" i="23"/>
  <c r="O40" i="23" s="1"/>
  <c r="N41" i="23"/>
  <c r="O41" i="23" s="1"/>
  <c r="N42" i="23"/>
  <c r="O42" i="23" s="1"/>
  <c r="N43" i="23"/>
  <c r="O43" i="23" s="1"/>
  <c r="P43" i="23" s="1"/>
  <c r="Q43" i="23" s="1"/>
  <c r="R43" i="23" s="1"/>
  <c r="N44" i="23"/>
  <c r="O44" i="23" s="1"/>
  <c r="N45" i="23"/>
  <c r="O45" i="23" s="1"/>
  <c r="P45" i="23" s="1"/>
  <c r="Q45" i="23" s="1"/>
  <c r="R45" i="23" s="1"/>
  <c r="N46" i="23"/>
  <c r="O46" i="23" s="1"/>
  <c r="N47" i="23"/>
  <c r="O47" i="23" s="1"/>
  <c r="P47" i="23" s="1"/>
  <c r="Q47" i="23" s="1"/>
  <c r="R47" i="23" s="1"/>
  <c r="N48" i="23"/>
  <c r="O48" i="23" s="1"/>
  <c r="N49" i="23"/>
  <c r="O49" i="23" s="1"/>
  <c r="P49" i="23" s="1"/>
  <c r="Q49" i="23" s="1"/>
  <c r="R49" i="23" s="1"/>
  <c r="N50" i="23"/>
  <c r="O50" i="23" s="1"/>
  <c r="P50" i="23" s="1"/>
  <c r="Q50" i="23" s="1"/>
  <c r="R50" i="23" s="1"/>
  <c r="N51" i="23"/>
  <c r="O51" i="23" s="1"/>
  <c r="P51" i="23" s="1"/>
  <c r="Q51" i="23" s="1"/>
  <c r="R51" i="23" s="1"/>
  <c r="N52" i="23"/>
  <c r="O52" i="23" s="1"/>
  <c r="N53" i="23"/>
  <c r="O53" i="23" s="1"/>
  <c r="P53" i="23" s="1"/>
  <c r="Q53" i="23" s="1"/>
  <c r="R53" i="23" s="1"/>
  <c r="N54" i="23"/>
  <c r="O54" i="23" s="1"/>
  <c r="N55" i="23"/>
  <c r="O55" i="23" s="1"/>
  <c r="D68" i="23"/>
  <c r="W60" i="23"/>
  <c r="I104" i="22"/>
  <c r="I105" i="22"/>
  <c r="K107" i="22"/>
  <c r="K108" i="22"/>
  <c r="I113" i="22"/>
  <c r="I114" i="22"/>
  <c r="K116" i="22"/>
  <c r="K117" i="22"/>
  <c r="K134" i="22"/>
  <c r="K135" i="22"/>
  <c r="I137" i="22"/>
  <c r="I138" i="22"/>
  <c r="I143" i="22"/>
  <c r="I144" i="22"/>
  <c r="J104" i="22"/>
  <c r="J105" i="22"/>
  <c r="J106" i="22"/>
  <c r="H107" i="22"/>
  <c r="H108" i="22"/>
  <c r="H109" i="22"/>
  <c r="J113" i="22"/>
  <c r="J114" i="22"/>
  <c r="J115" i="22"/>
  <c r="H116" i="22"/>
  <c r="H117" i="22"/>
  <c r="H118" i="22"/>
  <c r="H134" i="22"/>
  <c r="H135" i="22"/>
  <c r="H136" i="22"/>
  <c r="J137" i="22"/>
  <c r="J138" i="22"/>
  <c r="J139" i="22"/>
  <c r="H140" i="22"/>
  <c r="J143" i="22"/>
  <c r="J144" i="22"/>
  <c r="J145" i="22"/>
  <c r="K104" i="22"/>
  <c r="K105" i="22"/>
  <c r="I107" i="22"/>
  <c r="I108" i="22"/>
  <c r="K113" i="22"/>
  <c r="K114" i="22"/>
  <c r="I116" i="22"/>
  <c r="I117" i="22"/>
  <c r="I134" i="22"/>
  <c r="I135" i="22"/>
  <c r="K137" i="22"/>
  <c r="K138" i="22"/>
  <c r="K143" i="22"/>
  <c r="K144" i="22"/>
  <c r="J93" i="22"/>
  <c r="H95" i="22"/>
  <c r="H65" i="22"/>
  <c r="J94" i="22"/>
  <c r="H58" i="22"/>
  <c r="H91" i="22"/>
  <c r="J53" i="22"/>
  <c r="J64" i="22"/>
  <c r="H66" i="22"/>
  <c r="J86" i="22"/>
  <c r="H96" i="22"/>
  <c r="J54" i="22"/>
  <c r="H56" i="22"/>
  <c r="H67" i="22"/>
  <c r="J87" i="22"/>
  <c r="H89" i="22"/>
  <c r="H97" i="22"/>
  <c r="J55" i="22"/>
  <c r="H57" i="22"/>
  <c r="J62" i="22"/>
  <c r="J88" i="22"/>
  <c r="H90" i="22"/>
  <c r="J92" i="22"/>
  <c r="AD104" i="22"/>
  <c r="K104" i="21"/>
  <c r="K105" i="21"/>
  <c r="I108" i="21"/>
  <c r="K113" i="21"/>
  <c r="K114" i="21"/>
  <c r="I116" i="21"/>
  <c r="I117" i="21"/>
  <c r="K134" i="21"/>
  <c r="K135" i="21"/>
  <c r="I137" i="21"/>
  <c r="I138" i="21"/>
  <c r="I143" i="21"/>
  <c r="I144" i="21"/>
  <c r="H104" i="21"/>
  <c r="H105" i="21"/>
  <c r="H106" i="21"/>
  <c r="J107" i="21"/>
  <c r="J108" i="21"/>
  <c r="J109" i="21"/>
  <c r="H113" i="21"/>
  <c r="H114" i="21"/>
  <c r="H115" i="21"/>
  <c r="J116" i="21"/>
  <c r="J117" i="21"/>
  <c r="J118" i="21"/>
  <c r="H134" i="21"/>
  <c r="H135" i="21"/>
  <c r="H136" i="21"/>
  <c r="J137" i="21"/>
  <c r="J138" i="21"/>
  <c r="J139" i="21"/>
  <c r="H140" i="21"/>
  <c r="J143" i="21"/>
  <c r="J144" i="21"/>
  <c r="J145" i="21"/>
  <c r="I104" i="21"/>
  <c r="I105" i="21"/>
  <c r="K107" i="21"/>
  <c r="K108" i="21"/>
  <c r="I113" i="21"/>
  <c r="I114" i="21"/>
  <c r="K116" i="21"/>
  <c r="K117" i="21"/>
  <c r="I134" i="21"/>
  <c r="I135" i="21"/>
  <c r="K137" i="21"/>
  <c r="K138" i="21"/>
  <c r="K143" i="21"/>
  <c r="K144" i="21"/>
  <c r="K53" i="21"/>
  <c r="H57" i="21"/>
  <c r="I62" i="21"/>
  <c r="I64" i="21"/>
  <c r="I67" i="21"/>
  <c r="J87" i="21"/>
  <c r="I90" i="21"/>
  <c r="I93" i="21"/>
  <c r="I95" i="21"/>
  <c r="K54" i="21"/>
  <c r="H58" i="21"/>
  <c r="J62" i="21"/>
  <c r="J64" i="21"/>
  <c r="I86" i="21"/>
  <c r="I88" i="21"/>
  <c r="I91" i="21"/>
  <c r="J93" i="21"/>
  <c r="I96" i="21"/>
  <c r="K55" i="21"/>
  <c r="I63" i="21"/>
  <c r="I65" i="21"/>
  <c r="J86" i="21"/>
  <c r="J88" i="21"/>
  <c r="I92" i="21"/>
  <c r="I94" i="21"/>
  <c r="I97" i="21"/>
  <c r="H56" i="21"/>
  <c r="J63" i="21"/>
  <c r="I66" i="21"/>
  <c r="I87" i="21"/>
  <c r="I89" i="21"/>
  <c r="J92" i="21"/>
  <c r="J94" i="21"/>
  <c r="H54" i="21"/>
  <c r="J65" i="21"/>
  <c r="J67" i="21"/>
  <c r="J90" i="21"/>
  <c r="J96" i="21"/>
  <c r="N24" i="21"/>
  <c r="R24" i="21" s="1"/>
  <c r="V24" i="21" s="1"/>
  <c r="N26" i="21"/>
  <c r="R26" i="21" s="1"/>
  <c r="V26" i="21" s="1"/>
  <c r="I53" i="21"/>
  <c r="I54" i="21"/>
  <c r="I55" i="21"/>
  <c r="I56" i="21"/>
  <c r="I57" i="21"/>
  <c r="K62" i="21"/>
  <c r="K63" i="21"/>
  <c r="K65" i="21"/>
  <c r="K66" i="21"/>
  <c r="K67" i="21"/>
  <c r="K86" i="21"/>
  <c r="K87" i="21"/>
  <c r="K89" i="21"/>
  <c r="K90" i="21"/>
  <c r="K91" i="21"/>
  <c r="K92" i="21"/>
  <c r="K93" i="21"/>
  <c r="K95" i="21"/>
  <c r="K96" i="21"/>
  <c r="K97" i="21"/>
  <c r="K56" i="21"/>
  <c r="K57" i="21"/>
  <c r="K58" i="21"/>
  <c r="H53" i="21"/>
  <c r="J89" i="21"/>
  <c r="J95" i="21"/>
  <c r="J53" i="21"/>
  <c r="J54" i="21"/>
  <c r="J56" i="21"/>
  <c r="J57" i="21"/>
  <c r="H62" i="21"/>
  <c r="H63" i="21"/>
  <c r="H65" i="21"/>
  <c r="H66" i="21"/>
  <c r="H86" i="21"/>
  <c r="H87" i="21"/>
  <c r="H89" i="21"/>
  <c r="H90" i="21"/>
  <c r="H92" i="21"/>
  <c r="H93" i="21"/>
  <c r="H95" i="21"/>
  <c r="H96" i="21"/>
  <c r="P72" i="24"/>
  <c r="Q72" i="24" s="1"/>
  <c r="R72" i="24" s="1"/>
  <c r="N87" i="24"/>
  <c r="P15" i="24"/>
  <c r="Q15" i="24" s="1"/>
  <c r="R15" i="24" s="1"/>
  <c r="N90" i="24"/>
  <c r="P19" i="24"/>
  <c r="Q19" i="24" s="1"/>
  <c r="R19" i="24" s="1"/>
  <c r="P20" i="24"/>
  <c r="Q20" i="24" s="1"/>
  <c r="R20" i="24" s="1"/>
  <c r="N86" i="24"/>
  <c r="N95" i="24"/>
  <c r="N99" i="24"/>
  <c r="P18" i="24"/>
  <c r="Q18" i="24" s="1"/>
  <c r="R18" i="24" s="1"/>
  <c r="N91" i="24"/>
  <c r="P21" i="24"/>
  <c r="Q21" i="24" s="1"/>
  <c r="R21" i="24" s="1"/>
  <c r="N89" i="24"/>
  <c r="N100" i="24"/>
  <c r="D41" i="24"/>
  <c r="W34" i="24" s="1"/>
  <c r="W33" i="24"/>
  <c r="P54" i="24"/>
  <c r="Q54" i="24" s="1"/>
  <c r="R54" i="24" s="1"/>
  <c r="P22" i="24"/>
  <c r="Q22" i="24" s="1"/>
  <c r="R22" i="24" s="1"/>
  <c r="P76" i="24"/>
  <c r="Q76" i="24" s="1"/>
  <c r="R76" i="24" s="1"/>
  <c r="P77" i="24"/>
  <c r="Q77" i="24" s="1"/>
  <c r="R77" i="24" s="1"/>
  <c r="N102" i="24"/>
  <c r="N105" i="24"/>
  <c r="P17" i="24"/>
  <c r="Q17" i="24" s="1"/>
  <c r="R17" i="24" s="1"/>
  <c r="P23" i="24"/>
  <c r="Q23" i="24" s="1"/>
  <c r="R23" i="24" s="1"/>
  <c r="P24" i="24"/>
  <c r="Q24" i="24" s="1"/>
  <c r="R24" i="24" s="1"/>
  <c r="P25" i="24"/>
  <c r="Q25" i="24" s="1"/>
  <c r="R25" i="24" s="1"/>
  <c r="P27" i="24"/>
  <c r="Q27" i="24" s="1"/>
  <c r="R27" i="24" s="1"/>
  <c r="P38" i="24"/>
  <c r="Q38" i="24" s="1"/>
  <c r="R38" i="24" s="1"/>
  <c r="P51" i="24"/>
  <c r="Q51" i="24" s="1"/>
  <c r="R51" i="24" s="1"/>
  <c r="P61" i="24"/>
  <c r="Q61" i="24" s="1"/>
  <c r="R61" i="24" s="1"/>
  <c r="P65" i="24"/>
  <c r="Q65" i="24" s="1"/>
  <c r="R65" i="24" s="1"/>
  <c r="P70" i="24"/>
  <c r="Q70" i="24" s="1"/>
  <c r="R70" i="24" s="1"/>
  <c r="P79" i="24"/>
  <c r="Q79" i="24" s="1"/>
  <c r="R79" i="24" s="1"/>
  <c r="P80" i="24"/>
  <c r="Q80" i="24" s="1"/>
  <c r="R80" i="24" s="1"/>
  <c r="N93" i="24"/>
  <c r="N98" i="24"/>
  <c r="N108" i="24"/>
  <c r="P6" i="24"/>
  <c r="Q6" i="24" s="1"/>
  <c r="R6" i="24" s="1"/>
  <c r="P7" i="24"/>
  <c r="Q7" i="24" s="1"/>
  <c r="R7" i="24" s="1"/>
  <c r="P9" i="24"/>
  <c r="Q9" i="24" s="1"/>
  <c r="R9" i="24" s="1"/>
  <c r="P10" i="24"/>
  <c r="Q10" i="24" s="1"/>
  <c r="R10" i="24" s="1"/>
  <c r="P16" i="24"/>
  <c r="Q16" i="24" s="1"/>
  <c r="R16" i="24" s="1"/>
  <c r="P28" i="24"/>
  <c r="Q28" i="24" s="1"/>
  <c r="R28" i="24" s="1"/>
  <c r="P60" i="24"/>
  <c r="Q60" i="24" s="1"/>
  <c r="R60" i="24" s="1"/>
  <c r="P63" i="24"/>
  <c r="Q63" i="24" s="1"/>
  <c r="R63" i="24" s="1"/>
  <c r="N88" i="24"/>
  <c r="N97" i="24"/>
  <c r="N107" i="24"/>
  <c r="D53" i="24"/>
  <c r="W38" i="24" s="1"/>
  <c r="W37" i="24"/>
  <c r="W36" i="24"/>
  <c r="N92" i="24"/>
  <c r="N94" i="24"/>
  <c r="N103" i="24"/>
  <c r="N104" i="24"/>
  <c r="N101" i="24"/>
  <c r="N106" i="24"/>
  <c r="P44" i="23"/>
  <c r="Q44" i="23" s="1"/>
  <c r="R44" i="23" s="1"/>
  <c r="P34" i="23"/>
  <c r="Q34" i="23" s="1"/>
  <c r="R34" i="23" s="1"/>
  <c r="P54" i="23"/>
  <c r="Q54" i="23" s="1"/>
  <c r="R54" i="23" s="1"/>
  <c r="P41" i="23"/>
  <c r="Q41" i="23" s="1"/>
  <c r="R41" i="23" s="1"/>
  <c r="P7" i="23"/>
  <c r="Q7" i="23" s="1"/>
  <c r="R7" i="23" s="1"/>
  <c r="N90" i="23"/>
  <c r="N106" i="23"/>
  <c r="P80" i="23"/>
  <c r="Q80" i="23" s="1"/>
  <c r="R80" i="23" s="1"/>
  <c r="N89" i="23"/>
  <c r="P70" i="23"/>
  <c r="Q70" i="23" s="1"/>
  <c r="R70" i="23" s="1"/>
  <c r="P74" i="23"/>
  <c r="Q74" i="23" s="1"/>
  <c r="R74" i="23" s="1"/>
  <c r="P79" i="23"/>
  <c r="Q79" i="23" s="1"/>
  <c r="R79" i="23" s="1"/>
  <c r="P25" i="23"/>
  <c r="Q25" i="23" s="1"/>
  <c r="R25" i="23" s="1"/>
  <c r="P26" i="23"/>
  <c r="Q26" i="23" s="1"/>
  <c r="R26" i="23" s="1"/>
  <c r="P36" i="23"/>
  <c r="Q36" i="23" s="1"/>
  <c r="R36" i="23" s="1"/>
  <c r="P37" i="23"/>
  <c r="Q37" i="23" s="1"/>
  <c r="R37" i="23" s="1"/>
  <c r="N97" i="23"/>
  <c r="N109" i="23"/>
  <c r="N105" i="23"/>
  <c r="P48" i="23"/>
  <c r="Q48" i="23" s="1"/>
  <c r="R48" i="23" s="1"/>
  <c r="N91" i="23"/>
  <c r="N98" i="23"/>
  <c r="N104" i="23"/>
  <c r="P9" i="23"/>
  <c r="Q9" i="23" s="1"/>
  <c r="R9" i="23" s="1"/>
  <c r="P10" i="23"/>
  <c r="Q10" i="23" s="1"/>
  <c r="R10" i="23" s="1"/>
  <c r="P12" i="23"/>
  <c r="Q12" i="23" s="1"/>
  <c r="R12" i="23" s="1"/>
  <c r="P18" i="23"/>
  <c r="Q18" i="23" s="1"/>
  <c r="R18" i="23" s="1"/>
  <c r="P20" i="23"/>
  <c r="Q20" i="23" s="1"/>
  <c r="R20" i="23" s="1"/>
  <c r="P24" i="23"/>
  <c r="Q24" i="23" s="1"/>
  <c r="R24" i="23" s="1"/>
  <c r="P8" i="23"/>
  <c r="Q8" i="23" s="1"/>
  <c r="R8" i="23" s="1"/>
  <c r="P21" i="23"/>
  <c r="Q21" i="23" s="1"/>
  <c r="R21" i="23" s="1"/>
  <c r="P23" i="23"/>
  <c r="Q23" i="23" s="1"/>
  <c r="R23" i="23" s="1"/>
  <c r="P28" i="23"/>
  <c r="Q28" i="23" s="1"/>
  <c r="R28" i="23" s="1"/>
  <c r="P32" i="23"/>
  <c r="Q32" i="23" s="1"/>
  <c r="R32" i="23" s="1"/>
  <c r="P64" i="23"/>
  <c r="Q64" i="23" s="1"/>
  <c r="R64" i="23" s="1"/>
  <c r="P68" i="23"/>
  <c r="Q68" i="23" s="1"/>
  <c r="R68" i="23" s="1"/>
  <c r="P72" i="23"/>
  <c r="Q72" i="23" s="1"/>
  <c r="R72" i="23" s="1"/>
  <c r="P76" i="23"/>
  <c r="Q76" i="23" s="1"/>
  <c r="R76" i="23" s="1"/>
  <c r="N88" i="23"/>
  <c r="N103" i="23"/>
  <c r="P5" i="23"/>
  <c r="Q5" i="23" s="1"/>
  <c r="R5" i="23" s="1"/>
  <c r="P14" i="23"/>
  <c r="Q14" i="23" s="1"/>
  <c r="R14" i="23" s="1"/>
  <c r="P27" i="23"/>
  <c r="Q27" i="23" s="1"/>
  <c r="R27" i="23" s="1"/>
  <c r="P75" i="23"/>
  <c r="Q75" i="23" s="1"/>
  <c r="R75" i="23" s="1"/>
  <c r="P82" i="23"/>
  <c r="Q82" i="23" s="1"/>
  <c r="R82" i="23" s="1"/>
  <c r="N87" i="23"/>
  <c r="N92" i="23"/>
  <c r="N96" i="23"/>
  <c r="N100" i="23"/>
  <c r="N102" i="23"/>
  <c r="N107" i="23"/>
  <c r="P46" i="23"/>
  <c r="Q46" i="23" s="1"/>
  <c r="R46" i="23" s="1"/>
  <c r="P55" i="23"/>
  <c r="Q55" i="23" s="1"/>
  <c r="R55" i="23" s="1"/>
  <c r="N86" i="23"/>
  <c r="N95" i="23"/>
  <c r="N99" i="23"/>
  <c r="N101" i="23"/>
  <c r="W33" i="23"/>
  <c r="N94" i="23"/>
  <c r="N93" i="23"/>
  <c r="K53" i="22"/>
  <c r="K54" i="22"/>
  <c r="I56" i="22"/>
  <c r="I57" i="22"/>
  <c r="K62" i="22"/>
  <c r="K63" i="22"/>
  <c r="I65" i="22"/>
  <c r="I66" i="22"/>
  <c r="K86" i="22"/>
  <c r="K87" i="22"/>
  <c r="I89" i="22"/>
  <c r="I90" i="22"/>
  <c r="K92" i="22"/>
  <c r="K93" i="22"/>
  <c r="I95" i="22"/>
  <c r="I96" i="22"/>
  <c r="H53" i="22"/>
  <c r="H54" i="22"/>
  <c r="H55" i="22"/>
  <c r="J56" i="22"/>
  <c r="J57" i="22"/>
  <c r="J58" i="22"/>
  <c r="H62" i="22"/>
  <c r="H63" i="22"/>
  <c r="H64" i="22"/>
  <c r="J65" i="22"/>
  <c r="J66" i="22"/>
  <c r="J67" i="22"/>
  <c r="H86" i="22"/>
  <c r="H87" i="22"/>
  <c r="H88" i="22"/>
  <c r="J89" i="22"/>
  <c r="J90" i="22"/>
  <c r="J91" i="22"/>
  <c r="H92" i="22"/>
  <c r="H93" i="22"/>
  <c r="H94" i="22"/>
  <c r="J95" i="22"/>
  <c r="J96" i="22"/>
  <c r="J97" i="22"/>
  <c r="I53" i="22"/>
  <c r="I54" i="22"/>
  <c r="K56" i="22"/>
  <c r="K57" i="22"/>
  <c r="I62" i="22"/>
  <c r="I63" i="22"/>
  <c r="K65" i="22"/>
  <c r="K66" i="22"/>
  <c r="I86" i="22"/>
  <c r="I87" i="22"/>
  <c r="K89" i="22"/>
  <c r="K90" i="22"/>
  <c r="I92" i="22"/>
  <c r="I93" i="22"/>
  <c r="K95" i="22"/>
  <c r="K96" i="22"/>
  <c r="P161" i="22"/>
  <c r="P164" i="22"/>
  <c r="P170" i="22"/>
  <c r="P64" i="22"/>
  <c r="AD6" i="22"/>
  <c r="P117" i="22"/>
  <c r="P70" i="22"/>
  <c r="N166" i="21"/>
  <c r="Q71" i="21"/>
  <c r="P169" i="21"/>
  <c r="Q119" i="21"/>
  <c r="P120" i="21"/>
  <c r="P167" i="21"/>
  <c r="P117" i="21"/>
  <c r="P122" i="21"/>
  <c r="P66" i="21"/>
  <c r="P164" i="21"/>
  <c r="P172" i="21"/>
  <c r="N72" i="21"/>
  <c r="R72" i="21" s="1"/>
  <c r="P72" i="21"/>
  <c r="N123" i="21"/>
  <c r="R123" i="21" s="1"/>
  <c r="P161" i="21"/>
  <c r="P170" i="21"/>
  <c r="N192" i="21"/>
  <c r="R192" i="21" s="1"/>
  <c r="V192" i="21" s="1"/>
  <c r="P11" i="24"/>
  <c r="Q11" i="24" s="1"/>
  <c r="R11" i="24" s="1"/>
  <c r="P12" i="24"/>
  <c r="Q12" i="24" s="1"/>
  <c r="R12" i="24" s="1"/>
  <c r="P13" i="24"/>
  <c r="Q13" i="24" s="1"/>
  <c r="R13" i="24" s="1"/>
  <c r="P26" i="24"/>
  <c r="Q26" i="24" s="1"/>
  <c r="R26" i="24" s="1"/>
  <c r="P52" i="24"/>
  <c r="Q52" i="24" s="1"/>
  <c r="R52" i="24" s="1"/>
  <c r="P75" i="24"/>
  <c r="Q75" i="24" s="1"/>
  <c r="R75" i="24" s="1"/>
  <c r="P43" i="24"/>
  <c r="Q43" i="24" s="1"/>
  <c r="R43" i="24" s="1"/>
  <c r="P11" i="23"/>
  <c r="Q11" i="23" s="1"/>
  <c r="R11" i="23" s="1"/>
  <c r="P16" i="23"/>
  <c r="Q16" i="23" s="1"/>
  <c r="R16" i="23" s="1"/>
  <c r="T25" i="23"/>
  <c r="U25" i="23" s="1"/>
  <c r="Y10" i="23" s="1"/>
  <c r="S25" i="23"/>
  <c r="X10" i="23" s="1"/>
  <c r="P6" i="23"/>
  <c r="Q6" i="23" s="1"/>
  <c r="R6" i="23" s="1"/>
  <c r="P19" i="23"/>
  <c r="Q19" i="23" s="1"/>
  <c r="R19" i="23" s="1"/>
  <c r="P15" i="23"/>
  <c r="Q15" i="23" s="1"/>
  <c r="R15" i="23" s="1"/>
  <c r="P17" i="23"/>
  <c r="Q17" i="23" s="1"/>
  <c r="R17" i="23" s="1"/>
  <c r="P22" i="23"/>
  <c r="Q22" i="23" s="1"/>
  <c r="R22" i="23" s="1"/>
  <c r="P42" i="23"/>
  <c r="Q42" i="23" s="1"/>
  <c r="R42" i="23" s="1"/>
  <c r="P67" i="23"/>
  <c r="Q67" i="23" s="1"/>
  <c r="R67" i="23" s="1"/>
  <c r="P40" i="23"/>
  <c r="Q40" i="23" s="1"/>
  <c r="R40" i="23" s="1"/>
  <c r="P52" i="23"/>
  <c r="Q52" i="23" s="1"/>
  <c r="R52" i="23" s="1"/>
  <c r="P65" i="23"/>
  <c r="Q65" i="23" s="1"/>
  <c r="R65" i="23" s="1"/>
  <c r="AD8" i="22"/>
  <c r="AD7" i="22"/>
  <c r="P63" i="22"/>
  <c r="P65" i="22"/>
  <c r="P67" i="22"/>
  <c r="P68" i="22"/>
  <c r="P71" i="22"/>
  <c r="AD106" i="22"/>
  <c r="AD105" i="22"/>
  <c r="P113" i="22"/>
  <c r="P115" i="22"/>
  <c r="P121" i="22"/>
  <c r="P124" i="22"/>
  <c r="P116" i="22"/>
  <c r="P118" i="22"/>
  <c r="P119" i="22"/>
  <c r="AD53" i="21"/>
  <c r="P67" i="21"/>
  <c r="P63" i="21"/>
  <c r="P65" i="21"/>
  <c r="Q68" i="21"/>
  <c r="P68" i="21"/>
  <c r="P70" i="21"/>
  <c r="P73" i="21"/>
  <c r="P64" i="21"/>
  <c r="P116" i="21"/>
  <c r="P115" i="21"/>
  <c r="P113" i="21"/>
  <c r="P123" i="21"/>
  <c r="P121" i="21"/>
  <c r="P124" i="21"/>
  <c r="K88" i="20"/>
  <c r="J86" i="20"/>
  <c r="I88" i="19"/>
  <c r="N88" i="19" s="1"/>
  <c r="I79" i="20"/>
  <c r="J79" i="20"/>
  <c r="O79" i="20" s="1"/>
  <c r="K79" i="20"/>
  <c r="P79" i="20" s="1"/>
  <c r="I80" i="20"/>
  <c r="J80" i="20"/>
  <c r="K80" i="20"/>
  <c r="I81" i="20"/>
  <c r="J81" i="20"/>
  <c r="O81" i="20" s="1"/>
  <c r="K81" i="20"/>
  <c r="I82" i="20"/>
  <c r="N82" i="20" s="1"/>
  <c r="J82" i="20"/>
  <c r="K82" i="20"/>
  <c r="P82" i="20" s="1"/>
  <c r="I83" i="20"/>
  <c r="J83" i="20"/>
  <c r="O83" i="20" s="1"/>
  <c r="K83" i="20"/>
  <c r="P83" i="20" s="1"/>
  <c r="I84" i="20"/>
  <c r="N84" i="20" s="1"/>
  <c r="J84" i="20"/>
  <c r="K84" i="20"/>
  <c r="I85" i="20"/>
  <c r="N85" i="20" s="1"/>
  <c r="J85" i="20"/>
  <c r="O85" i="20" s="1"/>
  <c r="K85" i="20"/>
  <c r="I86" i="20"/>
  <c r="N86" i="20" s="1"/>
  <c r="K86" i="20"/>
  <c r="P86" i="20" s="1"/>
  <c r="I87" i="20"/>
  <c r="J87" i="20"/>
  <c r="K87" i="20"/>
  <c r="I88" i="20"/>
  <c r="N88" i="20" s="1"/>
  <c r="I89" i="20"/>
  <c r="J78" i="20"/>
  <c r="K78" i="20"/>
  <c r="P78" i="20" s="1"/>
  <c r="I78" i="20"/>
  <c r="M78" i="20" s="1"/>
  <c r="I6" i="20"/>
  <c r="X6" i="20" s="1"/>
  <c r="J6" i="20"/>
  <c r="K6" i="20"/>
  <c r="I7" i="20"/>
  <c r="J7" i="20"/>
  <c r="O7" i="20" s="1"/>
  <c r="K7" i="20"/>
  <c r="I8" i="20"/>
  <c r="J8" i="20"/>
  <c r="O8" i="20" s="1"/>
  <c r="K8" i="20"/>
  <c r="P8" i="20" s="1"/>
  <c r="I9" i="20"/>
  <c r="J9" i="20"/>
  <c r="K9" i="20"/>
  <c r="I10" i="20"/>
  <c r="N10" i="20" s="1"/>
  <c r="J10" i="20"/>
  <c r="K10" i="20"/>
  <c r="I11" i="20"/>
  <c r="J11" i="20"/>
  <c r="K11" i="20"/>
  <c r="I12" i="20"/>
  <c r="J12" i="20"/>
  <c r="O12" i="20" s="1"/>
  <c r="K12" i="20"/>
  <c r="P12" i="20" s="1"/>
  <c r="I13" i="20"/>
  <c r="J13" i="20"/>
  <c r="K13" i="20"/>
  <c r="P13" i="20" s="1"/>
  <c r="I14" i="20"/>
  <c r="N14" i="20" s="1"/>
  <c r="J14" i="20"/>
  <c r="K14" i="20"/>
  <c r="I15" i="20"/>
  <c r="J15" i="20"/>
  <c r="K15" i="20"/>
  <c r="I16" i="20"/>
  <c r="J16" i="20"/>
  <c r="O16" i="20" s="1"/>
  <c r="K16" i="20"/>
  <c r="I17" i="20"/>
  <c r="J17" i="20"/>
  <c r="K17" i="20"/>
  <c r="I18" i="20"/>
  <c r="J18" i="20"/>
  <c r="K18" i="20"/>
  <c r="I19" i="20"/>
  <c r="J19" i="20"/>
  <c r="K19" i="20"/>
  <c r="I20" i="20"/>
  <c r="J20" i="20"/>
  <c r="K20" i="20"/>
  <c r="P20" i="20" s="1"/>
  <c r="I21" i="20"/>
  <c r="J21" i="20"/>
  <c r="K21" i="20"/>
  <c r="I22" i="20"/>
  <c r="N22" i="20" s="1"/>
  <c r="J22" i="20"/>
  <c r="K22" i="20"/>
  <c r="P22" i="20" s="1"/>
  <c r="I23" i="20"/>
  <c r="J23" i="20"/>
  <c r="O23" i="20" s="1"/>
  <c r="K23" i="20"/>
  <c r="I24" i="20"/>
  <c r="J24" i="20"/>
  <c r="K24" i="20"/>
  <c r="P24" i="20" s="1"/>
  <c r="I25" i="20"/>
  <c r="J25" i="20"/>
  <c r="K25" i="20"/>
  <c r="J5" i="20"/>
  <c r="O5" i="20" s="1"/>
  <c r="K5" i="20"/>
  <c r="P5" i="20" s="1"/>
  <c r="I5" i="20"/>
  <c r="I55" i="20"/>
  <c r="J55" i="20"/>
  <c r="K55" i="20"/>
  <c r="I56" i="20"/>
  <c r="J56" i="20"/>
  <c r="O56" i="20" s="1"/>
  <c r="K56" i="20"/>
  <c r="I57" i="20"/>
  <c r="J57" i="20"/>
  <c r="O57" i="20" s="1"/>
  <c r="K57" i="20"/>
  <c r="P57" i="20" s="1"/>
  <c r="I58" i="20"/>
  <c r="J58" i="20"/>
  <c r="K58" i="20"/>
  <c r="P58" i="20" s="1"/>
  <c r="I59" i="20"/>
  <c r="J59" i="20"/>
  <c r="K59" i="20"/>
  <c r="I60" i="20"/>
  <c r="J60" i="20"/>
  <c r="O60" i="20" s="1"/>
  <c r="K60" i="20"/>
  <c r="I61" i="20"/>
  <c r="J61" i="20"/>
  <c r="K61" i="20"/>
  <c r="P61" i="20" s="1"/>
  <c r="I62" i="20"/>
  <c r="J62" i="20"/>
  <c r="K62" i="20"/>
  <c r="I63" i="20"/>
  <c r="J63" i="20"/>
  <c r="K63" i="20"/>
  <c r="I64" i="20"/>
  <c r="N64" i="20" s="1"/>
  <c r="J64" i="20"/>
  <c r="K64" i="20"/>
  <c r="I65" i="20"/>
  <c r="J65" i="20"/>
  <c r="O65" i="20" s="1"/>
  <c r="K65" i="20"/>
  <c r="I66" i="20"/>
  <c r="J66" i="20"/>
  <c r="K66" i="20"/>
  <c r="I67" i="20"/>
  <c r="N67" i="20" s="1"/>
  <c r="J67" i="20"/>
  <c r="K67" i="20"/>
  <c r="I68" i="20"/>
  <c r="J68" i="20"/>
  <c r="K68" i="20"/>
  <c r="I69" i="20"/>
  <c r="J69" i="20"/>
  <c r="O69" i="20" s="1"/>
  <c r="K69" i="20"/>
  <c r="P69" i="20" s="1"/>
  <c r="I70" i="20"/>
  <c r="J70" i="20"/>
  <c r="K70" i="20"/>
  <c r="I71" i="20"/>
  <c r="J71" i="20"/>
  <c r="K71" i="20"/>
  <c r="I72" i="20"/>
  <c r="N72" i="20" s="1"/>
  <c r="J72" i="20"/>
  <c r="K72" i="20"/>
  <c r="I73" i="20"/>
  <c r="J73" i="20"/>
  <c r="O73" i="20" s="1"/>
  <c r="K73" i="20"/>
  <c r="P73" i="20" s="1"/>
  <c r="I74" i="20"/>
  <c r="J74" i="20"/>
  <c r="K74" i="20"/>
  <c r="J54" i="20"/>
  <c r="O54" i="20" s="1"/>
  <c r="K54" i="20"/>
  <c r="I54" i="20"/>
  <c r="I30" i="20"/>
  <c r="X30" i="20" s="1"/>
  <c r="J30" i="20"/>
  <c r="O30" i="20" s="1"/>
  <c r="K30" i="20"/>
  <c r="P30" i="20" s="1"/>
  <c r="I31" i="20"/>
  <c r="J31" i="20"/>
  <c r="K31" i="20"/>
  <c r="I32" i="20"/>
  <c r="N32" i="20" s="1"/>
  <c r="J32" i="20"/>
  <c r="K32" i="20"/>
  <c r="P32" i="20" s="1"/>
  <c r="I33" i="20"/>
  <c r="J33" i="20"/>
  <c r="K33" i="20"/>
  <c r="P33" i="20" s="1"/>
  <c r="I34" i="20"/>
  <c r="N34" i="20" s="1"/>
  <c r="J34" i="20"/>
  <c r="O34" i="20" s="1"/>
  <c r="K34" i="20"/>
  <c r="I35" i="20"/>
  <c r="N35" i="20" s="1"/>
  <c r="J35" i="20"/>
  <c r="K35" i="20"/>
  <c r="I36" i="20"/>
  <c r="N36" i="20" s="1"/>
  <c r="J36" i="20"/>
  <c r="K36" i="20"/>
  <c r="P36" i="20" s="1"/>
  <c r="I37" i="20"/>
  <c r="J37" i="20"/>
  <c r="K37" i="20"/>
  <c r="P37" i="20" s="1"/>
  <c r="I38" i="20"/>
  <c r="N38" i="20" s="1"/>
  <c r="J38" i="20"/>
  <c r="K38" i="20"/>
  <c r="P38" i="20" s="1"/>
  <c r="I39" i="20"/>
  <c r="J39" i="20"/>
  <c r="O39" i="20" s="1"/>
  <c r="K39" i="20"/>
  <c r="P39" i="20" s="1"/>
  <c r="I40" i="20"/>
  <c r="J40" i="20"/>
  <c r="O40" i="20" s="1"/>
  <c r="K40" i="20"/>
  <c r="P40" i="20" s="1"/>
  <c r="I41" i="20"/>
  <c r="J41" i="20"/>
  <c r="O41" i="20" s="1"/>
  <c r="K41" i="20"/>
  <c r="I42" i="20"/>
  <c r="J42" i="20"/>
  <c r="K42" i="20"/>
  <c r="P42" i="20" s="1"/>
  <c r="I43" i="20"/>
  <c r="N43" i="20" s="1"/>
  <c r="J43" i="20"/>
  <c r="K43" i="20"/>
  <c r="I44" i="20"/>
  <c r="N44" i="20" s="1"/>
  <c r="J44" i="20"/>
  <c r="K44" i="20"/>
  <c r="I45" i="20"/>
  <c r="J45" i="20"/>
  <c r="O45" i="20" s="1"/>
  <c r="K45" i="20"/>
  <c r="I46" i="20"/>
  <c r="J46" i="20"/>
  <c r="K46" i="20"/>
  <c r="I47" i="20"/>
  <c r="N47" i="20" s="1"/>
  <c r="J47" i="20"/>
  <c r="K47" i="20"/>
  <c r="I48" i="20"/>
  <c r="N48" i="20" s="1"/>
  <c r="J48" i="20"/>
  <c r="O48" i="20" s="1"/>
  <c r="K48" i="20"/>
  <c r="I49" i="20"/>
  <c r="J49" i="20"/>
  <c r="O49" i="20" s="1"/>
  <c r="K49" i="20"/>
  <c r="I50" i="20"/>
  <c r="N50" i="20" s="1"/>
  <c r="J50" i="20"/>
  <c r="O50" i="20" s="1"/>
  <c r="K50" i="20"/>
  <c r="J29" i="20"/>
  <c r="K29" i="20"/>
  <c r="P29" i="20" s="1"/>
  <c r="I29" i="20"/>
  <c r="N29" i="20" s="1"/>
  <c r="N70" i="20"/>
  <c r="I73" i="19"/>
  <c r="N73" i="19" s="1"/>
  <c r="I72" i="19"/>
  <c r="N72" i="19" s="1"/>
  <c r="I69" i="19"/>
  <c r="N69" i="19" s="1"/>
  <c r="I68" i="19"/>
  <c r="N68" i="19" s="1"/>
  <c r="J41" i="19"/>
  <c r="O41" i="19" s="1"/>
  <c r="K41" i="19"/>
  <c r="P41" i="19" s="1"/>
  <c r="J42" i="19"/>
  <c r="O42" i="19" s="1"/>
  <c r="K42" i="19"/>
  <c r="K43" i="19"/>
  <c r="P43" i="19" s="1"/>
  <c r="K44" i="19"/>
  <c r="P44" i="19" s="1"/>
  <c r="J45" i="19"/>
  <c r="O45" i="19" s="1"/>
  <c r="K45" i="19"/>
  <c r="P45" i="19" s="1"/>
  <c r="K46" i="19"/>
  <c r="P46" i="19" s="1"/>
  <c r="K47" i="19"/>
  <c r="J48" i="19"/>
  <c r="O48" i="19" s="1"/>
  <c r="K48" i="19"/>
  <c r="J49" i="19"/>
  <c r="O49" i="19" s="1"/>
  <c r="K40" i="19"/>
  <c r="I44" i="19"/>
  <c r="J46" i="19"/>
  <c r="I48" i="19"/>
  <c r="K49" i="19"/>
  <c r="P49" i="19" s="1"/>
  <c r="I42" i="19"/>
  <c r="I45" i="19"/>
  <c r="I46" i="19"/>
  <c r="I47" i="19"/>
  <c r="N47" i="19" s="1"/>
  <c r="I49" i="19"/>
  <c r="N49" i="19" s="1"/>
  <c r="J47" i="19"/>
  <c r="O47" i="19" s="1"/>
  <c r="J43" i="19"/>
  <c r="O43" i="19" s="1"/>
  <c r="J17" i="19"/>
  <c r="O17" i="19" s="1"/>
  <c r="J18" i="19"/>
  <c r="J19" i="19"/>
  <c r="O19" i="19" s="1"/>
  <c r="K19" i="19"/>
  <c r="J20" i="19"/>
  <c r="O20" i="19" s="1"/>
  <c r="I21" i="19"/>
  <c r="J21" i="19"/>
  <c r="O21" i="19" s="1"/>
  <c r="J22" i="19"/>
  <c r="J23" i="19"/>
  <c r="O23" i="19" s="1"/>
  <c r="K23" i="19"/>
  <c r="J24" i="19"/>
  <c r="O24" i="19" s="1"/>
  <c r="J25" i="19"/>
  <c r="O25" i="19" s="1"/>
  <c r="K97" i="20"/>
  <c r="J97" i="20"/>
  <c r="I97" i="20"/>
  <c r="K96" i="20"/>
  <c r="J96" i="20"/>
  <c r="I96" i="20"/>
  <c r="K95" i="20"/>
  <c r="J95" i="20"/>
  <c r="I95" i="20"/>
  <c r="K94" i="20"/>
  <c r="J94" i="20"/>
  <c r="I94" i="20"/>
  <c r="K93" i="20"/>
  <c r="J93" i="20"/>
  <c r="I93" i="20"/>
  <c r="K92" i="20"/>
  <c r="J92" i="20"/>
  <c r="I92" i="20"/>
  <c r="K91" i="20"/>
  <c r="J91" i="20"/>
  <c r="I91" i="20"/>
  <c r="K90" i="20"/>
  <c r="J90" i="20"/>
  <c r="I90" i="20"/>
  <c r="N89" i="20"/>
  <c r="K89" i="20"/>
  <c r="J89" i="20"/>
  <c r="J88" i="20"/>
  <c r="O88" i="20" s="1"/>
  <c r="P87" i="20"/>
  <c r="P85" i="20"/>
  <c r="P84" i="20"/>
  <c r="P71" i="20"/>
  <c r="O71" i="20"/>
  <c r="O67" i="20"/>
  <c r="O66" i="20"/>
  <c r="N65" i="20"/>
  <c r="P63" i="20"/>
  <c r="N63" i="20"/>
  <c r="O62" i="20"/>
  <c r="N61" i="20"/>
  <c r="P60" i="20"/>
  <c r="P59" i="20"/>
  <c r="O59" i="20"/>
  <c r="N59" i="20"/>
  <c r="O58" i="20"/>
  <c r="N58" i="20"/>
  <c r="N57" i="20"/>
  <c r="P56" i="20"/>
  <c r="P55" i="20"/>
  <c r="N55" i="20"/>
  <c r="P54" i="20"/>
  <c r="N46" i="20"/>
  <c r="N42" i="20"/>
  <c r="O35" i="20"/>
  <c r="P34" i="20"/>
  <c r="O33" i="20"/>
  <c r="Y31" i="20"/>
  <c r="N31" i="20"/>
  <c r="O29" i="20"/>
  <c r="P23" i="20"/>
  <c r="O19" i="20"/>
  <c r="P19" i="20"/>
  <c r="P18" i="20"/>
  <c r="P17" i="20"/>
  <c r="P16" i="20"/>
  <c r="P15" i="20"/>
  <c r="O14" i="20"/>
  <c r="O13" i="20"/>
  <c r="N13" i="20"/>
  <c r="P11" i="20"/>
  <c r="O11" i="20"/>
  <c r="P10" i="20"/>
  <c r="O9" i="20"/>
  <c r="N9" i="20"/>
  <c r="N8" i="20"/>
  <c r="P7" i="20"/>
  <c r="P6" i="20"/>
  <c r="N6" i="20"/>
  <c r="K97" i="19"/>
  <c r="J97" i="19"/>
  <c r="I97" i="19"/>
  <c r="K96" i="19"/>
  <c r="J96" i="19"/>
  <c r="I96" i="19"/>
  <c r="K95" i="19"/>
  <c r="J95" i="19"/>
  <c r="I95" i="19"/>
  <c r="K94" i="19"/>
  <c r="J94" i="19"/>
  <c r="I94" i="19"/>
  <c r="K93" i="19"/>
  <c r="J93" i="19"/>
  <c r="I93" i="19"/>
  <c r="K92" i="19"/>
  <c r="J92" i="19"/>
  <c r="I92" i="19"/>
  <c r="K91" i="19"/>
  <c r="J91" i="19"/>
  <c r="I91" i="19"/>
  <c r="K90" i="19"/>
  <c r="J90" i="19"/>
  <c r="I90" i="19"/>
  <c r="I89" i="19"/>
  <c r="N89" i="19" s="1"/>
  <c r="K89" i="19"/>
  <c r="J89" i="19"/>
  <c r="K88" i="19"/>
  <c r="J88" i="19"/>
  <c r="K87" i="19"/>
  <c r="P87" i="19" s="1"/>
  <c r="J87" i="19"/>
  <c r="O87" i="19" s="1"/>
  <c r="I87" i="19"/>
  <c r="K86" i="19"/>
  <c r="P86" i="19" s="1"/>
  <c r="J86" i="19"/>
  <c r="I86" i="19"/>
  <c r="K85" i="19"/>
  <c r="J85" i="19"/>
  <c r="O85" i="19" s="1"/>
  <c r="I85" i="19"/>
  <c r="N85" i="19" s="1"/>
  <c r="K84" i="19"/>
  <c r="J84" i="19"/>
  <c r="O84" i="19" s="1"/>
  <c r="I84" i="19"/>
  <c r="N84" i="19" s="1"/>
  <c r="K83" i="19"/>
  <c r="J83" i="19"/>
  <c r="O83" i="19" s="1"/>
  <c r="I83" i="19"/>
  <c r="N83" i="19" s="1"/>
  <c r="K82" i="19"/>
  <c r="P82" i="19" s="1"/>
  <c r="J82" i="19"/>
  <c r="O82" i="19" s="1"/>
  <c r="I82" i="19"/>
  <c r="K81" i="19"/>
  <c r="P81" i="19" s="1"/>
  <c r="J81" i="19"/>
  <c r="I81" i="19"/>
  <c r="K80" i="19"/>
  <c r="J80" i="19"/>
  <c r="O80" i="19" s="1"/>
  <c r="I80" i="19"/>
  <c r="N80" i="19" s="1"/>
  <c r="K79" i="19"/>
  <c r="P79" i="19" s="1"/>
  <c r="J79" i="19"/>
  <c r="O79" i="19" s="1"/>
  <c r="I79" i="19"/>
  <c r="N79" i="19" s="1"/>
  <c r="K78" i="19"/>
  <c r="J78" i="19"/>
  <c r="O78" i="19" s="1"/>
  <c r="I78" i="19"/>
  <c r="N78" i="19" s="1"/>
  <c r="K74" i="19"/>
  <c r="J74" i="19"/>
  <c r="O74" i="19" s="1"/>
  <c r="I74" i="19"/>
  <c r="K73" i="19"/>
  <c r="J73" i="19"/>
  <c r="K72" i="19"/>
  <c r="J72" i="19"/>
  <c r="K71" i="19"/>
  <c r="J71" i="19"/>
  <c r="I71" i="19"/>
  <c r="N71" i="19" s="1"/>
  <c r="K70" i="19"/>
  <c r="J70" i="19"/>
  <c r="I70" i="19"/>
  <c r="N70" i="19" s="1"/>
  <c r="K69" i="19"/>
  <c r="J69" i="19"/>
  <c r="K68" i="19"/>
  <c r="J68" i="19"/>
  <c r="K67" i="19"/>
  <c r="J67" i="19"/>
  <c r="I67" i="19"/>
  <c r="N67" i="19" s="1"/>
  <c r="K66" i="19"/>
  <c r="J66" i="19"/>
  <c r="I66" i="19"/>
  <c r="N66" i="19" s="1"/>
  <c r="I65" i="19"/>
  <c r="N65" i="19" s="1"/>
  <c r="K65" i="19"/>
  <c r="J65" i="19"/>
  <c r="I64" i="19"/>
  <c r="N64" i="19" s="1"/>
  <c r="K64" i="19"/>
  <c r="P64" i="19" s="1"/>
  <c r="J64" i="19"/>
  <c r="K63" i="19"/>
  <c r="J63" i="19"/>
  <c r="O63" i="19" s="1"/>
  <c r="I63" i="19"/>
  <c r="N63" i="19" s="1"/>
  <c r="K62" i="19"/>
  <c r="P62" i="19" s="1"/>
  <c r="J62" i="19"/>
  <c r="O62" i="19" s="1"/>
  <c r="I62" i="19"/>
  <c r="K61" i="19"/>
  <c r="P61" i="19" s="1"/>
  <c r="J61" i="19"/>
  <c r="O61" i="19" s="1"/>
  <c r="I61" i="19"/>
  <c r="N61" i="19" s="1"/>
  <c r="K60" i="19"/>
  <c r="J60" i="19"/>
  <c r="I60" i="19"/>
  <c r="K59" i="19"/>
  <c r="P59" i="19" s="1"/>
  <c r="J59" i="19"/>
  <c r="O59" i="19" s="1"/>
  <c r="I59" i="19"/>
  <c r="N59" i="19" s="1"/>
  <c r="K58" i="19"/>
  <c r="P58" i="19" s="1"/>
  <c r="J58" i="19"/>
  <c r="I58" i="19"/>
  <c r="K57" i="19"/>
  <c r="P57" i="19" s="1"/>
  <c r="J57" i="19"/>
  <c r="O57" i="19" s="1"/>
  <c r="I57" i="19"/>
  <c r="K56" i="19"/>
  <c r="P56" i="19" s="1"/>
  <c r="J56" i="19"/>
  <c r="I56" i="19"/>
  <c r="N56" i="19" s="1"/>
  <c r="K55" i="19"/>
  <c r="J55" i="19"/>
  <c r="O55" i="19" s="1"/>
  <c r="I55" i="19"/>
  <c r="K54" i="19"/>
  <c r="P54" i="19" s="1"/>
  <c r="J54" i="19"/>
  <c r="I54" i="19"/>
  <c r="N54" i="19" s="1"/>
  <c r="K50" i="19"/>
  <c r="I50" i="19"/>
  <c r="J50" i="19"/>
  <c r="J44" i="19"/>
  <c r="O44" i="19" s="1"/>
  <c r="I43" i="19"/>
  <c r="I41" i="19"/>
  <c r="J40" i="19"/>
  <c r="O40" i="19" s="1"/>
  <c r="I40" i="19"/>
  <c r="N40" i="19" s="1"/>
  <c r="K39" i="19"/>
  <c r="P39" i="19" s="1"/>
  <c r="J39" i="19"/>
  <c r="I39" i="19"/>
  <c r="K38" i="19"/>
  <c r="J38" i="19"/>
  <c r="O38" i="19" s="1"/>
  <c r="I38" i="19"/>
  <c r="K37" i="19"/>
  <c r="P37" i="19" s="1"/>
  <c r="J37" i="19"/>
  <c r="I37" i="19"/>
  <c r="N37" i="19" s="1"/>
  <c r="K36" i="19"/>
  <c r="P36" i="19" s="1"/>
  <c r="J36" i="19"/>
  <c r="O36" i="19" s="1"/>
  <c r="I36" i="19"/>
  <c r="K35" i="19"/>
  <c r="P35" i="19" s="1"/>
  <c r="J35" i="19"/>
  <c r="O35" i="19" s="1"/>
  <c r="I35" i="19"/>
  <c r="N35" i="19" s="1"/>
  <c r="K34" i="19"/>
  <c r="P34" i="19" s="1"/>
  <c r="J34" i="19"/>
  <c r="O34" i="19" s="1"/>
  <c r="I34" i="19"/>
  <c r="N34" i="19" s="1"/>
  <c r="K33" i="19"/>
  <c r="P33" i="19" s="1"/>
  <c r="J33" i="19"/>
  <c r="O33" i="19" s="1"/>
  <c r="I33" i="19"/>
  <c r="N33" i="19" s="1"/>
  <c r="K32" i="19"/>
  <c r="P32" i="19" s="1"/>
  <c r="J32" i="19"/>
  <c r="O32" i="19" s="1"/>
  <c r="I32" i="19"/>
  <c r="K31" i="19"/>
  <c r="P31" i="19" s="1"/>
  <c r="J31" i="19"/>
  <c r="I31" i="19"/>
  <c r="K30" i="19"/>
  <c r="Z30" i="19" s="1"/>
  <c r="J30" i="19"/>
  <c r="O30" i="19" s="1"/>
  <c r="I30" i="19"/>
  <c r="X30" i="19" s="1"/>
  <c r="K29" i="19"/>
  <c r="P29" i="19" s="1"/>
  <c r="J29" i="19"/>
  <c r="O29" i="19" s="1"/>
  <c r="I29" i="19"/>
  <c r="N29" i="19" s="1"/>
  <c r="I25" i="19"/>
  <c r="N25" i="19" s="1"/>
  <c r="K25" i="19"/>
  <c r="P25" i="19" s="1"/>
  <c r="I24" i="19"/>
  <c r="K24" i="19"/>
  <c r="I23" i="19"/>
  <c r="N23" i="19" s="1"/>
  <c r="K22" i="19"/>
  <c r="P22" i="19" s="1"/>
  <c r="I22" i="19"/>
  <c r="K21" i="19"/>
  <c r="P21" i="19" s="1"/>
  <c r="I20" i="19"/>
  <c r="K20" i="19"/>
  <c r="P20" i="19" s="1"/>
  <c r="I19" i="19"/>
  <c r="K18" i="19"/>
  <c r="P18" i="19" s="1"/>
  <c r="I18" i="19"/>
  <c r="N18" i="19" s="1"/>
  <c r="I17" i="19"/>
  <c r="N17" i="19" s="1"/>
  <c r="K17" i="19"/>
  <c r="K16" i="19"/>
  <c r="P16" i="19" s="1"/>
  <c r="J16" i="19"/>
  <c r="O16" i="19" s="1"/>
  <c r="I16" i="19"/>
  <c r="N16" i="19" s="1"/>
  <c r="K15" i="19"/>
  <c r="P15" i="19" s="1"/>
  <c r="J15" i="19"/>
  <c r="O15" i="19" s="1"/>
  <c r="I15" i="19"/>
  <c r="K14" i="19"/>
  <c r="P14" i="19" s="1"/>
  <c r="J14" i="19"/>
  <c r="I14" i="19"/>
  <c r="N14" i="19" s="1"/>
  <c r="K13" i="19"/>
  <c r="J13" i="19"/>
  <c r="O13" i="19" s="1"/>
  <c r="I13" i="19"/>
  <c r="N13" i="19" s="1"/>
  <c r="K12" i="19"/>
  <c r="P12" i="19" s="1"/>
  <c r="J12" i="19"/>
  <c r="O12" i="19" s="1"/>
  <c r="I12" i="19"/>
  <c r="N12" i="19" s="1"/>
  <c r="K11" i="19"/>
  <c r="P11" i="19" s="1"/>
  <c r="J11" i="19"/>
  <c r="O11" i="19" s="1"/>
  <c r="I11" i="19"/>
  <c r="K10" i="19"/>
  <c r="P10" i="19" s="1"/>
  <c r="J10" i="19"/>
  <c r="I10" i="19"/>
  <c r="K9" i="19"/>
  <c r="J9" i="19"/>
  <c r="O9" i="19" s="1"/>
  <c r="I9" i="19"/>
  <c r="N9" i="19" s="1"/>
  <c r="K8" i="19"/>
  <c r="P8" i="19" s="1"/>
  <c r="J8" i="19"/>
  <c r="O8" i="19" s="1"/>
  <c r="I8" i="19"/>
  <c r="K7" i="19"/>
  <c r="P7" i="19" s="1"/>
  <c r="J7" i="19"/>
  <c r="O7" i="19" s="1"/>
  <c r="I7" i="19"/>
  <c r="K6" i="19"/>
  <c r="P6" i="19" s="1"/>
  <c r="J6" i="19"/>
  <c r="Y6" i="19" s="1"/>
  <c r="I6" i="19"/>
  <c r="K5" i="19"/>
  <c r="P5" i="19" s="1"/>
  <c r="J5" i="19"/>
  <c r="O5" i="19" s="1"/>
  <c r="I5" i="19"/>
  <c r="O106" i="24" l="1"/>
  <c r="P106" i="24" s="1"/>
  <c r="Q106" i="24" s="1"/>
  <c r="R106" i="24" s="1"/>
  <c r="O108" i="24"/>
  <c r="P108" i="24" s="1"/>
  <c r="Q108" i="24" s="1"/>
  <c r="R108" i="24" s="1"/>
  <c r="P89" i="24"/>
  <c r="Q89" i="24" s="1"/>
  <c r="R89" i="24" s="1"/>
  <c r="O89" i="24"/>
  <c r="O101" i="24"/>
  <c r="P101" i="24" s="1"/>
  <c r="Q101" i="24" s="1"/>
  <c r="R101" i="24" s="1"/>
  <c r="P92" i="24"/>
  <c r="Q92" i="24" s="1"/>
  <c r="R92" i="24" s="1"/>
  <c r="O92" i="24"/>
  <c r="O107" i="24"/>
  <c r="P107" i="24" s="1"/>
  <c r="Q107" i="24" s="1"/>
  <c r="R107" i="24" s="1"/>
  <c r="O98" i="24"/>
  <c r="P98" i="24" s="1"/>
  <c r="Q98" i="24" s="1"/>
  <c r="R98" i="24" s="1"/>
  <c r="O95" i="24"/>
  <c r="P95" i="24" s="1"/>
  <c r="Q95" i="24" s="1"/>
  <c r="R95" i="24" s="1"/>
  <c r="O90" i="24"/>
  <c r="P90" i="24" s="1"/>
  <c r="Q90" i="24" s="1"/>
  <c r="R90" i="24" s="1"/>
  <c r="O109" i="24"/>
  <c r="P109" i="24" s="1"/>
  <c r="Q109" i="24" s="1"/>
  <c r="R109" i="24" s="1"/>
  <c r="P94" i="24"/>
  <c r="Q94" i="24" s="1"/>
  <c r="R94" i="24" s="1"/>
  <c r="O94" i="24"/>
  <c r="O102" i="24"/>
  <c r="P102" i="24" s="1"/>
  <c r="Q102" i="24" s="1"/>
  <c r="R102" i="24" s="1"/>
  <c r="O104" i="24"/>
  <c r="P104" i="24" s="1"/>
  <c r="Q104" i="24" s="1"/>
  <c r="R104" i="24" s="1"/>
  <c r="O97" i="24"/>
  <c r="P97" i="24" s="1"/>
  <c r="Q97" i="24" s="1"/>
  <c r="R97" i="24" s="1"/>
  <c r="P93" i="24"/>
  <c r="Q93" i="24" s="1"/>
  <c r="R93" i="24" s="1"/>
  <c r="O93" i="24"/>
  <c r="O91" i="24"/>
  <c r="P91" i="24" s="1"/>
  <c r="Q91" i="24" s="1"/>
  <c r="R91" i="24" s="1"/>
  <c r="P86" i="24"/>
  <c r="Q86" i="24" s="1"/>
  <c r="R86" i="24" s="1"/>
  <c r="O86" i="24"/>
  <c r="O96" i="24"/>
  <c r="P96" i="24" s="1"/>
  <c r="Q96" i="24" s="1"/>
  <c r="R96" i="24" s="1"/>
  <c r="O99" i="24"/>
  <c r="P99" i="24" s="1"/>
  <c r="Q99" i="24" s="1"/>
  <c r="R99" i="24" s="1"/>
  <c r="O103" i="24"/>
  <c r="P103" i="24" s="1"/>
  <c r="Q103" i="24" s="1"/>
  <c r="R103" i="24" s="1"/>
  <c r="O88" i="24"/>
  <c r="P88" i="24" s="1"/>
  <c r="Q88" i="24" s="1"/>
  <c r="R88" i="24" s="1"/>
  <c r="O105" i="24"/>
  <c r="P105" i="24" s="1"/>
  <c r="Q105" i="24" s="1"/>
  <c r="R105" i="24" s="1"/>
  <c r="O100" i="24"/>
  <c r="P100" i="24" s="1"/>
  <c r="Q100" i="24" s="1"/>
  <c r="R100" i="24" s="1"/>
  <c r="O87" i="24"/>
  <c r="P87" i="24" s="1"/>
  <c r="Q87" i="24" s="1"/>
  <c r="R87" i="24" s="1"/>
  <c r="T25" i="24"/>
  <c r="U25" i="24" s="1"/>
  <c r="Y10" i="24" s="1"/>
  <c r="S25" i="24"/>
  <c r="X10" i="24" s="1"/>
  <c r="S28" i="24"/>
  <c r="T28" i="24"/>
  <c r="U28" i="24" s="1"/>
  <c r="T40" i="24"/>
  <c r="S40" i="24"/>
  <c r="T19" i="24"/>
  <c r="U19" i="24" s="1"/>
  <c r="Y8" i="24" s="1"/>
  <c r="O108" i="23"/>
  <c r="P108" i="23" s="1"/>
  <c r="Q108" i="23" s="1"/>
  <c r="R108" i="23" s="1"/>
  <c r="O107" i="23"/>
  <c r="P107" i="23" s="1"/>
  <c r="Q107" i="23" s="1"/>
  <c r="R107" i="23" s="1"/>
  <c r="O109" i="23"/>
  <c r="P109" i="23" s="1"/>
  <c r="Q109" i="23" s="1"/>
  <c r="R109" i="23" s="1"/>
  <c r="O104" i="23"/>
  <c r="P104" i="23" s="1"/>
  <c r="Q104" i="23" s="1"/>
  <c r="R104" i="23" s="1"/>
  <c r="O105" i="23"/>
  <c r="P105" i="23" s="1"/>
  <c r="Q105" i="23" s="1"/>
  <c r="R105" i="23" s="1"/>
  <c r="O106" i="23"/>
  <c r="P106" i="23" s="1"/>
  <c r="Q106" i="23" s="1"/>
  <c r="R106" i="23" s="1"/>
  <c r="O103" i="23"/>
  <c r="P103" i="23" s="1"/>
  <c r="Q103" i="23" s="1"/>
  <c r="R103" i="23" s="1"/>
  <c r="O102" i="23"/>
  <c r="P102" i="23" s="1"/>
  <c r="Q102" i="23" s="1"/>
  <c r="R102" i="23" s="1"/>
  <c r="O101" i="23"/>
  <c r="P101" i="23" s="1"/>
  <c r="Q101" i="23" s="1"/>
  <c r="R101" i="23" s="1"/>
  <c r="P100" i="23"/>
  <c r="Q100" i="23" s="1"/>
  <c r="R100" i="23" s="1"/>
  <c r="O100" i="23"/>
  <c r="O99" i="23"/>
  <c r="P99" i="23" s="1"/>
  <c r="Q99" i="23" s="1"/>
  <c r="R99" i="23" s="1"/>
  <c r="P98" i="23"/>
  <c r="Q98" i="23" s="1"/>
  <c r="R98" i="23" s="1"/>
  <c r="O98" i="23"/>
  <c r="O97" i="23"/>
  <c r="P97" i="23" s="1"/>
  <c r="Q97" i="23" s="1"/>
  <c r="R97" i="23" s="1"/>
  <c r="O96" i="23"/>
  <c r="P96" i="23" s="1"/>
  <c r="Q96" i="23" s="1"/>
  <c r="R96" i="23" s="1"/>
  <c r="O95" i="23"/>
  <c r="P95" i="23" s="1"/>
  <c r="Q95" i="23" s="1"/>
  <c r="R95" i="23" s="1"/>
  <c r="O94" i="23"/>
  <c r="P94" i="23" s="1"/>
  <c r="Q94" i="23" s="1"/>
  <c r="R94" i="23" s="1"/>
  <c r="O93" i="23"/>
  <c r="P93" i="23" s="1"/>
  <c r="Q93" i="23" s="1"/>
  <c r="R93" i="23" s="1"/>
  <c r="O92" i="23"/>
  <c r="P92" i="23" s="1"/>
  <c r="Q92" i="23" s="1"/>
  <c r="R92" i="23" s="1"/>
  <c r="O91" i="23"/>
  <c r="P91" i="23" s="1"/>
  <c r="Q91" i="23" s="1"/>
  <c r="R91" i="23" s="1"/>
  <c r="O90" i="23"/>
  <c r="P90" i="23" s="1"/>
  <c r="Q90" i="23" s="1"/>
  <c r="R90" i="23" s="1"/>
  <c r="O89" i="23"/>
  <c r="P89" i="23" s="1"/>
  <c r="Q89" i="23" s="1"/>
  <c r="R89" i="23" s="1"/>
  <c r="O88" i="23"/>
  <c r="P88" i="23" s="1"/>
  <c r="Q88" i="23" s="1"/>
  <c r="R88" i="23" s="1"/>
  <c r="O87" i="23"/>
  <c r="P87" i="23" s="1"/>
  <c r="Q87" i="23" s="1"/>
  <c r="R87" i="23" s="1"/>
  <c r="O86" i="23"/>
  <c r="P86" i="23" s="1"/>
  <c r="Q86" i="23" s="1"/>
  <c r="R86" i="23" s="1"/>
  <c r="S10" i="23"/>
  <c r="X5" i="23" s="1"/>
  <c r="T70" i="23"/>
  <c r="U70" i="23" s="1"/>
  <c r="Y61" i="23" s="1"/>
  <c r="T37" i="23"/>
  <c r="U37" i="23" s="1"/>
  <c r="Y32" i="23" s="1"/>
  <c r="S82" i="23"/>
  <c r="X65" i="23" s="1"/>
  <c r="N94" i="22"/>
  <c r="R94" i="22" s="1"/>
  <c r="V94" i="22" s="1"/>
  <c r="N123" i="22"/>
  <c r="N44" i="22"/>
  <c r="R44" i="22" s="1"/>
  <c r="V44" i="22" s="1"/>
  <c r="N45" i="22"/>
  <c r="R45" i="22" s="1"/>
  <c r="V45" i="22" s="1"/>
  <c r="D161" i="22"/>
  <c r="AD153" i="22"/>
  <c r="N75" i="21"/>
  <c r="R75" i="21" s="1"/>
  <c r="D161" i="21"/>
  <c r="AD153" i="21"/>
  <c r="N167" i="22"/>
  <c r="R167" i="22" s="1"/>
  <c r="N69" i="22"/>
  <c r="R69" i="22" s="1"/>
  <c r="V69" i="22" s="1"/>
  <c r="N72" i="22"/>
  <c r="R72" i="22" s="1"/>
  <c r="V72" i="22" s="1"/>
  <c r="N9" i="21"/>
  <c r="R9" i="21" s="1"/>
  <c r="V9" i="21" s="1"/>
  <c r="N8" i="21"/>
  <c r="R8" i="21" s="1"/>
  <c r="N127" i="21"/>
  <c r="R127" i="21" s="1"/>
  <c r="V127" i="21" s="1"/>
  <c r="N113" i="21"/>
  <c r="R113" i="21" s="1"/>
  <c r="V113" i="21" s="1"/>
  <c r="N91" i="21"/>
  <c r="R91" i="21" s="1"/>
  <c r="V91" i="21" s="1"/>
  <c r="S16" i="24"/>
  <c r="X7" i="24" s="1"/>
  <c r="S7" i="24"/>
  <c r="X4" i="24" s="1"/>
  <c r="S22" i="24"/>
  <c r="X9" i="24" s="1"/>
  <c r="T16" i="24"/>
  <c r="U16" i="24" s="1"/>
  <c r="Y7" i="24" s="1"/>
  <c r="T55" i="24"/>
  <c r="U55" i="24" s="1"/>
  <c r="Y38" i="24" s="1"/>
  <c r="T64" i="24"/>
  <c r="U64" i="24" s="1"/>
  <c r="Y59" i="24" s="1"/>
  <c r="T7" i="24"/>
  <c r="U7" i="24" s="1"/>
  <c r="Y4" i="24" s="1"/>
  <c r="S82" i="24"/>
  <c r="X65" i="24" s="1"/>
  <c r="T67" i="24"/>
  <c r="U67" i="24" s="1"/>
  <c r="Y60" i="24" s="1"/>
  <c r="S19" i="24"/>
  <c r="X8" i="24" s="1"/>
  <c r="T46" i="24"/>
  <c r="U46" i="24" s="1"/>
  <c r="Y35" i="24" s="1"/>
  <c r="S46" i="24"/>
  <c r="X35" i="24" s="1"/>
  <c r="T82" i="24"/>
  <c r="U82" i="24" s="1"/>
  <c r="Y65" i="24" s="1"/>
  <c r="T22" i="24"/>
  <c r="U22" i="24" s="1"/>
  <c r="Y9" i="24" s="1"/>
  <c r="S37" i="24"/>
  <c r="X32" i="24" s="1"/>
  <c r="S73" i="24"/>
  <c r="X62" i="24" s="1"/>
  <c r="T10" i="24"/>
  <c r="U10" i="24" s="1"/>
  <c r="Y5" i="24" s="1"/>
  <c r="T70" i="24"/>
  <c r="U70" i="24" s="1"/>
  <c r="Y61" i="24" s="1"/>
  <c r="S64" i="24"/>
  <c r="X59" i="24" s="1"/>
  <c r="S70" i="24"/>
  <c r="X61" i="24" s="1"/>
  <c r="T49" i="24"/>
  <c r="U49" i="24" s="1"/>
  <c r="Y36" i="24" s="1"/>
  <c r="D17" i="24"/>
  <c r="W7" i="24"/>
  <c r="T22" i="23"/>
  <c r="U22" i="23" s="1"/>
  <c r="Y9" i="23" s="1"/>
  <c r="S70" i="23"/>
  <c r="X61" i="23" s="1"/>
  <c r="T16" i="23"/>
  <c r="U16" i="23" s="1"/>
  <c r="Y7" i="23" s="1"/>
  <c r="T82" i="23"/>
  <c r="U82" i="23" s="1"/>
  <c r="Y65" i="23" s="1"/>
  <c r="T64" i="23"/>
  <c r="U64" i="23" s="1"/>
  <c r="Y59" i="23" s="1"/>
  <c r="S79" i="23"/>
  <c r="X64" i="23" s="1"/>
  <c r="W7" i="23"/>
  <c r="D17" i="23"/>
  <c r="N13" i="22"/>
  <c r="R13" i="22" s="1"/>
  <c r="V13" i="22" s="1"/>
  <c r="N28" i="22"/>
  <c r="R28" i="22" s="1"/>
  <c r="V28" i="22" s="1"/>
  <c r="N10" i="22"/>
  <c r="R10" i="22" s="1"/>
  <c r="V10" i="22" s="1"/>
  <c r="N170" i="22"/>
  <c r="R170" i="22" s="1"/>
  <c r="N139" i="22"/>
  <c r="R139" i="22" s="1"/>
  <c r="V139" i="22" s="1"/>
  <c r="N145" i="22"/>
  <c r="R145" i="22" s="1"/>
  <c r="V145" i="22" s="1"/>
  <c r="N144" i="22"/>
  <c r="R144" i="22" s="1"/>
  <c r="V144" i="22" s="1"/>
  <c r="N99" i="22"/>
  <c r="R99" i="22" s="1"/>
  <c r="V99" i="22" s="1"/>
  <c r="N126" i="22"/>
  <c r="R126" i="22" s="1"/>
  <c r="V126" i="22" s="1"/>
  <c r="N171" i="22"/>
  <c r="R171" i="22" s="1"/>
  <c r="V171" i="22" s="1"/>
  <c r="N104" i="22"/>
  <c r="R104" i="22" s="1"/>
  <c r="N105" i="22"/>
  <c r="R105" i="22" s="1"/>
  <c r="V105" i="22" s="1"/>
  <c r="N159" i="22"/>
  <c r="R159" i="22" s="1"/>
  <c r="V159" i="22" s="1"/>
  <c r="N88" i="22"/>
  <c r="R88" i="22" s="1"/>
  <c r="V88" i="22" s="1"/>
  <c r="N31" i="22"/>
  <c r="R31" i="22" s="1"/>
  <c r="V31" i="22" s="1"/>
  <c r="N119" i="22"/>
  <c r="R119" i="22" s="1"/>
  <c r="V119" i="22" s="1"/>
  <c r="N82" i="22"/>
  <c r="R82" i="22" s="1"/>
  <c r="V82" i="22" s="1"/>
  <c r="N24" i="22"/>
  <c r="V123" i="21"/>
  <c r="N122" i="21"/>
  <c r="R122" i="21" s="1"/>
  <c r="N168" i="21"/>
  <c r="N171" i="21"/>
  <c r="R171" i="21" s="1"/>
  <c r="V171" i="21" s="1"/>
  <c r="N124" i="21"/>
  <c r="R124" i="21" s="1"/>
  <c r="V124" i="21" s="1"/>
  <c r="N28" i="21"/>
  <c r="R28" i="21" s="1"/>
  <c r="V28" i="21" s="1"/>
  <c r="N143" i="21"/>
  <c r="R143" i="21" s="1"/>
  <c r="N145" i="21"/>
  <c r="R145" i="21" s="1"/>
  <c r="V145" i="21" s="1"/>
  <c r="N112" i="21"/>
  <c r="R112" i="21" s="1"/>
  <c r="V112" i="21" s="1"/>
  <c r="N17" i="21"/>
  <c r="R17" i="21" s="1"/>
  <c r="V17" i="21" s="1"/>
  <c r="N43" i="21"/>
  <c r="N172" i="21"/>
  <c r="R172" i="21" s="1"/>
  <c r="V172" i="21" s="1"/>
  <c r="N173" i="21"/>
  <c r="R173" i="21" s="1"/>
  <c r="V173" i="21" s="1"/>
  <c r="T73" i="24"/>
  <c r="U73" i="24" s="1"/>
  <c r="Y62" i="24" s="1"/>
  <c r="T61" i="24"/>
  <c r="U61" i="24" s="1"/>
  <c r="Y58" i="24" s="1"/>
  <c r="S79" i="24"/>
  <c r="X64" i="24" s="1"/>
  <c r="S61" i="24"/>
  <c r="X58" i="24" s="1"/>
  <c r="T37" i="24"/>
  <c r="U37" i="24" s="1"/>
  <c r="Y32" i="24" s="1"/>
  <c r="S10" i="24"/>
  <c r="X5" i="24" s="1"/>
  <c r="T52" i="24"/>
  <c r="U52" i="24" s="1"/>
  <c r="Y37" i="24" s="1"/>
  <c r="X33" i="24"/>
  <c r="S34" i="24"/>
  <c r="X31" i="24" s="1"/>
  <c r="D71" i="24"/>
  <c r="W61" i="24"/>
  <c r="T79" i="23"/>
  <c r="U79" i="23" s="1"/>
  <c r="Y64" i="23" s="1"/>
  <c r="T61" i="23"/>
  <c r="U61" i="23" s="1"/>
  <c r="Y58" i="23" s="1"/>
  <c r="S61" i="23"/>
  <c r="X58" i="23" s="1"/>
  <c r="S7" i="23"/>
  <c r="X4" i="23" s="1"/>
  <c r="S49" i="23"/>
  <c r="X36" i="23" s="1"/>
  <c r="T76" i="23"/>
  <c r="U76" i="23" s="1"/>
  <c r="Y63" i="23" s="1"/>
  <c r="T10" i="23"/>
  <c r="U10" i="23" s="1"/>
  <c r="Y5" i="23" s="1"/>
  <c r="S28" i="23"/>
  <c r="X11" i="23" s="1"/>
  <c r="W61" i="23"/>
  <c r="D71" i="23"/>
  <c r="N111" i="22"/>
  <c r="R111" i="22" s="1"/>
  <c r="V111" i="22" s="1"/>
  <c r="N127" i="22"/>
  <c r="R127" i="22" s="1"/>
  <c r="V127" i="22" s="1"/>
  <c r="N9" i="22"/>
  <c r="R9" i="22" s="1"/>
  <c r="V9" i="22" s="1"/>
  <c r="N125" i="22"/>
  <c r="R125" i="22" s="1"/>
  <c r="V125" i="22" s="1"/>
  <c r="N160" i="22"/>
  <c r="R160" i="22" s="1"/>
  <c r="V160" i="22" s="1"/>
  <c r="N53" i="22"/>
  <c r="R53" i="22" s="1"/>
  <c r="N173" i="22"/>
  <c r="R173" i="22" s="1"/>
  <c r="N175" i="22"/>
  <c r="N74" i="22"/>
  <c r="R74" i="22" s="1"/>
  <c r="N183" i="22"/>
  <c r="R183" i="22" s="1"/>
  <c r="V183" i="22" s="1"/>
  <c r="N155" i="22"/>
  <c r="R155" i="22" s="1"/>
  <c r="N93" i="22"/>
  <c r="R93" i="22" s="1"/>
  <c r="V93" i="22" s="1"/>
  <c r="N89" i="22"/>
  <c r="R89" i="22" s="1"/>
  <c r="V89" i="22" s="1"/>
  <c r="N87" i="22"/>
  <c r="R87" i="22" s="1"/>
  <c r="V87" i="22" s="1"/>
  <c r="N182" i="22"/>
  <c r="R182" i="22" s="1"/>
  <c r="N92" i="22"/>
  <c r="R92" i="22" s="1"/>
  <c r="V92" i="22" s="1"/>
  <c r="N172" i="22"/>
  <c r="R172" i="22" s="1"/>
  <c r="V172" i="22" s="1"/>
  <c r="N130" i="22"/>
  <c r="R130" i="22" s="1"/>
  <c r="V130" i="22" s="1"/>
  <c r="N37" i="22"/>
  <c r="R37" i="22" s="1"/>
  <c r="V37" i="22" s="1"/>
  <c r="N75" i="22"/>
  <c r="R75" i="22" s="1"/>
  <c r="V75" i="22" s="1"/>
  <c r="N124" i="22"/>
  <c r="R124" i="22" s="1"/>
  <c r="V124" i="22" s="1"/>
  <c r="N166" i="22"/>
  <c r="R166" i="22" s="1"/>
  <c r="V166" i="22" s="1"/>
  <c r="N59" i="22"/>
  <c r="R59" i="22" s="1"/>
  <c r="V59" i="22" s="1"/>
  <c r="N73" i="22"/>
  <c r="R73" i="22" s="1"/>
  <c r="V73" i="22" s="1"/>
  <c r="N174" i="22"/>
  <c r="N67" i="22"/>
  <c r="R67" i="22" s="1"/>
  <c r="V67" i="22" s="1"/>
  <c r="N91" i="22"/>
  <c r="R91" i="22" s="1"/>
  <c r="V91" i="22" s="1"/>
  <c r="N184" i="22"/>
  <c r="R184" i="22" s="1"/>
  <c r="V184" i="22" s="1"/>
  <c r="N181" i="22"/>
  <c r="N21" i="22"/>
  <c r="R21" i="22" s="1"/>
  <c r="V21" i="22" s="1"/>
  <c r="N6" i="22"/>
  <c r="R6" i="22" s="1"/>
  <c r="V6" i="22" s="1"/>
  <c r="N16" i="22"/>
  <c r="R16" i="22" s="1"/>
  <c r="V16" i="22" s="1"/>
  <c r="N23" i="22"/>
  <c r="R23" i="22" s="1"/>
  <c r="V23" i="22" s="1"/>
  <c r="N164" i="22"/>
  <c r="R164" i="22" s="1"/>
  <c r="N154" i="22"/>
  <c r="R154" i="22" s="1"/>
  <c r="V154" i="22" s="1"/>
  <c r="N112" i="22"/>
  <c r="R112" i="22" s="1"/>
  <c r="V112" i="22" s="1"/>
  <c r="N49" i="22"/>
  <c r="R49" i="22" s="1"/>
  <c r="V49" i="22" s="1"/>
  <c r="N20" i="22"/>
  <c r="R20" i="22" s="1"/>
  <c r="V20" i="22" s="1"/>
  <c r="N122" i="22"/>
  <c r="R122" i="22" s="1"/>
  <c r="V122" i="22" s="1"/>
  <c r="N176" i="22"/>
  <c r="R176" i="22" s="1"/>
  <c r="N115" i="22"/>
  <c r="R115" i="22" s="1"/>
  <c r="V115" i="22" s="1"/>
  <c r="N131" i="22"/>
  <c r="R131" i="22" s="1"/>
  <c r="N158" i="22"/>
  <c r="R158" i="22" s="1"/>
  <c r="N22" i="22"/>
  <c r="R22" i="22" s="1"/>
  <c r="V22" i="22" s="1"/>
  <c r="N152" i="22"/>
  <c r="R152" i="22" s="1"/>
  <c r="N177" i="22"/>
  <c r="R177" i="22" s="1"/>
  <c r="V177" i="22" s="1"/>
  <c r="N146" i="22"/>
  <c r="R146" i="22" s="1"/>
  <c r="N14" i="22"/>
  <c r="R14" i="22" s="1"/>
  <c r="V14" i="22" s="1"/>
  <c r="N193" i="22"/>
  <c r="R193" i="22" s="1"/>
  <c r="V193" i="22" s="1"/>
  <c r="N119" i="21"/>
  <c r="R119" i="21" s="1"/>
  <c r="N187" i="21"/>
  <c r="R187" i="21" s="1"/>
  <c r="V187" i="21" s="1"/>
  <c r="N186" i="21"/>
  <c r="R186" i="21" s="1"/>
  <c r="V186" i="21" s="1"/>
  <c r="N46" i="21"/>
  <c r="R46" i="21" s="1"/>
  <c r="V46" i="21" s="1"/>
  <c r="N23" i="21"/>
  <c r="R23" i="21" s="1"/>
  <c r="V23" i="21" s="1"/>
  <c r="N73" i="21"/>
  <c r="R73" i="21" s="1"/>
  <c r="V73" i="21" s="1"/>
  <c r="N100" i="21"/>
  <c r="R100" i="21" s="1"/>
  <c r="V100" i="21" s="1"/>
  <c r="N126" i="21"/>
  <c r="R126" i="21" s="1"/>
  <c r="V126" i="21" s="1"/>
  <c r="N69" i="21"/>
  <c r="R69" i="21" s="1"/>
  <c r="V69" i="21" s="1"/>
  <c r="N74" i="21"/>
  <c r="R74" i="21" s="1"/>
  <c r="V74" i="21" s="1"/>
  <c r="N120" i="21"/>
  <c r="R120" i="21" s="1"/>
  <c r="V120" i="21" s="1"/>
  <c r="N161" i="21"/>
  <c r="R161" i="21" s="1"/>
  <c r="N191" i="21"/>
  <c r="R191" i="21" s="1"/>
  <c r="V191" i="21" s="1"/>
  <c r="N95" i="21"/>
  <c r="R95" i="21" s="1"/>
  <c r="N22" i="21"/>
  <c r="R22" i="21" s="1"/>
  <c r="V22" i="21" s="1"/>
  <c r="N170" i="21"/>
  <c r="R170" i="21" s="1"/>
  <c r="V170" i="21" s="1"/>
  <c r="N5" i="21"/>
  <c r="R5" i="21" s="1"/>
  <c r="V5" i="21" s="1"/>
  <c r="N148" i="21"/>
  <c r="R148" i="21" s="1"/>
  <c r="V148" i="21" s="1"/>
  <c r="N45" i="21"/>
  <c r="R45" i="21" s="1"/>
  <c r="V45" i="21" s="1"/>
  <c r="N11" i="21"/>
  <c r="R11" i="21" s="1"/>
  <c r="V11" i="21" s="1"/>
  <c r="N40" i="21"/>
  <c r="R40" i="21" s="1"/>
  <c r="V40" i="21" s="1"/>
  <c r="N163" i="21"/>
  <c r="R163" i="21" s="1"/>
  <c r="V163" i="21" s="1"/>
  <c r="N20" i="21"/>
  <c r="R20" i="21" s="1"/>
  <c r="N146" i="21"/>
  <c r="R146" i="21" s="1"/>
  <c r="N44" i="21"/>
  <c r="R44" i="21" s="1"/>
  <c r="N70" i="21"/>
  <c r="R70" i="21" s="1"/>
  <c r="V70" i="21" s="1"/>
  <c r="N34" i="21"/>
  <c r="R34" i="21" s="1"/>
  <c r="V34" i="21" s="1"/>
  <c r="N157" i="21"/>
  <c r="R157" i="21" s="1"/>
  <c r="V157" i="21" s="1"/>
  <c r="N140" i="21"/>
  <c r="R140" i="21" s="1"/>
  <c r="V140" i="21" s="1"/>
  <c r="R166" i="21"/>
  <c r="V166" i="21" s="1"/>
  <c r="N76" i="21"/>
  <c r="R76" i="21" s="1"/>
  <c r="V76" i="21" s="1"/>
  <c r="N121" i="21"/>
  <c r="R121" i="21" s="1"/>
  <c r="V121" i="21" s="1"/>
  <c r="S49" i="24"/>
  <c r="X36" i="24" s="1"/>
  <c r="U40" i="24"/>
  <c r="Y33" i="24" s="1"/>
  <c r="T34" i="24"/>
  <c r="U34" i="24" s="1"/>
  <c r="Y31" i="24" s="1"/>
  <c r="T43" i="24"/>
  <c r="U43" i="24" s="1"/>
  <c r="Y34" i="24" s="1"/>
  <c r="S52" i="24"/>
  <c r="X37" i="24" s="1"/>
  <c r="S55" i="24"/>
  <c r="X38" i="24" s="1"/>
  <c r="S43" i="24"/>
  <c r="X34" i="24" s="1"/>
  <c r="T79" i="24"/>
  <c r="U79" i="24" s="1"/>
  <c r="Y64" i="24" s="1"/>
  <c r="T94" i="24"/>
  <c r="U94" i="24" s="1"/>
  <c r="Y87" i="24" s="1"/>
  <c r="S94" i="24"/>
  <c r="X87" i="24" s="1"/>
  <c r="S46" i="23"/>
  <c r="X35" i="23" s="1"/>
  <c r="T52" i="23"/>
  <c r="U52" i="23" s="1"/>
  <c r="Y37" i="23" s="1"/>
  <c r="T43" i="23"/>
  <c r="U43" i="23" s="1"/>
  <c r="Y34" i="23" s="1"/>
  <c r="T73" i="23"/>
  <c r="U73" i="23" s="1"/>
  <c r="Y62" i="23" s="1"/>
  <c r="S34" i="23"/>
  <c r="X31" i="23" s="1"/>
  <c r="T49" i="23"/>
  <c r="U49" i="23" s="1"/>
  <c r="Y36" i="23" s="1"/>
  <c r="S37" i="23"/>
  <c r="X32" i="23" s="1"/>
  <c r="T46" i="23"/>
  <c r="U46" i="23" s="1"/>
  <c r="Y35" i="23" s="1"/>
  <c r="S64" i="23"/>
  <c r="X59" i="23" s="1"/>
  <c r="S76" i="23"/>
  <c r="X63" i="23" s="1"/>
  <c r="S73" i="23"/>
  <c r="X62" i="23" s="1"/>
  <c r="T28" i="23"/>
  <c r="U28" i="23" s="1"/>
  <c r="Y11" i="23" s="1"/>
  <c r="S16" i="23"/>
  <c r="X7" i="23" s="1"/>
  <c r="T34" i="23"/>
  <c r="U34" i="23" s="1"/>
  <c r="Y31" i="23" s="1"/>
  <c r="S43" i="23"/>
  <c r="X34" i="23" s="1"/>
  <c r="T7" i="23"/>
  <c r="U7" i="23" s="1"/>
  <c r="Y4" i="23" s="1"/>
  <c r="T40" i="23"/>
  <c r="U40" i="23" s="1"/>
  <c r="Y33" i="23" s="1"/>
  <c r="S22" i="23"/>
  <c r="X9" i="23" s="1"/>
  <c r="W34" i="23"/>
  <c r="N188" i="22"/>
  <c r="R188" i="22" s="1"/>
  <c r="N168" i="22"/>
  <c r="N180" i="22"/>
  <c r="N153" i="22"/>
  <c r="R153" i="22" s="1"/>
  <c r="V153" i="22" s="1"/>
  <c r="N162" i="22"/>
  <c r="R162" i="22" s="1"/>
  <c r="V162" i="22" s="1"/>
  <c r="V167" i="22"/>
  <c r="W169" i="22" s="1"/>
  <c r="AG156" i="22" s="1"/>
  <c r="N186" i="22"/>
  <c r="R186" i="22" s="1"/>
  <c r="V186" i="22" s="1"/>
  <c r="N169" i="22"/>
  <c r="N190" i="22"/>
  <c r="R190" i="22" s="1"/>
  <c r="V190" i="22" s="1"/>
  <c r="N157" i="22"/>
  <c r="R157" i="22" s="1"/>
  <c r="V157" i="22" s="1"/>
  <c r="N25" i="22"/>
  <c r="R123" i="22"/>
  <c r="V123" i="22" s="1"/>
  <c r="N129" i="22"/>
  <c r="R129" i="22" s="1"/>
  <c r="V129" i="22" s="1"/>
  <c r="N148" i="22"/>
  <c r="R148" i="22" s="1"/>
  <c r="V148" i="22" s="1"/>
  <c r="N128" i="22"/>
  <c r="R128" i="22" s="1"/>
  <c r="N55" i="22"/>
  <c r="R55" i="22" s="1"/>
  <c r="V55" i="22" s="1"/>
  <c r="N43" i="22"/>
  <c r="N7" i="22"/>
  <c r="R7" i="22" s="1"/>
  <c r="V7" i="22" s="1"/>
  <c r="N80" i="22"/>
  <c r="R80" i="22" s="1"/>
  <c r="N63" i="22"/>
  <c r="R63" i="22" s="1"/>
  <c r="V63" i="22" s="1"/>
  <c r="N26" i="22"/>
  <c r="R26" i="22" s="1"/>
  <c r="V26" i="22" s="1"/>
  <c r="N147" i="22"/>
  <c r="R147" i="22" s="1"/>
  <c r="V147" i="22" s="1"/>
  <c r="N120" i="22"/>
  <c r="R120" i="22" s="1"/>
  <c r="V120" i="22" s="1"/>
  <c r="N110" i="22"/>
  <c r="R110" i="22" s="1"/>
  <c r="N98" i="22"/>
  <c r="R98" i="22" s="1"/>
  <c r="V98" i="22" s="1"/>
  <c r="N100" i="22"/>
  <c r="R100" i="22" s="1"/>
  <c r="V100" i="22" s="1"/>
  <c r="N83" i="22"/>
  <c r="R83" i="22" s="1"/>
  <c r="V83" i="22" s="1"/>
  <c r="N46" i="22"/>
  <c r="R46" i="22" s="1"/>
  <c r="V46" i="22" s="1"/>
  <c r="N79" i="22"/>
  <c r="R79" i="22" s="1"/>
  <c r="V79" i="22" s="1"/>
  <c r="N35" i="22"/>
  <c r="R35" i="22" s="1"/>
  <c r="V35" i="22" s="1"/>
  <c r="N34" i="22"/>
  <c r="N76" i="22"/>
  <c r="R76" i="22" s="1"/>
  <c r="V76" i="22" s="1"/>
  <c r="N62" i="22"/>
  <c r="R62" i="22" s="1"/>
  <c r="V62" i="22" s="1"/>
  <c r="N71" i="22"/>
  <c r="R71" i="22" s="1"/>
  <c r="V71" i="22" s="1"/>
  <c r="N136" i="22"/>
  <c r="R136" i="22" s="1"/>
  <c r="V136" i="22" s="1"/>
  <c r="N60" i="22"/>
  <c r="R60" i="22" s="1"/>
  <c r="V60" i="22" s="1"/>
  <c r="N54" i="22"/>
  <c r="R54" i="22" s="1"/>
  <c r="V54" i="22" s="1"/>
  <c r="N64" i="22"/>
  <c r="R64" i="22" s="1"/>
  <c r="V64" i="22" s="1"/>
  <c r="N27" i="22"/>
  <c r="R27" i="22" s="1"/>
  <c r="N81" i="22"/>
  <c r="R81" i="22" s="1"/>
  <c r="V81" i="22" s="1"/>
  <c r="N40" i="22"/>
  <c r="R40" i="22" s="1"/>
  <c r="V40" i="22" s="1"/>
  <c r="N133" i="22"/>
  <c r="R133" i="22" s="1"/>
  <c r="V133" i="22" s="1"/>
  <c r="N18" i="22"/>
  <c r="R18" i="22" s="1"/>
  <c r="V18" i="22" s="1"/>
  <c r="N99" i="21"/>
  <c r="R99" i="21" s="1"/>
  <c r="V99" i="21" s="1"/>
  <c r="N71" i="21"/>
  <c r="R71" i="21" s="1"/>
  <c r="V71" i="21" s="1"/>
  <c r="N135" i="21"/>
  <c r="R135" i="21" s="1"/>
  <c r="V135" i="21" s="1"/>
  <c r="N111" i="21"/>
  <c r="R111" i="21" s="1"/>
  <c r="V111" i="21" s="1"/>
  <c r="N68" i="21"/>
  <c r="R68" i="21" s="1"/>
  <c r="N29" i="21"/>
  <c r="R29" i="21" s="1"/>
  <c r="N160" i="21"/>
  <c r="R160" i="21" s="1"/>
  <c r="V160" i="21" s="1"/>
  <c r="AD6" i="21"/>
  <c r="N142" i="21"/>
  <c r="N134" i="21"/>
  <c r="R134" i="21" s="1"/>
  <c r="V134" i="21" s="1"/>
  <c r="N54" i="21"/>
  <c r="R54" i="21" s="1"/>
  <c r="V54" i="21" s="1"/>
  <c r="N49" i="21"/>
  <c r="R49" i="21" s="1"/>
  <c r="V49" i="21" s="1"/>
  <c r="N16" i="21"/>
  <c r="R16" i="21" s="1"/>
  <c r="V16" i="21" s="1"/>
  <c r="N190" i="21"/>
  <c r="R190" i="21" s="1"/>
  <c r="V190" i="21" s="1"/>
  <c r="N174" i="21"/>
  <c r="R174" i="21" s="1"/>
  <c r="V174" i="21" s="1"/>
  <c r="N141" i="21"/>
  <c r="N30" i="21"/>
  <c r="R30" i="21" s="1"/>
  <c r="V30" i="21" s="1"/>
  <c r="N114" i="21"/>
  <c r="R114" i="21" s="1"/>
  <c r="V114" i="21" s="1"/>
  <c r="N55" i="21"/>
  <c r="R55" i="21" s="1"/>
  <c r="V55" i="21" s="1"/>
  <c r="N19" i="21"/>
  <c r="R19" i="21" s="1"/>
  <c r="V19" i="21" s="1"/>
  <c r="N37" i="21"/>
  <c r="R37" i="21" s="1"/>
  <c r="V37" i="21" s="1"/>
  <c r="N125" i="21"/>
  <c r="R125" i="21" s="1"/>
  <c r="N25" i="21"/>
  <c r="R25" i="21" s="1"/>
  <c r="N175" i="21"/>
  <c r="R175" i="21" s="1"/>
  <c r="V175" i="21" s="1"/>
  <c r="N139" i="21"/>
  <c r="R139" i="21" s="1"/>
  <c r="V139" i="21" s="1"/>
  <c r="N118" i="21"/>
  <c r="R118" i="21" s="1"/>
  <c r="V118" i="21" s="1"/>
  <c r="N58" i="21"/>
  <c r="R58" i="21" s="1"/>
  <c r="V58" i="21" s="1"/>
  <c r="N196" i="21"/>
  <c r="R196" i="21" s="1"/>
  <c r="V196" i="21" s="1"/>
  <c r="N178" i="21"/>
  <c r="R178" i="21" s="1"/>
  <c r="V178" i="21" s="1"/>
  <c r="N177" i="21"/>
  <c r="R177" i="21" s="1"/>
  <c r="V177" i="21" s="1"/>
  <c r="N158" i="21"/>
  <c r="R158" i="21" s="1"/>
  <c r="V72" i="21"/>
  <c r="V75" i="21"/>
  <c r="N180" i="21"/>
  <c r="R180" i="21" s="1"/>
  <c r="V180" i="21" s="1"/>
  <c r="N98" i="21"/>
  <c r="R98" i="21" s="1"/>
  <c r="N79" i="21"/>
  <c r="R79" i="21" s="1"/>
  <c r="V79" i="21" s="1"/>
  <c r="N64" i="21"/>
  <c r="R64" i="21" s="1"/>
  <c r="V64" i="21" s="1"/>
  <c r="N154" i="21"/>
  <c r="R154" i="21" s="1"/>
  <c r="V154" i="21" s="1"/>
  <c r="N131" i="21"/>
  <c r="R131" i="21" s="1"/>
  <c r="V131" i="21" s="1"/>
  <c r="N129" i="21"/>
  <c r="R129" i="21" s="1"/>
  <c r="V129" i="21" s="1"/>
  <c r="N77" i="21"/>
  <c r="R77" i="21" s="1"/>
  <c r="N27" i="21"/>
  <c r="R27" i="21" s="1"/>
  <c r="N10" i="21"/>
  <c r="R10" i="21" s="1"/>
  <c r="V10" i="21" s="1"/>
  <c r="N21" i="21"/>
  <c r="R21" i="21" s="1"/>
  <c r="V21" i="21" s="1"/>
  <c r="N169" i="21"/>
  <c r="R169" i="21" s="1"/>
  <c r="V169" i="21" s="1"/>
  <c r="N193" i="21"/>
  <c r="R193" i="21" s="1"/>
  <c r="V193" i="21" s="1"/>
  <c r="N181" i="21"/>
  <c r="R181" i="21" s="1"/>
  <c r="V181" i="21" s="1"/>
  <c r="N183" i="21"/>
  <c r="R183" i="21" s="1"/>
  <c r="V183" i="21" s="1"/>
  <c r="R168" i="21"/>
  <c r="V168" i="21" s="1"/>
  <c r="N155" i="21"/>
  <c r="R155" i="21" s="1"/>
  <c r="N167" i="21"/>
  <c r="R167" i="21" s="1"/>
  <c r="S76" i="24"/>
  <c r="X63" i="24" s="1"/>
  <c r="T76" i="24"/>
  <c r="U76" i="24" s="1"/>
  <c r="Y63" i="24" s="1"/>
  <c r="T13" i="24"/>
  <c r="U13" i="24" s="1"/>
  <c r="Y6" i="24" s="1"/>
  <c r="S13" i="24"/>
  <c r="X6" i="24" s="1"/>
  <c r="S67" i="24"/>
  <c r="X60" i="24" s="1"/>
  <c r="X11" i="24"/>
  <c r="Y11" i="24"/>
  <c r="S67" i="23"/>
  <c r="X60" i="23" s="1"/>
  <c r="T67" i="23"/>
  <c r="U67" i="23" s="1"/>
  <c r="Y60" i="23" s="1"/>
  <c r="T19" i="23"/>
  <c r="U19" i="23" s="1"/>
  <c r="Y8" i="23" s="1"/>
  <c r="S19" i="23"/>
  <c r="X8" i="23" s="1"/>
  <c r="T55" i="23"/>
  <c r="U55" i="23" s="1"/>
  <c r="Y38" i="23" s="1"/>
  <c r="S55" i="23"/>
  <c r="X38" i="23" s="1"/>
  <c r="S52" i="23"/>
  <c r="X37" i="23" s="1"/>
  <c r="S40" i="23"/>
  <c r="X33" i="23" s="1"/>
  <c r="T13" i="23"/>
  <c r="U13" i="23" s="1"/>
  <c r="Y6" i="23" s="1"/>
  <c r="S13" i="23"/>
  <c r="X6" i="23" s="1"/>
  <c r="N137" i="22"/>
  <c r="R137" i="22" s="1"/>
  <c r="N141" i="22"/>
  <c r="N108" i="22"/>
  <c r="R108" i="22" s="1"/>
  <c r="V108" i="22" s="1"/>
  <c r="N84" i="22"/>
  <c r="R84" i="22" s="1"/>
  <c r="V84" i="22" s="1"/>
  <c r="AD9" i="22"/>
  <c r="N58" i="22"/>
  <c r="R58" i="22" s="1"/>
  <c r="V58" i="22" s="1"/>
  <c r="N135" i="22"/>
  <c r="R135" i="22" s="1"/>
  <c r="V135" i="22" s="1"/>
  <c r="N70" i="22"/>
  <c r="R70" i="22" s="1"/>
  <c r="V70" i="22" s="1"/>
  <c r="N61" i="22"/>
  <c r="R61" i="22" s="1"/>
  <c r="V61" i="22" s="1"/>
  <c r="N17" i="22"/>
  <c r="R17" i="22" s="1"/>
  <c r="N77" i="22"/>
  <c r="R77" i="22" s="1"/>
  <c r="N5" i="22"/>
  <c r="R5" i="22" s="1"/>
  <c r="N57" i="22"/>
  <c r="R57" i="22" s="1"/>
  <c r="V57" i="22" s="1"/>
  <c r="N33" i="22"/>
  <c r="N142" i="22"/>
  <c r="N121" i="22"/>
  <c r="R121" i="22" s="1"/>
  <c r="V121" i="22" s="1"/>
  <c r="N117" i="22"/>
  <c r="R117" i="22" s="1"/>
  <c r="V117" i="22" s="1"/>
  <c r="N118" i="22"/>
  <c r="R118" i="22" s="1"/>
  <c r="V118" i="22" s="1"/>
  <c r="AD107" i="22"/>
  <c r="N97" i="22"/>
  <c r="R97" i="22" s="1"/>
  <c r="V97" i="22" s="1"/>
  <c r="N85" i="22"/>
  <c r="R85" i="22" s="1"/>
  <c r="V85" i="22" s="1"/>
  <c r="N68" i="22"/>
  <c r="R68" i="22" s="1"/>
  <c r="N48" i="22"/>
  <c r="R48" i="22" s="1"/>
  <c r="V48" i="22" s="1"/>
  <c r="AD55" i="22"/>
  <c r="V143" i="21"/>
  <c r="N85" i="21"/>
  <c r="R85" i="21" s="1"/>
  <c r="V85" i="21" s="1"/>
  <c r="N80" i="21"/>
  <c r="R80" i="21" s="1"/>
  <c r="N56" i="21"/>
  <c r="R56" i="21" s="1"/>
  <c r="AD54" i="21"/>
  <c r="N13" i="21"/>
  <c r="R13" i="21" s="1"/>
  <c r="V13" i="21" s="1"/>
  <c r="V119" i="21"/>
  <c r="AD104" i="21"/>
  <c r="N83" i="21"/>
  <c r="R83" i="21" s="1"/>
  <c r="N60" i="21"/>
  <c r="R60" i="21" s="1"/>
  <c r="V60" i="21" s="1"/>
  <c r="N88" i="21"/>
  <c r="R88" i="21" s="1"/>
  <c r="V88" i="21" s="1"/>
  <c r="N82" i="21"/>
  <c r="R82" i="21" s="1"/>
  <c r="V82" i="21" s="1"/>
  <c r="N132" i="21"/>
  <c r="R132" i="21" s="1"/>
  <c r="N130" i="21"/>
  <c r="R130" i="21" s="1"/>
  <c r="V130" i="21" s="1"/>
  <c r="N107" i="21"/>
  <c r="R107" i="21" s="1"/>
  <c r="N94" i="21"/>
  <c r="R94" i="21" s="1"/>
  <c r="V94" i="21" s="1"/>
  <c r="N61" i="21"/>
  <c r="R61" i="21" s="1"/>
  <c r="V61" i="21" s="1"/>
  <c r="N63" i="21"/>
  <c r="R63" i="21" s="1"/>
  <c r="V63" i="21" s="1"/>
  <c r="AD7" i="21"/>
  <c r="M83" i="20"/>
  <c r="O86" i="20"/>
  <c r="Q86" i="20" s="1"/>
  <c r="M86" i="20"/>
  <c r="Z80" i="20"/>
  <c r="M15" i="20"/>
  <c r="U7" i="20"/>
  <c r="M7" i="20"/>
  <c r="L58" i="19"/>
  <c r="M62" i="19"/>
  <c r="Z6" i="19"/>
  <c r="P88" i="20"/>
  <c r="Q88" i="20" s="1"/>
  <c r="U79" i="20"/>
  <c r="P21" i="20"/>
  <c r="P25" i="20"/>
  <c r="L8" i="20"/>
  <c r="L80" i="20"/>
  <c r="M18" i="20"/>
  <c r="M79" i="20"/>
  <c r="P80" i="20"/>
  <c r="U80" i="20" s="1"/>
  <c r="N78" i="20"/>
  <c r="M56" i="20"/>
  <c r="L68" i="20"/>
  <c r="Z56" i="20"/>
  <c r="L56" i="19"/>
  <c r="X74" i="19"/>
  <c r="Y55" i="19"/>
  <c r="N74" i="20"/>
  <c r="L74" i="20"/>
  <c r="Q57" i="20"/>
  <c r="N66" i="20"/>
  <c r="L66" i="20"/>
  <c r="L12" i="20"/>
  <c r="L57" i="20"/>
  <c r="Y7" i="20"/>
  <c r="T8" i="20"/>
  <c r="X8" i="20"/>
  <c r="M13" i="20"/>
  <c r="M54" i="20"/>
  <c r="M55" i="20"/>
  <c r="X55" i="20"/>
  <c r="L65" i="20"/>
  <c r="L67" i="20"/>
  <c r="Q58" i="20"/>
  <c r="M5" i="20"/>
  <c r="L13" i="20"/>
  <c r="R59" i="20"/>
  <c r="X80" i="20"/>
  <c r="M6" i="20"/>
  <c r="Z6" i="20"/>
  <c r="Z7" i="20"/>
  <c r="M10" i="20"/>
  <c r="N15" i="20"/>
  <c r="Y55" i="20"/>
  <c r="Z79" i="20"/>
  <c r="M33" i="20"/>
  <c r="M44" i="20"/>
  <c r="Z50" i="20"/>
  <c r="Z31" i="20"/>
  <c r="Z33" i="20"/>
  <c r="Z30" i="20"/>
  <c r="O31" i="20"/>
  <c r="R34" i="20"/>
  <c r="Q34" i="20"/>
  <c r="T30" i="20"/>
  <c r="O44" i="20"/>
  <c r="L32" i="20"/>
  <c r="L43" i="20"/>
  <c r="Q29" i="20"/>
  <c r="N30" i="20"/>
  <c r="S30" i="20" s="1"/>
  <c r="L34" i="20"/>
  <c r="L50" i="20"/>
  <c r="U30" i="20"/>
  <c r="T31" i="20"/>
  <c r="L36" i="20"/>
  <c r="Y50" i="20"/>
  <c r="X55" i="19"/>
  <c r="M57" i="19"/>
  <c r="Z79" i="19"/>
  <c r="L79" i="19"/>
  <c r="L84" i="19"/>
  <c r="M86" i="19"/>
  <c r="M6" i="19"/>
  <c r="M7" i="19"/>
  <c r="L63" i="19"/>
  <c r="M31" i="19"/>
  <c r="L39" i="19"/>
  <c r="L54" i="19"/>
  <c r="Y81" i="19"/>
  <c r="M32" i="19"/>
  <c r="M55" i="19"/>
  <c r="M60" i="19"/>
  <c r="M8" i="19"/>
  <c r="Y30" i="19"/>
  <c r="AA30" i="19" s="1"/>
  <c r="Q33" i="19"/>
  <c r="M38" i="19"/>
  <c r="L47" i="19"/>
  <c r="O54" i="19"/>
  <c r="R54" i="19" s="1"/>
  <c r="Z55" i="19"/>
  <c r="N60" i="19"/>
  <c r="M81" i="19"/>
  <c r="N86" i="19"/>
  <c r="T30" i="19"/>
  <c r="M10" i="19"/>
  <c r="R33" i="19"/>
  <c r="Z80" i="19"/>
  <c r="M30" i="19"/>
  <c r="L33" i="19"/>
  <c r="M58" i="19"/>
  <c r="N58" i="19"/>
  <c r="L78" i="19"/>
  <c r="T79" i="19"/>
  <c r="N81" i="19"/>
  <c r="S81" i="19" s="1"/>
  <c r="N31" i="19"/>
  <c r="M39" i="19"/>
  <c r="N39" i="19"/>
  <c r="L40" i="19"/>
  <c r="L31" i="19"/>
  <c r="L34" i="19"/>
  <c r="N10" i="19"/>
  <c r="M5" i="19"/>
  <c r="U6" i="19"/>
  <c r="Z7" i="19"/>
  <c r="M14" i="19"/>
  <c r="L20" i="19"/>
  <c r="M12" i="19"/>
  <c r="L5" i="19"/>
  <c r="X6" i="19"/>
  <c r="AA6" i="19" s="1"/>
  <c r="N6" i="19"/>
  <c r="U7" i="19"/>
  <c r="Y8" i="19"/>
  <c r="L8" i="19"/>
  <c r="L12" i="19"/>
  <c r="M19" i="19"/>
  <c r="X7" i="19"/>
  <c r="Y7" i="19"/>
  <c r="M15" i="19"/>
  <c r="L16" i="19"/>
  <c r="L23" i="19"/>
  <c r="L24" i="19"/>
  <c r="O20" i="20"/>
  <c r="L25" i="20"/>
  <c r="N25" i="20"/>
  <c r="M25" i="20"/>
  <c r="T34" i="20"/>
  <c r="X7" i="20"/>
  <c r="L7" i="20"/>
  <c r="N7" i="20"/>
  <c r="M9" i="20"/>
  <c r="P9" i="20"/>
  <c r="R9" i="20" s="1"/>
  <c r="L9" i="20"/>
  <c r="L17" i="20"/>
  <c r="N17" i="20"/>
  <c r="M17" i="20"/>
  <c r="L21" i="20"/>
  <c r="N21" i="20"/>
  <c r="M21" i="20"/>
  <c r="O24" i="20"/>
  <c r="U33" i="20"/>
  <c r="R8" i="20"/>
  <c r="Q8" i="20"/>
  <c r="L11" i="20"/>
  <c r="N11" i="20"/>
  <c r="Z8" i="20"/>
  <c r="Y8" i="20"/>
  <c r="Y6" i="20"/>
  <c r="L6" i="20"/>
  <c r="O6" i="20"/>
  <c r="T6" i="20" s="1"/>
  <c r="U8" i="20"/>
  <c r="L10" i="20"/>
  <c r="O10" i="20"/>
  <c r="Q10" i="20" s="1"/>
  <c r="O18" i="20"/>
  <c r="L19" i="20"/>
  <c r="M19" i="20"/>
  <c r="N19" i="20"/>
  <c r="O22" i="20"/>
  <c r="L23" i="20"/>
  <c r="N23" i="20"/>
  <c r="M23" i="20"/>
  <c r="L5" i="20"/>
  <c r="N5" i="20"/>
  <c r="U6" i="20"/>
  <c r="M11" i="20"/>
  <c r="R13" i="20"/>
  <c r="Q13" i="20"/>
  <c r="L16" i="20"/>
  <c r="L20" i="20"/>
  <c r="U34" i="20"/>
  <c r="O37" i="20"/>
  <c r="N40" i="20"/>
  <c r="L40" i="20"/>
  <c r="N41" i="20"/>
  <c r="M41" i="20"/>
  <c r="L41" i="20"/>
  <c r="P47" i="20"/>
  <c r="N90" i="20"/>
  <c r="M90" i="20"/>
  <c r="L90" i="20"/>
  <c r="P92" i="20"/>
  <c r="N94" i="20"/>
  <c r="M94" i="20"/>
  <c r="L94" i="20"/>
  <c r="P96" i="20"/>
  <c r="M8" i="20"/>
  <c r="M12" i="20"/>
  <c r="P14" i="20"/>
  <c r="Q14" i="20" s="1"/>
  <c r="O15" i="20"/>
  <c r="Q15" i="20" s="1"/>
  <c r="M22" i="20"/>
  <c r="L29" i="20"/>
  <c r="M32" i="20"/>
  <c r="S32" i="20"/>
  <c r="X32" i="20"/>
  <c r="X33" i="20"/>
  <c r="L33" i="20"/>
  <c r="N33" i="20"/>
  <c r="S34" i="20" s="1"/>
  <c r="Y33" i="20"/>
  <c r="M34" i="20"/>
  <c r="L35" i="20"/>
  <c r="M39" i="20"/>
  <c r="N45" i="20"/>
  <c r="M45" i="20"/>
  <c r="L45" i="20"/>
  <c r="R57" i="20"/>
  <c r="U57" i="20"/>
  <c r="L59" i="20"/>
  <c r="O17" i="20"/>
  <c r="L24" i="20"/>
  <c r="O25" i="20"/>
  <c r="O36" i="20"/>
  <c r="Q36" i="20" s="1"/>
  <c r="O38" i="20"/>
  <c r="P48" i="20"/>
  <c r="R48" i="20" s="1"/>
  <c r="O91" i="20"/>
  <c r="O95" i="20"/>
  <c r="L18" i="20"/>
  <c r="R29" i="20"/>
  <c r="M29" i="20"/>
  <c r="L30" i="20"/>
  <c r="P31" i="20"/>
  <c r="U31" i="20" s="1"/>
  <c r="Y32" i="20"/>
  <c r="O32" i="20"/>
  <c r="Q32" i="20" s="1"/>
  <c r="Z32" i="20"/>
  <c r="Y34" i="20"/>
  <c r="M35" i="20"/>
  <c r="M37" i="20"/>
  <c r="L38" i="20"/>
  <c r="O43" i="20"/>
  <c r="M43" i="20"/>
  <c r="L47" i="20"/>
  <c r="M48" i="20"/>
  <c r="N49" i="20"/>
  <c r="M49" i="20"/>
  <c r="L49" i="20"/>
  <c r="T57" i="20"/>
  <c r="O61" i="20"/>
  <c r="L61" i="20"/>
  <c r="L63" i="20"/>
  <c r="O63" i="20"/>
  <c r="Q63" i="20" s="1"/>
  <c r="N16" i="20"/>
  <c r="N20" i="20"/>
  <c r="O21" i="20"/>
  <c r="N24" i="20"/>
  <c r="Y30" i="20"/>
  <c r="AA30" i="20" s="1"/>
  <c r="M31" i="20"/>
  <c r="X31" i="20"/>
  <c r="P35" i="20"/>
  <c r="U55" i="20"/>
  <c r="U56" i="20"/>
  <c r="Z57" i="20"/>
  <c r="T58" i="20"/>
  <c r="M60" i="20"/>
  <c r="N62" i="20"/>
  <c r="M62" i="20"/>
  <c r="L62" i="20"/>
  <c r="N12" i="20"/>
  <c r="L14" i="20"/>
  <c r="N18" i="20"/>
  <c r="L22" i="20"/>
  <c r="M14" i="20"/>
  <c r="L15" i="20"/>
  <c r="M16" i="20"/>
  <c r="M20" i="20"/>
  <c r="M24" i="20"/>
  <c r="M30" i="20"/>
  <c r="L31" i="20"/>
  <c r="M36" i="20"/>
  <c r="L37" i="20"/>
  <c r="N37" i="20"/>
  <c r="M38" i="20"/>
  <c r="R38" i="20"/>
  <c r="M40" i="20"/>
  <c r="P43" i="20"/>
  <c r="P44" i="20"/>
  <c r="P46" i="20"/>
  <c r="O47" i="20"/>
  <c r="Z58" i="20"/>
  <c r="L58" i="20"/>
  <c r="P41" i="20"/>
  <c r="L42" i="20"/>
  <c r="P45" i="20"/>
  <c r="L46" i="20"/>
  <c r="M47" i="20"/>
  <c r="P49" i="20"/>
  <c r="M50" i="20"/>
  <c r="X50" i="20"/>
  <c r="O55" i="20"/>
  <c r="T55" i="20" s="1"/>
  <c r="Z55" i="20"/>
  <c r="X56" i="20"/>
  <c r="L56" i="20"/>
  <c r="N56" i="20"/>
  <c r="Y56" i="20"/>
  <c r="M57" i="20"/>
  <c r="X57" i="20"/>
  <c r="P64" i="20"/>
  <c r="P66" i="20"/>
  <c r="P68" i="20"/>
  <c r="O70" i="20"/>
  <c r="O72" i="20"/>
  <c r="Y74" i="20"/>
  <c r="O74" i="20"/>
  <c r="M74" i="20"/>
  <c r="Z81" i="20"/>
  <c r="P81" i="20"/>
  <c r="U81" i="20" s="1"/>
  <c r="M42" i="20"/>
  <c r="M46" i="20"/>
  <c r="Y57" i="20"/>
  <c r="R58" i="20"/>
  <c r="M58" i="20"/>
  <c r="S58" i="20"/>
  <c r="X58" i="20"/>
  <c r="P62" i="20"/>
  <c r="L64" i="20"/>
  <c r="O64" i="20"/>
  <c r="P70" i="20"/>
  <c r="P72" i="20"/>
  <c r="Z74" i="20"/>
  <c r="P74" i="20"/>
  <c r="L39" i="20"/>
  <c r="N39" i="20"/>
  <c r="O42" i="20"/>
  <c r="L44" i="20"/>
  <c r="O46" i="20"/>
  <c r="L48" i="20"/>
  <c r="P50" i="20"/>
  <c r="Q50" i="20" s="1"/>
  <c r="L54" i="20"/>
  <c r="N54" i="20"/>
  <c r="L55" i="20"/>
  <c r="M59" i="20"/>
  <c r="Q59" i="20"/>
  <c r="L60" i="20"/>
  <c r="N60" i="20"/>
  <c r="M61" i="20"/>
  <c r="M63" i="20"/>
  <c r="R63" i="20"/>
  <c r="P65" i="20"/>
  <c r="R65" i="20" s="1"/>
  <c r="P67" i="20"/>
  <c r="Q67" i="20" s="1"/>
  <c r="L70" i="20"/>
  <c r="L72" i="20"/>
  <c r="O78" i="20"/>
  <c r="T79" i="20" s="1"/>
  <c r="L78" i="20"/>
  <c r="Y81" i="20"/>
  <c r="M65" i="20"/>
  <c r="M66" i="20"/>
  <c r="M67" i="20"/>
  <c r="M68" i="20"/>
  <c r="N68" i="20"/>
  <c r="M69" i="20"/>
  <c r="M71" i="20"/>
  <c r="M73" i="20"/>
  <c r="X74" i="20"/>
  <c r="X79" i="20"/>
  <c r="L79" i="20"/>
  <c r="N79" i="20"/>
  <c r="Y79" i="20"/>
  <c r="M80" i="20"/>
  <c r="M82" i="20"/>
  <c r="L83" i="20"/>
  <c r="N83" i="20"/>
  <c r="L89" i="20"/>
  <c r="O89" i="20"/>
  <c r="M64" i="20"/>
  <c r="O68" i="20"/>
  <c r="L69" i="20"/>
  <c r="L71" i="20"/>
  <c r="L73" i="20"/>
  <c r="O80" i="20"/>
  <c r="T80" i="20" s="1"/>
  <c r="Y80" i="20"/>
  <c r="N80" i="20"/>
  <c r="N81" i="20"/>
  <c r="M81" i="20"/>
  <c r="X81" i="20"/>
  <c r="L81" i="20"/>
  <c r="L82" i="20"/>
  <c r="O82" i="20"/>
  <c r="O84" i="20"/>
  <c r="R84" i="20" s="1"/>
  <c r="L84" i="20"/>
  <c r="R85" i="20"/>
  <c r="Q85" i="20"/>
  <c r="O87" i="20"/>
  <c r="M87" i="20"/>
  <c r="P89" i="20"/>
  <c r="N69" i="20"/>
  <c r="M70" i="20"/>
  <c r="N71" i="20"/>
  <c r="M72" i="20"/>
  <c r="N73" i="20"/>
  <c r="R88" i="20"/>
  <c r="L86" i="20"/>
  <c r="M88" i="20"/>
  <c r="O90" i="20"/>
  <c r="P91" i="20"/>
  <c r="N93" i="20"/>
  <c r="M93" i="20"/>
  <c r="L93" i="20"/>
  <c r="O94" i="20"/>
  <c r="P95" i="20"/>
  <c r="N97" i="20"/>
  <c r="M97" i="20"/>
  <c r="L97" i="20"/>
  <c r="L88" i="20"/>
  <c r="P90" i="20"/>
  <c r="N92" i="20"/>
  <c r="M92" i="20"/>
  <c r="L92" i="20"/>
  <c r="O93" i="20"/>
  <c r="P94" i="20"/>
  <c r="N96" i="20"/>
  <c r="M96" i="20"/>
  <c r="L96" i="20"/>
  <c r="O97" i="20"/>
  <c r="M84" i="20"/>
  <c r="L85" i="20"/>
  <c r="L87" i="20"/>
  <c r="N87" i="20"/>
  <c r="N91" i="20"/>
  <c r="M91" i="20"/>
  <c r="L91" i="20"/>
  <c r="O92" i="20"/>
  <c r="P93" i="20"/>
  <c r="N95" i="20"/>
  <c r="M95" i="20"/>
  <c r="L95" i="20"/>
  <c r="O96" i="20"/>
  <c r="P97" i="20"/>
  <c r="M85" i="20"/>
  <c r="M89" i="20"/>
  <c r="S80" i="19"/>
  <c r="S79" i="19"/>
  <c r="R79" i="19"/>
  <c r="Q79" i="19"/>
  <c r="X82" i="19"/>
  <c r="X81" i="19"/>
  <c r="Z81" i="19"/>
  <c r="T80" i="19"/>
  <c r="P88" i="19"/>
  <c r="P78" i="19"/>
  <c r="R78" i="19" s="1"/>
  <c r="M79" i="19"/>
  <c r="L80" i="19"/>
  <c r="P80" i="19"/>
  <c r="U80" i="19" s="1"/>
  <c r="X80" i="19"/>
  <c r="O81" i="19"/>
  <c r="T81" i="19" s="1"/>
  <c r="N82" i="19"/>
  <c r="M88" i="19"/>
  <c r="N90" i="19"/>
  <c r="M90" i="19"/>
  <c r="L90" i="19"/>
  <c r="N91" i="19"/>
  <c r="M91" i="19"/>
  <c r="L91" i="19"/>
  <c r="N92" i="19"/>
  <c r="M92" i="19"/>
  <c r="L92" i="19"/>
  <c r="N93" i="19"/>
  <c r="M93" i="19"/>
  <c r="L93" i="19"/>
  <c r="N94" i="19"/>
  <c r="M94" i="19"/>
  <c r="L94" i="19"/>
  <c r="N95" i="19"/>
  <c r="M95" i="19"/>
  <c r="L95" i="19"/>
  <c r="N96" i="19"/>
  <c r="M96" i="19"/>
  <c r="L96" i="19"/>
  <c r="N97" i="19"/>
  <c r="M97" i="19"/>
  <c r="L97" i="19"/>
  <c r="P85" i="19"/>
  <c r="R85" i="19" s="1"/>
  <c r="M80" i="19"/>
  <c r="L81" i="19"/>
  <c r="M84" i="19"/>
  <c r="M85" i="19"/>
  <c r="M89" i="19"/>
  <c r="O90" i="19"/>
  <c r="O91" i="19"/>
  <c r="O92" i="19"/>
  <c r="O93" i="19"/>
  <c r="O94" i="19"/>
  <c r="O95" i="19"/>
  <c r="O96" i="19"/>
  <c r="O97" i="19"/>
  <c r="X79" i="19"/>
  <c r="M82" i="19"/>
  <c r="M83" i="19"/>
  <c r="P84" i="19"/>
  <c r="Q84" i="19" s="1"/>
  <c r="O89" i="19"/>
  <c r="Y79" i="19"/>
  <c r="M78" i="19"/>
  <c r="Y80" i="19"/>
  <c r="P83" i="19"/>
  <c r="Q83" i="19" s="1"/>
  <c r="L82" i="19"/>
  <c r="L83" i="19"/>
  <c r="M87" i="19"/>
  <c r="L85" i="19"/>
  <c r="O86" i="19"/>
  <c r="Q86" i="19" s="1"/>
  <c r="N87" i="19"/>
  <c r="O88" i="19"/>
  <c r="L89" i="19"/>
  <c r="P89" i="19"/>
  <c r="P90" i="19"/>
  <c r="P91" i="19"/>
  <c r="P92" i="19"/>
  <c r="P93" i="19"/>
  <c r="P94" i="19"/>
  <c r="P95" i="19"/>
  <c r="P96" i="19"/>
  <c r="P97" i="19"/>
  <c r="L86" i="19"/>
  <c r="L88" i="19"/>
  <c r="L87" i="19"/>
  <c r="R16" i="19"/>
  <c r="Q16" i="19"/>
  <c r="U8" i="19"/>
  <c r="R12" i="19"/>
  <c r="Q12" i="19"/>
  <c r="R25" i="19"/>
  <c r="Q25" i="19"/>
  <c r="T8" i="19"/>
  <c r="L17" i="19"/>
  <c r="P17" i="19"/>
  <c r="Q17" i="19" s="1"/>
  <c r="M21" i="19"/>
  <c r="N21" i="19"/>
  <c r="L21" i="19"/>
  <c r="P13" i="19"/>
  <c r="O14" i="19"/>
  <c r="Q14" i="19" s="1"/>
  <c r="N15" i="19"/>
  <c r="M16" i="19"/>
  <c r="M17" i="19"/>
  <c r="N22" i="19"/>
  <c r="M22" i="19"/>
  <c r="L22" i="19"/>
  <c r="N30" i="19"/>
  <c r="L30" i="19"/>
  <c r="L32" i="19"/>
  <c r="N32" i="19"/>
  <c r="Q34" i="19"/>
  <c r="O37" i="19"/>
  <c r="Q37" i="19" s="1"/>
  <c r="L37" i="19"/>
  <c r="L9" i="19"/>
  <c r="L6" i="19"/>
  <c r="N8" i="19"/>
  <c r="Z8" i="19"/>
  <c r="M13" i="19"/>
  <c r="M20" i="19"/>
  <c r="P23" i="19"/>
  <c r="R29" i="19"/>
  <c r="U32" i="19"/>
  <c r="Z31" i="19"/>
  <c r="R35" i="19"/>
  <c r="P42" i="19"/>
  <c r="N44" i="19"/>
  <c r="M44" i="19"/>
  <c r="L44" i="19"/>
  <c r="X8" i="19"/>
  <c r="M11" i="19"/>
  <c r="N19" i="19"/>
  <c r="O22" i="19"/>
  <c r="M25" i="19"/>
  <c r="L25" i="19"/>
  <c r="N5" i="19"/>
  <c r="O6" i="19"/>
  <c r="T6" i="19" s="1"/>
  <c r="N7" i="19"/>
  <c r="P9" i="19"/>
  <c r="U9" i="19" s="1"/>
  <c r="O10" i="19"/>
  <c r="N11" i="19"/>
  <c r="L13" i="19"/>
  <c r="M9" i="19"/>
  <c r="L10" i="19"/>
  <c r="L14" i="19"/>
  <c r="O18" i="19"/>
  <c r="L18" i="19"/>
  <c r="L19" i="19"/>
  <c r="M23" i="19"/>
  <c r="M24" i="19"/>
  <c r="L7" i="19"/>
  <c r="L11" i="19"/>
  <c r="L15" i="19"/>
  <c r="M18" i="19"/>
  <c r="P19" i="19"/>
  <c r="N20" i="19"/>
  <c r="Q23" i="19"/>
  <c r="P24" i="19"/>
  <c r="N24" i="19"/>
  <c r="L29" i="19"/>
  <c r="X31" i="19"/>
  <c r="M33" i="19"/>
  <c r="L35" i="19"/>
  <c r="M36" i="19"/>
  <c r="N38" i="19"/>
  <c r="L38" i="19"/>
  <c r="R49" i="19"/>
  <c r="Q49" i="19"/>
  <c r="P50" i="19"/>
  <c r="Z50" i="19"/>
  <c r="O64" i="19"/>
  <c r="Q64" i="19" s="1"/>
  <c r="L64" i="19"/>
  <c r="P40" i="19"/>
  <c r="Q40" i="19" s="1"/>
  <c r="N41" i="19"/>
  <c r="M41" i="19"/>
  <c r="L41" i="19"/>
  <c r="N45" i="19"/>
  <c r="M45" i="19"/>
  <c r="L45" i="19"/>
  <c r="P48" i="19"/>
  <c r="O50" i="19"/>
  <c r="Y50" i="19"/>
  <c r="Q59" i="19"/>
  <c r="O67" i="19"/>
  <c r="P30" i="19"/>
  <c r="U30" i="19" s="1"/>
  <c r="Y31" i="19"/>
  <c r="O31" i="19"/>
  <c r="R34" i="19"/>
  <c r="M34" i="19"/>
  <c r="P38" i="19"/>
  <c r="O39" i="19"/>
  <c r="N42" i="19"/>
  <c r="M42" i="19"/>
  <c r="L42" i="19"/>
  <c r="N46" i="19"/>
  <c r="M46" i="19"/>
  <c r="L46" i="19"/>
  <c r="M49" i="19"/>
  <c r="L49" i="19"/>
  <c r="N55" i="19"/>
  <c r="S56" i="19" s="1"/>
  <c r="L55" i="19"/>
  <c r="U57" i="19"/>
  <c r="Z56" i="19"/>
  <c r="X56" i="19"/>
  <c r="M29" i="19"/>
  <c r="Q29" i="19"/>
  <c r="M35" i="19"/>
  <c r="Q35" i="19"/>
  <c r="L36" i="19"/>
  <c r="N36" i="19"/>
  <c r="M37" i="19"/>
  <c r="N43" i="19"/>
  <c r="M43" i="19"/>
  <c r="L43" i="19"/>
  <c r="L48" i="19"/>
  <c r="N48" i="19"/>
  <c r="M48" i="19"/>
  <c r="M50" i="19"/>
  <c r="O71" i="19"/>
  <c r="M40" i="19"/>
  <c r="M47" i="19"/>
  <c r="M56" i="19"/>
  <c r="L57" i="19"/>
  <c r="N57" i="19"/>
  <c r="Y57" i="19"/>
  <c r="L62" i="19"/>
  <c r="N62" i="19"/>
  <c r="P68" i="19"/>
  <c r="P72" i="19"/>
  <c r="X50" i="19"/>
  <c r="L50" i="19"/>
  <c r="N50" i="19"/>
  <c r="P55" i="19"/>
  <c r="U55" i="19" s="1"/>
  <c r="Y56" i="19"/>
  <c r="O56" i="19"/>
  <c r="Q56" i="19" s="1"/>
  <c r="O58" i="19"/>
  <c r="R61" i="19"/>
  <c r="Q61" i="19"/>
  <c r="O46" i="19"/>
  <c r="P47" i="19"/>
  <c r="M54" i="19"/>
  <c r="L59" i="19"/>
  <c r="P60" i="19"/>
  <c r="L61" i="19"/>
  <c r="M61" i="19"/>
  <c r="Z74" i="19"/>
  <c r="P74" i="19"/>
  <c r="O60" i="19"/>
  <c r="M63" i="19"/>
  <c r="P65" i="19"/>
  <c r="O68" i="19"/>
  <c r="P69" i="19"/>
  <c r="O72" i="19"/>
  <c r="P73" i="19"/>
  <c r="O65" i="19"/>
  <c r="P66" i="19"/>
  <c r="O69" i="19"/>
  <c r="P70" i="19"/>
  <c r="O73" i="19"/>
  <c r="N74" i="19"/>
  <c r="M74" i="19"/>
  <c r="L74" i="19"/>
  <c r="R59" i="19"/>
  <c r="M59" i="19"/>
  <c r="L60" i="19"/>
  <c r="P63" i="19"/>
  <c r="M64" i="19"/>
  <c r="O66" i="19"/>
  <c r="P67" i="19"/>
  <c r="O70" i="19"/>
  <c r="P71" i="19"/>
  <c r="L65" i="19"/>
  <c r="L66" i="19"/>
  <c r="L67" i="19"/>
  <c r="L68" i="19"/>
  <c r="L69" i="19"/>
  <c r="L70" i="19"/>
  <c r="L71" i="19"/>
  <c r="L72" i="19"/>
  <c r="L73" i="19"/>
  <c r="Y74" i="19"/>
  <c r="M65" i="19"/>
  <c r="M66" i="19"/>
  <c r="M67" i="19"/>
  <c r="M68" i="19"/>
  <c r="M69" i="19"/>
  <c r="M70" i="19"/>
  <c r="M71" i="19"/>
  <c r="M72" i="19"/>
  <c r="M73" i="19"/>
  <c r="S46" i="21" l="1"/>
  <c r="AE17" i="21" s="1"/>
  <c r="S100" i="24"/>
  <c r="X89" i="24" s="1"/>
  <c r="T100" i="24"/>
  <c r="U100" i="24" s="1"/>
  <c r="Y89" i="24" s="1"/>
  <c r="T88" i="24"/>
  <c r="U88" i="24" s="1"/>
  <c r="Y85" i="24" s="1"/>
  <c r="S88" i="24"/>
  <c r="X85" i="24" s="1"/>
  <c r="S106" i="24"/>
  <c r="X91" i="24" s="1"/>
  <c r="T106" i="24"/>
  <c r="U106" i="24" s="1"/>
  <c r="Y91" i="24" s="1"/>
  <c r="S109" i="24"/>
  <c r="X92" i="24" s="1"/>
  <c r="T109" i="24"/>
  <c r="U109" i="24" s="1"/>
  <c r="Y92" i="24" s="1"/>
  <c r="T91" i="24"/>
  <c r="U91" i="24" s="1"/>
  <c r="Y86" i="24" s="1"/>
  <c r="S91" i="24"/>
  <c r="X86" i="24" s="1"/>
  <c r="T97" i="24"/>
  <c r="U97" i="24" s="1"/>
  <c r="Y88" i="24" s="1"/>
  <c r="S97" i="24"/>
  <c r="X88" i="24" s="1"/>
  <c r="S103" i="24"/>
  <c r="X90" i="24" s="1"/>
  <c r="T103" i="24"/>
  <c r="U103" i="24" s="1"/>
  <c r="Y90" i="24" s="1"/>
  <c r="T109" i="23"/>
  <c r="U109" i="23" s="1"/>
  <c r="Y92" i="23" s="1"/>
  <c r="S109" i="23"/>
  <c r="X92" i="23" s="1"/>
  <c r="S106" i="23"/>
  <c r="X91" i="23" s="1"/>
  <c r="T106" i="23"/>
  <c r="U106" i="23" s="1"/>
  <c r="Y91" i="23" s="1"/>
  <c r="S103" i="23"/>
  <c r="X90" i="23" s="1"/>
  <c r="T103" i="23"/>
  <c r="U103" i="23" s="1"/>
  <c r="Y90" i="23" s="1"/>
  <c r="T100" i="23"/>
  <c r="U100" i="23" s="1"/>
  <c r="Y89" i="23" s="1"/>
  <c r="S100" i="23"/>
  <c r="X89" i="23" s="1"/>
  <c r="S97" i="23"/>
  <c r="X88" i="23" s="1"/>
  <c r="T97" i="23"/>
  <c r="U97" i="23" s="1"/>
  <c r="Y88" i="23" s="1"/>
  <c r="S94" i="23"/>
  <c r="X87" i="23" s="1"/>
  <c r="T94" i="23"/>
  <c r="U94" i="23" s="1"/>
  <c r="Y87" i="23" s="1"/>
  <c r="T91" i="23"/>
  <c r="U91" i="23" s="1"/>
  <c r="Y86" i="23" s="1"/>
  <c r="S91" i="23"/>
  <c r="X86" i="23" s="1"/>
  <c r="T88" i="23"/>
  <c r="U88" i="23" s="1"/>
  <c r="Y85" i="23" s="1"/>
  <c r="S88" i="23"/>
  <c r="X85" i="23" s="1"/>
  <c r="Z63" i="22"/>
  <c r="N114" i="22"/>
  <c r="R114" i="22" s="1"/>
  <c r="V114" i="22" s="1"/>
  <c r="Z114" i="22" s="1"/>
  <c r="N95" i="22"/>
  <c r="R95" i="22" s="1"/>
  <c r="N19" i="22"/>
  <c r="R19" i="22" s="1"/>
  <c r="V19" i="22" s="1"/>
  <c r="Z19" i="22" s="1"/>
  <c r="N86" i="22"/>
  <c r="R86" i="22" s="1"/>
  <c r="V86" i="22" s="1"/>
  <c r="X88" i="22" s="1"/>
  <c r="Y88" i="22" s="1"/>
  <c r="AH63" i="22" s="1"/>
  <c r="N15" i="22"/>
  <c r="R15" i="22" s="1"/>
  <c r="V15" i="22" s="1"/>
  <c r="X16" i="22" s="1"/>
  <c r="Y16" i="22" s="1"/>
  <c r="AH8" i="22" s="1"/>
  <c r="N189" i="22"/>
  <c r="R189" i="22" s="1"/>
  <c r="V189" i="22" s="1"/>
  <c r="D164" i="22"/>
  <c r="AD154" i="22"/>
  <c r="N96" i="22"/>
  <c r="R96" i="22" s="1"/>
  <c r="V96" i="22" s="1"/>
  <c r="N161" i="22"/>
  <c r="R161" i="22" s="1"/>
  <c r="T46" i="21"/>
  <c r="U46" i="21" s="1"/>
  <c r="AF17" i="21" s="1"/>
  <c r="S121" i="21"/>
  <c r="AE107" i="21" s="1"/>
  <c r="N6" i="21"/>
  <c r="R6" i="21" s="1"/>
  <c r="V6" i="21" s="1"/>
  <c r="N35" i="21"/>
  <c r="R35" i="21" s="1"/>
  <c r="N144" i="21"/>
  <c r="R144" i="21" s="1"/>
  <c r="V144" i="21" s="1"/>
  <c r="N138" i="21"/>
  <c r="R138" i="21" s="1"/>
  <c r="V138" i="21" s="1"/>
  <c r="N137" i="21"/>
  <c r="R137" i="21" s="1"/>
  <c r="D164" i="21"/>
  <c r="AD154" i="21"/>
  <c r="N164" i="21"/>
  <c r="R164" i="21" s="1"/>
  <c r="V164" i="21" s="1"/>
  <c r="N14" i="21"/>
  <c r="R14" i="21" s="1"/>
  <c r="N106" i="21"/>
  <c r="R106" i="21" s="1"/>
  <c r="V106" i="21" s="1"/>
  <c r="S127" i="22"/>
  <c r="AE110" i="22" s="1"/>
  <c r="N113" i="22"/>
  <c r="R113" i="22" s="1"/>
  <c r="N138" i="22"/>
  <c r="R138" i="22" s="1"/>
  <c r="V138" i="22" s="1"/>
  <c r="S169" i="22"/>
  <c r="AE156" i="22" s="1"/>
  <c r="T46" i="22"/>
  <c r="U46" i="22" s="1"/>
  <c r="AF18" i="22" s="1"/>
  <c r="T76" i="22"/>
  <c r="U76" i="22" s="1"/>
  <c r="AF59" i="22" s="1"/>
  <c r="S25" i="22"/>
  <c r="AE11" i="22" s="1"/>
  <c r="X22" i="22"/>
  <c r="Y22" i="22" s="1"/>
  <c r="AH10" i="22" s="1"/>
  <c r="S172" i="22"/>
  <c r="AE157" i="22" s="1"/>
  <c r="AF156" i="22"/>
  <c r="S175" i="22"/>
  <c r="AE158" i="22" s="1"/>
  <c r="T22" i="21"/>
  <c r="U22" i="21" s="1"/>
  <c r="AF9" i="21" s="1"/>
  <c r="S124" i="21"/>
  <c r="AE108" i="21" s="1"/>
  <c r="N42" i="21"/>
  <c r="N188" i="21"/>
  <c r="R188" i="21" s="1"/>
  <c r="T193" i="21"/>
  <c r="U193" i="21" s="1"/>
  <c r="AF164" i="21" s="1"/>
  <c r="T124" i="21"/>
  <c r="U124" i="21" s="1"/>
  <c r="AF108" i="21" s="1"/>
  <c r="S127" i="21"/>
  <c r="AE109" i="21" s="1"/>
  <c r="N92" i="21"/>
  <c r="R92" i="21" s="1"/>
  <c r="N41" i="21"/>
  <c r="R41" i="21" s="1"/>
  <c r="N108" i="21"/>
  <c r="R108" i="21" s="1"/>
  <c r="V108" i="21" s="1"/>
  <c r="S193" i="21"/>
  <c r="AE164" i="21" s="1"/>
  <c r="W175" i="21"/>
  <c r="AG158" i="21" s="1"/>
  <c r="S175" i="21"/>
  <c r="AE158" i="21" s="1"/>
  <c r="T175" i="21"/>
  <c r="U175" i="21" s="1"/>
  <c r="AF158" i="21" s="1"/>
  <c r="T121" i="21"/>
  <c r="U121" i="21" s="1"/>
  <c r="AF107" i="21" s="1"/>
  <c r="T100" i="21"/>
  <c r="U100" i="21" s="1"/>
  <c r="AF66" i="21" s="1"/>
  <c r="R86" i="20"/>
  <c r="N191" i="22"/>
  <c r="R191" i="22" s="1"/>
  <c r="N65" i="22"/>
  <c r="R65" i="22" s="1"/>
  <c r="V65" i="22" s="1"/>
  <c r="V8" i="21"/>
  <c r="S10" i="21"/>
  <c r="AE5" i="21" s="1"/>
  <c r="T10" i="21"/>
  <c r="U10" i="21" s="1"/>
  <c r="AF5" i="21" s="1"/>
  <c r="N89" i="21"/>
  <c r="R89" i="21" s="1"/>
  <c r="V89" i="21" s="1"/>
  <c r="N90" i="21"/>
  <c r="R90" i="21" s="1"/>
  <c r="V90" i="21" s="1"/>
  <c r="N93" i="21"/>
  <c r="R93" i="21" s="1"/>
  <c r="V93" i="21" s="1"/>
  <c r="D20" i="24"/>
  <c r="W8" i="24"/>
  <c r="W8" i="23"/>
  <c r="D20" i="23"/>
  <c r="Z10" i="22"/>
  <c r="N185" i="22"/>
  <c r="R185" i="22" s="1"/>
  <c r="V185" i="22" s="1"/>
  <c r="V170" i="22"/>
  <c r="X172" i="22" s="1"/>
  <c r="Y172" i="22" s="1"/>
  <c r="AH157" i="22" s="1"/>
  <c r="S46" i="22"/>
  <c r="AE18" i="22" s="1"/>
  <c r="T172" i="22"/>
  <c r="U172" i="22" s="1"/>
  <c r="AF157" i="22" s="1"/>
  <c r="N39" i="22"/>
  <c r="R39" i="22" s="1"/>
  <c r="V39" i="22" s="1"/>
  <c r="N30" i="22"/>
  <c r="R30" i="22" s="1"/>
  <c r="V30" i="22" s="1"/>
  <c r="N143" i="22"/>
  <c r="R143" i="22" s="1"/>
  <c r="V143" i="22" s="1"/>
  <c r="X145" i="22" s="1"/>
  <c r="Y145" i="22" s="1"/>
  <c r="AH116" i="22" s="1"/>
  <c r="T94" i="22"/>
  <c r="U94" i="22" s="1"/>
  <c r="AF65" i="22" s="1"/>
  <c r="N163" i="22"/>
  <c r="R163" i="22" s="1"/>
  <c r="V163" i="22" s="1"/>
  <c r="N140" i="22"/>
  <c r="R140" i="22" s="1"/>
  <c r="V140" i="22" s="1"/>
  <c r="W142" i="22" s="1"/>
  <c r="AG115" i="22" s="1"/>
  <c r="X94" i="22"/>
  <c r="Y94" i="22" s="1"/>
  <c r="AH65" i="22" s="1"/>
  <c r="N134" i="22"/>
  <c r="R134" i="22" s="1"/>
  <c r="V134" i="22" s="1"/>
  <c r="W136" i="22" s="1"/>
  <c r="AG113" i="22" s="1"/>
  <c r="Z64" i="22"/>
  <c r="V164" i="22"/>
  <c r="Z16" i="22"/>
  <c r="N38" i="22"/>
  <c r="R38" i="22" s="1"/>
  <c r="V38" i="22" s="1"/>
  <c r="N36" i="22"/>
  <c r="R36" i="22" s="1"/>
  <c r="V36" i="22" s="1"/>
  <c r="W37" i="22" s="1"/>
  <c r="AG15" i="22" s="1"/>
  <c r="N33" i="21"/>
  <c r="R33" i="21" s="1"/>
  <c r="V33" i="21" s="1"/>
  <c r="V122" i="21"/>
  <c r="W124" i="21" s="1"/>
  <c r="AG108" i="21" s="1"/>
  <c r="S76" i="21"/>
  <c r="AE58" i="21" s="1"/>
  <c r="V20" i="21"/>
  <c r="N165" i="21"/>
  <c r="R165" i="21" s="1"/>
  <c r="V165" i="21" s="1"/>
  <c r="N182" i="21"/>
  <c r="R182" i="21" s="1"/>
  <c r="V182" i="21" s="1"/>
  <c r="N12" i="21"/>
  <c r="R12" i="21" s="1"/>
  <c r="V12" i="21" s="1"/>
  <c r="W13" i="21" s="1"/>
  <c r="AG6" i="21" s="1"/>
  <c r="T76" i="21"/>
  <c r="U76" i="21" s="1"/>
  <c r="AF58" i="21" s="1"/>
  <c r="N179" i="21"/>
  <c r="R179" i="21" s="1"/>
  <c r="S181" i="21" s="1"/>
  <c r="AE160" i="21" s="1"/>
  <c r="N36" i="21"/>
  <c r="R36" i="21" s="1"/>
  <c r="V36" i="21" s="1"/>
  <c r="N18" i="21"/>
  <c r="R18" i="21" s="1"/>
  <c r="V18" i="21" s="1"/>
  <c r="Z18" i="21" s="1"/>
  <c r="X76" i="21"/>
  <c r="Y76" i="21" s="1"/>
  <c r="AH58" i="21" s="1"/>
  <c r="N117" i="21"/>
  <c r="R117" i="21" s="1"/>
  <c r="V117" i="21" s="1"/>
  <c r="N109" i="21"/>
  <c r="R109" i="21" s="1"/>
  <c r="V109" i="21" s="1"/>
  <c r="Z109" i="21" s="1"/>
  <c r="N104" i="21"/>
  <c r="R104" i="21" s="1"/>
  <c r="V104" i="21" s="1"/>
  <c r="N133" i="21"/>
  <c r="R133" i="21" s="1"/>
  <c r="V133" i="21" s="1"/>
  <c r="N7" i="21"/>
  <c r="R7" i="21" s="1"/>
  <c r="V7" i="21" s="1"/>
  <c r="Z13" i="21" s="1"/>
  <c r="N15" i="21"/>
  <c r="R15" i="21" s="1"/>
  <c r="V15" i="21" s="1"/>
  <c r="Z15" i="21" s="1"/>
  <c r="N31" i="21"/>
  <c r="R31" i="21" s="1"/>
  <c r="V31" i="21" s="1"/>
  <c r="X31" i="21" s="1"/>
  <c r="Y31" i="21" s="1"/>
  <c r="AH12" i="21" s="1"/>
  <c r="N57" i="21"/>
  <c r="R57" i="21" s="1"/>
  <c r="V57" i="21" s="1"/>
  <c r="Z57" i="21" s="1"/>
  <c r="N47" i="21"/>
  <c r="R47" i="21" s="1"/>
  <c r="N184" i="21"/>
  <c r="R184" i="21" s="1"/>
  <c r="V184" i="21" s="1"/>
  <c r="N115" i="21"/>
  <c r="R115" i="21" s="1"/>
  <c r="V115" i="21" s="1"/>
  <c r="N152" i="21"/>
  <c r="R152" i="21" s="1"/>
  <c r="N48" i="21"/>
  <c r="R48" i="21" s="1"/>
  <c r="V48" i="21" s="1"/>
  <c r="Z48" i="21" s="1"/>
  <c r="X175" i="21"/>
  <c r="Y175" i="21" s="1"/>
  <c r="AH158" i="21" s="1"/>
  <c r="N32" i="21"/>
  <c r="R32" i="21" s="1"/>
  <c r="V32" i="21" s="1"/>
  <c r="N86" i="21"/>
  <c r="R86" i="21" s="1"/>
  <c r="V86" i="21" s="1"/>
  <c r="Z9" i="21"/>
  <c r="N96" i="21"/>
  <c r="R96" i="21" s="1"/>
  <c r="V96" i="21" s="1"/>
  <c r="N87" i="21"/>
  <c r="R87" i="21" s="1"/>
  <c r="V87" i="21" s="1"/>
  <c r="D74" i="24"/>
  <c r="W62" i="24"/>
  <c r="D74" i="23"/>
  <c r="W62" i="23"/>
  <c r="S124" i="22"/>
  <c r="AE109" i="22" s="1"/>
  <c r="T127" i="22"/>
  <c r="U127" i="22" s="1"/>
  <c r="AF110" i="22" s="1"/>
  <c r="V74" i="22"/>
  <c r="X76" i="22" s="1"/>
  <c r="Y76" i="22" s="1"/>
  <c r="AH59" i="22" s="1"/>
  <c r="T124" i="22"/>
  <c r="U124" i="22" s="1"/>
  <c r="AF109" i="22" s="1"/>
  <c r="N32" i="22"/>
  <c r="R32" i="22" s="1"/>
  <c r="S34" i="22" s="1"/>
  <c r="AE14" i="22" s="1"/>
  <c r="N165" i="22"/>
  <c r="R165" i="22" s="1"/>
  <c r="V165" i="22" s="1"/>
  <c r="N8" i="22"/>
  <c r="R8" i="22" s="1"/>
  <c r="V8" i="22" s="1"/>
  <c r="X10" i="22" s="1"/>
  <c r="Y10" i="22" s="1"/>
  <c r="AH6" i="22" s="1"/>
  <c r="S94" i="22"/>
  <c r="AE65" i="22" s="1"/>
  <c r="N47" i="22"/>
  <c r="R47" i="22" s="1"/>
  <c r="V47" i="22" s="1"/>
  <c r="W49" i="22" s="1"/>
  <c r="AG19" i="22" s="1"/>
  <c r="T166" i="22"/>
  <c r="U166" i="22" s="1"/>
  <c r="AF155" i="22" s="1"/>
  <c r="N192" i="22"/>
  <c r="R192" i="22" s="1"/>
  <c r="V192" i="22" s="1"/>
  <c r="AF158" i="22"/>
  <c r="V173" i="22"/>
  <c r="N178" i="22"/>
  <c r="R178" i="22" s="1"/>
  <c r="V178" i="22" s="1"/>
  <c r="N179" i="22"/>
  <c r="R179" i="22" s="1"/>
  <c r="S181" i="22" s="1"/>
  <c r="AE160" i="22" s="1"/>
  <c r="N29" i="22"/>
  <c r="R29" i="22" s="1"/>
  <c r="N66" i="22"/>
  <c r="R66" i="22" s="1"/>
  <c r="V66" i="22" s="1"/>
  <c r="Z66" i="22" s="1"/>
  <c r="AF11" i="22"/>
  <c r="S64" i="22"/>
  <c r="AE55" i="22" s="1"/>
  <c r="N11" i="22"/>
  <c r="R11" i="22" s="1"/>
  <c r="V11" i="22" s="1"/>
  <c r="N132" i="22"/>
  <c r="R132" i="22" s="1"/>
  <c r="V132" i="22" s="1"/>
  <c r="N42" i="22"/>
  <c r="N12" i="22"/>
  <c r="R12" i="22" s="1"/>
  <c r="V12" i="22" s="1"/>
  <c r="Z12" i="22" s="1"/>
  <c r="S22" i="22"/>
  <c r="AE10" i="22" s="1"/>
  <c r="Z22" i="22"/>
  <c r="W22" i="22"/>
  <c r="AG10" i="22" s="1"/>
  <c r="N106" i="22"/>
  <c r="R106" i="22" s="1"/>
  <c r="V106" i="22" s="1"/>
  <c r="T22" i="22"/>
  <c r="U22" i="22" s="1"/>
  <c r="AF10" i="22" s="1"/>
  <c r="V176" i="22"/>
  <c r="N90" i="22"/>
  <c r="R90" i="22" s="1"/>
  <c r="V90" i="22" s="1"/>
  <c r="W91" i="22" s="1"/>
  <c r="AG64" i="22" s="1"/>
  <c r="N156" i="22"/>
  <c r="R156" i="22" s="1"/>
  <c r="V156" i="22" s="1"/>
  <c r="Z156" i="22" s="1"/>
  <c r="Z58" i="21"/>
  <c r="N194" i="21"/>
  <c r="R194" i="21" s="1"/>
  <c r="T127" i="21"/>
  <c r="U127" i="21" s="1"/>
  <c r="AF109" i="21" s="1"/>
  <c r="N162" i="21"/>
  <c r="R162" i="21" s="1"/>
  <c r="V162" i="21" s="1"/>
  <c r="N159" i="21"/>
  <c r="R159" i="21" s="1"/>
  <c r="V159" i="21" s="1"/>
  <c r="W172" i="21"/>
  <c r="AG157" i="21" s="1"/>
  <c r="X172" i="21"/>
  <c r="Y172" i="21" s="1"/>
  <c r="AH157" i="21" s="1"/>
  <c r="N39" i="21"/>
  <c r="R39" i="21" s="1"/>
  <c r="V39" i="21" s="1"/>
  <c r="N136" i="21"/>
  <c r="R136" i="21" s="1"/>
  <c r="V136" i="21" s="1"/>
  <c r="X136" i="21" s="1"/>
  <c r="Y136" i="21" s="1"/>
  <c r="AH112" i="21" s="1"/>
  <c r="V125" i="21"/>
  <c r="S22" i="21"/>
  <c r="AE9" i="21" s="1"/>
  <c r="N62" i="21"/>
  <c r="R62" i="21" s="1"/>
  <c r="S64" i="21" s="1"/>
  <c r="AE54" i="21" s="1"/>
  <c r="V98" i="21"/>
  <c r="W100" i="21" s="1"/>
  <c r="AG66" i="21" s="1"/>
  <c r="V161" i="21"/>
  <c r="N128" i="21"/>
  <c r="R128" i="21" s="1"/>
  <c r="V128" i="21" s="1"/>
  <c r="N147" i="21"/>
  <c r="R147" i="21" s="1"/>
  <c r="V147" i="21" s="1"/>
  <c r="N189" i="21"/>
  <c r="R189" i="21" s="1"/>
  <c r="V189" i="21" s="1"/>
  <c r="V44" i="21"/>
  <c r="X46" i="21" s="1"/>
  <c r="Y46" i="21" s="1"/>
  <c r="AH17" i="21" s="1"/>
  <c r="V29" i="21"/>
  <c r="N185" i="21"/>
  <c r="R185" i="21" s="1"/>
  <c r="V185" i="21" s="1"/>
  <c r="N53" i="21"/>
  <c r="R53" i="21" s="1"/>
  <c r="V53" i="21" s="1"/>
  <c r="X55" i="21" s="1"/>
  <c r="Y55" i="21" s="1"/>
  <c r="N110" i="21"/>
  <c r="R110" i="21" s="1"/>
  <c r="T112" i="21" s="1"/>
  <c r="U112" i="21" s="1"/>
  <c r="AF104" i="21" s="1"/>
  <c r="N116" i="21"/>
  <c r="R116" i="21" s="1"/>
  <c r="T118" i="21" s="1"/>
  <c r="U118" i="21" s="1"/>
  <c r="AF106" i="21" s="1"/>
  <c r="V14" i="21"/>
  <c r="N176" i="21"/>
  <c r="R176" i="21" s="1"/>
  <c r="V176" i="21" s="1"/>
  <c r="N153" i="21"/>
  <c r="R153" i="21" s="1"/>
  <c r="V153" i="21" s="1"/>
  <c r="N38" i="21"/>
  <c r="R38" i="21" s="1"/>
  <c r="T40" i="21" s="1"/>
  <c r="U40" i="21" s="1"/>
  <c r="AF15" i="21" s="1"/>
  <c r="N195" i="21"/>
  <c r="R195" i="21" s="1"/>
  <c r="V195" i="21" s="1"/>
  <c r="T172" i="21"/>
  <c r="U172" i="21" s="1"/>
  <c r="AF157" i="21" s="1"/>
  <c r="S172" i="21"/>
  <c r="AE157" i="21" s="1"/>
  <c r="W35" i="23"/>
  <c r="Z159" i="22"/>
  <c r="Z162" i="22"/>
  <c r="Z57" i="22"/>
  <c r="W94" i="22"/>
  <c r="AG65" i="22" s="1"/>
  <c r="Z61" i="22"/>
  <c r="N56" i="22"/>
  <c r="R56" i="22" s="1"/>
  <c r="S58" i="22" s="1"/>
  <c r="AE53" i="22" s="1"/>
  <c r="T64" i="22"/>
  <c r="U64" i="22" s="1"/>
  <c r="AF55" i="22" s="1"/>
  <c r="Z58" i="22"/>
  <c r="S100" i="22"/>
  <c r="AE67" i="22" s="1"/>
  <c r="N187" i="22"/>
  <c r="R187" i="22" s="1"/>
  <c r="V187" i="22" s="1"/>
  <c r="V158" i="22"/>
  <c r="T160" i="22"/>
  <c r="U160" i="22" s="1"/>
  <c r="AF153" i="22" s="1"/>
  <c r="S160" i="22"/>
  <c r="AE153" i="22" s="1"/>
  <c r="AH156" i="22"/>
  <c r="S184" i="22"/>
  <c r="AE161" i="22" s="1"/>
  <c r="V182" i="22"/>
  <c r="T184" i="22"/>
  <c r="U184" i="22" s="1"/>
  <c r="AF161" i="22" s="1"/>
  <c r="T154" i="22"/>
  <c r="U154" i="22" s="1"/>
  <c r="AF151" i="22" s="1"/>
  <c r="S154" i="22"/>
  <c r="AE151" i="22" s="1"/>
  <c r="V152" i="22"/>
  <c r="T190" i="22"/>
  <c r="U190" i="22" s="1"/>
  <c r="AF163" i="22" s="1"/>
  <c r="S190" i="22"/>
  <c r="AE163" i="22" s="1"/>
  <c r="V188" i="22"/>
  <c r="V155" i="22"/>
  <c r="N41" i="22"/>
  <c r="R41" i="22" s="1"/>
  <c r="Z13" i="22"/>
  <c r="N107" i="22"/>
  <c r="R107" i="22" s="1"/>
  <c r="V107" i="22" s="1"/>
  <c r="T73" i="22"/>
  <c r="U73" i="22" s="1"/>
  <c r="AF58" i="22" s="1"/>
  <c r="T100" i="22"/>
  <c r="U100" i="22" s="1"/>
  <c r="AF67" i="22" s="1"/>
  <c r="X73" i="22"/>
  <c r="Y73" i="22" s="1"/>
  <c r="AH58" i="22" s="1"/>
  <c r="W73" i="22"/>
  <c r="AG58" i="22" s="1"/>
  <c r="Z21" i="22"/>
  <c r="S76" i="22"/>
  <c r="AE59" i="22" s="1"/>
  <c r="N116" i="22"/>
  <c r="R116" i="22" s="1"/>
  <c r="S118" i="22" s="1"/>
  <c r="AE107" i="22" s="1"/>
  <c r="S73" i="22"/>
  <c r="AE58" i="22" s="1"/>
  <c r="V27" i="22"/>
  <c r="S28" i="22"/>
  <c r="AE12" i="22" s="1"/>
  <c r="T28" i="22"/>
  <c r="U28" i="22" s="1"/>
  <c r="AF12" i="22" s="1"/>
  <c r="Z63" i="21"/>
  <c r="S100" i="21"/>
  <c r="AE66" i="21" s="1"/>
  <c r="W76" i="21"/>
  <c r="AG58" i="21" s="1"/>
  <c r="N78" i="21"/>
  <c r="R78" i="21" s="1"/>
  <c r="V78" i="21" s="1"/>
  <c r="N84" i="21"/>
  <c r="R84" i="21" s="1"/>
  <c r="V84" i="21" s="1"/>
  <c r="X73" i="21"/>
  <c r="Y73" i="21" s="1"/>
  <c r="AH57" i="21" s="1"/>
  <c r="W73" i="21"/>
  <c r="AG57" i="21" s="1"/>
  <c r="N97" i="21"/>
  <c r="R97" i="21" s="1"/>
  <c r="V97" i="21" s="1"/>
  <c r="Z60" i="21"/>
  <c r="Z61" i="21"/>
  <c r="N66" i="21"/>
  <c r="R66" i="21" s="1"/>
  <c r="V66" i="21" s="1"/>
  <c r="Z66" i="21" s="1"/>
  <c r="N67" i="21"/>
  <c r="R67" i="21" s="1"/>
  <c r="V67" i="21" s="1"/>
  <c r="Z67" i="21" s="1"/>
  <c r="Z64" i="21"/>
  <c r="AH114" i="21"/>
  <c r="S142" i="21"/>
  <c r="AE114" i="21" s="1"/>
  <c r="AF114" i="21"/>
  <c r="N81" i="21"/>
  <c r="R81" i="21" s="1"/>
  <c r="V81" i="21" s="1"/>
  <c r="T73" i="21"/>
  <c r="U73" i="21" s="1"/>
  <c r="AF57" i="21" s="1"/>
  <c r="S7" i="21"/>
  <c r="V25" i="21"/>
  <c r="S25" i="21"/>
  <c r="AE10" i="21" s="1"/>
  <c r="S73" i="21"/>
  <c r="AE57" i="21" s="1"/>
  <c r="T25" i="21"/>
  <c r="U25" i="21" s="1"/>
  <c r="AF10" i="21" s="1"/>
  <c r="V27" i="21"/>
  <c r="S28" i="21"/>
  <c r="AE11" i="21" s="1"/>
  <c r="T28" i="21"/>
  <c r="U28" i="21" s="1"/>
  <c r="AF11" i="21" s="1"/>
  <c r="Z163" i="21"/>
  <c r="Z160" i="21"/>
  <c r="Z157" i="21"/>
  <c r="N65" i="21"/>
  <c r="R65" i="21" s="1"/>
  <c r="V65" i="21" s="1"/>
  <c r="Z166" i="21"/>
  <c r="N156" i="21"/>
  <c r="R156" i="21" s="1"/>
  <c r="V156" i="21" s="1"/>
  <c r="T181" i="21"/>
  <c r="U181" i="21" s="1"/>
  <c r="AF160" i="21" s="1"/>
  <c r="V179" i="21"/>
  <c r="V188" i="21"/>
  <c r="X193" i="21"/>
  <c r="Y193" i="21" s="1"/>
  <c r="AH164" i="21" s="1"/>
  <c r="W193" i="21"/>
  <c r="AG164" i="21" s="1"/>
  <c r="V155" i="21"/>
  <c r="S196" i="21"/>
  <c r="AE165" i="21" s="1"/>
  <c r="S169" i="21"/>
  <c r="AE156" i="21" s="1"/>
  <c r="V167" i="21"/>
  <c r="T169" i="21"/>
  <c r="U169" i="21" s="1"/>
  <c r="AF156" i="21" s="1"/>
  <c r="V158" i="21"/>
  <c r="AD56" i="22"/>
  <c r="V131" i="22"/>
  <c r="Z120" i="22"/>
  <c r="T148" i="22"/>
  <c r="U148" i="22" s="1"/>
  <c r="AF117" i="22" s="1"/>
  <c r="S148" i="22"/>
  <c r="AE117" i="22" s="1"/>
  <c r="V146" i="22"/>
  <c r="Z69" i="22"/>
  <c r="N109" i="22"/>
  <c r="R109" i="22" s="1"/>
  <c r="V109" i="22" s="1"/>
  <c r="S61" i="22"/>
  <c r="AE54" i="22" s="1"/>
  <c r="S85" i="22"/>
  <c r="AE62" i="22" s="1"/>
  <c r="X121" i="22"/>
  <c r="Y121" i="22" s="1"/>
  <c r="AH108" i="22" s="1"/>
  <c r="W121" i="22"/>
  <c r="AG108" i="22" s="1"/>
  <c r="AD10" i="22"/>
  <c r="N78" i="22"/>
  <c r="R78" i="22" s="1"/>
  <c r="V78" i="22" s="1"/>
  <c r="X127" i="22"/>
  <c r="Y127" i="22" s="1"/>
  <c r="AH110" i="22" s="1"/>
  <c r="W127" i="22"/>
  <c r="AG110" i="22" s="1"/>
  <c r="T88" i="22"/>
  <c r="U88" i="22" s="1"/>
  <c r="AF63" i="22" s="1"/>
  <c r="Z18" i="22"/>
  <c r="S7" i="22"/>
  <c r="AE5" i="22" s="1"/>
  <c r="V5" i="22"/>
  <c r="Z14" i="22" s="1"/>
  <c r="T7" i="22"/>
  <c r="U7" i="22" s="1"/>
  <c r="AF5" i="22" s="1"/>
  <c r="V77" i="22"/>
  <c r="T130" i="22"/>
  <c r="U130" i="22" s="1"/>
  <c r="AF111" i="22" s="1"/>
  <c r="S130" i="22"/>
  <c r="AE111" i="22" s="1"/>
  <c r="V128" i="22"/>
  <c r="S70" i="22"/>
  <c r="AE57" i="22" s="1"/>
  <c r="V68" i="22"/>
  <c r="T70" i="22"/>
  <c r="U70" i="22" s="1"/>
  <c r="AF57" i="22" s="1"/>
  <c r="Z117" i="22"/>
  <c r="AH11" i="22"/>
  <c r="W25" i="22"/>
  <c r="AG11" i="22" s="1"/>
  <c r="V17" i="22"/>
  <c r="Z70" i="22"/>
  <c r="Z111" i="22"/>
  <c r="T61" i="22"/>
  <c r="U61" i="22" s="1"/>
  <c r="AF54" i="22" s="1"/>
  <c r="T85" i="22"/>
  <c r="U85" i="22" s="1"/>
  <c r="AF62" i="22" s="1"/>
  <c r="T115" i="22"/>
  <c r="U115" i="22" s="1"/>
  <c r="AF106" i="22" s="1"/>
  <c r="T121" i="22"/>
  <c r="U121" i="22" s="1"/>
  <c r="AF108" i="22" s="1"/>
  <c r="V104" i="22"/>
  <c r="X124" i="22"/>
  <c r="Y124" i="22" s="1"/>
  <c r="AH109" i="22" s="1"/>
  <c r="W124" i="22"/>
  <c r="AG109" i="22" s="1"/>
  <c r="V137" i="22"/>
  <c r="Z60" i="22"/>
  <c r="S55" i="22"/>
  <c r="AE52" i="22" s="1"/>
  <c r="V53" i="22"/>
  <c r="Z62" i="22" s="1"/>
  <c r="T55" i="22"/>
  <c r="U55" i="22" s="1"/>
  <c r="AF52" i="22" s="1"/>
  <c r="X61" i="22"/>
  <c r="Y61" i="22" s="1"/>
  <c r="AH54" i="22" s="1"/>
  <c r="W61" i="22"/>
  <c r="AG54" i="22" s="1"/>
  <c r="S121" i="22"/>
  <c r="AE108" i="22" s="1"/>
  <c r="Z123" i="22"/>
  <c r="AD108" i="22"/>
  <c r="V95" i="22"/>
  <c r="T82" i="22"/>
  <c r="U82" i="22" s="1"/>
  <c r="AF61" i="22" s="1"/>
  <c r="S82" i="22"/>
  <c r="AE61" i="22" s="1"/>
  <c r="V80" i="22"/>
  <c r="Z108" i="22"/>
  <c r="X46" i="22"/>
  <c r="Y46" i="22" s="1"/>
  <c r="AH18" i="22" s="1"/>
  <c r="W46" i="22"/>
  <c r="AG18" i="22" s="1"/>
  <c r="W85" i="22"/>
  <c r="AG62" i="22" s="1"/>
  <c r="X85" i="22"/>
  <c r="Y85" i="22" s="1"/>
  <c r="AH62" i="22" s="1"/>
  <c r="Z9" i="22"/>
  <c r="S112" i="22"/>
  <c r="AE105" i="22" s="1"/>
  <c r="V110" i="22"/>
  <c r="T112" i="22"/>
  <c r="U112" i="22" s="1"/>
  <c r="AF105" i="22" s="1"/>
  <c r="Z67" i="22"/>
  <c r="X100" i="22"/>
  <c r="Y100" i="22" s="1"/>
  <c r="AH67" i="22" s="1"/>
  <c r="W100" i="22"/>
  <c r="AG67" i="22" s="1"/>
  <c r="W64" i="22"/>
  <c r="AG55" i="22" s="1"/>
  <c r="X64" i="22"/>
  <c r="Y64" i="22" s="1"/>
  <c r="AH55" i="22" s="1"/>
  <c r="S115" i="21"/>
  <c r="AE105" i="21" s="1"/>
  <c r="T115" i="21"/>
  <c r="U115" i="21" s="1"/>
  <c r="AF105" i="21" s="1"/>
  <c r="S19" i="21"/>
  <c r="AE8" i="21" s="1"/>
  <c r="S109" i="21"/>
  <c r="AE103" i="21" s="1"/>
  <c r="V107" i="21"/>
  <c r="V132" i="21"/>
  <c r="X133" i="21" s="1"/>
  <c r="Y133" i="21" s="1"/>
  <c r="AH111" i="21" s="1"/>
  <c r="S133" i="21"/>
  <c r="AE111" i="21" s="1"/>
  <c r="T133" i="21"/>
  <c r="U133" i="21" s="1"/>
  <c r="AF111" i="21" s="1"/>
  <c r="S70" i="21"/>
  <c r="AE56" i="21" s="1"/>
  <c r="T70" i="21"/>
  <c r="U70" i="21" s="1"/>
  <c r="AF56" i="21" s="1"/>
  <c r="V68" i="21"/>
  <c r="S43" i="21"/>
  <c r="AE16" i="21" s="1"/>
  <c r="V41" i="21"/>
  <c r="AF16" i="21"/>
  <c r="S94" i="21"/>
  <c r="AE64" i="21" s="1"/>
  <c r="V92" i="21"/>
  <c r="T94" i="21"/>
  <c r="U94" i="21" s="1"/>
  <c r="AF64" i="21" s="1"/>
  <c r="AD105" i="21"/>
  <c r="V56" i="21"/>
  <c r="V80" i="21"/>
  <c r="S82" i="21"/>
  <c r="AE60" i="21" s="1"/>
  <c r="T145" i="21"/>
  <c r="U145" i="21" s="1"/>
  <c r="AF115" i="21" s="1"/>
  <c r="Z17" i="21"/>
  <c r="X124" i="21"/>
  <c r="Y124" i="21" s="1"/>
  <c r="AH108" i="21" s="1"/>
  <c r="V95" i="21"/>
  <c r="Z118" i="21"/>
  <c r="S148" i="21"/>
  <c r="AE116" i="21" s="1"/>
  <c r="V146" i="21"/>
  <c r="X145" i="21"/>
  <c r="Y145" i="21" s="1"/>
  <c r="AH115" i="21" s="1"/>
  <c r="W145" i="21"/>
  <c r="AG115" i="21" s="1"/>
  <c r="W22" i="21"/>
  <c r="AG9" i="21" s="1"/>
  <c r="X22" i="21"/>
  <c r="Y22" i="21" s="1"/>
  <c r="AH9" i="21" s="1"/>
  <c r="Z20" i="21"/>
  <c r="AD8" i="21"/>
  <c r="V77" i="21"/>
  <c r="N59" i="21"/>
  <c r="R59" i="21" s="1"/>
  <c r="Z11" i="21"/>
  <c r="X13" i="21"/>
  <c r="Y13" i="21" s="1"/>
  <c r="AH6" i="21" s="1"/>
  <c r="X7" i="21"/>
  <c r="Y7" i="21" s="1"/>
  <c r="W7" i="21"/>
  <c r="Z112" i="21"/>
  <c r="V35" i="21"/>
  <c r="T85" i="21"/>
  <c r="U85" i="21" s="1"/>
  <c r="AF61" i="21" s="1"/>
  <c r="S85" i="21"/>
  <c r="AE61" i="21" s="1"/>
  <c r="V83" i="21"/>
  <c r="X121" i="21"/>
  <c r="Y121" i="21" s="1"/>
  <c r="AH107" i="21" s="1"/>
  <c r="W121" i="21"/>
  <c r="AG107" i="21" s="1"/>
  <c r="AD55" i="21"/>
  <c r="N105" i="21"/>
  <c r="R105" i="21" s="1"/>
  <c r="V105" i="21" s="1"/>
  <c r="V137" i="21"/>
  <c r="T139" i="21"/>
  <c r="U139" i="21" s="1"/>
  <c r="AF113" i="21" s="1"/>
  <c r="S139" i="21"/>
  <c r="AE113" i="21" s="1"/>
  <c r="W142" i="21"/>
  <c r="AG114" i="21" s="1"/>
  <c r="S145" i="21"/>
  <c r="AE115" i="21" s="1"/>
  <c r="X10" i="21"/>
  <c r="Y10" i="21" s="1"/>
  <c r="AH5" i="21" s="1"/>
  <c r="W10" i="21"/>
  <c r="AG5" i="21" s="1"/>
  <c r="Z8" i="21"/>
  <c r="W91" i="21"/>
  <c r="AG63" i="21" s="1"/>
  <c r="W136" i="21"/>
  <c r="AG112" i="21" s="1"/>
  <c r="R15" i="20"/>
  <c r="R64" i="20"/>
  <c r="AB55" i="19"/>
  <c r="AA80" i="20"/>
  <c r="Q89" i="20"/>
  <c r="T81" i="20"/>
  <c r="R43" i="20"/>
  <c r="AA55" i="19"/>
  <c r="R68" i="19"/>
  <c r="AB7" i="19"/>
  <c r="AB6" i="19"/>
  <c r="R89" i="20"/>
  <c r="Q9" i="20"/>
  <c r="T82" i="20"/>
  <c r="R14" i="20"/>
  <c r="AB6" i="20"/>
  <c r="Q70" i="20"/>
  <c r="Q66" i="20"/>
  <c r="R66" i="20"/>
  <c r="AB55" i="20"/>
  <c r="Q71" i="19"/>
  <c r="Q88" i="19"/>
  <c r="Q89" i="19"/>
  <c r="R66" i="19"/>
  <c r="Q70" i="19"/>
  <c r="R72" i="19"/>
  <c r="T55" i="19"/>
  <c r="Q72" i="19"/>
  <c r="R69" i="19"/>
  <c r="R73" i="19"/>
  <c r="Q54" i="19"/>
  <c r="Q82" i="20"/>
  <c r="AB8" i="20"/>
  <c r="T56" i="20"/>
  <c r="R55" i="20"/>
  <c r="V30" i="20"/>
  <c r="Q55" i="20"/>
  <c r="AB80" i="20"/>
  <c r="Q30" i="20"/>
  <c r="S31" i="20"/>
  <c r="W31" i="20" s="1"/>
  <c r="R30" i="20"/>
  <c r="W30" i="20"/>
  <c r="Q44" i="20"/>
  <c r="R50" i="20"/>
  <c r="R31" i="20"/>
  <c r="AB30" i="20"/>
  <c r="Q48" i="20"/>
  <c r="R47" i="20"/>
  <c r="R81" i="19"/>
  <c r="R88" i="19"/>
  <c r="AA7" i="19"/>
  <c r="AA74" i="19"/>
  <c r="R84" i="19"/>
  <c r="AB30" i="19"/>
  <c r="Q31" i="19"/>
  <c r="R39" i="19"/>
  <c r="X57" i="19"/>
  <c r="AB74" i="19"/>
  <c r="Q69" i="19"/>
  <c r="Q65" i="19"/>
  <c r="Q81" i="19"/>
  <c r="W34" i="20"/>
  <c r="V34" i="20"/>
  <c r="Q79" i="20"/>
  <c r="S79" i="20"/>
  <c r="R79" i="20"/>
  <c r="AA57" i="20"/>
  <c r="AB57" i="20"/>
  <c r="R12" i="20"/>
  <c r="Q12" i="20"/>
  <c r="Q22" i="20"/>
  <c r="R95" i="20"/>
  <c r="Q95" i="20"/>
  <c r="R91" i="20"/>
  <c r="Q91" i="20"/>
  <c r="Q71" i="20"/>
  <c r="R71" i="20"/>
  <c r="AB81" i="20"/>
  <c r="AA81" i="20"/>
  <c r="R54" i="20"/>
  <c r="Q54" i="20"/>
  <c r="S55" i="20"/>
  <c r="Q78" i="20"/>
  <c r="R72" i="20"/>
  <c r="AB56" i="20"/>
  <c r="AA56" i="20"/>
  <c r="AA50" i="20"/>
  <c r="AB50" i="20"/>
  <c r="AA55" i="20"/>
  <c r="R37" i="20"/>
  <c r="Q37" i="20"/>
  <c r="R20" i="20"/>
  <c r="Q20" i="20"/>
  <c r="Q43" i="20"/>
  <c r="Q65" i="20"/>
  <c r="R90" i="20"/>
  <c r="Q90" i="20"/>
  <c r="X34" i="20"/>
  <c r="R5" i="20"/>
  <c r="Q5" i="20"/>
  <c r="Q19" i="20"/>
  <c r="R19" i="20"/>
  <c r="Y9" i="20"/>
  <c r="X9" i="20"/>
  <c r="R22" i="20"/>
  <c r="AA8" i="20"/>
  <c r="U9" i="20"/>
  <c r="S6" i="20"/>
  <c r="R96" i="20"/>
  <c r="Q96" i="20"/>
  <c r="S80" i="20"/>
  <c r="Q80" i="20"/>
  <c r="R80" i="20"/>
  <c r="Q68" i="20"/>
  <c r="R68" i="20"/>
  <c r="R45" i="20"/>
  <c r="Q45" i="20"/>
  <c r="R40" i="20"/>
  <c r="Q40" i="20"/>
  <c r="Q23" i="20"/>
  <c r="R23" i="20"/>
  <c r="T10" i="20"/>
  <c r="R11" i="20"/>
  <c r="Q11" i="20"/>
  <c r="S7" i="20"/>
  <c r="R7" i="20"/>
  <c r="Q7" i="20"/>
  <c r="Q73" i="20"/>
  <c r="R73" i="20"/>
  <c r="Q72" i="20"/>
  <c r="S83" i="20"/>
  <c r="X82" i="20"/>
  <c r="Z82" i="20"/>
  <c r="Q46" i="20"/>
  <c r="Q42" i="20"/>
  <c r="R78" i="20"/>
  <c r="R16" i="20"/>
  <c r="Q16" i="20"/>
  <c r="Q61" i="20"/>
  <c r="AB33" i="20"/>
  <c r="AA33" i="20"/>
  <c r="R41" i="20"/>
  <c r="Q41" i="20"/>
  <c r="Z34" i="20"/>
  <c r="AA6" i="20"/>
  <c r="AB7" i="20"/>
  <c r="AA7" i="20"/>
  <c r="Q6" i="20"/>
  <c r="R92" i="20"/>
  <c r="Q92" i="20"/>
  <c r="Q69" i="20"/>
  <c r="R69" i="20"/>
  <c r="R83" i="20"/>
  <c r="Q83" i="20"/>
  <c r="Q39" i="20"/>
  <c r="R39" i="20"/>
  <c r="Q47" i="20"/>
  <c r="R18" i="20"/>
  <c r="Q18" i="20"/>
  <c r="R62" i="20"/>
  <c r="Q62" i="20"/>
  <c r="Q33" i="20"/>
  <c r="S33" i="20"/>
  <c r="R33" i="20"/>
  <c r="AB79" i="20"/>
  <c r="AA79" i="20"/>
  <c r="R82" i="20"/>
  <c r="R60" i="20"/>
  <c r="Q60" i="20"/>
  <c r="R87" i="20"/>
  <c r="Q87" i="20"/>
  <c r="R97" i="20"/>
  <c r="Q97" i="20"/>
  <c r="R93" i="20"/>
  <c r="Q93" i="20"/>
  <c r="Q84" i="20"/>
  <c r="Y82" i="20"/>
  <c r="R81" i="20"/>
  <c r="Q81" i="20"/>
  <c r="S81" i="20"/>
  <c r="R74" i="20"/>
  <c r="U82" i="20"/>
  <c r="AA74" i="20"/>
  <c r="AB74" i="20"/>
  <c r="S82" i="20"/>
  <c r="R46" i="20"/>
  <c r="R42" i="20"/>
  <c r="Q74" i="20"/>
  <c r="R70" i="20"/>
  <c r="Q56" i="20"/>
  <c r="S56" i="20"/>
  <c r="R56" i="20"/>
  <c r="R44" i="20"/>
  <c r="R67" i="20"/>
  <c r="Q31" i="20"/>
  <c r="Y58" i="20"/>
  <c r="AB58" i="20" s="1"/>
  <c r="U58" i="20"/>
  <c r="V58" i="20" s="1"/>
  <c r="AB31" i="20"/>
  <c r="AA31" i="20"/>
  <c r="R24" i="20"/>
  <c r="Q24" i="20"/>
  <c r="R49" i="20"/>
  <c r="Q49" i="20"/>
  <c r="R35" i="20"/>
  <c r="T32" i="20"/>
  <c r="R32" i="20"/>
  <c r="R61" i="20"/>
  <c r="R36" i="20"/>
  <c r="S57" i="20"/>
  <c r="AA32" i="20"/>
  <c r="AB32" i="20"/>
  <c r="R94" i="20"/>
  <c r="Q94" i="20"/>
  <c r="Q64" i="20"/>
  <c r="U10" i="20"/>
  <c r="Q35" i="20"/>
  <c r="S9" i="20"/>
  <c r="T7" i="20"/>
  <c r="R6" i="20"/>
  <c r="T33" i="20"/>
  <c r="S8" i="20"/>
  <c r="U32" i="20"/>
  <c r="R21" i="20"/>
  <c r="Q21" i="20"/>
  <c r="R17" i="20"/>
  <c r="Q17" i="20"/>
  <c r="Z9" i="20"/>
  <c r="T9" i="20"/>
  <c r="Q38" i="20"/>
  <c r="R25" i="20"/>
  <c r="Q25" i="20"/>
  <c r="R10" i="20"/>
  <c r="R97" i="19"/>
  <c r="Q97" i="19"/>
  <c r="R95" i="19"/>
  <c r="Q95" i="19"/>
  <c r="R93" i="19"/>
  <c r="Q93" i="19"/>
  <c r="R91" i="19"/>
  <c r="Q91" i="19"/>
  <c r="S82" i="19"/>
  <c r="Q82" i="19"/>
  <c r="R82" i="19"/>
  <c r="Q80" i="19"/>
  <c r="Q85" i="19"/>
  <c r="R80" i="19"/>
  <c r="R87" i="19"/>
  <c r="Q87" i="19"/>
  <c r="R94" i="19"/>
  <c r="Q94" i="19"/>
  <c r="S83" i="19"/>
  <c r="Y82" i="19"/>
  <c r="Z82" i="19"/>
  <c r="T82" i="19"/>
  <c r="R86" i="19"/>
  <c r="R83" i="19"/>
  <c r="U81" i="19"/>
  <c r="V81" i="19" s="1"/>
  <c r="U82" i="19"/>
  <c r="Q78" i="19"/>
  <c r="R96" i="19"/>
  <c r="Q96" i="19"/>
  <c r="R92" i="19"/>
  <c r="Q92" i="19"/>
  <c r="R90" i="19"/>
  <c r="Q90" i="19"/>
  <c r="AA79" i="19"/>
  <c r="AB79" i="19"/>
  <c r="R89" i="19"/>
  <c r="AA80" i="19"/>
  <c r="AB80" i="19"/>
  <c r="AB81" i="19"/>
  <c r="AA81" i="19"/>
  <c r="U79" i="19"/>
  <c r="W79" i="19" s="1"/>
  <c r="V80" i="19"/>
  <c r="W80" i="19"/>
  <c r="Q47" i="19"/>
  <c r="AB50" i="19"/>
  <c r="AA50" i="19"/>
  <c r="R43" i="19"/>
  <c r="Q43" i="19"/>
  <c r="R36" i="19"/>
  <c r="Q36" i="19"/>
  <c r="R58" i="19"/>
  <c r="R47" i="19"/>
  <c r="R38" i="19"/>
  <c r="Q38" i="19"/>
  <c r="Q20" i="19"/>
  <c r="R20" i="19"/>
  <c r="Q5" i="19"/>
  <c r="R5" i="19"/>
  <c r="R23" i="19"/>
  <c r="R9" i="19"/>
  <c r="T7" i="19"/>
  <c r="Q58" i="19"/>
  <c r="Q62" i="19"/>
  <c r="R62" i="19"/>
  <c r="Q57" i="19"/>
  <c r="S57" i="19"/>
  <c r="R57" i="19"/>
  <c r="R60" i="19"/>
  <c r="AA56" i="19"/>
  <c r="AB56" i="19"/>
  <c r="R46" i="19"/>
  <c r="Q46" i="19"/>
  <c r="R64" i="19"/>
  <c r="S7" i="19"/>
  <c r="Q7" i="19"/>
  <c r="R7" i="19"/>
  <c r="AA8" i="19"/>
  <c r="AB8" i="19"/>
  <c r="Z32" i="19"/>
  <c r="Y32" i="19"/>
  <c r="Q32" i="19"/>
  <c r="S32" i="19"/>
  <c r="R32" i="19"/>
  <c r="U31" i="19"/>
  <c r="R15" i="19"/>
  <c r="Q15" i="19"/>
  <c r="Y9" i="19"/>
  <c r="X9" i="19"/>
  <c r="Q10" i="19"/>
  <c r="Q18" i="19"/>
  <c r="Z9" i="19"/>
  <c r="Q13" i="19"/>
  <c r="Q63" i="19"/>
  <c r="R74" i="19"/>
  <c r="Q74" i="19"/>
  <c r="R67" i="19"/>
  <c r="R70" i="19"/>
  <c r="R63" i="19"/>
  <c r="R65" i="19"/>
  <c r="R50" i="19"/>
  <c r="Q50" i="19"/>
  <c r="Q60" i="19"/>
  <c r="R55" i="19"/>
  <c r="Q55" i="19"/>
  <c r="S55" i="19"/>
  <c r="R40" i="19"/>
  <c r="T31" i="19"/>
  <c r="R31" i="19"/>
  <c r="U56" i="19"/>
  <c r="R45" i="19"/>
  <c r="Q45" i="19"/>
  <c r="R37" i="19"/>
  <c r="S33" i="19"/>
  <c r="Q24" i="19"/>
  <c r="R24" i="19"/>
  <c r="Q11" i="19"/>
  <c r="R11" i="19"/>
  <c r="S6" i="19"/>
  <c r="R6" i="19"/>
  <c r="S8" i="19"/>
  <c r="R8" i="19"/>
  <c r="Q8" i="19"/>
  <c r="R21" i="19"/>
  <c r="Q21" i="19"/>
  <c r="S9" i="19"/>
  <c r="T9" i="19"/>
  <c r="R17" i="19"/>
  <c r="R13" i="19"/>
  <c r="Q67" i="19"/>
  <c r="Q68" i="19"/>
  <c r="R71" i="19"/>
  <c r="Q66" i="19"/>
  <c r="Q73" i="19"/>
  <c r="T56" i="19"/>
  <c r="R56" i="19"/>
  <c r="Q48" i="19"/>
  <c r="R48" i="19"/>
  <c r="Z57" i="19"/>
  <c r="R42" i="19"/>
  <c r="Q42" i="19"/>
  <c r="R41" i="19"/>
  <c r="Q41" i="19"/>
  <c r="Q39" i="19"/>
  <c r="T57" i="19"/>
  <c r="AA31" i="19"/>
  <c r="AB31" i="19"/>
  <c r="T10" i="19"/>
  <c r="R10" i="19"/>
  <c r="R19" i="19"/>
  <c r="Q19" i="19"/>
  <c r="R44" i="19"/>
  <c r="Q44" i="19"/>
  <c r="T32" i="19"/>
  <c r="R18" i="19"/>
  <c r="X32" i="19"/>
  <c r="R30" i="19"/>
  <c r="Q30" i="19"/>
  <c r="S30" i="19"/>
  <c r="S31" i="19"/>
  <c r="R22" i="19"/>
  <c r="Q22" i="19"/>
  <c r="R14" i="19"/>
  <c r="Q9" i="19"/>
  <c r="Q6" i="19"/>
  <c r="T157" i="21" l="1"/>
  <c r="U157" i="21" s="1"/>
  <c r="AF152" i="21" s="1"/>
  <c r="W133" i="21"/>
  <c r="AG111" i="21" s="1"/>
  <c r="T109" i="21"/>
  <c r="U109" i="21" s="1"/>
  <c r="AF103" i="21" s="1"/>
  <c r="S97" i="21"/>
  <c r="AE65" i="21" s="1"/>
  <c r="S58" i="21"/>
  <c r="AE52" i="21" s="1"/>
  <c r="S13" i="21"/>
  <c r="AE6" i="21" s="1"/>
  <c r="Z12" i="21"/>
  <c r="T31" i="21"/>
  <c r="U31" i="21" s="1"/>
  <c r="AF12" i="21" s="1"/>
  <c r="T13" i="21"/>
  <c r="U13" i="21" s="1"/>
  <c r="AF6" i="21" s="1"/>
  <c r="X19" i="21"/>
  <c r="Y19" i="21" s="1"/>
  <c r="AH8" i="21" s="1"/>
  <c r="T19" i="21"/>
  <c r="U19" i="21" s="1"/>
  <c r="AF8" i="21" s="1"/>
  <c r="W31" i="21"/>
  <c r="AG12" i="21" s="1"/>
  <c r="S193" i="22"/>
  <c r="AE164" i="22" s="1"/>
  <c r="S19" i="22"/>
  <c r="AE9" i="22" s="1"/>
  <c r="V191" i="22"/>
  <c r="X193" i="22" s="1"/>
  <c r="Y193" i="22" s="1"/>
  <c r="AH164" i="22" s="1"/>
  <c r="W76" i="22"/>
  <c r="AG59" i="22" s="1"/>
  <c r="X136" i="22"/>
  <c r="Y136" i="22" s="1"/>
  <c r="AH113" i="22" s="1"/>
  <c r="T19" i="22"/>
  <c r="U19" i="22" s="1"/>
  <c r="AF9" i="22" s="1"/>
  <c r="T193" i="22"/>
  <c r="U193" i="22" s="1"/>
  <c r="AF164" i="22" s="1"/>
  <c r="S115" i="22"/>
  <c r="AE106" i="22" s="1"/>
  <c r="S16" i="22"/>
  <c r="AE8" i="22" s="1"/>
  <c r="W16" i="22"/>
  <c r="AG8" i="22" s="1"/>
  <c r="Z15" i="22"/>
  <c r="AB16" i="22" s="1"/>
  <c r="T16" i="22"/>
  <c r="U16" i="22" s="1"/>
  <c r="AF8" i="22" s="1"/>
  <c r="W88" i="22"/>
  <c r="AG63" i="22" s="1"/>
  <c r="V113" i="22"/>
  <c r="X37" i="22"/>
  <c r="Y37" i="22" s="1"/>
  <c r="AH15" i="22" s="1"/>
  <c r="S37" i="22"/>
  <c r="AE15" i="22" s="1"/>
  <c r="S88" i="22"/>
  <c r="AE63" i="22" s="1"/>
  <c r="T139" i="22"/>
  <c r="U139" i="22" s="1"/>
  <c r="AF114" i="22" s="1"/>
  <c r="T97" i="22"/>
  <c r="U97" i="22" s="1"/>
  <c r="AF66" i="22" s="1"/>
  <c r="S97" i="22"/>
  <c r="AE66" i="22" s="1"/>
  <c r="S139" i="22"/>
  <c r="AE114" i="22" s="1"/>
  <c r="T37" i="22"/>
  <c r="U37" i="22" s="1"/>
  <c r="AF15" i="22" s="1"/>
  <c r="Z165" i="22"/>
  <c r="S163" i="22"/>
  <c r="AE154" i="22" s="1"/>
  <c r="T58" i="22"/>
  <c r="U58" i="22" s="1"/>
  <c r="AF53" i="22" s="1"/>
  <c r="V161" i="22"/>
  <c r="Z161" i="22" s="1"/>
  <c r="T67" i="22"/>
  <c r="U67" i="22" s="1"/>
  <c r="AF56" i="22" s="1"/>
  <c r="S133" i="22"/>
  <c r="AE112" i="22" s="1"/>
  <c r="X40" i="22"/>
  <c r="Y40" i="22" s="1"/>
  <c r="AH16" i="22" s="1"/>
  <c r="D167" i="22"/>
  <c r="Z169" i="22" s="1"/>
  <c r="AD155" i="22"/>
  <c r="D167" i="21"/>
  <c r="AD155" i="21"/>
  <c r="AH115" i="22"/>
  <c r="S106" i="22"/>
  <c r="AE103" i="22" s="1"/>
  <c r="T106" i="22"/>
  <c r="U106" i="22" s="1"/>
  <c r="AF103" i="22" s="1"/>
  <c r="T10" i="22"/>
  <c r="U10" i="22" s="1"/>
  <c r="AF6" i="22" s="1"/>
  <c r="S40" i="22"/>
  <c r="AE16" i="22" s="1"/>
  <c r="T157" i="22"/>
  <c r="U157" i="22" s="1"/>
  <c r="AF152" i="22" s="1"/>
  <c r="W10" i="22"/>
  <c r="AG6" i="22" s="1"/>
  <c r="W40" i="22"/>
  <c r="AG16" i="22" s="1"/>
  <c r="S157" i="22"/>
  <c r="AE152" i="22" s="1"/>
  <c r="T163" i="22"/>
  <c r="U163" i="22" s="1"/>
  <c r="AF154" i="22" s="1"/>
  <c r="S142" i="22"/>
  <c r="AE115" i="22" s="1"/>
  <c r="S10" i="22"/>
  <c r="AE6" i="22" s="1"/>
  <c r="T31" i="22"/>
  <c r="U31" i="22" s="1"/>
  <c r="AF13" i="22" s="1"/>
  <c r="W145" i="22"/>
  <c r="AG116" i="22" s="1"/>
  <c r="T133" i="22"/>
  <c r="U133" i="22" s="1"/>
  <c r="AF112" i="22" s="1"/>
  <c r="S145" i="22"/>
  <c r="AE116" i="22" s="1"/>
  <c r="AF115" i="22"/>
  <c r="T145" i="22"/>
  <c r="U145" i="22" s="1"/>
  <c r="AF116" i="22" s="1"/>
  <c r="T91" i="22"/>
  <c r="U91" i="22" s="1"/>
  <c r="AF64" i="22" s="1"/>
  <c r="X91" i="22"/>
  <c r="Y91" i="22" s="1"/>
  <c r="AH64" i="22" s="1"/>
  <c r="S91" i="22"/>
  <c r="AE64" i="22" s="1"/>
  <c r="S79" i="22"/>
  <c r="AE60" i="22" s="1"/>
  <c r="S67" i="22"/>
  <c r="AE56" i="22" s="1"/>
  <c r="T40" i="22"/>
  <c r="U40" i="22" s="1"/>
  <c r="AF16" i="22" s="1"/>
  <c r="X13" i="22"/>
  <c r="Y13" i="22" s="1"/>
  <c r="AH7" i="22" s="1"/>
  <c r="W178" i="22"/>
  <c r="AG159" i="22" s="1"/>
  <c r="T178" i="22"/>
  <c r="U178" i="22" s="1"/>
  <c r="AF159" i="22" s="1"/>
  <c r="X166" i="22"/>
  <c r="Y166" i="22" s="1"/>
  <c r="AH155" i="22" s="1"/>
  <c r="S178" i="22"/>
  <c r="AE159" i="22" s="1"/>
  <c r="S166" i="22"/>
  <c r="AE155" i="22" s="1"/>
  <c r="W172" i="22"/>
  <c r="AG157" i="22" s="1"/>
  <c r="S184" i="21"/>
  <c r="AE161" i="21" s="1"/>
  <c r="S166" i="21"/>
  <c r="AE155" i="21" s="1"/>
  <c r="T166" i="21"/>
  <c r="U166" i="21" s="1"/>
  <c r="AF155" i="21" s="1"/>
  <c r="V116" i="21"/>
  <c r="Z115" i="21"/>
  <c r="W115" i="21"/>
  <c r="AG105" i="21" s="1"/>
  <c r="X115" i="21"/>
  <c r="Y115" i="21" s="1"/>
  <c r="AH105" i="21" s="1"/>
  <c r="T91" i="21"/>
  <c r="U91" i="21" s="1"/>
  <c r="AF63" i="21" s="1"/>
  <c r="T64" i="21"/>
  <c r="U64" i="21" s="1"/>
  <c r="AF54" i="21" s="1"/>
  <c r="X34" i="21"/>
  <c r="Y34" i="21" s="1"/>
  <c r="AH13" i="21" s="1"/>
  <c r="S16" i="21"/>
  <c r="AE7" i="21" s="1"/>
  <c r="W16" i="21"/>
  <c r="AG7" i="21" s="1"/>
  <c r="X91" i="21"/>
  <c r="Y91" i="21" s="1"/>
  <c r="AH63" i="21" s="1"/>
  <c r="T196" i="21"/>
  <c r="U196" i="21" s="1"/>
  <c r="AF165" i="21" s="1"/>
  <c r="S190" i="21"/>
  <c r="T190" i="21"/>
  <c r="U190" i="21" s="1"/>
  <c r="W163" i="21"/>
  <c r="AG154" i="21" s="1"/>
  <c r="T163" i="21"/>
  <c r="U163" i="21" s="1"/>
  <c r="AF154" i="21" s="1"/>
  <c r="S163" i="21"/>
  <c r="AE154" i="21" s="1"/>
  <c r="S160" i="21"/>
  <c r="AE153" i="21" s="1"/>
  <c r="T160" i="21"/>
  <c r="U160" i="21" s="1"/>
  <c r="AF153" i="21" s="1"/>
  <c r="S157" i="21"/>
  <c r="AE152" i="21" s="1"/>
  <c r="S154" i="21"/>
  <c r="AE151" i="21" s="1"/>
  <c r="T148" i="21"/>
  <c r="U148" i="21" s="1"/>
  <c r="AF116" i="21" s="1"/>
  <c r="S136" i="21"/>
  <c r="AE112" i="21" s="1"/>
  <c r="T136" i="21"/>
  <c r="U136" i="21" s="1"/>
  <c r="AF112" i="21" s="1"/>
  <c r="S91" i="21"/>
  <c r="AE63" i="21" s="1"/>
  <c r="T82" i="21"/>
  <c r="U82" i="21" s="1"/>
  <c r="AF60" i="21" s="1"/>
  <c r="T79" i="21"/>
  <c r="U79" i="21" s="1"/>
  <c r="AF59" i="21" s="1"/>
  <c r="W88" i="21"/>
  <c r="AG62" i="21" s="1"/>
  <c r="T58" i="21"/>
  <c r="U58" i="21" s="1"/>
  <c r="AF52" i="21" s="1"/>
  <c r="T37" i="21"/>
  <c r="U37" i="21" s="1"/>
  <c r="AF14" i="21" s="1"/>
  <c r="T49" i="21"/>
  <c r="U49" i="21" s="1"/>
  <c r="AF18" i="21" s="1"/>
  <c r="S37" i="21"/>
  <c r="AE14" i="21" s="1"/>
  <c r="S31" i="21"/>
  <c r="AE12" i="21" s="1"/>
  <c r="T16" i="21"/>
  <c r="U16" i="21" s="1"/>
  <c r="AF7" i="21" s="1"/>
  <c r="T7" i="21"/>
  <c r="U7" i="21" s="1"/>
  <c r="W166" i="22"/>
  <c r="AG155" i="22" s="1"/>
  <c r="X178" i="22"/>
  <c r="Y178" i="22" s="1"/>
  <c r="AH159" i="22" s="1"/>
  <c r="T187" i="22"/>
  <c r="U187" i="22" s="1"/>
  <c r="AF162" i="22" s="1"/>
  <c r="S187" i="22"/>
  <c r="AE162" i="22" s="1"/>
  <c r="X88" i="21"/>
  <c r="Y88" i="21" s="1"/>
  <c r="AH62" i="21" s="1"/>
  <c r="V47" i="21"/>
  <c r="W49" i="21" s="1"/>
  <c r="AG18" i="21" s="1"/>
  <c r="T88" i="21"/>
  <c r="U88" i="21" s="1"/>
  <c r="AF62" i="21" s="1"/>
  <c r="X100" i="21"/>
  <c r="Y100" i="21" s="1"/>
  <c r="AH66" i="21" s="1"/>
  <c r="V194" i="21"/>
  <c r="X196" i="21" s="1"/>
  <c r="Y196" i="21" s="1"/>
  <c r="AH165" i="21" s="1"/>
  <c r="T184" i="21"/>
  <c r="U184" i="21" s="1"/>
  <c r="AF161" i="21" s="1"/>
  <c r="S88" i="21"/>
  <c r="AE62" i="21" s="1"/>
  <c r="D23" i="24"/>
  <c r="W9" i="24"/>
  <c r="D23" i="23"/>
  <c r="W9" i="23"/>
  <c r="Z115" i="22"/>
  <c r="Z163" i="22"/>
  <c r="Z157" i="22"/>
  <c r="S136" i="22"/>
  <c r="AE113" i="22" s="1"/>
  <c r="T136" i="22"/>
  <c r="U136" i="22" s="1"/>
  <c r="AF113" i="22" s="1"/>
  <c r="Z112" i="22"/>
  <c r="Z121" i="22"/>
  <c r="Z109" i="22"/>
  <c r="AF160" i="22"/>
  <c r="S109" i="22"/>
  <c r="AE104" i="22" s="1"/>
  <c r="V179" i="22"/>
  <c r="V32" i="22"/>
  <c r="AH14" i="22" s="1"/>
  <c r="V29" i="22"/>
  <c r="X31" i="22" s="1"/>
  <c r="Y31" i="22" s="1"/>
  <c r="AH13" i="22" s="1"/>
  <c r="S49" i="22"/>
  <c r="AE19" i="22" s="1"/>
  <c r="X49" i="22"/>
  <c r="Y49" i="22" s="1"/>
  <c r="AH19" i="22" s="1"/>
  <c r="AF14" i="22"/>
  <c r="Z166" i="22"/>
  <c r="S13" i="22"/>
  <c r="AE7" i="22" s="1"/>
  <c r="T49" i="22"/>
  <c r="U49" i="22" s="1"/>
  <c r="AF19" i="22" s="1"/>
  <c r="S31" i="22"/>
  <c r="AE13" i="22" s="1"/>
  <c r="W13" i="22"/>
  <c r="AG7" i="22" s="1"/>
  <c r="S49" i="21"/>
  <c r="AE18" i="21" s="1"/>
  <c r="Z14" i="21"/>
  <c r="S118" i="21"/>
  <c r="AE106" i="21" s="1"/>
  <c r="T34" i="21"/>
  <c r="U34" i="21" s="1"/>
  <c r="AF13" i="21" s="1"/>
  <c r="V62" i="21"/>
  <c r="X64" i="21" s="1"/>
  <c r="Y64" i="21" s="1"/>
  <c r="AH54" i="21" s="1"/>
  <c r="T154" i="21"/>
  <c r="U154" i="21" s="1"/>
  <c r="AF151" i="21" s="1"/>
  <c r="S130" i="21"/>
  <c r="AE110" i="21" s="1"/>
  <c r="X16" i="21"/>
  <c r="Y16" i="21" s="1"/>
  <c r="AH7" i="21" s="1"/>
  <c r="V152" i="21"/>
  <c r="X154" i="21" s="1"/>
  <c r="Y154" i="21" s="1"/>
  <c r="AH151" i="21" s="1"/>
  <c r="V38" i="21"/>
  <c r="X40" i="21" s="1"/>
  <c r="Y40" i="21" s="1"/>
  <c r="AH15" i="21" s="1"/>
  <c r="T187" i="21"/>
  <c r="U187" i="21" s="1"/>
  <c r="AF162" i="21" s="1"/>
  <c r="S178" i="21"/>
  <c r="W34" i="21"/>
  <c r="AG13" i="21" s="1"/>
  <c r="S34" i="21"/>
  <c r="AE13" i="21" s="1"/>
  <c r="T178" i="21"/>
  <c r="U178" i="21" s="1"/>
  <c r="D77" i="24"/>
  <c r="W63" i="24"/>
  <c r="D77" i="23"/>
  <c r="W63" i="23"/>
  <c r="W175" i="22"/>
  <c r="AG158" i="22" s="1"/>
  <c r="AH158" i="22"/>
  <c r="Z160" i="22"/>
  <c r="Z118" i="22"/>
  <c r="T13" i="22"/>
  <c r="U13" i="22" s="1"/>
  <c r="AF7" i="22" s="1"/>
  <c r="T118" i="22"/>
  <c r="U118" i="22" s="1"/>
  <c r="AF107" i="22" s="1"/>
  <c r="T55" i="21"/>
  <c r="U55" i="21" s="1"/>
  <c r="S55" i="21"/>
  <c r="S40" i="21"/>
  <c r="AE15" i="21" s="1"/>
  <c r="X163" i="21"/>
  <c r="Y163" i="21" s="1"/>
  <c r="AH154" i="21" s="1"/>
  <c r="W55" i="21"/>
  <c r="S187" i="21"/>
  <c r="AE162" i="21" s="1"/>
  <c r="S112" i="21"/>
  <c r="AE104" i="21" s="1"/>
  <c r="W127" i="21"/>
  <c r="AG109" i="21" s="1"/>
  <c r="X127" i="21"/>
  <c r="Y127" i="21" s="1"/>
  <c r="AH109" i="21" s="1"/>
  <c r="V110" i="21"/>
  <c r="Z110" i="21" s="1"/>
  <c r="T130" i="21"/>
  <c r="U130" i="21" s="1"/>
  <c r="AF110" i="21" s="1"/>
  <c r="W46" i="21"/>
  <c r="AG17" i="21" s="1"/>
  <c r="W36" i="23"/>
  <c r="V116" i="22"/>
  <c r="X118" i="22" s="1"/>
  <c r="Y118" i="22" s="1"/>
  <c r="AH107" i="22" s="1"/>
  <c r="Z164" i="22"/>
  <c r="V56" i="22"/>
  <c r="W58" i="22" s="1"/>
  <c r="AG53" i="22" s="1"/>
  <c r="W157" i="22"/>
  <c r="AG152" i="22" s="1"/>
  <c r="Z155" i="22"/>
  <c r="X157" i="22"/>
  <c r="Y157" i="22" s="1"/>
  <c r="AH152" i="22" s="1"/>
  <c r="W193" i="22"/>
  <c r="AG164" i="22" s="1"/>
  <c r="X160" i="22"/>
  <c r="Y160" i="22" s="1"/>
  <c r="AH153" i="22" s="1"/>
  <c r="Z158" i="22"/>
  <c r="W160" i="22"/>
  <c r="AG153" i="22" s="1"/>
  <c r="W184" i="22"/>
  <c r="AG161" i="22" s="1"/>
  <c r="X184" i="22"/>
  <c r="Y184" i="22" s="1"/>
  <c r="AH161" i="22" s="1"/>
  <c r="X163" i="22"/>
  <c r="Y163" i="22" s="1"/>
  <c r="AH154" i="22" s="1"/>
  <c r="W154" i="22"/>
  <c r="AG151" i="22" s="1"/>
  <c r="X154" i="22"/>
  <c r="Y154" i="22" s="1"/>
  <c r="AH151" i="22" s="1"/>
  <c r="X190" i="22"/>
  <c r="Y190" i="22" s="1"/>
  <c r="AH163" i="22" s="1"/>
  <c r="W190" i="22"/>
  <c r="AG163" i="22" s="1"/>
  <c r="W187" i="22"/>
  <c r="AG162" i="22" s="1"/>
  <c r="X187" i="22"/>
  <c r="Y187" i="22" s="1"/>
  <c r="AH162" i="22" s="1"/>
  <c r="Z23" i="22"/>
  <c r="S43" i="22"/>
  <c r="AE17" i="22" s="1"/>
  <c r="AF17" i="22"/>
  <c r="V41" i="22"/>
  <c r="Z8" i="22"/>
  <c r="AA10" i="22" s="1"/>
  <c r="Z124" i="22"/>
  <c r="X28" i="22"/>
  <c r="Y28" i="22" s="1"/>
  <c r="AH12" i="22" s="1"/>
  <c r="W28" i="22"/>
  <c r="AG12" i="22" s="1"/>
  <c r="Z122" i="22"/>
  <c r="Z119" i="22"/>
  <c r="Z16" i="21"/>
  <c r="S67" i="21"/>
  <c r="AE55" i="21" s="1"/>
  <c r="S79" i="21"/>
  <c r="AE59" i="21" s="1"/>
  <c r="T97" i="21"/>
  <c r="U97" i="21" s="1"/>
  <c r="AF65" i="21" s="1"/>
  <c r="T67" i="21"/>
  <c r="U67" i="21" s="1"/>
  <c r="AF55" i="21" s="1"/>
  <c r="W25" i="21"/>
  <c r="AG10" i="21" s="1"/>
  <c r="X25" i="21"/>
  <c r="Y25" i="21" s="1"/>
  <c r="AH10" i="21" s="1"/>
  <c r="Z10" i="21"/>
  <c r="AA10" i="21" s="1"/>
  <c r="Z19" i="21"/>
  <c r="AA19" i="21" s="1"/>
  <c r="Z168" i="21"/>
  <c r="Z159" i="21"/>
  <c r="X28" i="21"/>
  <c r="Y28" i="21" s="1"/>
  <c r="AH11" i="21" s="1"/>
  <c r="W28" i="21"/>
  <c r="AG11" i="21" s="1"/>
  <c r="Z161" i="21"/>
  <c r="Z113" i="21"/>
  <c r="W19" i="21"/>
  <c r="AG8" i="21" s="1"/>
  <c r="Z156" i="21"/>
  <c r="Z162" i="21"/>
  <c r="Z165" i="21"/>
  <c r="X187" i="21"/>
  <c r="Y187" i="21" s="1"/>
  <c r="AH162" i="21" s="1"/>
  <c r="W187" i="21"/>
  <c r="AG162" i="21" s="1"/>
  <c r="X166" i="21"/>
  <c r="Y166" i="21" s="1"/>
  <c r="AH155" i="21" s="1"/>
  <c r="W166" i="21"/>
  <c r="AG155" i="21" s="1"/>
  <c r="Z164" i="21"/>
  <c r="W169" i="21"/>
  <c r="AG156" i="21" s="1"/>
  <c r="X169" i="21"/>
  <c r="Y169" i="21" s="1"/>
  <c r="AH156" i="21" s="1"/>
  <c r="Z167" i="21"/>
  <c r="W184" i="21"/>
  <c r="AG161" i="21" s="1"/>
  <c r="X184" i="21"/>
  <c r="Y184" i="21" s="1"/>
  <c r="AH161" i="21" s="1"/>
  <c r="W190" i="21"/>
  <c r="X190" i="21"/>
  <c r="Y190" i="21" s="1"/>
  <c r="W181" i="21"/>
  <c r="AG160" i="21" s="1"/>
  <c r="X181" i="21"/>
  <c r="Y181" i="21" s="1"/>
  <c r="AH160" i="21" s="1"/>
  <c r="X160" i="21"/>
  <c r="Y160" i="21" s="1"/>
  <c r="AH153" i="21" s="1"/>
  <c r="W160" i="21"/>
  <c r="AG153" i="21" s="1"/>
  <c r="Z158" i="21"/>
  <c r="Z155" i="21"/>
  <c r="X157" i="21"/>
  <c r="Y157" i="21" s="1"/>
  <c r="AH152" i="21" s="1"/>
  <c r="W157" i="21"/>
  <c r="AG152" i="21" s="1"/>
  <c r="X178" i="21"/>
  <c r="Y178" i="21" s="1"/>
  <c r="W178" i="21"/>
  <c r="AA16" i="22"/>
  <c r="AA64" i="22"/>
  <c r="AB64" i="22"/>
  <c r="W97" i="22"/>
  <c r="AG66" i="22" s="1"/>
  <c r="X97" i="22"/>
  <c r="Y97" i="22" s="1"/>
  <c r="AH66" i="22" s="1"/>
  <c r="X139" i="22"/>
  <c r="Y139" i="22" s="1"/>
  <c r="AH114" i="22" s="1"/>
  <c r="W139" i="22"/>
  <c r="AG114" i="22" s="1"/>
  <c r="W19" i="22"/>
  <c r="AG9" i="22" s="1"/>
  <c r="Z17" i="22"/>
  <c r="X19" i="22"/>
  <c r="Y19" i="22" s="1"/>
  <c r="AH9" i="22" s="1"/>
  <c r="W70" i="22"/>
  <c r="AG57" i="22" s="1"/>
  <c r="Z68" i="22"/>
  <c r="X70" i="22"/>
  <c r="Y70" i="22" s="1"/>
  <c r="AH57" i="22" s="1"/>
  <c r="X130" i="22"/>
  <c r="Y130" i="22" s="1"/>
  <c r="AH111" i="22" s="1"/>
  <c r="W130" i="22"/>
  <c r="AG111" i="22" s="1"/>
  <c r="T79" i="22"/>
  <c r="U79" i="22" s="1"/>
  <c r="AF60" i="22" s="1"/>
  <c r="X109" i="22"/>
  <c r="Y109" i="22" s="1"/>
  <c r="AH104" i="22" s="1"/>
  <c r="Z107" i="22"/>
  <c r="W109" i="22"/>
  <c r="AG104" i="22" s="1"/>
  <c r="X148" i="22"/>
  <c r="Y148" i="22" s="1"/>
  <c r="AH117" i="22" s="1"/>
  <c r="W148" i="22"/>
  <c r="AG117" i="22" s="1"/>
  <c r="W55" i="22"/>
  <c r="AG52" i="22" s="1"/>
  <c r="X55" i="22"/>
  <c r="Y55" i="22" s="1"/>
  <c r="AH52" i="22" s="1"/>
  <c r="X115" i="22"/>
  <c r="Y115" i="22" s="1"/>
  <c r="AH106" i="22" s="1"/>
  <c r="Z113" i="22"/>
  <c r="W115" i="22"/>
  <c r="AG106" i="22" s="1"/>
  <c r="X67" i="22"/>
  <c r="Y67" i="22" s="1"/>
  <c r="AH56" i="22" s="1"/>
  <c r="Z65" i="22"/>
  <c r="W67" i="22"/>
  <c r="AG56" i="22" s="1"/>
  <c r="X106" i="22"/>
  <c r="Y106" i="22" s="1"/>
  <c r="AH103" i="22" s="1"/>
  <c r="W106" i="22"/>
  <c r="AG103" i="22" s="1"/>
  <c r="X79" i="22"/>
  <c r="Y79" i="22" s="1"/>
  <c r="AH60" i="22" s="1"/>
  <c r="W79" i="22"/>
  <c r="AG60" i="22" s="1"/>
  <c r="Z26" i="22"/>
  <c r="AD11" i="22"/>
  <c r="Z25" i="22"/>
  <c r="Z24" i="22"/>
  <c r="T109" i="22"/>
  <c r="U109" i="22" s="1"/>
  <c r="AF104" i="22" s="1"/>
  <c r="X133" i="22"/>
  <c r="Y133" i="22" s="1"/>
  <c r="AH112" i="22" s="1"/>
  <c r="W133" i="22"/>
  <c r="AG112" i="22" s="1"/>
  <c r="AD57" i="22"/>
  <c r="W112" i="22"/>
  <c r="AG105" i="22" s="1"/>
  <c r="X112" i="22"/>
  <c r="Y112" i="22" s="1"/>
  <c r="AH105" i="22" s="1"/>
  <c r="Z110" i="22"/>
  <c r="X82" i="22"/>
  <c r="Y82" i="22" s="1"/>
  <c r="AH61" i="22" s="1"/>
  <c r="W82" i="22"/>
  <c r="AG61" i="22" s="1"/>
  <c r="AD109" i="22"/>
  <c r="Z59" i="22"/>
  <c r="X7" i="22"/>
  <c r="Y7" i="22" s="1"/>
  <c r="AH5" i="22" s="1"/>
  <c r="W7" i="22"/>
  <c r="AG5" i="22" s="1"/>
  <c r="Z20" i="22"/>
  <c r="Z11" i="22"/>
  <c r="X106" i="21"/>
  <c r="Y106" i="21" s="1"/>
  <c r="W106" i="21"/>
  <c r="X79" i="21"/>
  <c r="Y79" i="21" s="1"/>
  <c r="AH59" i="21" s="1"/>
  <c r="W79" i="21"/>
  <c r="AG59" i="21" s="1"/>
  <c r="X67" i="21"/>
  <c r="Y67" i="21" s="1"/>
  <c r="AH55" i="21" s="1"/>
  <c r="Z65" i="21"/>
  <c r="W67" i="21"/>
  <c r="AG55" i="21" s="1"/>
  <c r="AD106" i="21"/>
  <c r="AD56" i="21"/>
  <c r="Z69" i="21"/>
  <c r="X85" i="21"/>
  <c r="Y85" i="21" s="1"/>
  <c r="AH61" i="21" s="1"/>
  <c r="W85" i="21"/>
  <c r="AG61" i="21" s="1"/>
  <c r="X37" i="21"/>
  <c r="Y37" i="21" s="1"/>
  <c r="AH14" i="21" s="1"/>
  <c r="W37" i="21"/>
  <c r="AG14" i="21" s="1"/>
  <c r="Z70" i="21"/>
  <c r="AA13" i="21"/>
  <c r="AB13" i="21"/>
  <c r="T61" i="21"/>
  <c r="U61" i="21" s="1"/>
  <c r="AF53" i="21" s="1"/>
  <c r="S61" i="21"/>
  <c r="AE53" i="21" s="1"/>
  <c r="V59" i="21"/>
  <c r="X148" i="21"/>
  <c r="Y148" i="21" s="1"/>
  <c r="AH116" i="21" s="1"/>
  <c r="W148" i="21"/>
  <c r="AG116" i="21" s="1"/>
  <c r="W130" i="21"/>
  <c r="AG110" i="21" s="1"/>
  <c r="X130" i="21"/>
  <c r="Y130" i="21" s="1"/>
  <c r="AH110" i="21" s="1"/>
  <c r="S106" i="21"/>
  <c r="X82" i="21"/>
  <c r="Y82" i="21" s="1"/>
  <c r="AH60" i="21" s="1"/>
  <c r="W82" i="21"/>
  <c r="AG60" i="21" s="1"/>
  <c r="W94" i="21"/>
  <c r="AG64" i="21" s="1"/>
  <c r="X94" i="21"/>
  <c r="Y94" i="21" s="1"/>
  <c r="AH64" i="21" s="1"/>
  <c r="W43" i="21"/>
  <c r="AG16" i="21" s="1"/>
  <c r="AH16" i="21"/>
  <c r="Z68" i="21"/>
  <c r="X70" i="21"/>
  <c r="Y70" i="21" s="1"/>
  <c r="AH56" i="21" s="1"/>
  <c r="W70" i="21"/>
  <c r="AG56" i="21" s="1"/>
  <c r="X139" i="21"/>
  <c r="Y139" i="21" s="1"/>
  <c r="AH113" i="21" s="1"/>
  <c r="W139" i="21"/>
  <c r="AG113" i="21" s="1"/>
  <c r="Z108" i="21"/>
  <c r="Z120" i="21"/>
  <c r="Z114" i="21"/>
  <c r="Z111" i="21"/>
  <c r="X118" i="21"/>
  <c r="Y118" i="21" s="1"/>
  <c r="AH106" i="21" s="1"/>
  <c r="W118" i="21"/>
  <c r="AG106" i="21" s="1"/>
  <c r="Z116" i="21"/>
  <c r="T106" i="21"/>
  <c r="U106" i="21" s="1"/>
  <c r="AD9" i="21"/>
  <c r="Z22" i="21"/>
  <c r="Z21" i="21"/>
  <c r="Z117" i="21"/>
  <c r="X97" i="21"/>
  <c r="Y97" i="21" s="1"/>
  <c r="AH65" i="21" s="1"/>
  <c r="W97" i="21"/>
  <c r="AG65" i="21" s="1"/>
  <c r="X58" i="21"/>
  <c r="Y58" i="21" s="1"/>
  <c r="AH52" i="21" s="1"/>
  <c r="Z56" i="21"/>
  <c r="W58" i="21"/>
  <c r="AG52" i="21" s="1"/>
  <c r="X109" i="21"/>
  <c r="Y109" i="21" s="1"/>
  <c r="AH103" i="21" s="1"/>
  <c r="Z107" i="21"/>
  <c r="W109" i="21"/>
  <c r="AG103" i="21" s="1"/>
  <c r="W64" i="21"/>
  <c r="AG54" i="21" s="1"/>
  <c r="AA82" i="19"/>
  <c r="V31" i="20"/>
  <c r="V32" i="20"/>
  <c r="AA57" i="19"/>
  <c r="V56" i="19"/>
  <c r="AB57" i="19"/>
  <c r="W6" i="20"/>
  <c r="V6" i="20"/>
  <c r="X59" i="20"/>
  <c r="Z59" i="20"/>
  <c r="Y59" i="20"/>
  <c r="T59" i="20"/>
  <c r="U59" i="20"/>
  <c r="S59" i="20"/>
  <c r="V81" i="20"/>
  <c r="W81" i="20"/>
  <c r="W58" i="20"/>
  <c r="W7" i="20"/>
  <c r="V7" i="20"/>
  <c r="W32" i="20"/>
  <c r="W80" i="20"/>
  <c r="V80" i="20"/>
  <c r="AA34" i="20"/>
  <c r="AB34" i="20"/>
  <c r="W55" i="20"/>
  <c r="V55" i="20"/>
  <c r="Y35" i="20"/>
  <c r="X35" i="20"/>
  <c r="S35" i="20"/>
  <c r="T35" i="20"/>
  <c r="Z35" i="20"/>
  <c r="AB9" i="20"/>
  <c r="AA9" i="20"/>
  <c r="W82" i="20"/>
  <c r="V82" i="20"/>
  <c r="X10" i="20"/>
  <c r="Z10" i="20"/>
  <c r="S10" i="20"/>
  <c r="Y10" i="20"/>
  <c r="AA58" i="20"/>
  <c r="V79" i="20"/>
  <c r="W79" i="20"/>
  <c r="Z83" i="20"/>
  <c r="Y83" i="20"/>
  <c r="X83" i="20"/>
  <c r="U83" i="20"/>
  <c r="T83" i="20"/>
  <c r="W8" i="20"/>
  <c r="V8" i="20"/>
  <c r="V9" i="20"/>
  <c r="W9" i="20"/>
  <c r="W57" i="20"/>
  <c r="V57" i="20"/>
  <c r="V56" i="20"/>
  <c r="W56" i="20"/>
  <c r="V33" i="20"/>
  <c r="W33" i="20"/>
  <c r="U35" i="20"/>
  <c r="AB82" i="20"/>
  <c r="AA82" i="20"/>
  <c r="Y83" i="19"/>
  <c r="T83" i="19"/>
  <c r="Z83" i="19"/>
  <c r="X83" i="19"/>
  <c r="U83" i="19"/>
  <c r="V79" i="19"/>
  <c r="W81" i="19"/>
  <c r="W82" i="19"/>
  <c r="V82" i="19"/>
  <c r="AB82" i="19"/>
  <c r="Z33" i="19"/>
  <c r="X33" i="19"/>
  <c r="U33" i="19"/>
  <c r="Y33" i="19"/>
  <c r="T33" i="19"/>
  <c r="W56" i="19"/>
  <c r="V6" i="19"/>
  <c r="W6" i="19"/>
  <c r="X10" i="19"/>
  <c r="Z10" i="19"/>
  <c r="Y10" i="19"/>
  <c r="S10" i="19"/>
  <c r="U10" i="19"/>
  <c r="V32" i="19"/>
  <c r="W32" i="19"/>
  <c r="W7" i="19"/>
  <c r="V7" i="19"/>
  <c r="U58" i="19"/>
  <c r="Z58" i="19"/>
  <c r="X58" i="19"/>
  <c r="Y58" i="19"/>
  <c r="S58" i="19"/>
  <c r="V55" i="19"/>
  <c r="W55" i="19"/>
  <c r="T58" i="19"/>
  <c r="V30" i="19"/>
  <c r="W30" i="19"/>
  <c r="AB9" i="19"/>
  <c r="AA9" i="19"/>
  <c r="V31" i="19"/>
  <c r="W31" i="19"/>
  <c r="AB32" i="19"/>
  <c r="AA32" i="19"/>
  <c r="V9" i="19"/>
  <c r="W9" i="19"/>
  <c r="W8" i="19"/>
  <c r="V8" i="19"/>
  <c r="V57" i="19"/>
  <c r="W57" i="19"/>
  <c r="W154" i="21" l="1"/>
  <c r="AG151" i="21" s="1"/>
  <c r="Z62" i="21"/>
  <c r="Z167" i="22"/>
  <c r="W163" i="22"/>
  <c r="AG154" i="22" s="1"/>
  <c r="D170" i="22"/>
  <c r="AD156" i="22"/>
  <c r="Z168" i="22"/>
  <c r="D170" i="21"/>
  <c r="AD156" i="21"/>
  <c r="Z169" i="21"/>
  <c r="AA169" i="21" s="1"/>
  <c r="AB166" i="22"/>
  <c r="AB121" i="22"/>
  <c r="AA22" i="21"/>
  <c r="AB10" i="21"/>
  <c r="W196" i="21"/>
  <c r="AG165" i="21" s="1"/>
  <c r="AA16" i="21"/>
  <c r="X49" i="21"/>
  <c r="Y49" i="21" s="1"/>
  <c r="AH18" i="21" s="1"/>
  <c r="AA163" i="21"/>
  <c r="AB16" i="21"/>
  <c r="W40" i="21"/>
  <c r="AG15" i="21" s="1"/>
  <c r="D26" i="24"/>
  <c r="W11" i="24" s="1"/>
  <c r="W10" i="24"/>
  <c r="D26" i="23"/>
  <c r="W11" i="23" s="1"/>
  <c r="W10" i="23"/>
  <c r="W34" i="22"/>
  <c r="AG14" i="22" s="1"/>
  <c r="W181" i="22"/>
  <c r="AG160" i="22" s="1"/>
  <c r="AH160" i="22"/>
  <c r="W31" i="22"/>
  <c r="AG13" i="22" s="1"/>
  <c r="X58" i="22"/>
  <c r="Y58" i="22" s="1"/>
  <c r="AH53" i="22" s="1"/>
  <c r="Z56" i="22"/>
  <c r="AB58" i="22" s="1"/>
  <c r="W118" i="22"/>
  <c r="AG107" i="22" s="1"/>
  <c r="D80" i="24"/>
  <c r="W65" i="24" s="1"/>
  <c r="W64" i="24"/>
  <c r="D80" i="23"/>
  <c r="W65" i="23" s="1"/>
  <c r="W64" i="23"/>
  <c r="AB10" i="22"/>
  <c r="AA124" i="22"/>
  <c r="AA121" i="22"/>
  <c r="X112" i="21"/>
  <c r="Y112" i="21" s="1"/>
  <c r="AH104" i="21" s="1"/>
  <c r="W112" i="21"/>
  <c r="AG104" i="21" s="1"/>
  <c r="W38" i="23"/>
  <c r="W37" i="23"/>
  <c r="AA166" i="22"/>
  <c r="Z116" i="22"/>
  <c r="AB118" i="22" s="1"/>
  <c r="AA163" i="22"/>
  <c r="AB163" i="22"/>
  <c r="AB160" i="22"/>
  <c r="AA160" i="22"/>
  <c r="AA157" i="22"/>
  <c r="AB157" i="22"/>
  <c r="AH17" i="22"/>
  <c r="W43" i="22"/>
  <c r="AG17" i="22" s="1"/>
  <c r="AB124" i="22"/>
  <c r="AB25" i="22"/>
  <c r="AA25" i="22"/>
  <c r="AB19" i="21"/>
  <c r="AB112" i="21"/>
  <c r="AA115" i="21"/>
  <c r="AA112" i="21"/>
  <c r="AB163" i="21"/>
  <c r="AB157" i="21"/>
  <c r="AA157" i="21"/>
  <c r="AB166" i="21"/>
  <c r="AA166" i="21"/>
  <c r="AB160" i="21"/>
  <c r="AA160" i="21"/>
  <c r="AB22" i="22"/>
  <c r="AA22" i="22"/>
  <c r="AB13" i="22"/>
  <c r="AA13" i="22"/>
  <c r="AD12" i="22"/>
  <c r="Z28" i="22"/>
  <c r="Z27" i="22"/>
  <c r="AB61" i="22"/>
  <c r="AA61" i="22"/>
  <c r="AA112" i="22"/>
  <c r="AB112" i="22"/>
  <c r="AD58" i="22"/>
  <c r="Z73" i="22"/>
  <c r="Z72" i="22"/>
  <c r="AB67" i="22"/>
  <c r="AA67" i="22"/>
  <c r="AB115" i="22"/>
  <c r="AA115" i="22"/>
  <c r="AB109" i="22"/>
  <c r="AA109" i="22"/>
  <c r="AA19" i="22"/>
  <c r="AB19" i="22"/>
  <c r="AA70" i="22"/>
  <c r="AB70" i="22"/>
  <c r="AD110" i="22"/>
  <c r="Z127" i="22"/>
  <c r="Z126" i="22"/>
  <c r="Z125" i="22"/>
  <c r="Z71" i="22"/>
  <c r="X61" i="21"/>
  <c r="Y61" i="21" s="1"/>
  <c r="AH53" i="21" s="1"/>
  <c r="Z59" i="21"/>
  <c r="W61" i="21"/>
  <c r="AG53" i="21" s="1"/>
  <c r="AB64" i="21"/>
  <c r="AA64" i="21"/>
  <c r="AB67" i="21"/>
  <c r="AA67" i="21"/>
  <c r="AB115" i="21"/>
  <c r="AB118" i="21"/>
  <c r="AA118" i="21"/>
  <c r="AA70" i="21"/>
  <c r="AB70" i="21"/>
  <c r="AD57" i="21"/>
  <c r="Z71" i="21"/>
  <c r="Z73" i="21"/>
  <c r="Z72" i="21"/>
  <c r="AB22" i="21"/>
  <c r="AB109" i="21"/>
  <c r="AA109" i="21"/>
  <c r="AB58" i="21"/>
  <c r="AA58" i="21"/>
  <c r="AD10" i="21"/>
  <c r="Z23" i="21"/>
  <c r="Z25" i="21"/>
  <c r="Z24" i="21"/>
  <c r="AD107" i="21"/>
  <c r="Z119" i="21"/>
  <c r="Z121" i="21"/>
  <c r="W83" i="19"/>
  <c r="W83" i="20"/>
  <c r="W33" i="19"/>
  <c r="W10" i="20"/>
  <c r="V10" i="20"/>
  <c r="V35" i="20"/>
  <c r="W35" i="20"/>
  <c r="V83" i="20"/>
  <c r="Z60" i="20"/>
  <c r="X60" i="20"/>
  <c r="Y60" i="20"/>
  <c r="U60" i="20"/>
  <c r="T60" i="20"/>
  <c r="S60" i="20"/>
  <c r="AB83" i="20"/>
  <c r="AA83" i="20"/>
  <c r="AB35" i="20"/>
  <c r="AA35" i="20"/>
  <c r="AB10" i="20"/>
  <c r="AA10" i="20"/>
  <c r="X36" i="20"/>
  <c r="Z36" i="20"/>
  <c r="Y36" i="20"/>
  <c r="S36" i="20"/>
  <c r="U36" i="20"/>
  <c r="T36" i="20"/>
  <c r="W59" i="20"/>
  <c r="V59" i="20"/>
  <c r="X84" i="20"/>
  <c r="U84" i="20"/>
  <c r="Y84" i="20"/>
  <c r="Z84" i="20"/>
  <c r="S84" i="20"/>
  <c r="T84" i="20"/>
  <c r="Z11" i="20"/>
  <c r="Y11" i="20"/>
  <c r="U11" i="20"/>
  <c r="X11" i="20"/>
  <c r="S11" i="20"/>
  <c r="T11" i="20"/>
  <c r="AB59" i="20"/>
  <c r="AA59" i="20"/>
  <c r="V83" i="19"/>
  <c r="X84" i="19"/>
  <c r="S84" i="19"/>
  <c r="Z84" i="19"/>
  <c r="Y84" i="19"/>
  <c r="T84" i="19"/>
  <c r="U84" i="19"/>
  <c r="AA83" i="19"/>
  <c r="AB83" i="19"/>
  <c r="Y34" i="19"/>
  <c r="S34" i="19"/>
  <c r="X34" i="19"/>
  <c r="U34" i="19"/>
  <c r="Z34" i="19"/>
  <c r="T34" i="19"/>
  <c r="W10" i="19"/>
  <c r="V10" i="19"/>
  <c r="Y11" i="19"/>
  <c r="Z11" i="19"/>
  <c r="U11" i="19"/>
  <c r="X11" i="19"/>
  <c r="S11" i="19"/>
  <c r="T11" i="19"/>
  <c r="V33" i="19"/>
  <c r="Y59" i="19"/>
  <c r="U59" i="19"/>
  <c r="Z59" i="19"/>
  <c r="S59" i="19"/>
  <c r="X59" i="19"/>
  <c r="T59" i="19"/>
  <c r="AA58" i="19"/>
  <c r="AB58" i="19"/>
  <c r="AB10" i="19"/>
  <c r="AA10" i="19"/>
  <c r="W58" i="19"/>
  <c r="V58" i="19"/>
  <c r="AA33" i="19"/>
  <c r="AB33" i="19"/>
  <c r="AB169" i="21" l="1"/>
  <c r="AA58" i="22"/>
  <c r="AB169" i="22"/>
  <c r="AA169" i="22"/>
  <c r="D173" i="22"/>
  <c r="AD157" i="22"/>
  <c r="Z171" i="22"/>
  <c r="Z170" i="22"/>
  <c r="Z172" i="22"/>
  <c r="D173" i="21"/>
  <c r="AD157" i="21"/>
  <c r="Z172" i="21"/>
  <c r="Z170" i="21"/>
  <c r="Z171" i="21"/>
  <c r="AA118" i="22"/>
  <c r="AA28" i="22"/>
  <c r="AB28" i="22"/>
  <c r="AA73" i="22"/>
  <c r="AB73" i="22"/>
  <c r="AD59" i="22"/>
  <c r="Z76" i="22"/>
  <c r="Z75" i="22"/>
  <c r="Z74" i="22"/>
  <c r="AB127" i="22"/>
  <c r="AA127" i="22"/>
  <c r="AD111" i="22"/>
  <c r="Z130" i="22"/>
  <c r="Z129" i="22"/>
  <c r="Z128" i="22"/>
  <c r="AD13" i="22"/>
  <c r="Z31" i="22"/>
  <c r="Z30" i="22"/>
  <c r="Z29" i="22"/>
  <c r="AD11" i="21"/>
  <c r="Z28" i="21"/>
  <c r="Z27" i="21"/>
  <c r="Z26" i="21"/>
  <c r="AA73" i="21"/>
  <c r="AB73" i="21"/>
  <c r="AD108" i="21"/>
  <c r="Z124" i="21"/>
  <c r="Z122" i="21"/>
  <c r="Z123" i="21"/>
  <c r="AB121" i="21"/>
  <c r="AA121" i="21"/>
  <c r="AB61" i="21"/>
  <c r="AA61" i="21"/>
  <c r="AB25" i="21"/>
  <c r="AA25" i="21"/>
  <c r="AD58" i="21"/>
  <c r="Z76" i="21"/>
  <c r="Z74" i="21"/>
  <c r="Z75" i="21"/>
  <c r="AB60" i="20"/>
  <c r="AA60" i="20"/>
  <c r="AB11" i="20"/>
  <c r="AA11" i="20"/>
  <c r="T12" i="20"/>
  <c r="Y12" i="20"/>
  <c r="Z12" i="20"/>
  <c r="X12" i="20"/>
  <c r="U12" i="20"/>
  <c r="S12" i="20"/>
  <c r="W36" i="20"/>
  <c r="V36" i="20"/>
  <c r="Z37" i="20"/>
  <c r="X37" i="20"/>
  <c r="Y37" i="20"/>
  <c r="U37" i="20"/>
  <c r="T37" i="20"/>
  <c r="S37" i="20"/>
  <c r="W11" i="20"/>
  <c r="V11" i="20"/>
  <c r="W60" i="20"/>
  <c r="V60" i="20"/>
  <c r="Z61" i="20"/>
  <c r="U61" i="20"/>
  <c r="S61" i="20"/>
  <c r="X61" i="20"/>
  <c r="Y61" i="20"/>
  <c r="T61" i="20"/>
  <c r="X85" i="20"/>
  <c r="U85" i="20"/>
  <c r="T85" i="20"/>
  <c r="Y85" i="20"/>
  <c r="S85" i="20"/>
  <c r="Z85" i="20"/>
  <c r="AB36" i="20"/>
  <c r="AA36" i="20"/>
  <c r="W84" i="20"/>
  <c r="V84" i="20"/>
  <c r="AA84" i="20"/>
  <c r="AB84" i="20"/>
  <c r="V84" i="19"/>
  <c r="W84" i="19"/>
  <c r="AA84" i="19"/>
  <c r="AB84" i="19"/>
  <c r="S85" i="19"/>
  <c r="T85" i="19"/>
  <c r="X85" i="19"/>
  <c r="Z85" i="19"/>
  <c r="Y85" i="19"/>
  <c r="U85" i="19"/>
  <c r="AA34" i="19"/>
  <c r="AB34" i="19"/>
  <c r="AA59" i="19"/>
  <c r="AB59" i="19"/>
  <c r="V11" i="19"/>
  <c r="W11" i="19"/>
  <c r="Z12" i="19"/>
  <c r="X12" i="19"/>
  <c r="Y12" i="19"/>
  <c r="U12" i="19"/>
  <c r="T12" i="19"/>
  <c r="S12" i="19"/>
  <c r="V34" i="19"/>
  <c r="W34" i="19"/>
  <c r="V59" i="19"/>
  <c r="W59" i="19"/>
  <c r="X60" i="19"/>
  <c r="Y60" i="19"/>
  <c r="Z60" i="19"/>
  <c r="S60" i="19"/>
  <c r="T60" i="19"/>
  <c r="U60" i="19"/>
  <c r="AB11" i="19"/>
  <c r="AA11" i="19"/>
  <c r="X35" i="19"/>
  <c r="T35" i="19"/>
  <c r="U35" i="19"/>
  <c r="Y35" i="19"/>
  <c r="S35" i="19"/>
  <c r="Z35" i="19"/>
  <c r="AA172" i="22" l="1"/>
  <c r="AB172" i="22"/>
  <c r="D176" i="22"/>
  <c r="AD158" i="22"/>
  <c r="Z174" i="22"/>
  <c r="Z175" i="22"/>
  <c r="Z173" i="22"/>
  <c r="AB172" i="21"/>
  <c r="AA172" i="21"/>
  <c r="D176" i="21"/>
  <c r="AD158" i="21"/>
  <c r="Z175" i="21"/>
  <c r="Z174" i="21"/>
  <c r="Z173" i="21"/>
  <c r="AB130" i="22"/>
  <c r="AA130" i="22"/>
  <c r="AB31" i="22"/>
  <c r="AA31" i="22"/>
  <c r="AD14" i="22"/>
  <c r="Z34" i="22"/>
  <c r="Z33" i="22"/>
  <c r="Z32" i="22"/>
  <c r="AD112" i="22"/>
  <c r="Z132" i="22"/>
  <c r="Z133" i="22"/>
  <c r="Z131" i="22"/>
  <c r="AB76" i="22"/>
  <c r="AA76" i="22"/>
  <c r="AD60" i="22"/>
  <c r="Z79" i="22"/>
  <c r="Z78" i="22"/>
  <c r="Z77" i="22"/>
  <c r="AD109" i="21"/>
  <c r="Z127" i="21"/>
  <c r="Z126" i="21"/>
  <c r="Z125" i="21"/>
  <c r="AD59" i="21"/>
  <c r="Z79" i="21"/>
  <c r="Z78" i="21"/>
  <c r="Z77" i="21"/>
  <c r="AB124" i="21"/>
  <c r="AA124" i="21"/>
  <c r="AB76" i="21"/>
  <c r="AA76" i="21"/>
  <c r="AB28" i="21"/>
  <c r="AA28" i="21"/>
  <c r="AD12" i="21"/>
  <c r="Z31" i="21"/>
  <c r="Z30" i="21"/>
  <c r="Z29" i="21"/>
  <c r="T86" i="20"/>
  <c r="Y86" i="20"/>
  <c r="S86" i="20"/>
  <c r="U86" i="20"/>
  <c r="Z86" i="20"/>
  <c r="X86" i="20"/>
  <c r="W61" i="20"/>
  <c r="V61" i="20"/>
  <c r="W37" i="20"/>
  <c r="V37" i="20"/>
  <c r="AB37" i="20"/>
  <c r="AA37" i="20"/>
  <c r="V12" i="20"/>
  <c r="W12" i="20"/>
  <c r="Z38" i="20"/>
  <c r="U38" i="20"/>
  <c r="S38" i="20"/>
  <c r="X38" i="20"/>
  <c r="Y38" i="20"/>
  <c r="T38" i="20"/>
  <c r="V85" i="20"/>
  <c r="W85" i="20"/>
  <c r="AB85" i="20"/>
  <c r="AA85" i="20"/>
  <c r="AA61" i="20"/>
  <c r="AB61" i="20"/>
  <c r="Y62" i="20"/>
  <c r="Z62" i="20"/>
  <c r="X62" i="20"/>
  <c r="T62" i="20"/>
  <c r="S62" i="20"/>
  <c r="U62" i="20"/>
  <c r="AB12" i="20"/>
  <c r="AA12" i="20"/>
  <c r="Z13" i="20"/>
  <c r="U13" i="20"/>
  <c r="T13" i="20"/>
  <c r="X13" i="20"/>
  <c r="Y13" i="20"/>
  <c r="S13" i="20"/>
  <c r="V85" i="19"/>
  <c r="W85" i="19"/>
  <c r="AB85" i="19"/>
  <c r="AA85" i="19"/>
  <c r="Z86" i="19"/>
  <c r="X86" i="19"/>
  <c r="Y86" i="19"/>
  <c r="S86" i="19"/>
  <c r="T86" i="19"/>
  <c r="U86" i="19"/>
  <c r="AA12" i="19"/>
  <c r="AB12" i="19"/>
  <c r="Z36" i="19"/>
  <c r="U36" i="19"/>
  <c r="X36" i="19"/>
  <c r="T36" i="19"/>
  <c r="Y36" i="19"/>
  <c r="S36" i="19"/>
  <c r="AB60" i="19"/>
  <c r="AA60" i="19"/>
  <c r="AB35" i="19"/>
  <c r="AA35" i="19"/>
  <c r="W60" i="19"/>
  <c r="V60" i="19"/>
  <c r="Y61" i="19"/>
  <c r="S61" i="19"/>
  <c r="X61" i="19"/>
  <c r="Z61" i="19"/>
  <c r="T61" i="19"/>
  <c r="U61" i="19"/>
  <c r="Y13" i="19"/>
  <c r="X13" i="19"/>
  <c r="T13" i="19"/>
  <c r="Z13" i="19"/>
  <c r="S13" i="19"/>
  <c r="U13" i="19"/>
  <c r="W35" i="19"/>
  <c r="V35" i="19"/>
  <c r="W12" i="19"/>
  <c r="V12" i="19"/>
  <c r="AB175" i="22" l="1"/>
  <c r="AA175" i="22"/>
  <c r="D179" i="22"/>
  <c r="AD159" i="22"/>
  <c r="Z177" i="22"/>
  <c r="Z178" i="22"/>
  <c r="Z176" i="22"/>
  <c r="AA175" i="21"/>
  <c r="AB175" i="21"/>
  <c r="D179" i="21"/>
  <c r="Z178" i="21"/>
  <c r="Z177" i="21"/>
  <c r="Z176" i="21"/>
  <c r="AB133" i="22"/>
  <c r="AA133" i="22"/>
  <c r="AD113" i="22"/>
  <c r="Z136" i="22"/>
  <c r="Z135" i="22"/>
  <c r="Z134" i="22"/>
  <c r="AB79" i="22"/>
  <c r="AA79" i="22"/>
  <c r="AD61" i="22"/>
  <c r="Z82" i="22"/>
  <c r="Z81" i="22"/>
  <c r="Z80" i="22"/>
  <c r="AB34" i="22"/>
  <c r="AA34" i="22"/>
  <c r="AD15" i="22"/>
  <c r="Z37" i="22"/>
  <c r="Z36" i="22"/>
  <c r="Z35" i="22"/>
  <c r="AB79" i="21"/>
  <c r="AA79" i="21"/>
  <c r="AD60" i="21"/>
  <c r="Z81" i="21"/>
  <c r="Z82" i="21"/>
  <c r="Z80" i="21"/>
  <c r="AA31" i="21"/>
  <c r="AB31" i="21"/>
  <c r="AD13" i="21"/>
  <c r="Z34" i="21"/>
  <c r="Z32" i="21"/>
  <c r="Z33" i="21"/>
  <c r="AB127" i="21"/>
  <c r="AA127" i="21"/>
  <c r="AD110" i="21"/>
  <c r="Z130" i="21"/>
  <c r="Z128" i="21"/>
  <c r="Z129" i="21"/>
  <c r="AB62" i="20"/>
  <c r="AA62" i="20"/>
  <c r="V86" i="20"/>
  <c r="W86" i="20"/>
  <c r="W38" i="20"/>
  <c r="V38" i="20"/>
  <c r="AA13" i="20"/>
  <c r="AB13" i="20"/>
  <c r="Y14" i="20"/>
  <c r="T14" i="20"/>
  <c r="S14" i="20"/>
  <c r="Z14" i="20"/>
  <c r="X14" i="20"/>
  <c r="U14" i="20"/>
  <c r="V62" i="20"/>
  <c r="W62" i="20"/>
  <c r="W13" i="20"/>
  <c r="V13" i="20"/>
  <c r="AA38" i="20"/>
  <c r="AB38" i="20"/>
  <c r="Z39" i="20"/>
  <c r="X39" i="20"/>
  <c r="T39" i="20"/>
  <c r="Y39" i="20"/>
  <c r="U39" i="20"/>
  <c r="S39" i="20"/>
  <c r="AB86" i="20"/>
  <c r="AA86" i="20"/>
  <c r="X63" i="20"/>
  <c r="Z63" i="20"/>
  <c r="Y63" i="20"/>
  <c r="T63" i="20"/>
  <c r="S63" i="20"/>
  <c r="U63" i="20"/>
  <c r="Z87" i="20"/>
  <c r="Y87" i="20"/>
  <c r="U87" i="20"/>
  <c r="X87" i="20"/>
  <c r="S87" i="20"/>
  <c r="T87" i="20"/>
  <c r="AB86" i="19"/>
  <c r="AA86" i="19"/>
  <c r="W86" i="19"/>
  <c r="V86" i="19"/>
  <c r="Y87" i="19"/>
  <c r="U87" i="19"/>
  <c r="X87" i="19"/>
  <c r="Z87" i="19"/>
  <c r="S87" i="19"/>
  <c r="T87" i="19"/>
  <c r="V13" i="19"/>
  <c r="W13" i="19"/>
  <c r="X14" i="19"/>
  <c r="Z14" i="19"/>
  <c r="Y14" i="19"/>
  <c r="S14" i="19"/>
  <c r="U14" i="19"/>
  <c r="T14" i="19"/>
  <c r="Z62" i="19"/>
  <c r="Y62" i="19"/>
  <c r="U62" i="19"/>
  <c r="T62" i="19"/>
  <c r="X62" i="19"/>
  <c r="S62" i="19"/>
  <c r="AB61" i="19"/>
  <c r="AA61" i="19"/>
  <c r="Z37" i="19"/>
  <c r="Y37" i="19"/>
  <c r="U37" i="19"/>
  <c r="X37" i="19"/>
  <c r="T37" i="19"/>
  <c r="S37" i="19"/>
  <c r="W61" i="19"/>
  <c r="V61" i="19"/>
  <c r="AB36" i="19"/>
  <c r="AA36" i="19"/>
  <c r="AA13" i="19"/>
  <c r="AB13" i="19"/>
  <c r="W36" i="19"/>
  <c r="V36" i="19"/>
  <c r="D182" i="22" l="1"/>
  <c r="AD160" i="22"/>
  <c r="Z180" i="22"/>
  <c r="Z181" i="22"/>
  <c r="Z179" i="22"/>
  <c r="AB178" i="22"/>
  <c r="AA178" i="22"/>
  <c r="D182" i="21"/>
  <c r="AD160" i="21"/>
  <c r="Z181" i="21"/>
  <c r="Z179" i="21"/>
  <c r="Z180" i="21"/>
  <c r="AA178" i="21"/>
  <c r="AB178" i="21"/>
  <c r="AD62" i="22"/>
  <c r="Z84" i="22"/>
  <c r="Z85" i="22"/>
  <c r="Z83" i="22"/>
  <c r="AA136" i="22"/>
  <c r="AB136" i="22"/>
  <c r="AD114" i="22"/>
  <c r="Z139" i="22"/>
  <c r="Z138" i="22"/>
  <c r="Z137" i="22"/>
  <c r="AB82" i="22"/>
  <c r="AA82" i="22"/>
  <c r="AA37" i="22"/>
  <c r="AB37" i="22"/>
  <c r="AD16" i="22"/>
  <c r="Z40" i="22"/>
  <c r="Z39" i="22"/>
  <c r="Z38" i="22"/>
  <c r="AA130" i="21"/>
  <c r="AB130" i="21"/>
  <c r="AB82" i="21"/>
  <c r="AA82" i="21"/>
  <c r="AD61" i="21"/>
  <c r="Z84" i="21"/>
  <c r="Z85" i="21"/>
  <c r="Z83" i="21"/>
  <c r="AD14" i="21"/>
  <c r="Z37" i="21"/>
  <c r="Z36" i="21"/>
  <c r="Z35" i="21"/>
  <c r="AD111" i="21"/>
  <c r="Z133" i="21"/>
  <c r="Z132" i="21"/>
  <c r="Z131" i="21"/>
  <c r="AB34" i="21"/>
  <c r="AA34" i="21"/>
  <c r="W63" i="20"/>
  <c r="V63" i="20"/>
  <c r="AB63" i="20"/>
  <c r="AA63" i="20"/>
  <c r="W39" i="20"/>
  <c r="V39" i="20"/>
  <c r="AB39" i="20"/>
  <c r="AA39" i="20"/>
  <c r="V14" i="20"/>
  <c r="W14" i="20"/>
  <c r="W87" i="20"/>
  <c r="V87" i="20"/>
  <c r="S64" i="20"/>
  <c r="Z64" i="20"/>
  <c r="Y64" i="20"/>
  <c r="X64" i="20"/>
  <c r="T64" i="20"/>
  <c r="U64" i="20"/>
  <c r="AB87" i="20"/>
  <c r="AA87" i="20"/>
  <c r="Z88" i="20"/>
  <c r="Y88" i="20"/>
  <c r="X88" i="20"/>
  <c r="U88" i="20"/>
  <c r="T88" i="20"/>
  <c r="S88" i="20"/>
  <c r="Y40" i="20"/>
  <c r="U40" i="20"/>
  <c r="X40" i="20"/>
  <c r="T40" i="20"/>
  <c r="Z40" i="20"/>
  <c r="S40" i="20"/>
  <c r="AB14" i="20"/>
  <c r="AA14" i="20"/>
  <c r="X15" i="20"/>
  <c r="Z15" i="20"/>
  <c r="S15" i="20"/>
  <c r="Y15" i="20"/>
  <c r="T15" i="20"/>
  <c r="U15" i="20"/>
  <c r="AB87" i="19"/>
  <c r="AA87" i="19"/>
  <c r="W87" i="19"/>
  <c r="V87" i="19"/>
  <c r="Z88" i="19"/>
  <c r="Y88" i="19"/>
  <c r="X88" i="19"/>
  <c r="U88" i="19"/>
  <c r="S88" i="19"/>
  <c r="T88" i="19"/>
  <c r="W62" i="19"/>
  <c r="V62" i="19"/>
  <c r="AA37" i="19"/>
  <c r="AB37" i="19"/>
  <c r="Y38" i="19"/>
  <c r="X38" i="19"/>
  <c r="Z38" i="19"/>
  <c r="T38" i="19"/>
  <c r="U38" i="19"/>
  <c r="S38" i="19"/>
  <c r="AA62" i="19"/>
  <c r="AB62" i="19"/>
  <c r="Y63" i="19"/>
  <c r="T63" i="19"/>
  <c r="X63" i="19"/>
  <c r="Z63" i="19"/>
  <c r="S63" i="19"/>
  <c r="U63" i="19"/>
  <c r="V14" i="19"/>
  <c r="W14" i="19"/>
  <c r="Y15" i="19"/>
  <c r="Z15" i="19"/>
  <c r="U15" i="19"/>
  <c r="X15" i="19"/>
  <c r="T15" i="19"/>
  <c r="S15" i="19"/>
  <c r="AB14" i="19"/>
  <c r="AA14" i="19"/>
  <c r="W37" i="19"/>
  <c r="V37" i="19"/>
  <c r="AA181" i="22" l="1"/>
  <c r="AB181" i="22"/>
  <c r="D185" i="22"/>
  <c r="D188" i="22" s="1"/>
  <c r="AD161" i="22"/>
  <c r="Z183" i="22"/>
  <c r="Z184" i="22"/>
  <c r="Z182" i="22"/>
  <c r="AA181" i="21"/>
  <c r="AB181" i="21"/>
  <c r="D185" i="21"/>
  <c r="AD161" i="21"/>
  <c r="Z184" i="21"/>
  <c r="Z183" i="21"/>
  <c r="Z182" i="21"/>
  <c r="AD63" i="22"/>
  <c r="Z88" i="22"/>
  <c r="Z87" i="22"/>
  <c r="Z86" i="22"/>
  <c r="AB139" i="22"/>
  <c r="AA139" i="22"/>
  <c r="AD115" i="22"/>
  <c r="Z142" i="22"/>
  <c r="Z141" i="22"/>
  <c r="Z140" i="22"/>
  <c r="AB40" i="22"/>
  <c r="AA40" i="22"/>
  <c r="AB85" i="22"/>
  <c r="AA85" i="22"/>
  <c r="AD17" i="22"/>
  <c r="Z43" i="22"/>
  <c r="Z41" i="22"/>
  <c r="Z42" i="22"/>
  <c r="AD112" i="21"/>
  <c r="Z134" i="21"/>
  <c r="Z136" i="21"/>
  <c r="Z135" i="21"/>
  <c r="AB37" i="21"/>
  <c r="AA37" i="21"/>
  <c r="AD15" i="21"/>
  <c r="Z40" i="21"/>
  <c r="Z39" i="21"/>
  <c r="Z38" i="21"/>
  <c r="AB133" i="21"/>
  <c r="AA133" i="21"/>
  <c r="AB85" i="21"/>
  <c r="AA85" i="21"/>
  <c r="AD62" i="21"/>
  <c r="Z88" i="21"/>
  <c r="Z86" i="21"/>
  <c r="Z87" i="21"/>
  <c r="W88" i="20"/>
  <c r="V88" i="20"/>
  <c r="AB15" i="20"/>
  <c r="AA15" i="20"/>
  <c r="V40" i="20"/>
  <c r="W40" i="20"/>
  <c r="AB40" i="20"/>
  <c r="AA40" i="20"/>
  <c r="Y16" i="20"/>
  <c r="Z16" i="20"/>
  <c r="X16" i="20"/>
  <c r="U16" i="20"/>
  <c r="S16" i="20"/>
  <c r="T16" i="20"/>
  <c r="X89" i="20"/>
  <c r="S89" i="20"/>
  <c r="Z89" i="20"/>
  <c r="Y89" i="20"/>
  <c r="U89" i="20"/>
  <c r="T89" i="20"/>
  <c r="V64" i="20"/>
  <c r="W64" i="20"/>
  <c r="W15" i="20"/>
  <c r="V15" i="20"/>
  <c r="Y41" i="20"/>
  <c r="Z41" i="20"/>
  <c r="T41" i="20"/>
  <c r="X41" i="20"/>
  <c r="U41" i="20"/>
  <c r="S41" i="20"/>
  <c r="AB88" i="20"/>
  <c r="AA88" i="20"/>
  <c r="AB64" i="20"/>
  <c r="AA64" i="20"/>
  <c r="X65" i="20"/>
  <c r="S65" i="20"/>
  <c r="Y65" i="20"/>
  <c r="Z65" i="20"/>
  <c r="T65" i="20"/>
  <c r="U65" i="20"/>
  <c r="AB88" i="19"/>
  <c r="AA88" i="19"/>
  <c r="W88" i="19"/>
  <c r="V88" i="19"/>
  <c r="Z89" i="19"/>
  <c r="S89" i="19"/>
  <c r="X89" i="19"/>
  <c r="Y89" i="19"/>
  <c r="U89" i="19"/>
  <c r="T89" i="19"/>
  <c r="Z16" i="19"/>
  <c r="X16" i="19"/>
  <c r="Y16" i="19"/>
  <c r="T16" i="19"/>
  <c r="U16" i="19"/>
  <c r="S16" i="19"/>
  <c r="AB15" i="19"/>
  <c r="AA15" i="19"/>
  <c r="V63" i="19"/>
  <c r="W63" i="19"/>
  <c r="X64" i="19"/>
  <c r="Z64" i="19"/>
  <c r="S64" i="19"/>
  <c r="Y64" i="19"/>
  <c r="T64" i="19"/>
  <c r="U64" i="19"/>
  <c r="V38" i="19"/>
  <c r="W38" i="19"/>
  <c r="AB38" i="19"/>
  <c r="AA38" i="19"/>
  <c r="X39" i="19"/>
  <c r="Z39" i="19"/>
  <c r="Y39" i="19"/>
  <c r="U39" i="19"/>
  <c r="T39" i="19"/>
  <c r="S39" i="19"/>
  <c r="W15" i="19"/>
  <c r="V15" i="19"/>
  <c r="AB63" i="19"/>
  <c r="AA63" i="19"/>
  <c r="AA184" i="22" l="1"/>
  <c r="AB184" i="22"/>
  <c r="AD162" i="22"/>
  <c r="Z186" i="22"/>
  <c r="Z187" i="22"/>
  <c r="Z185" i="22"/>
  <c r="AB184" i="21"/>
  <c r="AA184" i="21"/>
  <c r="D188" i="21"/>
  <c r="AD162" i="21"/>
  <c r="Z187" i="21"/>
  <c r="Z186" i="21"/>
  <c r="Z185" i="21"/>
  <c r="AB43" i="22"/>
  <c r="AA43" i="22"/>
  <c r="AA142" i="22"/>
  <c r="AB142" i="22"/>
  <c r="AD116" i="22"/>
  <c r="Z145" i="22"/>
  <c r="Z143" i="22"/>
  <c r="Z144" i="22"/>
  <c r="AD18" i="22"/>
  <c r="Z46" i="22"/>
  <c r="Z45" i="22"/>
  <c r="Z44" i="22"/>
  <c r="AD64" i="22"/>
  <c r="Z91" i="22"/>
  <c r="Z90" i="22"/>
  <c r="Z89" i="22"/>
  <c r="AB88" i="22"/>
  <c r="AA88" i="22"/>
  <c r="AB88" i="21"/>
  <c r="AA88" i="21"/>
  <c r="AA40" i="21"/>
  <c r="AB40" i="21"/>
  <c r="AD16" i="21"/>
  <c r="Z43" i="21"/>
  <c r="Z42" i="21"/>
  <c r="Z41" i="21"/>
  <c r="AA136" i="21"/>
  <c r="AB136" i="21"/>
  <c r="AD63" i="21"/>
  <c r="Z90" i="21"/>
  <c r="Z91" i="21"/>
  <c r="Z89" i="21"/>
  <c r="AD113" i="21"/>
  <c r="Z139" i="21"/>
  <c r="Z138" i="21"/>
  <c r="Z137" i="21"/>
  <c r="W65" i="20"/>
  <c r="V65" i="20"/>
  <c r="X90" i="20"/>
  <c r="Y90" i="20"/>
  <c r="Z90" i="20"/>
  <c r="U90" i="20"/>
  <c r="S90" i="20"/>
  <c r="T90" i="20"/>
  <c r="AB16" i="20"/>
  <c r="AA16" i="20"/>
  <c r="AA65" i="20"/>
  <c r="AB65" i="20"/>
  <c r="AB41" i="20"/>
  <c r="AA41" i="20"/>
  <c r="X42" i="20"/>
  <c r="Y42" i="20"/>
  <c r="Z42" i="20"/>
  <c r="T42" i="20"/>
  <c r="S42" i="20"/>
  <c r="U42" i="20"/>
  <c r="X66" i="20"/>
  <c r="Y66" i="20"/>
  <c r="Z66" i="20"/>
  <c r="S66" i="20"/>
  <c r="T66" i="20"/>
  <c r="U66" i="20"/>
  <c r="V89" i="20"/>
  <c r="W89" i="20"/>
  <c r="W16" i="20"/>
  <c r="V16" i="20"/>
  <c r="V41" i="20"/>
  <c r="W41" i="20"/>
  <c r="AB89" i="20"/>
  <c r="AA89" i="20"/>
  <c r="U17" i="20"/>
  <c r="Z17" i="20"/>
  <c r="X17" i="20"/>
  <c r="Y17" i="20"/>
  <c r="S17" i="20"/>
  <c r="T17" i="20"/>
  <c r="AB89" i="19"/>
  <c r="AA89" i="19"/>
  <c r="V89" i="19"/>
  <c r="W89" i="19"/>
  <c r="Y90" i="19"/>
  <c r="Z90" i="19"/>
  <c r="X90" i="19"/>
  <c r="S90" i="19"/>
  <c r="U90" i="19"/>
  <c r="T90" i="19"/>
  <c r="X65" i="19"/>
  <c r="Z65" i="19"/>
  <c r="Y65" i="19"/>
  <c r="S65" i="19"/>
  <c r="U65" i="19"/>
  <c r="T65" i="19"/>
  <c r="X40" i="19"/>
  <c r="S40" i="19"/>
  <c r="Z40" i="19"/>
  <c r="Y40" i="19"/>
  <c r="T40" i="19"/>
  <c r="U40" i="19"/>
  <c r="W64" i="19"/>
  <c r="V64" i="19"/>
  <c r="W16" i="19"/>
  <c r="V16" i="19"/>
  <c r="X17" i="19"/>
  <c r="Y17" i="19"/>
  <c r="S17" i="19"/>
  <c r="T17" i="19"/>
  <c r="Z17" i="19"/>
  <c r="U17" i="19"/>
  <c r="AA16" i="19"/>
  <c r="AB16" i="19"/>
  <c r="AB39" i="19"/>
  <c r="AA39" i="19"/>
  <c r="W39" i="19"/>
  <c r="V39" i="19"/>
  <c r="AA64" i="19"/>
  <c r="AB64" i="19"/>
  <c r="D191" i="22" l="1"/>
  <c r="AD163" i="22"/>
  <c r="Z189" i="22"/>
  <c r="Z188" i="22"/>
  <c r="Z190" i="22"/>
  <c r="AA187" i="22"/>
  <c r="AB187" i="22"/>
  <c r="AB187" i="21"/>
  <c r="AA187" i="21"/>
  <c r="D191" i="21"/>
  <c r="Z190" i="21"/>
  <c r="Z188" i="21"/>
  <c r="Z189" i="21"/>
  <c r="AB145" i="22"/>
  <c r="AA145" i="22"/>
  <c r="AB91" i="22"/>
  <c r="AA91" i="22"/>
  <c r="AD65" i="22"/>
  <c r="Z94" i="22"/>
  <c r="Z93" i="22"/>
  <c r="Z92" i="22"/>
  <c r="AA46" i="22"/>
  <c r="AB46" i="22"/>
  <c r="AD19" i="22"/>
  <c r="Z49" i="22"/>
  <c r="Z47" i="22"/>
  <c r="Z48" i="22"/>
  <c r="AD117" i="22"/>
  <c r="Z148" i="22"/>
  <c r="Z147" i="22"/>
  <c r="Z146" i="22"/>
  <c r="AB91" i="21"/>
  <c r="AA91" i="21"/>
  <c r="AB139" i="21"/>
  <c r="AA139" i="21"/>
  <c r="AD114" i="21"/>
  <c r="Z142" i="21"/>
  <c r="Z140" i="21"/>
  <c r="Z141" i="21"/>
  <c r="AD64" i="21"/>
  <c r="Z93" i="21"/>
  <c r="Z94" i="21"/>
  <c r="Z92" i="21"/>
  <c r="AA43" i="21"/>
  <c r="AB43" i="21"/>
  <c r="AD17" i="21"/>
  <c r="Z45" i="21"/>
  <c r="Z46" i="21"/>
  <c r="Z44" i="21"/>
  <c r="AA66" i="20"/>
  <c r="AB66" i="20"/>
  <c r="S43" i="20"/>
  <c r="Z43" i="20"/>
  <c r="Y43" i="20"/>
  <c r="X43" i="20"/>
  <c r="T43" i="20"/>
  <c r="U43" i="20"/>
  <c r="V90" i="20"/>
  <c r="W90" i="20"/>
  <c r="AB90" i="20"/>
  <c r="AA90" i="20"/>
  <c r="W17" i="20"/>
  <c r="V17" i="20"/>
  <c r="W66" i="20"/>
  <c r="V66" i="20"/>
  <c r="X67" i="20"/>
  <c r="T67" i="20"/>
  <c r="Z67" i="20"/>
  <c r="S67" i="20"/>
  <c r="Y67" i="20"/>
  <c r="U67" i="20"/>
  <c r="X91" i="20"/>
  <c r="Y91" i="20"/>
  <c r="Z91" i="20"/>
  <c r="U91" i="20"/>
  <c r="T91" i="20"/>
  <c r="S91" i="20"/>
  <c r="Z18" i="20"/>
  <c r="X18" i="20"/>
  <c r="Y18" i="20"/>
  <c r="U18" i="20"/>
  <c r="S18" i="20"/>
  <c r="T18" i="20"/>
  <c r="AB17" i="20"/>
  <c r="AA17" i="20"/>
  <c r="V42" i="20"/>
  <c r="W42" i="20"/>
  <c r="AB42" i="20"/>
  <c r="AA42" i="20"/>
  <c r="AB90" i="19"/>
  <c r="AA90" i="19"/>
  <c r="V90" i="19"/>
  <c r="W90" i="19"/>
  <c r="X91" i="19"/>
  <c r="Z91" i="19"/>
  <c r="Y91" i="19"/>
  <c r="T91" i="19"/>
  <c r="S91" i="19"/>
  <c r="U91" i="19"/>
  <c r="X41" i="19"/>
  <c r="Y41" i="19"/>
  <c r="T41" i="19"/>
  <c r="Z41" i="19"/>
  <c r="U41" i="19"/>
  <c r="S41" i="19"/>
  <c r="AB17" i="19"/>
  <c r="AA17" i="19"/>
  <c r="W40" i="19"/>
  <c r="V40" i="19"/>
  <c r="AB65" i="19"/>
  <c r="AA65" i="19"/>
  <c r="W17" i="19"/>
  <c r="V17" i="19"/>
  <c r="S18" i="19"/>
  <c r="Z18" i="19"/>
  <c r="X18" i="19"/>
  <c r="U18" i="19"/>
  <c r="Y18" i="19"/>
  <c r="T18" i="19"/>
  <c r="AA40" i="19"/>
  <c r="AB40" i="19"/>
  <c r="V65" i="19"/>
  <c r="W65" i="19"/>
  <c r="S66" i="19"/>
  <c r="X66" i="19"/>
  <c r="Z66" i="19"/>
  <c r="Y66" i="19"/>
  <c r="T66" i="19"/>
  <c r="U66" i="19"/>
  <c r="AB190" i="22" l="1"/>
  <c r="AA190" i="22"/>
  <c r="AD164" i="22"/>
  <c r="Z192" i="22"/>
  <c r="Z193" i="22"/>
  <c r="Z191" i="22"/>
  <c r="D194" i="21"/>
  <c r="AD164" i="21"/>
  <c r="Z193" i="21"/>
  <c r="Z191" i="21"/>
  <c r="Z192" i="21"/>
  <c r="AA190" i="21"/>
  <c r="AB190" i="21"/>
  <c r="AA49" i="22"/>
  <c r="AB49" i="22"/>
  <c r="AB148" i="22"/>
  <c r="AA148" i="22"/>
  <c r="AB94" i="22"/>
  <c r="AA94" i="22"/>
  <c r="AD66" i="22"/>
  <c r="Z97" i="22"/>
  <c r="Z96" i="22"/>
  <c r="Z95" i="22"/>
  <c r="AA142" i="21"/>
  <c r="AB142" i="21"/>
  <c r="AB94" i="21"/>
  <c r="AA94" i="21"/>
  <c r="AD65" i="21"/>
  <c r="Z96" i="21"/>
  <c r="Z97" i="21"/>
  <c r="Z95" i="21"/>
  <c r="AB46" i="21"/>
  <c r="AA46" i="21"/>
  <c r="AD18" i="21"/>
  <c r="Z49" i="21"/>
  <c r="Z47" i="21"/>
  <c r="AD115" i="21"/>
  <c r="Z145" i="21"/>
  <c r="Z144" i="21"/>
  <c r="Z143" i="21"/>
  <c r="Z19" i="20"/>
  <c r="U19" i="20"/>
  <c r="Y19" i="20"/>
  <c r="X19" i="20"/>
  <c r="S19" i="20"/>
  <c r="T19" i="20"/>
  <c r="V43" i="20"/>
  <c r="W43" i="20"/>
  <c r="V91" i="20"/>
  <c r="W91" i="20"/>
  <c r="AA67" i="20"/>
  <c r="AB67" i="20"/>
  <c r="AA43" i="20"/>
  <c r="AB43" i="20"/>
  <c r="Y44" i="20"/>
  <c r="S44" i="20"/>
  <c r="X44" i="20"/>
  <c r="Z44" i="20"/>
  <c r="U44" i="20"/>
  <c r="T44" i="20"/>
  <c r="W67" i="20"/>
  <c r="V67" i="20"/>
  <c r="X68" i="20"/>
  <c r="Y68" i="20"/>
  <c r="Z68" i="20"/>
  <c r="U68" i="20"/>
  <c r="T68" i="20"/>
  <c r="S68" i="20"/>
  <c r="AB18" i="20"/>
  <c r="AA18" i="20"/>
  <c r="AB91" i="20"/>
  <c r="AA91" i="20"/>
  <c r="V18" i="20"/>
  <c r="W18" i="20"/>
  <c r="X92" i="20"/>
  <c r="Z92" i="20"/>
  <c r="Y92" i="20"/>
  <c r="T92" i="20"/>
  <c r="S92" i="20"/>
  <c r="U92" i="20"/>
  <c r="V91" i="19"/>
  <c r="W91" i="19"/>
  <c r="AB91" i="19"/>
  <c r="AA91" i="19"/>
  <c r="Y92" i="19"/>
  <c r="Z92" i="19"/>
  <c r="X92" i="19"/>
  <c r="U92" i="19"/>
  <c r="S92" i="19"/>
  <c r="T92" i="19"/>
  <c r="V66" i="19"/>
  <c r="W66" i="19"/>
  <c r="Y19" i="19"/>
  <c r="Z19" i="19"/>
  <c r="X19" i="19"/>
  <c r="U19" i="19"/>
  <c r="S19" i="19"/>
  <c r="T19" i="19"/>
  <c r="X67" i="19"/>
  <c r="S67" i="19"/>
  <c r="Z67" i="19"/>
  <c r="Y67" i="19"/>
  <c r="U67" i="19"/>
  <c r="T67" i="19"/>
  <c r="AA18" i="19"/>
  <c r="AB18" i="19"/>
  <c r="W41" i="19"/>
  <c r="V41" i="19"/>
  <c r="AA41" i="19"/>
  <c r="AB41" i="19"/>
  <c r="AB66" i="19"/>
  <c r="AA66" i="19"/>
  <c r="W18" i="19"/>
  <c r="V18" i="19"/>
  <c r="X42" i="19"/>
  <c r="T42" i="19"/>
  <c r="Y42" i="19"/>
  <c r="Z42" i="19"/>
  <c r="U42" i="19"/>
  <c r="S42" i="19"/>
  <c r="AB193" i="22" l="1"/>
  <c r="AA193" i="22"/>
  <c r="AB193" i="21"/>
  <c r="AA193" i="21"/>
  <c r="AD165" i="21"/>
  <c r="Z196" i="21"/>
  <c r="Z194" i="21"/>
  <c r="Z195" i="21"/>
  <c r="AA97" i="22"/>
  <c r="AB97" i="22"/>
  <c r="AD67" i="22"/>
  <c r="Z100" i="22"/>
  <c r="Z99" i="22"/>
  <c r="Z98" i="22"/>
  <c r="AB49" i="21"/>
  <c r="AA49" i="21"/>
  <c r="AB145" i="21"/>
  <c r="AA145" i="21"/>
  <c r="AD116" i="21"/>
  <c r="Z148" i="21"/>
  <c r="Z147" i="21"/>
  <c r="Z146" i="21"/>
  <c r="AA97" i="21"/>
  <c r="AB97" i="21"/>
  <c r="AD66" i="21"/>
  <c r="Z100" i="21"/>
  <c r="Z99" i="21"/>
  <c r="Z98" i="21"/>
  <c r="AB92" i="20"/>
  <c r="AA92" i="20"/>
  <c r="Z93" i="20"/>
  <c r="X93" i="20"/>
  <c r="Y93" i="20"/>
  <c r="U93" i="20"/>
  <c r="T93" i="20"/>
  <c r="S93" i="20"/>
  <c r="AA68" i="20"/>
  <c r="AB68" i="20"/>
  <c r="AB44" i="20"/>
  <c r="AA44" i="20"/>
  <c r="V19" i="20"/>
  <c r="W19" i="20"/>
  <c r="V92" i="20"/>
  <c r="W92" i="20"/>
  <c r="V68" i="20"/>
  <c r="W68" i="20"/>
  <c r="T45" i="20"/>
  <c r="Y45" i="20"/>
  <c r="X45" i="20"/>
  <c r="Z45" i="20"/>
  <c r="U45" i="20"/>
  <c r="S45" i="20"/>
  <c r="Z69" i="20"/>
  <c r="X69" i="20"/>
  <c r="U69" i="20"/>
  <c r="Y69" i="20"/>
  <c r="T69" i="20"/>
  <c r="S69" i="20"/>
  <c r="V44" i="20"/>
  <c r="W44" i="20"/>
  <c r="AB19" i="20"/>
  <c r="AA19" i="20"/>
  <c r="U20" i="20"/>
  <c r="Y20" i="20"/>
  <c r="Z20" i="20"/>
  <c r="X20" i="20"/>
  <c r="T20" i="20"/>
  <c r="S20" i="20"/>
  <c r="AB92" i="19"/>
  <c r="AA92" i="19"/>
  <c r="V92" i="19"/>
  <c r="W92" i="19"/>
  <c r="X93" i="19"/>
  <c r="Z93" i="19"/>
  <c r="Y93" i="19"/>
  <c r="S93" i="19"/>
  <c r="T93" i="19"/>
  <c r="U93" i="19"/>
  <c r="AA42" i="19"/>
  <c r="AB42" i="19"/>
  <c r="V67" i="19"/>
  <c r="W67" i="19"/>
  <c r="W19" i="19"/>
  <c r="V19" i="19"/>
  <c r="Z20" i="19"/>
  <c r="X20" i="19"/>
  <c r="T20" i="19"/>
  <c r="Y20" i="19"/>
  <c r="U20" i="19"/>
  <c r="S20" i="19"/>
  <c r="AB67" i="19"/>
  <c r="AA67" i="19"/>
  <c r="Z68" i="19"/>
  <c r="Y68" i="19"/>
  <c r="X68" i="19"/>
  <c r="S68" i="19"/>
  <c r="T68" i="19"/>
  <c r="U68" i="19"/>
  <c r="AA19" i="19"/>
  <c r="AB19" i="19"/>
  <c r="X43" i="19"/>
  <c r="T43" i="19"/>
  <c r="Y43" i="19"/>
  <c r="Z43" i="19"/>
  <c r="S43" i="19"/>
  <c r="U43" i="19"/>
  <c r="W42" i="19"/>
  <c r="V42" i="19"/>
  <c r="AB196" i="21" l="1"/>
  <c r="AA196" i="21"/>
  <c r="AB100" i="22"/>
  <c r="AA100" i="22"/>
  <c r="AB148" i="21"/>
  <c r="AA148" i="21"/>
  <c r="AB100" i="21"/>
  <c r="AA100" i="21"/>
  <c r="W20" i="20"/>
  <c r="V20" i="20"/>
  <c r="X46" i="20"/>
  <c r="Y46" i="20"/>
  <c r="Z46" i="20"/>
  <c r="S46" i="20"/>
  <c r="T46" i="20"/>
  <c r="U46" i="20"/>
  <c r="AB45" i="20"/>
  <c r="AA45" i="20"/>
  <c r="Y94" i="20"/>
  <c r="Z94" i="20"/>
  <c r="X94" i="20"/>
  <c r="U94" i="20"/>
  <c r="T94" i="20"/>
  <c r="S94" i="20"/>
  <c r="X70" i="20"/>
  <c r="Y70" i="20"/>
  <c r="Z70" i="20"/>
  <c r="T70" i="20"/>
  <c r="S70" i="20"/>
  <c r="U70" i="20"/>
  <c r="AB20" i="20"/>
  <c r="AA20" i="20"/>
  <c r="Z21" i="20"/>
  <c r="U21" i="20"/>
  <c r="Y21" i="20"/>
  <c r="X21" i="20"/>
  <c r="S21" i="20"/>
  <c r="T21" i="20"/>
  <c r="V45" i="20"/>
  <c r="W45" i="20"/>
  <c r="W69" i="20"/>
  <c r="V69" i="20"/>
  <c r="AB69" i="20"/>
  <c r="AA69" i="20"/>
  <c r="V93" i="20"/>
  <c r="W93" i="20"/>
  <c r="AB93" i="20"/>
  <c r="AA93" i="20"/>
  <c r="AB93" i="19"/>
  <c r="AA93" i="19"/>
  <c r="V93" i="19"/>
  <c r="W93" i="19"/>
  <c r="Y94" i="19"/>
  <c r="X94" i="19"/>
  <c r="Z94" i="19"/>
  <c r="T94" i="19"/>
  <c r="S94" i="19"/>
  <c r="U94" i="19"/>
  <c r="S69" i="19"/>
  <c r="Y69" i="19"/>
  <c r="X69" i="19"/>
  <c r="Z69" i="19"/>
  <c r="T69" i="19"/>
  <c r="U69" i="19"/>
  <c r="AB68" i="19"/>
  <c r="AA68" i="19"/>
  <c r="Z21" i="19"/>
  <c r="Y21" i="19"/>
  <c r="U21" i="19"/>
  <c r="T21" i="19"/>
  <c r="X21" i="19"/>
  <c r="S21" i="19"/>
  <c r="V68" i="19"/>
  <c r="W68" i="19"/>
  <c r="W43" i="19"/>
  <c r="V43" i="19"/>
  <c r="AA43" i="19"/>
  <c r="AB43" i="19"/>
  <c r="U44" i="19"/>
  <c r="X44" i="19"/>
  <c r="T44" i="19"/>
  <c r="Z44" i="19"/>
  <c r="Y44" i="19"/>
  <c r="S44" i="19"/>
  <c r="W20" i="19"/>
  <c r="V20" i="19"/>
  <c r="AA20" i="19"/>
  <c r="AB20" i="19"/>
  <c r="AB21" i="20" l="1"/>
  <c r="AA21" i="20"/>
  <c r="AB94" i="20"/>
  <c r="AA94" i="20"/>
  <c r="S47" i="20"/>
  <c r="Z47" i="20"/>
  <c r="X47" i="20"/>
  <c r="Y47" i="20"/>
  <c r="U47" i="20"/>
  <c r="T47" i="20"/>
  <c r="V94" i="20"/>
  <c r="W94" i="20"/>
  <c r="V70" i="20"/>
  <c r="W70" i="20"/>
  <c r="AA70" i="20"/>
  <c r="AB70" i="20"/>
  <c r="X95" i="20"/>
  <c r="Y95" i="20"/>
  <c r="Z95" i="20"/>
  <c r="U95" i="20"/>
  <c r="S95" i="20"/>
  <c r="T95" i="20"/>
  <c r="AB46" i="20"/>
  <c r="AA46" i="20"/>
  <c r="Z71" i="20"/>
  <c r="Y71" i="20"/>
  <c r="X71" i="20"/>
  <c r="T71" i="20"/>
  <c r="U71" i="20"/>
  <c r="S71" i="20"/>
  <c r="V46" i="20"/>
  <c r="W46" i="20"/>
  <c r="W21" i="20"/>
  <c r="V21" i="20"/>
  <c r="Y22" i="20"/>
  <c r="U22" i="20"/>
  <c r="S22" i="20"/>
  <c r="X22" i="20"/>
  <c r="Z22" i="20"/>
  <c r="T22" i="20"/>
  <c r="AB94" i="19"/>
  <c r="AA94" i="19"/>
  <c r="V94" i="19"/>
  <c r="W94" i="19"/>
  <c r="X95" i="19"/>
  <c r="Z95" i="19"/>
  <c r="Y95" i="19"/>
  <c r="S95" i="19"/>
  <c r="T95" i="19"/>
  <c r="U95" i="19"/>
  <c r="AA21" i="19"/>
  <c r="AB21" i="19"/>
  <c r="W21" i="19"/>
  <c r="V21" i="19"/>
  <c r="AB69" i="19"/>
  <c r="AA69" i="19"/>
  <c r="X45" i="19"/>
  <c r="U45" i="19"/>
  <c r="Y45" i="19"/>
  <c r="T45" i="19"/>
  <c r="Z45" i="19"/>
  <c r="S45" i="19"/>
  <c r="Z22" i="19"/>
  <c r="U22" i="19"/>
  <c r="X22" i="19"/>
  <c r="Y22" i="19"/>
  <c r="T22" i="19"/>
  <c r="S22" i="19"/>
  <c r="V69" i="19"/>
  <c r="W69" i="19"/>
  <c r="W44" i="19"/>
  <c r="V44" i="19"/>
  <c r="AA44" i="19"/>
  <c r="AB44" i="19"/>
  <c r="S70" i="19"/>
  <c r="Y70" i="19"/>
  <c r="X70" i="19"/>
  <c r="Z70" i="19"/>
  <c r="U70" i="19"/>
  <c r="T70" i="19"/>
  <c r="AA47" i="20" l="1"/>
  <c r="AB47" i="20"/>
  <c r="X72" i="20"/>
  <c r="Z72" i="20"/>
  <c r="Y72" i="20"/>
  <c r="U72" i="20"/>
  <c r="T72" i="20"/>
  <c r="S72" i="20"/>
  <c r="V95" i="20"/>
  <c r="W95" i="20"/>
  <c r="AB95" i="20"/>
  <c r="AA95" i="20"/>
  <c r="AB22" i="20"/>
  <c r="AA22" i="20"/>
  <c r="Z23" i="20"/>
  <c r="Y23" i="20"/>
  <c r="X23" i="20"/>
  <c r="U23" i="20"/>
  <c r="S23" i="20"/>
  <c r="T23" i="20"/>
  <c r="AB71" i="20"/>
  <c r="AA71" i="20"/>
  <c r="Z96" i="20"/>
  <c r="X96" i="20"/>
  <c r="Y96" i="20"/>
  <c r="T96" i="20"/>
  <c r="S96" i="20"/>
  <c r="U96" i="20"/>
  <c r="V47" i="20"/>
  <c r="W47" i="20"/>
  <c r="V22" i="20"/>
  <c r="W22" i="20"/>
  <c r="W71" i="20"/>
  <c r="V71" i="20"/>
  <c r="Y48" i="20"/>
  <c r="S48" i="20"/>
  <c r="X48" i="20"/>
  <c r="Z48" i="20"/>
  <c r="T48" i="20"/>
  <c r="U48" i="20"/>
  <c r="V95" i="19"/>
  <c r="W95" i="19"/>
  <c r="AB95" i="19"/>
  <c r="AA95" i="19"/>
  <c r="Y96" i="19"/>
  <c r="Z96" i="19"/>
  <c r="X96" i="19"/>
  <c r="T96" i="19"/>
  <c r="S96" i="19"/>
  <c r="U96" i="19"/>
  <c r="W22" i="19"/>
  <c r="V22" i="19"/>
  <c r="Y71" i="19"/>
  <c r="X71" i="19"/>
  <c r="S71" i="19"/>
  <c r="Z71" i="19"/>
  <c r="T71" i="19"/>
  <c r="U71" i="19"/>
  <c r="V70" i="19"/>
  <c r="W70" i="19"/>
  <c r="AA45" i="19"/>
  <c r="AB45" i="19"/>
  <c r="Y46" i="19"/>
  <c r="U46" i="19"/>
  <c r="Z46" i="19"/>
  <c r="X46" i="19"/>
  <c r="T46" i="19"/>
  <c r="S46" i="19"/>
  <c r="AB70" i="19"/>
  <c r="AA70" i="19"/>
  <c r="Y23" i="19"/>
  <c r="X23" i="19"/>
  <c r="S23" i="19"/>
  <c r="Z23" i="19"/>
  <c r="U23" i="19"/>
  <c r="T23" i="19"/>
  <c r="AA22" i="19"/>
  <c r="AB22" i="19"/>
  <c r="W45" i="19"/>
  <c r="V45" i="19"/>
  <c r="Y49" i="20" l="1"/>
  <c r="T49" i="20"/>
  <c r="S50" i="20"/>
  <c r="T50" i="20"/>
  <c r="X49" i="20"/>
  <c r="Z49" i="20"/>
  <c r="U50" i="20"/>
  <c r="U49" i="20"/>
  <c r="S49" i="20"/>
  <c r="AA72" i="20"/>
  <c r="AB72" i="20"/>
  <c r="V48" i="20"/>
  <c r="W48" i="20"/>
  <c r="AB96" i="20"/>
  <c r="AA96" i="20"/>
  <c r="AB23" i="20"/>
  <c r="AA23" i="20"/>
  <c r="Z73" i="20"/>
  <c r="Y73" i="20"/>
  <c r="X73" i="20"/>
  <c r="S74" i="20"/>
  <c r="T73" i="20"/>
  <c r="T74" i="20"/>
  <c r="U74" i="20"/>
  <c r="S73" i="20"/>
  <c r="U73" i="20"/>
  <c r="V96" i="20"/>
  <c r="W96" i="20"/>
  <c r="AB48" i="20"/>
  <c r="AA48" i="20"/>
  <c r="Z97" i="20"/>
  <c r="Y97" i="20"/>
  <c r="X97" i="20"/>
  <c r="S97" i="20"/>
  <c r="U97" i="20"/>
  <c r="T97" i="20"/>
  <c r="V23" i="20"/>
  <c r="W23" i="20"/>
  <c r="X24" i="20"/>
  <c r="Z24" i="20"/>
  <c r="Y24" i="20"/>
  <c r="U24" i="20"/>
  <c r="S24" i="20"/>
  <c r="T24" i="20"/>
  <c r="V72" i="20"/>
  <c r="W72" i="20"/>
  <c r="AB96" i="19"/>
  <c r="AA96" i="19"/>
  <c r="V96" i="19"/>
  <c r="W96" i="19"/>
  <c r="X97" i="19"/>
  <c r="Z97" i="19"/>
  <c r="Y97" i="19"/>
  <c r="T97" i="19"/>
  <c r="U97" i="19"/>
  <c r="S97" i="19"/>
  <c r="Y24" i="19"/>
  <c r="T24" i="19"/>
  <c r="X24" i="19"/>
  <c r="Z24" i="19"/>
  <c r="S24" i="19"/>
  <c r="U24" i="19"/>
  <c r="AA23" i="19"/>
  <c r="AB23" i="19"/>
  <c r="W46" i="19"/>
  <c r="V46" i="19"/>
  <c r="X72" i="19"/>
  <c r="S72" i="19"/>
  <c r="Z72" i="19"/>
  <c r="Y72" i="19"/>
  <c r="U72" i="19"/>
  <c r="T72" i="19"/>
  <c r="W23" i="19"/>
  <c r="V23" i="19"/>
  <c r="AA46" i="19"/>
  <c r="AB46" i="19"/>
  <c r="Y47" i="19"/>
  <c r="X47" i="19"/>
  <c r="Z47" i="19"/>
  <c r="T47" i="19"/>
  <c r="S47" i="19"/>
  <c r="U47" i="19"/>
  <c r="V71" i="19"/>
  <c r="W71" i="19"/>
  <c r="AB71" i="19"/>
  <c r="AA71" i="19"/>
  <c r="W24" i="20" l="1"/>
  <c r="V24" i="20"/>
  <c r="AB24" i="20"/>
  <c r="AA24" i="20"/>
  <c r="V97" i="20"/>
  <c r="W97" i="20"/>
  <c r="W50" i="20"/>
  <c r="V50" i="20"/>
  <c r="AB73" i="20"/>
  <c r="AA73" i="20"/>
  <c r="Z25" i="20"/>
  <c r="U25" i="20"/>
  <c r="Y25" i="20"/>
  <c r="X25" i="20"/>
  <c r="S25" i="20"/>
  <c r="T25" i="20"/>
  <c r="AB97" i="20"/>
  <c r="AA97" i="20"/>
  <c r="W73" i="20"/>
  <c r="V73" i="20"/>
  <c r="V74" i="20"/>
  <c r="W74" i="20"/>
  <c r="V49" i="20"/>
  <c r="W49" i="20"/>
  <c r="AB49" i="20"/>
  <c r="AA49" i="20"/>
  <c r="V97" i="19"/>
  <c r="W97" i="19"/>
  <c r="AB97" i="19"/>
  <c r="AA97" i="19"/>
  <c r="W47" i="19"/>
  <c r="V47" i="19"/>
  <c r="X73" i="19"/>
  <c r="S73" i="19"/>
  <c r="Z73" i="19"/>
  <c r="Y73" i="19"/>
  <c r="U74" i="19"/>
  <c r="T74" i="19"/>
  <c r="S74" i="19"/>
  <c r="U73" i="19"/>
  <c r="T73" i="19"/>
  <c r="AA24" i="19"/>
  <c r="AB24" i="19"/>
  <c r="W24" i="19"/>
  <c r="V24" i="19"/>
  <c r="Z25" i="19"/>
  <c r="Y25" i="19"/>
  <c r="T25" i="19"/>
  <c r="X25" i="19"/>
  <c r="S25" i="19"/>
  <c r="U25" i="19"/>
  <c r="X48" i="19"/>
  <c r="Z48" i="19"/>
  <c r="T48" i="19"/>
  <c r="Y48" i="19"/>
  <c r="S48" i="19"/>
  <c r="U48" i="19"/>
  <c r="V72" i="19"/>
  <c r="W72" i="19"/>
  <c r="AA47" i="19"/>
  <c r="AB47" i="19"/>
  <c r="AB72" i="19"/>
  <c r="AA72" i="19"/>
  <c r="AB25" i="20" l="1"/>
  <c r="AA25" i="20"/>
  <c r="W25" i="20"/>
  <c r="V25" i="20"/>
  <c r="W25" i="19"/>
  <c r="V25" i="19"/>
  <c r="V73" i="19"/>
  <c r="W73" i="19"/>
  <c r="AB73" i="19"/>
  <c r="AA73" i="19"/>
  <c r="AA25" i="19"/>
  <c r="AB25" i="19"/>
  <c r="W48" i="19"/>
  <c r="V48" i="19"/>
  <c r="AA48" i="19"/>
  <c r="AB48" i="19"/>
  <c r="Z49" i="19"/>
  <c r="Y49" i="19"/>
  <c r="T49" i="19"/>
  <c r="U49" i="19"/>
  <c r="X49" i="19"/>
  <c r="T50" i="19"/>
  <c r="S49" i="19"/>
  <c r="S50" i="19"/>
  <c r="U50" i="19"/>
  <c r="W74" i="19"/>
  <c r="V74" i="19"/>
  <c r="AA49" i="19" l="1"/>
  <c r="AB49" i="19"/>
  <c r="W50" i="19"/>
  <c r="V50" i="19"/>
  <c r="W49" i="19"/>
  <c r="V49" i="19"/>
</calcChain>
</file>

<file path=xl/sharedStrings.xml><?xml version="1.0" encoding="utf-8"?>
<sst xmlns="http://schemas.openxmlformats.org/spreadsheetml/2006/main" count="1677" uniqueCount="132">
  <si>
    <t>Date</t>
  </si>
  <si>
    <t>Time</t>
  </si>
  <si>
    <t>Hours</t>
  </si>
  <si>
    <t>Days</t>
  </si>
  <si>
    <t>Average biomass concentration</t>
  </si>
  <si>
    <t>Average Ln of biomass concentration</t>
  </si>
  <si>
    <t>Growth rate</t>
  </si>
  <si>
    <t>g/L</t>
  </si>
  <si>
    <t>620 (Blank)</t>
  </si>
  <si>
    <t>650 (Blank)</t>
  </si>
  <si>
    <t>Biomass concentration</t>
  </si>
  <si>
    <t>Amount of biomass</t>
  </si>
  <si>
    <t>Error</t>
  </si>
  <si>
    <t>nm</t>
  </si>
  <si>
    <t>mg/ml</t>
  </si>
  <si>
    <t>g/l</t>
  </si>
  <si>
    <t>g</t>
  </si>
  <si>
    <t>Day</t>
  </si>
  <si>
    <t>Blank</t>
  </si>
  <si>
    <t>Average N content</t>
  </si>
  <si>
    <t>N concentration</t>
  </si>
  <si>
    <t>µg</t>
  </si>
  <si>
    <t>mol/l</t>
  </si>
  <si>
    <t>15/11/2021</t>
  </si>
  <si>
    <t>16/11/2021</t>
  </si>
  <si>
    <t>17/11/2021</t>
  </si>
  <si>
    <t>18/11/2021</t>
  </si>
  <si>
    <t>19/11/2021</t>
  </si>
  <si>
    <t>20/11/2021</t>
  </si>
  <si>
    <t>21/11/2021</t>
  </si>
  <si>
    <t>22/11/2021</t>
  </si>
  <si>
    <t>23/11/2021</t>
  </si>
  <si>
    <t>24/11/2021</t>
  </si>
  <si>
    <t>25/11/2021</t>
  </si>
  <si>
    <t>27/11/2021</t>
  </si>
  <si>
    <t>28/11/2021</t>
  </si>
  <si>
    <t>29/11/2021</t>
  </si>
  <si>
    <t>30/11/2021</t>
  </si>
  <si>
    <t>01/12/2021</t>
  </si>
  <si>
    <t>02/12/2021</t>
  </si>
  <si>
    <t>21/11/201</t>
  </si>
  <si>
    <t>Lab work by: Karen Ssekimpi</t>
  </si>
  <si>
    <t>Project Leader: A. Prof. Marijke Fagan-Endres, Prof. Sue Harrison, Dr Mariette Smart</t>
  </si>
  <si>
    <t>all assays by Karen Ssekimpi</t>
  </si>
  <si>
    <r>
      <t xml:space="preserve">The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were grown at room temperature under different conditions. These conditions include fluorescent light, different coloured LEDs, and an additional nitrogen source.</t>
    </r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</si>
  <si>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 for biomass concentration, 620 and 650 nm for c-phycocyanin determination, and 410 nm for nitrate determination</t>
    </r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</si>
  <si>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</si>
  <si>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</si>
  <si>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</si>
  <si>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</si>
  <si>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</si>
  <si>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</si>
  <si>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</si>
  <si>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Growth curves CeBER</t>
  </si>
  <si>
    <t>Growth curves UTEX #1926</t>
  </si>
  <si>
    <t>C-phycocyanin CeBER</t>
  </si>
  <si>
    <t>C-phycocyanin UTEX #1926</t>
  </si>
  <si>
    <t>Nitrate content CeBER</t>
  </si>
  <si>
    <t>Nitrate content UTEX #1926</t>
  </si>
  <si>
    <t>CeBER strain Spirulina growth curves</t>
  </si>
  <si>
    <t>40 µmol/m^2.s</t>
  </si>
  <si>
    <t>Absorbance at 750</t>
  </si>
  <si>
    <t>Standard error</t>
  </si>
  <si>
    <t>Ln of biomass concentration</t>
  </si>
  <si>
    <t>Average growth rate</t>
  </si>
  <si>
    <t>Biomass productivity</t>
  </si>
  <si>
    <t>Average biomass productivity</t>
  </si>
  <si>
    <t>/h</t>
  </si>
  <si>
    <t>g/L.h</t>
  </si>
  <si>
    <t>Sandard error</t>
  </si>
  <si>
    <t>Control</t>
  </si>
  <si>
    <t>Switch 1</t>
  </si>
  <si>
    <t>Switch 2</t>
  </si>
  <si>
    <t>Switch 3</t>
  </si>
  <si>
    <t>15/02/2022</t>
  </si>
  <si>
    <t>19/02/2022</t>
  </si>
  <si>
    <t>20/02/2022</t>
  </si>
  <si>
    <t>21/02/2022</t>
  </si>
  <si>
    <t>22/02/2022</t>
  </si>
  <si>
    <t>23/02/2022</t>
  </si>
  <si>
    <t>24/02/2022</t>
  </si>
  <si>
    <t>25/02/2022</t>
  </si>
  <si>
    <t>26/02/2022</t>
  </si>
  <si>
    <t>27/02/2022</t>
  </si>
  <si>
    <t>28/02/2022</t>
  </si>
  <si>
    <t>01/03/2022</t>
  </si>
  <si>
    <t>02/03/2022</t>
  </si>
  <si>
    <t>03/03/2022</t>
  </si>
  <si>
    <t>14/02/2022</t>
  </si>
  <si>
    <t>Phycocyanin content from CeBER Spirulina</t>
  </si>
  <si>
    <t>OD at 620 nm</t>
  </si>
  <si>
    <t>OD at 650 nm</t>
  </si>
  <si>
    <t>C-phycocyanin concentration</t>
  </si>
  <si>
    <t>Average CPC conc.</t>
  </si>
  <si>
    <t>OD at 750</t>
  </si>
  <si>
    <t>Specific CPC conc.</t>
  </si>
  <si>
    <t>Average specific CPC conc.</t>
  </si>
  <si>
    <t>Standard deviation</t>
  </si>
  <si>
    <t>Total CPC</t>
  </si>
  <si>
    <t>Average total CPC</t>
  </si>
  <si>
    <t>CPC productivity</t>
  </si>
  <si>
    <t>Average CPC productivity</t>
  </si>
  <si>
    <t>Reading 1</t>
  </si>
  <si>
    <t>Reading 2</t>
  </si>
  <si>
    <t>mg CPC/g biomass</t>
  </si>
  <si>
    <t>mg CPC/L</t>
  </si>
  <si>
    <t>mg CPC/L.h</t>
  </si>
  <si>
    <t>Bottle 1</t>
  </si>
  <si>
    <t>Bottle 2</t>
  </si>
  <si>
    <t>Bottle 3</t>
  </si>
  <si>
    <t>OD at 650</t>
  </si>
  <si>
    <t>Phycocyanin content from UTEX #1926 Spirulina</t>
  </si>
  <si>
    <t>Nitrate content determination for the CeBER Spirulina strain</t>
  </si>
  <si>
    <t>N content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</si>
  <si>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</si>
  <si>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r>
      <t>Average 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</si>
  <si>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t>N content (µg)</t>
  </si>
  <si>
    <t>Nitrate content determination for the UTEX #1926 Spirulina strain</t>
  </si>
  <si>
    <t>Tot PC</t>
  </si>
  <si>
    <t>Data extracted for plots</t>
  </si>
  <si>
    <t>03/12/2021</t>
  </si>
  <si>
    <t>04/12/2021</t>
  </si>
  <si>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was grown in red light at 60 µmol/m^2.s with swtiches to blue light at 60 µmol/m^2.s.</t>
    </r>
  </si>
  <si>
    <r>
      <t xml:space="preserve">The biomass, c-phycocyanin, and nitrate content of two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cultures grown in red light at 60 µmol/m^2.s with swtiches to blue light at 60 µmol/m^2.s.</t>
    </r>
  </si>
  <si>
    <r>
      <t xml:space="preserve">Details growth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light at 60µmol/m^2.s with a swtich to blue light at 60 µmol/m^2.s. for 18 days. </t>
    </r>
  </si>
  <si>
    <t xml:space="preserve">Details growth data achieved when growing the UTEX #1926 Spirulina strain in red light at 60µmol/m^2.s with a swtich to blue light at 60 µmol/m^2.s. for 18 days. </t>
  </si>
  <si>
    <t xml:space="preserve">Details c-phycocyanin data achieved when growing the CeBER Spirulina strain in red light at 60µmol/m^2.s with a swtich to blue light at 60 µmol/m^2.s. for 18 days. </t>
  </si>
  <si>
    <t xml:space="preserve">Details nitrate data achieved when growing the CeBER Spirulina strain in red light at 60µmol/m^2.s with a swtich to blue light at 60 µmol/m^2.s. for 18 days. </t>
  </si>
  <si>
    <t xml:space="preserve">Details c-phycocyanin data achieved when growing the UTEX #1926 Spirulina strain in red light at 60µmol/m^2.s with a swtich to blue light at 60 µmol/m^2.s. for 18 days. </t>
  </si>
  <si>
    <t xml:space="preserve">Details nitrate data achieved when growing the UTEX #1926 Spirulina strain in red light at 60µmol/m^2.s with a swtich to blue light at 60 µmol/m^2.s. for 18 days. </t>
  </si>
  <si>
    <t>OD at 410 nm</t>
  </si>
  <si>
    <t>Reading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</si>
</sst>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400]h:mm:ss\ AM/PM"/>
    <numFmt numFmtId="165" formatCode="0.000"/>
    <numFmt numFmtId="166" formatCode="0.00000"/>
    <numFmt numFmtId="167" formatCode="[$-F800]dddd\,\ mmmm\ dd\,\ yyyy"/>
    <numFmt numFmtId="168" formatCode="0.0"/>
    <numFmt numFmtId="169" formatCode="0.000000"/>
    <numFmt numFmtId="170" formatCode="0.0000"/>
  </numFmts>
  <fonts count="24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i/>
      <sz val="14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i/>
      <sz val="12"/>
      <color theme="1"/>
      <name val="Arial"/>
      <family val="2"/>
    </font>
    <font>
      <vertAlign val="subscript"/>
      <sz val="10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color theme="4"/>
      <name val="Arial"/>
      <family val="2"/>
    </font>
    <font>
      <sz val="11"/>
      <color rgb="FFFF0000"/>
      <name val="Arial"/>
      <family val="2"/>
    </font>
    <font>
      <sz val="11"/>
      <color theme="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rgb="FF3B6A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5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167" fontId="8" fillId="7" borderId="0" xfId="0" applyNumberFormat="1" applyFont="1" applyFill="1" applyAlignment="1">
      <alignment horizontal="left" vertical="top" wrapText="1"/>
    </xf>
    <xf numFmtId="0" fontId="8" fillId="7" borderId="18" xfId="0" applyFont="1" applyFill="1" applyBorder="1" applyAlignment="1">
      <alignment horizontal="left" vertical="top" wrapText="1"/>
    </xf>
    <xf numFmtId="0" fontId="8" fillId="7" borderId="18" xfId="0" applyFont="1" applyFill="1" applyBorder="1" applyAlignment="1">
      <alignment horizontal="center" vertical="top" wrapText="1"/>
    </xf>
    <xf numFmtId="167" fontId="8" fillId="7" borderId="18" xfId="0" applyNumberFormat="1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11" fillId="12" borderId="18" xfId="0" applyFont="1" applyFill="1" applyBorder="1" applyAlignment="1">
      <alignment vertical="top" wrapText="1"/>
    </xf>
    <xf numFmtId="0" fontId="11" fillId="8" borderId="18" xfId="0" applyFont="1" applyFill="1" applyBorder="1" applyAlignment="1">
      <alignment horizontal="center" vertical="top" wrapText="1"/>
    </xf>
    <xf numFmtId="0" fontId="11" fillId="7" borderId="18" xfId="0" applyFont="1" applyFill="1" applyBorder="1" applyAlignment="1">
      <alignment vertical="top" wrapText="1"/>
    </xf>
    <xf numFmtId="0" fontId="5" fillId="12" borderId="0" xfId="0" applyFont="1" applyFill="1" applyAlignment="1">
      <alignment vertical="top" wrapText="1"/>
    </xf>
    <xf numFmtId="0" fontId="5" fillId="8" borderId="0" xfId="0" applyFont="1" applyFill="1" applyAlignment="1">
      <alignment horizontal="center" vertical="top" wrapText="1"/>
    </xf>
    <xf numFmtId="0" fontId="5" fillId="7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15" xfId="0" applyFont="1" applyBorder="1"/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4" borderId="10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5" fillId="4" borderId="1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4" xfId="0" applyFont="1" applyFill="1" applyBorder="1"/>
    <xf numFmtId="0" fontId="5" fillId="4" borderId="12" xfId="0" applyFont="1" applyFill="1" applyBorder="1" applyAlignment="1">
      <alignment horizontal="center"/>
    </xf>
    <xf numFmtId="0" fontId="5" fillId="4" borderId="26" xfId="0" applyFont="1" applyFill="1" applyBorder="1"/>
    <xf numFmtId="164" fontId="8" fillId="0" borderId="0" xfId="0" applyNumberFormat="1" applyFont="1"/>
    <xf numFmtId="165" fontId="8" fillId="0" borderId="15" xfId="0" applyNumberFormat="1" applyFont="1" applyBorder="1"/>
    <xf numFmtId="165" fontId="8" fillId="0" borderId="0" xfId="0" applyNumberFormat="1" applyFont="1"/>
    <xf numFmtId="165" fontId="8" fillId="5" borderId="0" xfId="0" applyNumberFormat="1" applyFont="1" applyFill="1"/>
    <xf numFmtId="1" fontId="8" fillId="0" borderId="0" xfId="0" applyNumberFormat="1" applyFont="1"/>
    <xf numFmtId="167" fontId="8" fillId="0" borderId="15" xfId="0" applyNumberFormat="1" applyFont="1" applyBorder="1"/>
    <xf numFmtId="0" fontId="8" fillId="0" borderId="16" xfId="0" applyFont="1" applyBorder="1"/>
    <xf numFmtId="0" fontId="8" fillId="0" borderId="15" xfId="0" applyFont="1" applyBorder="1"/>
    <xf numFmtId="165" fontId="8" fillId="0" borderId="18" xfId="0" applyNumberFormat="1" applyFont="1" applyBorder="1"/>
    <xf numFmtId="165" fontId="8" fillId="5" borderId="18" xfId="0" applyNumberFormat="1" applyFont="1" applyFill="1" applyBorder="1"/>
    <xf numFmtId="166" fontId="8" fillId="0" borderId="0" xfId="0" applyNumberFormat="1" applyFont="1"/>
    <xf numFmtId="0" fontId="8" fillId="0" borderId="17" xfId="0" applyFont="1" applyBorder="1"/>
    <xf numFmtId="164" fontId="8" fillId="0" borderId="18" xfId="0" applyNumberFormat="1" applyFont="1" applyBorder="1"/>
    <xf numFmtId="1" fontId="8" fillId="0" borderId="18" xfId="0" applyNumberFormat="1" applyFont="1" applyBorder="1"/>
    <xf numFmtId="0" fontId="8" fillId="0" borderId="19" xfId="0" applyFont="1" applyBorder="1"/>
    <xf numFmtId="165" fontId="8" fillId="0" borderId="17" xfId="0" applyNumberFormat="1" applyFont="1" applyBorder="1"/>
    <xf numFmtId="166" fontId="8" fillId="0" borderId="18" xfId="0" applyNumberFormat="1" applyFont="1" applyBorder="1"/>
    <xf numFmtId="0" fontId="8" fillId="0" borderId="0" xfId="0" applyFont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8" borderId="29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20" fontId="8" fillId="0" borderId="0" xfId="0" applyNumberFormat="1" applyFont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165" fontId="8" fillId="0" borderId="15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/>
    </xf>
    <xf numFmtId="165" fontId="8" fillId="0" borderId="24" xfId="0" applyNumberFormat="1" applyFont="1" applyBorder="1" applyAlignment="1">
      <alignment horizontal="center" vertical="center"/>
    </xf>
    <xf numFmtId="169" fontId="8" fillId="0" borderId="24" xfId="0" applyNumberFormat="1" applyFont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 wrapText="1"/>
    </xf>
    <xf numFmtId="2" fontId="8" fillId="9" borderId="24" xfId="0" applyNumberFormat="1" applyFont="1" applyFill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20" fontId="8" fillId="0" borderId="11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2" fontId="8" fillId="9" borderId="0" xfId="0" applyNumberFormat="1" applyFont="1" applyFill="1" applyAlignment="1">
      <alignment horizontal="center" vertical="center"/>
    </xf>
    <xf numFmtId="170" fontId="8" fillId="0" borderId="25" xfId="0" applyNumberFormat="1" applyFont="1" applyBorder="1" applyAlignment="1">
      <alignment horizontal="center" vertical="center"/>
    </xf>
    <xf numFmtId="165" fontId="8" fillId="0" borderId="21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9" fontId="8" fillId="0" borderId="11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 wrapText="1"/>
    </xf>
    <xf numFmtId="2" fontId="8" fillId="9" borderId="11" xfId="0" applyNumberFormat="1" applyFont="1" applyFill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170" fontId="8" fillId="0" borderId="16" xfId="0" applyNumberFormat="1" applyFont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9" fontId="8" fillId="0" borderId="18" xfId="0" applyNumberFormat="1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 wrapText="1"/>
    </xf>
    <xf numFmtId="2" fontId="8" fillId="9" borderId="18" xfId="0" applyNumberFormat="1" applyFont="1" applyFill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170" fontId="8" fillId="0" borderId="19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8" fillId="7" borderId="4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16" fillId="0" borderId="0" xfId="0" applyFont="1"/>
    <xf numFmtId="167" fontId="8" fillId="8" borderId="15" xfId="0" applyNumberFormat="1" applyFont="1" applyFill="1" applyBorder="1"/>
    <xf numFmtId="164" fontId="8" fillId="8" borderId="0" xfId="0" applyNumberFormat="1" applyFont="1" applyFill="1"/>
    <xf numFmtId="0" fontId="8" fillId="8" borderId="0" xfId="0" applyFont="1" applyFill="1"/>
    <xf numFmtId="0" fontId="8" fillId="8" borderId="30" xfId="0" applyFont="1" applyFill="1" applyBorder="1"/>
    <xf numFmtId="0" fontId="8" fillId="0" borderId="29" xfId="0" applyFont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17" fillId="0" borderId="0" xfId="0" applyFont="1"/>
    <xf numFmtId="165" fontId="8" fillId="11" borderId="0" xfId="0" applyNumberFormat="1" applyFont="1" applyFill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5" fontId="8" fillId="11" borderId="11" xfId="0" applyNumberFormat="1" applyFont="1" applyFill="1" applyBorder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/>
    </xf>
    <xf numFmtId="165" fontId="8" fillId="11" borderId="24" xfId="0" applyNumberFormat="1" applyFont="1" applyFill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11" borderId="18" xfId="0" applyNumberFormat="1" applyFont="1" applyFill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1" fontId="8" fillId="0" borderId="16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168" fontId="8" fillId="0" borderId="16" xfId="0" applyNumberFormat="1" applyFont="1" applyBorder="1" applyAlignment="1">
      <alignment horizontal="center" vertical="center"/>
    </xf>
    <xf numFmtId="168" fontId="8" fillId="0" borderId="26" xfId="0" applyNumberFormat="1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/>
    </xf>
    <xf numFmtId="2" fontId="8" fillId="0" borderId="26" xfId="0" applyNumberFormat="1" applyFont="1" applyBorder="1" applyAlignment="1">
      <alignment horizontal="center" vertical="center"/>
    </xf>
    <xf numFmtId="168" fontId="8" fillId="0" borderId="11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2" fontId="8" fillId="0" borderId="0" xfId="0" applyNumberFormat="1" applyFont="1" applyAlignment="1">
      <alignment horizontal="center" vertical="center"/>
    </xf>
    <xf numFmtId="12" fontId="8" fillId="0" borderId="15" xfId="0" applyNumberFormat="1" applyFont="1" applyBorder="1" applyAlignment="1">
      <alignment horizontal="center" vertical="center"/>
    </xf>
    <xf numFmtId="12" fontId="8" fillId="0" borderId="16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0" fontId="18" fillId="0" borderId="21" xfId="0" applyFont="1" applyBorder="1" applyAlignment="1">
      <alignment horizontal="center" vertical="center"/>
    </xf>
    <xf numFmtId="165" fontId="18" fillId="0" borderId="21" xfId="0" applyNumberFormat="1" applyFont="1" applyBorder="1" applyAlignment="1">
      <alignment horizontal="center" vertical="center"/>
    </xf>
    <xf numFmtId="165" fontId="18" fillId="0" borderId="26" xfId="0" applyNumberFormat="1" applyFont="1" applyBorder="1" applyAlignment="1">
      <alignment horizontal="center" vertical="center"/>
    </xf>
    <xf numFmtId="165" fontId="18" fillId="0" borderId="11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165" fontId="18" fillId="0" borderId="15" xfId="0" applyNumberFormat="1" applyFont="1" applyBorder="1" applyAlignment="1">
      <alignment horizontal="center" vertical="center"/>
    </xf>
    <xf numFmtId="165" fontId="18" fillId="0" borderId="16" xfId="0" applyNumberFormat="1" applyFont="1" applyBorder="1" applyAlignment="1">
      <alignment horizontal="center" vertical="center"/>
    </xf>
    <xf numFmtId="165" fontId="8" fillId="0" borderId="16" xfId="0" applyNumberFormat="1" applyFont="1" applyBorder="1"/>
    <xf numFmtId="165" fontId="8" fillId="5" borderId="0" xfId="0" applyNumberFormat="1" applyFont="1" applyFill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5" borderId="0" xfId="0" applyFont="1" applyFill="1"/>
    <xf numFmtId="0" fontId="20" fillId="0" borderId="0" xfId="0" applyFont="1"/>
    <xf numFmtId="165" fontId="8" fillId="0" borderId="19" xfId="0" applyNumberFormat="1" applyFont="1" applyBorder="1"/>
    <xf numFmtId="168" fontId="8" fillId="0" borderId="0" xfId="0" applyNumberFormat="1" applyFont="1"/>
    <xf numFmtId="165" fontId="19" fillId="0" borderId="0" xfId="0" applyNumberFormat="1" applyFont="1"/>
    <xf numFmtId="165" fontId="21" fillId="0" borderId="0" xfId="0" applyNumberFormat="1" applyFont="1"/>
    <xf numFmtId="2" fontId="8" fillId="0" borderId="0" xfId="0" applyNumberFormat="1" applyFont="1"/>
    <xf numFmtId="0" fontId="22" fillId="0" borderId="0" xfId="0" applyFont="1"/>
    <xf numFmtId="0" fontId="23" fillId="0" borderId="0" xfId="0" applyFont="1"/>
    <xf numFmtId="0" fontId="8" fillId="0" borderId="28" xfId="0" applyFont="1" applyBorder="1"/>
    <xf numFmtId="165" fontId="8" fillId="0" borderId="10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165" fontId="8" fillId="0" borderId="44" xfId="0" applyNumberFormat="1" applyFont="1" applyBorder="1" applyAlignment="1">
      <alignment horizontal="center" vertical="center"/>
    </xf>
    <xf numFmtId="165" fontId="8" fillId="0" borderId="42" xfId="0" applyNumberFormat="1" applyFont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0" fontId="8" fillId="8" borderId="42" xfId="0" applyFont="1" applyFill="1" applyBorder="1" applyAlignment="1">
      <alignment horizontal="center" vertical="center"/>
    </xf>
    <xf numFmtId="0" fontId="8" fillId="8" borderId="43" xfId="0" applyFont="1" applyFill="1" applyBorder="1" applyAlignment="1">
      <alignment horizontal="center" vertical="center"/>
    </xf>
    <xf numFmtId="0" fontId="8" fillId="8" borderId="0" xfId="0" applyFont="1" applyFill="1" applyAlignment="1">
      <alignment horizontal="center" vertical="center"/>
    </xf>
    <xf numFmtId="0" fontId="8" fillId="8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12" borderId="0" xfId="0" applyFont="1" applyFill="1" applyAlignment="1">
      <alignment horizontal="left" vertical="center" wrapText="1"/>
    </xf>
    <xf numFmtId="0" fontId="6" fillId="12" borderId="0" xfId="0" applyFont="1" applyFill="1" applyAlignment="1">
      <alignment horizontal="left" vertical="top" wrapText="1"/>
    </xf>
    <xf numFmtId="0" fontId="5" fillId="12" borderId="0" xfId="0" applyFont="1" applyFill="1" applyAlignment="1">
      <alignment horizontal="left" vertical="top" wrapText="1"/>
    </xf>
    <xf numFmtId="0" fontId="7" fillId="12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left" vertical="top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4" borderId="34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5" fillId="3" borderId="33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167" fontId="8" fillId="0" borderId="15" xfId="0" applyNumberFormat="1" applyFont="1" applyBorder="1" applyAlignment="1">
      <alignment horizontal="left"/>
    </xf>
    <xf numFmtId="14" fontId="8" fillId="0" borderId="15" xfId="0" applyNumberFormat="1" applyFont="1" applyBorder="1" applyAlignment="1">
      <alignment horizontal="left"/>
    </xf>
    <xf numFmtId="0" fontId="8" fillId="0" borderId="16" xfId="0" applyFont="1" applyBorder="1" applyAlignment="1">
      <alignment horizontal="right"/>
    </xf>
    <xf numFmtId="0" fontId="8" fillId="8" borderId="11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/>
    </xf>
    <xf numFmtId="0" fontId="12" fillId="6" borderId="2" xfId="0" applyFont="1" applyFill="1" applyBorder="1" applyAlignment="1">
      <alignment horizontal="left" vertical="center"/>
    </xf>
    <xf numFmtId="0" fontId="12" fillId="6" borderId="3" xfId="0" applyFont="1" applyFill="1" applyBorder="1" applyAlignment="1">
      <alignment horizontal="left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 wrapText="1"/>
    </xf>
    <xf numFmtId="0" fontId="8" fillId="7" borderId="3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4" fillId="10" borderId="1" xfId="0" applyFont="1" applyFill="1" applyBorder="1" applyAlignment="1">
      <alignment horizontal="left" vertical="center"/>
    </xf>
    <xf numFmtId="0" fontId="14" fillId="10" borderId="2" xfId="0" applyFont="1" applyFill="1" applyBorder="1" applyAlignment="1">
      <alignment horizontal="left" vertical="center"/>
    </xf>
    <xf numFmtId="0" fontId="14" fillId="10" borderId="3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7" borderId="9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20" fontId="8" fillId="0" borderId="0" xfId="0" applyNumberFormat="1" applyFont="1" applyAlignment="1">
      <alignment horizontal="center" vertical="center"/>
    </xf>
    <xf numFmtId="20" fontId="8" fillId="0" borderId="18" xfId="0" applyNumberFormat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20" fontId="8" fillId="0" borderId="11" xfId="0" applyNumberFormat="1" applyFont="1" applyBorder="1" applyAlignment="1">
      <alignment horizontal="center" vertical="center"/>
    </xf>
    <xf numFmtId="20" fontId="8" fillId="0" borderId="24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65" fontId="8" fillId="0" borderId="30" xfId="0" applyNumberFormat="1" applyFont="1" applyBorder="1" applyAlignment="1">
      <alignment horizontal="center" vertical="center"/>
    </xf>
    <xf numFmtId="165" fontId="8" fillId="0" borderId="40" xfId="0" applyNumberFormat="1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165" fontId="8" fillId="0" borderId="31" xfId="0" applyNumberFormat="1" applyFont="1" applyBorder="1" applyAlignment="1">
      <alignment horizontal="center" vertical="center"/>
    </xf>
    <xf numFmtId="165" fontId="17" fillId="0" borderId="30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center" vertical="center"/>
    </xf>
    <xf numFmtId="167" fontId="8" fillId="0" borderId="21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167" fontId="8" fillId="0" borderId="23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165" fontId="17" fillId="0" borderId="31" xfId="0" applyNumberFormat="1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1" fontId="17" fillId="0" borderId="24" xfId="0" applyNumberFormat="1" applyFont="1" applyBorder="1" applyAlignment="1">
      <alignment horizontal="center" vertical="center"/>
    </xf>
    <xf numFmtId="20" fontId="17" fillId="0" borderId="0" xfId="0" applyNumberFormat="1" applyFont="1" applyAlignment="1">
      <alignment horizontal="center" vertical="center"/>
    </xf>
    <xf numFmtId="20" fontId="17" fillId="0" borderId="24" xfId="0" applyNumberFormat="1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20" fontId="8" fillId="0" borderId="0" xfId="0" applyNumberFormat="1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9" fontId="8" fillId="0" borderId="0" xfId="0" applyNumberFormat="1" applyFont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 wrapText="1"/>
    </xf>
    <xf numFmtId="0" fontId="8" fillId="9" borderId="0" xfId="0" applyFont="1" applyFill="1" applyBorder="1" applyAlignment="1">
      <alignment horizontal="center" vertical="center"/>
    </xf>
    <xf numFmtId="2" fontId="8" fillId="0" borderId="0" xfId="0" applyNumberFormat="1" applyFont="1" applyBorder="1" applyAlignment="1">
      <alignment horizontal="center" vertical="center"/>
    </xf>
    <xf numFmtId="2" fontId="8" fillId="9" borderId="0" xfId="0" applyNumberFormat="1" applyFont="1" applyFill="1" applyBorder="1" applyAlignment="1">
      <alignment horizontal="center" vertical="center"/>
    </xf>
    <xf numFmtId="12" fontId="8" fillId="0" borderId="0" xfId="0" applyNumberFormat="1" applyFont="1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65" fontId="18" fillId="0" borderId="17" xfId="0" applyNumberFormat="1" applyFont="1" applyBorder="1" applyAlignment="1">
      <alignment horizontal="center" vertical="center"/>
    </xf>
    <xf numFmtId="165" fontId="18" fillId="0" borderId="19" xfId="0" applyNumberFormat="1" applyFont="1" applyBorder="1" applyAlignment="1">
      <alignment horizontal="center" vertical="center"/>
    </xf>
    <xf numFmtId="165" fontId="18" fillId="0" borderId="1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1D55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CeBER'!$R$5:$R$25</c:f>
                <c:numCache>
                  <c:formatCode>General</c:formatCode>
                  <c:ptCount val="21"/>
                  <c:pt idx="0">
                    <c:v>2.3226640212663224E-2</c:v>
                  </c:pt>
                  <c:pt idx="1">
                    <c:v>2.0952163062244768E-2</c:v>
                  </c:pt>
                  <c:pt idx="2">
                    <c:v>4.65759754603913E-2</c:v>
                  </c:pt>
                  <c:pt idx="3">
                    <c:v>1.1328934866007232E-2</c:v>
                  </c:pt>
                  <c:pt idx="4">
                    <c:v>2.1846590117099211E-2</c:v>
                  </c:pt>
                  <c:pt idx="5">
                    <c:v>2.2849685895225985E-2</c:v>
                  </c:pt>
                  <c:pt idx="6">
                    <c:v>3.2783210021507213E-2</c:v>
                  </c:pt>
                  <c:pt idx="7">
                    <c:v>1.5453960435096595E-2</c:v>
                  </c:pt>
                  <c:pt idx="8">
                    <c:v>9.6930190566613499E-3</c:v>
                  </c:pt>
                  <c:pt idx="9">
                    <c:v>2.7851807057997266E-2</c:v>
                  </c:pt>
                  <c:pt idx="10">
                    <c:v>1.1539925082180696E-2</c:v>
                  </c:pt>
                  <c:pt idx="11">
                    <c:v>1.0296740895118455E-2</c:v>
                  </c:pt>
                  <c:pt idx="12">
                    <c:v>4.141299037500084E-3</c:v>
                  </c:pt>
                  <c:pt idx="13">
                    <c:v>1.8645015183784894E-2</c:v>
                  </c:pt>
                  <c:pt idx="14">
                    <c:v>3.449997429205582E-2</c:v>
                  </c:pt>
                  <c:pt idx="15">
                    <c:v>1.6809838884188855E-2</c:v>
                  </c:pt>
                  <c:pt idx="16">
                    <c:v>3.7369110312848612E-2</c:v>
                  </c:pt>
                  <c:pt idx="17">
                    <c:v>5.5450959106975797E-2</c:v>
                  </c:pt>
                  <c:pt idx="18">
                    <c:v>3.8318137713712362E-2</c:v>
                  </c:pt>
                  <c:pt idx="19">
                    <c:v>4.8832546285036638E-2</c:v>
                  </c:pt>
                  <c:pt idx="20">
                    <c:v>3.9166677474592078E-2</c:v>
                  </c:pt>
                </c:numCache>
              </c:numRef>
            </c:plus>
            <c:minus>
              <c:numRef>
                <c:f>'Growth curves CeBER'!$R$5:$R$25</c:f>
                <c:numCache>
                  <c:formatCode>General</c:formatCode>
                  <c:ptCount val="21"/>
                  <c:pt idx="0">
                    <c:v>2.3226640212663224E-2</c:v>
                  </c:pt>
                  <c:pt idx="1">
                    <c:v>2.0952163062244768E-2</c:v>
                  </c:pt>
                  <c:pt idx="2">
                    <c:v>4.65759754603913E-2</c:v>
                  </c:pt>
                  <c:pt idx="3">
                    <c:v>1.1328934866007232E-2</c:v>
                  </c:pt>
                  <c:pt idx="4">
                    <c:v>2.1846590117099211E-2</c:v>
                  </c:pt>
                  <c:pt idx="5">
                    <c:v>2.2849685895225985E-2</c:v>
                  </c:pt>
                  <c:pt idx="6">
                    <c:v>3.2783210021507213E-2</c:v>
                  </c:pt>
                  <c:pt idx="7">
                    <c:v>1.5453960435096595E-2</c:v>
                  </c:pt>
                  <c:pt idx="8">
                    <c:v>9.6930190566613499E-3</c:v>
                  </c:pt>
                  <c:pt idx="9">
                    <c:v>2.7851807057997266E-2</c:v>
                  </c:pt>
                  <c:pt idx="10">
                    <c:v>1.1539925082180696E-2</c:v>
                  </c:pt>
                  <c:pt idx="11">
                    <c:v>1.0296740895118455E-2</c:v>
                  </c:pt>
                  <c:pt idx="12">
                    <c:v>4.141299037500084E-3</c:v>
                  </c:pt>
                  <c:pt idx="13">
                    <c:v>1.8645015183784894E-2</c:v>
                  </c:pt>
                  <c:pt idx="14">
                    <c:v>3.449997429205582E-2</c:v>
                  </c:pt>
                  <c:pt idx="15">
                    <c:v>1.6809838884188855E-2</c:v>
                  </c:pt>
                  <c:pt idx="16">
                    <c:v>3.7369110312848612E-2</c:v>
                  </c:pt>
                  <c:pt idx="17">
                    <c:v>5.5450959106975797E-2</c:v>
                  </c:pt>
                  <c:pt idx="18">
                    <c:v>3.8318137713712362E-2</c:v>
                  </c:pt>
                  <c:pt idx="19">
                    <c:v>4.8832546285036638E-2</c:v>
                  </c:pt>
                  <c:pt idx="20">
                    <c:v>3.9166677474592078E-2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CeBER'!$D$5:$D$25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2.9666666666666668</c:v>
                </c:pt>
                <c:pt idx="2">
                  <c:v>5.3000000000000007</c:v>
                </c:pt>
                <c:pt idx="3">
                  <c:v>10</c:v>
                </c:pt>
                <c:pt idx="4">
                  <c:v>22.516666666666666</c:v>
                </c:pt>
                <c:pt idx="5">
                  <c:v>25.566666666666666</c:v>
                </c:pt>
                <c:pt idx="6">
                  <c:v>29.716666666666669</c:v>
                </c:pt>
                <c:pt idx="7">
                  <c:v>47.5</c:v>
                </c:pt>
                <c:pt idx="8">
                  <c:v>70.783333333333331</c:v>
                </c:pt>
                <c:pt idx="9">
                  <c:v>94.933333333333337</c:v>
                </c:pt>
                <c:pt idx="10">
                  <c:v>120.41666666666667</c:v>
                </c:pt>
                <c:pt idx="11">
                  <c:v>144.66666666666669</c:v>
                </c:pt>
                <c:pt idx="12">
                  <c:v>166.70000000000002</c:v>
                </c:pt>
                <c:pt idx="13">
                  <c:v>214.98333333333335</c:v>
                </c:pt>
                <c:pt idx="14">
                  <c:v>240.01666666666668</c:v>
                </c:pt>
                <c:pt idx="15">
                  <c:v>288.88333333333333</c:v>
                </c:pt>
                <c:pt idx="16">
                  <c:v>312.91666666666669</c:v>
                </c:pt>
                <c:pt idx="17">
                  <c:v>336.16666666666669</c:v>
                </c:pt>
                <c:pt idx="18">
                  <c:v>359.05</c:v>
                </c:pt>
                <c:pt idx="19">
                  <c:v>384.48333333333335</c:v>
                </c:pt>
                <c:pt idx="20">
                  <c:v>408.03333333333336</c:v>
                </c:pt>
              </c:numCache>
            </c:numRef>
          </c:xVal>
          <c:yVal>
            <c:numRef>
              <c:f>'Growth curves CeBER'!$Q$5:$Q$25</c:f>
              <c:numCache>
                <c:formatCode>0.000</c:formatCode>
                <c:ptCount val="21"/>
                <c:pt idx="0">
                  <c:v>-2.1000430766908358</c:v>
                </c:pt>
                <c:pt idx="1">
                  <c:v>-1.9477048189996751</c:v>
                </c:pt>
                <c:pt idx="2">
                  <c:v>-1.8022800995763077</c:v>
                </c:pt>
                <c:pt idx="3">
                  <c:v>-1.5941853734876277</c:v>
                </c:pt>
                <c:pt idx="4">
                  <c:v>-1.2474221115615383</c:v>
                </c:pt>
                <c:pt idx="5">
                  <c:v>-1.1904686172667833</c:v>
                </c:pt>
                <c:pt idx="6">
                  <c:v>-1.1117960864942671</c:v>
                </c:pt>
                <c:pt idx="7">
                  <c:v>-0.67638777595781052</c:v>
                </c:pt>
                <c:pt idx="8">
                  <c:v>-0.35419412785485749</c:v>
                </c:pt>
                <c:pt idx="9">
                  <c:v>-9.978911629743635E-2</c:v>
                </c:pt>
                <c:pt idx="10">
                  <c:v>0.24789963984262034</c:v>
                </c:pt>
                <c:pt idx="11">
                  <c:v>0.42960682407385758</c:v>
                </c:pt>
                <c:pt idx="12">
                  <c:v>0.60044727578656287</c:v>
                </c:pt>
                <c:pt idx="13">
                  <c:v>0.84706096012797694</c:v>
                </c:pt>
                <c:pt idx="14">
                  <c:v>0.96126113461740703</c:v>
                </c:pt>
                <c:pt idx="15">
                  <c:v>1.1369220464452152</c:v>
                </c:pt>
                <c:pt idx="16">
                  <c:v>1.2265076152330858</c:v>
                </c:pt>
                <c:pt idx="17">
                  <c:v>1.2714691502896232</c:v>
                </c:pt>
                <c:pt idx="18">
                  <c:v>1.329782038520875</c:v>
                </c:pt>
                <c:pt idx="19">
                  <c:v>1.3374877101158968</c:v>
                </c:pt>
                <c:pt idx="20">
                  <c:v>1.3682714801695763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EB-D24D-A47A-D4B1086F0A2A}"/>
            </c:ext>
          </c:extLst>
        </c:ser>
        <c:ser>
          <c:idx val="1"/>
          <c:order val="1"/>
          <c:tx>
            <c:strRef>
              <c:f>'Growth curves CeBER'!$B$26:$AB$26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CeBER'!$R$29:$R$50</c:f>
                <c:numCache>
                  <c:formatCode>General</c:formatCode>
                  <c:ptCount val="22"/>
                  <c:pt idx="0">
                    <c:v>3.2092021386387865E-2</c:v>
                  </c:pt>
                  <c:pt idx="1">
                    <c:v>2.3419071125295482E-2</c:v>
                  </c:pt>
                  <c:pt idx="2">
                    <c:v>2.2931455708234533E-2</c:v>
                  </c:pt>
                  <c:pt idx="3">
                    <c:v>2.0263486921274039E-3</c:v>
                  </c:pt>
                  <c:pt idx="4">
                    <c:v>1.1154991721541463E-2</c:v>
                  </c:pt>
                  <c:pt idx="5">
                    <c:v>2.5631166283531123E-2</c:v>
                  </c:pt>
                  <c:pt idx="6">
                    <c:v>2.490282808697547E-2</c:v>
                  </c:pt>
                  <c:pt idx="7">
                    <c:v>1.4750577401101741E-2</c:v>
                  </c:pt>
                  <c:pt idx="8">
                    <c:v>2.9185123226484262E-2</c:v>
                  </c:pt>
                  <c:pt idx="9">
                    <c:v>2.5405506723956188E-2</c:v>
                  </c:pt>
                  <c:pt idx="10">
                    <c:v>3.4293855298294837E-3</c:v>
                  </c:pt>
                  <c:pt idx="11">
                    <c:v>4.9386074249863812E-2</c:v>
                  </c:pt>
                  <c:pt idx="12">
                    <c:v>2.5307421907411129E-2</c:v>
                  </c:pt>
                  <c:pt idx="13">
                    <c:v>3.1625046266640658E-2</c:v>
                  </c:pt>
                  <c:pt idx="14">
                    <c:v>9.470984009691253E-3</c:v>
                  </c:pt>
                  <c:pt idx="15">
                    <c:v>2.4271131226690008E-2</c:v>
                  </c:pt>
                  <c:pt idx="16">
                    <c:v>2.348607328128996E-2</c:v>
                  </c:pt>
                  <c:pt idx="17">
                    <c:v>1.5779015497565576E-2</c:v>
                  </c:pt>
                  <c:pt idx="18">
                    <c:v>2.0041519881577194E-2</c:v>
                  </c:pt>
                  <c:pt idx="19">
                    <c:v>3.1631224984830023E-2</c:v>
                  </c:pt>
                  <c:pt idx="20">
                    <c:v>3.5324046609737259E-2</c:v>
                  </c:pt>
                  <c:pt idx="21">
                    <c:v>3.9549985145539888E-2</c:v>
                  </c:pt>
                </c:numCache>
              </c:numRef>
            </c:plus>
            <c:minus>
              <c:numRef>
                <c:f>'Growth curves CeBER'!$R$29:$R$50</c:f>
                <c:numCache>
                  <c:formatCode>General</c:formatCode>
                  <c:ptCount val="22"/>
                  <c:pt idx="0">
                    <c:v>3.2092021386387865E-2</c:v>
                  </c:pt>
                  <c:pt idx="1">
                    <c:v>2.3419071125295482E-2</c:v>
                  </c:pt>
                  <c:pt idx="2">
                    <c:v>2.2931455708234533E-2</c:v>
                  </c:pt>
                  <c:pt idx="3">
                    <c:v>2.0263486921274039E-3</c:v>
                  </c:pt>
                  <c:pt idx="4">
                    <c:v>1.1154991721541463E-2</c:v>
                  </c:pt>
                  <c:pt idx="5">
                    <c:v>2.5631166283531123E-2</c:v>
                  </c:pt>
                  <c:pt idx="6">
                    <c:v>2.490282808697547E-2</c:v>
                  </c:pt>
                  <c:pt idx="7">
                    <c:v>1.4750577401101741E-2</c:v>
                  </c:pt>
                  <c:pt idx="8">
                    <c:v>2.9185123226484262E-2</c:v>
                  </c:pt>
                  <c:pt idx="9">
                    <c:v>2.5405506723956188E-2</c:v>
                  </c:pt>
                  <c:pt idx="10">
                    <c:v>3.4293855298294837E-3</c:v>
                  </c:pt>
                  <c:pt idx="11">
                    <c:v>4.9386074249863812E-2</c:v>
                  </c:pt>
                  <c:pt idx="12">
                    <c:v>2.5307421907411129E-2</c:v>
                  </c:pt>
                  <c:pt idx="13">
                    <c:v>3.1625046266640658E-2</c:v>
                  </c:pt>
                  <c:pt idx="14">
                    <c:v>9.470984009691253E-3</c:v>
                  </c:pt>
                  <c:pt idx="15">
                    <c:v>2.4271131226690008E-2</c:v>
                  </c:pt>
                  <c:pt idx="16">
                    <c:v>2.348607328128996E-2</c:v>
                  </c:pt>
                  <c:pt idx="17">
                    <c:v>1.5779015497565576E-2</c:v>
                  </c:pt>
                  <c:pt idx="18">
                    <c:v>2.0041519881577194E-2</c:v>
                  </c:pt>
                  <c:pt idx="19">
                    <c:v>3.1631224984830023E-2</c:v>
                  </c:pt>
                  <c:pt idx="20">
                    <c:v>3.5324046609737259E-2</c:v>
                  </c:pt>
                  <c:pt idx="21">
                    <c:v>3.9549985145539888E-2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CeBER'!$D$29:$D$50</c:f>
              <c:numCache>
                <c:formatCode>0</c:formatCode>
                <c:ptCount val="22"/>
                <c:pt idx="0" formatCode="General">
                  <c:v>0</c:v>
                </c:pt>
                <c:pt idx="1">
                  <c:v>4</c:v>
                </c:pt>
                <c:pt idx="2">
                  <c:v>6.3</c:v>
                </c:pt>
                <c:pt idx="3">
                  <c:v>11.033333333333333</c:v>
                </c:pt>
                <c:pt idx="4">
                  <c:v>23.383333333333333</c:v>
                </c:pt>
                <c:pt idx="5">
                  <c:v>26.533333333333331</c:v>
                </c:pt>
                <c:pt idx="6">
                  <c:v>30.566666666666663</c:v>
                </c:pt>
                <c:pt idx="7">
                  <c:v>48.216666666666661</c:v>
                </c:pt>
                <c:pt idx="8">
                  <c:v>71.599999999999994</c:v>
                </c:pt>
                <c:pt idx="9">
                  <c:v>95.73333333333332</c:v>
                </c:pt>
                <c:pt idx="10">
                  <c:v>121.39999999999999</c:v>
                </c:pt>
                <c:pt idx="11">
                  <c:v>145.54999999999998</c:v>
                </c:pt>
                <c:pt idx="12">
                  <c:v>167.6</c:v>
                </c:pt>
                <c:pt idx="13">
                  <c:v>189.23333333333332</c:v>
                </c:pt>
                <c:pt idx="14">
                  <c:v>216.35</c:v>
                </c:pt>
                <c:pt idx="15">
                  <c:v>240.6</c:v>
                </c:pt>
                <c:pt idx="16">
                  <c:v>289.68333333333334</c:v>
                </c:pt>
                <c:pt idx="17">
                  <c:v>313.7166666666667</c:v>
                </c:pt>
                <c:pt idx="18">
                  <c:v>336.95000000000005</c:v>
                </c:pt>
                <c:pt idx="19">
                  <c:v>359.76666666666671</c:v>
                </c:pt>
                <c:pt idx="20">
                  <c:v>385.23333333333335</c:v>
                </c:pt>
                <c:pt idx="21">
                  <c:v>408.78333333333336</c:v>
                </c:pt>
              </c:numCache>
            </c:numRef>
          </c:xVal>
          <c:yVal>
            <c:numRef>
              <c:f>'Growth curves CeBER'!$Q$29:$Q$50</c:f>
              <c:numCache>
                <c:formatCode>0.000</c:formatCode>
                <c:ptCount val="22"/>
                <c:pt idx="0">
                  <c:v>-2.0838844290745886</c:v>
                </c:pt>
                <c:pt idx="1">
                  <c:v>-1.8809406111250084</c:v>
                </c:pt>
                <c:pt idx="2">
                  <c:v>-1.8157078955627466</c:v>
                </c:pt>
                <c:pt idx="3">
                  <c:v>-1.5940615701984282</c:v>
                </c:pt>
                <c:pt idx="4">
                  <c:v>-1.2442094312124097</c:v>
                </c:pt>
                <c:pt idx="5">
                  <c:v>-1.1838671483018883</c:v>
                </c:pt>
                <c:pt idx="6">
                  <c:v>-1.1652077348297769</c:v>
                </c:pt>
                <c:pt idx="7">
                  <c:v>-0.85852536490678488</c:v>
                </c:pt>
                <c:pt idx="8">
                  <c:v>-0.36317918061871018</c:v>
                </c:pt>
                <c:pt idx="9">
                  <c:v>-0.10329813919309062</c:v>
                </c:pt>
                <c:pt idx="10">
                  <c:v>0.17964718557624207</c:v>
                </c:pt>
                <c:pt idx="11">
                  <c:v>0.40917638680349427</c:v>
                </c:pt>
                <c:pt idx="12">
                  <c:v>0.54987764058527633</c:v>
                </c:pt>
                <c:pt idx="13">
                  <c:v>0.60395444256317632</c:v>
                </c:pt>
                <c:pt idx="14">
                  <c:v>0.67551322198609831</c:v>
                </c:pt>
                <c:pt idx="15">
                  <c:v>0.71398838868434122</c:v>
                </c:pt>
                <c:pt idx="16">
                  <c:v>0.76997965392256651</c:v>
                </c:pt>
                <c:pt idx="17">
                  <c:v>0.81384161957498258</c:v>
                </c:pt>
                <c:pt idx="18">
                  <c:v>0.85122908590590451</c:v>
                </c:pt>
                <c:pt idx="19">
                  <c:v>0.85832797980024322</c:v>
                </c:pt>
                <c:pt idx="20">
                  <c:v>0.89934468705302428</c:v>
                </c:pt>
                <c:pt idx="21">
                  <c:v>0.9266851627847067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EB-D24D-A47A-D4B1086F0A2A}"/>
            </c:ext>
          </c:extLst>
        </c:ser>
        <c:ser>
          <c:idx val="2"/>
          <c:order val="2"/>
          <c:tx>
            <c:strRef>
              <c:f>'Growth curves CeBER'!$B$51:$AB$51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xVal>
            <c:numRef>
              <c:f>'Growth curves CeBER'!$D$54:$D$74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3.5</c:v>
                </c:pt>
                <c:pt idx="2">
                  <c:v>5.8</c:v>
                </c:pt>
                <c:pt idx="3">
                  <c:v>10.533333333333333</c:v>
                </c:pt>
                <c:pt idx="4">
                  <c:v>22.966666666666669</c:v>
                </c:pt>
                <c:pt idx="5">
                  <c:v>26.266666666666669</c:v>
                </c:pt>
                <c:pt idx="6">
                  <c:v>30.06666666666667</c:v>
                </c:pt>
                <c:pt idx="7">
                  <c:v>47.766666666666666</c:v>
                </c:pt>
                <c:pt idx="8">
                  <c:v>71.5</c:v>
                </c:pt>
                <c:pt idx="9">
                  <c:v>95.383333333333326</c:v>
                </c:pt>
                <c:pt idx="10">
                  <c:v>120.93333333333332</c:v>
                </c:pt>
                <c:pt idx="11">
                  <c:v>145.11666666666665</c:v>
                </c:pt>
                <c:pt idx="12">
                  <c:v>167.18333333333331</c:v>
                </c:pt>
                <c:pt idx="13">
                  <c:v>215.68333333333331</c:v>
                </c:pt>
                <c:pt idx="14">
                  <c:v>240.24999999999997</c:v>
                </c:pt>
                <c:pt idx="15">
                  <c:v>289.31666666666666</c:v>
                </c:pt>
                <c:pt idx="16">
                  <c:v>313.33333333333331</c:v>
                </c:pt>
                <c:pt idx="17">
                  <c:v>336.56666666666666</c:v>
                </c:pt>
                <c:pt idx="18">
                  <c:v>359.45</c:v>
                </c:pt>
                <c:pt idx="19">
                  <c:v>384.9</c:v>
                </c:pt>
                <c:pt idx="20">
                  <c:v>408.43333333333328</c:v>
                </c:pt>
              </c:numCache>
            </c:numRef>
          </c:xVal>
          <c:yVal>
            <c:numRef>
              <c:f>'Growth curves CeBER'!$Q$54:$Q$74</c:f>
              <c:numCache>
                <c:formatCode>0.000</c:formatCode>
                <c:ptCount val="21"/>
                <c:pt idx="0">
                  <c:v>-2.0928438444189013</c:v>
                </c:pt>
                <c:pt idx="1">
                  <c:v>-1.820660193122448</c:v>
                </c:pt>
                <c:pt idx="2">
                  <c:v>-1.738395794475351</c:v>
                </c:pt>
                <c:pt idx="3">
                  <c:v>-1.6050818576187245</c:v>
                </c:pt>
                <c:pt idx="4">
                  <c:v>-1.1793726981894592</c:v>
                </c:pt>
                <c:pt idx="5">
                  <c:v>-1.1700145390270664</c:v>
                </c:pt>
                <c:pt idx="6">
                  <c:v>-1.0788775988181813</c:v>
                </c:pt>
                <c:pt idx="7">
                  <c:v>-0.65248588567949251</c:v>
                </c:pt>
                <c:pt idx="8">
                  <c:v>-0.30160794959833376</c:v>
                </c:pt>
                <c:pt idx="9">
                  <c:v>-5.7986815313480933E-2</c:v>
                </c:pt>
                <c:pt idx="10">
                  <c:v>0.24380925006195783</c:v>
                </c:pt>
                <c:pt idx="11">
                  <c:v>0.43864914985739906</c:v>
                </c:pt>
                <c:pt idx="12">
                  <c:v>0.5737987780198589</c:v>
                </c:pt>
                <c:pt idx="13">
                  <c:v>0.88106087224278784</c:v>
                </c:pt>
                <c:pt idx="14">
                  <c:v>1.0269223107253034</c:v>
                </c:pt>
                <c:pt idx="15">
                  <c:v>1.2204171156966244</c:v>
                </c:pt>
                <c:pt idx="16">
                  <c:v>1.2582465848995585</c:v>
                </c:pt>
                <c:pt idx="17">
                  <c:v>1.2792013462336467</c:v>
                </c:pt>
                <c:pt idx="18">
                  <c:v>1.2712914769223655</c:v>
                </c:pt>
                <c:pt idx="19">
                  <c:v>1.2806500025541621</c:v>
                </c:pt>
                <c:pt idx="20">
                  <c:v>1.2926879105846492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EB-D24D-A47A-D4B1086F0A2A}"/>
            </c:ext>
          </c:extLst>
        </c:ser>
        <c:ser>
          <c:idx val="3"/>
          <c:order val="3"/>
          <c:tx>
            <c:strRef>
              <c:f>'Growth curves CeBER'!$B$75:$AB$75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'Growth curves CeBER'!$D$78:$D$97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2.9666666666666668</c:v>
                </c:pt>
                <c:pt idx="2">
                  <c:v>5.3000000000000007</c:v>
                </c:pt>
                <c:pt idx="3">
                  <c:v>10</c:v>
                </c:pt>
                <c:pt idx="4">
                  <c:v>23.633333333333333</c:v>
                </c:pt>
                <c:pt idx="5">
                  <c:v>26.683333333333334</c:v>
                </c:pt>
                <c:pt idx="6">
                  <c:v>30.833333333333336</c:v>
                </c:pt>
                <c:pt idx="7">
                  <c:v>119.18333333333334</c:v>
                </c:pt>
                <c:pt idx="8">
                  <c:v>142</c:v>
                </c:pt>
                <c:pt idx="9">
                  <c:v>171</c:v>
                </c:pt>
                <c:pt idx="10">
                  <c:v>192.88333333333333</c:v>
                </c:pt>
                <c:pt idx="11">
                  <c:v>216.58333333333331</c:v>
                </c:pt>
                <c:pt idx="12">
                  <c:v>240.91666666666666</c:v>
                </c:pt>
                <c:pt idx="13">
                  <c:v>264.41666666666663</c:v>
                </c:pt>
                <c:pt idx="14">
                  <c:v>288.66666666666663</c:v>
                </c:pt>
                <c:pt idx="15">
                  <c:v>312.91666666666663</c:v>
                </c:pt>
                <c:pt idx="16">
                  <c:v>336.74999999999994</c:v>
                </c:pt>
                <c:pt idx="17">
                  <c:v>360.54999999999995</c:v>
                </c:pt>
                <c:pt idx="18">
                  <c:v>384.46666666666664</c:v>
                </c:pt>
                <c:pt idx="19">
                  <c:v>409.01666666666665</c:v>
                </c:pt>
              </c:numCache>
            </c:numRef>
          </c:xVal>
          <c:yVal>
            <c:numRef>
              <c:f>'Growth curves CeBER'!$Q$78:$Q$97</c:f>
              <c:numCache>
                <c:formatCode>0.000</c:formatCode>
                <c:ptCount val="20"/>
                <c:pt idx="0">
                  <c:v>-2.0889206280634602</c:v>
                </c:pt>
                <c:pt idx="1">
                  <c:v>-1.9477048189996751</c:v>
                </c:pt>
                <c:pt idx="2">
                  <c:v>-1.8022800995763077</c:v>
                </c:pt>
                <c:pt idx="3">
                  <c:v>-1.5941853734876277</c:v>
                </c:pt>
                <c:pt idx="4">
                  <c:v>-1.2689097242409346</c:v>
                </c:pt>
                <c:pt idx="5">
                  <c:v>-1.1904686172667833</c:v>
                </c:pt>
                <c:pt idx="6">
                  <c:v>-1.1117960864942671</c:v>
                </c:pt>
                <c:pt idx="7">
                  <c:v>0.24789963984262034</c:v>
                </c:pt>
                <c:pt idx="8">
                  <c:v>0.42960682407385758</c:v>
                </c:pt>
                <c:pt idx="9">
                  <c:v>0.55717661317041156</c:v>
                </c:pt>
                <c:pt idx="10">
                  <c:v>0.72780957747239949</c:v>
                </c:pt>
                <c:pt idx="11">
                  <c:v>0.79715016794023752</c:v>
                </c:pt>
                <c:pt idx="12">
                  <c:v>0.91087068001199389</c:v>
                </c:pt>
                <c:pt idx="13">
                  <c:v>1.0950561888882333</c:v>
                </c:pt>
                <c:pt idx="14">
                  <c:v>1.1517923744175678</c:v>
                </c:pt>
                <c:pt idx="15">
                  <c:v>1.2013945506567847</c:v>
                </c:pt>
                <c:pt idx="16">
                  <c:v>1.2336211168376958</c:v>
                </c:pt>
                <c:pt idx="17">
                  <c:v>1.2864886524333039</c:v>
                </c:pt>
                <c:pt idx="18">
                  <c:v>1.3013946565956374</c:v>
                </c:pt>
                <c:pt idx="19">
                  <c:v>1.3414941248902281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5EB-D24D-A47A-D4B1086F0A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1455635753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UTEX #1926'!$B$2:$U$2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#1926'!$Y$4:$Y$13</c:f>
                <c:numCache>
                  <c:formatCode>General</c:formatCode>
                  <c:ptCount val="10"/>
                  <c:pt idx="0">
                    <c:v>3.4176599574432753E-2</c:v>
                  </c:pt>
                  <c:pt idx="1">
                    <c:v>1.4743072705046309E-2</c:v>
                  </c:pt>
                  <c:pt idx="2">
                    <c:v>3.8284632644214278E-2</c:v>
                  </c:pt>
                  <c:pt idx="3">
                    <c:v>9.8078545324177067E-3</c:v>
                  </c:pt>
                  <c:pt idx="4">
                    <c:v>2.6620343670360671E-2</c:v>
                  </c:pt>
                  <c:pt idx="5">
                    <c:v>8.3200841536790696E-3</c:v>
                  </c:pt>
                  <c:pt idx="6">
                    <c:v>1.2605274628042304E-2</c:v>
                  </c:pt>
                  <c:pt idx="7">
                    <c:v>2.7914183117739303E-2</c:v>
                  </c:pt>
                </c:numCache>
              </c:numRef>
            </c:plus>
            <c:minus>
              <c:numRef>
                <c:f>'Nitrate content UTEX #1926'!$Y$4:$Y$13</c:f>
                <c:numCache>
                  <c:formatCode>General</c:formatCode>
                  <c:ptCount val="10"/>
                  <c:pt idx="0">
                    <c:v>3.4176599574432753E-2</c:v>
                  </c:pt>
                  <c:pt idx="1">
                    <c:v>1.4743072705046309E-2</c:v>
                  </c:pt>
                  <c:pt idx="2">
                    <c:v>3.8284632644214278E-2</c:v>
                  </c:pt>
                  <c:pt idx="3">
                    <c:v>9.8078545324177067E-3</c:v>
                  </c:pt>
                  <c:pt idx="4">
                    <c:v>2.6620343670360671E-2</c:v>
                  </c:pt>
                  <c:pt idx="5">
                    <c:v>8.3200841536790696E-3</c:v>
                  </c:pt>
                  <c:pt idx="6">
                    <c:v>1.2605274628042304E-2</c:v>
                  </c:pt>
                  <c:pt idx="7">
                    <c:v>2.7914183117739303E-2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#1926'!$W$4:$W$13</c:f>
              <c:numCache>
                <c:formatCode>0</c:formatCode>
                <c:ptCount val="10"/>
                <c:pt idx="0">
                  <c:v>0</c:v>
                </c:pt>
                <c:pt idx="1">
                  <c:v>47.5</c:v>
                </c:pt>
                <c:pt idx="2">
                  <c:v>94.933333333333337</c:v>
                </c:pt>
                <c:pt idx="3">
                  <c:v>144.66666666666669</c:v>
                </c:pt>
                <c:pt idx="4">
                  <c:v>240.01666666666668</c:v>
                </c:pt>
                <c:pt idx="5">
                  <c:v>288.88333333333333</c:v>
                </c:pt>
                <c:pt idx="6">
                  <c:v>336.16666666666663</c:v>
                </c:pt>
                <c:pt idx="7">
                  <c:v>384.48333333333329</c:v>
                </c:pt>
              </c:numCache>
            </c:numRef>
          </c:xVal>
          <c:yVal>
            <c:numRef>
              <c:f>'Nitrate content UTEX #1926'!$X$4:$X$13</c:f>
              <c:numCache>
                <c:formatCode>0.000</c:formatCode>
                <c:ptCount val="10"/>
                <c:pt idx="0">
                  <c:v>1.5654751999999998</c:v>
                </c:pt>
                <c:pt idx="1">
                  <c:v>1.582642261904762</c:v>
                </c:pt>
                <c:pt idx="2">
                  <c:v>1.2666384574603173</c:v>
                </c:pt>
                <c:pt idx="3">
                  <c:v>1.1517405528042326</c:v>
                </c:pt>
                <c:pt idx="4">
                  <c:v>0.86645580634920638</c:v>
                </c:pt>
                <c:pt idx="5">
                  <c:v>0.74293098714285721</c:v>
                </c:pt>
                <c:pt idx="6">
                  <c:v>0.64243078071428572</c:v>
                </c:pt>
                <c:pt idx="7">
                  <c:v>0.47723964880952402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ED-074C-9FC8-B2AE0A8C4EB2}"/>
            </c:ext>
          </c:extLst>
        </c:ser>
        <c:ser>
          <c:idx val="1"/>
          <c:order val="1"/>
          <c:tx>
            <c:strRef>
              <c:f>'Nitrate content UTEX #1926'!$B$29:$U$29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#1926'!$Y$31:$Y$40</c:f>
                <c:numCache>
                  <c:formatCode>General</c:formatCode>
                  <c:ptCount val="10"/>
                  <c:pt idx="0">
                    <c:v>6.0073866666666691E-2</c:v>
                  </c:pt>
                  <c:pt idx="1">
                    <c:v>1.3289367070234211E-2</c:v>
                  </c:pt>
                  <c:pt idx="2">
                    <c:v>0.10943445974667557</c:v>
                  </c:pt>
                  <c:pt idx="3">
                    <c:v>2.7323408309992192E-2</c:v>
                  </c:pt>
                  <c:pt idx="4">
                    <c:v>2.3592510858527233E-2</c:v>
                  </c:pt>
                  <c:pt idx="5">
                    <c:v>1.8260891007055063E-2</c:v>
                  </c:pt>
                  <c:pt idx="6">
                    <c:v>5.1383067238871483E-2</c:v>
                  </c:pt>
                  <c:pt idx="7">
                    <c:v>2.7319459626881648E-2</c:v>
                  </c:pt>
                </c:numCache>
              </c:numRef>
            </c:plus>
            <c:minus>
              <c:numRef>
                <c:f>'Nitrate content UTEX #1926'!$Y$31:$Y$40</c:f>
                <c:numCache>
                  <c:formatCode>General</c:formatCode>
                  <c:ptCount val="10"/>
                  <c:pt idx="0">
                    <c:v>6.0073866666666691E-2</c:v>
                  </c:pt>
                  <c:pt idx="1">
                    <c:v>1.3289367070234211E-2</c:v>
                  </c:pt>
                  <c:pt idx="2">
                    <c:v>0.10943445974667557</c:v>
                  </c:pt>
                  <c:pt idx="3">
                    <c:v>2.7323408309992192E-2</c:v>
                  </c:pt>
                  <c:pt idx="4">
                    <c:v>2.3592510858527233E-2</c:v>
                  </c:pt>
                  <c:pt idx="5">
                    <c:v>1.8260891007055063E-2</c:v>
                  </c:pt>
                  <c:pt idx="6">
                    <c:v>5.1383067238871483E-2</c:v>
                  </c:pt>
                  <c:pt idx="7">
                    <c:v>2.7319459626881648E-2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#1926'!$W$31:$W$40</c:f>
              <c:numCache>
                <c:formatCode>0</c:formatCode>
                <c:ptCount val="10"/>
                <c:pt idx="0" formatCode="General">
                  <c:v>0</c:v>
                </c:pt>
                <c:pt idx="1">
                  <c:v>48.216666666666669</c:v>
                </c:pt>
                <c:pt idx="2">
                  <c:v>95.733333333333334</c:v>
                </c:pt>
                <c:pt idx="3">
                  <c:v>145.55000000000001</c:v>
                </c:pt>
                <c:pt idx="4">
                  <c:v>240.6</c:v>
                </c:pt>
                <c:pt idx="5">
                  <c:v>289.68333333333334</c:v>
                </c:pt>
                <c:pt idx="6">
                  <c:v>336.95</c:v>
                </c:pt>
                <c:pt idx="7">
                  <c:v>385.23333333333335</c:v>
                </c:pt>
              </c:numCache>
            </c:numRef>
          </c:xVal>
          <c:yVal>
            <c:numRef>
              <c:f>'Nitrate content UTEX #1926'!$X$31:$X$40</c:f>
              <c:numCache>
                <c:formatCode>0.000</c:formatCode>
                <c:ptCount val="10"/>
                <c:pt idx="0">
                  <c:v>1.6212834666666665</c:v>
                </c:pt>
                <c:pt idx="1">
                  <c:v>1.5890071031746034</c:v>
                </c:pt>
                <c:pt idx="2">
                  <c:v>1.2968855478306878</c:v>
                </c:pt>
                <c:pt idx="3">
                  <c:v>1.3423781954497354</c:v>
                </c:pt>
                <c:pt idx="4">
                  <c:v>1.1323132234920632</c:v>
                </c:pt>
                <c:pt idx="5">
                  <c:v>1.0666611208730161</c:v>
                </c:pt>
                <c:pt idx="6">
                  <c:v>0.99777652523809512</c:v>
                </c:pt>
                <c:pt idx="7">
                  <c:v>0.88831447222222215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ED-074C-9FC8-B2AE0A8C4EB2}"/>
            </c:ext>
          </c:extLst>
        </c:ser>
        <c:ser>
          <c:idx val="2"/>
          <c:order val="2"/>
          <c:tx>
            <c:strRef>
              <c:f>'Nitrate content UTEX #1926'!$B$56:$U$56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#1926'!$Y$58:$Y$67</c:f>
                <c:numCache>
                  <c:formatCode>General</c:formatCode>
                  <c:ptCount val="10"/>
                  <c:pt idx="0">
                    <c:v>8.3313783619740067E-3</c:v>
                  </c:pt>
                  <c:pt idx="1">
                    <c:v>1.4824146028425859E-2</c:v>
                  </c:pt>
                  <c:pt idx="2">
                    <c:v>3.1575320728518583E-2</c:v>
                  </c:pt>
                  <c:pt idx="3">
                    <c:v>3.8509359921140476E-2</c:v>
                  </c:pt>
                  <c:pt idx="4">
                    <c:v>1.971668148725754E-2</c:v>
                  </c:pt>
                  <c:pt idx="5">
                    <c:v>2.7604047890436398E-2</c:v>
                  </c:pt>
                  <c:pt idx="6">
                    <c:v>7.5780813071240792E-3</c:v>
                  </c:pt>
                  <c:pt idx="7">
                    <c:v>2.3108006784074056E-2</c:v>
                  </c:pt>
                </c:numCache>
              </c:numRef>
            </c:plus>
            <c:minus>
              <c:numRef>
                <c:f>'Nitrate content UTEX #1926'!$Y$58:$Y$67</c:f>
                <c:numCache>
                  <c:formatCode>General</c:formatCode>
                  <c:ptCount val="10"/>
                  <c:pt idx="0">
                    <c:v>8.3313783619740067E-3</c:v>
                  </c:pt>
                  <c:pt idx="1">
                    <c:v>1.4824146028425859E-2</c:v>
                  </c:pt>
                  <c:pt idx="2">
                    <c:v>3.1575320728518583E-2</c:v>
                  </c:pt>
                  <c:pt idx="3">
                    <c:v>3.8509359921140476E-2</c:v>
                  </c:pt>
                  <c:pt idx="4">
                    <c:v>1.971668148725754E-2</c:v>
                  </c:pt>
                  <c:pt idx="5">
                    <c:v>2.7604047890436398E-2</c:v>
                  </c:pt>
                  <c:pt idx="6">
                    <c:v>7.5780813071240792E-3</c:v>
                  </c:pt>
                  <c:pt idx="7">
                    <c:v>2.3108006784074056E-2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#1926'!$W$58:$W$67</c:f>
              <c:numCache>
                <c:formatCode>0</c:formatCode>
                <c:ptCount val="10"/>
                <c:pt idx="0">
                  <c:v>0</c:v>
                </c:pt>
                <c:pt idx="1">
                  <c:v>47.766666666666666</c:v>
                </c:pt>
                <c:pt idx="2">
                  <c:v>95.383333333333326</c:v>
                </c:pt>
                <c:pt idx="3">
                  <c:v>145.11666666666667</c:v>
                </c:pt>
                <c:pt idx="4">
                  <c:v>240.25</c:v>
                </c:pt>
                <c:pt idx="5">
                  <c:v>289.31666666666666</c:v>
                </c:pt>
                <c:pt idx="6">
                  <c:v>336.56666666666666</c:v>
                </c:pt>
                <c:pt idx="7">
                  <c:v>384.9</c:v>
                </c:pt>
              </c:numCache>
            </c:numRef>
          </c:xVal>
          <c:yVal>
            <c:numRef>
              <c:f>'Nitrate content UTEX #1926'!$X$58:$X$67</c:f>
              <c:numCache>
                <c:formatCode>0.000</c:formatCode>
                <c:ptCount val="10"/>
                <c:pt idx="0">
                  <c:v>1.5334832</c:v>
                </c:pt>
                <c:pt idx="1">
                  <c:v>1.6147112698412698</c:v>
                </c:pt>
                <c:pt idx="2">
                  <c:v>1.2762776401058202</c:v>
                </c:pt>
                <c:pt idx="3">
                  <c:v>1.1962701271957672</c:v>
                </c:pt>
                <c:pt idx="4">
                  <c:v>0.89574086666666675</c:v>
                </c:pt>
                <c:pt idx="5">
                  <c:v>0.77893030547619058</c:v>
                </c:pt>
                <c:pt idx="6">
                  <c:v>0.71173165222222223</c:v>
                </c:pt>
                <c:pt idx="7">
                  <c:v>0.64562396031746039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ED-074C-9FC8-B2AE0A8C4EB2}"/>
            </c:ext>
          </c:extLst>
        </c:ser>
        <c:ser>
          <c:idx val="3"/>
          <c:order val="3"/>
          <c:tx>
            <c:strRef>
              <c:f>'Nitrate content UTEX #1926'!$B$83:$U$83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4"/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'Nitrate content UTEX #1926'!$W$85:$W$92</c:f>
              <c:numCache>
                <c:formatCode>0</c:formatCode>
                <c:ptCount val="8"/>
                <c:pt idx="0">
                  <c:v>0</c:v>
                </c:pt>
                <c:pt idx="1">
                  <c:v>47.766666666666666</c:v>
                </c:pt>
                <c:pt idx="2">
                  <c:v>95.383333333333326</c:v>
                </c:pt>
                <c:pt idx="3">
                  <c:v>145.11666666666667</c:v>
                </c:pt>
                <c:pt idx="4">
                  <c:v>240.25</c:v>
                </c:pt>
                <c:pt idx="5">
                  <c:v>289.31666666666666</c:v>
                </c:pt>
                <c:pt idx="6">
                  <c:v>336.56666666666666</c:v>
                </c:pt>
                <c:pt idx="7">
                  <c:v>384.9</c:v>
                </c:pt>
              </c:numCache>
            </c:numRef>
          </c:xVal>
          <c:yVal>
            <c:numRef>
              <c:f>'Nitrate content UTEX #1926'!$X$85:$X$92</c:f>
              <c:numCache>
                <c:formatCode>0.000</c:formatCode>
                <c:ptCount val="8"/>
                <c:pt idx="0">
                  <c:v>1.5354229969523809</c:v>
                </c:pt>
                <c:pt idx="1">
                  <c:v>1.6174306661111109</c:v>
                </c:pt>
                <c:pt idx="2">
                  <c:v>1.2745629677777777</c:v>
                </c:pt>
                <c:pt idx="3">
                  <c:v>1.1947420469841268</c:v>
                </c:pt>
                <c:pt idx="4">
                  <c:v>0.89779833666666653</c:v>
                </c:pt>
                <c:pt idx="5">
                  <c:v>0.7709151176984127</c:v>
                </c:pt>
                <c:pt idx="6">
                  <c:v>0.66933062476190475</c:v>
                </c:pt>
                <c:pt idx="7">
                  <c:v>0.59210997658730147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ED-074C-9FC8-B2AE0A8C4E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CeBER'!$M$5:$M$25</c:f>
                <c:numCache>
                  <c:formatCode>General</c:formatCode>
                  <c:ptCount val="21"/>
                  <c:pt idx="0">
                    <c:v>2.877933333333328E-3</c:v>
                  </c:pt>
                  <c:pt idx="1">
                    <c:v>2.9647246287715216E-3</c:v>
                  </c:pt>
                  <c:pt idx="2">
                    <c:v>7.5361984828780475E-3</c:v>
                  </c:pt>
                  <c:pt idx="3">
                    <c:v>2.2890935217048506E-3</c:v>
                  </c:pt>
                  <c:pt idx="4">
                    <c:v>6.3293172154137772E-3</c:v>
                  </c:pt>
                  <c:pt idx="5">
                    <c:v>7.0254494796497743E-3</c:v>
                  </c:pt>
                  <c:pt idx="6">
                    <c:v>1.0633977773784069E-2</c:v>
                  </c:pt>
                  <c:pt idx="7">
                    <c:v>7.8761816081426329E-3</c:v>
                  </c:pt>
                  <c:pt idx="8">
                    <c:v>6.7930375130226669E-3</c:v>
                  </c:pt>
                  <c:pt idx="9">
                    <c:v>2.5018400780847536E-2</c:v>
                  </c:pt>
                  <c:pt idx="10">
                    <c:v>1.4869164336079309E-2</c:v>
                  </c:pt>
                  <c:pt idx="11">
                    <c:v>1.5859305131478294E-2</c:v>
                  </c:pt>
                  <c:pt idx="12">
                    <c:v>7.536198482878018E-3</c:v>
                  </c:pt>
                  <c:pt idx="13">
                    <c:v>4.3595645038161025E-2</c:v>
                  </c:pt>
                  <c:pt idx="14">
                    <c:v>8.9909511535790632E-2</c:v>
                  </c:pt>
                  <c:pt idx="15">
                    <c:v>5.1978701355074278E-2</c:v>
                  </c:pt>
                  <c:pt idx="16">
                    <c:v>0.12697032803444014</c:v>
                  </c:pt>
                  <c:pt idx="17">
                    <c:v>0.19260006037133001</c:v>
                  </c:pt>
                  <c:pt idx="18">
                    <c:v>0.14277163674574089</c:v>
                  </c:pt>
                  <c:pt idx="19">
                    <c:v>0.18801159249408006</c:v>
                  </c:pt>
                  <c:pt idx="20">
                    <c:v>0.15258974257024385</c:v>
                  </c:pt>
                </c:numCache>
              </c:numRef>
            </c:plus>
            <c:minus>
              <c:numRef>
                <c:f>'Growth curves CeBER'!$M$5:$M$25</c:f>
                <c:numCache>
                  <c:formatCode>General</c:formatCode>
                  <c:ptCount val="21"/>
                  <c:pt idx="0">
                    <c:v>2.877933333333328E-3</c:v>
                  </c:pt>
                  <c:pt idx="1">
                    <c:v>2.9647246287715216E-3</c:v>
                  </c:pt>
                  <c:pt idx="2">
                    <c:v>7.5361984828780475E-3</c:v>
                  </c:pt>
                  <c:pt idx="3">
                    <c:v>2.2890935217048506E-3</c:v>
                  </c:pt>
                  <c:pt idx="4">
                    <c:v>6.3293172154137772E-3</c:v>
                  </c:pt>
                  <c:pt idx="5">
                    <c:v>7.0254494796497743E-3</c:v>
                  </c:pt>
                  <c:pt idx="6">
                    <c:v>1.0633977773784069E-2</c:v>
                  </c:pt>
                  <c:pt idx="7">
                    <c:v>7.8761816081426329E-3</c:v>
                  </c:pt>
                  <c:pt idx="8">
                    <c:v>6.7930375130226669E-3</c:v>
                  </c:pt>
                  <c:pt idx="9">
                    <c:v>2.5018400780847536E-2</c:v>
                  </c:pt>
                  <c:pt idx="10">
                    <c:v>1.4869164336079309E-2</c:v>
                  </c:pt>
                  <c:pt idx="11">
                    <c:v>1.5859305131478294E-2</c:v>
                  </c:pt>
                  <c:pt idx="12">
                    <c:v>7.536198482878018E-3</c:v>
                  </c:pt>
                  <c:pt idx="13">
                    <c:v>4.3595645038161025E-2</c:v>
                  </c:pt>
                  <c:pt idx="14">
                    <c:v>8.9909511535790632E-2</c:v>
                  </c:pt>
                  <c:pt idx="15">
                    <c:v>5.1978701355074278E-2</c:v>
                  </c:pt>
                  <c:pt idx="16">
                    <c:v>0.12697032803444014</c:v>
                  </c:pt>
                  <c:pt idx="17">
                    <c:v>0.19260006037133001</c:v>
                  </c:pt>
                  <c:pt idx="18">
                    <c:v>0.14277163674574089</c:v>
                  </c:pt>
                  <c:pt idx="19">
                    <c:v>0.18801159249408006</c:v>
                  </c:pt>
                  <c:pt idx="20">
                    <c:v>0.15258974257024385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CeBER'!$D$5:$D$25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2.9666666666666668</c:v>
                </c:pt>
                <c:pt idx="2">
                  <c:v>5.3000000000000007</c:v>
                </c:pt>
                <c:pt idx="3">
                  <c:v>10</c:v>
                </c:pt>
                <c:pt idx="4">
                  <c:v>22.516666666666666</c:v>
                </c:pt>
                <c:pt idx="5">
                  <c:v>25.566666666666666</c:v>
                </c:pt>
                <c:pt idx="6">
                  <c:v>29.716666666666669</c:v>
                </c:pt>
                <c:pt idx="7">
                  <c:v>47.5</c:v>
                </c:pt>
                <c:pt idx="8">
                  <c:v>70.783333333333331</c:v>
                </c:pt>
                <c:pt idx="9">
                  <c:v>94.933333333333337</c:v>
                </c:pt>
                <c:pt idx="10">
                  <c:v>120.41666666666667</c:v>
                </c:pt>
                <c:pt idx="11">
                  <c:v>144.66666666666669</c:v>
                </c:pt>
                <c:pt idx="12">
                  <c:v>166.70000000000002</c:v>
                </c:pt>
                <c:pt idx="13">
                  <c:v>214.98333333333335</c:v>
                </c:pt>
                <c:pt idx="14">
                  <c:v>240.01666666666668</c:v>
                </c:pt>
                <c:pt idx="15">
                  <c:v>288.88333333333333</c:v>
                </c:pt>
                <c:pt idx="16">
                  <c:v>312.91666666666669</c:v>
                </c:pt>
                <c:pt idx="17">
                  <c:v>336.16666666666669</c:v>
                </c:pt>
                <c:pt idx="18">
                  <c:v>359.05</c:v>
                </c:pt>
                <c:pt idx="19">
                  <c:v>384.48333333333335</c:v>
                </c:pt>
                <c:pt idx="20">
                  <c:v>408.03333333333336</c:v>
                </c:pt>
              </c:numCache>
            </c:numRef>
          </c:xVal>
          <c:yVal>
            <c:numRef>
              <c:f>'Growth curves CeBER'!$L$5:$L$25</c:f>
              <c:numCache>
                <c:formatCode>0.000</c:formatCode>
                <c:ptCount val="21"/>
                <c:pt idx="0">
                  <c:v>0.12251773333333334</c:v>
                </c:pt>
                <c:pt idx="1">
                  <c:v>0.14266326666666668</c:v>
                </c:pt>
                <c:pt idx="2">
                  <c:v>0.16527559999999999</c:v>
                </c:pt>
                <c:pt idx="3">
                  <c:v>0.20309986666666668</c:v>
                </c:pt>
                <c:pt idx="4">
                  <c:v>0.28738219999999998</c:v>
                </c:pt>
                <c:pt idx="5">
                  <c:v>0.30423866666666671</c:v>
                </c:pt>
                <c:pt idx="6">
                  <c:v>0.32931780000000005</c:v>
                </c:pt>
                <c:pt idx="7">
                  <c:v>0.50857193333333339</c:v>
                </c:pt>
                <c:pt idx="8">
                  <c:v>0.7018046</c:v>
                </c:pt>
                <c:pt idx="9">
                  <c:v>0.90572673333333331</c:v>
                </c:pt>
                <c:pt idx="10">
                  <c:v>1.2815026</c:v>
                </c:pt>
                <c:pt idx="11">
                  <c:v>1.5368164</c:v>
                </c:pt>
                <c:pt idx="12">
                  <c:v>1.8229651999999998</c:v>
                </c:pt>
                <c:pt idx="13">
                  <c:v>2.3335927999999999</c:v>
                </c:pt>
                <c:pt idx="14">
                  <c:v>2.618097066666667</c:v>
                </c:pt>
                <c:pt idx="15">
                  <c:v>3.1180352</c:v>
                </c:pt>
                <c:pt idx="16">
                  <c:v>3.4140512000000007</c:v>
                </c:pt>
                <c:pt idx="17">
                  <c:v>3.5768599999999999</c:v>
                </c:pt>
                <c:pt idx="18">
                  <c:v>3.7857157333333333</c:v>
                </c:pt>
                <c:pt idx="19">
                  <c:v>3.8186064000000002</c:v>
                </c:pt>
                <c:pt idx="20">
                  <c:v>3.9345459999999997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FA-F748-AAFC-4BAED9B970B6}"/>
            </c:ext>
          </c:extLst>
        </c:ser>
        <c:ser>
          <c:idx val="1"/>
          <c:order val="1"/>
          <c:tx>
            <c:strRef>
              <c:f>'Growth curves CeBER'!$B$26:$AB$26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CeBER'!$T$29:$T$50</c:f>
                <c:numCache>
                  <c:formatCode>General</c:formatCode>
                  <c:ptCount val="22"/>
                  <c:pt idx="1">
                    <c:v>3.7186315315087537E-2</c:v>
                  </c:pt>
                  <c:pt idx="2">
                    <c:v>2.406525873181083E-2</c:v>
                  </c:pt>
                  <c:pt idx="3">
                    <c:v>5.036852607992922E-2</c:v>
                  </c:pt>
                  <c:pt idx="4">
                    <c:v>2.6540609688555386E-2</c:v>
                  </c:pt>
                  <c:pt idx="5">
                    <c:v>1.2237673053090502E-2</c:v>
                  </c:pt>
                  <c:pt idx="6">
                    <c:v>2.3819957873460067E-2</c:v>
                  </c:pt>
                  <c:pt idx="7">
                    <c:v>1.3756175026379802E-2</c:v>
                  </c:pt>
                  <c:pt idx="8">
                    <c:v>1.9907448169562827E-2</c:v>
                  </c:pt>
                  <c:pt idx="9">
                    <c:v>1.1193726025644175E-2</c:v>
                  </c:pt>
                  <c:pt idx="10">
                    <c:v>1.2756353949068974E-2</c:v>
                  </c:pt>
                  <c:pt idx="11">
                    <c:v>9.2141980555472507E-3</c:v>
                  </c:pt>
                  <c:pt idx="12">
                    <c:v>5.6409850198519511E-3</c:v>
                  </c:pt>
                  <c:pt idx="13">
                    <c:v>2.2424492184440806E-3</c:v>
                  </c:pt>
                  <c:pt idx="14">
                    <c:v>3.1959358429961495E-3</c:v>
                  </c:pt>
                  <c:pt idx="15">
                    <c:v>1.3470606625851003E-3</c:v>
                  </c:pt>
                  <c:pt idx="16">
                    <c:v>8.3873767626547384E-4</c:v>
                  </c:pt>
                  <c:pt idx="17">
                    <c:v>2.257468989916642E-3</c:v>
                  </c:pt>
                  <c:pt idx="18">
                    <c:v>1.0981815438500591E-3</c:v>
                  </c:pt>
                  <c:pt idx="19">
                    <c:v>-7.260399836129483E-4</c:v>
                  </c:pt>
                  <c:pt idx="20">
                    <c:v>1.5013795502019994E-3</c:v>
                  </c:pt>
                  <c:pt idx="21">
                    <c:v>1.6514170127424435E-3</c:v>
                  </c:pt>
                </c:numCache>
              </c:numRef>
            </c:plus>
            <c:minus>
              <c:numRef>
                <c:f>'Growth curves CeBER'!$T$29:$T$50</c:f>
                <c:numCache>
                  <c:formatCode>General</c:formatCode>
                  <c:ptCount val="22"/>
                  <c:pt idx="1">
                    <c:v>3.7186315315087537E-2</c:v>
                  </c:pt>
                  <c:pt idx="2">
                    <c:v>2.406525873181083E-2</c:v>
                  </c:pt>
                  <c:pt idx="3">
                    <c:v>5.036852607992922E-2</c:v>
                  </c:pt>
                  <c:pt idx="4">
                    <c:v>2.6540609688555386E-2</c:v>
                  </c:pt>
                  <c:pt idx="5">
                    <c:v>1.2237673053090502E-2</c:v>
                  </c:pt>
                  <c:pt idx="6">
                    <c:v>2.3819957873460067E-2</c:v>
                  </c:pt>
                  <c:pt idx="7">
                    <c:v>1.3756175026379802E-2</c:v>
                  </c:pt>
                  <c:pt idx="8">
                    <c:v>1.9907448169562827E-2</c:v>
                  </c:pt>
                  <c:pt idx="9">
                    <c:v>1.1193726025644175E-2</c:v>
                  </c:pt>
                  <c:pt idx="10">
                    <c:v>1.2756353949068974E-2</c:v>
                  </c:pt>
                  <c:pt idx="11">
                    <c:v>9.2141980555472507E-3</c:v>
                  </c:pt>
                  <c:pt idx="12">
                    <c:v>5.6409850198519511E-3</c:v>
                  </c:pt>
                  <c:pt idx="13">
                    <c:v>2.2424492184440806E-3</c:v>
                  </c:pt>
                  <c:pt idx="14">
                    <c:v>3.1959358429961495E-3</c:v>
                  </c:pt>
                  <c:pt idx="15">
                    <c:v>1.3470606625851003E-3</c:v>
                  </c:pt>
                  <c:pt idx="16">
                    <c:v>8.3873767626547384E-4</c:v>
                  </c:pt>
                  <c:pt idx="17">
                    <c:v>2.257468989916642E-3</c:v>
                  </c:pt>
                  <c:pt idx="18">
                    <c:v>1.0981815438500591E-3</c:v>
                  </c:pt>
                  <c:pt idx="19">
                    <c:v>-7.260399836129483E-4</c:v>
                  </c:pt>
                  <c:pt idx="20">
                    <c:v>1.5013795502019994E-3</c:v>
                  </c:pt>
                  <c:pt idx="21">
                    <c:v>1.6514170127424435E-3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CeBER'!$D$29:$D$50</c:f>
              <c:numCache>
                <c:formatCode>0</c:formatCode>
                <c:ptCount val="22"/>
                <c:pt idx="0" formatCode="General">
                  <c:v>0</c:v>
                </c:pt>
                <c:pt idx="1">
                  <c:v>4</c:v>
                </c:pt>
                <c:pt idx="2">
                  <c:v>6.3</c:v>
                </c:pt>
                <c:pt idx="3">
                  <c:v>11.033333333333333</c:v>
                </c:pt>
                <c:pt idx="4">
                  <c:v>23.383333333333333</c:v>
                </c:pt>
                <c:pt idx="5">
                  <c:v>26.533333333333331</c:v>
                </c:pt>
                <c:pt idx="6">
                  <c:v>30.566666666666663</c:v>
                </c:pt>
                <c:pt idx="7">
                  <c:v>48.216666666666661</c:v>
                </c:pt>
                <c:pt idx="8">
                  <c:v>71.599999999999994</c:v>
                </c:pt>
                <c:pt idx="9">
                  <c:v>95.73333333333332</c:v>
                </c:pt>
                <c:pt idx="10">
                  <c:v>121.39999999999999</c:v>
                </c:pt>
                <c:pt idx="11">
                  <c:v>145.54999999999998</c:v>
                </c:pt>
                <c:pt idx="12">
                  <c:v>167.6</c:v>
                </c:pt>
                <c:pt idx="13">
                  <c:v>189.23333333333332</c:v>
                </c:pt>
                <c:pt idx="14">
                  <c:v>216.35</c:v>
                </c:pt>
                <c:pt idx="15">
                  <c:v>240.6</c:v>
                </c:pt>
                <c:pt idx="16">
                  <c:v>289.68333333333334</c:v>
                </c:pt>
                <c:pt idx="17">
                  <c:v>313.7166666666667</c:v>
                </c:pt>
                <c:pt idx="18">
                  <c:v>336.95000000000005</c:v>
                </c:pt>
                <c:pt idx="19">
                  <c:v>359.76666666666671</c:v>
                </c:pt>
                <c:pt idx="20">
                  <c:v>385.23333333333335</c:v>
                </c:pt>
                <c:pt idx="21">
                  <c:v>408.78333333333336</c:v>
                </c:pt>
              </c:numCache>
            </c:numRef>
          </c:xVal>
          <c:yVal>
            <c:numRef>
              <c:f>'Growth curves CeBER'!$L$29:$L$50</c:f>
              <c:numCache>
                <c:formatCode>0.000</c:formatCode>
                <c:ptCount val="22"/>
                <c:pt idx="0">
                  <c:v>0.1245734</c:v>
                </c:pt>
                <c:pt idx="1">
                  <c:v>0.15253046666666667</c:v>
                </c:pt>
                <c:pt idx="2">
                  <c:v>0.1628088</c:v>
                </c:pt>
                <c:pt idx="3">
                  <c:v>0.20309986666666668</c:v>
                </c:pt>
                <c:pt idx="4">
                  <c:v>0.28820446666666671</c:v>
                </c:pt>
                <c:pt idx="5">
                  <c:v>0.30629433333333339</c:v>
                </c:pt>
                <c:pt idx="6">
                  <c:v>0.3120502</c:v>
                </c:pt>
                <c:pt idx="7">
                  <c:v>0.42387846666666668</c:v>
                </c:pt>
                <c:pt idx="8">
                  <c:v>0.69604873333333339</c:v>
                </c:pt>
                <c:pt idx="9">
                  <c:v>0.90243766666666669</c:v>
                </c:pt>
                <c:pt idx="10">
                  <c:v>1.1968091333333333</c:v>
                </c:pt>
                <c:pt idx="11">
                  <c:v>1.509270466666667</c:v>
                </c:pt>
                <c:pt idx="12">
                  <c:v>1.7341604000000004</c:v>
                </c:pt>
                <c:pt idx="13">
                  <c:v>1.8311878666666666</c:v>
                </c:pt>
                <c:pt idx="14">
                  <c:v>1.9652173333333334</c:v>
                </c:pt>
                <c:pt idx="15">
                  <c:v>2.0433326666666667</c:v>
                </c:pt>
                <c:pt idx="16">
                  <c:v>2.1609168000000003</c:v>
                </c:pt>
                <c:pt idx="17">
                  <c:v>2.2571220000000003</c:v>
                </c:pt>
                <c:pt idx="18">
                  <c:v>2.3434600000000003</c:v>
                </c:pt>
                <c:pt idx="19">
                  <c:v>2.361549866666667</c:v>
                </c:pt>
                <c:pt idx="20">
                  <c:v>2.4610441333333335</c:v>
                </c:pt>
                <c:pt idx="21">
                  <c:v>2.5301145333333337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FFA-F748-AAFC-4BAED9B970B6}"/>
            </c:ext>
          </c:extLst>
        </c:ser>
        <c:ser>
          <c:idx val="2"/>
          <c:order val="2"/>
          <c:tx>
            <c:strRef>
              <c:f>'Growth curves CeBER'!$B$51:$AB$51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CeBER'!$M$54:$M$74</c:f>
                <c:numCache>
                  <c:formatCode>General</c:formatCode>
                  <c:ptCount val="21"/>
                  <c:pt idx="0">
                    <c:v>7.121038220184859E-4</c:v>
                  </c:pt>
                  <c:pt idx="1">
                    <c:v>3.2890666666666735E-3</c:v>
                  </c:pt>
                  <c:pt idx="2">
                    <c:v>5.3447333333333305E-3</c:v>
                  </c:pt>
                  <c:pt idx="3">
                    <c:v>5.8288209934199715E-3</c:v>
                  </c:pt>
                  <c:pt idx="4">
                    <c:v>4.1725476187949185E-3</c:v>
                  </c:pt>
                  <c:pt idx="5">
                    <c:v>3.6542329981056835E-3</c:v>
                  </c:pt>
                  <c:pt idx="6">
                    <c:v>3.2110539834210947E-3</c:v>
                  </c:pt>
                  <c:pt idx="7">
                    <c:v>9.0729218478822031E-3</c:v>
                  </c:pt>
                  <c:pt idx="8">
                    <c:v>1.7326233785024792E-2</c:v>
                  </c:pt>
                  <c:pt idx="9">
                    <c:v>2.5718024950692569E-2</c:v>
                  </c:pt>
                  <c:pt idx="10">
                    <c:v>4.0591999976568954E-2</c:v>
                  </c:pt>
                  <c:pt idx="11">
                    <c:v>5.2764602769449324E-2</c:v>
                  </c:pt>
                  <c:pt idx="12">
                    <c:v>3.5148894510891489E-2</c:v>
                  </c:pt>
                  <c:pt idx="13">
                    <c:v>4.1506144802801362E-2</c:v>
                  </c:pt>
                  <c:pt idx="14">
                    <c:v>6.694280946094526E-2</c:v>
                  </c:pt>
                  <c:pt idx="15">
                    <c:v>9.1253078601241877E-2</c:v>
                  </c:pt>
                  <c:pt idx="16">
                    <c:v>1.4050898959299519E-2</c:v>
                  </c:pt>
                  <c:pt idx="17">
                    <c:v>6.4974677449124552E-2</c:v>
                  </c:pt>
                  <c:pt idx="18">
                    <c:v>0.10559645729646633</c:v>
                  </c:pt>
                  <c:pt idx="19">
                    <c:v>7.8348681643137866E-2</c:v>
                  </c:pt>
                  <c:pt idx="20">
                    <c:v>7.9772581117184604E-2</c:v>
                  </c:pt>
                </c:numCache>
              </c:numRef>
            </c:plus>
            <c:minus>
              <c:numRef>
                <c:f>'Growth curves CeBER'!$M$54:$M$74</c:f>
                <c:numCache>
                  <c:formatCode>General</c:formatCode>
                  <c:ptCount val="21"/>
                  <c:pt idx="0">
                    <c:v>7.121038220184859E-4</c:v>
                  </c:pt>
                  <c:pt idx="1">
                    <c:v>3.2890666666666735E-3</c:v>
                  </c:pt>
                  <c:pt idx="2">
                    <c:v>5.3447333333333305E-3</c:v>
                  </c:pt>
                  <c:pt idx="3">
                    <c:v>5.8288209934199715E-3</c:v>
                  </c:pt>
                  <c:pt idx="4">
                    <c:v>4.1725476187949185E-3</c:v>
                  </c:pt>
                  <c:pt idx="5">
                    <c:v>3.6542329981056835E-3</c:v>
                  </c:pt>
                  <c:pt idx="6">
                    <c:v>3.2110539834210947E-3</c:v>
                  </c:pt>
                  <c:pt idx="7">
                    <c:v>9.0729218478822031E-3</c:v>
                  </c:pt>
                  <c:pt idx="8">
                    <c:v>1.7326233785024792E-2</c:v>
                  </c:pt>
                  <c:pt idx="9">
                    <c:v>2.5718024950692569E-2</c:v>
                  </c:pt>
                  <c:pt idx="10">
                    <c:v>4.0591999976568954E-2</c:v>
                  </c:pt>
                  <c:pt idx="11">
                    <c:v>5.2764602769449324E-2</c:v>
                  </c:pt>
                  <c:pt idx="12">
                    <c:v>3.5148894510891489E-2</c:v>
                  </c:pt>
                  <c:pt idx="13">
                    <c:v>4.1506144802801362E-2</c:v>
                  </c:pt>
                  <c:pt idx="14">
                    <c:v>6.694280946094526E-2</c:v>
                  </c:pt>
                  <c:pt idx="15">
                    <c:v>9.1253078601241877E-2</c:v>
                  </c:pt>
                  <c:pt idx="16">
                    <c:v>1.4050898959299519E-2</c:v>
                  </c:pt>
                  <c:pt idx="17">
                    <c:v>6.4974677449124552E-2</c:v>
                  </c:pt>
                  <c:pt idx="18">
                    <c:v>0.10559645729646633</c:v>
                  </c:pt>
                  <c:pt idx="19">
                    <c:v>7.8348681643137866E-2</c:v>
                  </c:pt>
                  <c:pt idx="20">
                    <c:v>7.9772581117184604E-2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CeBER'!$D$54:$D$74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3.5</c:v>
                </c:pt>
                <c:pt idx="2">
                  <c:v>5.8</c:v>
                </c:pt>
                <c:pt idx="3">
                  <c:v>10.533333333333333</c:v>
                </c:pt>
                <c:pt idx="4">
                  <c:v>22.966666666666669</c:v>
                </c:pt>
                <c:pt idx="5">
                  <c:v>26.266666666666669</c:v>
                </c:pt>
                <c:pt idx="6">
                  <c:v>30.06666666666667</c:v>
                </c:pt>
                <c:pt idx="7">
                  <c:v>47.766666666666666</c:v>
                </c:pt>
                <c:pt idx="8">
                  <c:v>71.5</c:v>
                </c:pt>
                <c:pt idx="9">
                  <c:v>95.383333333333326</c:v>
                </c:pt>
                <c:pt idx="10">
                  <c:v>120.93333333333332</c:v>
                </c:pt>
                <c:pt idx="11">
                  <c:v>145.11666666666665</c:v>
                </c:pt>
                <c:pt idx="12">
                  <c:v>167.18333333333331</c:v>
                </c:pt>
                <c:pt idx="13">
                  <c:v>215.68333333333331</c:v>
                </c:pt>
                <c:pt idx="14">
                  <c:v>240.24999999999997</c:v>
                </c:pt>
                <c:pt idx="15">
                  <c:v>289.31666666666666</c:v>
                </c:pt>
                <c:pt idx="16">
                  <c:v>313.33333333333331</c:v>
                </c:pt>
                <c:pt idx="17">
                  <c:v>336.56666666666666</c:v>
                </c:pt>
                <c:pt idx="18">
                  <c:v>359.45</c:v>
                </c:pt>
                <c:pt idx="19">
                  <c:v>384.9</c:v>
                </c:pt>
                <c:pt idx="20">
                  <c:v>408.43333333333328</c:v>
                </c:pt>
              </c:numCache>
            </c:numRef>
          </c:xVal>
          <c:yVal>
            <c:numRef>
              <c:f>'Growth curves CeBER'!$L$54:$L$74</c:f>
              <c:numCache>
                <c:formatCode>0.000</c:formatCode>
                <c:ptCount val="21"/>
                <c:pt idx="0">
                  <c:v>0.12334000000000001</c:v>
                </c:pt>
                <c:pt idx="1">
                  <c:v>0.16198653333333335</c:v>
                </c:pt>
                <c:pt idx="2">
                  <c:v>0.17596506666666667</c:v>
                </c:pt>
                <c:pt idx="3">
                  <c:v>0.20104420000000001</c:v>
                </c:pt>
                <c:pt idx="4">
                  <c:v>0.30752773333333333</c:v>
                </c:pt>
                <c:pt idx="5">
                  <c:v>0.31040566666666669</c:v>
                </c:pt>
                <c:pt idx="6">
                  <c:v>0.3400072666666667</c:v>
                </c:pt>
                <c:pt idx="7">
                  <c:v>0.52090593333333324</c:v>
                </c:pt>
                <c:pt idx="8">
                  <c:v>0.74004000000000003</c:v>
                </c:pt>
                <c:pt idx="9">
                  <c:v>0.94437326666666666</c:v>
                </c:pt>
                <c:pt idx="10">
                  <c:v>1.2773912666666667</c:v>
                </c:pt>
                <c:pt idx="11">
                  <c:v>1.5524394666666668</c:v>
                </c:pt>
                <c:pt idx="12">
                  <c:v>1.7756848666666667</c:v>
                </c:pt>
                <c:pt idx="13">
                  <c:v>2.4141749333333338</c:v>
                </c:pt>
                <c:pt idx="14">
                  <c:v>2.7940621333333335</c:v>
                </c:pt>
                <c:pt idx="15">
                  <c:v>3.3910277333333334</c:v>
                </c:pt>
                <c:pt idx="16">
                  <c:v>3.5193013333333334</c:v>
                </c:pt>
                <c:pt idx="17">
                  <c:v>3.594949866666667</c:v>
                </c:pt>
                <c:pt idx="18">
                  <c:v>3.5686373333333332</c:v>
                </c:pt>
                <c:pt idx="19">
                  <c:v>3.6007057333333337</c:v>
                </c:pt>
                <c:pt idx="20">
                  <c:v>3.6442858666666669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FFA-F748-AAFC-4BAED9B970B6}"/>
            </c:ext>
          </c:extLst>
        </c:ser>
        <c:ser>
          <c:idx val="3"/>
          <c:order val="3"/>
          <c:tx>
            <c:strRef>
              <c:f>'Growth curves CeBER'!$B$75:$AB$75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'Growth curves CeBER'!$D$78:$D$97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2.9666666666666668</c:v>
                </c:pt>
                <c:pt idx="2">
                  <c:v>5.3000000000000007</c:v>
                </c:pt>
                <c:pt idx="3">
                  <c:v>10</c:v>
                </c:pt>
                <c:pt idx="4">
                  <c:v>23.633333333333333</c:v>
                </c:pt>
                <c:pt idx="5">
                  <c:v>26.683333333333334</c:v>
                </c:pt>
                <c:pt idx="6">
                  <c:v>30.833333333333336</c:v>
                </c:pt>
                <c:pt idx="7">
                  <c:v>119.18333333333334</c:v>
                </c:pt>
                <c:pt idx="8">
                  <c:v>142</c:v>
                </c:pt>
                <c:pt idx="9">
                  <c:v>171</c:v>
                </c:pt>
                <c:pt idx="10">
                  <c:v>192.88333333333333</c:v>
                </c:pt>
                <c:pt idx="11">
                  <c:v>216.58333333333331</c:v>
                </c:pt>
                <c:pt idx="12">
                  <c:v>240.91666666666666</c:v>
                </c:pt>
                <c:pt idx="13">
                  <c:v>264.41666666666663</c:v>
                </c:pt>
                <c:pt idx="14">
                  <c:v>288.66666666666663</c:v>
                </c:pt>
                <c:pt idx="15">
                  <c:v>312.91666666666663</c:v>
                </c:pt>
                <c:pt idx="16">
                  <c:v>336.74999999999994</c:v>
                </c:pt>
                <c:pt idx="17">
                  <c:v>360.54999999999995</c:v>
                </c:pt>
                <c:pt idx="18">
                  <c:v>384.46666666666664</c:v>
                </c:pt>
                <c:pt idx="19">
                  <c:v>409.01666666666665</c:v>
                </c:pt>
              </c:numCache>
            </c:numRef>
          </c:xVal>
          <c:yVal>
            <c:numRef>
              <c:f>'Growth curves CeBER'!$L$78:$L$97</c:f>
              <c:numCache>
                <c:formatCode>0.000</c:formatCode>
                <c:ptCount val="20"/>
                <c:pt idx="0">
                  <c:v>0.12416226666666667</c:v>
                </c:pt>
                <c:pt idx="1">
                  <c:v>0.14266326666666668</c:v>
                </c:pt>
                <c:pt idx="2">
                  <c:v>0.16527559999999999</c:v>
                </c:pt>
                <c:pt idx="3">
                  <c:v>0.20309986666666668</c:v>
                </c:pt>
                <c:pt idx="4">
                  <c:v>0.28121520000000005</c:v>
                </c:pt>
                <c:pt idx="5">
                  <c:v>0.30423866666666671</c:v>
                </c:pt>
                <c:pt idx="6">
                  <c:v>0.32931780000000005</c:v>
                </c:pt>
                <c:pt idx="7">
                  <c:v>1.2815026</c:v>
                </c:pt>
                <c:pt idx="8">
                  <c:v>1.5368164</c:v>
                </c:pt>
                <c:pt idx="9">
                  <c:v>1.7460832666666668</c:v>
                </c:pt>
                <c:pt idx="10">
                  <c:v>2.0721120000000002</c:v>
                </c:pt>
                <c:pt idx="11">
                  <c:v>2.2209422666666665</c:v>
                </c:pt>
                <c:pt idx="12">
                  <c:v>2.4906457333333334</c:v>
                </c:pt>
                <c:pt idx="13">
                  <c:v>2.9938729333333334</c:v>
                </c:pt>
                <c:pt idx="14">
                  <c:v>3.1640821333333338</c:v>
                </c:pt>
                <c:pt idx="15">
                  <c:v>3.3285354666666667</c:v>
                </c:pt>
                <c:pt idx="16">
                  <c:v>3.4354301333333335</c:v>
                </c:pt>
                <c:pt idx="17">
                  <c:v>3.6204401333333336</c:v>
                </c:pt>
                <c:pt idx="18">
                  <c:v>3.6763542666666669</c:v>
                </c:pt>
                <c:pt idx="19">
                  <c:v>3.8247734000000002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FFA-F748-AAFC-4BAED9B970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#1926'!$R$5:$R$25</c:f>
                <c:numCache>
                  <c:formatCode>General</c:formatCode>
                  <c:ptCount val="21"/>
                  <c:pt idx="0">
                    <c:v>2.0577335809051276E-2</c:v>
                  </c:pt>
                  <c:pt idx="1">
                    <c:v>3.7062170357127923E-2</c:v>
                  </c:pt>
                  <c:pt idx="2">
                    <c:v>4.9020491298984821E-3</c:v>
                  </c:pt>
                  <c:pt idx="3">
                    <c:v>1.4347427574316177E-2</c:v>
                  </c:pt>
                  <c:pt idx="4">
                    <c:v>1.4839214650879066E-2</c:v>
                  </c:pt>
                  <c:pt idx="5">
                    <c:v>3.0873479504343434E-2</c:v>
                  </c:pt>
                  <c:pt idx="6">
                    <c:v>3.2025698383977751E-2</c:v>
                  </c:pt>
                  <c:pt idx="7">
                    <c:v>3.4869903986022778E-2</c:v>
                  </c:pt>
                  <c:pt idx="8">
                    <c:v>2.7205287688568659E-2</c:v>
                  </c:pt>
                  <c:pt idx="9">
                    <c:v>1.3616498562620757E-2</c:v>
                  </c:pt>
                  <c:pt idx="10">
                    <c:v>2.212143772916959E-2</c:v>
                  </c:pt>
                  <c:pt idx="11">
                    <c:v>3.4576095233883462E-2</c:v>
                  </c:pt>
                  <c:pt idx="12">
                    <c:v>2.1812552859313637E-2</c:v>
                  </c:pt>
                  <c:pt idx="13">
                    <c:v>3.5046984195817532E-2</c:v>
                  </c:pt>
                  <c:pt idx="14">
                    <c:v>1.8190633650745452E-2</c:v>
                  </c:pt>
                  <c:pt idx="15">
                    <c:v>2.59981268522676E-2</c:v>
                  </c:pt>
                  <c:pt idx="16">
                    <c:v>2.9413971766844144E-2</c:v>
                  </c:pt>
                  <c:pt idx="17">
                    <c:v>6.6824429792016166E-2</c:v>
                  </c:pt>
                  <c:pt idx="18">
                    <c:v>2.2005043075697735E-2</c:v>
                  </c:pt>
                  <c:pt idx="19">
                    <c:v>5.1882753269235013E-2</c:v>
                  </c:pt>
                  <c:pt idx="20">
                    <c:v>9.039433283325295E-3</c:v>
                  </c:pt>
                </c:numCache>
              </c:numRef>
            </c:plus>
            <c:minus>
              <c:numRef>
                <c:f>'Growth curves UTEX #1926'!$R$5:$R$25</c:f>
                <c:numCache>
                  <c:formatCode>General</c:formatCode>
                  <c:ptCount val="21"/>
                  <c:pt idx="0">
                    <c:v>2.0577335809051276E-2</c:v>
                  </c:pt>
                  <c:pt idx="1">
                    <c:v>3.7062170357127923E-2</c:v>
                  </c:pt>
                  <c:pt idx="2">
                    <c:v>4.9020491298984821E-3</c:v>
                  </c:pt>
                  <c:pt idx="3">
                    <c:v>1.4347427574316177E-2</c:v>
                  </c:pt>
                  <c:pt idx="4">
                    <c:v>1.4839214650879066E-2</c:v>
                  </c:pt>
                  <c:pt idx="5">
                    <c:v>3.0873479504343434E-2</c:v>
                  </c:pt>
                  <c:pt idx="6">
                    <c:v>3.2025698383977751E-2</c:v>
                  </c:pt>
                  <c:pt idx="7">
                    <c:v>3.4869903986022778E-2</c:v>
                  </c:pt>
                  <c:pt idx="8">
                    <c:v>2.7205287688568659E-2</c:v>
                  </c:pt>
                  <c:pt idx="9">
                    <c:v>1.3616498562620757E-2</c:v>
                  </c:pt>
                  <c:pt idx="10">
                    <c:v>2.212143772916959E-2</c:v>
                  </c:pt>
                  <c:pt idx="11">
                    <c:v>3.4576095233883462E-2</c:v>
                  </c:pt>
                  <c:pt idx="12">
                    <c:v>2.1812552859313637E-2</c:v>
                  </c:pt>
                  <c:pt idx="13">
                    <c:v>3.5046984195817532E-2</c:v>
                  </c:pt>
                  <c:pt idx="14">
                    <c:v>1.8190633650745452E-2</c:v>
                  </c:pt>
                  <c:pt idx="15">
                    <c:v>2.59981268522676E-2</c:v>
                  </c:pt>
                  <c:pt idx="16">
                    <c:v>2.9413971766844144E-2</c:v>
                  </c:pt>
                  <c:pt idx="17">
                    <c:v>6.6824429792016166E-2</c:v>
                  </c:pt>
                  <c:pt idx="18">
                    <c:v>2.2005043075697735E-2</c:v>
                  </c:pt>
                  <c:pt idx="19">
                    <c:v>5.1882753269235013E-2</c:v>
                  </c:pt>
                  <c:pt idx="20">
                    <c:v>9.039433283325295E-3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#1926'!$D$5:$D$25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2.9666666666666668</c:v>
                </c:pt>
                <c:pt idx="2">
                  <c:v>5.3000000000000007</c:v>
                </c:pt>
                <c:pt idx="3">
                  <c:v>10</c:v>
                </c:pt>
                <c:pt idx="4">
                  <c:v>22.516666666666666</c:v>
                </c:pt>
                <c:pt idx="5">
                  <c:v>25.566666666666666</c:v>
                </c:pt>
                <c:pt idx="6">
                  <c:v>29.716666666666669</c:v>
                </c:pt>
                <c:pt idx="7">
                  <c:v>47.5</c:v>
                </c:pt>
                <c:pt idx="8">
                  <c:v>70.783333333333331</c:v>
                </c:pt>
                <c:pt idx="9">
                  <c:v>94.933333333333337</c:v>
                </c:pt>
                <c:pt idx="10">
                  <c:v>120.41666666666667</c:v>
                </c:pt>
                <c:pt idx="11">
                  <c:v>144.66666666666669</c:v>
                </c:pt>
                <c:pt idx="12">
                  <c:v>166.70000000000002</c:v>
                </c:pt>
                <c:pt idx="13">
                  <c:v>214.98333333333335</c:v>
                </c:pt>
                <c:pt idx="14">
                  <c:v>240.01666666666668</c:v>
                </c:pt>
                <c:pt idx="15">
                  <c:v>288.88333333333333</c:v>
                </c:pt>
                <c:pt idx="16">
                  <c:v>312.91666666666669</c:v>
                </c:pt>
                <c:pt idx="17">
                  <c:v>336.16666666666669</c:v>
                </c:pt>
                <c:pt idx="18">
                  <c:v>359.05</c:v>
                </c:pt>
                <c:pt idx="19">
                  <c:v>384.48333333333335</c:v>
                </c:pt>
                <c:pt idx="20">
                  <c:v>408.03333333333336</c:v>
                </c:pt>
              </c:numCache>
            </c:numRef>
          </c:xVal>
          <c:yVal>
            <c:numRef>
              <c:f>'Growth curves UTEX #1926'!$Q$5:$Q$25</c:f>
              <c:numCache>
                <c:formatCode>0.000</c:formatCode>
                <c:ptCount val="21"/>
                <c:pt idx="0">
                  <c:v>-2.0890220075522765</c:v>
                </c:pt>
                <c:pt idx="1">
                  <c:v>-1.8880587345750903</c:v>
                </c:pt>
                <c:pt idx="2">
                  <c:v>-1.7667842411690764</c:v>
                </c:pt>
                <c:pt idx="3">
                  <c:v>-1.5957625206596207</c:v>
                </c:pt>
                <c:pt idx="4">
                  <c:v>-1.217596799289141</c:v>
                </c:pt>
                <c:pt idx="5">
                  <c:v>-1.2084570393600131</c:v>
                </c:pt>
                <c:pt idx="6">
                  <c:v>-1.0869935428291144</c:v>
                </c:pt>
                <c:pt idx="7">
                  <c:v>-0.66121913541286581</c:v>
                </c:pt>
                <c:pt idx="8">
                  <c:v>-0.34383553123884347</c:v>
                </c:pt>
                <c:pt idx="9">
                  <c:v>-3.3791157401379855E-2</c:v>
                </c:pt>
                <c:pt idx="10">
                  <c:v>0.2904596383107696</c:v>
                </c:pt>
                <c:pt idx="11">
                  <c:v>0.52674807722660988</c:v>
                </c:pt>
                <c:pt idx="12">
                  <c:v>0.64595735608768878</c:v>
                </c:pt>
                <c:pt idx="13">
                  <c:v>0.90082297747413431</c:v>
                </c:pt>
                <c:pt idx="14">
                  <c:v>1.053470344298842</c:v>
                </c:pt>
                <c:pt idx="15">
                  <c:v>1.2209035280847156</c:v>
                </c:pt>
                <c:pt idx="16">
                  <c:v>1.2727991149263032</c:v>
                </c:pt>
                <c:pt idx="17">
                  <c:v>1.3055510331433577</c:v>
                </c:pt>
                <c:pt idx="18">
                  <c:v>1.3386507879062597</c:v>
                </c:pt>
                <c:pt idx="19">
                  <c:v>1.345384662093615</c:v>
                </c:pt>
                <c:pt idx="20">
                  <c:v>1.3668345074309249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4D-0346-9BAE-49C1FA290C62}"/>
            </c:ext>
          </c:extLst>
        </c:ser>
        <c:ser>
          <c:idx val="1"/>
          <c:order val="1"/>
          <c:tx>
            <c:strRef>
              <c:f>'Growth curves UTEX #1926'!$B$26:$AB$26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#1926'!$R$29:$R$50</c:f>
                <c:numCache>
                  <c:formatCode>General</c:formatCode>
                  <c:ptCount val="22"/>
                  <c:pt idx="0">
                    <c:v>3.5650963722493323E-3</c:v>
                  </c:pt>
                  <c:pt idx="1">
                    <c:v>2.8946589410985105E-2</c:v>
                  </c:pt>
                  <c:pt idx="2">
                    <c:v>4.7747147108043744E-2</c:v>
                  </c:pt>
                  <c:pt idx="3">
                    <c:v>4.9947618320241832E-2</c:v>
                  </c:pt>
                  <c:pt idx="4">
                    <c:v>4.8166624062275024E-2</c:v>
                  </c:pt>
                  <c:pt idx="5">
                    <c:v>2.2792925729774337E-2</c:v>
                  </c:pt>
                  <c:pt idx="6">
                    <c:v>5.7847710943628845E-2</c:v>
                  </c:pt>
                  <c:pt idx="7">
                    <c:v>2.8720068989218007E-2</c:v>
                  </c:pt>
                  <c:pt idx="8">
                    <c:v>1.1018850071608414E-2</c:v>
                  </c:pt>
                  <c:pt idx="9">
                    <c:v>3.4035990425673353E-3</c:v>
                  </c:pt>
                  <c:pt idx="10">
                    <c:v>1.3874657196451475E-2</c:v>
                  </c:pt>
                  <c:pt idx="11">
                    <c:v>4.2976651533124001E-2</c:v>
                  </c:pt>
                  <c:pt idx="12">
                    <c:v>4.5643051583287063E-3</c:v>
                  </c:pt>
                  <c:pt idx="13">
                    <c:v>3.4474426102785678E-2</c:v>
                  </c:pt>
                  <c:pt idx="14">
                    <c:v>2.7909086013709165E-2</c:v>
                  </c:pt>
                  <c:pt idx="15">
                    <c:v>4.3657313179305553E-2</c:v>
                  </c:pt>
                  <c:pt idx="16">
                    <c:v>1.492545137087877E-2</c:v>
                  </c:pt>
                  <c:pt idx="17">
                    <c:v>2.9822730314625831E-2</c:v>
                  </c:pt>
                  <c:pt idx="18">
                    <c:v>1.4038968455632187E-2</c:v>
                  </c:pt>
                  <c:pt idx="19">
                    <c:v>2.1439361365641778E-2</c:v>
                  </c:pt>
                  <c:pt idx="20">
                    <c:v>7.6376143815286195E-3</c:v>
                  </c:pt>
                  <c:pt idx="21">
                    <c:v>2.211797268349696E-2</c:v>
                  </c:pt>
                </c:numCache>
              </c:numRef>
            </c:plus>
            <c:minus>
              <c:numRef>
                <c:f>'Growth curves UTEX #1926'!$R$29:$R$50</c:f>
                <c:numCache>
                  <c:formatCode>General</c:formatCode>
                  <c:ptCount val="22"/>
                  <c:pt idx="0">
                    <c:v>3.5650963722493323E-3</c:v>
                  </c:pt>
                  <c:pt idx="1">
                    <c:v>2.8946589410985105E-2</c:v>
                  </c:pt>
                  <c:pt idx="2">
                    <c:v>4.7747147108043744E-2</c:v>
                  </c:pt>
                  <c:pt idx="3">
                    <c:v>4.9947618320241832E-2</c:v>
                  </c:pt>
                  <c:pt idx="4">
                    <c:v>4.8166624062275024E-2</c:v>
                  </c:pt>
                  <c:pt idx="5">
                    <c:v>2.2792925729774337E-2</c:v>
                  </c:pt>
                  <c:pt idx="6">
                    <c:v>5.7847710943628845E-2</c:v>
                  </c:pt>
                  <c:pt idx="7">
                    <c:v>2.8720068989218007E-2</c:v>
                  </c:pt>
                  <c:pt idx="8">
                    <c:v>1.1018850071608414E-2</c:v>
                  </c:pt>
                  <c:pt idx="9">
                    <c:v>3.4035990425673353E-3</c:v>
                  </c:pt>
                  <c:pt idx="10">
                    <c:v>1.3874657196451475E-2</c:v>
                  </c:pt>
                  <c:pt idx="11">
                    <c:v>4.2976651533124001E-2</c:v>
                  </c:pt>
                  <c:pt idx="12">
                    <c:v>4.5643051583287063E-3</c:v>
                  </c:pt>
                  <c:pt idx="13">
                    <c:v>3.4474426102785678E-2</c:v>
                  </c:pt>
                  <c:pt idx="14">
                    <c:v>2.7909086013709165E-2</c:v>
                  </c:pt>
                  <c:pt idx="15">
                    <c:v>4.3657313179305553E-2</c:v>
                  </c:pt>
                  <c:pt idx="16">
                    <c:v>1.492545137087877E-2</c:v>
                  </c:pt>
                  <c:pt idx="17">
                    <c:v>2.9822730314625831E-2</c:v>
                  </c:pt>
                  <c:pt idx="18">
                    <c:v>1.4038968455632187E-2</c:v>
                  </c:pt>
                  <c:pt idx="19">
                    <c:v>2.1439361365641778E-2</c:v>
                  </c:pt>
                  <c:pt idx="20">
                    <c:v>7.6376143815286195E-3</c:v>
                  </c:pt>
                  <c:pt idx="21">
                    <c:v>2.211797268349696E-2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#1926'!$D$29:$D$50</c:f>
              <c:numCache>
                <c:formatCode>0</c:formatCode>
                <c:ptCount val="22"/>
                <c:pt idx="0" formatCode="General">
                  <c:v>0</c:v>
                </c:pt>
                <c:pt idx="1">
                  <c:v>4</c:v>
                </c:pt>
                <c:pt idx="2">
                  <c:v>6.3</c:v>
                </c:pt>
                <c:pt idx="3">
                  <c:v>11.033333333333333</c:v>
                </c:pt>
                <c:pt idx="4">
                  <c:v>23.383333333333333</c:v>
                </c:pt>
                <c:pt idx="5">
                  <c:v>26.533333333333331</c:v>
                </c:pt>
                <c:pt idx="6">
                  <c:v>30.566666666666663</c:v>
                </c:pt>
                <c:pt idx="7">
                  <c:v>48.216666666666661</c:v>
                </c:pt>
                <c:pt idx="8">
                  <c:v>71.599999999999994</c:v>
                </c:pt>
                <c:pt idx="9">
                  <c:v>95.73333333333332</c:v>
                </c:pt>
                <c:pt idx="10">
                  <c:v>121.39999999999999</c:v>
                </c:pt>
                <c:pt idx="11">
                  <c:v>145.54999999999998</c:v>
                </c:pt>
                <c:pt idx="12">
                  <c:v>167.6</c:v>
                </c:pt>
                <c:pt idx="13">
                  <c:v>189.23333333333332</c:v>
                </c:pt>
                <c:pt idx="14">
                  <c:v>216.35</c:v>
                </c:pt>
                <c:pt idx="15">
                  <c:v>240.6</c:v>
                </c:pt>
                <c:pt idx="16">
                  <c:v>289.68333333333334</c:v>
                </c:pt>
                <c:pt idx="17">
                  <c:v>313.7166666666667</c:v>
                </c:pt>
                <c:pt idx="18">
                  <c:v>336.95000000000005</c:v>
                </c:pt>
                <c:pt idx="19">
                  <c:v>359.76666666666671</c:v>
                </c:pt>
                <c:pt idx="20">
                  <c:v>385.23333333333335</c:v>
                </c:pt>
                <c:pt idx="21">
                  <c:v>408.78333333333336</c:v>
                </c:pt>
              </c:numCache>
            </c:numRef>
          </c:xVal>
          <c:yVal>
            <c:numRef>
              <c:f>'Growth curves UTEX #1926'!$Q$29:$Q$50</c:f>
              <c:numCache>
                <c:formatCode>0.000</c:formatCode>
                <c:ptCount val="22"/>
                <c:pt idx="0">
                  <c:v>-2.1372313828396501</c:v>
                </c:pt>
                <c:pt idx="1">
                  <c:v>-1.8415107086599718</c:v>
                </c:pt>
                <c:pt idx="2">
                  <c:v>-1.793945878088995</c:v>
                </c:pt>
                <c:pt idx="3">
                  <c:v>-1.6599608574615112</c:v>
                </c:pt>
                <c:pt idx="4">
                  <c:v>-1.2268445432372435</c:v>
                </c:pt>
                <c:pt idx="5">
                  <c:v>-1.2080180119221116</c:v>
                </c:pt>
                <c:pt idx="6">
                  <c:v>-1.1641320447377412</c:v>
                </c:pt>
                <c:pt idx="7">
                  <c:v>-0.76517703579370977</c:v>
                </c:pt>
                <c:pt idx="8">
                  <c:v>-0.36353480697006541</c:v>
                </c:pt>
                <c:pt idx="9">
                  <c:v>-0.11830215866433301</c:v>
                </c:pt>
                <c:pt idx="10">
                  <c:v>0.19220701589669534</c:v>
                </c:pt>
                <c:pt idx="11">
                  <c:v>0.45474528796424024</c:v>
                </c:pt>
                <c:pt idx="12">
                  <c:v>0.61422008369180137</c:v>
                </c:pt>
                <c:pt idx="13">
                  <c:v>0.65357306530933945</c:v>
                </c:pt>
                <c:pt idx="14">
                  <c:v>0.69585069052151949</c:v>
                </c:pt>
                <c:pt idx="15">
                  <c:v>0.7030322349863013</c:v>
                </c:pt>
                <c:pt idx="16">
                  <c:v>0.78253997694986344</c:v>
                </c:pt>
                <c:pt idx="17">
                  <c:v>0.80501355038414169</c:v>
                </c:pt>
                <c:pt idx="18">
                  <c:v>0.85546606952111759</c:v>
                </c:pt>
                <c:pt idx="19">
                  <c:v>0.88335157602612069</c:v>
                </c:pt>
                <c:pt idx="20">
                  <c:v>0.90876928113112088</c:v>
                </c:pt>
                <c:pt idx="21">
                  <c:v>0.91541970103131598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4D-0346-9BAE-49C1FA290C62}"/>
            </c:ext>
          </c:extLst>
        </c:ser>
        <c:ser>
          <c:idx val="2"/>
          <c:order val="2"/>
          <c:tx>
            <c:strRef>
              <c:f>'Growth curves UTEX #1926'!$B$51:$AB$51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#1926'!$R$54:$R$74</c:f>
                <c:numCache>
                  <c:formatCode>General</c:formatCode>
                  <c:ptCount val="21"/>
                  <c:pt idx="0">
                    <c:v>1.8594498105930987E-2</c:v>
                  </c:pt>
                  <c:pt idx="1">
                    <c:v>1.2580109327615737E-2</c:v>
                  </c:pt>
                  <c:pt idx="2">
                    <c:v>4.1986623079781356E-2</c:v>
                  </c:pt>
                  <c:pt idx="3">
                    <c:v>2.1382038233581334E-2</c:v>
                  </c:pt>
                  <c:pt idx="4">
                    <c:v>2.8042398880721627E-2</c:v>
                  </c:pt>
                  <c:pt idx="5">
                    <c:v>2.3227109597638716E-2</c:v>
                  </c:pt>
                  <c:pt idx="6">
                    <c:v>3.3226528014297964E-3</c:v>
                  </c:pt>
                  <c:pt idx="7">
                    <c:v>3.614281131468608E-2</c:v>
                  </c:pt>
                  <c:pt idx="8">
                    <c:v>1.8233940750146001E-2</c:v>
                  </c:pt>
                  <c:pt idx="9">
                    <c:v>3.494110282190338E-2</c:v>
                  </c:pt>
                  <c:pt idx="10">
                    <c:v>1.3332204861152233E-2</c:v>
                  </c:pt>
                  <c:pt idx="11">
                    <c:v>3.2483013688791057E-2</c:v>
                  </c:pt>
                  <c:pt idx="12">
                    <c:v>2.59665670141307E-2</c:v>
                  </c:pt>
                  <c:pt idx="13">
                    <c:v>1.1773910710651394E-2</c:v>
                  </c:pt>
                  <c:pt idx="14">
                    <c:v>2.7442560652535364E-2</c:v>
                  </c:pt>
                  <c:pt idx="15">
                    <c:v>2.7709925965496131E-2</c:v>
                  </c:pt>
                  <c:pt idx="16">
                    <c:v>3.3209946982947068E-2</c:v>
                  </c:pt>
                  <c:pt idx="17">
                    <c:v>2.9860673667811755E-2</c:v>
                  </c:pt>
                  <c:pt idx="18">
                    <c:v>4.058440222906045E-2</c:v>
                  </c:pt>
                  <c:pt idx="19">
                    <c:v>2.5612288419356616E-2</c:v>
                  </c:pt>
                  <c:pt idx="20">
                    <c:v>6.2706339248826834E-2</c:v>
                  </c:pt>
                </c:numCache>
              </c:numRef>
            </c:plus>
            <c:minus>
              <c:numRef>
                <c:f>'Growth curves UTEX #1926'!$R$54:$R$74</c:f>
                <c:numCache>
                  <c:formatCode>General</c:formatCode>
                  <c:ptCount val="21"/>
                  <c:pt idx="0">
                    <c:v>1.8594498105930987E-2</c:v>
                  </c:pt>
                  <c:pt idx="1">
                    <c:v>1.2580109327615737E-2</c:v>
                  </c:pt>
                  <c:pt idx="2">
                    <c:v>4.1986623079781356E-2</c:v>
                  </c:pt>
                  <c:pt idx="3">
                    <c:v>2.1382038233581334E-2</c:v>
                  </c:pt>
                  <c:pt idx="4">
                    <c:v>2.8042398880721627E-2</c:v>
                  </c:pt>
                  <c:pt idx="5">
                    <c:v>2.3227109597638716E-2</c:v>
                  </c:pt>
                  <c:pt idx="6">
                    <c:v>3.3226528014297964E-3</c:v>
                  </c:pt>
                  <c:pt idx="7">
                    <c:v>3.614281131468608E-2</c:v>
                  </c:pt>
                  <c:pt idx="8">
                    <c:v>1.8233940750146001E-2</c:v>
                  </c:pt>
                  <c:pt idx="9">
                    <c:v>3.494110282190338E-2</c:v>
                  </c:pt>
                  <c:pt idx="10">
                    <c:v>1.3332204861152233E-2</c:v>
                  </c:pt>
                  <c:pt idx="11">
                    <c:v>3.2483013688791057E-2</c:v>
                  </c:pt>
                  <c:pt idx="12">
                    <c:v>2.59665670141307E-2</c:v>
                  </c:pt>
                  <c:pt idx="13">
                    <c:v>1.1773910710651394E-2</c:v>
                  </c:pt>
                  <c:pt idx="14">
                    <c:v>2.7442560652535364E-2</c:v>
                  </c:pt>
                  <c:pt idx="15">
                    <c:v>2.7709925965496131E-2</c:v>
                  </c:pt>
                  <c:pt idx="16">
                    <c:v>3.3209946982947068E-2</c:v>
                  </c:pt>
                  <c:pt idx="17">
                    <c:v>2.9860673667811755E-2</c:v>
                  </c:pt>
                  <c:pt idx="18">
                    <c:v>4.058440222906045E-2</c:v>
                  </c:pt>
                  <c:pt idx="19">
                    <c:v>2.5612288419356616E-2</c:v>
                  </c:pt>
                  <c:pt idx="20">
                    <c:v>6.2706339248826834E-2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#1926'!$D$54:$D$74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3.5</c:v>
                </c:pt>
                <c:pt idx="2">
                  <c:v>5.8</c:v>
                </c:pt>
                <c:pt idx="3">
                  <c:v>10.533333333333333</c:v>
                </c:pt>
                <c:pt idx="4">
                  <c:v>22.966666666666669</c:v>
                </c:pt>
                <c:pt idx="5">
                  <c:v>26.266666666666669</c:v>
                </c:pt>
                <c:pt idx="6">
                  <c:v>30.06666666666667</c:v>
                </c:pt>
                <c:pt idx="7">
                  <c:v>47.766666666666666</c:v>
                </c:pt>
                <c:pt idx="8">
                  <c:v>71.5</c:v>
                </c:pt>
                <c:pt idx="9">
                  <c:v>95.383333333333326</c:v>
                </c:pt>
                <c:pt idx="10">
                  <c:v>120.93333333333332</c:v>
                </c:pt>
                <c:pt idx="11">
                  <c:v>145.11666666666665</c:v>
                </c:pt>
                <c:pt idx="12">
                  <c:v>167.18333333333331</c:v>
                </c:pt>
                <c:pt idx="13">
                  <c:v>215.68333333333331</c:v>
                </c:pt>
                <c:pt idx="14">
                  <c:v>240.24999999999997</c:v>
                </c:pt>
                <c:pt idx="15">
                  <c:v>289.31666666666666</c:v>
                </c:pt>
                <c:pt idx="16">
                  <c:v>313.33333333333331</c:v>
                </c:pt>
                <c:pt idx="17">
                  <c:v>336.56666666666666</c:v>
                </c:pt>
                <c:pt idx="18">
                  <c:v>359.45</c:v>
                </c:pt>
                <c:pt idx="19">
                  <c:v>384.9</c:v>
                </c:pt>
                <c:pt idx="20">
                  <c:v>408.43333333333328</c:v>
                </c:pt>
              </c:numCache>
            </c:numRef>
          </c:xVal>
          <c:yVal>
            <c:numRef>
              <c:f>'Growth curves UTEX #1926'!$Q$54:$Q$74</c:f>
              <c:numCache>
                <c:formatCode>0.000</c:formatCode>
                <c:ptCount val="21"/>
                <c:pt idx="0">
                  <c:v>-2.0654901420649745</c:v>
                </c:pt>
                <c:pt idx="1">
                  <c:v>-1.7968465089542065</c:v>
                </c:pt>
                <c:pt idx="2">
                  <c:v>-1.7394548685089715</c:v>
                </c:pt>
                <c:pt idx="3">
                  <c:v>-1.5816240860388777</c:v>
                </c:pt>
                <c:pt idx="4">
                  <c:v>-1.2690745867529039</c:v>
                </c:pt>
                <c:pt idx="5">
                  <c:v>-1.2052285628994284</c:v>
                </c:pt>
                <c:pt idx="6">
                  <c:v>-1.0947297119613164</c:v>
                </c:pt>
                <c:pt idx="7">
                  <c:v>-0.74512461612679826</c:v>
                </c:pt>
                <c:pt idx="8">
                  <c:v>-0.35952874294159876</c:v>
                </c:pt>
                <c:pt idx="9">
                  <c:v>-8.8349590477314333E-2</c:v>
                </c:pt>
                <c:pt idx="10">
                  <c:v>0.21820710751042238</c:v>
                </c:pt>
                <c:pt idx="11">
                  <c:v>0.47502466378571051</c:v>
                </c:pt>
                <c:pt idx="12">
                  <c:v>0.67864021965234889</c:v>
                </c:pt>
                <c:pt idx="13">
                  <c:v>0.89024620572967272</c:v>
                </c:pt>
                <c:pt idx="14">
                  <c:v>1.0565588492432856</c:v>
                </c:pt>
                <c:pt idx="15">
                  <c:v>1.2331124639810926</c:v>
                </c:pt>
                <c:pt idx="16">
                  <c:v>1.2214730057339585</c:v>
                </c:pt>
                <c:pt idx="17">
                  <c:v>1.215723754123063</c:v>
                </c:pt>
                <c:pt idx="18">
                  <c:v>1.2092404443924947</c:v>
                </c:pt>
                <c:pt idx="19">
                  <c:v>1.2285663053792506</c:v>
                </c:pt>
                <c:pt idx="20">
                  <c:v>1.2516626652315661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4D-0346-9BAE-49C1FA290C62}"/>
            </c:ext>
          </c:extLst>
        </c:ser>
        <c:ser>
          <c:idx val="3"/>
          <c:order val="3"/>
          <c:tx>
            <c:strRef>
              <c:f>'Growth curves UTEX #1926'!$B$75:$AB$75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'Growth curves UTEX #1926'!$D$78:$D$97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2.9666666666666668</c:v>
                </c:pt>
                <c:pt idx="2">
                  <c:v>5.3000000000000007</c:v>
                </c:pt>
                <c:pt idx="3">
                  <c:v>10</c:v>
                </c:pt>
                <c:pt idx="4">
                  <c:v>23.283333333333331</c:v>
                </c:pt>
                <c:pt idx="5">
                  <c:v>26.333333333333332</c:v>
                </c:pt>
                <c:pt idx="6">
                  <c:v>30.483333333333334</c:v>
                </c:pt>
                <c:pt idx="7">
                  <c:v>118.83333333333333</c:v>
                </c:pt>
                <c:pt idx="8">
                  <c:v>142.11666666666667</c:v>
                </c:pt>
                <c:pt idx="9">
                  <c:v>170.65</c:v>
                </c:pt>
                <c:pt idx="10">
                  <c:v>192.53333333333333</c:v>
                </c:pt>
                <c:pt idx="11">
                  <c:v>216.23333333333332</c:v>
                </c:pt>
                <c:pt idx="12">
                  <c:v>240.56666666666666</c:v>
                </c:pt>
                <c:pt idx="13">
                  <c:v>264.06666666666666</c:v>
                </c:pt>
                <c:pt idx="14">
                  <c:v>288.31666666666666</c:v>
                </c:pt>
                <c:pt idx="15">
                  <c:v>312.56666666666666</c:v>
                </c:pt>
                <c:pt idx="16">
                  <c:v>336.4</c:v>
                </c:pt>
                <c:pt idx="17">
                  <c:v>360.2</c:v>
                </c:pt>
                <c:pt idx="18">
                  <c:v>384.11666666666667</c:v>
                </c:pt>
                <c:pt idx="19">
                  <c:v>408.66666666666669</c:v>
                </c:pt>
              </c:numCache>
            </c:numRef>
          </c:xVal>
          <c:yVal>
            <c:numRef>
              <c:f>'Growth curves UTEX #1926'!$Q$78:$Q$97</c:f>
              <c:numCache>
                <c:formatCode>0.000</c:formatCode>
                <c:ptCount val="20"/>
                <c:pt idx="0">
                  <c:v>-2.0077283075193919</c:v>
                </c:pt>
                <c:pt idx="1">
                  <c:v>-1.8880587345750903</c:v>
                </c:pt>
                <c:pt idx="2">
                  <c:v>-1.7667842411690764</c:v>
                </c:pt>
                <c:pt idx="3">
                  <c:v>-1.5957625206596207</c:v>
                </c:pt>
                <c:pt idx="4">
                  <c:v>-1.4366313149956547</c:v>
                </c:pt>
                <c:pt idx="5">
                  <c:v>-1.2084570393600131</c:v>
                </c:pt>
                <c:pt idx="6">
                  <c:v>-1.0869935428291144</c:v>
                </c:pt>
                <c:pt idx="7">
                  <c:v>0.2904596383107696</c:v>
                </c:pt>
                <c:pt idx="8">
                  <c:v>0.50215482304853198</c:v>
                </c:pt>
                <c:pt idx="9">
                  <c:v>0.61560851218490331</c:v>
                </c:pt>
                <c:pt idx="10">
                  <c:v>0.7553426510986917</c:v>
                </c:pt>
                <c:pt idx="11">
                  <c:v>0.84343755781948115</c:v>
                </c:pt>
                <c:pt idx="12">
                  <c:v>0.99698865505416634</c:v>
                </c:pt>
                <c:pt idx="13">
                  <c:v>1.0933135891075423</c:v>
                </c:pt>
                <c:pt idx="14">
                  <c:v>1.2277410761756273</c:v>
                </c:pt>
                <c:pt idx="15">
                  <c:v>1.2819867955062125</c:v>
                </c:pt>
                <c:pt idx="16">
                  <c:v>1.3198895478633415</c:v>
                </c:pt>
                <c:pt idx="17">
                  <c:v>1.3092740780246805</c:v>
                </c:pt>
                <c:pt idx="18">
                  <c:v>1.3341713818807384</c:v>
                </c:pt>
                <c:pt idx="19">
                  <c:v>1.3349451284897424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54D-0346-9BAE-49C1FA290C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1455635753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#1926'!$M$5:$M$25</c:f>
                <c:numCache>
                  <c:formatCode>General</c:formatCode>
                  <c:ptCount val="21"/>
                  <c:pt idx="0">
                    <c:v>2.5539492277212076E-3</c:v>
                  </c:pt>
                  <c:pt idx="1">
                    <c:v>5.5543139190282623E-3</c:v>
                  </c:pt>
                  <c:pt idx="2">
                    <c:v>8.39733333333333E-4</c:v>
                  </c:pt>
                  <c:pt idx="3">
                    <c:v>2.9089215962850097E-3</c:v>
                  </c:pt>
                  <c:pt idx="4">
                    <c:v>4.4235698223644305E-3</c:v>
                  </c:pt>
                  <c:pt idx="5">
                    <c:v>9.3508746552275913E-3</c:v>
                  </c:pt>
                  <c:pt idx="6">
                    <c:v>1.0712772730406142E-2</c:v>
                  </c:pt>
                  <c:pt idx="7">
                    <c:v>1.8287109386790585E-2</c:v>
                  </c:pt>
                  <c:pt idx="8">
                    <c:v>1.9531699118896701E-2</c:v>
                  </c:pt>
                  <c:pt idx="9">
                    <c:v>1.3197445266582666E-2</c:v>
                  </c:pt>
                  <c:pt idx="10">
                    <c:v>2.9513371475316002E-2</c:v>
                  </c:pt>
                  <c:pt idx="11">
                    <c:v>5.7722123453663704E-2</c:v>
                  </c:pt>
                  <c:pt idx="12">
                    <c:v>4.1172631430977519E-2</c:v>
                  </c:pt>
                  <c:pt idx="13">
                    <c:v>8.4813066666666742E-2</c:v>
                  </c:pt>
                  <c:pt idx="14">
                    <c:v>5.1737387467263647E-2</c:v>
                  </c:pt>
                  <c:pt idx="15">
                    <c:v>8.7089699028479337E-2</c:v>
                  </c:pt>
                  <c:pt idx="16">
                    <c:v>0.10412693333333323</c:v>
                  </c:pt>
                  <c:pt idx="17">
                    <c:v>0.25534521946419458</c:v>
                  </c:pt>
                  <c:pt idx="18">
                    <c:v>8.4425571569229627E-2</c:v>
                  </c:pt>
                  <c:pt idx="19">
                    <c:v>0.20444532035512844</c:v>
                  </c:pt>
                  <c:pt idx="20">
                    <c:v>3.554760908178102E-2</c:v>
                  </c:pt>
                </c:numCache>
              </c:numRef>
            </c:plus>
            <c:minus>
              <c:numRef>
                <c:f>'Growth curves UTEX #1926'!$M$5:$M$25</c:f>
                <c:numCache>
                  <c:formatCode>General</c:formatCode>
                  <c:ptCount val="21"/>
                  <c:pt idx="0">
                    <c:v>2.5539492277212076E-3</c:v>
                  </c:pt>
                  <c:pt idx="1">
                    <c:v>5.5543139190282623E-3</c:v>
                  </c:pt>
                  <c:pt idx="2">
                    <c:v>8.39733333333333E-4</c:v>
                  </c:pt>
                  <c:pt idx="3">
                    <c:v>2.9089215962850097E-3</c:v>
                  </c:pt>
                  <c:pt idx="4">
                    <c:v>4.4235698223644305E-3</c:v>
                  </c:pt>
                  <c:pt idx="5">
                    <c:v>9.3508746552275913E-3</c:v>
                  </c:pt>
                  <c:pt idx="6">
                    <c:v>1.0712772730406142E-2</c:v>
                  </c:pt>
                  <c:pt idx="7">
                    <c:v>1.8287109386790585E-2</c:v>
                  </c:pt>
                  <c:pt idx="8">
                    <c:v>1.9531699118896701E-2</c:v>
                  </c:pt>
                  <c:pt idx="9">
                    <c:v>1.3197445266582666E-2</c:v>
                  </c:pt>
                  <c:pt idx="10">
                    <c:v>2.9513371475316002E-2</c:v>
                  </c:pt>
                  <c:pt idx="11">
                    <c:v>5.7722123453663704E-2</c:v>
                  </c:pt>
                  <c:pt idx="12">
                    <c:v>4.1172631430977519E-2</c:v>
                  </c:pt>
                  <c:pt idx="13">
                    <c:v>8.4813066666666742E-2</c:v>
                  </c:pt>
                  <c:pt idx="14">
                    <c:v>5.1737387467263647E-2</c:v>
                  </c:pt>
                  <c:pt idx="15">
                    <c:v>8.7089699028479337E-2</c:v>
                  </c:pt>
                  <c:pt idx="16">
                    <c:v>0.10412693333333323</c:v>
                  </c:pt>
                  <c:pt idx="17">
                    <c:v>0.25534521946419458</c:v>
                  </c:pt>
                  <c:pt idx="18">
                    <c:v>8.4425571569229627E-2</c:v>
                  </c:pt>
                  <c:pt idx="19">
                    <c:v>0.20444532035512844</c:v>
                  </c:pt>
                  <c:pt idx="20">
                    <c:v>3.554760908178102E-2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#1926'!$D$5:$D$25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2.9666666666666668</c:v>
                </c:pt>
                <c:pt idx="2">
                  <c:v>5.3000000000000007</c:v>
                </c:pt>
                <c:pt idx="3">
                  <c:v>10</c:v>
                </c:pt>
                <c:pt idx="4">
                  <c:v>22.516666666666666</c:v>
                </c:pt>
                <c:pt idx="5">
                  <c:v>25.566666666666666</c:v>
                </c:pt>
                <c:pt idx="6">
                  <c:v>29.716666666666669</c:v>
                </c:pt>
                <c:pt idx="7">
                  <c:v>47.5</c:v>
                </c:pt>
                <c:pt idx="8">
                  <c:v>70.783333333333331</c:v>
                </c:pt>
                <c:pt idx="9">
                  <c:v>94.933333333333337</c:v>
                </c:pt>
                <c:pt idx="10">
                  <c:v>120.41666666666667</c:v>
                </c:pt>
                <c:pt idx="11">
                  <c:v>144.66666666666669</c:v>
                </c:pt>
                <c:pt idx="12">
                  <c:v>166.70000000000002</c:v>
                </c:pt>
                <c:pt idx="13">
                  <c:v>214.98333333333335</c:v>
                </c:pt>
                <c:pt idx="14">
                  <c:v>240.01666666666668</c:v>
                </c:pt>
                <c:pt idx="15">
                  <c:v>288.88333333333333</c:v>
                </c:pt>
                <c:pt idx="16">
                  <c:v>312.91666666666669</c:v>
                </c:pt>
                <c:pt idx="17">
                  <c:v>336.16666666666669</c:v>
                </c:pt>
                <c:pt idx="18">
                  <c:v>359.05</c:v>
                </c:pt>
                <c:pt idx="19">
                  <c:v>384.48333333333335</c:v>
                </c:pt>
                <c:pt idx="20">
                  <c:v>408.03333333333336</c:v>
                </c:pt>
              </c:numCache>
            </c:numRef>
          </c:xVal>
          <c:yVal>
            <c:numRef>
              <c:f>'Growth curves UTEX #1926'!$L$5:$L$25</c:f>
              <c:numCache>
                <c:formatCode>0.000</c:formatCode>
                <c:ptCount val="21"/>
                <c:pt idx="0">
                  <c:v>0.12386066666666666</c:v>
                </c:pt>
                <c:pt idx="1">
                  <c:v>0.15157186666666667</c:v>
                </c:pt>
                <c:pt idx="2">
                  <c:v>0.17088573333333335</c:v>
                </c:pt>
                <c:pt idx="3">
                  <c:v>0.20279560000000005</c:v>
                </c:pt>
                <c:pt idx="4">
                  <c:v>0.29600599999999999</c:v>
                </c:pt>
                <c:pt idx="5">
                  <c:v>0.2989450666666667</c:v>
                </c:pt>
                <c:pt idx="6">
                  <c:v>0.33757280000000006</c:v>
                </c:pt>
                <c:pt idx="7">
                  <c:v>0.51685586666666672</c:v>
                </c:pt>
                <c:pt idx="8">
                  <c:v>0.70957466666666669</c:v>
                </c:pt>
                <c:pt idx="9">
                  <c:v>0.96695293333333343</c:v>
                </c:pt>
                <c:pt idx="10">
                  <c:v>1.3376952</c:v>
                </c:pt>
                <c:pt idx="11">
                  <c:v>1.6954216000000002</c:v>
                </c:pt>
                <c:pt idx="12">
                  <c:v>1.9087138666666668</c:v>
                </c:pt>
                <c:pt idx="13">
                  <c:v>2.4646173333333334</c:v>
                </c:pt>
                <c:pt idx="14">
                  <c:v>2.8685290666666661</c:v>
                </c:pt>
                <c:pt idx="15">
                  <c:v>3.3925226666666668</c:v>
                </c:pt>
                <c:pt idx="16">
                  <c:v>3.5739050666666672</c:v>
                </c:pt>
                <c:pt idx="17">
                  <c:v>3.7065829333333338</c:v>
                </c:pt>
                <c:pt idx="18">
                  <c:v>3.8157482666666667</c:v>
                </c:pt>
                <c:pt idx="19">
                  <c:v>3.8501773333333333</c:v>
                </c:pt>
                <c:pt idx="20">
                  <c:v>3.9232341333333332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61-124B-A591-51141DC94B19}"/>
            </c:ext>
          </c:extLst>
        </c:ser>
        <c:ser>
          <c:idx val="1"/>
          <c:order val="1"/>
          <c:tx>
            <c:strRef>
              <c:f>'Growth curves UTEX #1926'!$B$26:$AB$26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#1926'!$T$29:$T$50</c:f>
                <c:numCache>
                  <c:formatCode>General</c:formatCode>
                  <c:ptCount val="22"/>
                  <c:pt idx="1">
                    <c:v>7.7183870412403377E-2</c:v>
                  </c:pt>
                  <c:pt idx="2">
                    <c:v>5.4218903696068306E-2</c:v>
                  </c:pt>
                  <c:pt idx="3">
                    <c:v>9.9605869913454992E-3</c:v>
                  </c:pt>
                  <c:pt idx="4">
                    <c:v>3.1758694846813255E-2</c:v>
                  </c:pt>
                  <c:pt idx="5">
                    <c:v>3.0897886971607034E-2</c:v>
                  </c:pt>
                  <c:pt idx="6">
                    <c:v>1.7372122962822374E-2</c:v>
                  </c:pt>
                  <c:pt idx="7">
                    <c:v>1.9759143267213133E-2</c:v>
                  </c:pt>
                  <c:pt idx="8">
                    <c:v>1.7226332033501698E-2</c:v>
                  </c:pt>
                  <c:pt idx="9">
                    <c:v>9.0695781434151496E-3</c:v>
                  </c:pt>
                  <c:pt idx="10">
                    <c:v>1.3275453327571579E-2</c:v>
                  </c:pt>
                  <c:pt idx="11">
                    <c:v>1.3091031637214859E-2</c:v>
                  </c:pt>
                  <c:pt idx="12">
                    <c:v>3.2627086681801566E-3</c:v>
                  </c:pt>
                  <c:pt idx="13">
                    <c:v>4.6218152603999469E-3</c:v>
                  </c:pt>
                  <c:pt idx="14">
                    <c:v>8.1651355416890602E-4</c:v>
                  </c:pt>
                  <c:pt idx="15">
                    <c:v>2.4350114990845245E-3</c:v>
                  </c:pt>
                  <c:pt idx="16">
                    <c:v>3.0149177111612704E-4</c:v>
                  </c:pt>
                  <c:pt idx="17">
                    <c:v>2.5086919662740594E-3</c:v>
                  </c:pt>
                  <c:pt idx="18">
                    <c:v>5.9117769254602326E-4</c:v>
                  </c:pt>
                  <c:pt idx="19">
                    <c:v>2.1536833744785233E-3</c:v>
                  </c:pt>
                  <c:pt idx="20">
                    <c:v>-3.9247395278143264E-5</c:v>
                  </c:pt>
                  <c:pt idx="21">
                    <c:v>-1.9551566242635601E-3</c:v>
                  </c:pt>
                </c:numCache>
              </c:numRef>
            </c:plus>
            <c:minus>
              <c:numRef>
                <c:f>'Growth curves UTEX #1926'!$T$29:$T$50</c:f>
                <c:numCache>
                  <c:formatCode>General</c:formatCode>
                  <c:ptCount val="22"/>
                  <c:pt idx="1">
                    <c:v>7.7183870412403377E-2</c:v>
                  </c:pt>
                  <c:pt idx="2">
                    <c:v>5.4218903696068306E-2</c:v>
                  </c:pt>
                  <c:pt idx="3">
                    <c:v>9.9605869913454992E-3</c:v>
                  </c:pt>
                  <c:pt idx="4">
                    <c:v>3.1758694846813255E-2</c:v>
                  </c:pt>
                  <c:pt idx="5">
                    <c:v>3.0897886971607034E-2</c:v>
                  </c:pt>
                  <c:pt idx="6">
                    <c:v>1.7372122962822374E-2</c:v>
                  </c:pt>
                  <c:pt idx="7">
                    <c:v>1.9759143267213133E-2</c:v>
                  </c:pt>
                  <c:pt idx="8">
                    <c:v>1.7226332033501698E-2</c:v>
                  </c:pt>
                  <c:pt idx="9">
                    <c:v>9.0695781434151496E-3</c:v>
                  </c:pt>
                  <c:pt idx="10">
                    <c:v>1.3275453327571579E-2</c:v>
                  </c:pt>
                  <c:pt idx="11">
                    <c:v>1.3091031637214859E-2</c:v>
                  </c:pt>
                  <c:pt idx="12">
                    <c:v>3.2627086681801566E-3</c:v>
                  </c:pt>
                  <c:pt idx="13">
                    <c:v>4.6218152603999469E-3</c:v>
                  </c:pt>
                  <c:pt idx="14">
                    <c:v>8.1651355416890602E-4</c:v>
                  </c:pt>
                  <c:pt idx="15">
                    <c:v>2.4350114990845245E-3</c:v>
                  </c:pt>
                  <c:pt idx="16">
                    <c:v>3.0149177111612704E-4</c:v>
                  </c:pt>
                  <c:pt idx="17">
                    <c:v>2.5086919662740594E-3</c:v>
                  </c:pt>
                  <c:pt idx="18">
                    <c:v>5.9117769254602326E-4</c:v>
                  </c:pt>
                  <c:pt idx="19">
                    <c:v>2.1536833744785233E-3</c:v>
                  </c:pt>
                  <c:pt idx="20">
                    <c:v>-3.9247395278143264E-5</c:v>
                  </c:pt>
                  <c:pt idx="21">
                    <c:v>-1.9551566242635601E-3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#1926'!$D$29:$D$50</c:f>
              <c:numCache>
                <c:formatCode>0</c:formatCode>
                <c:ptCount val="22"/>
                <c:pt idx="0" formatCode="General">
                  <c:v>0</c:v>
                </c:pt>
                <c:pt idx="1">
                  <c:v>4</c:v>
                </c:pt>
                <c:pt idx="2">
                  <c:v>6.3</c:v>
                </c:pt>
                <c:pt idx="3">
                  <c:v>11.033333333333333</c:v>
                </c:pt>
                <c:pt idx="4">
                  <c:v>23.383333333333333</c:v>
                </c:pt>
                <c:pt idx="5">
                  <c:v>26.533333333333331</c:v>
                </c:pt>
                <c:pt idx="6">
                  <c:v>30.566666666666663</c:v>
                </c:pt>
                <c:pt idx="7">
                  <c:v>48.216666666666661</c:v>
                </c:pt>
                <c:pt idx="8">
                  <c:v>71.599999999999994</c:v>
                </c:pt>
                <c:pt idx="9">
                  <c:v>95.73333333333332</c:v>
                </c:pt>
                <c:pt idx="10">
                  <c:v>121.39999999999999</c:v>
                </c:pt>
                <c:pt idx="11">
                  <c:v>145.54999999999998</c:v>
                </c:pt>
                <c:pt idx="12">
                  <c:v>167.6</c:v>
                </c:pt>
                <c:pt idx="13">
                  <c:v>189.23333333333332</c:v>
                </c:pt>
                <c:pt idx="14">
                  <c:v>216.35</c:v>
                </c:pt>
                <c:pt idx="15">
                  <c:v>240.6</c:v>
                </c:pt>
                <c:pt idx="16">
                  <c:v>289.68333333333334</c:v>
                </c:pt>
                <c:pt idx="17">
                  <c:v>313.7166666666667</c:v>
                </c:pt>
                <c:pt idx="18">
                  <c:v>336.95000000000005</c:v>
                </c:pt>
                <c:pt idx="19">
                  <c:v>359.76666666666671</c:v>
                </c:pt>
                <c:pt idx="20">
                  <c:v>385.23333333333335</c:v>
                </c:pt>
                <c:pt idx="21">
                  <c:v>408.78333333333336</c:v>
                </c:pt>
              </c:numCache>
            </c:numRef>
          </c:xVal>
          <c:yVal>
            <c:numRef>
              <c:f>'Growth curves UTEX #1926'!$L$29:$L$50</c:f>
              <c:numCache>
                <c:formatCode>0.000</c:formatCode>
                <c:ptCount val="22"/>
                <c:pt idx="0">
                  <c:v>0.11798253333333335</c:v>
                </c:pt>
                <c:pt idx="1">
                  <c:v>0.15870960000000001</c:v>
                </c:pt>
                <c:pt idx="2">
                  <c:v>0.16668706666666666</c:v>
                </c:pt>
                <c:pt idx="3">
                  <c:v>0.19061946666666671</c:v>
                </c:pt>
                <c:pt idx="4">
                  <c:v>0.29390666666666665</c:v>
                </c:pt>
                <c:pt idx="5">
                  <c:v>0.2989450666666667</c:v>
                </c:pt>
                <c:pt idx="6">
                  <c:v>0.31322053333333333</c:v>
                </c:pt>
                <c:pt idx="7">
                  <c:v>0.46563213333333336</c:v>
                </c:pt>
                <c:pt idx="8">
                  <c:v>0.69529920000000012</c:v>
                </c:pt>
                <c:pt idx="9">
                  <c:v>0.88843786666666669</c:v>
                </c:pt>
                <c:pt idx="10">
                  <c:v>1.2121550666666667</c:v>
                </c:pt>
                <c:pt idx="11">
                  <c:v>1.5786986666666667</c:v>
                </c:pt>
                <c:pt idx="12">
                  <c:v>1.8482530666666668</c:v>
                </c:pt>
                <c:pt idx="13">
                  <c:v>1.9246688000000001</c:v>
                </c:pt>
                <c:pt idx="14">
                  <c:v>2.0069626666666665</c:v>
                </c:pt>
                <c:pt idx="15">
                  <c:v>2.0237573333333336</c:v>
                </c:pt>
                <c:pt idx="16">
                  <c:v>2.1875053333333336</c:v>
                </c:pt>
                <c:pt idx="17">
                  <c:v>2.2387290666666666</c:v>
                </c:pt>
                <c:pt idx="18">
                  <c:v>2.3529328</c:v>
                </c:pt>
                <c:pt idx="19">
                  <c:v>2.4201114666666665</c:v>
                </c:pt>
                <c:pt idx="20">
                  <c:v>2.4814120000000002</c:v>
                </c:pt>
                <c:pt idx="21">
                  <c:v>2.4990463999999997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61-124B-A591-51141DC94B19}"/>
            </c:ext>
          </c:extLst>
        </c:ser>
        <c:ser>
          <c:idx val="2"/>
          <c:order val="2"/>
          <c:tx>
            <c:strRef>
              <c:f>'Growth curves UTEX #1926'!$B$51:$AB$51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#1926'!$M$54:$M$74</c:f>
                <c:numCache>
                  <c:formatCode>General</c:formatCode>
                  <c:ptCount val="21"/>
                  <c:pt idx="0">
                    <c:v>2.3377186638068935E-3</c:v>
                  </c:pt>
                  <c:pt idx="1">
                    <c:v>2.0993333333333419E-3</c:v>
                  </c:pt>
                  <c:pt idx="2">
                    <c:v>7.3206254790451073E-3</c:v>
                  </c:pt>
                  <c:pt idx="3">
                    <c:v>4.3835366928745749E-3</c:v>
                  </c:pt>
                  <c:pt idx="4">
                    <c:v>7.7760394866395813E-3</c:v>
                  </c:pt>
                  <c:pt idx="5">
                    <c:v>6.9373358613615639E-3</c:v>
                  </c:pt>
                  <c:pt idx="6">
                    <c:v>1.1108627838056595E-3</c:v>
                  </c:pt>
                  <c:pt idx="7">
                    <c:v>1.6904522377688705E-2</c:v>
                  </c:pt>
                  <c:pt idx="8">
                    <c:v>1.2811094588328891E-2</c:v>
                  </c:pt>
                  <c:pt idx="9">
                    <c:v>3.2444040348746851E-2</c:v>
                  </c:pt>
                  <c:pt idx="10">
                    <c:v>1.6492798774953625E-2</c:v>
                  </c:pt>
                  <c:pt idx="11">
                    <c:v>5.3082837868373284E-2</c:v>
                  </c:pt>
                  <c:pt idx="12">
                    <c:v>5.1710121385018397E-2</c:v>
                  </c:pt>
                  <c:pt idx="13">
                    <c:v>2.8612611809480215E-2</c:v>
                  </c:pt>
                  <c:pt idx="14">
                    <c:v>7.807262325991382E-2</c:v>
                  </c:pt>
                  <c:pt idx="15">
                    <c:v>9.4005136855197541E-2</c:v>
                  </c:pt>
                  <c:pt idx="16">
                    <c:v>0.1108447999999999</c:v>
                  </c:pt>
                  <c:pt idx="17">
                    <c:v>0.10005168065301717</c:v>
                  </c:pt>
                  <c:pt idx="18">
                    <c:v>0.13442816716136699</c:v>
                  </c:pt>
                  <c:pt idx="19">
                    <c:v>8.6647297136840815E-2</c:v>
                  </c:pt>
                  <c:pt idx="20">
                    <c:v>0.22388462356935362</c:v>
                  </c:pt>
                </c:numCache>
              </c:numRef>
            </c:plus>
            <c:minus>
              <c:numRef>
                <c:f>'Growth curves UTEX #1926'!$M$54:$M$74</c:f>
                <c:numCache>
                  <c:formatCode>General</c:formatCode>
                  <c:ptCount val="21"/>
                  <c:pt idx="0">
                    <c:v>2.3377186638068935E-3</c:v>
                  </c:pt>
                  <c:pt idx="1">
                    <c:v>2.0993333333333419E-3</c:v>
                  </c:pt>
                  <c:pt idx="2">
                    <c:v>7.3206254790451073E-3</c:v>
                  </c:pt>
                  <c:pt idx="3">
                    <c:v>4.3835366928745749E-3</c:v>
                  </c:pt>
                  <c:pt idx="4">
                    <c:v>7.7760394866395813E-3</c:v>
                  </c:pt>
                  <c:pt idx="5">
                    <c:v>6.9373358613615639E-3</c:v>
                  </c:pt>
                  <c:pt idx="6">
                    <c:v>1.1108627838056595E-3</c:v>
                  </c:pt>
                  <c:pt idx="7">
                    <c:v>1.6904522377688705E-2</c:v>
                  </c:pt>
                  <c:pt idx="8">
                    <c:v>1.2811094588328891E-2</c:v>
                  </c:pt>
                  <c:pt idx="9">
                    <c:v>3.2444040348746851E-2</c:v>
                  </c:pt>
                  <c:pt idx="10">
                    <c:v>1.6492798774953625E-2</c:v>
                  </c:pt>
                  <c:pt idx="11">
                    <c:v>5.3082837868373284E-2</c:v>
                  </c:pt>
                  <c:pt idx="12">
                    <c:v>5.1710121385018397E-2</c:v>
                  </c:pt>
                  <c:pt idx="13">
                    <c:v>2.8612611809480215E-2</c:v>
                  </c:pt>
                  <c:pt idx="14">
                    <c:v>7.807262325991382E-2</c:v>
                  </c:pt>
                  <c:pt idx="15">
                    <c:v>9.4005136855197541E-2</c:v>
                  </c:pt>
                  <c:pt idx="16">
                    <c:v>0.1108447999999999</c:v>
                  </c:pt>
                  <c:pt idx="17">
                    <c:v>0.10005168065301717</c:v>
                  </c:pt>
                  <c:pt idx="18">
                    <c:v>0.13442816716136699</c:v>
                  </c:pt>
                  <c:pt idx="19">
                    <c:v>8.6647297136840815E-2</c:v>
                  </c:pt>
                  <c:pt idx="20">
                    <c:v>0.22388462356935362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#1926'!$D$54:$D$74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3.5</c:v>
                </c:pt>
                <c:pt idx="2">
                  <c:v>5.8</c:v>
                </c:pt>
                <c:pt idx="3">
                  <c:v>10.533333333333333</c:v>
                </c:pt>
                <c:pt idx="4">
                  <c:v>22.966666666666669</c:v>
                </c:pt>
                <c:pt idx="5">
                  <c:v>26.266666666666669</c:v>
                </c:pt>
                <c:pt idx="6">
                  <c:v>30.06666666666667</c:v>
                </c:pt>
                <c:pt idx="7">
                  <c:v>47.766666666666666</c:v>
                </c:pt>
                <c:pt idx="8">
                  <c:v>71.5</c:v>
                </c:pt>
                <c:pt idx="9">
                  <c:v>95.383333333333326</c:v>
                </c:pt>
                <c:pt idx="10">
                  <c:v>120.93333333333332</c:v>
                </c:pt>
                <c:pt idx="11">
                  <c:v>145.11666666666665</c:v>
                </c:pt>
                <c:pt idx="12">
                  <c:v>167.18333333333331</c:v>
                </c:pt>
                <c:pt idx="13">
                  <c:v>215.68333333333331</c:v>
                </c:pt>
                <c:pt idx="14">
                  <c:v>240.24999999999997</c:v>
                </c:pt>
                <c:pt idx="15">
                  <c:v>289.31666666666666</c:v>
                </c:pt>
                <c:pt idx="16">
                  <c:v>313.33333333333331</c:v>
                </c:pt>
                <c:pt idx="17">
                  <c:v>336.56666666666666</c:v>
                </c:pt>
                <c:pt idx="18">
                  <c:v>359.45</c:v>
                </c:pt>
                <c:pt idx="19">
                  <c:v>384.9</c:v>
                </c:pt>
                <c:pt idx="20">
                  <c:v>408.43333333333328</c:v>
                </c:pt>
              </c:numCache>
            </c:numRef>
          </c:xVal>
          <c:yVal>
            <c:numRef>
              <c:f>'Growth curves UTEX #1926'!$L$54:$L$74</c:f>
              <c:numCache>
                <c:formatCode>0.000</c:formatCode>
                <c:ptCount val="21"/>
                <c:pt idx="0">
                  <c:v>0.12679973333333333</c:v>
                </c:pt>
                <c:pt idx="1">
                  <c:v>0.16584733333333335</c:v>
                </c:pt>
                <c:pt idx="2">
                  <c:v>0.17592413333333334</c:v>
                </c:pt>
                <c:pt idx="3">
                  <c:v>0.2057346666666667</c:v>
                </c:pt>
                <c:pt idx="4">
                  <c:v>0.28131066666666671</c:v>
                </c:pt>
                <c:pt idx="5">
                  <c:v>0.29978480000000002</c:v>
                </c:pt>
                <c:pt idx="6">
                  <c:v>0.33463373333333335</c:v>
                </c:pt>
                <c:pt idx="7">
                  <c:v>0.47528906666666665</c:v>
                </c:pt>
                <c:pt idx="8">
                  <c:v>0.69823826666666677</c:v>
                </c:pt>
                <c:pt idx="9">
                  <c:v>0.91656893333333322</c:v>
                </c:pt>
                <c:pt idx="10">
                  <c:v>1.2440649333333333</c:v>
                </c:pt>
                <c:pt idx="11">
                  <c:v>1.6097688000000001</c:v>
                </c:pt>
                <c:pt idx="12">
                  <c:v>1.9725336000000002</c:v>
                </c:pt>
                <c:pt idx="13">
                  <c:v>2.4360664000000001</c:v>
                </c:pt>
                <c:pt idx="14">
                  <c:v>2.8786058666666663</c:v>
                </c:pt>
                <c:pt idx="15">
                  <c:v>3.4345093333333332</c:v>
                </c:pt>
                <c:pt idx="16">
                  <c:v>3.3958815999999996</c:v>
                </c:pt>
                <c:pt idx="17">
                  <c:v>3.3757280000000001</c:v>
                </c:pt>
                <c:pt idx="18">
                  <c:v>3.3564141333333333</c:v>
                </c:pt>
                <c:pt idx="19">
                  <c:v>3.4185544000000001</c:v>
                </c:pt>
                <c:pt idx="20">
                  <c:v>3.5100853333333339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61-124B-A591-51141DC94B19}"/>
            </c:ext>
          </c:extLst>
        </c:ser>
        <c:ser>
          <c:idx val="3"/>
          <c:order val="3"/>
          <c:tx>
            <c:strRef>
              <c:f>'Growth curves UTEX #1926'!$B$75:$AB$75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'Growth curves UTEX #1926'!$D$78:$D$97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2.9666666666666668</c:v>
                </c:pt>
                <c:pt idx="2">
                  <c:v>5.3000000000000007</c:v>
                </c:pt>
                <c:pt idx="3">
                  <c:v>10</c:v>
                </c:pt>
                <c:pt idx="4">
                  <c:v>23.283333333333331</c:v>
                </c:pt>
                <c:pt idx="5">
                  <c:v>26.333333333333332</c:v>
                </c:pt>
                <c:pt idx="6">
                  <c:v>30.483333333333334</c:v>
                </c:pt>
                <c:pt idx="7">
                  <c:v>118.83333333333333</c:v>
                </c:pt>
                <c:pt idx="8">
                  <c:v>142.11666666666667</c:v>
                </c:pt>
                <c:pt idx="9">
                  <c:v>170.65</c:v>
                </c:pt>
                <c:pt idx="10">
                  <c:v>192.53333333333333</c:v>
                </c:pt>
                <c:pt idx="11">
                  <c:v>216.23333333333332</c:v>
                </c:pt>
                <c:pt idx="12">
                  <c:v>240.56666666666666</c:v>
                </c:pt>
                <c:pt idx="13">
                  <c:v>264.06666666666666</c:v>
                </c:pt>
                <c:pt idx="14">
                  <c:v>288.31666666666666</c:v>
                </c:pt>
                <c:pt idx="15">
                  <c:v>312.56666666666666</c:v>
                </c:pt>
                <c:pt idx="16">
                  <c:v>336.4</c:v>
                </c:pt>
                <c:pt idx="17">
                  <c:v>360.2</c:v>
                </c:pt>
                <c:pt idx="18">
                  <c:v>384.11666666666667</c:v>
                </c:pt>
                <c:pt idx="19">
                  <c:v>408.66666666666669</c:v>
                </c:pt>
              </c:numCache>
            </c:numRef>
          </c:xVal>
          <c:yVal>
            <c:numRef>
              <c:f>'Growth curves UTEX #1926'!$L$78:$L$97</c:f>
              <c:numCache>
                <c:formatCode>0.000</c:formatCode>
                <c:ptCount val="20"/>
                <c:pt idx="0">
                  <c:v>0.13435733333333336</c:v>
                </c:pt>
                <c:pt idx="1">
                  <c:v>0.15157186666666667</c:v>
                </c:pt>
                <c:pt idx="2">
                  <c:v>0.17088573333333335</c:v>
                </c:pt>
                <c:pt idx="3">
                  <c:v>0.20279560000000005</c:v>
                </c:pt>
                <c:pt idx="4">
                  <c:v>0.23806440000000004</c:v>
                </c:pt>
                <c:pt idx="5">
                  <c:v>0.2989450666666667</c:v>
                </c:pt>
                <c:pt idx="6">
                  <c:v>0.33757280000000006</c:v>
                </c:pt>
                <c:pt idx="7">
                  <c:v>1.3376952</c:v>
                </c:pt>
                <c:pt idx="8">
                  <c:v>1.6534349333333334</c:v>
                </c:pt>
                <c:pt idx="9">
                  <c:v>1.851612</c:v>
                </c:pt>
                <c:pt idx="10">
                  <c:v>2.1287240000000001</c:v>
                </c:pt>
                <c:pt idx="11">
                  <c:v>2.3243818666666667</c:v>
                </c:pt>
                <c:pt idx="12">
                  <c:v>2.7106592000000003</c:v>
                </c:pt>
                <c:pt idx="13">
                  <c:v>2.9852520000000005</c:v>
                </c:pt>
                <c:pt idx="14">
                  <c:v>3.413516</c:v>
                </c:pt>
                <c:pt idx="15">
                  <c:v>3.604135466666667</c:v>
                </c:pt>
                <c:pt idx="16">
                  <c:v>3.7435312000000001</c:v>
                </c:pt>
                <c:pt idx="17">
                  <c:v>3.7036438666666669</c:v>
                </c:pt>
                <c:pt idx="18">
                  <c:v>3.7968542666666671</c:v>
                </c:pt>
                <c:pt idx="19">
                  <c:v>3.7997933333333336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61-124B-A591-51141DC94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CeBER'!$AF$5:$AF$19</c:f>
                <c:numCache>
                  <c:formatCode>General</c:formatCode>
                  <c:ptCount val="15"/>
                  <c:pt idx="0">
                    <c:v>1.5697867774858496</c:v>
                  </c:pt>
                  <c:pt idx="1">
                    <c:v>1.155208727393416</c:v>
                  </c:pt>
                  <c:pt idx="2">
                    <c:v>1.0151508267707705</c:v>
                  </c:pt>
                  <c:pt idx="3">
                    <c:v>3.0057457431534997</c:v>
                  </c:pt>
                  <c:pt idx="4">
                    <c:v>2.0272838772455626</c:v>
                  </c:pt>
                  <c:pt idx="5">
                    <c:v>3.4421829168819214</c:v>
                  </c:pt>
                  <c:pt idx="6">
                    <c:v>2.2801806753173759</c:v>
                  </c:pt>
                  <c:pt idx="7">
                    <c:v>2.0062999286126204</c:v>
                  </c:pt>
                  <c:pt idx="8">
                    <c:v>4.4429424445804768</c:v>
                  </c:pt>
                  <c:pt idx="9">
                    <c:v>1.1573822887901992</c:v>
                  </c:pt>
                  <c:pt idx="10">
                    <c:v>0.98288173551994462</c:v>
                  </c:pt>
                  <c:pt idx="11">
                    <c:v>0</c:v>
                  </c:pt>
                  <c:pt idx="12">
                    <c:v>3.8449593305427547</c:v>
                  </c:pt>
                  <c:pt idx="13">
                    <c:v>4.6645660650336787</c:v>
                  </c:pt>
                </c:numCache>
              </c:numRef>
            </c:plus>
            <c:minus>
              <c:numRef>
                <c:f>'C-phycocyanin CeBER'!$AF$5:$AF$19</c:f>
                <c:numCache>
                  <c:formatCode>General</c:formatCode>
                  <c:ptCount val="15"/>
                  <c:pt idx="0">
                    <c:v>1.5697867774858496</c:v>
                  </c:pt>
                  <c:pt idx="1">
                    <c:v>1.155208727393416</c:v>
                  </c:pt>
                  <c:pt idx="2">
                    <c:v>1.0151508267707705</c:v>
                  </c:pt>
                  <c:pt idx="3">
                    <c:v>3.0057457431534997</c:v>
                  </c:pt>
                  <c:pt idx="4">
                    <c:v>2.0272838772455626</c:v>
                  </c:pt>
                  <c:pt idx="5">
                    <c:v>3.4421829168819214</c:v>
                  </c:pt>
                  <c:pt idx="6">
                    <c:v>2.2801806753173759</c:v>
                  </c:pt>
                  <c:pt idx="7">
                    <c:v>2.0062999286126204</c:v>
                  </c:pt>
                  <c:pt idx="8">
                    <c:v>4.4429424445804768</c:v>
                  </c:pt>
                  <c:pt idx="9">
                    <c:v>1.1573822887901992</c:v>
                  </c:pt>
                  <c:pt idx="10">
                    <c:v>0.98288173551994462</c:v>
                  </c:pt>
                  <c:pt idx="11">
                    <c:v>0</c:v>
                  </c:pt>
                  <c:pt idx="12">
                    <c:v>3.8449593305427547</c:v>
                  </c:pt>
                  <c:pt idx="13">
                    <c:v>4.6645660650336787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CeBER'!$AD$5:$AD$18</c:f>
              <c:numCache>
                <c:formatCode>0</c:formatCode>
                <c:ptCount val="14"/>
                <c:pt idx="0">
                  <c:v>22.516666666666666</c:v>
                </c:pt>
                <c:pt idx="1">
                  <c:v>70.783333333333331</c:v>
                </c:pt>
                <c:pt idx="2">
                  <c:v>94.933333333333337</c:v>
                </c:pt>
                <c:pt idx="3">
                  <c:v>120.41666666666667</c:v>
                </c:pt>
                <c:pt idx="4">
                  <c:v>144.66666666666669</c:v>
                </c:pt>
                <c:pt idx="5">
                  <c:v>166.70000000000002</c:v>
                </c:pt>
                <c:pt idx="6">
                  <c:v>214.98333333333335</c:v>
                </c:pt>
                <c:pt idx="7">
                  <c:v>240.01666666666668</c:v>
                </c:pt>
                <c:pt idx="8">
                  <c:v>288.88333333333333</c:v>
                </c:pt>
                <c:pt idx="9">
                  <c:v>312.91666666666669</c:v>
                </c:pt>
                <c:pt idx="10">
                  <c:v>336.16666666666669</c:v>
                </c:pt>
                <c:pt idx="11">
                  <c:v>359.05</c:v>
                </c:pt>
                <c:pt idx="12">
                  <c:v>384.48333333333335</c:v>
                </c:pt>
                <c:pt idx="13">
                  <c:v>408.03333333333336</c:v>
                </c:pt>
              </c:numCache>
            </c:numRef>
          </c:xVal>
          <c:yVal>
            <c:numRef>
              <c:f>'C-phycocyanin CeBER'!$AE$5:$AE$18</c:f>
              <c:numCache>
                <c:formatCode>0.00</c:formatCode>
                <c:ptCount val="14"/>
                <c:pt idx="0">
                  <c:v>21.961937793009131</c:v>
                </c:pt>
                <c:pt idx="1">
                  <c:v>28.258584222517381</c:v>
                </c:pt>
                <c:pt idx="2">
                  <c:v>39.901898957132907</c:v>
                </c:pt>
                <c:pt idx="3">
                  <c:v>44.352903574149593</c:v>
                </c:pt>
                <c:pt idx="4">
                  <c:v>46.433578827933637</c:v>
                </c:pt>
                <c:pt idx="5">
                  <c:v>47.72461289680615</c:v>
                </c:pt>
                <c:pt idx="6">
                  <c:v>35.728050371952357</c:v>
                </c:pt>
                <c:pt idx="7">
                  <c:v>39.04534323927448</c:v>
                </c:pt>
                <c:pt idx="8">
                  <c:v>39.972146356155889</c:v>
                </c:pt>
                <c:pt idx="9">
                  <c:v>39.022841499092408</c:v>
                </c:pt>
                <c:pt idx="10">
                  <c:v>45.684810558657738</c:v>
                </c:pt>
                <c:pt idx="11">
                  <c:v>48.912528866497965</c:v>
                </c:pt>
                <c:pt idx="12">
                  <c:v>48.780821390168455</c:v>
                </c:pt>
                <c:pt idx="13">
                  <c:v>53.585289086859099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54-0745-A9CD-5BC31C1B79B0}"/>
            </c:ext>
          </c:extLst>
        </c:ser>
        <c:ser>
          <c:idx val="1"/>
          <c:order val="1"/>
          <c:tx>
            <c:strRef>
              <c:f>'C-phycocyanin CeBER'!$B$50:$AB$50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CeBER'!$AF$52:$AF$68</c:f>
                <c:numCache>
                  <c:formatCode>General</c:formatCode>
                  <c:ptCount val="17"/>
                  <c:pt idx="0">
                    <c:v>1.4318365615832005</c:v>
                  </c:pt>
                  <c:pt idx="1">
                    <c:v>5.0999210332738238</c:v>
                  </c:pt>
                  <c:pt idx="2">
                    <c:v>1.2406684737144702</c:v>
                  </c:pt>
                  <c:pt idx="3">
                    <c:v>2.3721234722376057</c:v>
                  </c:pt>
                  <c:pt idx="4">
                    <c:v>5.1336139346033534</c:v>
                  </c:pt>
                  <c:pt idx="5">
                    <c:v>5.2677109801668101</c:v>
                  </c:pt>
                  <c:pt idx="6">
                    <c:v>1.8594300458127397</c:v>
                  </c:pt>
                  <c:pt idx="7">
                    <c:v>1.0442626285427694</c:v>
                  </c:pt>
                  <c:pt idx="8">
                    <c:v>1.7273621983595608</c:v>
                  </c:pt>
                  <c:pt idx="9">
                    <c:v>2.2315150290697838</c:v>
                  </c:pt>
                  <c:pt idx="10">
                    <c:v>1.0629088866079239</c:v>
                  </c:pt>
                  <c:pt idx="11">
                    <c:v>3.2080685456845237</c:v>
                  </c:pt>
                  <c:pt idx="12">
                    <c:v>2.9757022766609977</c:v>
                  </c:pt>
                  <c:pt idx="13">
                    <c:v>5.121224632209489</c:v>
                  </c:pt>
                  <c:pt idx="14">
                    <c:v>3.4403827912624991</c:v>
                  </c:pt>
                </c:numCache>
              </c:numRef>
            </c:plus>
            <c:minus>
              <c:numRef>
                <c:f>'C-phycocyanin CeBER'!$AF$52:$AF$68</c:f>
                <c:numCache>
                  <c:formatCode>General</c:formatCode>
                  <c:ptCount val="17"/>
                  <c:pt idx="0">
                    <c:v>1.4318365615832005</c:v>
                  </c:pt>
                  <c:pt idx="1">
                    <c:v>5.0999210332738238</c:v>
                  </c:pt>
                  <c:pt idx="2">
                    <c:v>1.2406684737144702</c:v>
                  </c:pt>
                  <c:pt idx="3">
                    <c:v>2.3721234722376057</c:v>
                  </c:pt>
                  <c:pt idx="4">
                    <c:v>5.1336139346033534</c:v>
                  </c:pt>
                  <c:pt idx="5">
                    <c:v>5.2677109801668101</c:v>
                  </c:pt>
                  <c:pt idx="6">
                    <c:v>1.8594300458127397</c:v>
                  </c:pt>
                  <c:pt idx="7">
                    <c:v>1.0442626285427694</c:v>
                  </c:pt>
                  <c:pt idx="8">
                    <c:v>1.7273621983595608</c:v>
                  </c:pt>
                  <c:pt idx="9">
                    <c:v>2.2315150290697838</c:v>
                  </c:pt>
                  <c:pt idx="10">
                    <c:v>1.0629088866079239</c:v>
                  </c:pt>
                  <c:pt idx="11">
                    <c:v>3.2080685456845237</c:v>
                  </c:pt>
                  <c:pt idx="12">
                    <c:v>2.9757022766609977</c:v>
                  </c:pt>
                  <c:pt idx="13">
                    <c:v>5.121224632209489</c:v>
                  </c:pt>
                  <c:pt idx="14">
                    <c:v>3.4403827912624991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CeBER'!$AD$52:$AD$66</c:f>
              <c:numCache>
                <c:formatCode>0</c:formatCode>
                <c:ptCount val="15"/>
                <c:pt idx="0">
                  <c:v>23.383333333333333</c:v>
                </c:pt>
                <c:pt idx="1">
                  <c:v>71.599999999999994</c:v>
                </c:pt>
                <c:pt idx="2">
                  <c:v>95.73333333333332</c:v>
                </c:pt>
                <c:pt idx="3">
                  <c:v>121.39999999999999</c:v>
                </c:pt>
                <c:pt idx="4">
                  <c:v>145.54999999999998</c:v>
                </c:pt>
                <c:pt idx="5">
                  <c:v>167.6</c:v>
                </c:pt>
                <c:pt idx="6">
                  <c:v>189.23333333333332</c:v>
                </c:pt>
                <c:pt idx="7">
                  <c:v>216.35</c:v>
                </c:pt>
                <c:pt idx="8">
                  <c:v>240.6</c:v>
                </c:pt>
                <c:pt idx="9">
                  <c:v>289.68333333333334</c:v>
                </c:pt>
                <c:pt idx="10">
                  <c:v>313.7166666666667</c:v>
                </c:pt>
                <c:pt idx="11">
                  <c:v>336.95000000000005</c:v>
                </c:pt>
                <c:pt idx="12">
                  <c:v>359.76666666666671</c:v>
                </c:pt>
                <c:pt idx="13">
                  <c:v>385.23333333333335</c:v>
                </c:pt>
                <c:pt idx="14">
                  <c:v>408.78333333333336</c:v>
                </c:pt>
              </c:numCache>
            </c:numRef>
          </c:xVal>
          <c:yVal>
            <c:numRef>
              <c:f>'C-phycocyanin CeBER'!$AE$52:$AE$66</c:f>
              <c:numCache>
                <c:formatCode>0.00</c:formatCode>
                <c:ptCount val="15"/>
                <c:pt idx="0">
                  <c:v>21.876942056817949</c:v>
                </c:pt>
                <c:pt idx="1">
                  <c:v>24.277887838273326</c:v>
                </c:pt>
                <c:pt idx="2">
                  <c:v>37.995997935536046</c:v>
                </c:pt>
                <c:pt idx="3">
                  <c:v>39.746302852446846</c:v>
                </c:pt>
                <c:pt idx="4">
                  <c:v>48.63517784126055</c:v>
                </c:pt>
                <c:pt idx="5">
                  <c:v>51.25450093038372</c:v>
                </c:pt>
                <c:pt idx="6">
                  <c:v>39.878783571835299</c:v>
                </c:pt>
                <c:pt idx="7">
                  <c:v>35.495690038039463</c:v>
                </c:pt>
                <c:pt idx="8">
                  <c:v>43.74456559237084</c:v>
                </c:pt>
                <c:pt idx="9">
                  <c:v>37.047491550297401</c:v>
                </c:pt>
                <c:pt idx="10">
                  <c:v>43.682128236862603</c:v>
                </c:pt>
                <c:pt idx="11">
                  <c:v>50.490708279218133</c:v>
                </c:pt>
                <c:pt idx="12">
                  <c:v>50.811076186042179</c:v>
                </c:pt>
                <c:pt idx="13">
                  <c:v>56.131438225239641</c:v>
                </c:pt>
                <c:pt idx="14">
                  <c:v>57.166552563576907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54-0745-A9CD-5BC31C1B79B0}"/>
            </c:ext>
          </c:extLst>
        </c:ser>
        <c:ser>
          <c:idx val="2"/>
          <c:order val="2"/>
          <c:tx>
            <c:strRef>
              <c:f>'C-phycocyanin CeBER'!$B$101:$AB$101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CeBER'!$AF$103:$AF$119</c:f>
                <c:numCache>
                  <c:formatCode>General</c:formatCode>
                  <c:ptCount val="17"/>
                  <c:pt idx="0">
                    <c:v>0.74174689884532563</c:v>
                  </c:pt>
                  <c:pt idx="1">
                    <c:v>1.7044789788066284</c:v>
                  </c:pt>
                  <c:pt idx="2">
                    <c:v>2.712052768782609</c:v>
                  </c:pt>
                  <c:pt idx="3">
                    <c:v>1.6954780742367068</c:v>
                  </c:pt>
                  <c:pt idx="4">
                    <c:v>3.9144310292182962</c:v>
                  </c:pt>
                  <c:pt idx="5">
                    <c:v>2.0340840720854048</c:v>
                  </c:pt>
                  <c:pt idx="6">
                    <c:v>2.6736004793564834</c:v>
                  </c:pt>
                  <c:pt idx="7">
                    <c:v>1.9075717698347068</c:v>
                  </c:pt>
                  <c:pt idx="8">
                    <c:v>4.1167173885052488</c:v>
                  </c:pt>
                  <c:pt idx="9">
                    <c:v>0.51853286424840905</c:v>
                  </c:pt>
                  <c:pt idx="10">
                    <c:v>0.97482137472375208</c:v>
                  </c:pt>
                  <c:pt idx="11">
                    <c:v>0</c:v>
                  </c:pt>
                  <c:pt idx="12">
                    <c:v>3.5551886461950293</c:v>
                  </c:pt>
                  <c:pt idx="13">
                    <c:v>7.763874022596351</c:v>
                  </c:pt>
                </c:numCache>
              </c:numRef>
            </c:plus>
            <c:minus>
              <c:numRef>
                <c:f>'C-phycocyanin CeBER'!$AF$103:$AF$119</c:f>
                <c:numCache>
                  <c:formatCode>General</c:formatCode>
                  <c:ptCount val="17"/>
                  <c:pt idx="0">
                    <c:v>0.74174689884532563</c:v>
                  </c:pt>
                  <c:pt idx="1">
                    <c:v>1.7044789788066284</c:v>
                  </c:pt>
                  <c:pt idx="2">
                    <c:v>2.712052768782609</c:v>
                  </c:pt>
                  <c:pt idx="3">
                    <c:v>1.6954780742367068</c:v>
                  </c:pt>
                  <c:pt idx="4">
                    <c:v>3.9144310292182962</c:v>
                  </c:pt>
                  <c:pt idx="5">
                    <c:v>2.0340840720854048</c:v>
                  </c:pt>
                  <c:pt idx="6">
                    <c:v>2.6736004793564834</c:v>
                  </c:pt>
                  <c:pt idx="7">
                    <c:v>1.9075717698347068</c:v>
                  </c:pt>
                  <c:pt idx="8">
                    <c:v>4.1167173885052488</c:v>
                  </c:pt>
                  <c:pt idx="9">
                    <c:v>0.51853286424840905</c:v>
                  </c:pt>
                  <c:pt idx="10">
                    <c:v>0.97482137472375208</c:v>
                  </c:pt>
                  <c:pt idx="11">
                    <c:v>0</c:v>
                  </c:pt>
                  <c:pt idx="12">
                    <c:v>3.5551886461950293</c:v>
                  </c:pt>
                  <c:pt idx="13">
                    <c:v>7.763874022596351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CeBER'!$AD$103:$AD$116</c:f>
              <c:numCache>
                <c:formatCode>0</c:formatCode>
                <c:ptCount val="14"/>
                <c:pt idx="0">
                  <c:v>22.966666666666669</c:v>
                </c:pt>
                <c:pt idx="1">
                  <c:v>71.5</c:v>
                </c:pt>
                <c:pt idx="2">
                  <c:v>95.383333333333326</c:v>
                </c:pt>
                <c:pt idx="3">
                  <c:v>120.93333333333332</c:v>
                </c:pt>
                <c:pt idx="4">
                  <c:v>145.11666666666665</c:v>
                </c:pt>
                <c:pt idx="5">
                  <c:v>167.18333333333331</c:v>
                </c:pt>
                <c:pt idx="6">
                  <c:v>215.68333333333331</c:v>
                </c:pt>
                <c:pt idx="7">
                  <c:v>240.24999999999997</c:v>
                </c:pt>
                <c:pt idx="8">
                  <c:v>289.31666666666666</c:v>
                </c:pt>
                <c:pt idx="9">
                  <c:v>313.33333333333331</c:v>
                </c:pt>
                <c:pt idx="10">
                  <c:v>336.56666666666666</c:v>
                </c:pt>
                <c:pt idx="11">
                  <c:v>359.45</c:v>
                </c:pt>
                <c:pt idx="12">
                  <c:v>384.9</c:v>
                </c:pt>
                <c:pt idx="13">
                  <c:v>408.43333333333328</c:v>
                </c:pt>
              </c:numCache>
            </c:numRef>
          </c:xVal>
          <c:yVal>
            <c:numRef>
              <c:f>'C-phycocyanin CeBER'!$AE$103:$AE$116</c:f>
              <c:numCache>
                <c:formatCode>0.00</c:formatCode>
                <c:ptCount val="14"/>
                <c:pt idx="0">
                  <c:v>21.030541407251764</c:v>
                </c:pt>
                <c:pt idx="1">
                  <c:v>28.345553027109982</c:v>
                </c:pt>
                <c:pt idx="2">
                  <c:v>43.081701000159136</c:v>
                </c:pt>
                <c:pt idx="3">
                  <c:v>44.810580903516019</c:v>
                </c:pt>
                <c:pt idx="4">
                  <c:v>52.42795288993085</c:v>
                </c:pt>
                <c:pt idx="5">
                  <c:v>53.425559094981338</c:v>
                </c:pt>
                <c:pt idx="6">
                  <c:v>39.624152366947357</c:v>
                </c:pt>
                <c:pt idx="7">
                  <c:v>40.436723880810355</c:v>
                </c:pt>
                <c:pt idx="8">
                  <c:v>36.729137632120512</c:v>
                </c:pt>
                <c:pt idx="9">
                  <c:v>41.23160855759955</c:v>
                </c:pt>
                <c:pt idx="10">
                  <c:v>41.522660351103347</c:v>
                </c:pt>
                <c:pt idx="11">
                  <c:v>45.072796888546996</c:v>
                </c:pt>
                <c:pt idx="12">
                  <c:v>41.091273264994861</c:v>
                </c:pt>
                <c:pt idx="13">
                  <c:v>34.732176746364694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54-0745-A9CD-5BC31C1B79B0}"/>
            </c:ext>
          </c:extLst>
        </c:ser>
        <c:ser>
          <c:idx val="3"/>
          <c:order val="3"/>
          <c:tx>
            <c:strRef>
              <c:f>'C-phycocyanin CeBER'!$B$149:$AB$149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'C-phycocyanin CeBER'!$AD$151:$AD$165</c:f>
              <c:numCache>
                <c:formatCode>0</c:formatCode>
                <c:ptCount val="15"/>
                <c:pt idx="0">
                  <c:v>0</c:v>
                </c:pt>
                <c:pt idx="1">
                  <c:v>23.633333333333333</c:v>
                </c:pt>
                <c:pt idx="2">
                  <c:v>119.18333333333334</c:v>
                </c:pt>
                <c:pt idx="3">
                  <c:v>142.46666666666667</c:v>
                </c:pt>
                <c:pt idx="4">
                  <c:v>171</c:v>
                </c:pt>
                <c:pt idx="5">
                  <c:v>192.88333333333333</c:v>
                </c:pt>
                <c:pt idx="6">
                  <c:v>216.6</c:v>
                </c:pt>
                <c:pt idx="7">
                  <c:v>240.85</c:v>
                </c:pt>
                <c:pt idx="9">
                  <c:v>288.60000000000002</c:v>
                </c:pt>
                <c:pt idx="10">
                  <c:v>312.85000000000002</c:v>
                </c:pt>
                <c:pt idx="11">
                  <c:v>336.68333333333334</c:v>
                </c:pt>
                <c:pt idx="13">
                  <c:v>384.40000000000003</c:v>
                </c:pt>
                <c:pt idx="14">
                  <c:v>408.95000000000005</c:v>
                </c:pt>
              </c:numCache>
            </c:numRef>
          </c:xVal>
          <c:yVal>
            <c:numRef>
              <c:f>'C-phycocyanin CeBER'!$AE$151:$AE$165</c:f>
              <c:numCache>
                <c:formatCode>0.00</c:formatCode>
                <c:ptCount val="15"/>
                <c:pt idx="0">
                  <c:v>43.929191353351428</c:v>
                </c:pt>
                <c:pt idx="1">
                  <c:v>21.127417534252931</c:v>
                </c:pt>
                <c:pt idx="2">
                  <c:v>35.959869932016858</c:v>
                </c:pt>
                <c:pt idx="3">
                  <c:v>46.409173365609298</c:v>
                </c:pt>
                <c:pt idx="4">
                  <c:v>53.543066344594543</c:v>
                </c:pt>
                <c:pt idx="5">
                  <c:v>41.353313214389743</c:v>
                </c:pt>
                <c:pt idx="6">
                  <c:v>37.156276103319243</c:v>
                </c:pt>
                <c:pt idx="7">
                  <c:v>38.55769870805284</c:v>
                </c:pt>
                <c:pt idx="9">
                  <c:v>45.387316127906026</c:v>
                </c:pt>
                <c:pt idx="10">
                  <c:v>45.511280125061639</c:v>
                </c:pt>
                <c:pt idx="11">
                  <c:v>55.928886864685403</c:v>
                </c:pt>
                <c:pt idx="13">
                  <c:v>55.077587161511133</c:v>
                </c:pt>
                <c:pt idx="14">
                  <c:v>61.625009278856901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954-0745-A9CD-5BC31C1B79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CeBER'!$AH$5:$AH$19</c:f>
                <c:numCache>
                  <c:formatCode>General</c:formatCode>
                  <c:ptCount val="15"/>
                  <c:pt idx="0">
                    <c:v>0.42581337162469107</c:v>
                  </c:pt>
                  <c:pt idx="1">
                    <c:v>0.62102695204752312</c:v>
                  </c:pt>
                  <c:pt idx="2">
                    <c:v>0.79651164481139047</c:v>
                  </c:pt>
                  <c:pt idx="3">
                    <c:v>3.2579199107336745</c:v>
                  </c:pt>
                  <c:pt idx="4">
                    <c:v>2.5737866578717141</c:v>
                  </c:pt>
                  <c:pt idx="5">
                    <c:v>6.1927319277129387</c:v>
                  </c:pt>
                  <c:pt idx="6">
                    <c:v>6.4131268348592227</c:v>
                  </c:pt>
                  <c:pt idx="7">
                    <c:v>6.1250859174299377</c:v>
                  </c:pt>
                  <c:pt idx="8">
                    <c:v>15.685276796867017</c:v>
                  </c:pt>
                  <c:pt idx="9">
                    <c:v>7.0564879027874463</c:v>
                  </c:pt>
                  <c:pt idx="10">
                    <c:v>11.398951517629467</c:v>
                  </c:pt>
                  <c:pt idx="11">
                    <c:v>0</c:v>
                  </c:pt>
                  <c:pt idx="12">
                    <c:v>9.1395073739267279</c:v>
                  </c:pt>
                  <c:pt idx="13">
                    <c:v>10.560695485209061</c:v>
                  </c:pt>
                </c:numCache>
              </c:numRef>
            </c:plus>
            <c:minus>
              <c:numRef>
                <c:f>'C-phycocyanin CeBER'!$AH$5:$AH$19</c:f>
                <c:numCache>
                  <c:formatCode>General</c:formatCode>
                  <c:ptCount val="15"/>
                  <c:pt idx="0">
                    <c:v>0.42581337162469107</c:v>
                  </c:pt>
                  <c:pt idx="1">
                    <c:v>0.62102695204752312</c:v>
                  </c:pt>
                  <c:pt idx="2">
                    <c:v>0.79651164481139047</c:v>
                  </c:pt>
                  <c:pt idx="3">
                    <c:v>3.2579199107336745</c:v>
                  </c:pt>
                  <c:pt idx="4">
                    <c:v>2.5737866578717141</c:v>
                  </c:pt>
                  <c:pt idx="5">
                    <c:v>6.1927319277129387</c:v>
                  </c:pt>
                  <c:pt idx="6">
                    <c:v>6.4131268348592227</c:v>
                  </c:pt>
                  <c:pt idx="7">
                    <c:v>6.1250859174299377</c:v>
                  </c:pt>
                  <c:pt idx="8">
                    <c:v>15.685276796867017</c:v>
                  </c:pt>
                  <c:pt idx="9">
                    <c:v>7.0564879027874463</c:v>
                  </c:pt>
                  <c:pt idx="10">
                    <c:v>11.398951517629467</c:v>
                  </c:pt>
                  <c:pt idx="11">
                    <c:v>0</c:v>
                  </c:pt>
                  <c:pt idx="12">
                    <c:v>9.1395073739267279</c:v>
                  </c:pt>
                  <c:pt idx="13">
                    <c:v>10.560695485209061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CeBER'!$AD$5:$AD$18</c:f>
              <c:numCache>
                <c:formatCode>0</c:formatCode>
                <c:ptCount val="14"/>
                <c:pt idx="0">
                  <c:v>22.516666666666666</c:v>
                </c:pt>
                <c:pt idx="1">
                  <c:v>70.783333333333331</c:v>
                </c:pt>
                <c:pt idx="2">
                  <c:v>94.933333333333337</c:v>
                </c:pt>
                <c:pt idx="3">
                  <c:v>120.41666666666667</c:v>
                </c:pt>
                <c:pt idx="4">
                  <c:v>144.66666666666669</c:v>
                </c:pt>
                <c:pt idx="5">
                  <c:v>166.70000000000002</c:v>
                </c:pt>
                <c:pt idx="6">
                  <c:v>214.98333333333335</c:v>
                </c:pt>
                <c:pt idx="7">
                  <c:v>240.01666666666668</c:v>
                </c:pt>
                <c:pt idx="8">
                  <c:v>288.88333333333333</c:v>
                </c:pt>
                <c:pt idx="9">
                  <c:v>312.91666666666669</c:v>
                </c:pt>
                <c:pt idx="10">
                  <c:v>336.16666666666669</c:v>
                </c:pt>
                <c:pt idx="11">
                  <c:v>359.05</c:v>
                </c:pt>
                <c:pt idx="12">
                  <c:v>384.48333333333335</c:v>
                </c:pt>
                <c:pt idx="13">
                  <c:v>408.03333333333336</c:v>
                </c:pt>
              </c:numCache>
            </c:numRef>
          </c:xVal>
          <c:yVal>
            <c:numRef>
              <c:f>'C-phycocyanin CeBER'!$AG$5:$AG$18</c:f>
              <c:numCache>
                <c:formatCode>0.00</c:formatCode>
                <c:ptCount val="14"/>
                <c:pt idx="0">
                  <c:v>6.3056523500810373</c:v>
                </c:pt>
                <c:pt idx="1">
                  <c:v>19.816437061048084</c:v>
                </c:pt>
                <c:pt idx="2">
                  <c:v>36.106402339276066</c:v>
                </c:pt>
                <c:pt idx="3">
                  <c:v>56.751459340896815</c:v>
                </c:pt>
                <c:pt idx="4">
                  <c:v>71.311209935170169</c:v>
                </c:pt>
                <c:pt idx="5">
                  <c:v>86.983352728254999</c:v>
                </c:pt>
                <c:pt idx="6">
                  <c:v>83.485548352242034</c:v>
                </c:pt>
                <c:pt idx="7">
                  <c:v>102.20752296056186</c:v>
                </c:pt>
                <c:pt idx="8">
                  <c:v>125.07212317666126</c:v>
                </c:pt>
                <c:pt idx="9">
                  <c:v>133.31253376553215</c:v>
                </c:pt>
                <c:pt idx="10">
                  <c:v>163.66351521699983</c:v>
                </c:pt>
                <c:pt idx="11">
                  <c:v>194.74108589951379</c:v>
                </c:pt>
                <c:pt idx="12">
                  <c:v>185.05848190167475</c:v>
                </c:pt>
                <c:pt idx="13">
                  <c:v>209.43787142085353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71-2443-BE2E-2D349310CBF2}"/>
            </c:ext>
          </c:extLst>
        </c:ser>
        <c:ser>
          <c:idx val="1"/>
          <c:order val="1"/>
          <c:tx>
            <c:strRef>
              <c:f>'C-phycocyanin CeBER'!$B$50:$AB$50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CeBER'!$AH$52:$AH$68</c:f>
                <c:numCache>
                  <c:formatCode>General</c:formatCode>
                  <c:ptCount val="17"/>
                  <c:pt idx="0">
                    <c:v>0.38753509153279131</c:v>
                  </c:pt>
                  <c:pt idx="1">
                    <c:v>3.547137332702742</c:v>
                  </c:pt>
                  <c:pt idx="2">
                    <c:v>1.8364220661164152</c:v>
                  </c:pt>
                  <c:pt idx="3">
                    <c:v>2.7261187185074429</c:v>
                  </c:pt>
                  <c:pt idx="4">
                    <c:v>6.6522615400587197</c:v>
                  </c:pt>
                  <c:pt idx="5">
                    <c:v>9.7598853730310893</c:v>
                  </c:pt>
                  <c:pt idx="6">
                    <c:v>2.4136325265337533</c:v>
                  </c:pt>
                  <c:pt idx="7">
                    <c:v>2.4840982589710485</c:v>
                  </c:pt>
                  <c:pt idx="8">
                    <c:v>4.7840140311030872</c:v>
                  </c:pt>
                  <c:pt idx="9">
                    <c:v>5.0076155724253253</c:v>
                  </c:pt>
                  <c:pt idx="10">
                    <c:v>2.2302292313554277</c:v>
                  </c:pt>
                  <c:pt idx="11">
                    <c:v>9.7380445893450993</c:v>
                  </c:pt>
                  <c:pt idx="12">
                    <c:v>3.2548374143354613</c:v>
                  </c:pt>
                  <c:pt idx="13">
                    <c:v>13.238427931264173</c:v>
                  </c:pt>
                  <c:pt idx="14">
                    <c:v>9.6005702119809353</c:v>
                  </c:pt>
                </c:numCache>
              </c:numRef>
            </c:plus>
            <c:minus>
              <c:numRef>
                <c:f>'C-phycocyanin CeBER'!$AH$52:$AH$68</c:f>
                <c:numCache>
                  <c:formatCode>General</c:formatCode>
                  <c:ptCount val="17"/>
                  <c:pt idx="0">
                    <c:v>0.38753509153279131</c:v>
                  </c:pt>
                  <c:pt idx="1">
                    <c:v>3.547137332702742</c:v>
                  </c:pt>
                  <c:pt idx="2">
                    <c:v>1.8364220661164152</c:v>
                  </c:pt>
                  <c:pt idx="3">
                    <c:v>2.7261187185074429</c:v>
                  </c:pt>
                  <c:pt idx="4">
                    <c:v>6.6522615400587197</c:v>
                  </c:pt>
                  <c:pt idx="5">
                    <c:v>9.7598853730310893</c:v>
                  </c:pt>
                  <c:pt idx="6">
                    <c:v>2.4136325265337533</c:v>
                  </c:pt>
                  <c:pt idx="7">
                    <c:v>2.4840982589710485</c:v>
                  </c:pt>
                  <c:pt idx="8">
                    <c:v>4.7840140311030872</c:v>
                  </c:pt>
                  <c:pt idx="9">
                    <c:v>5.0076155724253253</c:v>
                  </c:pt>
                  <c:pt idx="10">
                    <c:v>2.2302292313554277</c:v>
                  </c:pt>
                  <c:pt idx="11">
                    <c:v>9.7380445893450993</c:v>
                  </c:pt>
                  <c:pt idx="12">
                    <c:v>3.2548374143354613</c:v>
                  </c:pt>
                  <c:pt idx="13">
                    <c:v>13.238427931264173</c:v>
                  </c:pt>
                  <c:pt idx="14">
                    <c:v>9.6005702119809353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CeBER'!$AD$52:$AD$66</c:f>
              <c:numCache>
                <c:formatCode>0</c:formatCode>
                <c:ptCount val="15"/>
                <c:pt idx="0">
                  <c:v>23.383333333333333</c:v>
                </c:pt>
                <c:pt idx="1">
                  <c:v>71.599999999999994</c:v>
                </c:pt>
                <c:pt idx="2">
                  <c:v>95.73333333333332</c:v>
                </c:pt>
                <c:pt idx="3">
                  <c:v>121.39999999999999</c:v>
                </c:pt>
                <c:pt idx="4">
                  <c:v>145.54999999999998</c:v>
                </c:pt>
                <c:pt idx="5">
                  <c:v>167.6</c:v>
                </c:pt>
                <c:pt idx="6">
                  <c:v>189.23333333333332</c:v>
                </c:pt>
                <c:pt idx="7">
                  <c:v>216.35</c:v>
                </c:pt>
                <c:pt idx="8">
                  <c:v>240.6</c:v>
                </c:pt>
                <c:pt idx="9">
                  <c:v>289.68333333333334</c:v>
                </c:pt>
                <c:pt idx="10">
                  <c:v>313.7166666666667</c:v>
                </c:pt>
                <c:pt idx="11">
                  <c:v>336.95000000000005</c:v>
                </c:pt>
                <c:pt idx="12">
                  <c:v>359.76666666666671</c:v>
                </c:pt>
                <c:pt idx="13">
                  <c:v>385.23333333333335</c:v>
                </c:pt>
                <c:pt idx="14">
                  <c:v>408.78333333333336</c:v>
                </c:pt>
              </c:numCache>
            </c:numRef>
          </c:xVal>
          <c:yVal>
            <c:numRef>
              <c:f>'C-phycocyanin CeBER'!$AG$52:$AG$66</c:f>
              <c:numCache>
                <c:formatCode>0.00</c:formatCode>
                <c:ptCount val="15"/>
                <c:pt idx="0">
                  <c:v>6.300574014046461</c:v>
                </c:pt>
                <c:pt idx="1">
                  <c:v>16.848878984332796</c:v>
                </c:pt>
                <c:pt idx="2">
                  <c:v>34.332032166396552</c:v>
                </c:pt>
                <c:pt idx="3">
                  <c:v>47.555033036196654</c:v>
                </c:pt>
                <c:pt idx="4">
                  <c:v>73.05865987034035</c:v>
                </c:pt>
                <c:pt idx="5">
                  <c:v>88.993908006482982</c:v>
                </c:pt>
                <c:pt idx="6">
                  <c:v>72.876823338735804</c:v>
                </c:pt>
                <c:pt idx="7">
                  <c:v>69.777215018908691</c:v>
                </c:pt>
                <c:pt idx="8">
                  <c:v>89.451310102647241</c:v>
                </c:pt>
                <c:pt idx="9">
                  <c:v>80.043129839726291</c:v>
                </c:pt>
                <c:pt idx="10">
                  <c:v>98.563749324689368</c:v>
                </c:pt>
                <c:pt idx="11">
                  <c:v>118.61223662884929</c:v>
                </c:pt>
                <c:pt idx="12">
                  <c:v>119.56145326850351</c:v>
                </c:pt>
                <c:pt idx="13">
                  <c:v>138.07482441923281</c:v>
                </c:pt>
                <c:pt idx="14">
                  <c:v>144.56415451107509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71-2443-BE2E-2D349310CBF2}"/>
            </c:ext>
          </c:extLst>
        </c:ser>
        <c:ser>
          <c:idx val="2"/>
          <c:order val="2"/>
          <c:tx>
            <c:strRef>
              <c:f>'C-phycocyanin CeBER'!$B$101:$AB$101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CeBER'!$AH$103:$AH$119</c:f>
                <c:numCache>
                  <c:formatCode>General</c:formatCode>
                  <c:ptCount val="17"/>
                  <c:pt idx="0">
                    <c:v>0.21827672374262816</c:v>
                  </c:pt>
                  <c:pt idx="1">
                    <c:v>1.6828451506408129</c:v>
                  </c:pt>
                  <c:pt idx="2">
                    <c:v>3.4178785958565405</c:v>
                  </c:pt>
                  <c:pt idx="3">
                    <c:v>3.564565600945873</c:v>
                  </c:pt>
                  <c:pt idx="4">
                    <c:v>8.1427719123328579</c:v>
                  </c:pt>
                  <c:pt idx="5">
                    <c:v>3.9478757500139632</c:v>
                  </c:pt>
                  <c:pt idx="6">
                    <c:v>4.8080117091576202</c:v>
                  </c:pt>
                  <c:pt idx="7">
                    <c:v>2.7228732713467116</c:v>
                  </c:pt>
                  <c:pt idx="8">
                    <c:v>10.827700165090667</c:v>
                  </c:pt>
                  <c:pt idx="9">
                    <c:v>1.3202499980008098</c:v>
                  </c:pt>
                  <c:pt idx="10">
                    <c:v>6.1648780076146252</c:v>
                  </c:pt>
                  <c:pt idx="11">
                    <c:v>0</c:v>
                  </c:pt>
                  <c:pt idx="12">
                    <c:v>12.927955688358155</c:v>
                  </c:pt>
                  <c:pt idx="13">
                    <c:v>29.31366139157516</c:v>
                  </c:pt>
                </c:numCache>
              </c:numRef>
            </c:plus>
            <c:minus>
              <c:numRef>
                <c:f>'C-phycocyanin CeBER'!$AH$103:$AH$119</c:f>
                <c:numCache>
                  <c:formatCode>General</c:formatCode>
                  <c:ptCount val="17"/>
                  <c:pt idx="0">
                    <c:v>0.21827672374262816</c:v>
                  </c:pt>
                  <c:pt idx="1">
                    <c:v>1.6828451506408129</c:v>
                  </c:pt>
                  <c:pt idx="2">
                    <c:v>3.4178785958565405</c:v>
                  </c:pt>
                  <c:pt idx="3">
                    <c:v>3.564565600945873</c:v>
                  </c:pt>
                  <c:pt idx="4">
                    <c:v>8.1427719123328579</c:v>
                  </c:pt>
                  <c:pt idx="5">
                    <c:v>3.9478757500139632</c:v>
                  </c:pt>
                  <c:pt idx="6">
                    <c:v>4.8080117091576202</c:v>
                  </c:pt>
                  <c:pt idx="7">
                    <c:v>2.7228732713467116</c:v>
                  </c:pt>
                  <c:pt idx="8">
                    <c:v>10.827700165090667</c:v>
                  </c:pt>
                  <c:pt idx="9">
                    <c:v>1.3202499980008098</c:v>
                  </c:pt>
                  <c:pt idx="10">
                    <c:v>6.1648780076146252</c:v>
                  </c:pt>
                  <c:pt idx="11">
                    <c:v>0</c:v>
                  </c:pt>
                  <c:pt idx="12">
                    <c:v>12.927955688358155</c:v>
                  </c:pt>
                  <c:pt idx="13">
                    <c:v>29.31366139157516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CeBER'!$AD$103:$AD$116</c:f>
              <c:numCache>
                <c:formatCode>0</c:formatCode>
                <c:ptCount val="14"/>
                <c:pt idx="0">
                  <c:v>22.966666666666669</c:v>
                </c:pt>
                <c:pt idx="1">
                  <c:v>71.5</c:v>
                </c:pt>
                <c:pt idx="2">
                  <c:v>95.383333333333326</c:v>
                </c:pt>
                <c:pt idx="3">
                  <c:v>120.93333333333332</c:v>
                </c:pt>
                <c:pt idx="4">
                  <c:v>145.11666666666665</c:v>
                </c:pt>
                <c:pt idx="5">
                  <c:v>167.18333333333331</c:v>
                </c:pt>
                <c:pt idx="6">
                  <c:v>215.68333333333331</c:v>
                </c:pt>
                <c:pt idx="7">
                  <c:v>240.24999999999997</c:v>
                </c:pt>
                <c:pt idx="8">
                  <c:v>289.31666666666666</c:v>
                </c:pt>
                <c:pt idx="9">
                  <c:v>313.33333333333331</c:v>
                </c:pt>
                <c:pt idx="10">
                  <c:v>336.56666666666666</c:v>
                </c:pt>
                <c:pt idx="11">
                  <c:v>359.45</c:v>
                </c:pt>
                <c:pt idx="12">
                  <c:v>384.9</c:v>
                </c:pt>
                <c:pt idx="13">
                  <c:v>408.43333333333328</c:v>
                </c:pt>
              </c:numCache>
            </c:numRef>
          </c:xVal>
          <c:yVal>
            <c:numRef>
              <c:f>'C-phycocyanin CeBER'!$AG$103:$AG$116</c:f>
              <c:numCache>
                <c:formatCode>0.00</c:formatCode>
                <c:ptCount val="14"/>
                <c:pt idx="0">
                  <c:v>6.4658022690437598</c:v>
                </c:pt>
                <c:pt idx="1">
                  <c:v>21.028322528363052</c:v>
                </c:pt>
                <c:pt idx="2">
                  <c:v>40.774264943273913</c:v>
                </c:pt>
                <c:pt idx="3">
                  <c:v>57.331177331172348</c:v>
                </c:pt>
                <c:pt idx="4">
                  <c:v>81.632255823878992</c:v>
                </c:pt>
                <c:pt idx="5">
                  <c:v>94.860454165316071</c:v>
                </c:pt>
                <c:pt idx="6">
                  <c:v>95.44671799027553</c:v>
                </c:pt>
                <c:pt idx="7">
                  <c:v>112.73622366288494</c:v>
                </c:pt>
                <c:pt idx="8">
                  <c:v>123.82622006122818</c:v>
                </c:pt>
                <c:pt idx="9">
                  <c:v>145.09310282730061</c:v>
                </c:pt>
                <c:pt idx="10">
                  <c:v>149.39834323788943</c:v>
                </c:pt>
                <c:pt idx="11">
                  <c:v>166.77836304700159</c:v>
                </c:pt>
                <c:pt idx="12">
                  <c:v>147.86858454889247</c:v>
                </c:pt>
                <c:pt idx="13">
                  <c:v>127.11898973527822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71-2443-BE2E-2D349310CBF2}"/>
            </c:ext>
          </c:extLst>
        </c:ser>
        <c:ser>
          <c:idx val="3"/>
          <c:order val="3"/>
          <c:tx>
            <c:strRef>
              <c:f>'C-phycocyanin CeBER'!$B$149:$AB$149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'C-phycocyanin CeBER'!$AD$151:$AD$165</c:f>
              <c:numCache>
                <c:formatCode>0</c:formatCode>
                <c:ptCount val="15"/>
                <c:pt idx="0">
                  <c:v>0</c:v>
                </c:pt>
                <c:pt idx="1">
                  <c:v>23.633333333333333</c:v>
                </c:pt>
                <c:pt idx="2">
                  <c:v>119.18333333333334</c:v>
                </c:pt>
                <c:pt idx="3">
                  <c:v>142.46666666666667</c:v>
                </c:pt>
                <c:pt idx="4">
                  <c:v>171</c:v>
                </c:pt>
                <c:pt idx="5">
                  <c:v>192.88333333333333</c:v>
                </c:pt>
                <c:pt idx="6">
                  <c:v>216.6</c:v>
                </c:pt>
                <c:pt idx="7">
                  <c:v>240.85</c:v>
                </c:pt>
                <c:pt idx="9">
                  <c:v>288.60000000000002</c:v>
                </c:pt>
                <c:pt idx="10">
                  <c:v>312.85000000000002</c:v>
                </c:pt>
                <c:pt idx="11">
                  <c:v>336.68333333333334</c:v>
                </c:pt>
                <c:pt idx="13">
                  <c:v>384.40000000000003</c:v>
                </c:pt>
                <c:pt idx="14">
                  <c:v>408.95000000000005</c:v>
                </c:pt>
              </c:numCache>
            </c:numRef>
          </c:xVal>
          <c:yVal>
            <c:numRef>
              <c:f>'C-phycocyanin CeBER'!$AG$151:$AG$165</c:f>
              <c:numCache>
                <c:formatCode>0.00</c:formatCode>
                <c:ptCount val="15"/>
                <c:pt idx="0">
                  <c:v>5.4057806591031872</c:v>
                </c:pt>
                <c:pt idx="1">
                  <c:v>5.301411399243654</c:v>
                </c:pt>
                <c:pt idx="2">
                  <c:v>46.012209616423554</c:v>
                </c:pt>
                <c:pt idx="3">
                  <c:v>71.264565958941105</c:v>
                </c:pt>
                <c:pt idx="4">
                  <c:v>93.301412576985413</c:v>
                </c:pt>
                <c:pt idx="5">
                  <c:v>85.410851021069675</c:v>
                </c:pt>
                <c:pt idx="6">
                  <c:v>82.376860270124268</c:v>
                </c:pt>
                <c:pt idx="7">
                  <c:v>95.927133981631542</c:v>
                </c:pt>
                <c:pt idx="9">
                  <c:v>125.07212317666126</c:v>
                </c:pt>
                <c:pt idx="10">
                  <c:v>133.31253376553218</c:v>
                </c:pt>
                <c:pt idx="11">
                  <c:v>175.75643796146232</c:v>
                </c:pt>
                <c:pt idx="13">
                  <c:v>185.05848190167475</c:v>
                </c:pt>
                <c:pt idx="14">
                  <c:v>209.43787142085355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F71-2443-BE2E-2D349310C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#1926'!$AF$5:$AF$20</c:f>
                <c:numCache>
                  <c:formatCode>General</c:formatCode>
                  <c:ptCount val="16"/>
                  <c:pt idx="0">
                    <c:v>3.4110099497934447</c:v>
                  </c:pt>
                  <c:pt idx="1">
                    <c:v>0.8580583320613262</c:v>
                  </c:pt>
                  <c:pt idx="2">
                    <c:v>0.99533356067163359</c:v>
                  </c:pt>
                  <c:pt idx="3">
                    <c:v>8.9373406721850674</c:v>
                  </c:pt>
                  <c:pt idx="4">
                    <c:v>1.9810096805530033</c:v>
                  </c:pt>
                  <c:pt idx="5">
                    <c:v>0.24027751765434138</c:v>
                  </c:pt>
                  <c:pt idx="6">
                    <c:v>0</c:v>
                  </c:pt>
                  <c:pt idx="7">
                    <c:v>1.0335983683459908</c:v>
                  </c:pt>
                  <c:pt idx="8">
                    <c:v>0.91902589283681335</c:v>
                  </c:pt>
                  <c:pt idx="9">
                    <c:v>0</c:v>
                  </c:pt>
                  <c:pt idx="10">
                    <c:v>3.2936221329414384</c:v>
                  </c:pt>
                  <c:pt idx="11">
                    <c:v>6.0541929384952944</c:v>
                  </c:pt>
                  <c:pt idx="12">
                    <c:v>0</c:v>
                  </c:pt>
                  <c:pt idx="13">
                    <c:v>1.0424474938230834</c:v>
                  </c:pt>
                  <c:pt idx="14">
                    <c:v>1.4883028049988178</c:v>
                  </c:pt>
                </c:numCache>
              </c:numRef>
            </c:plus>
            <c:minus>
              <c:numRef>
                <c:f>'C-phycocyanin UTEX #1926'!$AF$5:$AF$20</c:f>
                <c:numCache>
                  <c:formatCode>General</c:formatCode>
                  <c:ptCount val="16"/>
                  <c:pt idx="0">
                    <c:v>3.4110099497934447</c:v>
                  </c:pt>
                  <c:pt idx="1">
                    <c:v>0.8580583320613262</c:v>
                  </c:pt>
                  <c:pt idx="2">
                    <c:v>0.99533356067163359</c:v>
                  </c:pt>
                  <c:pt idx="3">
                    <c:v>8.9373406721850674</c:v>
                  </c:pt>
                  <c:pt idx="4">
                    <c:v>1.9810096805530033</c:v>
                  </c:pt>
                  <c:pt idx="5">
                    <c:v>0.24027751765434138</c:v>
                  </c:pt>
                  <c:pt idx="6">
                    <c:v>0</c:v>
                  </c:pt>
                  <c:pt idx="7">
                    <c:v>1.0335983683459908</c:v>
                  </c:pt>
                  <c:pt idx="8">
                    <c:v>0.91902589283681335</c:v>
                  </c:pt>
                  <c:pt idx="9">
                    <c:v>0</c:v>
                  </c:pt>
                  <c:pt idx="10">
                    <c:v>3.2936221329414384</c:v>
                  </c:pt>
                  <c:pt idx="11">
                    <c:v>6.0541929384952944</c:v>
                  </c:pt>
                  <c:pt idx="12">
                    <c:v>0</c:v>
                  </c:pt>
                  <c:pt idx="13">
                    <c:v>1.0424474938230834</c:v>
                  </c:pt>
                  <c:pt idx="14">
                    <c:v>1.4883028049988178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#1926'!$AD$5:$AD$19</c:f>
              <c:numCache>
                <c:formatCode>0</c:formatCode>
                <c:ptCount val="15"/>
                <c:pt idx="0">
                  <c:v>0</c:v>
                </c:pt>
                <c:pt idx="1">
                  <c:v>22.516666666666666</c:v>
                </c:pt>
                <c:pt idx="2">
                  <c:v>70.783333333333331</c:v>
                </c:pt>
                <c:pt idx="3">
                  <c:v>94.933333333333337</c:v>
                </c:pt>
                <c:pt idx="4">
                  <c:v>120.41666666666667</c:v>
                </c:pt>
                <c:pt idx="5">
                  <c:v>144.66666666666669</c:v>
                </c:pt>
                <c:pt idx="6">
                  <c:v>166.70000000000002</c:v>
                </c:pt>
                <c:pt idx="7">
                  <c:v>214.98333333333335</c:v>
                </c:pt>
                <c:pt idx="8">
                  <c:v>240.01666666666668</c:v>
                </c:pt>
                <c:pt idx="9">
                  <c:v>288.88333333333333</c:v>
                </c:pt>
                <c:pt idx="10">
                  <c:v>312.91666666666669</c:v>
                </c:pt>
                <c:pt idx="11">
                  <c:v>336.16666666666669</c:v>
                </c:pt>
                <c:pt idx="12">
                  <c:v>359.05</c:v>
                </c:pt>
                <c:pt idx="13">
                  <c:v>384.48333333333335</c:v>
                </c:pt>
                <c:pt idx="14">
                  <c:v>408.03333333333336</c:v>
                </c:pt>
              </c:numCache>
            </c:numRef>
          </c:xVal>
          <c:yVal>
            <c:numRef>
              <c:f>'C-phycocyanin UTEX #1926'!$AE$5:$AE$19</c:f>
              <c:numCache>
                <c:formatCode>0.00</c:formatCode>
                <c:ptCount val="15"/>
                <c:pt idx="0">
                  <c:v>43.880790311320091</c:v>
                </c:pt>
                <c:pt idx="1">
                  <c:v>18.230235517216261</c:v>
                </c:pt>
                <c:pt idx="2">
                  <c:v>25.80157515214275</c:v>
                </c:pt>
                <c:pt idx="3">
                  <c:v>41.933031144173391</c:v>
                </c:pt>
                <c:pt idx="4">
                  <c:v>40.969574446755033</c:v>
                </c:pt>
                <c:pt idx="5">
                  <c:v>41.74578533309225</c:v>
                </c:pt>
                <c:pt idx="6">
                  <c:v>43.283316777330477</c:v>
                </c:pt>
                <c:pt idx="7">
                  <c:v>34.778859221289842</c:v>
                </c:pt>
                <c:pt idx="8">
                  <c:v>37.42543913252905</c:v>
                </c:pt>
                <c:pt idx="9">
                  <c:v>37.694955417711959</c:v>
                </c:pt>
                <c:pt idx="10">
                  <c:v>43.085431068292273</c:v>
                </c:pt>
                <c:pt idx="11">
                  <c:v>49.351836079054237</c:v>
                </c:pt>
                <c:pt idx="12">
                  <c:v>54.360526533788473</c:v>
                </c:pt>
                <c:pt idx="13">
                  <c:v>47.6404814401427</c:v>
                </c:pt>
                <c:pt idx="14">
                  <c:v>50.420054818137011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55-3244-8076-A38AC00C3203}"/>
            </c:ext>
          </c:extLst>
        </c:ser>
        <c:ser>
          <c:idx val="1"/>
          <c:order val="1"/>
          <c:tx>
            <c:strRef>
              <c:f>'C-phycocyanin UTEX #1926'!$B$50:$AB$50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#1926'!$AF$52:$AF$68</c:f>
                <c:numCache>
                  <c:formatCode>General</c:formatCode>
                  <c:ptCount val="17"/>
                  <c:pt idx="0">
                    <c:v>7.6810198438637283</c:v>
                  </c:pt>
                  <c:pt idx="1">
                    <c:v>1.1578682302317487</c:v>
                  </c:pt>
                  <c:pt idx="2">
                    <c:v>1.7704765763090977</c:v>
                  </c:pt>
                  <c:pt idx="3">
                    <c:v>3.2305768363889555</c:v>
                  </c:pt>
                  <c:pt idx="4">
                    <c:v>2.7157319101273947</c:v>
                  </c:pt>
                  <c:pt idx="5">
                    <c:v>3.77779125555988</c:v>
                  </c:pt>
                  <c:pt idx="6">
                    <c:v>1.0390259191181526</c:v>
                  </c:pt>
                  <c:pt idx="7">
                    <c:v>3.0640799048184566</c:v>
                  </c:pt>
                  <c:pt idx="8">
                    <c:v>3.5983943227781459</c:v>
                  </c:pt>
                  <c:pt idx="9">
                    <c:v>4.1924405651967351</c:v>
                  </c:pt>
                  <c:pt idx="10">
                    <c:v>2.2309017810231468</c:v>
                  </c:pt>
                  <c:pt idx="11">
                    <c:v>2.1724718510872916</c:v>
                  </c:pt>
                  <c:pt idx="12">
                    <c:v>3.6417799161523914</c:v>
                  </c:pt>
                  <c:pt idx="13">
                    <c:v>2.2397786169453444</c:v>
                  </c:pt>
                  <c:pt idx="14">
                    <c:v>5.3449792248772461</c:v>
                  </c:pt>
                  <c:pt idx="15">
                    <c:v>3.2597378086222748</c:v>
                  </c:pt>
                </c:numCache>
              </c:numRef>
            </c:plus>
            <c:minus>
              <c:numRef>
                <c:f>'C-phycocyanin UTEX #1926'!$AF$52:$AF$68</c:f>
                <c:numCache>
                  <c:formatCode>General</c:formatCode>
                  <c:ptCount val="17"/>
                  <c:pt idx="0">
                    <c:v>7.6810198438637283</c:v>
                  </c:pt>
                  <c:pt idx="1">
                    <c:v>1.1578682302317487</c:v>
                  </c:pt>
                  <c:pt idx="2">
                    <c:v>1.7704765763090977</c:v>
                  </c:pt>
                  <c:pt idx="3">
                    <c:v>3.2305768363889555</c:v>
                  </c:pt>
                  <c:pt idx="4">
                    <c:v>2.7157319101273947</c:v>
                  </c:pt>
                  <c:pt idx="5">
                    <c:v>3.77779125555988</c:v>
                  </c:pt>
                  <c:pt idx="6">
                    <c:v>1.0390259191181526</c:v>
                  </c:pt>
                  <c:pt idx="7">
                    <c:v>3.0640799048184566</c:v>
                  </c:pt>
                  <c:pt idx="8">
                    <c:v>3.5983943227781459</c:v>
                  </c:pt>
                  <c:pt idx="9">
                    <c:v>4.1924405651967351</c:v>
                  </c:pt>
                  <c:pt idx="10">
                    <c:v>2.2309017810231468</c:v>
                  </c:pt>
                  <c:pt idx="11">
                    <c:v>2.1724718510872916</c:v>
                  </c:pt>
                  <c:pt idx="12">
                    <c:v>3.6417799161523914</c:v>
                  </c:pt>
                  <c:pt idx="13">
                    <c:v>2.2397786169453444</c:v>
                  </c:pt>
                  <c:pt idx="14">
                    <c:v>5.3449792248772461</c:v>
                  </c:pt>
                  <c:pt idx="15">
                    <c:v>3.2597378086222748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#1926'!$AD$52:$AD$67</c:f>
              <c:numCache>
                <c:formatCode>0</c:formatCode>
                <c:ptCount val="16"/>
                <c:pt idx="0">
                  <c:v>0</c:v>
                </c:pt>
                <c:pt idx="1">
                  <c:v>23.383333333333333</c:v>
                </c:pt>
                <c:pt idx="2">
                  <c:v>71.599999999999994</c:v>
                </c:pt>
                <c:pt idx="3">
                  <c:v>95.73333333333332</c:v>
                </c:pt>
                <c:pt idx="4">
                  <c:v>121.39999999999999</c:v>
                </c:pt>
                <c:pt idx="5">
                  <c:v>145.54999999999998</c:v>
                </c:pt>
                <c:pt idx="6">
                  <c:v>167.6</c:v>
                </c:pt>
                <c:pt idx="7">
                  <c:v>189.23333333333332</c:v>
                </c:pt>
                <c:pt idx="8">
                  <c:v>216.35</c:v>
                </c:pt>
                <c:pt idx="9">
                  <c:v>240.6</c:v>
                </c:pt>
                <c:pt idx="10">
                  <c:v>289.68333333333334</c:v>
                </c:pt>
                <c:pt idx="11">
                  <c:v>313.7166666666667</c:v>
                </c:pt>
                <c:pt idx="12">
                  <c:v>336.95000000000005</c:v>
                </c:pt>
                <c:pt idx="13">
                  <c:v>359.76666666666671</c:v>
                </c:pt>
                <c:pt idx="14">
                  <c:v>385.23333333333335</c:v>
                </c:pt>
                <c:pt idx="15">
                  <c:v>408.78333333333336</c:v>
                </c:pt>
              </c:numCache>
            </c:numRef>
          </c:xVal>
          <c:yVal>
            <c:numRef>
              <c:f>'C-phycocyanin UTEX #1926'!$AE$52:$AE$67</c:f>
              <c:numCache>
                <c:formatCode>0.00</c:formatCode>
                <c:ptCount val="16"/>
                <c:pt idx="0">
                  <c:v>49.636898255876154</c:v>
                </c:pt>
                <c:pt idx="1">
                  <c:v>21.049640054583879</c:v>
                </c:pt>
                <c:pt idx="2">
                  <c:v>28.405186276643917</c:v>
                </c:pt>
                <c:pt idx="3">
                  <c:v>35.766868244347584</c:v>
                </c:pt>
                <c:pt idx="4">
                  <c:v>35.234532130183375</c:v>
                </c:pt>
                <c:pt idx="5">
                  <c:v>44.723756296639692</c:v>
                </c:pt>
                <c:pt idx="6">
                  <c:v>36.393731850202499</c:v>
                </c:pt>
                <c:pt idx="7">
                  <c:v>40.330854395979053</c:v>
                </c:pt>
                <c:pt idx="8">
                  <c:v>36.536967979178037</c:v>
                </c:pt>
                <c:pt idx="9">
                  <c:v>37.94709999537799</c:v>
                </c:pt>
                <c:pt idx="10">
                  <c:v>40.366809276617168</c:v>
                </c:pt>
                <c:pt idx="11">
                  <c:v>42.839521232013503</c:v>
                </c:pt>
                <c:pt idx="12">
                  <c:v>50.735306357723317</c:v>
                </c:pt>
                <c:pt idx="13">
                  <c:v>55.659071751957129</c:v>
                </c:pt>
                <c:pt idx="14">
                  <c:v>55.475648209761111</c:v>
                </c:pt>
                <c:pt idx="15">
                  <c:v>52.505685657131529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55-3244-8076-A38AC00C3203}"/>
            </c:ext>
          </c:extLst>
        </c:ser>
        <c:ser>
          <c:idx val="2"/>
          <c:order val="2"/>
          <c:tx>
            <c:strRef>
              <c:f>'C-phycocyanin UTEX #1926'!$B$101:$AB$101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#1926'!$AF$103:$AF$119</c:f>
                <c:numCache>
                  <c:formatCode>General</c:formatCode>
                  <c:ptCount val="17"/>
                  <c:pt idx="0">
                    <c:v>2.0963034711364981</c:v>
                  </c:pt>
                  <c:pt idx="1">
                    <c:v>0.48113068262907294</c:v>
                  </c:pt>
                  <c:pt idx="2">
                    <c:v>1.1921951270833102</c:v>
                  </c:pt>
                  <c:pt idx="3">
                    <c:v>1.8872348492299746</c:v>
                  </c:pt>
                  <c:pt idx="4">
                    <c:v>0.6125493508587555</c:v>
                  </c:pt>
                  <c:pt idx="5">
                    <c:v>3.5310146415756609</c:v>
                  </c:pt>
                  <c:pt idx="6">
                    <c:v>2.5749722970709623</c:v>
                  </c:pt>
                  <c:pt idx="7">
                    <c:v>1.5913178515372666</c:v>
                  </c:pt>
                  <c:pt idx="8">
                    <c:v>1.1824250088059083</c:v>
                  </c:pt>
                  <c:pt idx="9">
                    <c:v>8.4796806708332948</c:v>
                  </c:pt>
                  <c:pt idx="10">
                    <c:v>0.88836021799170051</c:v>
                  </c:pt>
                  <c:pt idx="11">
                    <c:v>1.2404745927524132</c:v>
                  </c:pt>
                  <c:pt idx="12">
                    <c:v>0</c:v>
                  </c:pt>
                  <c:pt idx="13">
                    <c:v>4.5588427714836186</c:v>
                  </c:pt>
                  <c:pt idx="14">
                    <c:v>0.96794486833008564</c:v>
                  </c:pt>
                </c:numCache>
              </c:numRef>
            </c:plus>
            <c:minus>
              <c:numRef>
                <c:f>'C-phycocyanin UTEX #1926'!$AF$103:$AF$119</c:f>
                <c:numCache>
                  <c:formatCode>General</c:formatCode>
                  <c:ptCount val="17"/>
                  <c:pt idx="0">
                    <c:v>2.0963034711364981</c:v>
                  </c:pt>
                  <c:pt idx="1">
                    <c:v>0.48113068262907294</c:v>
                  </c:pt>
                  <c:pt idx="2">
                    <c:v>1.1921951270833102</c:v>
                  </c:pt>
                  <c:pt idx="3">
                    <c:v>1.8872348492299746</c:v>
                  </c:pt>
                  <c:pt idx="4">
                    <c:v>0.6125493508587555</c:v>
                  </c:pt>
                  <c:pt idx="5">
                    <c:v>3.5310146415756609</c:v>
                  </c:pt>
                  <c:pt idx="6">
                    <c:v>2.5749722970709623</c:v>
                  </c:pt>
                  <c:pt idx="7">
                    <c:v>1.5913178515372666</c:v>
                  </c:pt>
                  <c:pt idx="8">
                    <c:v>1.1824250088059083</c:v>
                  </c:pt>
                  <c:pt idx="9">
                    <c:v>8.4796806708332948</c:v>
                  </c:pt>
                  <c:pt idx="10">
                    <c:v>0.88836021799170051</c:v>
                  </c:pt>
                  <c:pt idx="11">
                    <c:v>1.2404745927524132</c:v>
                  </c:pt>
                  <c:pt idx="12">
                    <c:v>0</c:v>
                  </c:pt>
                  <c:pt idx="13">
                    <c:v>4.5588427714836186</c:v>
                  </c:pt>
                  <c:pt idx="14">
                    <c:v>0.96794486833008564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#1926'!$AD$103:$AD$117</c:f>
              <c:numCache>
                <c:formatCode>0</c:formatCode>
                <c:ptCount val="15"/>
                <c:pt idx="0">
                  <c:v>0</c:v>
                </c:pt>
                <c:pt idx="1">
                  <c:v>22.966666666666669</c:v>
                </c:pt>
                <c:pt idx="2">
                  <c:v>71.5</c:v>
                </c:pt>
                <c:pt idx="3">
                  <c:v>95.383333333333326</c:v>
                </c:pt>
                <c:pt idx="4">
                  <c:v>120.93333333333332</c:v>
                </c:pt>
                <c:pt idx="5">
                  <c:v>145.11666666666665</c:v>
                </c:pt>
                <c:pt idx="6">
                  <c:v>167.18333333333331</c:v>
                </c:pt>
                <c:pt idx="7">
                  <c:v>215.68333333333331</c:v>
                </c:pt>
                <c:pt idx="8">
                  <c:v>240.24999999999997</c:v>
                </c:pt>
                <c:pt idx="9">
                  <c:v>289.31666666666666</c:v>
                </c:pt>
                <c:pt idx="10">
                  <c:v>313.33333333333331</c:v>
                </c:pt>
                <c:pt idx="11">
                  <c:v>336.56666666666666</c:v>
                </c:pt>
                <c:pt idx="12">
                  <c:v>359.45</c:v>
                </c:pt>
                <c:pt idx="13">
                  <c:v>384.9</c:v>
                </c:pt>
                <c:pt idx="14">
                  <c:v>408.43333333333328</c:v>
                </c:pt>
              </c:numCache>
            </c:numRef>
          </c:xVal>
          <c:yVal>
            <c:numRef>
              <c:f>'C-phycocyanin UTEX #1926'!$AE$103:$AE$117</c:f>
              <c:numCache>
                <c:formatCode>0.00</c:formatCode>
                <c:ptCount val="15"/>
                <c:pt idx="0">
                  <c:v>40.348403211355084</c:v>
                </c:pt>
                <c:pt idx="1">
                  <c:v>20.21595400074315</c:v>
                </c:pt>
                <c:pt idx="2">
                  <c:v>25.460530800231282</c:v>
                </c:pt>
                <c:pt idx="3">
                  <c:v>39.159497858244556</c:v>
                </c:pt>
                <c:pt idx="4">
                  <c:v>42.843419168997258</c:v>
                </c:pt>
                <c:pt idx="5">
                  <c:v>43.763485917832604</c:v>
                </c:pt>
                <c:pt idx="6">
                  <c:v>41.338724109463463</c:v>
                </c:pt>
                <c:pt idx="7">
                  <c:v>37.579981126195541</c:v>
                </c:pt>
                <c:pt idx="8">
                  <c:v>36.637795767009777</c:v>
                </c:pt>
                <c:pt idx="9">
                  <c:v>31.416991643794091</c:v>
                </c:pt>
                <c:pt idx="10">
                  <c:v>35.109943544509804</c:v>
                </c:pt>
                <c:pt idx="11">
                  <c:v>36.78433310286276</c:v>
                </c:pt>
                <c:pt idx="12">
                  <c:v>41.159257438407757</c:v>
                </c:pt>
                <c:pt idx="13">
                  <c:v>47.066496055153856</c:v>
                </c:pt>
                <c:pt idx="14">
                  <c:v>42.18047436653351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055-3244-8076-A38AC00C3203}"/>
            </c:ext>
          </c:extLst>
        </c:ser>
        <c:ser>
          <c:idx val="3"/>
          <c:order val="3"/>
          <c:tx>
            <c:strRef>
              <c:f>'C-phycocyanin UTEX #1926'!$B$149:$AB$149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'C-phycocyanin UTEX #1926'!$AD$151:$AD$164</c:f>
              <c:numCache>
                <c:formatCode>0</c:formatCode>
                <c:ptCount val="14"/>
                <c:pt idx="0">
                  <c:v>0</c:v>
                </c:pt>
                <c:pt idx="1">
                  <c:v>23.633333333333333</c:v>
                </c:pt>
                <c:pt idx="2">
                  <c:v>119.18333333333334</c:v>
                </c:pt>
                <c:pt idx="3">
                  <c:v>142.46666666666667</c:v>
                </c:pt>
                <c:pt idx="4">
                  <c:v>171</c:v>
                </c:pt>
                <c:pt idx="5">
                  <c:v>192.88333333333333</c:v>
                </c:pt>
                <c:pt idx="6">
                  <c:v>216.6</c:v>
                </c:pt>
                <c:pt idx="7">
                  <c:v>240.85</c:v>
                </c:pt>
                <c:pt idx="8">
                  <c:v>264.35000000000002</c:v>
                </c:pt>
                <c:pt idx="9">
                  <c:v>288.60000000000002</c:v>
                </c:pt>
                <c:pt idx="10">
                  <c:v>312.85000000000002</c:v>
                </c:pt>
                <c:pt idx="11">
                  <c:v>336.68333333333334</c:v>
                </c:pt>
                <c:pt idx="12">
                  <c:v>384.4</c:v>
                </c:pt>
                <c:pt idx="13">
                  <c:v>408.95</c:v>
                </c:pt>
              </c:numCache>
            </c:numRef>
          </c:xVal>
          <c:yVal>
            <c:numRef>
              <c:f>'C-phycocyanin UTEX #1926'!$AE$151:$AE$164</c:f>
              <c:numCache>
                <c:formatCode>0.00</c:formatCode>
                <c:ptCount val="14"/>
                <c:pt idx="0">
                  <c:v>40.445237386621876</c:v>
                </c:pt>
                <c:pt idx="1">
                  <c:v>21.816460651785658</c:v>
                </c:pt>
                <c:pt idx="2">
                  <c:v>32.420265786247292</c:v>
                </c:pt>
                <c:pt idx="3">
                  <c:v>42.821356611099304</c:v>
                </c:pt>
                <c:pt idx="4">
                  <c:v>49.645687765093442</c:v>
                </c:pt>
                <c:pt idx="5">
                  <c:v>37.73892522626916</c:v>
                </c:pt>
                <c:pt idx="6">
                  <c:v>48.973931947981193</c:v>
                </c:pt>
                <c:pt idx="7">
                  <c:v>39.390668763440701</c:v>
                </c:pt>
                <c:pt idx="8">
                  <c:v>35.543317114071662</c:v>
                </c:pt>
                <c:pt idx="9">
                  <c:v>38.051344087115787</c:v>
                </c:pt>
                <c:pt idx="10">
                  <c:v>40.875123284002932</c:v>
                </c:pt>
                <c:pt idx="11">
                  <c:v>41.894981613019723</c:v>
                </c:pt>
                <c:pt idx="12">
                  <c:v>48.286417504267966</c:v>
                </c:pt>
                <c:pt idx="13">
                  <c:v>52.050800262939561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055-3244-8076-A38AC00C3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#1926'!$AH$5:$AH$20</c:f>
                <c:numCache>
                  <c:formatCode>General</c:formatCode>
                  <c:ptCount val="16"/>
                  <c:pt idx="0">
                    <c:v>0.46132128946140999</c:v>
                  </c:pt>
                  <c:pt idx="1">
                    <c:v>0.32879340059036066</c:v>
                  </c:pt>
                  <c:pt idx="2">
                    <c:v>0.49005928421179157</c:v>
                  </c:pt>
                  <c:pt idx="3">
                    <c:v>9.2555269578494563</c:v>
                  </c:pt>
                  <c:pt idx="4">
                    <c:v>3.3667621480188061</c:v>
                  </c:pt>
                  <c:pt idx="5">
                    <c:v>2.7969941198770329</c:v>
                  </c:pt>
                  <c:pt idx="6">
                    <c:v>0</c:v>
                  </c:pt>
                  <c:pt idx="7">
                    <c:v>3.6766570636437201</c:v>
                  </c:pt>
                  <c:pt idx="8">
                    <c:v>0.70705033018625107</c:v>
                  </c:pt>
                  <c:pt idx="9">
                    <c:v>0</c:v>
                  </c:pt>
                  <c:pt idx="10">
                    <c:v>11.825637033432793</c:v>
                  </c:pt>
                  <c:pt idx="11">
                    <c:v>13.206881059049799</c:v>
                  </c:pt>
                  <c:pt idx="12">
                    <c:v>0</c:v>
                  </c:pt>
                  <c:pt idx="13">
                    <c:v>9.4533377044602265</c:v>
                  </c:pt>
                  <c:pt idx="14">
                    <c:v>5.3616385895726966</c:v>
                  </c:pt>
                </c:numCache>
              </c:numRef>
            </c:plus>
            <c:minus>
              <c:numRef>
                <c:f>'C-phycocyanin UTEX #1926'!$AH$5:$AH$20</c:f>
                <c:numCache>
                  <c:formatCode>General</c:formatCode>
                  <c:ptCount val="16"/>
                  <c:pt idx="0">
                    <c:v>0.46132128946140999</c:v>
                  </c:pt>
                  <c:pt idx="1">
                    <c:v>0.32879340059036066</c:v>
                  </c:pt>
                  <c:pt idx="2">
                    <c:v>0.49005928421179157</c:v>
                  </c:pt>
                  <c:pt idx="3">
                    <c:v>9.2555269578494563</c:v>
                  </c:pt>
                  <c:pt idx="4">
                    <c:v>3.3667621480188061</c:v>
                  </c:pt>
                  <c:pt idx="5">
                    <c:v>2.7969941198770329</c:v>
                  </c:pt>
                  <c:pt idx="6">
                    <c:v>0</c:v>
                  </c:pt>
                  <c:pt idx="7">
                    <c:v>3.6766570636437201</c:v>
                  </c:pt>
                  <c:pt idx="8">
                    <c:v>0.70705033018625107</c:v>
                  </c:pt>
                  <c:pt idx="9">
                    <c:v>0</c:v>
                  </c:pt>
                  <c:pt idx="10">
                    <c:v>11.825637033432793</c:v>
                  </c:pt>
                  <c:pt idx="11">
                    <c:v>13.206881059049799</c:v>
                  </c:pt>
                  <c:pt idx="12">
                    <c:v>0</c:v>
                  </c:pt>
                  <c:pt idx="13">
                    <c:v>9.4533377044602265</c:v>
                  </c:pt>
                  <c:pt idx="14">
                    <c:v>5.3616385895726966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#1926'!$AD$5:$AD$19</c:f>
              <c:numCache>
                <c:formatCode>0</c:formatCode>
                <c:ptCount val="15"/>
                <c:pt idx="0">
                  <c:v>0</c:v>
                </c:pt>
                <c:pt idx="1">
                  <c:v>22.516666666666666</c:v>
                </c:pt>
                <c:pt idx="2">
                  <c:v>70.783333333333331</c:v>
                </c:pt>
                <c:pt idx="3">
                  <c:v>94.933333333333337</c:v>
                </c:pt>
                <c:pt idx="4">
                  <c:v>120.41666666666667</c:v>
                </c:pt>
                <c:pt idx="5">
                  <c:v>144.66666666666669</c:v>
                </c:pt>
                <c:pt idx="6">
                  <c:v>166.70000000000002</c:v>
                </c:pt>
                <c:pt idx="7">
                  <c:v>214.98333333333335</c:v>
                </c:pt>
                <c:pt idx="8">
                  <c:v>240.01666666666668</c:v>
                </c:pt>
                <c:pt idx="9">
                  <c:v>288.88333333333333</c:v>
                </c:pt>
                <c:pt idx="10">
                  <c:v>312.91666666666669</c:v>
                </c:pt>
                <c:pt idx="11">
                  <c:v>336.16666666666669</c:v>
                </c:pt>
                <c:pt idx="12">
                  <c:v>359.05</c:v>
                </c:pt>
                <c:pt idx="13">
                  <c:v>384.48333333333335</c:v>
                </c:pt>
                <c:pt idx="14">
                  <c:v>408.03333333333336</c:v>
                </c:pt>
              </c:numCache>
            </c:numRef>
          </c:xVal>
          <c:yVal>
            <c:numRef>
              <c:f>'C-phycocyanin UTEX #1926'!$AG$5:$AG$19</c:f>
              <c:numCache>
                <c:formatCode>0.00</c:formatCode>
                <c:ptCount val="15"/>
                <c:pt idx="0">
                  <c:v>5.4385332252836305</c:v>
                </c:pt>
                <c:pt idx="1">
                  <c:v>5.4029308481901692</c:v>
                </c:pt>
                <c:pt idx="2">
                  <c:v>18.281158833063209</c:v>
                </c:pt>
                <c:pt idx="3">
                  <c:v>40.759560399783901</c:v>
                </c:pt>
                <c:pt idx="4">
                  <c:v>54.863473765532149</c:v>
                </c:pt>
                <c:pt idx="5">
                  <c:v>70.803572263641271</c:v>
                </c:pt>
                <c:pt idx="6">
                  <c:v>84.505482009724489</c:v>
                </c:pt>
                <c:pt idx="7">
                  <c:v>85.691112911939513</c:v>
                </c:pt>
                <c:pt idx="8">
                  <c:v>107.26134521880067</c:v>
                </c:pt>
                <c:pt idx="9">
                  <c:v>131.80605078336035</c:v>
                </c:pt>
                <c:pt idx="10">
                  <c:v>153.82649018548534</c:v>
                </c:pt>
                <c:pt idx="11">
                  <c:v>180.26012965964347</c:v>
                </c:pt>
                <c:pt idx="12">
                  <c:v>216.09927066450564</c:v>
                </c:pt>
                <c:pt idx="13">
                  <c:v>183.31509994597513</c:v>
                </c:pt>
                <c:pt idx="14">
                  <c:v>197.76890869800104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90-E64A-8C80-49D6DE2D0D84}"/>
            </c:ext>
          </c:extLst>
        </c:ser>
        <c:ser>
          <c:idx val="1"/>
          <c:order val="1"/>
          <c:tx>
            <c:strRef>
              <c:f>'C-phycocyanin UTEX #1926'!$B$50:$AB$50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#1926'!$AH$52:$AH$68</c:f>
                <c:numCache>
                  <c:formatCode>General</c:formatCode>
                  <c:ptCount val="17"/>
                  <c:pt idx="0">
                    <c:v>0.91658201171787024</c:v>
                  </c:pt>
                  <c:pt idx="1">
                    <c:v>0.25194104128955191</c:v>
                  </c:pt>
                  <c:pt idx="2">
                    <c:v>1.457505452755296</c:v>
                  </c:pt>
                  <c:pt idx="3">
                    <c:v>2.8304930810796218</c:v>
                  </c:pt>
                  <c:pt idx="4">
                    <c:v>3.9081587396883832</c:v>
                  </c:pt>
                  <c:pt idx="5">
                    <c:v>9.1475445114470268</c:v>
                  </c:pt>
                  <c:pt idx="6">
                    <c:v>1.6135551322233526</c:v>
                  </c:pt>
                  <c:pt idx="7">
                    <c:v>8.4766201316065395</c:v>
                  </c:pt>
                  <c:pt idx="8">
                    <c:v>8.9590468718779164</c:v>
                  </c:pt>
                  <c:pt idx="9">
                    <c:v>6.7166771903676414</c:v>
                  </c:pt>
                  <c:pt idx="10">
                    <c:v>4.6346049941391998</c:v>
                  </c:pt>
                  <c:pt idx="11">
                    <c:v>3.2009136890617254</c:v>
                  </c:pt>
                  <c:pt idx="12">
                    <c:v>6.8573622322420933</c:v>
                  </c:pt>
                  <c:pt idx="13">
                    <c:v>8.1926012706336433</c:v>
                  </c:pt>
                  <c:pt idx="14">
                    <c:v>12.399772149883376</c:v>
                  </c:pt>
                  <c:pt idx="15">
                    <c:v>9.265591299494826</c:v>
                  </c:pt>
                </c:numCache>
              </c:numRef>
            </c:plus>
            <c:minus>
              <c:numRef>
                <c:f>'C-phycocyanin UTEX #1926'!$AH$52:$AH$68</c:f>
                <c:numCache>
                  <c:formatCode>General</c:formatCode>
                  <c:ptCount val="17"/>
                  <c:pt idx="0">
                    <c:v>0.91658201171787024</c:v>
                  </c:pt>
                  <c:pt idx="1">
                    <c:v>0.25194104128955191</c:v>
                  </c:pt>
                  <c:pt idx="2">
                    <c:v>1.457505452755296</c:v>
                  </c:pt>
                  <c:pt idx="3">
                    <c:v>2.8304930810796218</c:v>
                  </c:pt>
                  <c:pt idx="4">
                    <c:v>3.9081587396883832</c:v>
                  </c:pt>
                  <c:pt idx="5">
                    <c:v>9.1475445114470268</c:v>
                  </c:pt>
                  <c:pt idx="6">
                    <c:v>1.6135551322233526</c:v>
                  </c:pt>
                  <c:pt idx="7">
                    <c:v>8.4766201316065395</c:v>
                  </c:pt>
                  <c:pt idx="8">
                    <c:v>8.9590468718779164</c:v>
                  </c:pt>
                  <c:pt idx="9">
                    <c:v>6.7166771903676414</c:v>
                  </c:pt>
                  <c:pt idx="10">
                    <c:v>4.6346049941391998</c:v>
                  </c:pt>
                  <c:pt idx="11">
                    <c:v>3.2009136890617254</c:v>
                  </c:pt>
                  <c:pt idx="12">
                    <c:v>6.8573622322420933</c:v>
                  </c:pt>
                  <c:pt idx="13">
                    <c:v>8.1926012706336433</c:v>
                  </c:pt>
                  <c:pt idx="14">
                    <c:v>12.399772149883376</c:v>
                  </c:pt>
                  <c:pt idx="15">
                    <c:v>9.265591299494826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#1926'!$AD$52:$AD$67</c:f>
              <c:numCache>
                <c:formatCode>0</c:formatCode>
                <c:ptCount val="16"/>
                <c:pt idx="0">
                  <c:v>0</c:v>
                </c:pt>
                <c:pt idx="1">
                  <c:v>23.383333333333333</c:v>
                </c:pt>
                <c:pt idx="2">
                  <c:v>71.599999999999994</c:v>
                </c:pt>
                <c:pt idx="3">
                  <c:v>95.73333333333332</c:v>
                </c:pt>
                <c:pt idx="4">
                  <c:v>121.39999999999999</c:v>
                </c:pt>
                <c:pt idx="5">
                  <c:v>145.54999999999998</c:v>
                </c:pt>
                <c:pt idx="6">
                  <c:v>167.6</c:v>
                </c:pt>
                <c:pt idx="7">
                  <c:v>189.23333333333332</c:v>
                </c:pt>
                <c:pt idx="8">
                  <c:v>216.35</c:v>
                </c:pt>
                <c:pt idx="9">
                  <c:v>240.6</c:v>
                </c:pt>
                <c:pt idx="10">
                  <c:v>289.68333333333334</c:v>
                </c:pt>
                <c:pt idx="11">
                  <c:v>313.7166666666667</c:v>
                </c:pt>
                <c:pt idx="12">
                  <c:v>336.95000000000005</c:v>
                </c:pt>
                <c:pt idx="13">
                  <c:v>359.76666666666671</c:v>
                </c:pt>
                <c:pt idx="14">
                  <c:v>385.23333333333335</c:v>
                </c:pt>
                <c:pt idx="15">
                  <c:v>408.78333333333336</c:v>
                </c:pt>
              </c:numCache>
            </c:numRef>
          </c:xVal>
          <c:yVal>
            <c:numRef>
              <c:f>'C-phycocyanin UTEX #1926'!$AG$52:$AG$67</c:f>
              <c:numCache>
                <c:formatCode>0.00</c:formatCode>
                <c:ptCount val="16"/>
                <c:pt idx="0">
                  <c:v>5.8587317666126424</c:v>
                </c:pt>
                <c:pt idx="1">
                  <c:v>6.1640599675850893</c:v>
                </c:pt>
                <c:pt idx="2">
                  <c:v>19.776526202052946</c:v>
                </c:pt>
                <c:pt idx="3">
                  <c:v>31.77087514856834</c:v>
                </c:pt>
                <c:pt idx="4">
                  <c:v>42.800575137763381</c:v>
                </c:pt>
                <c:pt idx="5">
                  <c:v>71.103909627228518</c:v>
                </c:pt>
                <c:pt idx="6">
                  <c:v>67.247601015667215</c:v>
                </c:pt>
                <c:pt idx="7">
                  <c:v>78.01782820097246</c:v>
                </c:pt>
                <c:pt idx="8">
                  <c:v>73.672879524581319</c:v>
                </c:pt>
                <c:pt idx="9">
                  <c:v>76.268841166936795</c:v>
                </c:pt>
                <c:pt idx="10">
                  <c:v>88.252476139023955</c:v>
                </c:pt>
                <c:pt idx="11">
                  <c:v>95.674567801188559</c:v>
                </c:pt>
                <c:pt idx="12">
                  <c:v>119.14559697460832</c:v>
                </c:pt>
                <c:pt idx="13">
                  <c:v>134.91585629389519</c:v>
                </c:pt>
                <c:pt idx="14">
                  <c:v>137.48878984332791</c:v>
                </c:pt>
                <c:pt idx="15">
                  <c:v>131.32036736898974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590-E64A-8C80-49D6DE2D0D84}"/>
            </c:ext>
          </c:extLst>
        </c:ser>
        <c:ser>
          <c:idx val="2"/>
          <c:order val="2"/>
          <c:tx>
            <c:strRef>
              <c:f>'C-phycocyanin UTEX #1926'!$B$101:$AB$101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#1926'!$AH$103:$AH$119</c:f>
                <c:numCache>
                  <c:formatCode>General</c:formatCode>
                  <c:ptCount val="17"/>
                  <c:pt idx="0">
                    <c:v>0.25033425078172078</c:v>
                  </c:pt>
                  <c:pt idx="1">
                    <c:v>7.8831036151947725E-2</c:v>
                  </c:pt>
                  <c:pt idx="2">
                    <c:v>1.1007670664149525</c:v>
                  </c:pt>
                  <c:pt idx="3">
                    <c:v>0.90437136570505505</c:v>
                  </c:pt>
                  <c:pt idx="4">
                    <c:v>0.77786942269589776</c:v>
                  </c:pt>
                  <c:pt idx="5">
                    <c:v>3.5407769969433351</c:v>
                  </c:pt>
                  <c:pt idx="6">
                    <c:v>6.6899337029816532</c:v>
                  </c:pt>
                  <c:pt idx="7">
                    <c:v>3.7499019862508822</c:v>
                  </c:pt>
                  <c:pt idx="8">
                    <c:v>0.48394006011147356</c:v>
                  </c:pt>
                  <c:pt idx="9">
                    <c:v>31.116802178341594</c:v>
                  </c:pt>
                  <c:pt idx="10">
                    <c:v>2.270154547543854</c:v>
                  </c:pt>
                  <c:pt idx="11">
                    <c:v>3.4730378482715136</c:v>
                  </c:pt>
                  <c:pt idx="12">
                    <c:v>0</c:v>
                  </c:pt>
                  <c:pt idx="13">
                    <c:v>18.832590695401311</c:v>
                  </c:pt>
                  <c:pt idx="14">
                    <c:v>5.9098434159159705</c:v>
                  </c:pt>
                </c:numCache>
              </c:numRef>
            </c:plus>
            <c:minus>
              <c:numRef>
                <c:f>'C-phycocyanin UTEX #1926'!$AH$103:$AH$119</c:f>
                <c:numCache>
                  <c:formatCode>General</c:formatCode>
                  <c:ptCount val="17"/>
                  <c:pt idx="0">
                    <c:v>0.25033425078172078</c:v>
                  </c:pt>
                  <c:pt idx="1">
                    <c:v>7.8831036151947725E-2</c:v>
                  </c:pt>
                  <c:pt idx="2">
                    <c:v>1.1007670664149525</c:v>
                  </c:pt>
                  <c:pt idx="3">
                    <c:v>0.90437136570505505</c:v>
                  </c:pt>
                  <c:pt idx="4">
                    <c:v>0.77786942269589776</c:v>
                  </c:pt>
                  <c:pt idx="5">
                    <c:v>3.5407769969433351</c:v>
                  </c:pt>
                  <c:pt idx="6">
                    <c:v>6.6899337029816532</c:v>
                  </c:pt>
                  <c:pt idx="7">
                    <c:v>3.7499019862508822</c:v>
                  </c:pt>
                  <c:pt idx="8">
                    <c:v>0.48394006011147356</c:v>
                  </c:pt>
                  <c:pt idx="9">
                    <c:v>31.116802178341594</c:v>
                  </c:pt>
                  <c:pt idx="10">
                    <c:v>2.270154547543854</c:v>
                  </c:pt>
                  <c:pt idx="11">
                    <c:v>3.4730378482715136</c:v>
                  </c:pt>
                  <c:pt idx="12">
                    <c:v>0</c:v>
                  </c:pt>
                  <c:pt idx="13">
                    <c:v>18.832590695401311</c:v>
                  </c:pt>
                  <c:pt idx="14">
                    <c:v>5.9098434159159705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#1926'!$AD$103:$AD$117</c:f>
              <c:numCache>
                <c:formatCode>0</c:formatCode>
                <c:ptCount val="15"/>
                <c:pt idx="0">
                  <c:v>0</c:v>
                </c:pt>
                <c:pt idx="1">
                  <c:v>22.966666666666669</c:v>
                </c:pt>
                <c:pt idx="2">
                  <c:v>71.5</c:v>
                </c:pt>
                <c:pt idx="3">
                  <c:v>95.383333333333326</c:v>
                </c:pt>
                <c:pt idx="4">
                  <c:v>120.93333333333332</c:v>
                </c:pt>
                <c:pt idx="5">
                  <c:v>145.11666666666665</c:v>
                </c:pt>
                <c:pt idx="6">
                  <c:v>167.18333333333331</c:v>
                </c:pt>
                <c:pt idx="7">
                  <c:v>215.68333333333331</c:v>
                </c:pt>
                <c:pt idx="8">
                  <c:v>240.24999999999997</c:v>
                </c:pt>
                <c:pt idx="9">
                  <c:v>289.31666666666666</c:v>
                </c:pt>
                <c:pt idx="10">
                  <c:v>313.33333333333331</c:v>
                </c:pt>
                <c:pt idx="11">
                  <c:v>336.56666666666666</c:v>
                </c:pt>
                <c:pt idx="12">
                  <c:v>359.45</c:v>
                </c:pt>
                <c:pt idx="13">
                  <c:v>384.9</c:v>
                </c:pt>
                <c:pt idx="14">
                  <c:v>408.43333333333328</c:v>
                </c:pt>
              </c:numCache>
            </c:numRef>
          </c:xVal>
          <c:yVal>
            <c:numRef>
              <c:f>'C-phycocyanin UTEX #1926'!$AG$103:$AG$117</c:f>
              <c:numCache>
                <c:formatCode>0.00</c:formatCode>
                <c:ptCount val="15"/>
                <c:pt idx="0">
                  <c:v>5.1123919502971367</c:v>
                </c:pt>
                <c:pt idx="1">
                  <c:v>5.6803957320367386</c:v>
                </c:pt>
                <c:pt idx="2">
                  <c:v>17.799135602377092</c:v>
                </c:pt>
                <c:pt idx="3">
                  <c:v>35.785535418692604</c:v>
                </c:pt>
                <c:pt idx="4">
                  <c:v>53.290845132360893</c:v>
                </c:pt>
                <c:pt idx="5">
                  <c:v>70.074827995678007</c:v>
                </c:pt>
                <c:pt idx="6">
                  <c:v>81.728305586169654</c:v>
                </c:pt>
                <c:pt idx="7">
                  <c:v>91.523568341437056</c:v>
                </c:pt>
                <c:pt idx="8">
                  <c:v>105.28146947595896</c:v>
                </c:pt>
                <c:pt idx="9">
                  <c:v>109.39609220241312</c:v>
                </c:pt>
                <c:pt idx="10">
                  <c:v>119.06555015307039</c:v>
                </c:pt>
                <c:pt idx="11">
                  <c:v>124.01557716549615</c:v>
                </c:pt>
                <c:pt idx="12">
                  <c:v>146.40802269043758</c:v>
                </c:pt>
                <c:pt idx="13">
                  <c:v>161.58076715289033</c:v>
                </c:pt>
                <c:pt idx="14">
                  <c:v>147.62385197190704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590-E64A-8C80-49D6DE2D0D84}"/>
            </c:ext>
          </c:extLst>
        </c:ser>
        <c:ser>
          <c:idx val="3"/>
          <c:order val="3"/>
          <c:tx>
            <c:strRef>
              <c:f>'C-phycocyanin UTEX #1926'!$B$149:$AB$149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6"/>
            <c:spPr>
              <a:solidFill>
                <a:schemeClr val="bg2">
                  <a:lumMod val="2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'C-phycocyanin UTEX #1926'!$AD$151:$AD$164</c:f>
              <c:numCache>
                <c:formatCode>0</c:formatCode>
                <c:ptCount val="14"/>
                <c:pt idx="0">
                  <c:v>0</c:v>
                </c:pt>
                <c:pt idx="1">
                  <c:v>23.633333333333333</c:v>
                </c:pt>
                <c:pt idx="2">
                  <c:v>119.18333333333334</c:v>
                </c:pt>
                <c:pt idx="3">
                  <c:v>142.46666666666667</c:v>
                </c:pt>
                <c:pt idx="4">
                  <c:v>171</c:v>
                </c:pt>
                <c:pt idx="5">
                  <c:v>192.88333333333333</c:v>
                </c:pt>
                <c:pt idx="6">
                  <c:v>216.6</c:v>
                </c:pt>
                <c:pt idx="7">
                  <c:v>240.85</c:v>
                </c:pt>
                <c:pt idx="8">
                  <c:v>264.35000000000002</c:v>
                </c:pt>
                <c:pt idx="9">
                  <c:v>288.60000000000002</c:v>
                </c:pt>
                <c:pt idx="10">
                  <c:v>312.85000000000002</c:v>
                </c:pt>
                <c:pt idx="11">
                  <c:v>336.68333333333334</c:v>
                </c:pt>
                <c:pt idx="12">
                  <c:v>384.4</c:v>
                </c:pt>
                <c:pt idx="13">
                  <c:v>408.95</c:v>
                </c:pt>
              </c:numCache>
            </c:numRef>
          </c:xVal>
          <c:yVal>
            <c:numRef>
              <c:f>'C-phycocyanin UTEX #1926'!$AG$151:$AG$164</c:f>
              <c:numCache>
                <c:formatCode>0.00</c:formatCode>
                <c:ptCount val="14"/>
                <c:pt idx="0">
                  <c:v>5.4385332252836314</c:v>
                </c:pt>
                <c:pt idx="1">
                  <c:v>5.1801998919502976</c:v>
                </c:pt>
                <c:pt idx="2">
                  <c:v>43.414613722312275</c:v>
                </c:pt>
                <c:pt idx="3">
                  <c:v>70.803572263641271</c:v>
                </c:pt>
                <c:pt idx="4">
                  <c:v>91.76502431118314</c:v>
                </c:pt>
                <c:pt idx="5">
                  <c:v>80.05054016207454</c:v>
                </c:pt>
                <c:pt idx="6">
                  <c:v>113.82456038897897</c:v>
                </c:pt>
                <c:pt idx="7">
                  <c:v>98.141410048622348</c:v>
                </c:pt>
                <c:pt idx="8">
                  <c:v>116.98503511615343</c:v>
                </c:pt>
                <c:pt idx="9">
                  <c:v>131.80605078336038</c:v>
                </c:pt>
                <c:pt idx="10">
                  <c:v>153.82649018548534</c:v>
                </c:pt>
                <c:pt idx="11">
                  <c:v>163.82973167657124</c:v>
                </c:pt>
                <c:pt idx="12">
                  <c:v>183.31509994597513</c:v>
                </c:pt>
                <c:pt idx="13">
                  <c:v>197.76890869800107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590-E64A-8C80-49D6DE2D0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CeBER'!$B$2:$U$2</c:f>
              <c:strCache>
                <c:ptCount val="1"/>
                <c:pt idx="0">
                  <c:v>Control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CeBER'!$Y$4:$Y$13</c:f>
                <c:numCache>
                  <c:formatCode>General</c:formatCode>
                  <c:ptCount val="10"/>
                  <c:pt idx="0">
                    <c:v>2.1627387104774302E-2</c:v>
                  </c:pt>
                  <c:pt idx="1">
                    <c:v>2.9551110832630879E-2</c:v>
                  </c:pt>
                  <c:pt idx="2">
                    <c:v>1.2448939325542724E-2</c:v>
                  </c:pt>
                  <c:pt idx="3">
                    <c:v>2.8506011694293718E-2</c:v>
                  </c:pt>
                  <c:pt idx="4">
                    <c:v>3.4127024638665467E-2</c:v>
                  </c:pt>
                  <c:pt idx="5">
                    <c:v>2.5047182263419673E-2</c:v>
                  </c:pt>
                  <c:pt idx="6">
                    <c:v>2.6222570879855075E-2</c:v>
                  </c:pt>
                  <c:pt idx="7">
                    <c:v>4.7216409950260156E-2</c:v>
                  </c:pt>
                </c:numCache>
              </c:numRef>
            </c:plus>
            <c:minus>
              <c:numRef>
                <c:f>'Nitrate content CeBER'!$Y$4:$Y$13</c:f>
                <c:numCache>
                  <c:formatCode>General</c:formatCode>
                  <c:ptCount val="10"/>
                  <c:pt idx="0">
                    <c:v>2.1627387104774302E-2</c:v>
                  </c:pt>
                  <c:pt idx="1">
                    <c:v>2.9551110832630879E-2</c:v>
                  </c:pt>
                  <c:pt idx="2">
                    <c:v>1.2448939325542724E-2</c:v>
                  </c:pt>
                  <c:pt idx="3">
                    <c:v>2.8506011694293718E-2</c:v>
                  </c:pt>
                  <c:pt idx="4">
                    <c:v>3.4127024638665467E-2</c:v>
                  </c:pt>
                  <c:pt idx="5">
                    <c:v>2.5047182263419673E-2</c:v>
                  </c:pt>
                  <c:pt idx="6">
                    <c:v>2.6222570879855075E-2</c:v>
                  </c:pt>
                  <c:pt idx="7">
                    <c:v>4.7216409950260156E-2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CeBER'!$W$4:$W$13</c:f>
              <c:numCache>
                <c:formatCode>0</c:formatCode>
                <c:ptCount val="10"/>
                <c:pt idx="0">
                  <c:v>0</c:v>
                </c:pt>
                <c:pt idx="1">
                  <c:v>47.5</c:v>
                </c:pt>
                <c:pt idx="2">
                  <c:v>94.933333333333337</c:v>
                </c:pt>
                <c:pt idx="3">
                  <c:v>144.66666666666669</c:v>
                </c:pt>
                <c:pt idx="4">
                  <c:v>240.01666666666668</c:v>
                </c:pt>
                <c:pt idx="5">
                  <c:v>288.88333333333333</c:v>
                </c:pt>
                <c:pt idx="6">
                  <c:v>336.16666666666663</c:v>
                </c:pt>
                <c:pt idx="7">
                  <c:v>384.48333333333329</c:v>
                </c:pt>
              </c:numCache>
            </c:numRef>
          </c:xVal>
          <c:yVal>
            <c:numRef>
              <c:f>'Nitrate content CeBER'!$X$4:$X$13</c:f>
              <c:numCache>
                <c:formatCode>0.000</c:formatCode>
                <c:ptCount val="10"/>
                <c:pt idx="0">
                  <c:v>1.5645272888888888</c:v>
                </c:pt>
                <c:pt idx="1">
                  <c:v>1.5292755158730156</c:v>
                </c:pt>
                <c:pt idx="2">
                  <c:v>1.2553373467724869</c:v>
                </c:pt>
                <c:pt idx="3">
                  <c:v>1.1396882219047617</c:v>
                </c:pt>
                <c:pt idx="4">
                  <c:v>0.822146236825397</c:v>
                </c:pt>
                <c:pt idx="5">
                  <c:v>0.68293212325396835</c:v>
                </c:pt>
                <c:pt idx="6">
                  <c:v>0.53191344341269842</c:v>
                </c:pt>
                <c:pt idx="7">
                  <c:v>0.40784411904761902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90-1C49-9C9D-97AD5328C180}"/>
            </c:ext>
          </c:extLst>
        </c:ser>
        <c:ser>
          <c:idx val="1"/>
          <c:order val="1"/>
          <c:tx>
            <c:strRef>
              <c:f>'Nitrate content CeBER'!$B$29:$U$29</c:f>
              <c:strCache>
                <c:ptCount val="1"/>
                <c:pt idx="0">
                  <c:v>Switch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CeBER'!$Y$31:$Y$40</c:f>
                <c:numCache>
                  <c:formatCode>General</c:formatCode>
                  <c:ptCount val="10"/>
                  <c:pt idx="0">
                    <c:v>3.6501501796264768E-2</c:v>
                  </c:pt>
                  <c:pt idx="1">
                    <c:v>1.4932896825396929E-2</c:v>
                  </c:pt>
                  <c:pt idx="2">
                    <c:v>2.608909441259431E-2</c:v>
                  </c:pt>
                  <c:pt idx="3">
                    <c:v>3.8963200845658533E-2</c:v>
                  </c:pt>
                  <c:pt idx="4">
                    <c:v>1.6177963874375357E-2</c:v>
                  </c:pt>
                  <c:pt idx="5">
                    <c:v>4.6152972222222215E-3</c:v>
                  </c:pt>
                  <c:pt idx="6">
                    <c:v>3.2807678587673007E-2</c:v>
                  </c:pt>
                  <c:pt idx="7">
                    <c:v>1.2309280411240065E-2</c:v>
                  </c:pt>
                </c:numCache>
              </c:numRef>
            </c:plus>
            <c:minus>
              <c:numRef>
                <c:f>'Nitrate content CeBER'!$Y$31:$Y$40</c:f>
                <c:numCache>
                  <c:formatCode>General</c:formatCode>
                  <c:ptCount val="10"/>
                  <c:pt idx="0">
                    <c:v>3.6501501796264768E-2</c:v>
                  </c:pt>
                  <c:pt idx="1">
                    <c:v>1.4932896825396929E-2</c:v>
                  </c:pt>
                  <c:pt idx="2">
                    <c:v>2.608909441259431E-2</c:v>
                  </c:pt>
                  <c:pt idx="3">
                    <c:v>3.8963200845658533E-2</c:v>
                  </c:pt>
                  <c:pt idx="4">
                    <c:v>1.6177963874375357E-2</c:v>
                  </c:pt>
                  <c:pt idx="5">
                    <c:v>4.6152972222222215E-3</c:v>
                  </c:pt>
                  <c:pt idx="6">
                    <c:v>3.2807678587673007E-2</c:v>
                  </c:pt>
                  <c:pt idx="7">
                    <c:v>1.2309280411240065E-2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CeBER'!$W$31:$W$40</c:f>
              <c:numCache>
                <c:formatCode>0</c:formatCode>
                <c:ptCount val="10"/>
                <c:pt idx="0">
                  <c:v>0</c:v>
                </c:pt>
                <c:pt idx="1">
                  <c:v>48.216666666666669</c:v>
                </c:pt>
                <c:pt idx="2">
                  <c:v>95.733333333333334</c:v>
                </c:pt>
                <c:pt idx="3">
                  <c:v>145.55000000000001</c:v>
                </c:pt>
                <c:pt idx="4">
                  <c:v>240.60000000000002</c:v>
                </c:pt>
                <c:pt idx="5">
                  <c:v>289.68333333333334</c:v>
                </c:pt>
                <c:pt idx="6">
                  <c:v>336.95</c:v>
                </c:pt>
                <c:pt idx="7">
                  <c:v>385.23333333333335</c:v>
                </c:pt>
              </c:numCache>
            </c:numRef>
          </c:xVal>
          <c:yVal>
            <c:numRef>
              <c:f>'Nitrate content CeBER'!$X$31:$X$40</c:f>
              <c:numCache>
                <c:formatCode>0.000</c:formatCode>
                <c:ptCount val="10"/>
                <c:pt idx="0">
                  <c:v>1.6097900444444442</c:v>
                </c:pt>
                <c:pt idx="1">
                  <c:v>1.5633029365079369</c:v>
                </c:pt>
                <c:pt idx="2">
                  <c:v>1.3482391243386243</c:v>
                </c:pt>
                <c:pt idx="3">
                  <c:v>1.2705623652910052</c:v>
                </c:pt>
                <c:pt idx="4">
                  <c:v>1.0799820939682538</c:v>
                </c:pt>
                <c:pt idx="5">
                  <c:v>0.96499271634920636</c:v>
                </c:pt>
                <c:pt idx="6">
                  <c:v>0.89246000380952395</c:v>
                </c:pt>
                <c:pt idx="7">
                  <c:v>0.8255095793650794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90-1C49-9C9D-97AD5328C180}"/>
            </c:ext>
          </c:extLst>
        </c:ser>
        <c:ser>
          <c:idx val="2"/>
          <c:order val="2"/>
          <c:tx>
            <c:strRef>
              <c:f>'Nitrate content CeBER'!$B$56:$U$56</c:f>
              <c:strCache>
                <c:ptCount val="1"/>
                <c:pt idx="0">
                  <c:v>Switch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CeBER'!$Y$58:$Y$67</c:f>
                <c:numCache>
                  <c:formatCode>General</c:formatCode>
                  <c:ptCount val="10"/>
                  <c:pt idx="0">
                    <c:v>1.3507733333333214E-2</c:v>
                  </c:pt>
                  <c:pt idx="1">
                    <c:v>4.6270090420471345E-2</c:v>
                  </c:pt>
                  <c:pt idx="2">
                    <c:v>1.4510259379718556E-2</c:v>
                  </c:pt>
                  <c:pt idx="3">
                    <c:v>1.237983823533899E-2</c:v>
                  </c:pt>
                  <c:pt idx="4">
                    <c:v>9.3266007590920349E-3</c:v>
                  </c:pt>
                  <c:pt idx="5">
                    <c:v>3.0525114388558282E-2</c:v>
                  </c:pt>
                  <c:pt idx="6">
                    <c:v>2.6413028387109874E-2</c:v>
                  </c:pt>
                  <c:pt idx="7">
                    <c:v>2.6648905141800818E-2</c:v>
                  </c:pt>
                </c:numCache>
              </c:numRef>
            </c:plus>
            <c:minus>
              <c:numRef>
                <c:f>'Nitrate content CeBER'!$Y$58:$Y$67</c:f>
                <c:numCache>
                  <c:formatCode>General</c:formatCode>
                  <c:ptCount val="10"/>
                  <c:pt idx="0">
                    <c:v>1.3507733333333214E-2</c:v>
                  </c:pt>
                  <c:pt idx="1">
                    <c:v>4.6270090420471345E-2</c:v>
                  </c:pt>
                  <c:pt idx="2">
                    <c:v>1.4510259379718556E-2</c:v>
                  </c:pt>
                  <c:pt idx="3">
                    <c:v>1.237983823533899E-2</c:v>
                  </c:pt>
                  <c:pt idx="4">
                    <c:v>9.3266007590920349E-3</c:v>
                  </c:pt>
                  <c:pt idx="5">
                    <c:v>3.0525114388558282E-2</c:v>
                  </c:pt>
                  <c:pt idx="6">
                    <c:v>2.6413028387109874E-2</c:v>
                  </c:pt>
                  <c:pt idx="7">
                    <c:v>2.6648905141800818E-2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CeBER'!$W$58:$W$67</c:f>
              <c:numCache>
                <c:formatCode>0</c:formatCode>
                <c:ptCount val="10"/>
                <c:pt idx="0">
                  <c:v>0</c:v>
                </c:pt>
                <c:pt idx="1">
                  <c:v>47.766666666666666</c:v>
                </c:pt>
                <c:pt idx="2">
                  <c:v>95.383333333333326</c:v>
                </c:pt>
                <c:pt idx="3">
                  <c:v>145.11666666666667</c:v>
                </c:pt>
                <c:pt idx="4">
                  <c:v>240.25</c:v>
                </c:pt>
                <c:pt idx="5">
                  <c:v>289.31666666666666</c:v>
                </c:pt>
                <c:pt idx="6">
                  <c:v>336.56666666666666</c:v>
                </c:pt>
                <c:pt idx="7">
                  <c:v>384.9</c:v>
                </c:pt>
              </c:numCache>
            </c:numRef>
          </c:xVal>
          <c:yVal>
            <c:numRef>
              <c:f>'Nitrate content CeBER'!$X$58:$X$67</c:f>
              <c:numCache>
                <c:formatCode>0.000</c:formatCode>
                <c:ptCount val="10"/>
                <c:pt idx="0">
                  <c:v>1.5825375999999998</c:v>
                </c:pt>
                <c:pt idx="1">
                  <c:v>1.581418253968254</c:v>
                </c:pt>
                <c:pt idx="2">
                  <c:v>1.2845872803174603</c:v>
                </c:pt>
                <c:pt idx="3">
                  <c:v>1.1429448096296293</c:v>
                </c:pt>
                <c:pt idx="4">
                  <c:v>0.82800324888888899</c:v>
                </c:pt>
                <c:pt idx="5">
                  <c:v>0.67805309476190478</c:v>
                </c:pt>
                <c:pt idx="6">
                  <c:v>0.61863704809523812</c:v>
                </c:pt>
                <c:pt idx="7">
                  <c:v>0.50980514880952388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90-1C49-9C9D-97AD5328C180}"/>
            </c:ext>
          </c:extLst>
        </c:ser>
        <c:ser>
          <c:idx val="3"/>
          <c:order val="3"/>
          <c:tx>
            <c:strRef>
              <c:f>'Nitrate content CeBER'!$B$83:$U$83</c:f>
              <c:strCache>
                <c:ptCount val="1"/>
                <c:pt idx="0">
                  <c:v>Switch 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accent4"/>
              </a:solidFill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'Nitrate content CeBER'!$W$85:$W$92</c:f>
              <c:numCache>
                <c:formatCode>0</c:formatCode>
                <c:ptCount val="8"/>
                <c:pt idx="0">
                  <c:v>0</c:v>
                </c:pt>
                <c:pt idx="1">
                  <c:v>47.766666666666666</c:v>
                </c:pt>
                <c:pt idx="2">
                  <c:v>95.383333333333326</c:v>
                </c:pt>
                <c:pt idx="3">
                  <c:v>145.11666666666667</c:v>
                </c:pt>
                <c:pt idx="4">
                  <c:v>240.25</c:v>
                </c:pt>
                <c:pt idx="5">
                  <c:v>289.31666666666666</c:v>
                </c:pt>
                <c:pt idx="6">
                  <c:v>336.56666666666666</c:v>
                </c:pt>
                <c:pt idx="7">
                  <c:v>384.9</c:v>
                </c:pt>
              </c:numCache>
            </c:numRef>
          </c:xVal>
          <c:yVal>
            <c:numRef>
              <c:f>'Nitrate content CeBER'!$X$85:$X$92</c:f>
              <c:numCache>
                <c:formatCode>0.000</c:formatCode>
                <c:ptCount val="8"/>
                <c:pt idx="0">
                  <c:v>1.5726820445714287</c:v>
                </c:pt>
                <c:pt idx="1">
                  <c:v>1.5774871661111109</c:v>
                </c:pt>
                <c:pt idx="2">
                  <c:v>1.2745629677777777</c:v>
                </c:pt>
                <c:pt idx="3">
                  <c:v>1.1325806501587301</c:v>
                </c:pt>
                <c:pt idx="4">
                  <c:v>0.82917097952380947</c:v>
                </c:pt>
                <c:pt idx="5">
                  <c:v>0.67149071214285716</c:v>
                </c:pt>
                <c:pt idx="6">
                  <c:v>0.57196700571428583</c:v>
                </c:pt>
                <c:pt idx="7">
                  <c:v>0.42927730992063484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890-1C49-9C9D-97AD5328C1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35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4BCBFF-CC9F-6847-B415-2C8BE85FA14C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7B189B-0B54-E549-9423-7E6CCF8F3C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35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EE8A98-3409-4243-8F97-62C80221E84D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54699C-6E6C-D644-989A-D88C4F7A76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284BE2-9D35-584A-93D5-E2E88F1596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A096B8-D7BA-F34F-B400-08D4074770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5F3812-EA04-6B45-9DE6-13F14F68B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8132EC3-D56C-E045-8B1B-77F4515CF5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8266A6-C795-0448-86E4-17AD7A6AA0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56E4FA-6E86-7749-8162-60E30A064C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49B67-9B25-AE43-BF34-1F871322A042}">
  <dimension ref="A1:F19"/>
  <sheetViews>
    <sheetView tabSelected="1" workbookViewId="0">
      <selection sqref="A1:C2"/>
    </sheetView>
  </sheetViews>
  <sheetFormatPr baseColWidth="10" defaultColWidth="41.1640625" defaultRowHeight="14" x14ac:dyDescent="0.15"/>
  <cols>
    <col min="1" max="1" width="31" style="20" customWidth="1"/>
    <col min="2" max="2" width="9.5" style="21" customWidth="1"/>
    <col min="3" max="3" width="56.1640625" style="20" customWidth="1"/>
    <col min="4" max="4" width="41.1640625" style="1"/>
    <col min="5" max="16384" width="41.1640625" style="3"/>
  </cols>
  <sheetData>
    <row r="1" spans="1:6" s="2" customFormat="1" ht="18" customHeight="1" x14ac:dyDescent="0.2">
      <c r="A1" s="192" t="s">
        <v>123</v>
      </c>
      <c r="B1" s="192"/>
      <c r="C1" s="192"/>
      <c r="D1" s="1"/>
    </row>
    <row r="2" spans="1:6" ht="18" customHeight="1" x14ac:dyDescent="0.15">
      <c r="A2" s="192"/>
      <c r="B2" s="192"/>
      <c r="C2" s="192"/>
    </row>
    <row r="3" spans="1:6" ht="16" x14ac:dyDescent="0.15">
      <c r="A3" s="193" t="s">
        <v>41</v>
      </c>
      <c r="B3" s="193"/>
      <c r="C3" s="193"/>
    </row>
    <row r="4" spans="1:6" s="4" customFormat="1" x14ac:dyDescent="0.15">
      <c r="A4" s="194" t="s">
        <v>42</v>
      </c>
      <c r="B4" s="194"/>
      <c r="C4" s="194"/>
      <c r="D4" s="1"/>
    </row>
    <row r="5" spans="1:6" s="5" customFormat="1" ht="13" x14ac:dyDescent="0.15">
      <c r="A5" s="195" t="s">
        <v>43</v>
      </c>
      <c r="B5" s="195"/>
      <c r="C5" s="195"/>
      <c r="D5" s="1"/>
    </row>
    <row r="6" spans="1:6" ht="60" customHeight="1" x14ac:dyDescent="0.15">
      <c r="A6" s="196" t="s">
        <v>44</v>
      </c>
      <c r="B6" s="196"/>
      <c r="C6" s="196"/>
    </row>
    <row r="7" spans="1:6" ht="17" customHeight="1" x14ac:dyDescent="0.15">
      <c r="A7" s="197" t="s">
        <v>122</v>
      </c>
      <c r="B7" s="197"/>
      <c r="C7" s="197"/>
    </row>
    <row r="8" spans="1:6" ht="30" customHeight="1" x14ac:dyDescent="0.15">
      <c r="A8" s="190" t="s">
        <v>45</v>
      </c>
      <c r="B8" s="190"/>
      <c r="C8" s="190"/>
    </row>
    <row r="9" spans="1:6" x14ac:dyDescent="0.15">
      <c r="A9" s="6" t="s">
        <v>46</v>
      </c>
      <c r="B9" s="7"/>
      <c r="C9" s="8">
        <v>44515</v>
      </c>
    </row>
    <row r="10" spans="1:6" ht="15" thickBot="1" x14ac:dyDescent="0.2">
      <c r="A10" s="9" t="s">
        <v>47</v>
      </c>
      <c r="B10" s="10"/>
      <c r="C10" s="11">
        <v>44532</v>
      </c>
    </row>
    <row r="11" spans="1:6" s="5" customFormat="1" thickBot="1" x14ac:dyDescent="0.2">
      <c r="A11" s="12"/>
      <c r="B11" s="13"/>
      <c r="C11" s="12"/>
      <c r="D11" s="1"/>
    </row>
    <row r="12" spans="1:6" ht="18" thickBot="1" x14ac:dyDescent="0.2">
      <c r="A12" s="14" t="s">
        <v>48</v>
      </c>
      <c r="B12" s="15" t="s">
        <v>49</v>
      </c>
      <c r="C12" s="16" t="s">
        <v>50</v>
      </c>
    </row>
    <row r="13" spans="1:6" ht="15" x14ac:dyDescent="0.15">
      <c r="A13" s="17" t="s">
        <v>51</v>
      </c>
      <c r="B13" s="18">
        <v>1</v>
      </c>
      <c r="C13" s="19" t="s">
        <v>52</v>
      </c>
    </row>
    <row r="14" spans="1:6" ht="45" x14ac:dyDescent="0.15">
      <c r="A14" s="17" t="s">
        <v>53</v>
      </c>
      <c r="B14" s="18">
        <v>2</v>
      </c>
      <c r="C14" s="19" t="s">
        <v>124</v>
      </c>
      <c r="D14" s="191"/>
      <c r="E14" s="191"/>
      <c r="F14" s="191"/>
    </row>
    <row r="15" spans="1:6" ht="45" x14ac:dyDescent="0.15">
      <c r="A15" s="17" t="s">
        <v>54</v>
      </c>
      <c r="B15" s="18">
        <v>3</v>
      </c>
      <c r="C15" s="19" t="s">
        <v>125</v>
      </c>
    </row>
    <row r="16" spans="1:6" ht="45" x14ac:dyDescent="0.15">
      <c r="A16" s="17" t="s">
        <v>55</v>
      </c>
      <c r="B16" s="18">
        <v>4</v>
      </c>
      <c r="C16" s="19" t="s">
        <v>126</v>
      </c>
    </row>
    <row r="17" spans="1:3" ht="45" x14ac:dyDescent="0.15">
      <c r="A17" s="17" t="s">
        <v>56</v>
      </c>
      <c r="B17" s="18">
        <v>5</v>
      </c>
      <c r="C17" s="19" t="s">
        <v>128</v>
      </c>
    </row>
    <row r="18" spans="1:3" ht="45" x14ac:dyDescent="0.15">
      <c r="A18" s="17" t="s">
        <v>57</v>
      </c>
      <c r="B18" s="18">
        <v>6</v>
      </c>
      <c r="C18" s="19" t="s">
        <v>127</v>
      </c>
    </row>
    <row r="19" spans="1:3" ht="45" x14ac:dyDescent="0.15">
      <c r="A19" s="17" t="s">
        <v>58</v>
      </c>
      <c r="B19" s="18">
        <v>7</v>
      </c>
      <c r="C19" s="19" t="s">
        <v>129</v>
      </c>
    </row>
  </sheetData>
  <mergeCells count="8">
    <mergeCell ref="A8:C8"/>
    <mergeCell ref="D14:F14"/>
    <mergeCell ref="A1:C2"/>
    <mergeCell ref="A3:C3"/>
    <mergeCell ref="A4:C4"/>
    <mergeCell ref="A5:C5"/>
    <mergeCell ref="A6:C6"/>
    <mergeCell ref="A7:C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EABA3-BA66-0B44-84B5-024DD86E4959}">
  <dimension ref="A1:AG100"/>
  <sheetViews>
    <sheetView zoomScaleNormal="100" workbookViewId="0">
      <selection activeCell="B85" sqref="B85"/>
    </sheetView>
  </sheetViews>
  <sheetFormatPr baseColWidth="10" defaultColWidth="8.83203125" defaultRowHeight="14" x14ac:dyDescent="0.15"/>
  <cols>
    <col min="1" max="1" width="74.5" style="3" customWidth="1"/>
    <col min="2" max="2" width="12" style="3" bestFit="1" customWidth="1"/>
    <col min="3" max="3" width="12" style="3" customWidth="1"/>
    <col min="4" max="11" width="8.83203125" style="3"/>
    <col min="12" max="12" width="13.33203125" style="3" customWidth="1"/>
    <col min="13" max="13" width="10.33203125" style="3" customWidth="1"/>
    <col min="14" max="16" width="8.83203125" style="3"/>
    <col min="17" max="17" width="13.1640625" style="3" customWidth="1"/>
    <col min="18" max="18" width="10.5" style="3" customWidth="1"/>
    <col min="19" max="19" width="8.5" style="3" customWidth="1"/>
    <col min="20" max="20" width="9.1640625" style="3" bestFit="1" customWidth="1"/>
    <col min="21" max="21" width="9.33203125" style="3" bestFit="1" customWidth="1"/>
    <col min="22" max="26" width="9" style="3" bestFit="1" customWidth="1"/>
    <col min="27" max="27" width="10.33203125" style="3" customWidth="1"/>
    <col min="28" max="28" width="8.83203125" style="3" customWidth="1"/>
    <col min="29" max="29" width="12.1640625" style="3" customWidth="1"/>
    <col min="30" max="16384" width="8.83203125" style="3"/>
  </cols>
  <sheetData>
    <row r="1" spans="1:32" ht="17" customHeight="1" thickBot="1" x14ac:dyDescent="0.2">
      <c r="A1" s="198" t="s">
        <v>59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200"/>
    </row>
    <row r="2" spans="1:32" ht="15" customHeight="1" thickBot="1" x14ac:dyDescent="0.2">
      <c r="A2" s="22"/>
      <c r="B2" s="201" t="s">
        <v>70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3"/>
    </row>
    <row r="3" spans="1:32" ht="45" customHeight="1" x14ac:dyDescent="0.15">
      <c r="A3" s="22"/>
      <c r="B3" s="23" t="s">
        <v>0</v>
      </c>
      <c r="C3" s="24" t="s">
        <v>1</v>
      </c>
      <c r="D3" s="25" t="s">
        <v>2</v>
      </c>
      <c r="E3" s="26" t="s">
        <v>3</v>
      </c>
      <c r="F3" s="204" t="s">
        <v>61</v>
      </c>
      <c r="G3" s="205"/>
      <c r="H3" s="206"/>
      <c r="I3" s="207" t="s">
        <v>10</v>
      </c>
      <c r="J3" s="205"/>
      <c r="K3" s="206"/>
      <c r="L3" s="27" t="s">
        <v>4</v>
      </c>
      <c r="M3" s="28" t="s">
        <v>62</v>
      </c>
      <c r="N3" s="207" t="s">
        <v>63</v>
      </c>
      <c r="O3" s="205"/>
      <c r="P3" s="206"/>
      <c r="Q3" s="28" t="s">
        <v>5</v>
      </c>
      <c r="R3" s="28" t="s">
        <v>62</v>
      </c>
      <c r="S3" s="207" t="s">
        <v>6</v>
      </c>
      <c r="T3" s="205"/>
      <c r="U3" s="206"/>
      <c r="V3" s="27" t="s">
        <v>64</v>
      </c>
      <c r="W3" s="27" t="s">
        <v>62</v>
      </c>
      <c r="X3" s="207" t="s">
        <v>65</v>
      </c>
      <c r="Y3" s="205"/>
      <c r="Z3" s="206"/>
      <c r="AA3" s="27" t="s">
        <v>66</v>
      </c>
      <c r="AB3" s="29" t="s">
        <v>62</v>
      </c>
    </row>
    <row r="4" spans="1:32" ht="15" customHeight="1" x14ac:dyDescent="0.15">
      <c r="A4" s="22"/>
      <c r="B4" s="30"/>
      <c r="C4" s="31"/>
      <c r="D4" s="32"/>
      <c r="E4" s="33"/>
      <c r="F4" s="208" t="s">
        <v>13</v>
      </c>
      <c r="G4" s="209"/>
      <c r="H4" s="210"/>
      <c r="I4" s="211" t="s">
        <v>7</v>
      </c>
      <c r="J4" s="209"/>
      <c r="K4" s="210"/>
      <c r="L4" s="35" t="s">
        <v>7</v>
      </c>
      <c r="M4" s="36"/>
      <c r="N4" s="211" t="s">
        <v>7</v>
      </c>
      <c r="O4" s="209"/>
      <c r="P4" s="210"/>
      <c r="Q4" s="34" t="s">
        <v>7</v>
      </c>
      <c r="R4" s="34"/>
      <c r="S4" s="212" t="s">
        <v>67</v>
      </c>
      <c r="T4" s="213"/>
      <c r="U4" s="214"/>
      <c r="V4" s="35" t="s">
        <v>67</v>
      </c>
      <c r="W4" s="32"/>
      <c r="X4" s="212" t="s">
        <v>68</v>
      </c>
      <c r="Y4" s="213"/>
      <c r="Z4" s="214"/>
      <c r="AA4" s="37" t="s">
        <v>68</v>
      </c>
      <c r="AB4" s="38"/>
    </row>
    <row r="5" spans="1:32" s="5" customFormat="1" ht="13" x14ac:dyDescent="0.15">
      <c r="A5" s="46"/>
      <c r="B5" s="223" t="s">
        <v>23</v>
      </c>
      <c r="C5" s="39">
        <v>0.48333333333333334</v>
      </c>
      <c r="D5" s="5">
        <v>0</v>
      </c>
      <c r="E5" s="224">
        <v>1</v>
      </c>
      <c r="F5" s="40">
        <v>9.7000000000000003E-2</v>
      </c>
      <c r="G5" s="41">
        <v>0.104</v>
      </c>
      <c r="H5" s="41">
        <v>9.7000000000000003E-2</v>
      </c>
      <c r="I5" s="41">
        <f t="shared" ref="I5:K24" si="0">1.2334*F5</f>
        <v>0.1196398</v>
      </c>
      <c r="J5" s="41">
        <f t="shared" si="0"/>
        <v>0.12827359999999999</v>
      </c>
      <c r="K5" s="41">
        <f t="shared" si="0"/>
        <v>0.1196398</v>
      </c>
      <c r="L5" s="42">
        <f t="shared" ref="L5:L25" si="1">AVERAGE(I5:K5)</f>
        <v>0.12251773333333334</v>
      </c>
      <c r="M5" s="41">
        <f t="shared" ref="M5:M25" si="2">STDEV(I5:K5)/SQRT(3)</f>
        <v>2.877933333333328E-3</v>
      </c>
      <c r="N5" s="41">
        <f t="shared" ref="N5:P25" si="3">LN(I5)</f>
        <v>-2.1232697169034989</v>
      </c>
      <c r="O5" s="41">
        <f t="shared" si="3"/>
        <v>-2.0535897962655092</v>
      </c>
      <c r="P5" s="41">
        <f t="shared" si="3"/>
        <v>-2.1232697169034989</v>
      </c>
      <c r="Q5" s="42">
        <f t="shared" ref="Q5:Q25" si="4">AVERAGE(N5:P5)</f>
        <v>-2.1000430766908358</v>
      </c>
      <c r="R5" s="41">
        <f>STDEV(N5:P5)/SQRT(3)</f>
        <v>2.3226640212663224E-2</v>
      </c>
      <c r="AB5" s="45"/>
      <c r="AE5" s="41"/>
      <c r="AF5" s="49"/>
    </row>
    <row r="6" spans="1:32" s="5" customFormat="1" ht="13" x14ac:dyDescent="0.15">
      <c r="A6" s="46"/>
      <c r="B6" s="223"/>
      <c r="C6" s="39">
        <v>0.6069444444444444</v>
      </c>
      <c r="D6" s="43">
        <v>2.9666666666666668</v>
      </c>
      <c r="E6" s="224"/>
      <c r="F6" s="40">
        <v>0.11700000000000001</v>
      </c>
      <c r="G6" s="41">
        <v>0.11899999999999999</v>
      </c>
      <c r="H6" s="41">
        <v>0.111</v>
      </c>
      <c r="I6" s="41">
        <f t="shared" si="0"/>
        <v>0.14430780000000001</v>
      </c>
      <c r="J6" s="41">
        <f t="shared" si="0"/>
        <v>0.14677460000000001</v>
      </c>
      <c r="K6" s="41">
        <f t="shared" si="0"/>
        <v>0.13690740000000001</v>
      </c>
      <c r="L6" s="42">
        <f t="shared" si="1"/>
        <v>0.14266326666666668</v>
      </c>
      <c r="M6" s="41">
        <f t="shared" si="2"/>
        <v>2.9647246287715216E-3</v>
      </c>
      <c r="N6" s="41">
        <f t="shared" si="3"/>
        <v>-1.9358067606091254</v>
      </c>
      <c r="O6" s="41">
        <f t="shared" si="3"/>
        <v>-1.9188572022953523</v>
      </c>
      <c r="P6" s="41">
        <f t="shared" si="3"/>
        <v>-1.9884504940945475</v>
      </c>
      <c r="Q6" s="42">
        <f t="shared" si="4"/>
        <v>-1.9477048189996751</v>
      </c>
      <c r="R6" s="41">
        <f t="shared" ref="R6:R25" si="5">STDEV(N6:P6)/SQRT(3)</f>
        <v>2.0952163062244768E-2</v>
      </c>
      <c r="S6" s="41">
        <f>(N6-N5)/(D6-D5)</f>
        <v>6.3189760548665222E-2</v>
      </c>
      <c r="T6" s="41">
        <f>(O6-O5)/(D6-D5)</f>
        <v>4.5415481113536035E-2</v>
      </c>
      <c r="U6" s="41">
        <f>(P6-P5)/(D6-D5)</f>
        <v>4.5444681845713923E-2</v>
      </c>
      <c r="V6" s="42">
        <f>AVERAGE(S6:U6)</f>
        <v>5.1349974502638396E-2</v>
      </c>
      <c r="W6" s="41">
        <f>STDEV(S6:U6)/SQRT(3)</f>
        <v>5.9198990245459297E-3</v>
      </c>
      <c r="X6" s="41">
        <f>(I6/D6)</f>
        <v>4.8643078651685399E-2</v>
      </c>
      <c r="Y6" s="41">
        <f>J6/D6</f>
        <v>4.9474584269662919E-2</v>
      </c>
      <c r="Z6" s="41">
        <f>K6/D6</f>
        <v>4.6148561797752813E-2</v>
      </c>
      <c r="AA6" s="42">
        <f>AVERAGE(X6:Z6)</f>
        <v>4.8088741573033715E-2</v>
      </c>
      <c r="AB6" s="169">
        <f>STDEV(X6:Z6)/SQRT(3)</f>
        <v>9.9934538048478193E-4</v>
      </c>
      <c r="AD6" s="43"/>
      <c r="AE6" s="41"/>
      <c r="AF6" s="49"/>
    </row>
    <row r="7" spans="1:32" s="5" customFormat="1" ht="13" x14ac:dyDescent="0.15">
      <c r="A7" s="46"/>
      <c r="B7" s="223"/>
      <c r="C7" s="39">
        <v>0.70416666666666661</v>
      </c>
      <c r="D7" s="43">
        <v>5.3000000000000007</v>
      </c>
      <c r="E7" s="224"/>
      <c r="F7" s="40">
        <v>0.13800000000000001</v>
      </c>
      <c r="G7" s="41">
        <v>0.122</v>
      </c>
      <c r="H7" s="41">
        <v>0.14199999999999999</v>
      </c>
      <c r="I7" s="41">
        <f t="shared" si="0"/>
        <v>0.17020920000000003</v>
      </c>
      <c r="J7" s="41">
        <f t="shared" si="0"/>
        <v>0.15047479999999999</v>
      </c>
      <c r="K7" s="41">
        <f t="shared" si="0"/>
        <v>0.17514279999999999</v>
      </c>
      <c r="L7" s="42">
        <f t="shared" si="1"/>
        <v>0.16527559999999999</v>
      </c>
      <c r="M7" s="41">
        <f t="shared" si="2"/>
        <v>7.5361984828780475E-3</v>
      </c>
      <c r="N7" s="41">
        <f t="shared" si="3"/>
        <v>-1.7707270102496768</v>
      </c>
      <c r="O7" s="41">
        <f t="shared" si="3"/>
        <v>-1.8939596506736252</v>
      </c>
      <c r="P7" s="41">
        <f t="shared" si="3"/>
        <v>-1.742153637805621</v>
      </c>
      <c r="Q7" s="42">
        <f t="shared" si="4"/>
        <v>-1.8022800995763077</v>
      </c>
      <c r="R7" s="41">
        <f t="shared" si="5"/>
        <v>4.65759754603913E-2</v>
      </c>
      <c r="S7" s="41">
        <f t="shared" ref="S7:S25" si="6">(N7-N6)/(D7-D6)</f>
        <v>7.0748464439763653E-2</v>
      </c>
      <c r="T7" s="41">
        <f t="shared" ref="T7:T24" si="7">(O7-O6)/(D7-D6)</f>
        <v>1.0670379266454482E-2</v>
      </c>
      <c r="U7" s="41">
        <f t="shared" ref="U7:U25" si="8">(P7-P6)/(D7-D6)</f>
        <v>0.10555579555239704</v>
      </c>
      <c r="V7" s="42">
        <f t="shared" ref="V7:V25" si="9">AVERAGE(S7:U7)</f>
        <v>6.232487975287173E-2</v>
      </c>
      <c r="W7" s="41">
        <f t="shared" ref="W7:W25" si="10">STDEV(S7:U7)/SQRT(3)</f>
        <v>2.7712982157417868E-2</v>
      </c>
      <c r="X7" s="41">
        <f t="shared" ref="X7:X25" si="11">(I7/D7)</f>
        <v>3.211494339622642E-2</v>
      </c>
      <c r="Y7" s="41">
        <f t="shared" ref="Y7:Y25" si="12">J7/D7</f>
        <v>2.8391471698113201E-2</v>
      </c>
      <c r="Z7" s="41">
        <f t="shared" ref="Z7:Z25" si="13">K7/D7</f>
        <v>3.3045811320754709E-2</v>
      </c>
      <c r="AA7" s="42">
        <f t="shared" ref="AA7:AA25" si="14">AVERAGE(X7:Z7)</f>
        <v>3.1184075471698113E-2</v>
      </c>
      <c r="AB7" s="169">
        <f t="shared" ref="AB7:AB25" si="15">STDEV(X7:Z7)/SQRT(3)</f>
        <v>1.4219242420524622E-3</v>
      </c>
      <c r="AD7" s="175"/>
      <c r="AE7" s="41"/>
      <c r="AF7" s="49"/>
    </row>
    <row r="8" spans="1:32" s="5" customFormat="1" ht="13" x14ac:dyDescent="0.15">
      <c r="A8" s="46"/>
      <c r="B8" s="223"/>
      <c r="C8" s="39">
        <v>0.9</v>
      </c>
      <c r="D8" s="43">
        <v>10</v>
      </c>
      <c r="E8" s="224"/>
      <c r="F8" s="40">
        <v>0.161</v>
      </c>
      <c r="G8" s="41">
        <v>0.16600000000000001</v>
      </c>
      <c r="H8" s="41">
        <v>0.16700000000000001</v>
      </c>
      <c r="I8" s="41">
        <f t="shared" si="0"/>
        <v>0.19857740000000002</v>
      </c>
      <c r="J8" s="41">
        <f t="shared" si="0"/>
        <v>0.20474440000000002</v>
      </c>
      <c r="K8" s="41">
        <f t="shared" si="0"/>
        <v>0.20597780000000002</v>
      </c>
      <c r="L8" s="42">
        <f t="shared" si="1"/>
        <v>0.20309986666666668</v>
      </c>
      <c r="M8" s="41">
        <f t="shared" si="2"/>
        <v>2.2890935217048506E-3</v>
      </c>
      <c r="N8" s="41">
        <f t="shared" si="3"/>
        <v>-1.6165763304224186</v>
      </c>
      <c r="O8" s="41">
        <f t="shared" si="3"/>
        <v>-1.5859929070503382</v>
      </c>
      <c r="P8" s="41">
        <f t="shared" si="3"/>
        <v>-1.5799868829901265</v>
      </c>
      <c r="Q8" s="42">
        <f t="shared" si="4"/>
        <v>-1.5941853734876277</v>
      </c>
      <c r="R8" s="41">
        <f t="shared" si="5"/>
        <v>1.1328934866007232E-2</v>
      </c>
      <c r="S8" s="41">
        <f t="shared" si="6"/>
        <v>3.2798016984523039E-2</v>
      </c>
      <c r="T8" s="41">
        <f t="shared" si="7"/>
        <v>6.5524839068784466E-2</v>
      </c>
      <c r="U8" s="41">
        <f t="shared" si="8"/>
        <v>3.4503564854360555E-2</v>
      </c>
      <c r="V8" s="42">
        <f t="shared" si="9"/>
        <v>4.4275473635889351E-2</v>
      </c>
      <c r="W8" s="41">
        <f t="shared" si="10"/>
        <v>1.0636084365022305E-2</v>
      </c>
      <c r="X8" s="41">
        <f t="shared" si="11"/>
        <v>1.9857740000000002E-2</v>
      </c>
      <c r="Y8" s="41">
        <f t="shared" si="12"/>
        <v>2.0474440000000003E-2</v>
      </c>
      <c r="Z8" s="41">
        <f t="shared" si="13"/>
        <v>2.0597780000000003E-2</v>
      </c>
      <c r="AA8" s="42">
        <f t="shared" si="14"/>
        <v>2.0309986666666672E-2</v>
      </c>
      <c r="AB8" s="169">
        <f t="shared" si="15"/>
        <v>2.2890935217048531E-4</v>
      </c>
      <c r="AD8" s="175"/>
      <c r="AE8" s="41"/>
      <c r="AF8" s="49"/>
    </row>
    <row r="9" spans="1:32" s="5" customFormat="1" ht="13" x14ac:dyDescent="0.15">
      <c r="A9" s="46"/>
      <c r="B9" s="222" t="s">
        <v>24</v>
      </c>
      <c r="C9" s="39">
        <v>0.42152777777777778</v>
      </c>
      <c r="D9" s="43">
        <v>22.516666666666666</v>
      </c>
      <c r="E9" s="224">
        <v>2</v>
      </c>
      <c r="F9" s="40">
        <v>0.24299999999999999</v>
      </c>
      <c r="G9" s="41">
        <v>0.22600000000000001</v>
      </c>
      <c r="H9" s="41">
        <v>0.23</v>
      </c>
      <c r="I9" s="41">
        <f t="shared" si="0"/>
        <v>0.29971619999999999</v>
      </c>
      <c r="J9" s="41">
        <f t="shared" si="0"/>
        <v>0.27874840000000001</v>
      </c>
      <c r="K9" s="41">
        <f t="shared" si="0"/>
        <v>0.28368200000000005</v>
      </c>
      <c r="L9" s="42">
        <f t="shared" si="1"/>
        <v>0.28738219999999998</v>
      </c>
      <c r="M9" s="41">
        <f t="shared" si="2"/>
        <v>6.3293172154137772E-3</v>
      </c>
      <c r="N9" s="41">
        <f t="shared" si="3"/>
        <v>-1.2049192520663332</v>
      </c>
      <c r="O9" s="41">
        <f t="shared" si="3"/>
        <v>-1.2774456961345957</v>
      </c>
      <c r="P9" s="41">
        <f t="shared" si="3"/>
        <v>-1.2599013864836861</v>
      </c>
      <c r="Q9" s="42">
        <f t="shared" si="4"/>
        <v>-1.2474221115615383</v>
      </c>
      <c r="R9" s="41">
        <f t="shared" si="5"/>
        <v>2.1846590117099211E-2</v>
      </c>
      <c r="S9" s="41">
        <f t="shared" si="6"/>
        <v>3.2888714648954889E-2</v>
      </c>
      <c r="T9" s="41">
        <f t="shared" si="7"/>
        <v>2.465090899459994E-2</v>
      </c>
      <c r="U9" s="41">
        <f t="shared" si="8"/>
        <v>2.5572742730208285E-2</v>
      </c>
      <c r="V9" s="42">
        <f t="shared" si="9"/>
        <v>2.7704122124587709E-2</v>
      </c>
      <c r="W9" s="41">
        <f t="shared" si="10"/>
        <v>2.6059191655293454E-3</v>
      </c>
      <c r="X9" s="41">
        <f t="shared" si="11"/>
        <v>1.3310860103626943E-2</v>
      </c>
      <c r="Y9" s="41">
        <f t="shared" si="12"/>
        <v>1.2379647668393784E-2</v>
      </c>
      <c r="Z9" s="41">
        <f t="shared" si="13"/>
        <v>1.259875647668394E-2</v>
      </c>
      <c r="AA9" s="42">
        <f t="shared" si="14"/>
        <v>1.2763088082901554E-2</v>
      </c>
      <c r="AB9" s="169">
        <f t="shared" si="15"/>
        <v>2.8109476900431277E-4</v>
      </c>
      <c r="AD9" s="175"/>
      <c r="AE9" s="41"/>
      <c r="AF9" s="49"/>
    </row>
    <row r="10" spans="1:32" s="5" customFormat="1" ht="13" x14ac:dyDescent="0.15">
      <c r="A10" s="46"/>
      <c r="B10" s="222"/>
      <c r="C10" s="39">
        <v>0.54861111111111105</v>
      </c>
      <c r="D10" s="43">
        <v>25.566666666666666</v>
      </c>
      <c r="E10" s="224"/>
      <c r="F10" s="40">
        <v>0.24199999999999999</v>
      </c>
      <c r="G10" s="41">
        <v>0.24</v>
      </c>
      <c r="H10" s="41">
        <v>0.25800000000000001</v>
      </c>
      <c r="I10" s="41">
        <f t="shared" si="0"/>
        <v>0.29848279999999999</v>
      </c>
      <c r="J10" s="41">
        <f t="shared" si="0"/>
        <v>0.296016</v>
      </c>
      <c r="K10" s="41">
        <f t="shared" si="0"/>
        <v>0.31821720000000003</v>
      </c>
      <c r="L10" s="42">
        <f t="shared" si="1"/>
        <v>0.30423866666666671</v>
      </c>
      <c r="M10" s="41">
        <f t="shared" si="2"/>
        <v>7.0254494796497743E-3</v>
      </c>
      <c r="N10" s="41">
        <f t="shared" si="3"/>
        <v>-1.2090429692501954</v>
      </c>
      <c r="O10" s="41">
        <f t="shared" si="3"/>
        <v>-1.2173417720648902</v>
      </c>
      <c r="P10" s="41">
        <f t="shared" si="3"/>
        <v>-1.1450211104852641</v>
      </c>
      <c r="Q10" s="42">
        <f t="shared" si="4"/>
        <v>-1.1904686172667833</v>
      </c>
      <c r="R10" s="41">
        <f t="shared" si="5"/>
        <v>2.2849685895225985E-2</v>
      </c>
      <c r="S10" s="41">
        <f t="shared" si="6"/>
        <v>-1.3520384209384174E-3</v>
      </c>
      <c r="T10" s="41">
        <f t="shared" si="7"/>
        <v>1.9706204613018172E-2</v>
      </c>
      <c r="U10" s="41">
        <f t="shared" si="8"/>
        <v>3.7665664261777691E-2</v>
      </c>
      <c r="V10" s="42">
        <f t="shared" si="9"/>
        <v>1.8673276817952483E-2</v>
      </c>
      <c r="W10" s="41">
        <f t="shared" si="10"/>
        <v>1.1275275096888951E-2</v>
      </c>
      <c r="X10" s="41">
        <f t="shared" si="11"/>
        <v>1.1674685788787484E-2</v>
      </c>
      <c r="Y10" s="41">
        <f t="shared" si="12"/>
        <v>1.1578200782268578E-2</v>
      </c>
      <c r="Z10" s="41">
        <f t="shared" si="13"/>
        <v>1.2446565840938723E-2</v>
      </c>
      <c r="AA10" s="42">
        <f t="shared" si="14"/>
        <v>1.1899817470664929E-2</v>
      </c>
      <c r="AB10" s="169">
        <f t="shared" si="15"/>
        <v>2.7478941902150337E-4</v>
      </c>
      <c r="AD10" s="175"/>
      <c r="AE10" s="41"/>
      <c r="AF10" s="49"/>
    </row>
    <row r="11" spans="1:32" s="5" customFormat="1" ht="13" x14ac:dyDescent="0.15">
      <c r="A11" s="46"/>
      <c r="B11" s="222"/>
      <c r="C11" s="39">
        <v>0.72152777777777777</v>
      </c>
      <c r="D11" s="43">
        <v>29.716666666666669</v>
      </c>
      <c r="E11" s="224"/>
      <c r="F11" s="40">
        <v>0.27800000000000002</v>
      </c>
      <c r="G11" s="41">
        <v>0.27300000000000002</v>
      </c>
      <c r="H11" s="41">
        <v>0.25</v>
      </c>
      <c r="I11" s="41">
        <f t="shared" si="0"/>
        <v>0.34288520000000006</v>
      </c>
      <c r="J11" s="41">
        <f t="shared" si="0"/>
        <v>0.33671820000000002</v>
      </c>
      <c r="K11" s="41">
        <f t="shared" si="0"/>
        <v>0.30835000000000001</v>
      </c>
      <c r="L11" s="42">
        <f t="shared" si="1"/>
        <v>0.32931780000000005</v>
      </c>
      <c r="M11" s="41">
        <f t="shared" si="2"/>
        <v>1.0633977773784069E-2</v>
      </c>
      <c r="N11" s="41">
        <f t="shared" si="3"/>
        <v>-1.0703595817162443</v>
      </c>
      <c r="O11" s="41">
        <f t="shared" si="3"/>
        <v>-1.0885089002219219</v>
      </c>
      <c r="P11" s="41">
        <f t="shared" si="3"/>
        <v>-1.1765197775446352</v>
      </c>
      <c r="Q11" s="42">
        <f t="shared" si="4"/>
        <v>-1.1117960864942671</v>
      </c>
      <c r="R11" s="41">
        <f t="shared" si="5"/>
        <v>3.2783210021507213E-2</v>
      </c>
      <c r="S11" s="41">
        <f t="shared" si="6"/>
        <v>3.3417683743120714E-2</v>
      </c>
      <c r="T11" s="41">
        <f t="shared" si="7"/>
        <v>3.1044065504329699E-2</v>
      </c>
      <c r="U11" s="41">
        <f t="shared" si="8"/>
        <v>-7.5900402552701403E-3</v>
      </c>
      <c r="V11" s="42">
        <f t="shared" si="9"/>
        <v>1.8957236330726757E-2</v>
      </c>
      <c r="W11" s="41">
        <f t="shared" si="10"/>
        <v>1.329131215601561E-2</v>
      </c>
      <c r="X11" s="41">
        <f t="shared" si="11"/>
        <v>1.1538481211441392E-2</v>
      </c>
      <c r="Y11" s="41">
        <f t="shared" si="12"/>
        <v>1.133095457094784E-2</v>
      </c>
      <c r="Z11" s="41">
        <f t="shared" si="13"/>
        <v>1.037633202467751E-2</v>
      </c>
      <c r="AA11" s="42">
        <f t="shared" si="14"/>
        <v>1.1081922602355581E-2</v>
      </c>
      <c r="AB11" s="169">
        <f t="shared" si="15"/>
        <v>3.5784557847843152E-4</v>
      </c>
      <c r="AD11" s="175"/>
      <c r="AE11" s="41"/>
      <c r="AF11" s="49"/>
    </row>
    <row r="12" spans="1:32" s="5" customFormat="1" ht="13" x14ac:dyDescent="0.15">
      <c r="A12" s="46"/>
      <c r="B12" s="44" t="s">
        <v>25</v>
      </c>
      <c r="C12" s="39">
        <v>0.46249999999999997</v>
      </c>
      <c r="D12" s="43">
        <v>47.5</v>
      </c>
      <c r="E12" s="45">
        <v>3</v>
      </c>
      <c r="F12" s="40">
        <v>0.42399999999999999</v>
      </c>
      <c r="G12" s="41">
        <v>0.41099999999999998</v>
      </c>
      <c r="H12" s="41">
        <v>0.40200000000000002</v>
      </c>
      <c r="I12" s="41">
        <f t="shared" si="0"/>
        <v>0.52296160000000003</v>
      </c>
      <c r="J12" s="41">
        <f t="shared" si="0"/>
        <v>0.50692740000000003</v>
      </c>
      <c r="K12" s="41">
        <f t="shared" si="0"/>
        <v>0.49582680000000007</v>
      </c>
      <c r="L12" s="42">
        <f t="shared" si="1"/>
        <v>0.50857193333333339</v>
      </c>
      <c r="M12" s="41">
        <f t="shared" si="2"/>
        <v>7.8761816081426329E-3</v>
      </c>
      <c r="N12" s="41">
        <f t="shared" si="3"/>
        <v>-0.64824724017492386</v>
      </c>
      <c r="O12" s="41">
        <f t="shared" si="3"/>
        <v>-0.67938748091064705</v>
      </c>
      <c r="P12" s="41">
        <f t="shared" si="3"/>
        <v>-0.70152860678786044</v>
      </c>
      <c r="Q12" s="42">
        <f t="shared" si="4"/>
        <v>-0.67638777595781052</v>
      </c>
      <c r="R12" s="41">
        <f t="shared" si="5"/>
        <v>1.5453960435096595E-2</v>
      </c>
      <c r="S12" s="41">
        <f t="shared" si="6"/>
        <v>2.373640158620359E-2</v>
      </c>
      <c r="T12" s="41">
        <f t="shared" si="7"/>
        <v>2.3005890495479377E-2</v>
      </c>
      <c r="U12" s="41">
        <f t="shared" si="8"/>
        <v>2.6709906509284433E-2</v>
      </c>
      <c r="V12" s="42">
        <f t="shared" si="9"/>
        <v>2.4484066196989136E-2</v>
      </c>
      <c r="W12" s="41">
        <f t="shared" si="10"/>
        <v>1.1327231840858702E-3</v>
      </c>
      <c r="X12" s="41">
        <f t="shared" si="11"/>
        <v>1.1009717894736842E-2</v>
      </c>
      <c r="Y12" s="41">
        <f t="shared" si="12"/>
        <v>1.0672155789473685E-2</v>
      </c>
      <c r="Z12" s="41">
        <f t="shared" si="13"/>
        <v>1.0438458947368423E-2</v>
      </c>
      <c r="AA12" s="42">
        <f t="shared" si="14"/>
        <v>1.0706777543859651E-2</v>
      </c>
      <c r="AB12" s="169">
        <f t="shared" si="15"/>
        <v>1.6581434964510789E-4</v>
      </c>
      <c r="AD12" s="175"/>
      <c r="AE12" s="41"/>
      <c r="AF12" s="49"/>
    </row>
    <row r="13" spans="1:32" s="5" customFormat="1" ht="13" x14ac:dyDescent="0.15">
      <c r="A13" s="46"/>
      <c r="B13" s="44" t="s">
        <v>26</v>
      </c>
      <c r="C13" s="39">
        <v>0.43263888888888885</v>
      </c>
      <c r="D13" s="43">
        <v>70.783333333333331</v>
      </c>
      <c r="E13" s="45">
        <v>4</v>
      </c>
      <c r="F13" s="40">
        <v>0.57799999999999996</v>
      </c>
      <c r="G13" s="41">
        <v>0.55900000000000005</v>
      </c>
      <c r="H13" s="41">
        <v>0.56999999999999995</v>
      </c>
      <c r="I13" s="41">
        <f t="shared" si="0"/>
        <v>0.71290520000000002</v>
      </c>
      <c r="J13" s="41">
        <f t="shared" si="0"/>
        <v>0.68947060000000004</v>
      </c>
      <c r="K13" s="41">
        <f t="shared" si="0"/>
        <v>0.70303799999999994</v>
      </c>
      <c r="L13" s="42">
        <f t="shared" si="1"/>
        <v>0.7018046</v>
      </c>
      <c r="M13" s="41">
        <f t="shared" si="2"/>
        <v>6.7930375130226669E-3</v>
      </c>
      <c r="N13" s="41">
        <f t="shared" si="3"/>
        <v>-0.33840682673450417</v>
      </c>
      <c r="O13" s="41">
        <f t="shared" si="3"/>
        <v>-0.37183122225178245</v>
      </c>
      <c r="P13" s="41">
        <f t="shared" si="3"/>
        <v>-0.3523443345782859</v>
      </c>
      <c r="Q13" s="42">
        <f t="shared" si="4"/>
        <v>-0.35419412785485749</v>
      </c>
      <c r="R13" s="41">
        <f t="shared" si="5"/>
        <v>9.6930190566613499E-3</v>
      </c>
      <c r="S13" s="41">
        <f t="shared" si="6"/>
        <v>1.3307390698944297E-2</v>
      </c>
      <c r="T13" s="41">
        <f t="shared" si="7"/>
        <v>1.3209288131375717E-2</v>
      </c>
      <c r="U13" s="41">
        <f t="shared" si="8"/>
        <v>1.4997177045507855E-2</v>
      </c>
      <c r="V13" s="42">
        <f t="shared" si="9"/>
        <v>1.383795195860929E-2</v>
      </c>
      <c r="W13" s="41">
        <f t="shared" si="10"/>
        <v>5.8030398068946779E-4</v>
      </c>
      <c r="X13" s="41">
        <f t="shared" si="11"/>
        <v>1.0071653402401695E-2</v>
      </c>
      <c r="Y13" s="41">
        <f t="shared" si="12"/>
        <v>9.7405782905580426E-3</v>
      </c>
      <c r="Z13" s="41">
        <f t="shared" si="13"/>
        <v>9.9322533553096292E-3</v>
      </c>
      <c r="AA13" s="42">
        <f t="shared" si="14"/>
        <v>9.9148283494231229E-3</v>
      </c>
      <c r="AB13" s="169">
        <f t="shared" si="15"/>
        <v>9.5969449206818527E-5</v>
      </c>
      <c r="AD13" s="175"/>
      <c r="AE13" s="41"/>
      <c r="AF13" s="49"/>
    </row>
    <row r="14" spans="1:32" s="5" customFormat="1" ht="13" x14ac:dyDescent="0.15">
      <c r="A14" s="46"/>
      <c r="B14" s="44" t="s">
        <v>27</v>
      </c>
      <c r="C14" s="39">
        <v>0.43888888888888888</v>
      </c>
      <c r="D14" s="43">
        <v>94.933333333333337</v>
      </c>
      <c r="E14" s="45">
        <v>5</v>
      </c>
      <c r="F14" s="40">
        <v>0.69599999999999995</v>
      </c>
      <c r="G14" s="41">
        <v>0.74199999999999999</v>
      </c>
      <c r="H14" s="41">
        <v>0.76500000000000001</v>
      </c>
      <c r="I14" s="41">
        <f t="shared" si="0"/>
        <v>0.85844639999999994</v>
      </c>
      <c r="J14" s="41">
        <f t="shared" si="0"/>
        <v>0.91518280000000007</v>
      </c>
      <c r="K14" s="41">
        <f t="shared" si="0"/>
        <v>0.94355100000000003</v>
      </c>
      <c r="L14" s="42">
        <f t="shared" si="1"/>
        <v>0.90572673333333331</v>
      </c>
      <c r="M14" s="41">
        <f t="shared" si="2"/>
        <v>2.5018400780847536E-2</v>
      </c>
      <c r="N14" s="41">
        <f t="shared" si="3"/>
        <v>-0.15263103507246209</v>
      </c>
      <c r="O14" s="41">
        <f t="shared" si="3"/>
        <v>-8.8631452239501141E-2</v>
      </c>
      <c r="P14" s="41">
        <f t="shared" si="3"/>
        <v>-5.81048615803458E-2</v>
      </c>
      <c r="Q14" s="42">
        <f t="shared" si="4"/>
        <v>-9.978911629743635E-2</v>
      </c>
      <c r="R14" s="41">
        <f t="shared" si="5"/>
        <v>2.7851807057997266E-2</v>
      </c>
      <c r="S14" s="41">
        <f t="shared" si="6"/>
        <v>7.6925793648878688E-3</v>
      </c>
      <c r="T14" s="41">
        <f t="shared" si="7"/>
        <v>1.1726698551233178E-2</v>
      </c>
      <c r="U14" s="41">
        <f t="shared" si="8"/>
        <v>1.2183829109645552E-2</v>
      </c>
      <c r="V14" s="42">
        <f t="shared" si="9"/>
        <v>1.0534369008588866E-2</v>
      </c>
      <c r="W14" s="41">
        <f t="shared" si="10"/>
        <v>1.4270095037225326E-3</v>
      </c>
      <c r="X14" s="41">
        <f t="shared" si="11"/>
        <v>9.0426235955056167E-3</v>
      </c>
      <c r="Y14" s="41">
        <f t="shared" si="12"/>
        <v>9.640268258426966E-3</v>
      </c>
      <c r="Z14" s="41">
        <f t="shared" si="13"/>
        <v>9.9390905898876399E-3</v>
      </c>
      <c r="AA14" s="42">
        <f t="shared" si="14"/>
        <v>9.5406608146067409E-3</v>
      </c>
      <c r="AB14" s="169">
        <f t="shared" si="15"/>
        <v>2.6353652507915234E-4</v>
      </c>
      <c r="AD14" s="175"/>
      <c r="AE14" s="41"/>
      <c r="AF14" s="49"/>
    </row>
    <row r="15" spans="1:32" s="5" customFormat="1" ht="13" x14ac:dyDescent="0.15">
      <c r="A15" s="46"/>
      <c r="B15" s="44" t="s">
        <v>28</v>
      </c>
      <c r="C15" s="39">
        <v>0.50069444444444444</v>
      </c>
      <c r="D15" s="43">
        <v>120.41666666666667</v>
      </c>
      <c r="E15" s="45">
        <v>6</v>
      </c>
      <c r="F15" s="40">
        <v>1.0629999999999999</v>
      </c>
      <c r="G15" s="41">
        <v>1.0249999999999999</v>
      </c>
      <c r="H15" s="41">
        <v>1.0289999999999999</v>
      </c>
      <c r="I15" s="41">
        <f t="shared" si="0"/>
        <v>1.3111041999999999</v>
      </c>
      <c r="J15" s="41">
        <f t="shared" si="0"/>
        <v>1.264235</v>
      </c>
      <c r="K15" s="41">
        <f t="shared" si="0"/>
        <v>1.2691686</v>
      </c>
      <c r="L15" s="42">
        <f t="shared" si="1"/>
        <v>1.2815026</v>
      </c>
      <c r="M15" s="41">
        <f t="shared" si="2"/>
        <v>1.4869164336079309E-2</v>
      </c>
      <c r="N15" s="41">
        <f t="shared" si="3"/>
        <v>0.27086968293506619</v>
      </c>
      <c r="O15" s="41">
        <f t="shared" si="3"/>
        <v>0.23446719616562689</v>
      </c>
      <c r="P15" s="41">
        <f t="shared" si="3"/>
        <v>0.23836204042716794</v>
      </c>
      <c r="Q15" s="42">
        <f t="shared" si="4"/>
        <v>0.24789963984262034</v>
      </c>
      <c r="R15" s="41">
        <f t="shared" si="5"/>
        <v>1.1539925082180696E-2</v>
      </c>
      <c r="S15" s="41">
        <f t="shared" si="6"/>
        <v>1.6618733211544601E-2</v>
      </c>
      <c r="T15" s="41">
        <f t="shared" si="7"/>
        <v>1.2678822043366698E-2</v>
      </c>
      <c r="U15" s="41">
        <f t="shared" si="8"/>
        <v>1.1633756782505444E-2</v>
      </c>
      <c r="V15" s="42">
        <f t="shared" si="9"/>
        <v>1.3643770679138916E-2</v>
      </c>
      <c r="W15" s="41">
        <f t="shared" si="10"/>
        <v>1.5177661108548087E-3</v>
      </c>
      <c r="X15" s="41">
        <f t="shared" si="11"/>
        <v>1.0888062560553632E-2</v>
      </c>
      <c r="Y15" s="41">
        <f t="shared" si="12"/>
        <v>1.0498837370242214E-2</v>
      </c>
      <c r="Z15" s="41">
        <f t="shared" si="13"/>
        <v>1.0539808442906574E-2</v>
      </c>
      <c r="AA15" s="42">
        <f t="shared" si="14"/>
        <v>1.0642236124567472E-2</v>
      </c>
      <c r="AB15" s="169">
        <f t="shared" si="15"/>
        <v>1.2348094950377262E-4</v>
      </c>
      <c r="AD15" s="175"/>
      <c r="AE15" s="41"/>
      <c r="AF15" s="49"/>
    </row>
    <row r="16" spans="1:32" s="5" customFormat="1" ht="13" x14ac:dyDescent="0.15">
      <c r="A16" s="46"/>
      <c r="B16" s="44" t="s">
        <v>29</v>
      </c>
      <c r="C16" s="39">
        <v>0.51111111111111118</v>
      </c>
      <c r="D16" s="43">
        <v>144.66666666666669</v>
      </c>
      <c r="E16" s="45">
        <v>7</v>
      </c>
      <c r="F16" s="40">
        <v>1.226</v>
      </c>
      <c r="G16" s="41">
        <v>1.242</v>
      </c>
      <c r="H16" s="41">
        <v>1.27</v>
      </c>
      <c r="I16" s="41">
        <f t="shared" si="0"/>
        <v>1.5121484000000001</v>
      </c>
      <c r="J16" s="41">
        <f t="shared" si="0"/>
        <v>1.5318828</v>
      </c>
      <c r="K16" s="41">
        <f t="shared" si="0"/>
        <v>1.5664180000000001</v>
      </c>
      <c r="L16" s="42">
        <f t="shared" si="1"/>
        <v>1.5368164</v>
      </c>
      <c r="M16" s="41">
        <f t="shared" si="2"/>
        <v>1.5859305131478294E-2</v>
      </c>
      <c r="N16" s="41">
        <f t="shared" si="3"/>
        <v>0.4135314210892751</v>
      </c>
      <c r="O16" s="41">
        <f t="shared" si="3"/>
        <v>0.42649756708654241</v>
      </c>
      <c r="P16" s="41">
        <f t="shared" si="3"/>
        <v>0.44879148404575536</v>
      </c>
      <c r="Q16" s="42">
        <f t="shared" si="4"/>
        <v>0.42960682407385758</v>
      </c>
      <c r="R16" s="41">
        <f t="shared" si="5"/>
        <v>1.0296740895118455E-2</v>
      </c>
      <c r="S16" s="41">
        <f t="shared" si="6"/>
        <v>5.8829582744003642E-3</v>
      </c>
      <c r="T16" s="41">
        <f t="shared" si="7"/>
        <v>7.9187781823057898E-3</v>
      </c>
      <c r="U16" s="41">
        <f t="shared" si="8"/>
        <v>8.6775028296324653E-3</v>
      </c>
      <c r="V16" s="42">
        <f t="shared" si="9"/>
        <v>7.4930797621128725E-3</v>
      </c>
      <c r="W16" s="41">
        <f t="shared" si="10"/>
        <v>8.3432291440632754E-4</v>
      </c>
      <c r="X16" s="41">
        <f t="shared" si="11"/>
        <v>1.0452638709677418E-2</v>
      </c>
      <c r="Y16" s="41">
        <f t="shared" si="12"/>
        <v>1.0589051612903225E-2</v>
      </c>
      <c r="Z16" s="41">
        <f t="shared" si="13"/>
        <v>1.0827774193548386E-2</v>
      </c>
      <c r="AA16" s="42">
        <f t="shared" si="14"/>
        <v>1.0623154838709676E-2</v>
      </c>
      <c r="AB16" s="169">
        <f t="shared" si="15"/>
        <v>1.0962653316690061E-4</v>
      </c>
      <c r="AD16" s="175"/>
      <c r="AE16" s="41"/>
      <c r="AF16" s="49"/>
    </row>
    <row r="17" spans="1:33" s="5" customFormat="1" ht="13" x14ac:dyDescent="0.15">
      <c r="A17" s="46"/>
      <c r="B17" s="44" t="s">
        <v>30</v>
      </c>
      <c r="C17" s="39">
        <v>0.4291666666666667</v>
      </c>
      <c r="D17" s="43">
        <v>166.70000000000002</v>
      </c>
      <c r="E17" s="45">
        <v>8</v>
      </c>
      <c r="F17" s="40">
        <v>1.466</v>
      </c>
      <c r="G17" s="41">
        <v>1.486</v>
      </c>
      <c r="H17" s="41">
        <v>1.482</v>
      </c>
      <c r="I17" s="41">
        <f t="shared" si="0"/>
        <v>1.8081644000000001</v>
      </c>
      <c r="J17" s="41">
        <f t="shared" si="0"/>
        <v>1.8328324</v>
      </c>
      <c r="K17" s="41">
        <f t="shared" si="0"/>
        <v>1.8278988</v>
      </c>
      <c r="L17" s="42">
        <f t="shared" si="1"/>
        <v>1.8229651999999998</v>
      </c>
      <c r="M17" s="41">
        <f t="shared" si="2"/>
        <v>7.536198482878018E-3</v>
      </c>
      <c r="N17" s="41">
        <f t="shared" si="3"/>
        <v>0.59231218703971522</v>
      </c>
      <c r="O17" s="41">
        <f t="shared" si="3"/>
        <v>0.60586252987082279</v>
      </c>
      <c r="P17" s="41">
        <f t="shared" si="3"/>
        <v>0.60316711044915061</v>
      </c>
      <c r="Q17" s="42">
        <f t="shared" si="4"/>
        <v>0.60044727578656287</v>
      </c>
      <c r="R17" s="41">
        <f t="shared" si="5"/>
        <v>4.141299037500084E-3</v>
      </c>
      <c r="S17" s="41">
        <f t="shared" si="6"/>
        <v>8.1141043547854827E-3</v>
      </c>
      <c r="T17" s="41">
        <f t="shared" si="7"/>
        <v>8.1406185832502455E-3</v>
      </c>
      <c r="U17" s="41">
        <f t="shared" si="8"/>
        <v>7.0064580818484995E-3</v>
      </c>
      <c r="V17" s="42">
        <f t="shared" si="9"/>
        <v>7.7537270066280759E-3</v>
      </c>
      <c r="W17" s="41">
        <f t="shared" si="10"/>
        <v>3.7371285123460256E-4</v>
      </c>
      <c r="X17" s="41">
        <f t="shared" si="11"/>
        <v>1.084681703659268E-2</v>
      </c>
      <c r="Y17" s="41">
        <f t="shared" si="12"/>
        <v>1.0994795440911817E-2</v>
      </c>
      <c r="Z17" s="41">
        <f t="shared" si="13"/>
        <v>1.096519976004799E-2</v>
      </c>
      <c r="AA17" s="42">
        <f t="shared" si="14"/>
        <v>1.0935604079184163E-2</v>
      </c>
      <c r="AB17" s="169">
        <f t="shared" si="15"/>
        <v>4.5208149267415104E-5</v>
      </c>
      <c r="AD17" s="175"/>
      <c r="AE17" s="41"/>
      <c r="AF17" s="49"/>
    </row>
    <row r="18" spans="1:33" s="5" customFormat="1" ht="13" x14ac:dyDescent="0.15">
      <c r="A18" s="46"/>
      <c r="B18" s="44" t="s">
        <v>32</v>
      </c>
      <c r="C18" s="39">
        <v>0.44097222222222227</v>
      </c>
      <c r="D18" s="43">
        <v>214.98333333333335</v>
      </c>
      <c r="E18" s="45">
        <v>10</v>
      </c>
      <c r="F18" s="40">
        <v>1.956</v>
      </c>
      <c r="G18" s="41">
        <v>1.8340000000000001</v>
      </c>
      <c r="H18" s="41">
        <v>1.8859999999999999</v>
      </c>
      <c r="I18" s="41">
        <f t="shared" si="0"/>
        <v>2.4125304000000001</v>
      </c>
      <c r="J18" s="41">
        <f t="shared" si="0"/>
        <v>2.2620556000000001</v>
      </c>
      <c r="K18" s="41">
        <f t="shared" si="0"/>
        <v>2.3261924</v>
      </c>
      <c r="L18" s="42">
        <f t="shared" si="1"/>
        <v>2.3335927999999999</v>
      </c>
      <c r="M18" s="41">
        <f t="shared" si="2"/>
        <v>4.3595645038161025E-2</v>
      </c>
      <c r="N18" s="41">
        <f t="shared" si="3"/>
        <v>0.880676155187881</v>
      </c>
      <c r="O18" s="41">
        <f t="shared" si="3"/>
        <v>0.81627395740952857</v>
      </c>
      <c r="P18" s="41">
        <f t="shared" si="3"/>
        <v>0.84423276778652112</v>
      </c>
      <c r="Q18" s="42">
        <f t="shared" si="4"/>
        <v>0.84706096012797694</v>
      </c>
      <c r="R18" s="41">
        <f t="shared" si="5"/>
        <v>1.8645015183784894E-2</v>
      </c>
      <c r="S18" s="41">
        <f t="shared" si="6"/>
        <v>5.9723293368622535E-3</v>
      </c>
      <c r="T18" s="41">
        <f t="shared" si="7"/>
        <v>4.3578479987305312E-3</v>
      </c>
      <c r="U18" s="41">
        <f t="shared" si="8"/>
        <v>4.9927302175499589E-3</v>
      </c>
      <c r="V18" s="42">
        <f t="shared" si="9"/>
        <v>5.1076358510475815E-3</v>
      </c>
      <c r="W18" s="41">
        <f t="shared" si="10"/>
        <v>4.6958846388833443E-4</v>
      </c>
      <c r="X18" s="41">
        <f t="shared" si="11"/>
        <v>1.1221941545856267E-2</v>
      </c>
      <c r="Y18" s="41">
        <f t="shared" si="12"/>
        <v>1.0522004496472594E-2</v>
      </c>
      <c r="Z18" s="41">
        <f t="shared" si="13"/>
        <v>1.0820338320800061E-2</v>
      </c>
      <c r="AA18" s="42">
        <f t="shared" si="14"/>
        <v>1.0854761454376307E-2</v>
      </c>
      <c r="AB18" s="169">
        <f t="shared" si="15"/>
        <v>2.0278616189546965E-4</v>
      </c>
      <c r="AD18" s="175"/>
      <c r="AE18" s="41"/>
      <c r="AF18" s="49"/>
    </row>
    <row r="19" spans="1:33" s="5" customFormat="1" ht="13" x14ac:dyDescent="0.15">
      <c r="A19" s="46"/>
      <c r="B19" s="44" t="s">
        <v>33</v>
      </c>
      <c r="C19" s="39">
        <v>0.48402777777777778</v>
      </c>
      <c r="D19" s="43">
        <v>240.01666666666668</v>
      </c>
      <c r="E19" s="45">
        <v>11</v>
      </c>
      <c r="F19" s="40">
        <v>2.2440000000000002</v>
      </c>
      <c r="G19" s="41">
        <v>1.992</v>
      </c>
      <c r="H19" s="41">
        <v>2.1320000000000001</v>
      </c>
      <c r="I19" s="41">
        <f t="shared" si="0"/>
        <v>2.7677496000000006</v>
      </c>
      <c r="J19" s="41">
        <f t="shared" si="0"/>
        <v>2.4569328000000001</v>
      </c>
      <c r="K19" s="41">
        <f t="shared" si="0"/>
        <v>2.6296088000000002</v>
      </c>
      <c r="L19" s="42">
        <f t="shared" si="1"/>
        <v>2.618097066666667</v>
      </c>
      <c r="M19" s="41">
        <f t="shared" si="2"/>
        <v>8.9909511535790632E-2</v>
      </c>
      <c r="N19" s="41">
        <f t="shared" si="3"/>
        <v>1.0180345712357055</v>
      </c>
      <c r="O19" s="41">
        <f t="shared" si="3"/>
        <v>0.89891374273766189</v>
      </c>
      <c r="P19" s="41">
        <f t="shared" si="3"/>
        <v>0.96683508987885358</v>
      </c>
      <c r="Q19" s="42">
        <f t="shared" si="4"/>
        <v>0.96126113461740703</v>
      </c>
      <c r="R19" s="41">
        <f t="shared" si="5"/>
        <v>3.449997429205582E-2</v>
      </c>
      <c r="S19" s="41">
        <f t="shared" si="6"/>
        <v>5.4870206144270782E-3</v>
      </c>
      <c r="T19" s="41">
        <f t="shared" si="7"/>
        <v>3.3011898266897466E-3</v>
      </c>
      <c r="U19" s="41">
        <f t="shared" si="8"/>
        <v>4.8975627999600186E-3</v>
      </c>
      <c r="V19" s="42">
        <f t="shared" si="9"/>
        <v>4.5619244136922811E-3</v>
      </c>
      <c r="W19" s="41">
        <f t="shared" si="10"/>
        <v>6.5293029309092645E-4</v>
      </c>
      <c r="X19" s="41">
        <f t="shared" si="11"/>
        <v>1.1531489202138742E-2</v>
      </c>
      <c r="Y19" s="41">
        <f t="shared" si="12"/>
        <v>1.0236509131310325E-2</v>
      </c>
      <c r="Z19" s="41">
        <f t="shared" si="13"/>
        <v>1.0955942503992778E-2</v>
      </c>
      <c r="AA19" s="42">
        <f t="shared" si="14"/>
        <v>1.0907980279147281E-2</v>
      </c>
      <c r="AB19" s="169">
        <f t="shared" si="15"/>
        <v>3.7459695105530449E-4</v>
      </c>
      <c r="AD19" s="43"/>
      <c r="AE19" s="41"/>
      <c r="AF19" s="49"/>
    </row>
    <row r="20" spans="1:33" s="5" customFormat="1" ht="13" x14ac:dyDescent="0.15">
      <c r="A20" s="46"/>
      <c r="B20" s="44" t="s">
        <v>34</v>
      </c>
      <c r="C20" s="39">
        <v>0.52013888888888882</v>
      </c>
      <c r="D20" s="43">
        <v>288.88333333333333</v>
      </c>
      <c r="E20" s="45">
        <v>13</v>
      </c>
      <c r="F20" s="40">
        <v>2.5640000000000001</v>
      </c>
      <c r="G20" s="41">
        <v>2.444</v>
      </c>
      <c r="H20" s="41">
        <v>2.5760000000000001</v>
      </c>
      <c r="I20" s="41">
        <f t="shared" si="0"/>
        <v>3.1624376000000001</v>
      </c>
      <c r="J20" s="41">
        <f t="shared" si="0"/>
        <v>3.0144296000000002</v>
      </c>
      <c r="K20" s="41">
        <f t="shared" si="0"/>
        <v>3.1772384000000002</v>
      </c>
      <c r="L20" s="42">
        <f t="shared" si="1"/>
        <v>3.1180352</v>
      </c>
      <c r="M20" s="41">
        <f t="shared" si="2"/>
        <v>5.1978701355074278E-2</v>
      </c>
      <c r="N20" s="41">
        <f t="shared" si="3"/>
        <v>1.151343122633679</v>
      </c>
      <c r="O20" s="41">
        <f t="shared" si="3"/>
        <v>1.1034106248846043</v>
      </c>
      <c r="P20" s="41">
        <f t="shared" si="3"/>
        <v>1.1560123918173626</v>
      </c>
      <c r="Q20" s="42">
        <f t="shared" si="4"/>
        <v>1.1369220464452152</v>
      </c>
      <c r="R20" s="41">
        <f t="shared" si="5"/>
        <v>1.6809838884188855E-2</v>
      </c>
      <c r="S20" s="41">
        <f t="shared" si="6"/>
        <v>2.7280058266979578E-3</v>
      </c>
      <c r="T20" s="41">
        <f t="shared" si="7"/>
        <v>4.1847929498010058E-3</v>
      </c>
      <c r="U20" s="41">
        <f t="shared" si="8"/>
        <v>3.8712954011973213E-3</v>
      </c>
      <c r="V20" s="42">
        <f t="shared" si="9"/>
        <v>3.5946980592320953E-3</v>
      </c>
      <c r="W20" s="41">
        <f t="shared" si="10"/>
        <v>4.4269505971808069E-4</v>
      </c>
      <c r="X20" s="41">
        <f t="shared" si="11"/>
        <v>1.0947109905959731E-2</v>
      </c>
      <c r="Y20" s="41">
        <f t="shared" si="12"/>
        <v>1.0434764668551319E-2</v>
      </c>
      <c r="Z20" s="41">
        <f t="shared" si="13"/>
        <v>1.0998344429700572E-2</v>
      </c>
      <c r="AA20" s="42">
        <f t="shared" si="14"/>
        <v>1.0793406334737209E-2</v>
      </c>
      <c r="AB20" s="169">
        <f t="shared" si="15"/>
        <v>1.7992973410860532E-4</v>
      </c>
      <c r="AD20" s="43"/>
      <c r="AE20" s="41"/>
      <c r="AF20" s="49"/>
    </row>
    <row r="21" spans="1:33" s="5" customFormat="1" ht="13" x14ac:dyDescent="0.15">
      <c r="A21" s="46"/>
      <c r="B21" s="46" t="s">
        <v>35</v>
      </c>
      <c r="C21" s="39">
        <v>0.52152777777777781</v>
      </c>
      <c r="D21" s="43">
        <v>312.91666666666669</v>
      </c>
      <c r="E21" s="45">
        <v>14</v>
      </c>
      <c r="F21" s="40">
        <v>2.94</v>
      </c>
      <c r="G21" s="41">
        <v>2.5840000000000001</v>
      </c>
      <c r="H21" s="41">
        <v>2.78</v>
      </c>
      <c r="I21" s="41">
        <f t="shared" si="0"/>
        <v>3.6261960000000002</v>
      </c>
      <c r="J21" s="41">
        <f t="shared" si="0"/>
        <v>3.1871056000000002</v>
      </c>
      <c r="K21" s="41">
        <f t="shared" si="0"/>
        <v>3.428852</v>
      </c>
      <c r="L21" s="42">
        <f t="shared" si="1"/>
        <v>3.4140512000000007</v>
      </c>
      <c r="M21" s="41">
        <f t="shared" si="2"/>
        <v>0.12697032803444014</v>
      </c>
      <c r="N21" s="41">
        <f t="shared" si="3"/>
        <v>1.2881841649258456</v>
      </c>
      <c r="O21" s="41">
        <f t="shared" si="3"/>
        <v>1.1591131694956109</v>
      </c>
      <c r="P21" s="41">
        <f t="shared" si="3"/>
        <v>1.2322255112778011</v>
      </c>
      <c r="Q21" s="42">
        <f t="shared" si="4"/>
        <v>1.2265076152330858</v>
      </c>
      <c r="R21" s="41">
        <f t="shared" si="5"/>
        <v>3.7369110312848612E-2</v>
      </c>
      <c r="S21" s="41">
        <f t="shared" si="6"/>
        <v>5.6938020371220454E-3</v>
      </c>
      <c r="T21" s="41">
        <f t="shared" si="7"/>
        <v>2.3177203028158081E-3</v>
      </c>
      <c r="U21" s="41">
        <f t="shared" si="8"/>
        <v>3.1711422799072858E-3</v>
      </c>
      <c r="V21" s="42">
        <f t="shared" si="9"/>
        <v>3.7275548732817131E-3</v>
      </c>
      <c r="W21" s="41">
        <f t="shared" si="10"/>
        <v>1.0135216162352426E-3</v>
      </c>
      <c r="X21" s="41">
        <f t="shared" si="11"/>
        <v>1.1588376031957391E-2</v>
      </c>
      <c r="Y21" s="41">
        <f t="shared" si="12"/>
        <v>1.0185157709720373E-2</v>
      </c>
      <c r="Z21" s="41">
        <f t="shared" si="13"/>
        <v>1.0957716111850865E-2</v>
      </c>
      <c r="AA21" s="42">
        <f t="shared" si="14"/>
        <v>1.0910416617842875E-2</v>
      </c>
      <c r="AB21" s="169">
        <f t="shared" si="15"/>
        <v>4.057640310022056E-4</v>
      </c>
      <c r="AD21" s="43"/>
      <c r="AE21" s="41"/>
      <c r="AF21" s="49"/>
    </row>
    <row r="22" spans="1:33" s="5" customFormat="1" ht="13" x14ac:dyDescent="0.15">
      <c r="A22" s="46"/>
      <c r="B22" s="46" t="s">
        <v>36</v>
      </c>
      <c r="C22" s="39">
        <v>0.49027777777777781</v>
      </c>
      <c r="D22" s="43">
        <v>336.16666666666669</v>
      </c>
      <c r="E22" s="45">
        <v>15</v>
      </c>
      <c r="F22" s="40">
        <v>3.0680000000000001</v>
      </c>
      <c r="G22" s="41">
        <v>2.5880000000000001</v>
      </c>
      <c r="H22" s="41">
        <v>3.044</v>
      </c>
      <c r="I22" s="41">
        <f t="shared" si="0"/>
        <v>3.7840712000000001</v>
      </c>
      <c r="J22" s="41">
        <f t="shared" si="0"/>
        <v>3.1920392000000004</v>
      </c>
      <c r="K22" s="41">
        <f t="shared" si="0"/>
        <v>3.7544696000000002</v>
      </c>
      <c r="L22" s="42">
        <f t="shared" si="1"/>
        <v>3.5768599999999999</v>
      </c>
      <c r="M22" s="41">
        <f t="shared" si="2"/>
        <v>0.19260006037133001</v>
      </c>
      <c r="N22" s="41">
        <f t="shared" si="3"/>
        <v>1.3308004670802651</v>
      </c>
      <c r="O22" s="41">
        <f t="shared" si="3"/>
        <v>1.1606599602139096</v>
      </c>
      <c r="P22" s="41">
        <f t="shared" si="3"/>
        <v>1.3229470235746947</v>
      </c>
      <c r="Q22" s="42">
        <f t="shared" si="4"/>
        <v>1.2714691502896232</v>
      </c>
      <c r="R22" s="41">
        <f t="shared" si="5"/>
        <v>5.5450959106975797E-2</v>
      </c>
      <c r="S22" s="41">
        <f t="shared" si="6"/>
        <v>1.8329592324481494E-3</v>
      </c>
      <c r="T22" s="41">
        <f t="shared" si="7"/>
        <v>6.6528633045103775E-5</v>
      </c>
      <c r="U22" s="41">
        <f t="shared" si="8"/>
        <v>3.9020005288986507E-3</v>
      </c>
      <c r="V22" s="42">
        <f t="shared" si="9"/>
        <v>1.9338294647973011E-3</v>
      </c>
      <c r="W22" s="41">
        <f t="shared" si="10"/>
        <v>1.1083534738222025E-3</v>
      </c>
      <c r="X22" s="41">
        <f t="shared" si="11"/>
        <v>1.1256533068914229E-2</v>
      </c>
      <c r="Y22" s="41">
        <f t="shared" si="12"/>
        <v>9.4954066435299963E-3</v>
      </c>
      <c r="Z22" s="41">
        <f t="shared" si="13"/>
        <v>1.1168476747645017E-2</v>
      </c>
      <c r="AA22" s="42">
        <f t="shared" si="14"/>
        <v>1.0640138820029748E-2</v>
      </c>
      <c r="AB22" s="169">
        <f t="shared" si="15"/>
        <v>5.7293027378680207E-4</v>
      </c>
      <c r="AD22" s="175"/>
      <c r="AE22" s="41"/>
      <c r="AF22" s="49"/>
    </row>
    <row r="23" spans="1:33" s="5" customFormat="1" ht="13" x14ac:dyDescent="0.15">
      <c r="A23" s="46"/>
      <c r="B23" s="46" t="s">
        <v>37</v>
      </c>
      <c r="C23" s="39">
        <v>0.44375000000000003</v>
      </c>
      <c r="D23" s="43">
        <v>359.05</v>
      </c>
      <c r="E23" s="45">
        <v>16</v>
      </c>
      <c r="F23" s="40">
        <v>3.2280000000000002</v>
      </c>
      <c r="G23" s="41">
        <v>2.8439999999999999</v>
      </c>
      <c r="H23" s="41">
        <v>3.1360000000000001</v>
      </c>
      <c r="I23" s="41">
        <f t="shared" si="0"/>
        <v>3.9814152000000003</v>
      </c>
      <c r="J23" s="41">
        <f t="shared" si="0"/>
        <v>3.5077896000000002</v>
      </c>
      <c r="K23" s="41">
        <f t="shared" si="0"/>
        <v>3.8679424000000004</v>
      </c>
      <c r="L23" s="42">
        <f t="shared" si="1"/>
        <v>3.7857157333333333</v>
      </c>
      <c r="M23" s="41">
        <f t="shared" si="2"/>
        <v>0.14277163674574089</v>
      </c>
      <c r="N23" s="41">
        <f t="shared" si="3"/>
        <v>1.3816373339829577</v>
      </c>
      <c r="O23" s="41">
        <f t="shared" si="3"/>
        <v>1.25498609551625</v>
      </c>
      <c r="P23" s="41">
        <f t="shared" si="3"/>
        <v>1.3527226860634169</v>
      </c>
      <c r="Q23" s="42">
        <f t="shared" si="4"/>
        <v>1.329782038520875</v>
      </c>
      <c r="R23" s="41">
        <f t="shared" si="5"/>
        <v>3.8318137713712362E-2</v>
      </c>
      <c r="S23" s="41">
        <f t="shared" si="6"/>
        <v>2.2215673810353667E-3</v>
      </c>
      <c r="T23" s="41">
        <f t="shared" si="7"/>
        <v>4.1220452426368702E-3</v>
      </c>
      <c r="U23" s="41">
        <f t="shared" si="8"/>
        <v>1.3011942821000242E-3</v>
      </c>
      <c r="V23" s="42">
        <f t="shared" si="9"/>
        <v>2.5482689685907538E-3</v>
      </c>
      <c r="W23" s="41">
        <f t="shared" si="10"/>
        <v>8.3053205454371637E-4</v>
      </c>
      <c r="X23" s="41">
        <f t="shared" si="11"/>
        <v>1.1088748642250384E-2</v>
      </c>
      <c r="Y23" s="41">
        <f t="shared" si="12"/>
        <v>9.7696409970756161E-3</v>
      </c>
      <c r="Z23" s="41">
        <f t="shared" si="13"/>
        <v>1.0772712435593929E-2</v>
      </c>
      <c r="AA23" s="42">
        <f t="shared" si="14"/>
        <v>1.0543700691639976E-2</v>
      </c>
      <c r="AB23" s="169">
        <f t="shared" si="15"/>
        <v>3.976372002387995E-4</v>
      </c>
      <c r="AD23" s="43"/>
      <c r="AE23" s="41"/>
      <c r="AF23" s="49"/>
    </row>
    <row r="24" spans="1:33" s="5" customFormat="1" ht="13" x14ac:dyDescent="0.15">
      <c r="A24" s="46"/>
      <c r="B24" s="46" t="s">
        <v>38</v>
      </c>
      <c r="C24" s="39">
        <v>0.50347222222222221</v>
      </c>
      <c r="D24" s="43">
        <v>384.48333333333335</v>
      </c>
      <c r="E24" s="45">
        <v>17</v>
      </c>
      <c r="F24" s="40">
        <v>3.38</v>
      </c>
      <c r="G24" s="41">
        <v>2.8580000000000001</v>
      </c>
      <c r="H24" s="41">
        <v>3.05</v>
      </c>
      <c r="I24" s="41">
        <f t="shared" si="0"/>
        <v>4.1688920000000005</v>
      </c>
      <c r="J24" s="41">
        <f t="shared" si="0"/>
        <v>3.5250572000000004</v>
      </c>
      <c r="K24" s="41">
        <f t="shared" si="0"/>
        <v>3.76187</v>
      </c>
      <c r="L24" s="42">
        <f t="shared" si="1"/>
        <v>3.8186064000000002</v>
      </c>
      <c r="M24" s="41">
        <f t="shared" si="2"/>
        <v>0.18801159249408006</v>
      </c>
      <c r="N24" s="41">
        <f t="shared" si="3"/>
        <v>1.4276502930701829</v>
      </c>
      <c r="O24" s="41">
        <f t="shared" si="3"/>
        <v>1.2598966630829311</v>
      </c>
      <c r="P24" s="41">
        <f t="shared" si="3"/>
        <v>1.3249161741945756</v>
      </c>
      <c r="Q24" s="42">
        <f t="shared" si="4"/>
        <v>1.3374877101158968</v>
      </c>
      <c r="R24" s="41">
        <f t="shared" si="5"/>
        <v>4.8832546285036638E-2</v>
      </c>
      <c r="S24" s="41">
        <f t="shared" si="6"/>
        <v>1.8091595971386027E-3</v>
      </c>
      <c r="T24" s="41">
        <f t="shared" si="7"/>
        <v>1.9307605111459414E-4</v>
      </c>
      <c r="U24" s="41">
        <f t="shared" si="8"/>
        <v>-1.0933097720383213E-3</v>
      </c>
      <c r="V24" s="42">
        <f t="shared" si="9"/>
        <v>3.0297529207162522E-4</v>
      </c>
      <c r="W24" s="41">
        <f t="shared" si="10"/>
        <v>8.3967066800517531E-4</v>
      </c>
      <c r="X24" s="41">
        <f t="shared" si="11"/>
        <v>1.0842841909055443E-2</v>
      </c>
      <c r="Y24" s="41">
        <f t="shared" si="12"/>
        <v>9.1682965017989525E-3</v>
      </c>
      <c r="Z24" s="41">
        <f t="shared" si="13"/>
        <v>9.784221249295592E-3</v>
      </c>
      <c r="AA24" s="42">
        <f t="shared" si="14"/>
        <v>9.9317865533833302E-3</v>
      </c>
      <c r="AB24" s="169">
        <f t="shared" si="15"/>
        <v>4.8899802980817517E-4</v>
      </c>
      <c r="AD24" s="175"/>
      <c r="AE24" s="41"/>
      <c r="AF24" s="49"/>
    </row>
    <row r="25" spans="1:33" s="5" customFormat="1" thickBot="1" x14ac:dyDescent="0.2">
      <c r="A25" s="46"/>
      <c r="B25" s="46" t="s">
        <v>39</v>
      </c>
      <c r="C25" s="39">
        <v>0.48472222222222222</v>
      </c>
      <c r="D25" s="43">
        <v>408.03333333333336</v>
      </c>
      <c r="E25" s="45">
        <v>18</v>
      </c>
      <c r="F25" s="40">
        <v>3.3839999999999999</v>
      </c>
      <c r="G25" s="41">
        <v>2.96</v>
      </c>
      <c r="H25" s="41">
        <v>3.226</v>
      </c>
      <c r="I25" s="41">
        <f t="shared" ref="I25:K25" si="16">1.2334*F25</f>
        <v>4.1738255999999998</v>
      </c>
      <c r="J25" s="41">
        <f t="shared" si="16"/>
        <v>3.6508640000000003</v>
      </c>
      <c r="K25" s="41">
        <f t="shared" si="16"/>
        <v>3.9789484000000002</v>
      </c>
      <c r="L25" s="42">
        <f t="shared" si="1"/>
        <v>3.9345459999999997</v>
      </c>
      <c r="M25" s="41">
        <f t="shared" si="2"/>
        <v>0.15258974257024385</v>
      </c>
      <c r="N25" s="41">
        <f t="shared" si="3"/>
        <v>1.4288330253192323</v>
      </c>
      <c r="O25" s="41">
        <f>LN(J25)</f>
        <v>1.2949638519112245</v>
      </c>
      <c r="P25" s="41">
        <f t="shared" si="3"/>
        <v>1.3810175632782726</v>
      </c>
      <c r="Q25" s="42">
        <f t="shared" si="4"/>
        <v>1.3682714801695763</v>
      </c>
      <c r="R25" s="41">
        <f t="shared" si="5"/>
        <v>3.9166677474592078E-2</v>
      </c>
      <c r="S25" s="41">
        <f t="shared" si="6"/>
        <v>5.0222176180442097E-5</v>
      </c>
      <c r="T25" s="41">
        <f>(O25-O24)/(D25-D24)</f>
        <v>1.4890526041738169E-3</v>
      </c>
      <c r="U25" s="41">
        <f t="shared" si="8"/>
        <v>2.3822245895412726E-3</v>
      </c>
      <c r="V25" s="42">
        <f t="shared" si="9"/>
        <v>1.3071664566318439E-3</v>
      </c>
      <c r="W25" s="41">
        <f t="shared" si="10"/>
        <v>6.7930620046753815E-4</v>
      </c>
      <c r="X25" s="41">
        <f t="shared" si="11"/>
        <v>1.0229128992729351E-2</v>
      </c>
      <c r="Y25" s="41">
        <f t="shared" si="12"/>
        <v>8.9474650763826484E-3</v>
      </c>
      <c r="Z25" s="41">
        <f t="shared" si="13"/>
        <v>9.751527816354872E-3</v>
      </c>
      <c r="AA25" s="42">
        <f t="shared" si="14"/>
        <v>9.6427072951556243E-3</v>
      </c>
      <c r="AB25" s="169">
        <f t="shared" si="15"/>
        <v>3.7396391447653903E-4</v>
      </c>
      <c r="AD25" s="43"/>
      <c r="AE25" s="41"/>
      <c r="AF25" s="49"/>
    </row>
    <row r="26" spans="1:33" ht="15" thickBot="1" x14ac:dyDescent="0.2">
      <c r="B26" s="217" t="s">
        <v>71</v>
      </c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9"/>
    </row>
    <row r="27" spans="1:33" ht="60" x14ac:dyDescent="0.15">
      <c r="B27" s="23" t="s">
        <v>0</v>
      </c>
      <c r="C27" s="24" t="s">
        <v>1</v>
      </c>
      <c r="D27" s="25" t="s">
        <v>2</v>
      </c>
      <c r="E27" s="26" t="s">
        <v>3</v>
      </c>
      <c r="F27" s="204" t="s">
        <v>61</v>
      </c>
      <c r="G27" s="205"/>
      <c r="H27" s="206"/>
      <c r="I27" s="207" t="s">
        <v>10</v>
      </c>
      <c r="J27" s="205"/>
      <c r="K27" s="206"/>
      <c r="L27" s="27" t="s">
        <v>4</v>
      </c>
      <c r="M27" s="28" t="s">
        <v>69</v>
      </c>
      <c r="N27" s="207" t="s">
        <v>63</v>
      </c>
      <c r="O27" s="205"/>
      <c r="P27" s="206"/>
      <c r="Q27" s="28" t="s">
        <v>5</v>
      </c>
      <c r="R27" s="28" t="s">
        <v>62</v>
      </c>
      <c r="S27" s="220" t="s">
        <v>6</v>
      </c>
      <c r="T27" s="221"/>
      <c r="U27" s="221"/>
      <c r="V27" s="27" t="s">
        <v>64</v>
      </c>
      <c r="W27" s="27" t="s">
        <v>62</v>
      </c>
      <c r="X27" s="207" t="s">
        <v>65</v>
      </c>
      <c r="Y27" s="205"/>
      <c r="Z27" s="206"/>
      <c r="AA27" s="27" t="s">
        <v>66</v>
      </c>
      <c r="AB27" s="29" t="s">
        <v>62</v>
      </c>
    </row>
    <row r="28" spans="1:33" ht="15" customHeight="1" x14ac:dyDescent="0.15">
      <c r="B28" s="30"/>
      <c r="C28" s="31"/>
      <c r="D28" s="32"/>
      <c r="E28" s="33"/>
      <c r="F28" s="208" t="s">
        <v>13</v>
      </c>
      <c r="G28" s="209"/>
      <c r="H28" s="210"/>
      <c r="I28" s="211" t="s">
        <v>7</v>
      </c>
      <c r="J28" s="209"/>
      <c r="K28" s="210"/>
      <c r="L28" s="35" t="s">
        <v>7</v>
      </c>
      <c r="M28" s="35"/>
      <c r="N28" s="211" t="s">
        <v>7</v>
      </c>
      <c r="O28" s="209"/>
      <c r="P28" s="210"/>
      <c r="Q28" s="34"/>
      <c r="R28" s="34"/>
      <c r="S28" s="215" t="s">
        <v>67</v>
      </c>
      <c r="T28" s="216"/>
      <c r="U28" s="216"/>
      <c r="V28" s="35" t="s">
        <v>67</v>
      </c>
      <c r="W28" s="32"/>
      <c r="X28" s="212" t="s">
        <v>68</v>
      </c>
      <c r="Y28" s="213"/>
      <c r="Z28" s="214"/>
      <c r="AA28" s="37" t="s">
        <v>68</v>
      </c>
      <c r="AB28" s="38"/>
    </row>
    <row r="29" spans="1:33" s="5" customFormat="1" x14ac:dyDescent="0.15">
      <c r="B29" s="223" t="s">
        <v>23</v>
      </c>
      <c r="C29" s="39">
        <v>0.42222222222222222</v>
      </c>
      <c r="D29" s="5">
        <v>0</v>
      </c>
      <c r="E29" s="224">
        <v>1</v>
      </c>
      <c r="F29" s="40">
        <v>9.5000000000000001E-2</v>
      </c>
      <c r="G29" s="41">
        <v>0.106</v>
      </c>
      <c r="H29" s="41">
        <v>0.10199999999999999</v>
      </c>
      <c r="I29" s="41">
        <f t="shared" ref="I29:K48" si="17">1.2334*F29</f>
        <v>0.117173</v>
      </c>
      <c r="J29" s="41">
        <f t="shared" si="17"/>
        <v>0.13074040000000001</v>
      </c>
      <c r="K29" s="41">
        <f t="shared" si="17"/>
        <v>0.1258068</v>
      </c>
      <c r="L29" s="42">
        <f t="shared" ref="L29:L50" si="18">AVERAGE(I29:K29)</f>
        <v>0.1245734</v>
      </c>
      <c r="M29" s="41">
        <f>STDEV(I29:K29)/SQRT(3)</f>
        <v>3.9648262828695718E-3</v>
      </c>
      <c r="N29" s="41">
        <f t="shared" ref="N29:P50" si="19">LN(I29)</f>
        <v>-2.1441038038063409</v>
      </c>
      <c r="O29" s="41">
        <f t="shared" si="19"/>
        <v>-2.0345416012948143</v>
      </c>
      <c r="P29" s="41">
        <f t="shared" si="19"/>
        <v>-2.0730078821226106</v>
      </c>
      <c r="Q29" s="42">
        <f t="shared" ref="Q29:Q50" si="20">AVERAGE(N29:P29)</f>
        <v>-2.0838844290745886</v>
      </c>
      <c r="R29" s="41">
        <f>STDEV(N29:P29)/SQRT(3)</f>
        <v>3.2092021386387865E-2</v>
      </c>
      <c r="S29" s="41"/>
      <c r="T29" s="41"/>
      <c r="U29" s="160"/>
      <c r="V29" s="170"/>
      <c r="W29" s="160"/>
      <c r="X29" s="160"/>
      <c r="Y29" s="160"/>
      <c r="Z29" s="160"/>
      <c r="AA29" s="170"/>
      <c r="AB29" s="171"/>
      <c r="AC29" s="123"/>
      <c r="AE29" s="176"/>
      <c r="AF29" s="49"/>
      <c r="AG29" s="3"/>
    </row>
    <row r="30" spans="1:33" s="5" customFormat="1" x14ac:dyDescent="0.15">
      <c r="B30" s="223"/>
      <c r="C30" s="39">
        <v>0.58888888888888891</v>
      </c>
      <c r="D30" s="43">
        <v>4</v>
      </c>
      <c r="E30" s="224"/>
      <c r="F30" s="40">
        <v>0.129</v>
      </c>
      <c r="G30" s="41">
        <v>0.123</v>
      </c>
      <c r="H30" s="41">
        <v>0.11899999999999999</v>
      </c>
      <c r="I30" s="41">
        <f t="shared" si="17"/>
        <v>0.15910860000000002</v>
      </c>
      <c r="J30" s="41">
        <f t="shared" si="17"/>
        <v>0.15170820000000002</v>
      </c>
      <c r="K30" s="41">
        <f t="shared" si="17"/>
        <v>0.14677460000000001</v>
      </c>
      <c r="L30" s="42">
        <f t="shared" si="18"/>
        <v>0.15253046666666667</v>
      </c>
      <c r="M30" s="41">
        <f t="shared" ref="M30:M50" si="21">STDEV(I30:K30)/SQRT(3)</f>
        <v>3.5841773046420477E-3</v>
      </c>
      <c r="N30" s="41">
        <f t="shared" si="19"/>
        <v>-1.8381682910452095</v>
      </c>
      <c r="O30" s="41">
        <f t="shared" si="19"/>
        <v>-1.8857963400344642</v>
      </c>
      <c r="P30" s="41">
        <f t="shared" si="19"/>
        <v>-1.9188572022953523</v>
      </c>
      <c r="Q30" s="42">
        <f t="shared" si="20"/>
        <v>-1.8809406111250084</v>
      </c>
      <c r="R30" s="41">
        <f t="shared" ref="R30:R50" si="22">STDEV(N30:P30)/SQRT(3)</f>
        <v>2.3419071125295482E-2</v>
      </c>
      <c r="S30" s="41">
        <f>(N30-N29)/(D30-D29)</f>
        <v>7.648387819028285E-2</v>
      </c>
      <c r="T30" s="41">
        <f>(O30-O29)/(D30-D29)</f>
        <v>3.7186315315087537E-2</v>
      </c>
      <c r="U30" s="41">
        <f>(P30-P29)/(D30-D29)</f>
        <v>3.8537669956814569E-2</v>
      </c>
      <c r="V30" s="42">
        <f>AVERAGE(S30:U30)</f>
        <v>5.0735954487394985E-2</v>
      </c>
      <c r="W30" s="41">
        <f>STDEV(S30:U30)/SQRT(3)</f>
        <v>1.2879870872789962E-2</v>
      </c>
      <c r="X30" s="41">
        <f>I30/D30</f>
        <v>3.9777150000000004E-2</v>
      </c>
      <c r="Y30" s="41">
        <f>J30/D30</f>
        <v>3.7927050000000004E-2</v>
      </c>
      <c r="Z30" s="41">
        <f>K30/D30</f>
        <v>3.6693650000000001E-2</v>
      </c>
      <c r="AA30" s="42">
        <f>AVERAGE(X30:Z30)</f>
        <v>3.8132616666666667E-2</v>
      </c>
      <c r="AB30" s="169">
        <f>STDEV(X30:Z30)/SQRT(3)</f>
        <v>8.9604432616051193E-4</v>
      </c>
      <c r="AD30" s="43"/>
      <c r="AE30" s="176"/>
      <c r="AF30" s="49"/>
      <c r="AG30" s="3"/>
    </row>
    <row r="31" spans="1:33" s="5" customFormat="1" x14ac:dyDescent="0.15">
      <c r="B31" s="223"/>
      <c r="C31" s="39">
        <v>0.68472222222222223</v>
      </c>
      <c r="D31" s="43">
        <v>6.3</v>
      </c>
      <c r="E31" s="224"/>
      <c r="F31" s="40">
        <v>0.13800000000000001</v>
      </c>
      <c r="G31" s="41">
        <v>0.13</v>
      </c>
      <c r="H31" s="41">
        <v>0.128</v>
      </c>
      <c r="I31" s="41">
        <f t="shared" si="17"/>
        <v>0.17020920000000003</v>
      </c>
      <c r="J31" s="41">
        <f t="shared" si="17"/>
        <v>0.16034200000000001</v>
      </c>
      <c r="K31" s="41">
        <f t="shared" si="17"/>
        <v>0.15787520000000002</v>
      </c>
      <c r="L31" s="42">
        <f t="shared" si="18"/>
        <v>0.1628088</v>
      </c>
      <c r="M31" s="41">
        <f t="shared" si="21"/>
        <v>3.7680992414390268E-3</v>
      </c>
      <c r="N31" s="41">
        <f t="shared" si="19"/>
        <v>-1.7707270102496768</v>
      </c>
      <c r="O31" s="41">
        <f t="shared" si="19"/>
        <v>-1.8304462449512993</v>
      </c>
      <c r="P31" s="41">
        <f t="shared" si="19"/>
        <v>-1.8459504314872643</v>
      </c>
      <c r="Q31" s="42">
        <f t="shared" si="20"/>
        <v>-1.8157078955627466</v>
      </c>
      <c r="R31" s="41">
        <f t="shared" si="22"/>
        <v>2.2931455708234533E-2</v>
      </c>
      <c r="S31" s="41">
        <f t="shared" ref="S31:S50" si="23">(N31-N30)/(D31-D30)</f>
        <v>2.9322295998057694E-2</v>
      </c>
      <c r="T31" s="41">
        <f t="shared" ref="T31:T50" si="24">(O31-O30)/(D31-D30)</f>
        <v>2.406525873181083E-2</v>
      </c>
      <c r="U31" s="41">
        <f t="shared" ref="U31:U50" si="25">(P31-P30)/(D31-D30)</f>
        <v>3.1698596003516495E-2</v>
      </c>
      <c r="V31" s="42">
        <f t="shared" ref="V31:V50" si="26">AVERAGE(S31:U31)</f>
        <v>2.8362050244461673E-2</v>
      </c>
      <c r="W31" s="41">
        <f t="shared" ref="W31:W50" si="27">STDEV(S31:U31)/SQRT(3)</f>
        <v>2.2552541177124669E-3</v>
      </c>
      <c r="X31" s="41">
        <f t="shared" ref="X31:X50" si="28">I31/D31</f>
        <v>2.7017333333333338E-2</v>
      </c>
      <c r="Y31" s="41">
        <f t="shared" ref="Y31:Y50" si="29">J31/D31</f>
        <v>2.5451111111111115E-2</v>
      </c>
      <c r="Z31" s="41">
        <f t="shared" ref="Z31:Z50" si="30">K31/D31</f>
        <v>2.5059555555555561E-2</v>
      </c>
      <c r="AA31" s="42">
        <f t="shared" ref="AA31:AA50" si="31">AVERAGE(X31:Z31)</f>
        <v>2.584266666666667E-2</v>
      </c>
      <c r="AB31" s="169">
        <f t="shared" ref="AB31:AB50" si="32">STDEV(X31:Z31)/SQRT(3)</f>
        <v>5.9811099070460657E-4</v>
      </c>
      <c r="AD31" s="43"/>
      <c r="AE31" s="176"/>
      <c r="AF31" s="49"/>
      <c r="AG31" s="3"/>
    </row>
    <row r="32" spans="1:33" s="5" customFormat="1" ht="15" customHeight="1" x14ac:dyDescent="0.15">
      <c r="B32" s="223"/>
      <c r="C32" s="39">
        <v>0.88194444444444453</v>
      </c>
      <c r="D32" s="43">
        <v>11.033333333333333</v>
      </c>
      <c r="E32" s="224"/>
      <c r="F32" s="40">
        <v>0.16500000000000001</v>
      </c>
      <c r="G32" s="41">
        <v>0.16500000000000001</v>
      </c>
      <c r="H32" s="41">
        <v>0.16400000000000001</v>
      </c>
      <c r="I32" s="41">
        <f t="shared" si="17"/>
        <v>0.20351100000000003</v>
      </c>
      <c r="J32" s="41">
        <f t="shared" si="17"/>
        <v>0.20351100000000003</v>
      </c>
      <c r="K32" s="41">
        <f t="shared" si="17"/>
        <v>0.20227760000000003</v>
      </c>
      <c r="L32" s="42">
        <f t="shared" si="18"/>
        <v>0.20309986666666668</v>
      </c>
      <c r="M32" s="41">
        <f t="shared" si="21"/>
        <v>4.1113333333333191E-4</v>
      </c>
      <c r="N32" s="41">
        <f t="shared" si="19"/>
        <v>-1.5920352215063009</v>
      </c>
      <c r="O32" s="41">
        <f t="shared" si="19"/>
        <v>-1.5920352215063009</v>
      </c>
      <c r="P32" s="41">
        <f t="shared" si="19"/>
        <v>-1.5981142675826832</v>
      </c>
      <c r="Q32" s="42">
        <f t="shared" si="20"/>
        <v>-1.5940615701984282</v>
      </c>
      <c r="R32" s="41">
        <f t="shared" si="22"/>
        <v>2.0263486921274039E-3</v>
      </c>
      <c r="S32" s="41">
        <f t="shared" si="23"/>
        <v>3.7751786354234339E-2</v>
      </c>
      <c r="T32" s="41">
        <f t="shared" si="24"/>
        <v>5.036852607992922E-2</v>
      </c>
      <c r="U32" s="41">
        <f t="shared" si="25"/>
        <v>5.2359752937587573E-2</v>
      </c>
      <c r="V32" s="42">
        <f t="shared" si="26"/>
        <v>4.6826688457250375E-2</v>
      </c>
      <c r="W32" s="41">
        <f t="shared" si="27"/>
        <v>4.5737159303335002E-3</v>
      </c>
      <c r="X32" s="41">
        <f t="shared" si="28"/>
        <v>1.844510574018127E-2</v>
      </c>
      <c r="Y32" s="41">
        <f t="shared" si="29"/>
        <v>1.844510574018127E-2</v>
      </c>
      <c r="Z32" s="41">
        <f t="shared" si="30"/>
        <v>1.8333317220543811E-2</v>
      </c>
      <c r="AA32" s="42">
        <f t="shared" si="31"/>
        <v>1.8407842900302118E-2</v>
      </c>
      <c r="AB32" s="169">
        <f t="shared" si="32"/>
        <v>3.7262839879153208E-5</v>
      </c>
      <c r="AD32" s="43"/>
      <c r="AE32" s="176"/>
      <c r="AF32" s="49"/>
      <c r="AG32" s="3"/>
    </row>
    <row r="33" spans="2:33" s="5" customFormat="1" x14ac:dyDescent="0.15">
      <c r="B33" s="222" t="s">
        <v>24</v>
      </c>
      <c r="C33" s="39">
        <v>0.39652777777777781</v>
      </c>
      <c r="D33" s="43">
        <v>23.383333333333333</v>
      </c>
      <c r="E33" s="224">
        <v>2</v>
      </c>
      <c r="F33" s="40">
        <v>0.23799999999999999</v>
      </c>
      <c r="G33" s="41">
        <v>0.22900000000000001</v>
      </c>
      <c r="H33" s="41">
        <v>0.23400000000000001</v>
      </c>
      <c r="I33" s="41">
        <f t="shared" si="17"/>
        <v>0.29354920000000001</v>
      </c>
      <c r="J33" s="41">
        <f t="shared" si="17"/>
        <v>0.28244860000000005</v>
      </c>
      <c r="K33" s="41">
        <f t="shared" si="17"/>
        <v>0.28861560000000003</v>
      </c>
      <c r="L33" s="42">
        <f t="shared" si="18"/>
        <v>0.28820446666666671</v>
      </c>
      <c r="M33" s="41">
        <f t="shared" si="21"/>
        <v>3.2110539834210782E-3</v>
      </c>
      <c r="N33" s="41">
        <f t="shared" si="19"/>
        <v>-1.2257100217354069</v>
      </c>
      <c r="O33" s="41">
        <f t="shared" si="19"/>
        <v>-1.2642586918526419</v>
      </c>
      <c r="P33" s="41">
        <f t="shared" si="19"/>
        <v>-1.2426595800491802</v>
      </c>
      <c r="Q33" s="42">
        <f t="shared" si="20"/>
        <v>-1.2442094312124097</v>
      </c>
      <c r="R33" s="41">
        <f t="shared" si="22"/>
        <v>1.1154991721541463E-2</v>
      </c>
      <c r="S33" s="41">
        <f t="shared" si="23"/>
        <v>2.9661959495618954E-2</v>
      </c>
      <c r="T33" s="41">
        <f t="shared" si="24"/>
        <v>2.6540609688555386E-2</v>
      </c>
      <c r="U33" s="41">
        <f t="shared" si="25"/>
        <v>2.8781756075587285E-2</v>
      </c>
      <c r="V33" s="42">
        <f t="shared" si="26"/>
        <v>2.8328108419920544E-2</v>
      </c>
      <c r="W33" s="41">
        <f t="shared" si="27"/>
        <v>9.2916688510602378E-4</v>
      </c>
      <c r="X33" s="41">
        <f t="shared" si="28"/>
        <v>1.2553779044903778E-2</v>
      </c>
      <c r="Y33" s="41">
        <f t="shared" si="29"/>
        <v>1.2079056307911621E-2</v>
      </c>
      <c r="Z33" s="41">
        <f t="shared" si="30"/>
        <v>1.2342791161796153E-2</v>
      </c>
      <c r="AA33" s="42">
        <f t="shared" si="31"/>
        <v>1.2325208838203851E-2</v>
      </c>
      <c r="AB33" s="169">
        <f t="shared" si="32"/>
        <v>1.3732233713846347E-4</v>
      </c>
      <c r="AD33" s="43"/>
      <c r="AE33" s="176"/>
      <c r="AF33" s="49"/>
      <c r="AG33" s="3"/>
    </row>
    <row r="34" spans="2:33" s="5" customFormat="1" ht="15" customHeight="1" x14ac:dyDescent="0.15">
      <c r="B34" s="222"/>
      <c r="C34" s="39">
        <v>0.52777777777777779</v>
      </c>
      <c r="D34" s="43">
        <v>26.533333333333331</v>
      </c>
      <c r="E34" s="224"/>
      <c r="F34" s="40">
        <v>0.26</v>
      </c>
      <c r="G34" s="41">
        <v>0.23799999999999999</v>
      </c>
      <c r="H34" s="41">
        <v>0.247</v>
      </c>
      <c r="I34" s="41">
        <f t="shared" si="17"/>
        <v>0.32068400000000002</v>
      </c>
      <c r="J34" s="41">
        <f t="shared" si="17"/>
        <v>0.29354920000000001</v>
      </c>
      <c r="K34" s="41">
        <f t="shared" si="17"/>
        <v>0.30464980000000003</v>
      </c>
      <c r="L34" s="42">
        <f t="shared" si="18"/>
        <v>0.30629433333333339</v>
      </c>
      <c r="M34" s="41">
        <f t="shared" si="21"/>
        <v>7.8761816081426485E-3</v>
      </c>
      <c r="N34" s="41">
        <f t="shared" si="19"/>
        <v>-1.1372990643913539</v>
      </c>
      <c r="O34" s="41">
        <f t="shared" si="19"/>
        <v>-1.2257100217354069</v>
      </c>
      <c r="P34" s="41">
        <f t="shared" si="19"/>
        <v>-1.1885923587789045</v>
      </c>
      <c r="Q34" s="42">
        <f t="shared" si="20"/>
        <v>-1.1838671483018883</v>
      </c>
      <c r="R34" s="41">
        <f t="shared" si="22"/>
        <v>2.5631166283531123E-2</v>
      </c>
      <c r="S34" s="41">
        <f t="shared" si="23"/>
        <v>2.8066970585413669E-2</v>
      </c>
      <c r="T34" s="41">
        <f t="shared" si="24"/>
        <v>1.2237673053090502E-2</v>
      </c>
      <c r="U34" s="41">
        <f t="shared" si="25"/>
        <v>1.7164197228658973E-2</v>
      </c>
      <c r="V34" s="42">
        <f t="shared" si="26"/>
        <v>1.9156280289054379E-2</v>
      </c>
      <c r="W34" s="41">
        <f t="shared" si="27"/>
        <v>4.6768209031826649E-3</v>
      </c>
      <c r="X34" s="41">
        <f t="shared" si="28"/>
        <v>1.2086080402010053E-2</v>
      </c>
      <c r="Y34" s="41">
        <f t="shared" si="29"/>
        <v>1.1063412060301508E-2</v>
      </c>
      <c r="Z34" s="41">
        <f t="shared" si="30"/>
        <v>1.148177638190955E-2</v>
      </c>
      <c r="AA34" s="42">
        <f t="shared" si="31"/>
        <v>1.1543756281407037E-2</v>
      </c>
      <c r="AB34" s="169">
        <f t="shared" si="32"/>
        <v>2.9684101538226089E-4</v>
      </c>
      <c r="AD34" s="43"/>
      <c r="AE34" s="176"/>
      <c r="AF34" s="49"/>
      <c r="AG34" s="3"/>
    </row>
    <row r="35" spans="2:33" s="5" customFormat="1" x14ac:dyDescent="0.15">
      <c r="B35" s="222"/>
      <c r="C35" s="39">
        <v>0.6958333333333333</v>
      </c>
      <c r="D35" s="43">
        <v>30.566666666666663</v>
      </c>
      <c r="E35" s="224"/>
      <c r="F35" s="40">
        <v>0.25600000000000001</v>
      </c>
      <c r="G35" s="41">
        <v>0.26200000000000001</v>
      </c>
      <c r="H35" s="41">
        <v>0.24099999999999999</v>
      </c>
      <c r="I35" s="41">
        <f t="shared" si="17"/>
        <v>0.31575040000000004</v>
      </c>
      <c r="J35" s="41">
        <f t="shared" si="17"/>
        <v>0.32315080000000002</v>
      </c>
      <c r="K35" s="41">
        <f t="shared" si="17"/>
        <v>0.2972494</v>
      </c>
      <c r="L35" s="42">
        <f t="shared" si="18"/>
        <v>0.3120502</v>
      </c>
      <c r="M35" s="41">
        <f t="shared" si="21"/>
        <v>7.7025805312245926E-3</v>
      </c>
      <c r="N35" s="41">
        <f t="shared" si="19"/>
        <v>-1.1528032509273189</v>
      </c>
      <c r="O35" s="41">
        <f t="shared" si="19"/>
        <v>-1.1296361916457847</v>
      </c>
      <c r="P35" s="41">
        <f t="shared" si="19"/>
        <v>-1.2131837619162267</v>
      </c>
      <c r="Q35" s="42">
        <f t="shared" si="20"/>
        <v>-1.1652077348297769</v>
      </c>
      <c r="R35" s="41">
        <f t="shared" si="22"/>
        <v>2.490282808697547E-2</v>
      </c>
      <c r="S35" s="41">
        <f t="shared" si="23"/>
        <v>-3.8440131907351459E-3</v>
      </c>
      <c r="T35" s="41">
        <f t="shared" si="24"/>
        <v>2.3819957873460067E-2</v>
      </c>
      <c r="U35" s="41">
        <f t="shared" si="25"/>
        <v>-6.0970421001625367E-3</v>
      </c>
      <c r="V35" s="42">
        <f t="shared" si="26"/>
        <v>4.6263008608541283E-3</v>
      </c>
      <c r="W35" s="41">
        <f t="shared" si="27"/>
        <v>9.6188423931858318E-3</v>
      </c>
      <c r="X35" s="41">
        <f t="shared" si="28"/>
        <v>1.0329893129770996E-2</v>
      </c>
      <c r="Y35" s="41">
        <f t="shared" si="29"/>
        <v>1.0572000000000002E-2</v>
      </c>
      <c r="Z35" s="41">
        <f t="shared" si="30"/>
        <v>9.7246259541984743E-3</v>
      </c>
      <c r="AA35" s="42">
        <f t="shared" si="31"/>
        <v>1.0208839694656491E-2</v>
      </c>
      <c r="AB35" s="169">
        <f t="shared" si="32"/>
        <v>2.5199281999644253E-4</v>
      </c>
      <c r="AD35" s="43"/>
      <c r="AE35" s="176"/>
      <c r="AF35" s="49"/>
      <c r="AG35" s="3"/>
    </row>
    <row r="36" spans="2:33" s="5" customFormat="1" x14ac:dyDescent="0.15">
      <c r="B36" s="44" t="s">
        <v>25</v>
      </c>
      <c r="C36" s="39">
        <v>0.43124999999999997</v>
      </c>
      <c r="D36" s="43">
        <v>48.216666666666661</v>
      </c>
      <c r="E36" s="45">
        <v>3</v>
      </c>
      <c r="F36" s="40">
        <v>0.34599999999999997</v>
      </c>
      <c r="G36" s="41">
        <v>0.33400000000000002</v>
      </c>
      <c r="H36" s="41">
        <v>0.35099999999999998</v>
      </c>
      <c r="I36" s="41">
        <f t="shared" si="17"/>
        <v>0.42675639999999998</v>
      </c>
      <c r="J36" s="41">
        <f t="shared" si="17"/>
        <v>0.41195560000000003</v>
      </c>
      <c r="K36" s="41">
        <f t="shared" si="17"/>
        <v>0.43292340000000001</v>
      </c>
      <c r="L36" s="42">
        <f t="shared" si="18"/>
        <v>0.42387846666666668</v>
      </c>
      <c r="M36" s="41">
        <f t="shared" si="21"/>
        <v>6.2215762850833072E-3</v>
      </c>
      <c r="N36" s="41">
        <f t="shared" si="19"/>
        <v>-0.85154192034915743</v>
      </c>
      <c r="O36" s="41">
        <f t="shared" si="19"/>
        <v>-0.88683970243018118</v>
      </c>
      <c r="P36" s="41">
        <f t="shared" si="19"/>
        <v>-0.83719447194101582</v>
      </c>
      <c r="Q36" s="42">
        <f t="shared" si="20"/>
        <v>-0.85852536490678488</v>
      </c>
      <c r="R36" s="41">
        <f t="shared" si="22"/>
        <v>1.4750577401101741E-2</v>
      </c>
      <c r="S36" s="41">
        <f t="shared" si="23"/>
        <v>1.7068630627657878E-2</v>
      </c>
      <c r="T36" s="41">
        <f t="shared" si="24"/>
        <v>1.3756175026379802E-2</v>
      </c>
      <c r="U36" s="41">
        <f t="shared" si="25"/>
        <v>2.1302509347037445E-2</v>
      </c>
      <c r="V36" s="42">
        <f t="shared" si="26"/>
        <v>1.7375771667025041E-2</v>
      </c>
      <c r="W36" s="41">
        <f t="shared" si="27"/>
        <v>2.1838453954230613E-3</v>
      </c>
      <c r="X36" s="41">
        <f t="shared" si="28"/>
        <v>8.8508067749740755E-3</v>
      </c>
      <c r="Y36" s="41">
        <f t="shared" si="29"/>
        <v>8.5438423781541671E-3</v>
      </c>
      <c r="Z36" s="41">
        <f t="shared" si="30"/>
        <v>8.9787086069823725E-3</v>
      </c>
      <c r="AA36" s="42">
        <f t="shared" si="31"/>
        <v>8.791119253370205E-3</v>
      </c>
      <c r="AB36" s="169">
        <f t="shared" si="32"/>
        <v>1.290337286916689E-4</v>
      </c>
      <c r="AD36" s="43"/>
      <c r="AE36" s="176"/>
      <c r="AF36" s="49"/>
      <c r="AG36" s="3"/>
    </row>
    <row r="37" spans="2:33" s="5" customFormat="1" x14ac:dyDescent="0.15">
      <c r="B37" s="44" t="s">
        <v>26</v>
      </c>
      <c r="C37" s="39">
        <v>0.4055555555555555</v>
      </c>
      <c r="D37" s="43">
        <v>71.599999999999994</v>
      </c>
      <c r="E37" s="45">
        <v>4</v>
      </c>
      <c r="F37" s="40">
        <v>0.57799999999999996</v>
      </c>
      <c r="G37" s="41">
        <v>0.53200000000000003</v>
      </c>
      <c r="H37" s="41">
        <v>0.58299999999999996</v>
      </c>
      <c r="I37" s="41">
        <f t="shared" si="17"/>
        <v>0.71290520000000002</v>
      </c>
      <c r="J37" s="41">
        <f t="shared" si="17"/>
        <v>0.65616880000000011</v>
      </c>
      <c r="K37" s="41">
        <f t="shared" si="17"/>
        <v>0.71907219999999994</v>
      </c>
      <c r="L37" s="42">
        <f t="shared" si="18"/>
        <v>0.69604873333333339</v>
      </c>
      <c r="M37" s="41">
        <f t="shared" si="21"/>
        <v>2.0019280575263171E-2</v>
      </c>
      <c r="N37" s="41">
        <f t="shared" si="19"/>
        <v>-0.33840682673450417</v>
      </c>
      <c r="O37" s="41">
        <f t="shared" si="19"/>
        <v>-0.42133720606523711</v>
      </c>
      <c r="P37" s="41">
        <f t="shared" si="19"/>
        <v>-0.32979350905638938</v>
      </c>
      <c r="Q37" s="42">
        <f t="shared" si="20"/>
        <v>-0.36317918061871018</v>
      </c>
      <c r="R37" s="41">
        <f t="shared" si="22"/>
        <v>2.9185123226484262E-2</v>
      </c>
      <c r="S37" s="41">
        <f t="shared" si="23"/>
        <v>2.1944480126072127E-2</v>
      </c>
      <c r="T37" s="41">
        <f t="shared" si="24"/>
        <v>1.9907448169562827E-2</v>
      </c>
      <c r="U37" s="41">
        <f t="shared" si="25"/>
        <v>2.1699257144032494E-2</v>
      </c>
      <c r="V37" s="42">
        <f t="shared" si="26"/>
        <v>2.1183728479889152E-2</v>
      </c>
      <c r="W37" s="41">
        <f t="shared" si="27"/>
        <v>6.4205455391918567E-4</v>
      </c>
      <c r="X37" s="41">
        <f t="shared" si="28"/>
        <v>9.9567765363128505E-3</v>
      </c>
      <c r="Y37" s="41">
        <f t="shared" si="29"/>
        <v>9.1643687150838003E-3</v>
      </c>
      <c r="Z37" s="41">
        <f t="shared" si="30"/>
        <v>1.004290782122905E-2</v>
      </c>
      <c r="AA37" s="42">
        <f t="shared" si="31"/>
        <v>9.721351024208567E-3</v>
      </c>
      <c r="AB37" s="169">
        <f t="shared" si="32"/>
        <v>2.7959889071596647E-4</v>
      </c>
      <c r="AD37" s="43"/>
      <c r="AE37" s="176"/>
      <c r="AF37" s="49"/>
      <c r="AG37" s="3"/>
    </row>
    <row r="38" spans="2:33" s="5" customFormat="1" x14ac:dyDescent="0.15">
      <c r="B38" s="44" t="s">
        <v>27</v>
      </c>
      <c r="C38" s="39">
        <v>0.41111111111111115</v>
      </c>
      <c r="D38" s="43">
        <v>95.73333333333332</v>
      </c>
      <c r="E38" s="45">
        <v>5</v>
      </c>
      <c r="F38" s="40">
        <v>0.73799999999999999</v>
      </c>
      <c r="G38" s="41">
        <v>0.69699999999999995</v>
      </c>
      <c r="H38" s="41">
        <v>0.76</v>
      </c>
      <c r="I38" s="41">
        <f t="shared" si="17"/>
        <v>0.91024919999999998</v>
      </c>
      <c r="J38" s="41">
        <f t="shared" si="17"/>
        <v>0.85967979999999999</v>
      </c>
      <c r="K38" s="41">
        <f t="shared" si="17"/>
        <v>0.937384</v>
      </c>
      <c r="L38" s="42">
        <f t="shared" si="18"/>
        <v>0.90243766666666669</v>
      </c>
      <c r="M38" s="41">
        <f t="shared" si="21"/>
        <v>2.2768770382355842E-2</v>
      </c>
      <c r="N38" s="41">
        <f t="shared" si="19"/>
        <v>-9.4036870806409184E-2</v>
      </c>
      <c r="O38" s="41">
        <f t="shared" si="19"/>
        <v>-0.15119528464635779</v>
      </c>
      <c r="P38" s="41">
        <f t="shared" si="19"/>
        <v>-6.4662262126504902E-2</v>
      </c>
      <c r="Q38" s="42">
        <f t="shared" si="20"/>
        <v>-0.10329813919309062</v>
      </c>
      <c r="R38" s="41">
        <f t="shared" si="22"/>
        <v>2.5405506723956188E-2</v>
      </c>
      <c r="S38" s="41">
        <f t="shared" si="23"/>
        <v>1.0125826903097861E-2</v>
      </c>
      <c r="T38" s="41">
        <f t="shared" si="24"/>
        <v>1.1193726025644175E-2</v>
      </c>
      <c r="U38" s="41">
        <f t="shared" si="25"/>
        <v>1.0986101392122289E-2</v>
      </c>
      <c r="V38" s="42">
        <f t="shared" si="26"/>
        <v>1.0768551440288108E-2</v>
      </c>
      <c r="W38" s="41">
        <f t="shared" si="27"/>
        <v>3.2690371678374843E-4</v>
      </c>
      <c r="X38" s="41">
        <f t="shared" si="28"/>
        <v>9.5081740947075225E-3</v>
      </c>
      <c r="Y38" s="41">
        <f t="shared" si="29"/>
        <v>8.9799422005571051E-3</v>
      </c>
      <c r="Z38" s="41">
        <f t="shared" si="30"/>
        <v>9.7916155988857952E-3</v>
      </c>
      <c r="AA38" s="42">
        <f t="shared" si="31"/>
        <v>9.4265772980501403E-3</v>
      </c>
      <c r="AB38" s="169">
        <f t="shared" si="32"/>
        <v>2.3783534521959422E-4</v>
      </c>
      <c r="AD38" s="43"/>
      <c r="AE38" s="176"/>
      <c r="AF38" s="49"/>
      <c r="AG38" s="3"/>
    </row>
    <row r="39" spans="2:33" s="5" customFormat="1" x14ac:dyDescent="0.15">
      <c r="B39" s="44" t="s">
        <v>28</v>
      </c>
      <c r="C39" s="39">
        <v>0.48055555555555557</v>
      </c>
      <c r="D39" s="43">
        <v>121.39999999999999</v>
      </c>
      <c r="E39" s="45">
        <v>6</v>
      </c>
      <c r="F39" s="40">
        <v>0.96699999999999997</v>
      </c>
      <c r="G39" s="41">
        <v>0.96699999999999997</v>
      </c>
      <c r="H39" s="41">
        <v>0.97699999999999998</v>
      </c>
      <c r="I39" s="41">
        <f t="shared" si="17"/>
        <v>1.1926977999999999</v>
      </c>
      <c r="J39" s="41">
        <f t="shared" si="17"/>
        <v>1.1926977999999999</v>
      </c>
      <c r="K39" s="41">
        <f t="shared" si="17"/>
        <v>1.2050318</v>
      </c>
      <c r="L39" s="42">
        <f t="shared" si="18"/>
        <v>1.1968091333333333</v>
      </c>
      <c r="M39" s="41">
        <f t="shared" si="21"/>
        <v>4.1113333333333557E-3</v>
      </c>
      <c r="N39" s="41">
        <f t="shared" si="19"/>
        <v>0.1762178000464126</v>
      </c>
      <c r="O39" s="41">
        <f t="shared" si="19"/>
        <v>0.1762178000464126</v>
      </c>
      <c r="P39" s="41">
        <f t="shared" si="19"/>
        <v>0.18650595663590105</v>
      </c>
      <c r="Q39" s="42">
        <f t="shared" si="20"/>
        <v>0.17964718557624207</v>
      </c>
      <c r="R39" s="41">
        <f t="shared" si="22"/>
        <v>3.4293855298294837E-3</v>
      </c>
      <c r="S39" s="41">
        <f t="shared" si="23"/>
        <v>1.0529402760499549E-2</v>
      </c>
      <c r="T39" s="41">
        <f t="shared" si="24"/>
        <v>1.2756353949068974E-2</v>
      </c>
      <c r="U39" s="41">
        <f t="shared" si="25"/>
        <v>9.785774756976855E-3</v>
      </c>
      <c r="V39" s="42">
        <f t="shared" si="26"/>
        <v>1.1023843822181793E-2</v>
      </c>
      <c r="W39" s="41">
        <f t="shared" si="27"/>
        <v>8.9245712441004979E-4</v>
      </c>
      <c r="X39" s="41">
        <f t="shared" si="28"/>
        <v>9.8245288303130153E-3</v>
      </c>
      <c r="Y39" s="41">
        <f t="shared" si="29"/>
        <v>9.8245288303130153E-3</v>
      </c>
      <c r="Z39" s="41">
        <f t="shared" si="30"/>
        <v>9.9261268533772651E-3</v>
      </c>
      <c r="AA39" s="42">
        <f t="shared" si="31"/>
        <v>9.8583948380010986E-3</v>
      </c>
      <c r="AB39" s="169">
        <f t="shared" si="32"/>
        <v>3.3866007688083267E-5</v>
      </c>
      <c r="AD39" s="43"/>
      <c r="AE39" s="176"/>
      <c r="AF39" s="49"/>
      <c r="AG39" s="3"/>
    </row>
    <row r="40" spans="2:33" s="5" customFormat="1" x14ac:dyDescent="0.15">
      <c r="B40" s="44" t="s">
        <v>29</v>
      </c>
      <c r="C40" s="39">
        <v>0.48680555555555555</v>
      </c>
      <c r="D40" s="43">
        <v>145.54999999999998</v>
      </c>
      <c r="E40" s="45">
        <v>7</v>
      </c>
      <c r="F40" s="40">
        <v>1.3360000000000001</v>
      </c>
      <c r="G40" s="41">
        <v>1.208</v>
      </c>
      <c r="H40" s="41">
        <v>1.127</v>
      </c>
      <c r="I40" s="41">
        <f t="shared" si="17"/>
        <v>1.6478224000000001</v>
      </c>
      <c r="J40" s="41">
        <f t="shared" si="17"/>
        <v>1.4899472</v>
      </c>
      <c r="K40" s="41">
        <f t="shared" si="17"/>
        <v>1.3900418000000001</v>
      </c>
      <c r="L40" s="42">
        <f t="shared" si="18"/>
        <v>1.509270466666667</v>
      </c>
      <c r="M40" s="41">
        <f t="shared" si="21"/>
        <v>7.5039436098834816E-2</v>
      </c>
      <c r="N40" s="41">
        <f t="shared" si="19"/>
        <v>0.49945465868970945</v>
      </c>
      <c r="O40" s="41">
        <f t="shared" si="19"/>
        <v>0.39874068308787863</v>
      </c>
      <c r="P40" s="41">
        <f t="shared" si="19"/>
        <v>0.32933381863289474</v>
      </c>
      <c r="Q40" s="42">
        <f t="shared" si="20"/>
        <v>0.40917638680349427</v>
      </c>
      <c r="R40" s="41">
        <f t="shared" si="22"/>
        <v>4.9386074249863812E-2</v>
      </c>
      <c r="S40" s="41">
        <f t="shared" si="23"/>
        <v>1.3384549012144803E-2</v>
      </c>
      <c r="T40" s="41">
        <f t="shared" si="24"/>
        <v>9.2141980555472507E-3</v>
      </c>
      <c r="U40" s="41">
        <f t="shared" si="25"/>
        <v>5.914197184140527E-3</v>
      </c>
      <c r="V40" s="42">
        <f t="shared" si="26"/>
        <v>9.5043147506108597E-3</v>
      </c>
      <c r="W40" s="41">
        <f t="shared" si="27"/>
        <v>2.1613780234769732E-3</v>
      </c>
      <c r="X40" s="41">
        <f t="shared" si="28"/>
        <v>1.1321349364479562E-2</v>
      </c>
      <c r="Y40" s="41">
        <f t="shared" si="29"/>
        <v>1.023666918584679E-2</v>
      </c>
      <c r="Z40" s="41">
        <f t="shared" si="30"/>
        <v>9.5502700103057385E-3</v>
      </c>
      <c r="AA40" s="42">
        <f t="shared" si="31"/>
        <v>1.0369429520210697E-2</v>
      </c>
      <c r="AB40" s="169">
        <f t="shared" si="32"/>
        <v>5.1555778838086454E-4</v>
      </c>
      <c r="AD40" s="43"/>
      <c r="AE40" s="176"/>
      <c r="AF40" s="49"/>
      <c r="AG40" s="3"/>
    </row>
    <row r="41" spans="2:33" s="5" customFormat="1" x14ac:dyDescent="0.15">
      <c r="B41" s="44" t="s">
        <v>30</v>
      </c>
      <c r="C41" s="39">
        <v>0.4055555555555555</v>
      </c>
      <c r="D41" s="43">
        <v>167.6</v>
      </c>
      <c r="E41" s="45">
        <v>8</v>
      </c>
      <c r="F41" s="40">
        <v>1.3720000000000001</v>
      </c>
      <c r="G41" s="41">
        <v>1.3680000000000001</v>
      </c>
      <c r="H41" s="41">
        <v>1.478</v>
      </c>
      <c r="I41" s="41">
        <f t="shared" si="17"/>
        <v>1.6922248000000002</v>
      </c>
      <c r="J41" s="41">
        <f t="shared" si="17"/>
        <v>1.6872912000000002</v>
      </c>
      <c r="K41" s="41">
        <f t="shared" si="17"/>
        <v>1.8229652000000001</v>
      </c>
      <c r="L41" s="42">
        <f t="shared" si="18"/>
        <v>1.7341604000000004</v>
      </c>
      <c r="M41" s="41">
        <f t="shared" si="21"/>
        <v>4.4425234869084597E-2</v>
      </c>
      <c r="N41" s="41">
        <f t="shared" si="19"/>
        <v>0.52604411287894903</v>
      </c>
      <c r="O41" s="41">
        <f t="shared" si="19"/>
        <v>0.52312440277561423</v>
      </c>
      <c r="P41" s="41">
        <f t="shared" si="19"/>
        <v>0.6004644061012655</v>
      </c>
      <c r="Q41" s="42">
        <f t="shared" si="20"/>
        <v>0.54987764058527633</v>
      </c>
      <c r="R41" s="41">
        <f t="shared" si="22"/>
        <v>2.5307421907411129E-2</v>
      </c>
      <c r="S41" s="41">
        <f t="shared" si="23"/>
        <v>1.2058709382875086E-3</v>
      </c>
      <c r="T41" s="41">
        <f t="shared" si="24"/>
        <v>5.6409850198519511E-3</v>
      </c>
      <c r="U41" s="41">
        <f t="shared" si="25"/>
        <v>1.2296171767273044E-2</v>
      </c>
      <c r="V41" s="42">
        <f t="shared" si="26"/>
        <v>6.3810092418041678E-3</v>
      </c>
      <c r="W41" s="41">
        <f t="shared" si="27"/>
        <v>3.2228051966238097E-3</v>
      </c>
      <c r="X41" s="41">
        <f t="shared" si="28"/>
        <v>1.0096806682577567E-2</v>
      </c>
      <c r="Y41" s="41">
        <f t="shared" si="29"/>
        <v>1.0067369928400956E-2</v>
      </c>
      <c r="Z41" s="41">
        <f t="shared" si="30"/>
        <v>1.0876880668257757E-2</v>
      </c>
      <c r="AA41" s="42">
        <f t="shared" si="31"/>
        <v>1.0347019093078761E-2</v>
      </c>
      <c r="AB41" s="169">
        <f t="shared" si="32"/>
        <v>2.6506703382508679E-4</v>
      </c>
      <c r="AD41" s="43"/>
      <c r="AE41" s="176"/>
      <c r="AF41" s="49"/>
      <c r="AG41" s="3"/>
    </row>
    <row r="42" spans="2:33" s="5" customFormat="1" x14ac:dyDescent="0.15">
      <c r="B42" s="44" t="s">
        <v>31</v>
      </c>
      <c r="C42" s="39">
        <v>0.30694444444444441</v>
      </c>
      <c r="D42" s="43">
        <v>189.23333333333332</v>
      </c>
      <c r="E42" s="45">
        <v>9</v>
      </c>
      <c r="F42" s="40">
        <v>1.4379999999999999</v>
      </c>
      <c r="G42" s="41">
        <v>1.4359999999999999</v>
      </c>
      <c r="H42" s="41">
        <v>1.58</v>
      </c>
      <c r="I42" s="41">
        <f t="shared" si="17"/>
        <v>1.7736292</v>
      </c>
      <c r="J42" s="41">
        <f t="shared" si="17"/>
        <v>1.7711623999999999</v>
      </c>
      <c r="K42" s="41">
        <f t="shared" si="17"/>
        <v>1.9487720000000002</v>
      </c>
      <c r="L42" s="42">
        <f t="shared" si="18"/>
        <v>1.8311878666666666</v>
      </c>
      <c r="M42" s="41">
        <f t="shared" si="21"/>
        <v>5.8796379095919837E-2</v>
      </c>
      <c r="N42" s="41">
        <f t="shared" si="19"/>
        <v>0.57302784287411035</v>
      </c>
      <c r="O42" s="41">
        <f t="shared" si="19"/>
        <v>0.57163605420128782</v>
      </c>
      <c r="P42" s="41">
        <f t="shared" si="19"/>
        <v>0.6671994306141309</v>
      </c>
      <c r="Q42" s="42">
        <f t="shared" si="20"/>
        <v>0.60395444256317632</v>
      </c>
      <c r="R42" s="41">
        <f t="shared" si="22"/>
        <v>3.1625046266640658E-2</v>
      </c>
      <c r="S42" s="41">
        <f t="shared" si="23"/>
        <v>2.1718211091754083E-3</v>
      </c>
      <c r="T42" s="41">
        <f t="shared" si="24"/>
        <v>2.2424492184440806E-3</v>
      </c>
      <c r="U42" s="41">
        <f t="shared" si="25"/>
        <v>3.0848239374205895E-3</v>
      </c>
      <c r="V42" s="42">
        <f t="shared" si="26"/>
        <v>2.4996980883466927E-3</v>
      </c>
      <c r="W42" s="41">
        <f t="shared" si="27"/>
        <v>2.9327249950376259E-4</v>
      </c>
      <c r="X42" s="41">
        <f t="shared" si="28"/>
        <v>9.3727102342786688E-3</v>
      </c>
      <c r="Y42" s="41">
        <f t="shared" si="29"/>
        <v>9.3596744759556101E-3</v>
      </c>
      <c r="Z42" s="41">
        <f t="shared" si="30"/>
        <v>1.0298249075215784E-2</v>
      </c>
      <c r="AA42" s="42">
        <f t="shared" si="31"/>
        <v>9.6768779284833548E-3</v>
      </c>
      <c r="AB42" s="169">
        <f t="shared" si="32"/>
        <v>3.1070836231770208E-4</v>
      </c>
      <c r="AD42" s="43"/>
      <c r="AE42" s="176"/>
      <c r="AF42" s="49"/>
      <c r="AG42" s="3"/>
    </row>
    <row r="43" spans="2:33" s="5" customFormat="1" x14ac:dyDescent="0.15">
      <c r="B43" s="44" t="s">
        <v>32</v>
      </c>
      <c r="C43" s="39">
        <v>0.4368055555555555</v>
      </c>
      <c r="D43" s="43">
        <v>216.35</v>
      </c>
      <c r="E43" s="45">
        <v>10</v>
      </c>
      <c r="F43" s="40">
        <v>1.5960000000000001</v>
      </c>
      <c r="G43" s="41">
        <v>1.5660000000000001</v>
      </c>
      <c r="H43" s="41">
        <v>1.6180000000000001</v>
      </c>
      <c r="I43" s="41">
        <f t="shared" si="17"/>
        <v>1.9685064000000001</v>
      </c>
      <c r="J43" s="41">
        <f t="shared" si="17"/>
        <v>1.9315044000000001</v>
      </c>
      <c r="K43" s="41">
        <f t="shared" si="17"/>
        <v>1.9956412000000001</v>
      </c>
      <c r="L43" s="42">
        <f t="shared" si="18"/>
        <v>1.9652173333333334</v>
      </c>
      <c r="M43" s="41">
        <f t="shared" si="21"/>
        <v>1.8587592171601403E-2</v>
      </c>
      <c r="N43" s="41">
        <f t="shared" si="19"/>
        <v>0.6772750826028725</v>
      </c>
      <c r="O43" s="41">
        <f t="shared" si="19"/>
        <v>0.65829918114386676</v>
      </c>
      <c r="P43" s="41">
        <f t="shared" si="19"/>
        <v>0.69096540221155545</v>
      </c>
      <c r="Q43" s="42">
        <f t="shared" si="20"/>
        <v>0.67551322198609831</v>
      </c>
      <c r="R43" s="41">
        <f t="shared" si="22"/>
        <v>9.470984009691253E-3</v>
      </c>
      <c r="S43" s="41">
        <f t="shared" si="23"/>
        <v>3.8443972856335141E-3</v>
      </c>
      <c r="T43" s="41">
        <f t="shared" si="24"/>
        <v>3.1959358429961495E-3</v>
      </c>
      <c r="U43" s="41">
        <f t="shared" si="25"/>
        <v>8.7643410930883384E-4</v>
      </c>
      <c r="V43" s="42">
        <f t="shared" si="26"/>
        <v>2.6389224126461656E-3</v>
      </c>
      <c r="W43" s="41">
        <f t="shared" si="27"/>
        <v>9.0090682559250878E-4</v>
      </c>
      <c r="X43" s="41">
        <f t="shared" si="28"/>
        <v>9.098712271781835E-3</v>
      </c>
      <c r="Y43" s="41">
        <f t="shared" si="29"/>
        <v>8.9276838456205238E-3</v>
      </c>
      <c r="Z43" s="41">
        <f t="shared" si="30"/>
        <v>9.2241331176334644E-3</v>
      </c>
      <c r="AA43" s="42">
        <f t="shared" si="31"/>
        <v>9.0835097450119411E-3</v>
      </c>
      <c r="AB43" s="169">
        <f t="shared" si="32"/>
        <v>8.5914454225104311E-5</v>
      </c>
      <c r="AD43" s="43"/>
      <c r="AE43" s="177"/>
      <c r="AF43" s="49"/>
      <c r="AG43" s="3"/>
    </row>
    <row r="44" spans="2:33" s="5" customFormat="1" x14ac:dyDescent="0.15">
      <c r="B44" s="44" t="s">
        <v>33</v>
      </c>
      <c r="C44" s="39">
        <v>0.44722222222222219</v>
      </c>
      <c r="D44" s="43">
        <v>240.6</v>
      </c>
      <c r="E44" s="45">
        <v>11</v>
      </c>
      <c r="F44" s="40">
        <v>1.6140000000000001</v>
      </c>
      <c r="G44" s="41">
        <v>1.6180000000000001</v>
      </c>
      <c r="H44" s="41">
        <v>1.738</v>
      </c>
      <c r="I44" s="41">
        <f t="shared" si="17"/>
        <v>1.9907076000000001</v>
      </c>
      <c r="J44" s="41">
        <f t="shared" si="17"/>
        <v>1.9956412000000001</v>
      </c>
      <c r="K44" s="41">
        <f t="shared" si="17"/>
        <v>2.1436492</v>
      </c>
      <c r="L44" s="42">
        <f t="shared" si="18"/>
        <v>2.0433326666666667</v>
      </c>
      <c r="M44" s="41">
        <f t="shared" si="21"/>
        <v>5.0178482264988597E-2</v>
      </c>
      <c r="N44" s="41">
        <f t="shared" si="19"/>
        <v>0.68849015342301256</v>
      </c>
      <c r="O44" s="41">
        <f t="shared" si="19"/>
        <v>0.69096540221155545</v>
      </c>
      <c r="P44" s="41">
        <f t="shared" si="19"/>
        <v>0.76250961041845566</v>
      </c>
      <c r="Q44" s="42">
        <f t="shared" si="20"/>
        <v>0.71398838868434122</v>
      </c>
      <c r="R44" s="41">
        <f t="shared" si="22"/>
        <v>2.4271131226690008E-2</v>
      </c>
      <c r="S44" s="41">
        <f t="shared" si="23"/>
        <v>4.6247714722227055E-4</v>
      </c>
      <c r="T44" s="41">
        <f t="shared" si="24"/>
        <v>1.3470606625851003E-3</v>
      </c>
      <c r="U44" s="41">
        <f t="shared" si="25"/>
        <v>2.9502766270886687E-3</v>
      </c>
      <c r="V44" s="42">
        <f t="shared" si="26"/>
        <v>1.5866048122986798E-3</v>
      </c>
      <c r="W44" s="41">
        <f t="shared" si="27"/>
        <v>7.2808484229801621E-4</v>
      </c>
      <c r="X44" s="41">
        <f t="shared" si="28"/>
        <v>8.2739301745635915E-3</v>
      </c>
      <c r="Y44" s="41">
        <f t="shared" si="29"/>
        <v>8.2944355777223606E-3</v>
      </c>
      <c r="Z44" s="41">
        <f t="shared" si="30"/>
        <v>8.9095976724854527E-3</v>
      </c>
      <c r="AA44" s="42">
        <f t="shared" si="31"/>
        <v>8.4926544749238022E-3</v>
      </c>
      <c r="AB44" s="169">
        <f t="shared" si="32"/>
        <v>2.0855562038648621E-4</v>
      </c>
      <c r="AD44" s="43"/>
      <c r="AE44" s="177"/>
      <c r="AF44" s="49"/>
      <c r="AG44" s="3"/>
    </row>
    <row r="45" spans="2:33" s="5" customFormat="1" x14ac:dyDescent="0.15">
      <c r="B45" s="46" t="s">
        <v>34</v>
      </c>
      <c r="C45" s="39">
        <v>0.49236111111111108</v>
      </c>
      <c r="D45" s="43">
        <v>289.68333333333334</v>
      </c>
      <c r="E45" s="45">
        <v>13</v>
      </c>
      <c r="F45" s="40">
        <v>1.742</v>
      </c>
      <c r="G45" s="41">
        <v>1.6859999999999999</v>
      </c>
      <c r="H45" s="41">
        <v>1.8280000000000001</v>
      </c>
      <c r="I45" s="41">
        <f t="shared" si="17"/>
        <v>2.1485828000000002</v>
      </c>
      <c r="J45" s="41">
        <f t="shared" si="17"/>
        <v>2.0795124</v>
      </c>
      <c r="K45" s="41">
        <f t="shared" si="17"/>
        <v>2.2546552000000002</v>
      </c>
      <c r="L45" s="42">
        <f t="shared" si="18"/>
        <v>2.1609168000000003</v>
      </c>
      <c r="M45" s="41">
        <f t="shared" si="21"/>
        <v>5.0934093902349313E-2</v>
      </c>
      <c r="N45" s="41">
        <f t="shared" si="19"/>
        <v>0.76480846200556651</v>
      </c>
      <c r="O45" s="41">
        <f t="shared" si="19"/>
        <v>0.73213344315491913</v>
      </c>
      <c r="P45" s="41">
        <f t="shared" si="19"/>
        <v>0.81299705660721377</v>
      </c>
      <c r="Q45" s="42">
        <f t="shared" si="20"/>
        <v>0.76997965392256651</v>
      </c>
      <c r="R45" s="41">
        <f t="shared" si="22"/>
        <v>2.348607328128996E-2</v>
      </c>
      <c r="S45" s="41">
        <f t="shared" si="23"/>
        <v>1.5548721612744436E-3</v>
      </c>
      <c r="T45" s="41">
        <f t="shared" si="24"/>
        <v>8.3873767626547384E-4</v>
      </c>
      <c r="U45" s="41">
        <f t="shared" si="25"/>
        <v>1.0286067135230853E-3</v>
      </c>
      <c r="V45" s="42">
        <f t="shared" si="26"/>
        <v>1.1407388503543341E-3</v>
      </c>
      <c r="W45" s="41">
        <f t="shared" si="27"/>
        <v>2.1419800982387148E-4</v>
      </c>
      <c r="X45" s="41">
        <f t="shared" si="28"/>
        <v>7.4170052356020951E-3</v>
      </c>
      <c r="Y45" s="41">
        <f t="shared" si="29"/>
        <v>7.1785710833668949E-3</v>
      </c>
      <c r="Z45" s="41">
        <f t="shared" si="30"/>
        <v>7.7831719693918656E-3</v>
      </c>
      <c r="AA45" s="42">
        <f t="shared" si="31"/>
        <v>7.459582762786951E-3</v>
      </c>
      <c r="AB45" s="169">
        <f t="shared" si="32"/>
        <v>1.7582680134290091E-4</v>
      </c>
      <c r="AD45" s="43"/>
      <c r="AE45" s="177"/>
      <c r="AF45" s="49"/>
      <c r="AG45" s="3"/>
    </row>
    <row r="46" spans="2:33" s="5" customFormat="1" x14ac:dyDescent="0.15">
      <c r="B46" s="46" t="s">
        <v>35</v>
      </c>
      <c r="C46" s="39">
        <v>0.49374999999999997</v>
      </c>
      <c r="D46" s="43">
        <v>313.7166666666667</v>
      </c>
      <c r="E46" s="45">
        <v>14</v>
      </c>
      <c r="F46" s="40">
        <v>1.83</v>
      </c>
      <c r="G46" s="41">
        <v>1.78</v>
      </c>
      <c r="H46" s="41">
        <v>1.88</v>
      </c>
      <c r="I46" s="41">
        <f t="shared" si="17"/>
        <v>2.2571220000000003</v>
      </c>
      <c r="J46" s="41">
        <f t="shared" si="17"/>
        <v>2.195452</v>
      </c>
      <c r="K46" s="41">
        <f t="shared" si="17"/>
        <v>2.3187920000000002</v>
      </c>
      <c r="L46" s="42">
        <f t="shared" si="18"/>
        <v>2.2571220000000003</v>
      </c>
      <c r="M46" s="41">
        <f t="shared" si="21"/>
        <v>3.5605191100924291E-2</v>
      </c>
      <c r="N46" s="41">
        <f t="shared" si="19"/>
        <v>0.81409055042858514</v>
      </c>
      <c r="O46" s="41">
        <f t="shared" si="19"/>
        <v>0.78638794787924915</v>
      </c>
      <c r="P46" s="41">
        <f t="shared" si="19"/>
        <v>0.84104636041711334</v>
      </c>
      <c r="Q46" s="42">
        <f t="shared" si="20"/>
        <v>0.81384161957498258</v>
      </c>
      <c r="R46" s="41">
        <f t="shared" si="22"/>
        <v>1.5779015497565576E-2</v>
      </c>
      <c r="S46" s="41">
        <f t="shared" si="23"/>
        <v>2.0505723338287893E-3</v>
      </c>
      <c r="T46" s="41">
        <f t="shared" si="24"/>
        <v>2.257468989916642E-3</v>
      </c>
      <c r="U46" s="41">
        <f t="shared" si="25"/>
        <v>1.1671000198293841E-3</v>
      </c>
      <c r="V46" s="42">
        <f t="shared" si="26"/>
        <v>1.8250471145249386E-3</v>
      </c>
      <c r="W46" s="41">
        <f t="shared" si="27"/>
        <v>3.3435128290408605E-4</v>
      </c>
      <c r="X46" s="41">
        <f t="shared" si="28"/>
        <v>7.1947787281517296E-3</v>
      </c>
      <c r="Y46" s="41">
        <f t="shared" si="29"/>
        <v>6.9982000743770909E-3</v>
      </c>
      <c r="Z46" s="41">
        <f t="shared" si="30"/>
        <v>7.3913573819263667E-3</v>
      </c>
      <c r="AA46" s="42">
        <f t="shared" si="31"/>
        <v>7.1947787281517288E-3</v>
      </c>
      <c r="AB46" s="169">
        <f t="shared" si="32"/>
        <v>1.1349473867372145E-4</v>
      </c>
      <c r="AD46" s="43"/>
      <c r="AE46" s="177"/>
      <c r="AF46" s="49"/>
      <c r="AG46" s="3"/>
    </row>
    <row r="47" spans="2:33" s="5" customFormat="1" x14ac:dyDescent="0.15">
      <c r="B47" s="46" t="s">
        <v>36</v>
      </c>
      <c r="C47" s="39">
        <v>0.46180555555555558</v>
      </c>
      <c r="D47" s="43">
        <v>336.95000000000005</v>
      </c>
      <c r="E47" s="45">
        <v>15</v>
      </c>
      <c r="F47" s="40">
        <v>1.9239999999999999</v>
      </c>
      <c r="G47" s="41">
        <v>1.8260000000000001</v>
      </c>
      <c r="H47" s="41">
        <v>1.95</v>
      </c>
      <c r="I47" s="41">
        <f t="shared" si="17"/>
        <v>2.3730616000000002</v>
      </c>
      <c r="J47" s="41">
        <f t="shared" si="17"/>
        <v>2.2521884000000001</v>
      </c>
      <c r="K47" s="41">
        <f t="shared" si="17"/>
        <v>2.4051300000000002</v>
      </c>
      <c r="L47" s="42">
        <f t="shared" si="18"/>
        <v>2.3434600000000003</v>
      </c>
      <c r="M47" s="41">
        <f t="shared" si="21"/>
        <v>4.6565274237926883E-2</v>
      </c>
      <c r="N47" s="41">
        <f t="shared" si="19"/>
        <v>0.8641809358187702</v>
      </c>
      <c r="O47" s="41">
        <f t="shared" si="19"/>
        <v>0.81190236574803221</v>
      </c>
      <c r="P47" s="41">
        <f t="shared" si="19"/>
        <v>0.87760395615091091</v>
      </c>
      <c r="Q47" s="42">
        <f t="shared" si="20"/>
        <v>0.85122908590590451</v>
      </c>
      <c r="R47" s="41">
        <f t="shared" si="22"/>
        <v>2.0041519881577194E-2</v>
      </c>
      <c r="S47" s="41">
        <f t="shared" si="23"/>
        <v>2.1559706767654966E-3</v>
      </c>
      <c r="T47" s="41">
        <f t="shared" si="24"/>
        <v>1.0981815438500591E-3</v>
      </c>
      <c r="U47" s="41">
        <f t="shared" si="25"/>
        <v>1.5734976642954471E-3</v>
      </c>
      <c r="V47" s="42">
        <f t="shared" si="26"/>
        <v>1.6092166283036677E-3</v>
      </c>
      <c r="W47" s="41">
        <f t="shared" si="27"/>
        <v>3.0587924944377629E-4</v>
      </c>
      <c r="X47" s="41">
        <f t="shared" si="28"/>
        <v>7.0427707374981444E-3</v>
      </c>
      <c r="Y47" s="41">
        <f t="shared" si="29"/>
        <v>6.6840433298709003E-3</v>
      </c>
      <c r="Z47" s="41">
        <f t="shared" si="30"/>
        <v>7.1379433150319032E-3</v>
      </c>
      <c r="AA47" s="42">
        <f t="shared" si="31"/>
        <v>6.9549191274669827E-3</v>
      </c>
      <c r="AB47" s="169">
        <f t="shared" si="32"/>
        <v>1.3819639186207693E-4</v>
      </c>
      <c r="AD47" s="43"/>
      <c r="AE47" s="177"/>
      <c r="AF47" s="49"/>
      <c r="AG47" s="3"/>
    </row>
    <row r="48" spans="2:33" s="5" customFormat="1" x14ac:dyDescent="0.15">
      <c r="B48" s="46" t="s">
        <v>37</v>
      </c>
      <c r="C48" s="39">
        <v>0.41250000000000003</v>
      </c>
      <c r="D48" s="43">
        <v>359.76666666666671</v>
      </c>
      <c r="E48" s="45">
        <v>16</v>
      </c>
      <c r="F48" s="40">
        <v>1.984</v>
      </c>
      <c r="G48" s="41">
        <v>1.796</v>
      </c>
      <c r="H48" s="41">
        <v>1.964</v>
      </c>
      <c r="I48" s="41">
        <f t="shared" si="17"/>
        <v>2.4470656000000002</v>
      </c>
      <c r="J48" s="41">
        <f t="shared" si="17"/>
        <v>2.2151864000000003</v>
      </c>
      <c r="K48" s="41">
        <f t="shared" si="17"/>
        <v>2.4223976</v>
      </c>
      <c r="L48" s="42">
        <f t="shared" si="18"/>
        <v>2.361549866666667</v>
      </c>
      <c r="M48" s="41">
        <f t="shared" si="21"/>
        <v>7.3527377751450074E-2</v>
      </c>
      <c r="N48" s="41">
        <f t="shared" si="19"/>
        <v>0.89488959243793653</v>
      </c>
      <c r="O48" s="41">
        <f t="shared" si="19"/>
        <v>0.79533655345526344</v>
      </c>
      <c r="P48" s="41">
        <f t="shared" si="19"/>
        <v>0.88475779350752959</v>
      </c>
      <c r="Q48" s="42">
        <f t="shared" si="20"/>
        <v>0.85832797980024322</v>
      </c>
      <c r="R48" s="41">
        <f t="shared" si="22"/>
        <v>3.1631224984830023E-2</v>
      </c>
      <c r="S48" s="41">
        <f t="shared" si="23"/>
        <v>1.3458870687728124E-3</v>
      </c>
      <c r="T48" s="41">
        <f t="shared" si="24"/>
        <v>-7.260399836129483E-4</v>
      </c>
      <c r="U48" s="41">
        <f t="shared" si="25"/>
        <v>3.1353560365019763E-4</v>
      </c>
      <c r="V48" s="42">
        <f t="shared" si="26"/>
        <v>3.1112756293668725E-4</v>
      </c>
      <c r="W48" s="41">
        <f t="shared" si="27"/>
        <v>5.9811503258070276E-4</v>
      </c>
      <c r="X48" s="41">
        <f t="shared" si="28"/>
        <v>6.8018130269619191E-3</v>
      </c>
      <c r="Y48" s="41">
        <f t="shared" si="29"/>
        <v>6.1572863893264154E-3</v>
      </c>
      <c r="Z48" s="41">
        <f t="shared" si="30"/>
        <v>6.7332463633836739E-3</v>
      </c>
      <c r="AA48" s="42">
        <f t="shared" si="31"/>
        <v>6.5641152598906695E-3</v>
      </c>
      <c r="AB48" s="169">
        <f t="shared" si="32"/>
        <v>2.0437518137158354E-4</v>
      </c>
      <c r="AD48" s="43"/>
      <c r="AE48" s="177"/>
      <c r="AF48" s="49"/>
      <c r="AG48" s="3"/>
    </row>
    <row r="49" spans="2:33" s="5" customFormat="1" x14ac:dyDescent="0.15">
      <c r="B49" s="46" t="s">
        <v>38</v>
      </c>
      <c r="C49" s="39">
        <v>0.47361111111111115</v>
      </c>
      <c r="D49" s="43">
        <v>385.23333333333335</v>
      </c>
      <c r="E49" s="45">
        <v>17</v>
      </c>
      <c r="F49" s="40">
        <v>2.0139999999999998</v>
      </c>
      <c r="G49" s="41">
        <v>1.8660000000000001</v>
      </c>
      <c r="H49" s="41">
        <v>2.1059999999999999</v>
      </c>
      <c r="I49" s="41">
        <f t="shared" ref="I49:K50" si="33">1.2334*F49</f>
        <v>2.4840675999999999</v>
      </c>
      <c r="J49" s="41">
        <f t="shared" si="33"/>
        <v>2.3015244000000004</v>
      </c>
      <c r="K49" s="41">
        <f t="shared" si="33"/>
        <v>2.5975403999999997</v>
      </c>
      <c r="L49" s="42">
        <f t="shared" si="18"/>
        <v>2.4610441333333335</v>
      </c>
      <c r="M49" s="41">
        <f t="shared" si="21"/>
        <v>8.6224374119721794E-2</v>
      </c>
      <c r="N49" s="41">
        <f t="shared" si="19"/>
        <v>0.90989737787162595</v>
      </c>
      <c r="O49" s="41">
        <f t="shared" si="19"/>
        <v>0.83357168600040765</v>
      </c>
      <c r="P49" s="41">
        <f t="shared" si="19"/>
        <v>0.95456499728703903</v>
      </c>
      <c r="Q49" s="42">
        <f t="shared" si="20"/>
        <v>0.89934468705302428</v>
      </c>
      <c r="R49" s="41">
        <f t="shared" si="22"/>
        <v>3.5324046609737259E-2</v>
      </c>
      <c r="S49" s="41">
        <f t="shared" si="23"/>
        <v>5.893109463490613E-4</v>
      </c>
      <c r="T49" s="41">
        <f t="shared" si="24"/>
        <v>1.5013795502019994E-3</v>
      </c>
      <c r="U49" s="41">
        <f t="shared" si="25"/>
        <v>2.741120567258227E-3</v>
      </c>
      <c r="V49" s="42">
        <f t="shared" si="26"/>
        <v>1.6106036879364293E-3</v>
      </c>
      <c r="W49" s="41">
        <f t="shared" si="27"/>
        <v>6.23569989484523E-4</v>
      </c>
      <c r="X49" s="41">
        <f t="shared" si="28"/>
        <v>6.4482156268927922E-3</v>
      </c>
      <c r="Y49" s="41">
        <f t="shared" si="29"/>
        <v>5.9743646274984866E-3</v>
      </c>
      <c r="Z49" s="41">
        <f t="shared" si="30"/>
        <v>6.7427716535433061E-3</v>
      </c>
      <c r="AA49" s="42">
        <f t="shared" si="31"/>
        <v>6.388450635978195E-3</v>
      </c>
      <c r="AB49" s="169">
        <f t="shared" si="32"/>
        <v>2.2382376253280724E-4</v>
      </c>
      <c r="AD49" s="43"/>
      <c r="AE49" s="177"/>
      <c r="AF49" s="49"/>
      <c r="AG49" s="3"/>
    </row>
    <row r="50" spans="2:33" s="5" customFormat="1" ht="15" thickBot="1" x14ac:dyDescent="0.2">
      <c r="B50" s="46" t="s">
        <v>39</v>
      </c>
      <c r="C50" s="39">
        <v>0.4548611111111111</v>
      </c>
      <c r="D50" s="43">
        <v>408.78333333333336</v>
      </c>
      <c r="E50" s="45">
        <v>18</v>
      </c>
      <c r="F50" s="40">
        <v>2.2120000000000002</v>
      </c>
      <c r="G50" s="41">
        <v>1.94</v>
      </c>
      <c r="H50" s="41">
        <v>2.0019999999999998</v>
      </c>
      <c r="I50" s="41">
        <f t="shared" si="33"/>
        <v>2.7282808000000003</v>
      </c>
      <c r="J50" s="41">
        <f t="shared" si="33"/>
        <v>2.3927960000000001</v>
      </c>
      <c r="K50" s="41">
        <f t="shared" si="33"/>
        <v>2.4692667999999998</v>
      </c>
      <c r="L50" s="42">
        <f t="shared" si="18"/>
        <v>2.5301145333333337</v>
      </c>
      <c r="M50" s="41">
        <f t="shared" si="21"/>
        <v>0.10151247500777658</v>
      </c>
      <c r="N50" s="41">
        <f t="shared" si="19"/>
        <v>1.0036716672353438</v>
      </c>
      <c r="O50" s="41">
        <f t="shared" si="19"/>
        <v>0.87246255665049222</v>
      </c>
      <c r="P50" s="41">
        <f t="shared" si="19"/>
        <v>0.90392126446828414</v>
      </c>
      <c r="Q50" s="42">
        <f t="shared" si="20"/>
        <v>0.9266851627847067</v>
      </c>
      <c r="R50" s="41">
        <f t="shared" si="22"/>
        <v>3.9549985145539888E-2</v>
      </c>
      <c r="S50" s="41">
        <f t="shared" si="23"/>
        <v>3.9819231152321806E-3</v>
      </c>
      <c r="T50" s="41">
        <f t="shared" si="24"/>
        <v>1.6514170127424435E-3</v>
      </c>
      <c r="U50" s="41">
        <f t="shared" si="25"/>
        <v>-2.1504769774418203E-3</v>
      </c>
      <c r="V50" s="42">
        <f t="shared" si="26"/>
        <v>1.1609543835109347E-3</v>
      </c>
      <c r="W50" s="41">
        <f t="shared" si="27"/>
        <v>1.7871763499219971E-3</v>
      </c>
      <c r="X50" s="41">
        <f t="shared" si="28"/>
        <v>6.6741488155909814E-3</v>
      </c>
      <c r="Y50" s="41">
        <f t="shared" si="29"/>
        <v>5.8534578219920901E-3</v>
      </c>
      <c r="Z50" s="41">
        <f t="shared" si="30"/>
        <v>6.0405270925918365E-3</v>
      </c>
      <c r="AA50" s="42">
        <f t="shared" si="31"/>
        <v>6.1893779100583024E-3</v>
      </c>
      <c r="AB50" s="169">
        <f t="shared" si="32"/>
        <v>2.4832831167556543E-4</v>
      </c>
      <c r="AD50" s="43"/>
      <c r="AE50" s="177"/>
      <c r="AF50" s="49"/>
      <c r="AG50" s="3"/>
    </row>
    <row r="51" spans="2:33" ht="15" thickBot="1" x14ac:dyDescent="0.2">
      <c r="B51" s="217" t="s">
        <v>72</v>
      </c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9"/>
    </row>
    <row r="52" spans="2:33" ht="60" x14ac:dyDescent="0.15">
      <c r="B52" s="23" t="s">
        <v>0</v>
      </c>
      <c r="C52" s="24" t="s">
        <v>1</v>
      </c>
      <c r="D52" s="25" t="s">
        <v>2</v>
      </c>
      <c r="E52" s="26" t="s">
        <v>3</v>
      </c>
      <c r="F52" s="204" t="s">
        <v>61</v>
      </c>
      <c r="G52" s="205"/>
      <c r="H52" s="206"/>
      <c r="I52" s="207" t="s">
        <v>10</v>
      </c>
      <c r="J52" s="205"/>
      <c r="K52" s="206"/>
      <c r="L52" s="27" t="s">
        <v>4</v>
      </c>
      <c r="M52" s="28" t="s">
        <v>69</v>
      </c>
      <c r="N52" s="207" t="s">
        <v>63</v>
      </c>
      <c r="O52" s="205"/>
      <c r="P52" s="206"/>
      <c r="Q52" s="28" t="s">
        <v>5</v>
      </c>
      <c r="R52" s="28" t="s">
        <v>62</v>
      </c>
      <c r="S52" s="220" t="s">
        <v>6</v>
      </c>
      <c r="T52" s="221"/>
      <c r="U52" s="221"/>
      <c r="V52" s="27" t="s">
        <v>64</v>
      </c>
      <c r="W52" s="27" t="s">
        <v>62</v>
      </c>
      <c r="X52" s="207" t="s">
        <v>65</v>
      </c>
      <c r="Y52" s="205"/>
      <c r="Z52" s="206"/>
      <c r="AA52" s="27" t="s">
        <v>66</v>
      </c>
      <c r="AB52" s="29" t="s">
        <v>62</v>
      </c>
    </row>
    <row r="53" spans="2:33" x14ac:dyDescent="0.15">
      <c r="B53" s="30"/>
      <c r="C53" s="31"/>
      <c r="D53" s="32"/>
      <c r="E53" s="33"/>
      <c r="F53" s="208" t="s">
        <v>13</v>
      </c>
      <c r="G53" s="209"/>
      <c r="H53" s="210"/>
      <c r="I53" s="211" t="s">
        <v>7</v>
      </c>
      <c r="J53" s="209"/>
      <c r="K53" s="210"/>
      <c r="L53" s="35" t="s">
        <v>7</v>
      </c>
      <c r="M53" s="35"/>
      <c r="N53" s="211" t="s">
        <v>7</v>
      </c>
      <c r="O53" s="209"/>
      <c r="P53" s="210"/>
      <c r="Q53" s="34"/>
      <c r="R53" s="34"/>
      <c r="S53" s="215" t="s">
        <v>67</v>
      </c>
      <c r="T53" s="216"/>
      <c r="U53" s="216"/>
      <c r="V53" s="35" t="s">
        <v>67</v>
      </c>
      <c r="W53" s="32"/>
      <c r="X53" s="212" t="s">
        <v>68</v>
      </c>
      <c r="Y53" s="213"/>
      <c r="Z53" s="214"/>
      <c r="AA53" s="37" t="s">
        <v>68</v>
      </c>
      <c r="AB53" s="38"/>
    </row>
    <row r="54" spans="2:33" s="5" customFormat="1" x14ac:dyDescent="0.15">
      <c r="B54" s="223" t="s">
        <v>23</v>
      </c>
      <c r="C54" s="39">
        <v>0.45208333333333334</v>
      </c>
      <c r="D54" s="5">
        <v>0</v>
      </c>
      <c r="E54" s="224">
        <v>1</v>
      </c>
      <c r="F54" s="40">
        <v>9.9000000000000005E-2</v>
      </c>
      <c r="G54" s="41">
        <v>0.1</v>
      </c>
      <c r="H54" s="41">
        <v>0.10100000000000001</v>
      </c>
      <c r="I54" s="41">
        <f t="shared" ref="I54:K73" si="34">1.2334*F54</f>
        <v>0.12210660000000001</v>
      </c>
      <c r="J54" s="41">
        <f t="shared" si="34"/>
        <v>0.12334000000000001</v>
      </c>
      <c r="K54" s="41">
        <f t="shared" si="34"/>
        <v>0.12457340000000001</v>
      </c>
      <c r="L54" s="42">
        <f t="shared" ref="L54:L74" si="35">AVERAGE(I54:K54)</f>
        <v>0.12334000000000001</v>
      </c>
      <c r="M54" s="49">
        <f t="shared" ref="M54:M74" si="36">STDEV(I54:K54)/SQRT(3)</f>
        <v>7.121038220184859E-4</v>
      </c>
      <c r="N54" s="41">
        <f t="shared" ref="N54:P73" si="37">LN(I54)</f>
        <v>-2.1028608452722914</v>
      </c>
      <c r="O54" s="41">
        <f t="shared" si="37"/>
        <v>-2.0928105094187903</v>
      </c>
      <c r="P54" s="41">
        <f t="shared" si="37"/>
        <v>-2.082860178565622</v>
      </c>
      <c r="Q54" s="42">
        <f t="shared" ref="Q54:Q74" si="38">AVERAGE(N54:P54)</f>
        <v>-2.0928438444189013</v>
      </c>
      <c r="R54" s="41">
        <f>STDEV(N54:P54)/SQRT(3)</f>
        <v>5.7737192113487589E-3</v>
      </c>
      <c r="S54" s="41"/>
      <c r="V54" s="172"/>
      <c r="AA54" s="172"/>
      <c r="AB54" s="45"/>
      <c r="AE54" s="176"/>
      <c r="AF54" s="49"/>
      <c r="AG54" s="3"/>
    </row>
    <row r="55" spans="2:33" s="5" customFormat="1" x14ac:dyDescent="0.15">
      <c r="B55" s="223"/>
      <c r="C55" s="39">
        <v>0.59791666666666665</v>
      </c>
      <c r="D55" s="43">
        <v>3.5</v>
      </c>
      <c r="E55" s="224"/>
      <c r="F55" s="40">
        <v>0.13400000000000001</v>
      </c>
      <c r="G55" s="41">
        <v>0.126</v>
      </c>
      <c r="H55" s="41">
        <v>0.13400000000000001</v>
      </c>
      <c r="I55" s="41">
        <f t="shared" si="34"/>
        <v>0.16527560000000002</v>
      </c>
      <c r="J55" s="41">
        <f t="shared" si="34"/>
        <v>0.1554084</v>
      </c>
      <c r="K55" s="41">
        <f t="shared" si="34"/>
        <v>0.16527560000000002</v>
      </c>
      <c r="L55" s="42">
        <f t="shared" si="35"/>
        <v>0.16198653333333335</v>
      </c>
      <c r="M55" s="49">
        <f t="shared" si="36"/>
        <v>3.2890666666666735E-3</v>
      </c>
      <c r="N55" s="41">
        <f t="shared" si="37"/>
        <v>-1.8001408954559701</v>
      </c>
      <c r="O55" s="41">
        <f t="shared" si="37"/>
        <v>-1.8616987884554037</v>
      </c>
      <c r="P55" s="41">
        <f t="shared" si="37"/>
        <v>-1.8001408954559701</v>
      </c>
      <c r="Q55" s="42">
        <f t="shared" si="38"/>
        <v>-1.820660193122448</v>
      </c>
      <c r="R55" s="41">
        <f t="shared" ref="R55:R74" si="39">STDEV(N55:P55)/SQRT(3)</f>
        <v>2.0519297666477861E-2</v>
      </c>
      <c r="S55" s="41">
        <f>(N55-N54)/(D55-D54)</f>
        <v>8.649141423323467E-2</v>
      </c>
      <c r="T55" s="41">
        <f>(O55-O54)/(D55-D54)</f>
        <v>6.6031920275253314E-2</v>
      </c>
      <c r="U55" s="41">
        <f>(P55-P54)/(D55-D54)</f>
        <v>8.0776938031329112E-2</v>
      </c>
      <c r="V55" s="42">
        <f>AVERAGE(S55:U55)</f>
        <v>7.7766757513272375E-2</v>
      </c>
      <c r="W55" s="41">
        <f>STDEV(S55:U55)/SQRT(3)</f>
        <v>6.0949053401901584E-3</v>
      </c>
      <c r="X55" s="41">
        <f>I55/D55</f>
        <v>4.7221600000000009E-2</v>
      </c>
      <c r="Y55" s="41">
        <f>J55/D55</f>
        <v>4.4402400000000002E-2</v>
      </c>
      <c r="Z55" s="41">
        <f>K55/D55</f>
        <v>4.7221600000000009E-2</v>
      </c>
      <c r="AA55" s="42">
        <f>AVERAGE(X55:Z55)</f>
        <v>4.6281866666666671E-2</v>
      </c>
      <c r="AB55" s="169">
        <f>STDEV(X55:Z55)/SQRT(3)</f>
        <v>9.3973333333333597E-4</v>
      </c>
      <c r="AD55" s="43"/>
      <c r="AE55" s="176"/>
      <c r="AF55" s="49"/>
      <c r="AG55" s="3"/>
    </row>
    <row r="56" spans="2:33" s="5" customFormat="1" x14ac:dyDescent="0.15">
      <c r="B56" s="223"/>
      <c r="C56" s="39">
        <v>0.69374999999999998</v>
      </c>
      <c r="D56" s="43">
        <v>5.8</v>
      </c>
      <c r="E56" s="224"/>
      <c r="F56" s="40">
        <v>0.13500000000000001</v>
      </c>
      <c r="G56" s="41">
        <v>0.14299999999999999</v>
      </c>
      <c r="H56" s="41">
        <v>0.15</v>
      </c>
      <c r="I56" s="41">
        <f t="shared" si="34"/>
        <v>0.16650900000000002</v>
      </c>
      <c r="J56" s="41">
        <f t="shared" si="34"/>
        <v>0.17637619999999998</v>
      </c>
      <c r="K56" s="41">
        <f t="shared" si="34"/>
        <v>0.18501000000000001</v>
      </c>
      <c r="L56" s="42">
        <f t="shared" si="35"/>
        <v>0.17596506666666667</v>
      </c>
      <c r="M56" s="49">
        <f t="shared" si="36"/>
        <v>5.3447333333333305E-3</v>
      </c>
      <c r="N56" s="41">
        <f t="shared" si="37"/>
        <v>-1.7927059169684521</v>
      </c>
      <c r="O56" s="41">
        <f t="shared" si="37"/>
        <v>-1.7351360651469745</v>
      </c>
      <c r="P56" s="41">
        <f t="shared" si="37"/>
        <v>-1.6873454013106259</v>
      </c>
      <c r="Q56" s="42">
        <f t="shared" si="38"/>
        <v>-1.738395794475351</v>
      </c>
      <c r="R56" s="41">
        <f t="shared" si="39"/>
        <v>3.0458599997326773E-2</v>
      </c>
      <c r="S56" s="41">
        <f t="shared" ref="S56:S74" si="40">(N56-N55)/(D56-D55)</f>
        <v>3.2325993423991577E-3</v>
      </c>
      <c r="T56" s="41">
        <f t="shared" ref="T56:T74" si="41">(O56-O55)/(D56-D55)</f>
        <v>5.5027271003664883E-2</v>
      </c>
      <c r="U56" s="41">
        <f t="shared" ref="U56:U74" si="42">(P56-P55)/(D56-D55)</f>
        <v>4.9041519193627904E-2</v>
      </c>
      <c r="V56" s="42">
        <f t="shared" ref="V56:V74" si="43">AVERAGE(S56:U56)</f>
        <v>3.5767129846563987E-2</v>
      </c>
      <c r="W56" s="41">
        <f t="shared" ref="W56:W74" si="44">STDEV(S56:U56)/SQRT(3)</f>
        <v>1.6358780135120748E-2</v>
      </c>
      <c r="X56" s="41">
        <f t="shared" ref="X56:X74" si="45">I56/D56</f>
        <v>2.8708448275862074E-2</v>
      </c>
      <c r="Y56" s="41">
        <f t="shared" ref="Y56:Y74" si="46">J56/D56</f>
        <v>3.0409689655172413E-2</v>
      </c>
      <c r="Z56" s="41">
        <f t="shared" ref="Z56:Z74" si="47">K56/D56</f>
        <v>3.1898275862068969E-2</v>
      </c>
      <c r="AA56" s="42">
        <f t="shared" ref="AA56:AA74" si="48">AVERAGE(X56:Z56)</f>
        <v>3.0338804597701153E-2</v>
      </c>
      <c r="AB56" s="169">
        <f t="shared" ref="AB56:AB74" si="49">STDEV(X56:Z56)/SQRT(3)</f>
        <v>9.2150574712643622E-4</v>
      </c>
      <c r="AD56" s="175"/>
      <c r="AE56" s="176"/>
      <c r="AF56" s="49"/>
      <c r="AG56" s="3"/>
    </row>
    <row r="57" spans="2:33" s="5" customFormat="1" x14ac:dyDescent="0.15">
      <c r="B57" s="223"/>
      <c r="C57" s="39">
        <v>0.89097222222222217</v>
      </c>
      <c r="D57" s="43">
        <v>10.533333333333333</v>
      </c>
      <c r="E57" s="224"/>
      <c r="F57" s="40">
        <v>0.16500000000000001</v>
      </c>
      <c r="G57" s="41">
        <v>0.17</v>
      </c>
      <c r="H57" s="41">
        <v>0.154</v>
      </c>
      <c r="I57" s="41">
        <f t="shared" si="34"/>
        <v>0.20351100000000003</v>
      </c>
      <c r="J57" s="41">
        <f t="shared" si="34"/>
        <v>0.20967800000000003</v>
      </c>
      <c r="K57" s="41">
        <f t="shared" si="34"/>
        <v>0.18994360000000002</v>
      </c>
      <c r="L57" s="42">
        <f t="shared" si="35"/>
        <v>0.20104420000000001</v>
      </c>
      <c r="M57" s="49">
        <f t="shared" si="36"/>
        <v>5.8288209934199715E-3</v>
      </c>
      <c r="N57" s="41">
        <f t="shared" si="37"/>
        <v>-1.5920352215063009</v>
      </c>
      <c r="O57" s="41">
        <f t="shared" si="37"/>
        <v>-1.5621822583566198</v>
      </c>
      <c r="P57" s="41">
        <f t="shared" si="37"/>
        <v>-1.6610280929932524</v>
      </c>
      <c r="Q57" s="42">
        <f t="shared" si="38"/>
        <v>-1.6050818576187245</v>
      </c>
      <c r="R57" s="41">
        <f t="shared" si="39"/>
        <v>2.9270495905380105E-2</v>
      </c>
      <c r="S57" s="41">
        <f t="shared" si="40"/>
        <v>4.2395217351158684E-2</v>
      </c>
      <c r="T57" s="41">
        <f t="shared" si="41"/>
        <v>3.6539536645849573E-2</v>
      </c>
      <c r="U57" s="41">
        <f t="shared" si="42"/>
        <v>5.5599947149380753E-3</v>
      </c>
      <c r="V57" s="42">
        <f t="shared" si="43"/>
        <v>2.8164916237315443E-2</v>
      </c>
      <c r="W57" s="41">
        <f t="shared" si="44"/>
        <v>1.1428168516218484E-2</v>
      </c>
      <c r="X57" s="41">
        <f t="shared" si="45"/>
        <v>1.9320664556962026E-2</v>
      </c>
      <c r="Y57" s="41">
        <f t="shared" si="46"/>
        <v>1.9906139240506333E-2</v>
      </c>
      <c r="Z57" s="41">
        <f t="shared" si="47"/>
        <v>1.8032620253164558E-2</v>
      </c>
      <c r="AA57" s="42">
        <f t="shared" si="48"/>
        <v>1.9086474683544307E-2</v>
      </c>
      <c r="AB57" s="169">
        <f t="shared" si="49"/>
        <v>5.5336908165379522E-4</v>
      </c>
      <c r="AD57" s="175"/>
      <c r="AE57" s="176"/>
      <c r="AF57" s="49"/>
      <c r="AG57" s="3"/>
    </row>
    <row r="58" spans="2:33" s="5" customFormat="1" x14ac:dyDescent="0.15">
      <c r="B58" s="222" t="s">
        <v>24</v>
      </c>
      <c r="C58" s="39">
        <v>0.40902777777777777</v>
      </c>
      <c r="D58" s="43">
        <v>22.966666666666669</v>
      </c>
      <c r="E58" s="224">
        <v>2</v>
      </c>
      <c r="F58" s="40">
        <v>0.25600000000000001</v>
      </c>
      <c r="G58" s="41">
        <v>0.245</v>
      </c>
      <c r="H58" s="41">
        <v>0.247</v>
      </c>
      <c r="I58" s="41">
        <f t="shared" si="34"/>
        <v>0.31575040000000004</v>
      </c>
      <c r="J58" s="41">
        <f t="shared" si="34"/>
        <v>0.30218300000000003</v>
      </c>
      <c r="K58" s="41">
        <f t="shared" si="34"/>
        <v>0.30464980000000003</v>
      </c>
      <c r="L58" s="42">
        <f t="shared" si="35"/>
        <v>0.30752773333333333</v>
      </c>
      <c r="M58" s="49">
        <f t="shared" si="36"/>
        <v>4.1725476187949185E-3</v>
      </c>
      <c r="N58" s="41">
        <f t="shared" si="37"/>
        <v>-1.1528032509273189</v>
      </c>
      <c r="O58" s="41">
        <f t="shared" si="37"/>
        <v>-1.1967224848621545</v>
      </c>
      <c r="P58" s="41">
        <f t="shared" si="37"/>
        <v>-1.1885923587789045</v>
      </c>
      <c r="Q58" s="42">
        <f t="shared" si="38"/>
        <v>-1.1793726981894592</v>
      </c>
      <c r="R58" s="41">
        <f t="shared" si="39"/>
        <v>1.3490445796860937E-2</v>
      </c>
      <c r="S58" s="41">
        <f t="shared" si="40"/>
        <v>3.5326968143081658E-2</v>
      </c>
      <c r="T58" s="41">
        <f t="shared" si="41"/>
        <v>2.9393547466042783E-2</v>
      </c>
      <c r="U58" s="41">
        <f t="shared" si="42"/>
        <v>3.7997512135202242E-2</v>
      </c>
      <c r="V58" s="42">
        <f t="shared" si="43"/>
        <v>3.4239342581442227E-2</v>
      </c>
      <c r="W58" s="41">
        <f t="shared" si="44"/>
        <v>2.5425872013092412E-3</v>
      </c>
      <c r="X58" s="41">
        <f t="shared" si="45"/>
        <v>1.3748203193033383E-2</v>
      </c>
      <c r="Y58" s="41">
        <f t="shared" si="46"/>
        <v>1.3157460087082729E-2</v>
      </c>
      <c r="Z58" s="41">
        <f t="shared" si="47"/>
        <v>1.3264867924528303E-2</v>
      </c>
      <c r="AA58" s="42">
        <f t="shared" si="48"/>
        <v>1.3390177068214805E-2</v>
      </c>
      <c r="AB58" s="169">
        <f t="shared" si="49"/>
        <v>1.8167841591269613E-4</v>
      </c>
      <c r="AD58" s="175"/>
      <c r="AE58" s="176"/>
      <c r="AF58" s="49"/>
      <c r="AG58" s="3"/>
    </row>
    <row r="59" spans="2:33" s="5" customFormat="1" x14ac:dyDescent="0.15">
      <c r="B59" s="222"/>
      <c r="C59" s="39">
        <v>0.54652777777777783</v>
      </c>
      <c r="D59" s="43">
        <v>26.266666666666669</v>
      </c>
      <c r="E59" s="224"/>
      <c r="F59" s="40">
        <v>0.25600000000000001</v>
      </c>
      <c r="G59" s="41">
        <v>0.253</v>
      </c>
      <c r="H59" s="41">
        <v>0.246</v>
      </c>
      <c r="I59" s="41">
        <f t="shared" si="34"/>
        <v>0.31575040000000004</v>
      </c>
      <c r="J59" s="41">
        <f t="shared" si="34"/>
        <v>0.3120502</v>
      </c>
      <c r="K59" s="41">
        <f t="shared" si="34"/>
        <v>0.30341640000000003</v>
      </c>
      <c r="L59" s="42">
        <f t="shared" si="35"/>
        <v>0.31040566666666669</v>
      </c>
      <c r="M59" s="49">
        <f t="shared" si="36"/>
        <v>3.6542329981056835E-3</v>
      </c>
      <c r="N59" s="41">
        <f t="shared" si="37"/>
        <v>-1.1528032509273189</v>
      </c>
      <c r="O59" s="41">
        <f t="shared" si="37"/>
        <v>-1.1645912066793613</v>
      </c>
      <c r="P59" s="41">
        <f t="shared" si="37"/>
        <v>-1.1926491594745188</v>
      </c>
      <c r="Q59" s="42">
        <f t="shared" si="38"/>
        <v>-1.1700145390270664</v>
      </c>
      <c r="R59" s="41">
        <f t="shared" si="39"/>
        <v>1.1817832673594044E-2</v>
      </c>
      <c r="S59" s="41">
        <f t="shared" si="40"/>
        <v>0</v>
      </c>
      <c r="T59" s="41">
        <f t="shared" si="41"/>
        <v>9.736750964482772E-3</v>
      </c>
      <c r="U59" s="41">
        <f t="shared" si="42"/>
        <v>-1.2293335441255499E-3</v>
      </c>
      <c r="V59" s="42">
        <f t="shared" si="43"/>
        <v>2.8358058067857409E-3</v>
      </c>
      <c r="W59" s="41">
        <f t="shared" si="44"/>
        <v>3.4686740162409159E-3</v>
      </c>
      <c r="X59" s="41">
        <f t="shared" si="45"/>
        <v>1.2020954314720812E-2</v>
      </c>
      <c r="Y59" s="41">
        <f t="shared" si="46"/>
        <v>1.1880083756345177E-2</v>
      </c>
      <c r="Z59" s="41">
        <f t="shared" si="47"/>
        <v>1.1551385786802031E-2</v>
      </c>
      <c r="AA59" s="42">
        <f t="shared" si="48"/>
        <v>1.1817474619289342E-2</v>
      </c>
      <c r="AB59" s="169">
        <f t="shared" si="49"/>
        <v>1.3912054561316046E-4</v>
      </c>
      <c r="AD59" s="175"/>
      <c r="AE59" s="176"/>
      <c r="AF59" s="49"/>
      <c r="AG59" s="3"/>
    </row>
    <row r="60" spans="2:33" s="5" customFormat="1" x14ac:dyDescent="0.15">
      <c r="B60" s="222"/>
      <c r="C60" s="39">
        <v>0.70486111111111116</v>
      </c>
      <c r="D60" s="43">
        <v>30.06666666666667</v>
      </c>
      <c r="E60" s="224"/>
      <c r="F60" s="40">
        <v>0.28000000000000003</v>
      </c>
      <c r="G60" s="41">
        <v>0.27100000000000002</v>
      </c>
      <c r="H60" s="41">
        <v>0.27600000000000002</v>
      </c>
      <c r="I60" s="41">
        <f t="shared" si="34"/>
        <v>0.34535200000000005</v>
      </c>
      <c r="J60" s="41">
        <f t="shared" si="34"/>
        <v>0.33425140000000003</v>
      </c>
      <c r="K60" s="41">
        <f t="shared" si="34"/>
        <v>0.34041840000000007</v>
      </c>
      <c r="L60" s="42">
        <f t="shared" si="35"/>
        <v>0.3400072666666667</v>
      </c>
      <c r="M60" s="49">
        <f t="shared" si="36"/>
        <v>3.2110539834210947E-3</v>
      </c>
      <c r="N60" s="41">
        <f t="shared" si="37"/>
        <v>-1.063191092237632</v>
      </c>
      <c r="O60" s="41">
        <f t="shared" si="37"/>
        <v>-1.0958618745271806</v>
      </c>
      <c r="P60" s="41">
        <f t="shared" si="37"/>
        <v>-1.0775798296897314</v>
      </c>
      <c r="Q60" s="42">
        <f t="shared" si="38"/>
        <v>-1.0788775988181813</v>
      </c>
      <c r="R60" s="41">
        <f t="shared" si="39"/>
        <v>9.4535382685680194E-3</v>
      </c>
      <c r="S60" s="41">
        <f t="shared" si="40"/>
        <v>2.358214702360183E-2</v>
      </c>
      <c r="T60" s="41">
        <f t="shared" si="41"/>
        <v>1.8086666355837021E-2</v>
      </c>
      <c r="U60" s="41">
        <f t="shared" si="42"/>
        <v>3.0281402574944032E-2</v>
      </c>
      <c r="V60" s="42">
        <f t="shared" si="43"/>
        <v>2.3983405318127631E-2</v>
      </c>
      <c r="W60" s="41">
        <f t="shared" si="44"/>
        <v>3.5260295908946552E-3</v>
      </c>
      <c r="X60" s="41">
        <f t="shared" si="45"/>
        <v>1.1486208425720621E-2</v>
      </c>
      <c r="Y60" s="41">
        <f t="shared" si="46"/>
        <v>1.1117008869179601E-2</v>
      </c>
      <c r="Z60" s="41">
        <f t="shared" si="47"/>
        <v>1.1322119733924612E-2</v>
      </c>
      <c r="AA60" s="42">
        <f t="shared" si="48"/>
        <v>1.1308445676274946E-2</v>
      </c>
      <c r="AB60" s="169">
        <f t="shared" si="49"/>
        <v>1.0679780432664392E-4</v>
      </c>
      <c r="AD60" s="175"/>
      <c r="AE60" s="176"/>
      <c r="AF60" s="49"/>
      <c r="AG60" s="3"/>
    </row>
    <row r="61" spans="2:33" s="5" customFormat="1" x14ac:dyDescent="0.15">
      <c r="B61" s="44" t="s">
        <v>25</v>
      </c>
      <c r="C61" s="39">
        <v>0.44236111111111115</v>
      </c>
      <c r="D61" s="43">
        <v>47.766666666666666</v>
      </c>
      <c r="E61" s="45">
        <v>3</v>
      </c>
      <c r="F61" s="40">
        <v>0.41599999999999998</v>
      </c>
      <c r="G61" s="41">
        <v>0.437</v>
      </c>
      <c r="H61" s="41">
        <v>0.41399999999999998</v>
      </c>
      <c r="I61" s="41">
        <f t="shared" si="34"/>
        <v>0.51309439999999995</v>
      </c>
      <c r="J61" s="41">
        <f t="shared" si="34"/>
        <v>0.53899580000000002</v>
      </c>
      <c r="K61" s="41">
        <f t="shared" si="34"/>
        <v>0.51062759999999996</v>
      </c>
      <c r="L61" s="42">
        <f t="shared" si="35"/>
        <v>0.52090593333333324</v>
      </c>
      <c r="M61" s="49">
        <f t="shared" si="36"/>
        <v>9.0729218478822031E-3</v>
      </c>
      <c r="N61" s="41">
        <f t="shared" si="37"/>
        <v>-0.66729543514561851</v>
      </c>
      <c r="O61" s="41">
        <f t="shared" si="37"/>
        <v>-0.61804750031129152</v>
      </c>
      <c r="P61" s="41">
        <f t="shared" si="37"/>
        <v>-0.67211472158156738</v>
      </c>
      <c r="Q61" s="42">
        <f t="shared" si="38"/>
        <v>-0.65248588567949251</v>
      </c>
      <c r="R61" s="41">
        <f t="shared" si="39"/>
        <v>1.7275301931895606E-2</v>
      </c>
      <c r="S61" s="41">
        <f t="shared" si="40"/>
        <v>2.2366986276384948E-2</v>
      </c>
      <c r="T61" s="41">
        <f t="shared" si="41"/>
        <v>2.699516238507849E-2</v>
      </c>
      <c r="U61" s="41">
        <f t="shared" si="42"/>
        <v>2.2907633226449953E-2</v>
      </c>
      <c r="V61" s="42">
        <f t="shared" si="43"/>
        <v>2.408992729597113E-2</v>
      </c>
      <c r="W61" s="41">
        <f t="shared" si="44"/>
        <v>1.4609777517572645E-3</v>
      </c>
      <c r="X61" s="41">
        <f t="shared" si="45"/>
        <v>1.074168318213538E-2</v>
      </c>
      <c r="Y61" s="41">
        <f t="shared" si="46"/>
        <v>1.1283931612002793E-2</v>
      </c>
      <c r="Z61" s="41">
        <f t="shared" si="47"/>
        <v>1.0690040474528959E-2</v>
      </c>
      <c r="AA61" s="42">
        <f t="shared" si="48"/>
        <v>1.0905218422889043E-2</v>
      </c>
      <c r="AB61" s="169">
        <f t="shared" si="49"/>
        <v>1.8994253694100936E-4</v>
      </c>
      <c r="AD61" s="178"/>
      <c r="AE61" s="176"/>
      <c r="AF61" s="49"/>
      <c r="AG61" s="3"/>
    </row>
    <row r="62" spans="2:33" s="5" customFormat="1" x14ac:dyDescent="0.15">
      <c r="B62" s="44" t="s">
        <v>26</v>
      </c>
      <c r="C62" s="39">
        <v>0.43124999999999997</v>
      </c>
      <c r="D62" s="43">
        <v>71.5</v>
      </c>
      <c r="E62" s="45">
        <v>4</v>
      </c>
      <c r="F62" s="40">
        <v>0.61599999999999999</v>
      </c>
      <c r="G62" s="41">
        <v>0.61199999999999999</v>
      </c>
      <c r="H62" s="41">
        <v>0.57199999999999995</v>
      </c>
      <c r="I62" s="41">
        <f t="shared" si="34"/>
        <v>0.75977440000000007</v>
      </c>
      <c r="J62" s="41">
        <f t="shared" si="34"/>
        <v>0.75484079999999998</v>
      </c>
      <c r="K62" s="41">
        <f t="shared" si="34"/>
        <v>0.70550479999999993</v>
      </c>
      <c r="L62" s="42">
        <f t="shared" si="35"/>
        <v>0.74004000000000003</v>
      </c>
      <c r="M62" s="49">
        <f t="shared" si="36"/>
        <v>1.7326233785024792E-2</v>
      </c>
      <c r="N62" s="41">
        <f t="shared" si="37"/>
        <v>-0.27473373187336181</v>
      </c>
      <c r="O62" s="41">
        <f t="shared" si="37"/>
        <v>-0.2812484128945556</v>
      </c>
      <c r="P62" s="41">
        <f t="shared" si="37"/>
        <v>-0.34884170402708387</v>
      </c>
      <c r="Q62" s="42">
        <f t="shared" si="38"/>
        <v>-0.30160794959833376</v>
      </c>
      <c r="R62" s="41">
        <f t="shared" si="39"/>
        <v>2.3691636606466396E-2</v>
      </c>
      <c r="S62" s="41">
        <f t="shared" si="40"/>
        <v>1.6540521205291713E-2</v>
      </c>
      <c r="T62" s="41">
        <f t="shared" si="41"/>
        <v>1.4190972784413029E-2</v>
      </c>
      <c r="U62" s="41">
        <f t="shared" si="42"/>
        <v>1.362105411044172E-2</v>
      </c>
      <c r="V62" s="42">
        <f t="shared" si="43"/>
        <v>1.4784182700048819E-2</v>
      </c>
      <c r="W62" s="41">
        <f t="shared" si="44"/>
        <v>8.9344754229229593E-4</v>
      </c>
      <c r="X62" s="41">
        <f t="shared" si="45"/>
        <v>1.0626215384615386E-2</v>
      </c>
      <c r="Y62" s="41">
        <f t="shared" si="46"/>
        <v>1.0557213986013985E-2</v>
      </c>
      <c r="Z62" s="41">
        <f t="shared" si="47"/>
        <v>9.8671999999999996E-3</v>
      </c>
      <c r="AA62" s="42">
        <f t="shared" si="48"/>
        <v>1.0350209790209791E-2</v>
      </c>
      <c r="AB62" s="169">
        <f t="shared" si="49"/>
        <v>2.4232494804230458E-4</v>
      </c>
      <c r="AD62" s="175"/>
      <c r="AE62" s="176"/>
      <c r="AF62" s="49"/>
      <c r="AG62" s="3"/>
    </row>
    <row r="63" spans="2:33" s="5" customFormat="1" x14ac:dyDescent="0.15">
      <c r="B63" s="44" t="s">
        <v>27</v>
      </c>
      <c r="C63" s="39">
        <v>0.42638888888888887</v>
      </c>
      <c r="D63" s="43">
        <v>95.383333333333326</v>
      </c>
      <c r="E63" s="45">
        <v>5</v>
      </c>
      <c r="F63" s="40">
        <v>0.79400000000000004</v>
      </c>
      <c r="G63" s="41">
        <v>0.77800000000000002</v>
      </c>
      <c r="H63" s="41">
        <v>0.72499999999999998</v>
      </c>
      <c r="I63" s="41">
        <f t="shared" si="34"/>
        <v>0.97931960000000007</v>
      </c>
      <c r="J63" s="41">
        <f t="shared" si="34"/>
        <v>0.95958520000000003</v>
      </c>
      <c r="K63" s="41">
        <f t="shared" si="34"/>
        <v>0.89421499999999998</v>
      </c>
      <c r="L63" s="42">
        <f t="shared" si="35"/>
        <v>0.94437326666666666</v>
      </c>
      <c r="M63" s="49">
        <f t="shared" si="36"/>
        <v>2.5718024950692569E-2</v>
      </c>
      <c r="N63" s="41">
        <f t="shared" si="37"/>
        <v>-2.0897234159745873E-2</v>
      </c>
      <c r="O63" s="41">
        <f t="shared" si="37"/>
        <v>-4.1254171228490032E-2</v>
      </c>
      <c r="P63" s="41">
        <f t="shared" si="37"/>
        <v>-0.1118090405522069</v>
      </c>
      <c r="Q63" s="42">
        <f t="shared" si="38"/>
        <v>-5.7986815313480933E-2</v>
      </c>
      <c r="R63" s="41">
        <f t="shared" si="39"/>
        <v>2.7545266798134998E-2</v>
      </c>
      <c r="S63" s="41">
        <f t="shared" si="40"/>
        <v>1.0628185528832492E-2</v>
      </c>
      <c r="T63" s="41">
        <f t="shared" si="41"/>
        <v>1.0048607466827592E-2</v>
      </c>
      <c r="U63" s="41">
        <f t="shared" si="42"/>
        <v>9.9246055886201123E-3</v>
      </c>
      <c r="V63" s="42">
        <f t="shared" si="43"/>
        <v>1.0200466194760066E-2</v>
      </c>
      <c r="W63" s="41">
        <f t="shared" si="44"/>
        <v>2.1683479733371956E-4</v>
      </c>
      <c r="X63" s="41">
        <f t="shared" si="45"/>
        <v>1.02671983225581E-2</v>
      </c>
      <c r="Y63" s="41">
        <f t="shared" si="46"/>
        <v>1.0060302638476324E-2</v>
      </c>
      <c r="Z63" s="41">
        <f t="shared" si="47"/>
        <v>9.3749606849554429E-3</v>
      </c>
      <c r="AA63" s="42">
        <f t="shared" si="48"/>
        <v>9.9008205486632878E-3</v>
      </c>
      <c r="AB63" s="169">
        <f t="shared" si="49"/>
        <v>2.6962807916155069E-4</v>
      </c>
      <c r="AD63" s="175"/>
      <c r="AE63" s="176"/>
      <c r="AF63" s="49"/>
      <c r="AG63" s="3"/>
    </row>
    <row r="64" spans="2:33" s="5" customFormat="1" x14ac:dyDescent="0.15">
      <c r="B64" s="44" t="s">
        <v>28</v>
      </c>
      <c r="C64" s="39">
        <v>0.4909722222222222</v>
      </c>
      <c r="D64" s="43">
        <v>120.93333333333332</v>
      </c>
      <c r="E64" s="45">
        <v>6</v>
      </c>
      <c r="F64" s="40">
        <v>1.0349999999999999</v>
      </c>
      <c r="G64" s="41">
        <v>1.093</v>
      </c>
      <c r="H64" s="41">
        <v>0.97899999999999998</v>
      </c>
      <c r="I64" s="41">
        <f t="shared" si="34"/>
        <v>1.2765690000000001</v>
      </c>
      <c r="J64" s="41">
        <f t="shared" si="34"/>
        <v>1.3481061999999999</v>
      </c>
      <c r="K64" s="41">
        <f t="shared" si="34"/>
        <v>1.2074986000000001</v>
      </c>
      <c r="L64" s="42">
        <f t="shared" si="35"/>
        <v>1.2773912666666667</v>
      </c>
      <c r="M64" s="49">
        <f t="shared" si="36"/>
        <v>4.0591999976568954E-2</v>
      </c>
      <c r="N64" s="41">
        <f t="shared" si="37"/>
        <v>0.24417601029258784</v>
      </c>
      <c r="O64" s="41">
        <f t="shared" si="37"/>
        <v>0.29870079276965683</v>
      </c>
      <c r="P64" s="41">
        <f t="shared" si="37"/>
        <v>0.1885509471236288</v>
      </c>
      <c r="Q64" s="42">
        <f t="shared" si="38"/>
        <v>0.24380925006195783</v>
      </c>
      <c r="R64" s="41">
        <f t="shared" si="39"/>
        <v>3.1798050300613431E-2</v>
      </c>
      <c r="S64" s="41">
        <f t="shared" si="40"/>
        <v>1.0374686671324218E-2</v>
      </c>
      <c r="T64" s="41">
        <f t="shared" si="41"/>
        <v>1.3305478042980308E-2</v>
      </c>
      <c r="U64" s="41">
        <f t="shared" si="42"/>
        <v>1.1755772511774393E-2</v>
      </c>
      <c r="V64" s="42">
        <f t="shared" si="43"/>
        <v>1.1811979075359641E-2</v>
      </c>
      <c r="W64" s="41">
        <f t="shared" si="44"/>
        <v>8.4651322088238185E-4</v>
      </c>
      <c r="X64" s="41">
        <f t="shared" si="45"/>
        <v>1.0555972987872107E-2</v>
      </c>
      <c r="Y64" s="41">
        <f t="shared" si="46"/>
        <v>1.1147515435501654E-2</v>
      </c>
      <c r="Z64" s="41">
        <f t="shared" si="47"/>
        <v>9.9848285556780603E-3</v>
      </c>
      <c r="AA64" s="42">
        <f t="shared" si="48"/>
        <v>1.0562772326350606E-2</v>
      </c>
      <c r="AB64" s="169">
        <f t="shared" si="49"/>
        <v>3.3565600862653513E-4</v>
      </c>
      <c r="AD64" s="175"/>
      <c r="AE64" s="176"/>
      <c r="AF64" s="49"/>
      <c r="AG64" s="3"/>
    </row>
    <row r="65" spans="1:33" s="5" customFormat="1" x14ac:dyDescent="0.15">
      <c r="A65" s="45"/>
      <c r="B65" s="44" t="s">
        <v>29</v>
      </c>
      <c r="C65" s="39">
        <v>0.49861111111111112</v>
      </c>
      <c r="D65" s="43">
        <v>145.11666666666665</v>
      </c>
      <c r="E65" s="45">
        <v>7</v>
      </c>
      <c r="F65" s="40">
        <v>1.2849999999999999</v>
      </c>
      <c r="G65" s="41">
        <v>1.3160000000000001</v>
      </c>
      <c r="H65" s="41">
        <v>1.175</v>
      </c>
      <c r="I65" s="41">
        <f t="shared" si="34"/>
        <v>1.584919</v>
      </c>
      <c r="J65" s="41">
        <f t="shared" si="34"/>
        <v>1.6231544000000002</v>
      </c>
      <c r="K65" s="41">
        <f t="shared" si="34"/>
        <v>1.4492450000000001</v>
      </c>
      <c r="L65" s="42">
        <f t="shared" si="35"/>
        <v>1.5524394666666668</v>
      </c>
      <c r="M65" s="49">
        <f t="shared" si="36"/>
        <v>5.2764602769449324E-2</v>
      </c>
      <c r="N65" s="41">
        <f t="shared" si="37"/>
        <v>0.46053330192243846</v>
      </c>
      <c r="O65" s="41">
        <f t="shared" si="37"/>
        <v>0.484371416478381</v>
      </c>
      <c r="P65" s="41">
        <f t="shared" si="37"/>
        <v>0.37104273117137776</v>
      </c>
      <c r="Q65" s="42">
        <f t="shared" si="38"/>
        <v>0.43864914985739906</v>
      </c>
      <c r="R65" s="41">
        <f t="shared" si="39"/>
        <v>3.4496544812767406E-2</v>
      </c>
      <c r="S65" s="41">
        <f t="shared" si="40"/>
        <v>8.9465454843494444E-3</v>
      </c>
      <c r="T65" s="41">
        <f t="shared" si="41"/>
        <v>7.6776274448817749E-3</v>
      </c>
      <c r="U65" s="41">
        <f t="shared" si="42"/>
        <v>7.5461799054892783E-3</v>
      </c>
      <c r="V65" s="42">
        <f t="shared" si="43"/>
        <v>8.0567842782401661E-3</v>
      </c>
      <c r="W65" s="41">
        <f t="shared" si="44"/>
        <v>4.4649593757982615E-4</v>
      </c>
      <c r="X65" s="41">
        <f t="shared" si="45"/>
        <v>1.0921688296772713E-2</v>
      </c>
      <c r="Y65" s="41">
        <f t="shared" si="46"/>
        <v>1.1185168714827153E-2</v>
      </c>
      <c r="Z65" s="41">
        <f t="shared" si="47"/>
        <v>9.9867577810956731E-3</v>
      </c>
      <c r="AA65" s="42">
        <f t="shared" si="48"/>
        <v>1.0697871597565181E-2</v>
      </c>
      <c r="AB65" s="169">
        <f t="shared" si="49"/>
        <v>3.6360125946559735E-4</v>
      </c>
      <c r="AD65" s="175"/>
      <c r="AE65" s="176"/>
      <c r="AF65" s="49"/>
      <c r="AG65" s="3"/>
    </row>
    <row r="66" spans="1:33" s="5" customFormat="1" x14ac:dyDescent="0.15">
      <c r="B66" s="44" t="s">
        <v>30</v>
      </c>
      <c r="C66" s="39">
        <v>0.41805555555555557</v>
      </c>
      <c r="D66" s="43">
        <v>167.18333333333331</v>
      </c>
      <c r="E66" s="45">
        <v>8</v>
      </c>
      <c r="F66" s="40">
        <v>1.419</v>
      </c>
      <c r="G66" s="41">
        <v>1.496</v>
      </c>
      <c r="H66" s="41">
        <v>1.4039999999999999</v>
      </c>
      <c r="I66" s="41">
        <f t="shared" si="34"/>
        <v>1.7501946000000002</v>
      </c>
      <c r="J66" s="41">
        <f t="shared" si="34"/>
        <v>1.8451664000000001</v>
      </c>
      <c r="K66" s="41">
        <f t="shared" si="34"/>
        <v>1.7316936000000001</v>
      </c>
      <c r="L66" s="42">
        <f t="shared" si="35"/>
        <v>1.7756848666666667</v>
      </c>
      <c r="M66" s="49">
        <f t="shared" si="36"/>
        <v>3.5148894510891489E-2</v>
      </c>
      <c r="N66" s="41">
        <f t="shared" si="37"/>
        <v>0.55972698175316105</v>
      </c>
      <c r="O66" s="41">
        <f t="shared" si="37"/>
        <v>0.6125694631275409</v>
      </c>
      <c r="P66" s="41">
        <f t="shared" si="37"/>
        <v>0.54909988917887476</v>
      </c>
      <c r="Q66" s="42">
        <f t="shared" si="38"/>
        <v>0.5737987780198589</v>
      </c>
      <c r="R66" s="41">
        <f t="shared" si="39"/>
        <v>1.9626583094830754E-2</v>
      </c>
      <c r="S66" s="41">
        <f t="shared" si="40"/>
        <v>4.4951818654406011E-3</v>
      </c>
      <c r="T66" s="41">
        <f t="shared" si="41"/>
        <v>5.8095791532851932E-3</v>
      </c>
      <c r="U66" s="41">
        <f t="shared" si="42"/>
        <v>8.069055498829171E-3</v>
      </c>
      <c r="V66" s="42">
        <f t="shared" si="43"/>
        <v>6.1246055058516548E-3</v>
      </c>
      <c r="W66" s="41">
        <f t="shared" si="44"/>
        <v>1.0436433600558512E-3</v>
      </c>
      <c r="X66" s="41">
        <f t="shared" si="45"/>
        <v>1.0468714584787162E-2</v>
      </c>
      <c r="Y66" s="41">
        <f t="shared" si="46"/>
        <v>1.1036784368457783E-2</v>
      </c>
      <c r="Z66" s="41">
        <f t="shared" si="47"/>
        <v>1.0358051639916261E-2</v>
      </c>
      <c r="AA66" s="42">
        <f t="shared" si="48"/>
        <v>1.0621183531053735E-2</v>
      </c>
      <c r="AB66" s="169">
        <f t="shared" si="49"/>
        <v>2.1024161804939588E-4</v>
      </c>
      <c r="AD66" s="175"/>
      <c r="AE66" s="176"/>
      <c r="AF66" s="49"/>
      <c r="AG66" s="3"/>
    </row>
    <row r="67" spans="1:33" s="5" customFormat="1" ht="15" customHeight="1" x14ac:dyDescent="0.15">
      <c r="B67" s="44" t="s">
        <v>32</v>
      </c>
      <c r="C67" s="39">
        <v>0.43888888888888888</v>
      </c>
      <c r="D67" s="43">
        <v>215.68333333333331</v>
      </c>
      <c r="E67" s="45">
        <v>10</v>
      </c>
      <c r="F67" s="40">
        <v>2.012</v>
      </c>
      <c r="G67" s="41">
        <v>1.964</v>
      </c>
      <c r="H67" s="41">
        <v>1.8959999999999999</v>
      </c>
      <c r="I67" s="41">
        <f t="shared" si="34"/>
        <v>2.4816008000000003</v>
      </c>
      <c r="J67" s="41">
        <f t="shared" si="34"/>
        <v>2.4223976</v>
      </c>
      <c r="K67" s="41">
        <f t="shared" si="34"/>
        <v>2.3385264000000001</v>
      </c>
      <c r="L67" s="42">
        <f t="shared" si="35"/>
        <v>2.4141749333333338</v>
      </c>
      <c r="M67" s="49">
        <f t="shared" si="36"/>
        <v>4.1506144802801362E-2</v>
      </c>
      <c r="N67" s="41">
        <f t="shared" si="37"/>
        <v>0.90890383581274825</v>
      </c>
      <c r="O67" s="41">
        <f t="shared" si="37"/>
        <v>0.88475779350752959</v>
      </c>
      <c r="P67" s="41">
        <f t="shared" si="37"/>
        <v>0.84952098740808546</v>
      </c>
      <c r="Q67" s="42">
        <f t="shared" si="38"/>
        <v>0.88106087224278784</v>
      </c>
      <c r="R67" s="41">
        <f t="shared" si="39"/>
        <v>1.7241723534216505E-2</v>
      </c>
      <c r="S67" s="41">
        <f t="shared" si="40"/>
        <v>7.1995227641151998E-3</v>
      </c>
      <c r="T67" s="41">
        <f t="shared" si="41"/>
        <v>5.6121305232987358E-3</v>
      </c>
      <c r="U67" s="41">
        <f t="shared" si="42"/>
        <v>6.1942494480249632E-3</v>
      </c>
      <c r="V67" s="42">
        <f t="shared" si="43"/>
        <v>6.3353009118129666E-3</v>
      </c>
      <c r="W67" s="41">
        <f t="shared" si="44"/>
        <v>4.6363605271399118E-4</v>
      </c>
      <c r="X67" s="41">
        <f t="shared" si="45"/>
        <v>1.1505760605826445E-2</v>
      </c>
      <c r="Y67" s="41">
        <f t="shared" si="46"/>
        <v>1.1231269299126807E-2</v>
      </c>
      <c r="Z67" s="41">
        <f t="shared" si="47"/>
        <v>1.0842406614635655E-2</v>
      </c>
      <c r="AA67" s="42">
        <f t="shared" si="48"/>
        <v>1.1193145506529634E-2</v>
      </c>
      <c r="AB67" s="169">
        <f t="shared" si="49"/>
        <v>1.9244020463396035E-4</v>
      </c>
      <c r="AD67" s="175"/>
      <c r="AE67" s="176"/>
      <c r="AF67" s="49"/>
      <c r="AG67" s="3"/>
    </row>
    <row r="68" spans="1:33" s="5" customFormat="1" x14ac:dyDescent="0.15">
      <c r="B68" s="44" t="s">
        <v>33</v>
      </c>
      <c r="C68" s="39">
        <v>0.46249999999999997</v>
      </c>
      <c r="D68" s="43">
        <v>240.24999999999997</v>
      </c>
      <c r="E68" s="45">
        <v>11</v>
      </c>
      <c r="F68" s="40">
        <v>2.36</v>
      </c>
      <c r="G68" s="41">
        <v>2.1720000000000002</v>
      </c>
      <c r="H68" s="41">
        <v>2.2639999999999998</v>
      </c>
      <c r="I68" s="41">
        <f t="shared" si="34"/>
        <v>2.9108239999999999</v>
      </c>
      <c r="J68" s="41">
        <f t="shared" si="34"/>
        <v>2.6789448000000005</v>
      </c>
      <c r="K68" s="41">
        <f t="shared" si="34"/>
        <v>2.7924175999999998</v>
      </c>
      <c r="L68" s="42">
        <f t="shared" si="35"/>
        <v>2.7940621333333335</v>
      </c>
      <c r="M68" s="49">
        <f t="shared" si="36"/>
        <v>6.694280946094526E-2</v>
      </c>
      <c r="N68" s="41">
        <f t="shared" si="37"/>
        <v>1.0684362026127741</v>
      </c>
      <c r="O68" s="41">
        <f t="shared" si="37"/>
        <v>0.98542298564694453</v>
      </c>
      <c r="P68" s="41">
        <f t="shared" si="37"/>
        <v>1.0269077439161918</v>
      </c>
      <c r="Q68" s="42">
        <f t="shared" si="38"/>
        <v>1.0269223107253034</v>
      </c>
      <c r="R68" s="41">
        <f t="shared" si="39"/>
        <v>2.3963852687592605E-2</v>
      </c>
      <c r="S68" s="41">
        <f t="shared" si="40"/>
        <v>6.4938548222534262E-3</v>
      </c>
      <c r="T68" s="41">
        <f t="shared" si="41"/>
        <v>4.097633329962617E-3</v>
      </c>
      <c r="U68" s="41">
        <f t="shared" si="42"/>
        <v>7.2206278090138267E-3</v>
      </c>
      <c r="V68" s="42">
        <f t="shared" si="43"/>
        <v>5.937371987076623E-3</v>
      </c>
      <c r="W68" s="41">
        <f t="shared" si="44"/>
        <v>9.4349147468872135E-4</v>
      </c>
      <c r="X68" s="41">
        <f t="shared" si="45"/>
        <v>1.2115812695109262E-2</v>
      </c>
      <c r="Y68" s="41">
        <f t="shared" si="46"/>
        <v>1.1150654734651409E-2</v>
      </c>
      <c r="Z68" s="41">
        <f t="shared" si="47"/>
        <v>1.1622966077003123E-2</v>
      </c>
      <c r="AA68" s="42">
        <f t="shared" si="48"/>
        <v>1.1629811168921264E-2</v>
      </c>
      <c r="AB68" s="169">
        <f t="shared" si="49"/>
        <v>2.7863812470736824E-4</v>
      </c>
      <c r="AD68" s="43"/>
      <c r="AE68" s="176"/>
      <c r="AF68" s="49"/>
      <c r="AG68" s="3"/>
    </row>
    <row r="69" spans="1:33" s="5" customFormat="1" x14ac:dyDescent="0.15">
      <c r="B69" s="44" t="s">
        <v>34</v>
      </c>
      <c r="C69" s="39">
        <v>0.50694444444444442</v>
      </c>
      <c r="D69" s="43">
        <v>289.31666666666666</v>
      </c>
      <c r="E69" s="45">
        <v>13</v>
      </c>
      <c r="F69" s="40">
        <v>2.6440000000000001</v>
      </c>
      <c r="G69" s="41">
        <v>2.8919999999999999</v>
      </c>
      <c r="H69" s="41">
        <v>2.7120000000000002</v>
      </c>
      <c r="I69" s="41">
        <f t="shared" si="34"/>
        <v>3.2611096000000002</v>
      </c>
      <c r="J69" s="41">
        <f t="shared" si="34"/>
        <v>3.5669928</v>
      </c>
      <c r="K69" s="41">
        <f t="shared" si="34"/>
        <v>3.3449808000000005</v>
      </c>
      <c r="L69" s="42">
        <f t="shared" si="35"/>
        <v>3.3910277333333334</v>
      </c>
      <c r="M69" s="49">
        <f t="shared" si="36"/>
        <v>9.1253078601241877E-2</v>
      </c>
      <c r="N69" s="41">
        <f t="shared" si="37"/>
        <v>1.1820675055646952</v>
      </c>
      <c r="O69" s="41">
        <f t="shared" si="37"/>
        <v>1.2717228878717737</v>
      </c>
      <c r="P69" s="41">
        <f t="shared" si="37"/>
        <v>1.2074609536534047</v>
      </c>
      <c r="Q69" s="42">
        <f t="shared" si="38"/>
        <v>1.2204171156966244</v>
      </c>
      <c r="R69" s="41">
        <f t="shared" si="39"/>
        <v>2.6679695746170771E-2</v>
      </c>
      <c r="S69" s="41">
        <f t="shared" si="40"/>
        <v>2.3158553590744788E-3</v>
      </c>
      <c r="T69" s="41">
        <f t="shared" si="41"/>
        <v>5.8349164855603739E-3</v>
      </c>
      <c r="U69" s="41">
        <f t="shared" si="42"/>
        <v>3.6797529158399348E-3</v>
      </c>
      <c r="V69" s="42">
        <f t="shared" si="43"/>
        <v>3.9435082534915959E-3</v>
      </c>
      <c r="W69" s="41">
        <f t="shared" si="44"/>
        <v>1.0243897307813485E-3</v>
      </c>
      <c r="X69" s="41">
        <f t="shared" si="45"/>
        <v>1.1271765424275593E-2</v>
      </c>
      <c r="Y69" s="41">
        <f t="shared" si="46"/>
        <v>1.2329026326401291E-2</v>
      </c>
      <c r="Z69" s="41">
        <f t="shared" si="47"/>
        <v>1.1561659542600381E-2</v>
      </c>
      <c r="AA69" s="42">
        <f t="shared" si="48"/>
        <v>1.1720817097759089E-2</v>
      </c>
      <c r="AB69" s="169">
        <f t="shared" si="49"/>
        <v>3.1540899337948705E-4</v>
      </c>
      <c r="AD69" s="43"/>
      <c r="AE69" s="176"/>
      <c r="AF69" s="49"/>
      <c r="AG69" s="3"/>
    </row>
    <row r="70" spans="1:33" s="5" customFormat="1" x14ac:dyDescent="0.15">
      <c r="B70" s="46" t="s">
        <v>35</v>
      </c>
      <c r="C70" s="39">
        <v>0.50763888888888886</v>
      </c>
      <c r="D70" s="43">
        <v>313.33333333333331</v>
      </c>
      <c r="E70" s="45">
        <v>14</v>
      </c>
      <c r="F70" s="40">
        <v>2.84</v>
      </c>
      <c r="G70" s="41">
        <v>2.8439999999999999</v>
      </c>
      <c r="H70" s="41">
        <v>2.8759999999999999</v>
      </c>
      <c r="I70" s="41">
        <f t="shared" si="34"/>
        <v>3.502856</v>
      </c>
      <c r="J70" s="41">
        <f t="shared" si="34"/>
        <v>3.5077896000000002</v>
      </c>
      <c r="K70" s="41">
        <f t="shared" si="34"/>
        <v>3.5472584</v>
      </c>
      <c r="L70" s="42">
        <f t="shared" si="35"/>
        <v>3.5193013333333334</v>
      </c>
      <c r="M70" s="49">
        <f t="shared" si="36"/>
        <v>1.4050898959299519E-2</v>
      </c>
      <c r="N70" s="41">
        <f t="shared" si="37"/>
        <v>1.25357863574837</v>
      </c>
      <c r="O70" s="41">
        <f t="shared" si="37"/>
        <v>1.25498609551625</v>
      </c>
      <c r="P70" s="41">
        <f t="shared" si="37"/>
        <v>1.2661750234340556</v>
      </c>
      <c r="Q70" s="42">
        <f t="shared" si="38"/>
        <v>1.2582465848995585</v>
      </c>
      <c r="R70" s="41">
        <f t="shared" si="39"/>
        <v>3.9849859450201324E-3</v>
      </c>
      <c r="S70" s="41">
        <f t="shared" si="40"/>
        <v>2.9775626724639088E-3</v>
      </c>
      <c r="T70" s="41">
        <f t="shared" si="41"/>
        <v>-6.9688240203429834E-4</v>
      </c>
      <c r="U70" s="41">
        <f t="shared" si="42"/>
        <v>2.4447218506863707E-3</v>
      </c>
      <c r="V70" s="42">
        <f t="shared" si="43"/>
        <v>1.5751340403719937E-3</v>
      </c>
      <c r="W70" s="41">
        <f t="shared" si="44"/>
        <v>1.1463745564839836E-3</v>
      </c>
      <c r="X70" s="41">
        <f t="shared" si="45"/>
        <v>1.1179327659574469E-2</v>
      </c>
      <c r="Y70" s="41">
        <f t="shared" si="46"/>
        <v>1.1195073191489362E-2</v>
      </c>
      <c r="Z70" s="41">
        <f t="shared" si="47"/>
        <v>1.1321037446808511E-2</v>
      </c>
      <c r="AA70" s="42">
        <f t="shared" si="48"/>
        <v>1.1231812765957449E-2</v>
      </c>
      <c r="AB70" s="169">
        <f t="shared" si="49"/>
        <v>4.4843294550955821E-5</v>
      </c>
      <c r="AD70" s="43"/>
      <c r="AE70" s="177"/>
      <c r="AF70" s="49"/>
      <c r="AG70" s="3"/>
    </row>
    <row r="71" spans="1:33" s="5" customFormat="1" x14ac:dyDescent="0.15">
      <c r="B71" s="46" t="s">
        <v>36</v>
      </c>
      <c r="C71" s="39">
        <v>0.47569444444444442</v>
      </c>
      <c r="D71" s="43">
        <v>336.56666666666666</v>
      </c>
      <c r="E71" s="45">
        <v>15</v>
      </c>
      <c r="F71" s="40">
        <v>2.996</v>
      </c>
      <c r="G71" s="41">
        <v>2.9319999999999999</v>
      </c>
      <c r="H71" s="41">
        <v>2.8159999999999998</v>
      </c>
      <c r="I71" s="41">
        <f t="shared" si="34"/>
        <v>3.6952664</v>
      </c>
      <c r="J71" s="41">
        <f t="shared" si="34"/>
        <v>3.6163288000000002</v>
      </c>
      <c r="K71" s="41">
        <f t="shared" si="34"/>
        <v>3.4732544000000001</v>
      </c>
      <c r="L71" s="42">
        <f t="shared" si="35"/>
        <v>3.594949866666667</v>
      </c>
      <c r="M71" s="49">
        <f t="shared" si="36"/>
        <v>6.4974677449124552E-2</v>
      </c>
      <c r="N71" s="41">
        <f t="shared" si="37"/>
        <v>1.3070526492302283</v>
      </c>
      <c r="O71" s="41">
        <f t="shared" si="37"/>
        <v>1.2854593675996606</v>
      </c>
      <c r="P71" s="41">
        <f t="shared" si="37"/>
        <v>1.2450920218710513</v>
      </c>
      <c r="Q71" s="42">
        <f t="shared" si="38"/>
        <v>1.2792013462336467</v>
      </c>
      <c r="R71" s="41">
        <f t="shared" si="39"/>
        <v>1.8158119939839724E-2</v>
      </c>
      <c r="S71" s="41">
        <f t="shared" si="40"/>
        <v>2.301607466937946E-3</v>
      </c>
      <c r="T71" s="41">
        <f t="shared" si="41"/>
        <v>1.3116185975643032E-3</v>
      </c>
      <c r="U71" s="41">
        <f t="shared" si="42"/>
        <v>-9.0744626526561016E-4</v>
      </c>
      <c r="V71" s="42">
        <f t="shared" si="43"/>
        <v>9.0192659974554625E-4</v>
      </c>
      <c r="W71" s="41">
        <f t="shared" si="44"/>
        <v>9.4875218293116238E-4</v>
      </c>
      <c r="X71" s="41">
        <f t="shared" si="45"/>
        <v>1.0979299990096067E-2</v>
      </c>
      <c r="Y71" s="41">
        <f t="shared" si="46"/>
        <v>1.074476220659602E-2</v>
      </c>
      <c r="Z71" s="41">
        <f t="shared" si="47"/>
        <v>1.031966247400218E-2</v>
      </c>
      <c r="AA71" s="42">
        <f t="shared" si="48"/>
        <v>1.0681241556898089E-2</v>
      </c>
      <c r="AB71" s="169">
        <f t="shared" si="49"/>
        <v>1.9305143344297641E-4</v>
      </c>
      <c r="AD71" s="175"/>
      <c r="AE71" s="177"/>
      <c r="AF71" s="49"/>
      <c r="AG71" s="3"/>
    </row>
    <row r="72" spans="1:33" s="5" customFormat="1" x14ac:dyDescent="0.15">
      <c r="B72" s="46" t="s">
        <v>37</v>
      </c>
      <c r="C72" s="39">
        <v>0.4291666666666667</v>
      </c>
      <c r="D72" s="43">
        <v>359.45</v>
      </c>
      <c r="E72" s="45">
        <v>16</v>
      </c>
      <c r="F72" s="40">
        <v>3</v>
      </c>
      <c r="G72" s="41">
        <v>2.956</v>
      </c>
      <c r="H72" s="41">
        <v>2.7240000000000002</v>
      </c>
      <c r="I72" s="41">
        <f t="shared" si="34"/>
        <v>3.7002000000000002</v>
      </c>
      <c r="J72" s="41">
        <f t="shared" si="34"/>
        <v>3.6459304000000001</v>
      </c>
      <c r="K72" s="41">
        <f t="shared" si="34"/>
        <v>3.3597816000000003</v>
      </c>
      <c r="L72" s="42">
        <f t="shared" si="35"/>
        <v>3.5686373333333332</v>
      </c>
      <c r="M72" s="49">
        <f t="shared" si="36"/>
        <v>0.10559645729646633</v>
      </c>
      <c r="N72" s="41">
        <f t="shared" si="37"/>
        <v>1.3083868722433651</v>
      </c>
      <c r="O72" s="41">
        <f t="shared" si="37"/>
        <v>1.2936115866612108</v>
      </c>
      <c r="P72" s="41">
        <f t="shared" si="37"/>
        <v>1.2118759718625214</v>
      </c>
      <c r="Q72" s="42">
        <f t="shared" si="38"/>
        <v>1.2712914769223655</v>
      </c>
      <c r="R72" s="41">
        <f t="shared" si="39"/>
        <v>3.0012380485092319E-2</v>
      </c>
      <c r="S72" s="41">
        <f t="shared" si="40"/>
        <v>5.8305448498330364E-5</v>
      </c>
      <c r="T72" s="41">
        <f t="shared" si="41"/>
        <v>3.5625137923744383E-4</v>
      </c>
      <c r="U72" s="41">
        <f t="shared" si="42"/>
        <v>-1.4515389661411467E-3</v>
      </c>
      <c r="V72" s="42">
        <f t="shared" si="43"/>
        <v>-3.4566071280179087E-4</v>
      </c>
      <c r="W72" s="41">
        <f t="shared" si="44"/>
        <v>5.5958853270883404E-4</v>
      </c>
      <c r="X72" s="41">
        <f t="shared" si="45"/>
        <v>1.0294060370009737E-2</v>
      </c>
      <c r="Y72" s="41">
        <f t="shared" si="46"/>
        <v>1.0143080817916261E-2</v>
      </c>
      <c r="Z72" s="41">
        <f t="shared" si="47"/>
        <v>9.3470068159688426E-3</v>
      </c>
      <c r="AA72" s="42">
        <f t="shared" si="48"/>
        <v>9.9280493346316136E-3</v>
      </c>
      <c r="AB72" s="169">
        <f t="shared" si="49"/>
        <v>2.937723112991132E-4</v>
      </c>
      <c r="AD72" s="43"/>
      <c r="AE72" s="177"/>
      <c r="AF72" s="49"/>
      <c r="AG72" s="3"/>
    </row>
    <row r="73" spans="1:33" s="5" customFormat="1" x14ac:dyDescent="0.15">
      <c r="B73" s="46" t="s">
        <v>38</v>
      </c>
      <c r="C73" s="39">
        <v>0.48958333333333331</v>
      </c>
      <c r="D73" s="43">
        <v>384.9</v>
      </c>
      <c r="E73" s="45">
        <v>17</v>
      </c>
      <c r="F73" s="40">
        <v>3</v>
      </c>
      <c r="G73" s="41">
        <v>2.964</v>
      </c>
      <c r="H73" s="41">
        <v>2.794</v>
      </c>
      <c r="I73" s="41">
        <f t="shared" si="34"/>
        <v>3.7002000000000002</v>
      </c>
      <c r="J73" s="41">
        <f t="shared" si="34"/>
        <v>3.6557976000000001</v>
      </c>
      <c r="K73" s="41">
        <f t="shared" si="34"/>
        <v>3.4461196000000003</v>
      </c>
      <c r="L73" s="42">
        <f t="shared" si="35"/>
        <v>3.6007057333333337</v>
      </c>
      <c r="M73" s="49">
        <f t="shared" si="36"/>
        <v>7.8348681643137866E-2</v>
      </c>
      <c r="N73" s="41">
        <f t="shared" si="37"/>
        <v>1.3083868722433651</v>
      </c>
      <c r="O73" s="41">
        <f t="shared" si="37"/>
        <v>1.2963142910090959</v>
      </c>
      <c r="P73" s="41">
        <f t="shared" si="37"/>
        <v>1.2372488444100256</v>
      </c>
      <c r="Q73" s="42">
        <f t="shared" si="38"/>
        <v>1.2806500025541621</v>
      </c>
      <c r="R73" s="41">
        <f t="shared" si="39"/>
        <v>2.1978642668158375E-2</v>
      </c>
      <c r="S73" s="41">
        <f t="shared" si="40"/>
        <v>0</v>
      </c>
      <c r="T73" s="41">
        <f t="shared" si="41"/>
        <v>1.0619663449450338E-4</v>
      </c>
      <c r="U73" s="41">
        <f t="shared" si="42"/>
        <v>9.9696945176833834E-4</v>
      </c>
      <c r="V73" s="42">
        <f t="shared" si="43"/>
        <v>3.677220287542806E-4</v>
      </c>
      <c r="W73" s="41">
        <f t="shared" si="44"/>
        <v>3.1611372996748297E-4</v>
      </c>
      <c r="X73" s="41">
        <f t="shared" si="45"/>
        <v>9.613406079501171E-3</v>
      </c>
      <c r="Y73" s="41">
        <f t="shared" si="46"/>
        <v>9.4980452065471562E-3</v>
      </c>
      <c r="Z73" s="41">
        <f t="shared" si="47"/>
        <v>8.9532855287087574E-3</v>
      </c>
      <c r="AA73" s="42">
        <f t="shared" si="48"/>
        <v>9.3549122715856931E-3</v>
      </c>
      <c r="AB73" s="169">
        <f t="shared" si="49"/>
        <v>2.0355594087591032E-4</v>
      </c>
      <c r="AD73" s="175"/>
      <c r="AE73" s="177"/>
      <c r="AF73" s="49"/>
      <c r="AG73" s="3"/>
    </row>
    <row r="74" spans="1:33" s="5" customFormat="1" ht="15" thickBot="1" x14ac:dyDescent="0.2">
      <c r="B74" s="46" t="s">
        <v>39</v>
      </c>
      <c r="C74" s="39">
        <v>0.47013888888888888</v>
      </c>
      <c r="D74" s="43">
        <v>408.43333333333328</v>
      </c>
      <c r="E74" s="45">
        <v>18</v>
      </c>
      <c r="F74" s="40">
        <v>3.0840000000000001</v>
      </c>
      <c r="G74" s="41">
        <v>2.8879999999999999</v>
      </c>
      <c r="H74" s="41">
        <v>2.8919999999999999</v>
      </c>
      <c r="I74" s="41">
        <f t="shared" ref="I74:K74" si="50">1.2334*F74</f>
        <v>3.8038056000000005</v>
      </c>
      <c r="J74" s="41">
        <f t="shared" si="50"/>
        <v>3.5620592000000002</v>
      </c>
      <c r="K74" s="41">
        <f t="shared" si="50"/>
        <v>3.5669928</v>
      </c>
      <c r="L74" s="42">
        <f t="shared" si="35"/>
        <v>3.6442858666666669</v>
      </c>
      <c r="M74" s="49">
        <f t="shared" si="36"/>
        <v>7.9772581117184604E-2</v>
      </c>
      <c r="N74" s="41">
        <f t="shared" ref="N74:P74" si="51">LN(I74)</f>
        <v>1.3360020392763385</v>
      </c>
      <c r="O74" s="41">
        <f t="shared" si="51"/>
        <v>1.2703388046058353</v>
      </c>
      <c r="P74" s="41">
        <f t="shared" si="51"/>
        <v>1.2717228878717737</v>
      </c>
      <c r="Q74" s="42">
        <f t="shared" si="38"/>
        <v>1.2926879105846492</v>
      </c>
      <c r="R74" s="41">
        <f t="shared" si="39"/>
        <v>2.1660749678176997E-2</v>
      </c>
      <c r="S74" s="41">
        <f t="shared" si="40"/>
        <v>1.1734490240640268E-3</v>
      </c>
      <c r="T74" s="41">
        <f t="shared" si="41"/>
        <v>-1.1037742097702835E-3</v>
      </c>
      <c r="U74" s="41">
        <f t="shared" si="42"/>
        <v>1.4649026966748501E-3</v>
      </c>
      <c r="V74" s="42">
        <f t="shared" si="43"/>
        <v>5.1152583698953116E-4</v>
      </c>
      <c r="W74" s="41">
        <f t="shared" si="44"/>
        <v>8.1202052347139578E-4</v>
      </c>
      <c r="X74" s="41">
        <f t="shared" si="45"/>
        <v>9.3131615114665812E-3</v>
      </c>
      <c r="Y74" s="41">
        <f t="shared" si="46"/>
        <v>8.7212744633967214E-3</v>
      </c>
      <c r="Z74" s="41">
        <f t="shared" si="47"/>
        <v>8.7333537909083502E-3</v>
      </c>
      <c r="AA74" s="42">
        <f t="shared" si="48"/>
        <v>8.922596588590551E-3</v>
      </c>
      <c r="AB74" s="169">
        <f t="shared" si="49"/>
        <v>1.953135912442287E-4</v>
      </c>
      <c r="AD74" s="43"/>
      <c r="AE74" s="177"/>
      <c r="AF74" s="49"/>
      <c r="AG74" s="3"/>
    </row>
    <row r="75" spans="1:33" ht="15" thickBot="1" x14ac:dyDescent="0.2">
      <c r="B75" s="217" t="s">
        <v>73</v>
      </c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18"/>
      <c r="Y75" s="218"/>
      <c r="Z75" s="218"/>
      <c r="AA75" s="218"/>
      <c r="AB75" s="219"/>
    </row>
    <row r="76" spans="1:33" ht="60" x14ac:dyDescent="0.15">
      <c r="B76" s="23" t="s">
        <v>0</v>
      </c>
      <c r="C76" s="24" t="s">
        <v>1</v>
      </c>
      <c r="D76" s="25" t="s">
        <v>2</v>
      </c>
      <c r="E76" s="26" t="s">
        <v>3</v>
      </c>
      <c r="F76" s="204" t="s">
        <v>61</v>
      </c>
      <c r="G76" s="205"/>
      <c r="H76" s="206"/>
      <c r="I76" s="207" t="s">
        <v>10</v>
      </c>
      <c r="J76" s="205"/>
      <c r="K76" s="206"/>
      <c r="L76" s="27" t="s">
        <v>4</v>
      </c>
      <c r="M76" s="28" t="s">
        <v>69</v>
      </c>
      <c r="N76" s="207" t="s">
        <v>63</v>
      </c>
      <c r="O76" s="205"/>
      <c r="P76" s="206"/>
      <c r="Q76" s="28" t="s">
        <v>5</v>
      </c>
      <c r="R76" s="28" t="s">
        <v>62</v>
      </c>
      <c r="S76" s="220" t="s">
        <v>6</v>
      </c>
      <c r="T76" s="221"/>
      <c r="U76" s="221"/>
      <c r="V76" s="27" t="s">
        <v>64</v>
      </c>
      <c r="W76" s="27" t="s">
        <v>62</v>
      </c>
      <c r="X76" s="207" t="s">
        <v>65</v>
      </c>
      <c r="Y76" s="205"/>
      <c r="Z76" s="206"/>
      <c r="AA76" s="27" t="s">
        <v>66</v>
      </c>
      <c r="AB76" s="29" t="s">
        <v>62</v>
      </c>
    </row>
    <row r="77" spans="1:33" x14ac:dyDescent="0.15">
      <c r="B77" s="30"/>
      <c r="C77" s="31"/>
      <c r="D77" s="32"/>
      <c r="E77" s="33"/>
      <c r="F77" s="208" t="s">
        <v>13</v>
      </c>
      <c r="G77" s="209"/>
      <c r="H77" s="210"/>
      <c r="I77" s="211" t="s">
        <v>7</v>
      </c>
      <c r="J77" s="209"/>
      <c r="K77" s="210"/>
      <c r="L77" s="35" t="s">
        <v>7</v>
      </c>
      <c r="M77" s="35"/>
      <c r="N77" s="211" t="s">
        <v>7</v>
      </c>
      <c r="O77" s="209"/>
      <c r="P77" s="210"/>
      <c r="Q77" s="34"/>
      <c r="R77" s="34"/>
      <c r="S77" s="215" t="s">
        <v>67</v>
      </c>
      <c r="T77" s="216"/>
      <c r="U77" s="216"/>
      <c r="V77" s="35" t="s">
        <v>67</v>
      </c>
      <c r="W77" s="32"/>
      <c r="X77" s="212" t="s">
        <v>68</v>
      </c>
      <c r="Y77" s="213"/>
      <c r="Z77" s="214"/>
      <c r="AA77" s="37" t="s">
        <v>68</v>
      </c>
      <c r="AB77" s="38"/>
    </row>
    <row r="78" spans="1:33" s="5" customFormat="1" x14ac:dyDescent="0.15">
      <c r="B78" s="223" t="s">
        <v>23</v>
      </c>
      <c r="C78" s="39">
        <v>0.49652777777777773</v>
      </c>
      <c r="D78" s="5">
        <v>0</v>
      </c>
      <c r="E78" s="224">
        <v>1</v>
      </c>
      <c r="F78" s="40">
        <v>9.0999999999999998E-2</v>
      </c>
      <c r="G78" s="41">
        <v>0.109</v>
      </c>
      <c r="H78" s="41">
        <v>0.10199999999999999</v>
      </c>
      <c r="I78" s="41">
        <f t="shared" ref="I78:I97" si="52">1.2334*F78</f>
        <v>0.1122394</v>
      </c>
      <c r="J78" s="41">
        <f t="shared" ref="J78:J97" si="53">1.2334*G78</f>
        <v>0.13444059999999999</v>
      </c>
      <c r="K78" s="41">
        <f t="shared" ref="K78:K97" si="54">1.2334*H78</f>
        <v>0.1258068</v>
      </c>
      <c r="L78" s="42">
        <f t="shared" ref="L78:L97" si="55">AVERAGE(I78:K78)</f>
        <v>0.12416226666666667</v>
      </c>
      <c r="M78" s="49">
        <f t="shared" ref="M78:M97" si="56">STDEV(I78:K78)/SQRT(3)</f>
        <v>6.4614675261206013E-3</v>
      </c>
      <c r="N78" s="41">
        <f t="shared" ref="N78:N97" si="57">LN(I78)</f>
        <v>-2.1871211888900315</v>
      </c>
      <c r="O78" s="41">
        <f t="shared" ref="O78:O97" si="58">LN(J78)</f>
        <v>-2.0066328131777382</v>
      </c>
      <c r="P78" s="41">
        <f t="shared" ref="P78:P97" si="59">LN(K78)</f>
        <v>-2.0730078821226106</v>
      </c>
      <c r="Q78" s="42">
        <f t="shared" ref="Q78:Q97" si="60">AVERAGE(N78:P78)</f>
        <v>-2.0889206280634602</v>
      </c>
      <c r="R78" s="41">
        <f>STDEV(N78:P78)/SQRT(3)</f>
        <v>5.2706498822406467E-2</v>
      </c>
      <c r="S78" s="41"/>
      <c r="V78" s="172"/>
      <c r="AA78" s="172"/>
      <c r="AB78" s="45"/>
      <c r="AD78" s="3"/>
      <c r="AE78" s="179"/>
      <c r="AF78" s="3"/>
      <c r="AG78" s="3"/>
    </row>
    <row r="79" spans="1:33" s="5" customFormat="1" x14ac:dyDescent="0.15">
      <c r="B79" s="223"/>
      <c r="C79" s="39">
        <v>0.6069444444444444</v>
      </c>
      <c r="D79" s="43">
        <v>2.9666666666666668</v>
      </c>
      <c r="E79" s="224"/>
      <c r="F79" s="40">
        <v>0.11700000000000001</v>
      </c>
      <c r="G79" s="41">
        <v>0.11899999999999999</v>
      </c>
      <c r="H79" s="41">
        <v>0.111</v>
      </c>
      <c r="I79" s="41">
        <f t="shared" si="52"/>
        <v>0.14430780000000001</v>
      </c>
      <c r="J79" s="41">
        <f t="shared" si="53"/>
        <v>0.14677460000000001</v>
      </c>
      <c r="K79" s="41">
        <f t="shared" si="54"/>
        <v>0.13690740000000001</v>
      </c>
      <c r="L79" s="42">
        <f t="shared" si="55"/>
        <v>0.14266326666666668</v>
      </c>
      <c r="M79" s="49">
        <f t="shared" si="56"/>
        <v>2.9647246287715216E-3</v>
      </c>
      <c r="N79" s="41">
        <f t="shared" si="57"/>
        <v>-1.9358067606091254</v>
      </c>
      <c r="O79" s="41">
        <f t="shared" si="58"/>
        <v>-1.9188572022953523</v>
      </c>
      <c r="P79" s="41">
        <f t="shared" si="59"/>
        <v>-1.9884504940945475</v>
      </c>
      <c r="Q79" s="42">
        <f t="shared" si="60"/>
        <v>-1.9477048189996751</v>
      </c>
      <c r="R79" s="41">
        <f t="shared" ref="R79:R97" si="61">STDEV(N79:P79)/SQRT(3)</f>
        <v>2.0952163062244768E-2</v>
      </c>
      <c r="S79" s="41">
        <f>(N79-N78)/(D79-D78)</f>
        <v>8.4712728634013287E-2</v>
      </c>
      <c r="T79" s="41">
        <f>(O79-O78)/(D79-D78)</f>
        <v>2.9587284567096386E-2</v>
      </c>
      <c r="U79" s="41">
        <f>(P79-P78)/(D79-D78)</f>
        <v>2.8502490346538092E-2</v>
      </c>
      <c r="V79" s="42">
        <f>AVERAGE(S79:U79)</f>
        <v>4.7600834515882588E-2</v>
      </c>
      <c r="W79" s="41">
        <f>STDEV(S79:U79)/SQRT(3)</f>
        <v>1.85585892818909E-2</v>
      </c>
      <c r="X79" s="41">
        <f>I79/D79</f>
        <v>4.8643078651685399E-2</v>
      </c>
      <c r="Y79" s="41">
        <f>J79/D79</f>
        <v>4.9474584269662919E-2</v>
      </c>
      <c r="Z79" s="41">
        <f>K79/D79</f>
        <v>4.6148561797752813E-2</v>
      </c>
      <c r="AA79" s="42">
        <f>AVERAGE(X79:Z79)</f>
        <v>4.8088741573033715E-2</v>
      </c>
      <c r="AB79" s="169">
        <f>STDEV(X79:Z79)/SQRT(3)</f>
        <v>9.9934538048478193E-4</v>
      </c>
      <c r="AD79" s="3"/>
      <c r="AE79" s="179"/>
      <c r="AF79" s="3"/>
      <c r="AG79" s="3"/>
    </row>
    <row r="80" spans="1:33" s="5" customFormat="1" x14ac:dyDescent="0.15">
      <c r="B80" s="223"/>
      <c r="C80" s="39">
        <v>0.70416666666666661</v>
      </c>
      <c r="D80" s="43">
        <v>5.3000000000000007</v>
      </c>
      <c r="E80" s="224"/>
      <c r="F80" s="40">
        <v>0.13800000000000001</v>
      </c>
      <c r="G80" s="41">
        <v>0.122</v>
      </c>
      <c r="H80" s="41">
        <v>0.14199999999999999</v>
      </c>
      <c r="I80" s="41">
        <f t="shared" si="52"/>
        <v>0.17020920000000003</v>
      </c>
      <c r="J80" s="41">
        <f t="shared" si="53"/>
        <v>0.15047479999999999</v>
      </c>
      <c r="K80" s="41">
        <f t="shared" si="54"/>
        <v>0.17514279999999999</v>
      </c>
      <c r="L80" s="42">
        <f t="shared" si="55"/>
        <v>0.16527559999999999</v>
      </c>
      <c r="M80" s="49">
        <f t="shared" si="56"/>
        <v>7.5361984828780475E-3</v>
      </c>
      <c r="N80" s="41">
        <f t="shared" si="57"/>
        <v>-1.7707270102496768</v>
      </c>
      <c r="O80" s="41">
        <f t="shared" si="58"/>
        <v>-1.8939596506736252</v>
      </c>
      <c r="P80" s="41">
        <f t="shared" si="59"/>
        <v>-1.742153637805621</v>
      </c>
      <c r="Q80" s="42">
        <f t="shared" si="60"/>
        <v>-1.8022800995763077</v>
      </c>
      <c r="R80" s="41">
        <f t="shared" si="61"/>
        <v>4.65759754603913E-2</v>
      </c>
      <c r="S80" s="41">
        <f t="shared" ref="S80:S97" si="62">(N80-N79)/(D80-D79)</f>
        <v>7.0748464439763653E-2</v>
      </c>
      <c r="T80" s="41">
        <f t="shared" ref="T80:T97" si="63">(O80-O79)/(D80-D79)</f>
        <v>1.0670379266454482E-2</v>
      </c>
      <c r="U80" s="41">
        <f t="shared" ref="U80:U97" si="64">(P80-P79)/(D80-D79)</f>
        <v>0.10555579555239704</v>
      </c>
      <c r="V80" s="42">
        <f t="shared" ref="V80:V97" si="65">AVERAGE(S80:U80)</f>
        <v>6.232487975287173E-2</v>
      </c>
      <c r="W80" s="41">
        <f t="shared" ref="W80:W97" si="66">STDEV(S80:U80)/SQRT(3)</f>
        <v>2.7712982157417868E-2</v>
      </c>
      <c r="X80" s="41">
        <f t="shared" ref="X80:X97" si="67">I80/D80</f>
        <v>3.211494339622642E-2</v>
      </c>
      <c r="Y80" s="41">
        <f t="shared" ref="Y80:Y97" si="68">J80/D80</f>
        <v>2.8391471698113201E-2</v>
      </c>
      <c r="Z80" s="41">
        <f t="shared" ref="Z80:Z97" si="69">K80/D80</f>
        <v>3.3045811320754709E-2</v>
      </c>
      <c r="AA80" s="42">
        <f t="shared" ref="AA80:AA97" si="70">AVERAGE(X80:Z80)</f>
        <v>3.1184075471698113E-2</v>
      </c>
      <c r="AB80" s="169">
        <f t="shared" ref="AB80:AB97" si="71">STDEV(X80:Z80)/SQRT(3)</f>
        <v>1.4219242420524622E-3</v>
      </c>
      <c r="AD80" s="3"/>
      <c r="AE80" s="179"/>
      <c r="AF80" s="3"/>
      <c r="AG80" s="3"/>
    </row>
    <row r="81" spans="1:33" s="5" customFormat="1" x14ac:dyDescent="0.15">
      <c r="B81" s="223"/>
      <c r="C81" s="39">
        <v>0.9</v>
      </c>
      <c r="D81" s="43">
        <v>10</v>
      </c>
      <c r="E81" s="224"/>
      <c r="F81" s="40">
        <v>0.161</v>
      </c>
      <c r="G81" s="41">
        <v>0.16600000000000001</v>
      </c>
      <c r="H81" s="41">
        <v>0.16700000000000001</v>
      </c>
      <c r="I81" s="41">
        <f t="shared" si="52"/>
        <v>0.19857740000000002</v>
      </c>
      <c r="J81" s="41">
        <f t="shared" si="53"/>
        <v>0.20474440000000002</v>
      </c>
      <c r="K81" s="41">
        <f t="shared" si="54"/>
        <v>0.20597780000000002</v>
      </c>
      <c r="L81" s="42">
        <f t="shared" si="55"/>
        <v>0.20309986666666668</v>
      </c>
      <c r="M81" s="49">
        <f t="shared" si="56"/>
        <v>2.2890935217048506E-3</v>
      </c>
      <c r="N81" s="41">
        <f t="shared" si="57"/>
        <v>-1.6165763304224186</v>
      </c>
      <c r="O81" s="41">
        <f t="shared" si="58"/>
        <v>-1.5859929070503382</v>
      </c>
      <c r="P81" s="41">
        <f t="shared" si="59"/>
        <v>-1.5799868829901265</v>
      </c>
      <c r="Q81" s="42">
        <f t="shared" si="60"/>
        <v>-1.5941853734876277</v>
      </c>
      <c r="R81" s="41">
        <f t="shared" si="61"/>
        <v>1.1328934866007232E-2</v>
      </c>
      <c r="S81" s="41">
        <f t="shared" si="62"/>
        <v>3.2798016984523039E-2</v>
      </c>
      <c r="T81" s="41">
        <f t="shared" si="63"/>
        <v>6.5524839068784466E-2</v>
      </c>
      <c r="U81" s="41">
        <f t="shared" si="64"/>
        <v>3.4503564854360555E-2</v>
      </c>
      <c r="V81" s="42">
        <f t="shared" si="65"/>
        <v>4.4275473635889351E-2</v>
      </c>
      <c r="W81" s="41">
        <f t="shared" si="66"/>
        <v>1.0636084365022305E-2</v>
      </c>
      <c r="X81" s="41">
        <f t="shared" si="67"/>
        <v>1.9857740000000002E-2</v>
      </c>
      <c r="Y81" s="41">
        <f t="shared" si="68"/>
        <v>2.0474440000000003E-2</v>
      </c>
      <c r="Z81" s="41">
        <f t="shared" si="69"/>
        <v>2.0597780000000003E-2</v>
      </c>
      <c r="AA81" s="42">
        <f t="shared" si="70"/>
        <v>2.0309986666666672E-2</v>
      </c>
      <c r="AB81" s="169">
        <f t="shared" si="71"/>
        <v>2.2890935217048531E-4</v>
      </c>
      <c r="AD81" s="3"/>
      <c r="AE81" s="179"/>
      <c r="AF81" s="3"/>
      <c r="AG81" s="3"/>
    </row>
    <row r="82" spans="1:33" s="5" customFormat="1" x14ac:dyDescent="0.15">
      <c r="B82" s="222" t="s">
        <v>24</v>
      </c>
      <c r="C82" s="39">
        <v>0.48125000000000001</v>
      </c>
      <c r="D82" s="43">
        <v>23.633333333333333</v>
      </c>
      <c r="E82" s="224">
        <v>2</v>
      </c>
      <c r="F82" s="40">
        <v>0.222</v>
      </c>
      <c r="G82" s="41">
        <v>0.23499999999999999</v>
      </c>
      <c r="H82" s="41">
        <v>0.22700000000000001</v>
      </c>
      <c r="I82" s="41">
        <f t="shared" si="52"/>
        <v>0.27381480000000002</v>
      </c>
      <c r="J82" s="41">
        <f t="shared" si="53"/>
        <v>0.28984900000000002</v>
      </c>
      <c r="K82" s="41">
        <f t="shared" si="54"/>
        <v>0.2799818</v>
      </c>
      <c r="L82" s="42">
        <f t="shared" si="55"/>
        <v>0.28121520000000005</v>
      </c>
      <c r="M82" s="49">
        <f t="shared" si="56"/>
        <v>4.669577035806706E-3</v>
      </c>
      <c r="N82" s="41">
        <f t="shared" si="57"/>
        <v>-1.2953033135346022</v>
      </c>
      <c r="O82" s="41">
        <f t="shared" si="58"/>
        <v>-1.2383951812627225</v>
      </c>
      <c r="P82" s="41">
        <f t="shared" si="59"/>
        <v>-1.273030677925479</v>
      </c>
      <c r="Q82" s="42">
        <f t="shared" si="60"/>
        <v>-1.2689097242409346</v>
      </c>
      <c r="R82" s="41">
        <f t="shared" si="61"/>
        <v>1.6556676137045718E-2</v>
      </c>
      <c r="S82" s="41">
        <f t="shared" si="62"/>
        <v>2.3565257962431523E-2</v>
      </c>
      <c r="T82" s="41">
        <f t="shared" si="63"/>
        <v>2.5496165705693085E-2</v>
      </c>
      <c r="U82" s="41">
        <f t="shared" si="64"/>
        <v>2.2515125065866566E-2</v>
      </c>
      <c r="V82" s="42">
        <f t="shared" si="65"/>
        <v>2.3858849577997054E-2</v>
      </c>
      <c r="W82" s="41">
        <f t="shared" si="66"/>
        <v>8.7298298028886973E-4</v>
      </c>
      <c r="X82" s="41">
        <f t="shared" si="67"/>
        <v>1.1585957686882935E-2</v>
      </c>
      <c r="Y82" s="41">
        <f t="shared" si="68"/>
        <v>1.226441466854725E-2</v>
      </c>
      <c r="Z82" s="41">
        <f t="shared" si="69"/>
        <v>1.1846902679830748E-2</v>
      </c>
      <c r="AA82" s="42">
        <f t="shared" si="70"/>
        <v>1.1899091678420312E-2</v>
      </c>
      <c r="AB82" s="169">
        <f t="shared" si="71"/>
        <v>1.9758435976615084E-4</v>
      </c>
      <c r="AD82" s="3"/>
      <c r="AE82" s="179"/>
      <c r="AF82" s="3"/>
      <c r="AG82" s="3"/>
    </row>
    <row r="83" spans="1:33" s="5" customFormat="1" x14ac:dyDescent="0.15">
      <c r="B83" s="222"/>
      <c r="C83" s="39">
        <v>0.54861111111111105</v>
      </c>
      <c r="D83" s="43">
        <v>26.683333333333334</v>
      </c>
      <c r="E83" s="224"/>
      <c r="F83" s="40">
        <v>0.24199999999999999</v>
      </c>
      <c r="G83" s="41">
        <v>0.24</v>
      </c>
      <c r="H83" s="41">
        <v>0.25800000000000001</v>
      </c>
      <c r="I83" s="41">
        <f t="shared" si="52"/>
        <v>0.29848279999999999</v>
      </c>
      <c r="J83" s="41">
        <f t="shared" si="53"/>
        <v>0.296016</v>
      </c>
      <c r="K83" s="41">
        <f t="shared" si="54"/>
        <v>0.31821720000000003</v>
      </c>
      <c r="L83" s="42">
        <f t="shared" si="55"/>
        <v>0.30423866666666671</v>
      </c>
      <c r="M83" s="49">
        <f t="shared" si="56"/>
        <v>7.0254494796497743E-3</v>
      </c>
      <c r="N83" s="41">
        <f t="shared" si="57"/>
        <v>-1.2090429692501954</v>
      </c>
      <c r="O83" s="41">
        <f t="shared" si="58"/>
        <v>-1.2173417720648902</v>
      </c>
      <c r="P83" s="41">
        <f t="shared" si="59"/>
        <v>-1.1450211104852641</v>
      </c>
      <c r="Q83" s="42">
        <f t="shared" si="60"/>
        <v>-1.1904686172667833</v>
      </c>
      <c r="R83" s="41">
        <f t="shared" si="61"/>
        <v>2.2849685895225985E-2</v>
      </c>
      <c r="S83" s="41">
        <f t="shared" si="62"/>
        <v>2.8282080093248112E-2</v>
      </c>
      <c r="T83" s="41">
        <f t="shared" si="63"/>
        <v>6.9027571140433666E-3</v>
      </c>
      <c r="U83" s="41">
        <f t="shared" si="64"/>
        <v>4.1970349980398301E-2</v>
      </c>
      <c r="V83" s="42">
        <f t="shared" si="65"/>
        <v>2.5718395729229928E-2</v>
      </c>
      <c r="W83" s="41">
        <f t="shared" si="66"/>
        <v>1.0203975948926974E-2</v>
      </c>
      <c r="X83" s="41">
        <f t="shared" si="67"/>
        <v>1.1186113678950655E-2</v>
      </c>
      <c r="Y83" s="41">
        <f t="shared" si="68"/>
        <v>1.109366645846346E-2</v>
      </c>
      <c r="Z83" s="41">
        <f t="shared" si="69"/>
        <v>1.192569144284822E-2</v>
      </c>
      <c r="AA83" s="42">
        <f t="shared" si="70"/>
        <v>1.1401823860087444E-2</v>
      </c>
      <c r="AB83" s="169">
        <f t="shared" si="71"/>
        <v>2.632897993622649E-4</v>
      </c>
      <c r="AD83" s="3"/>
      <c r="AE83" s="179"/>
      <c r="AF83" s="3"/>
      <c r="AG83" s="3"/>
    </row>
    <row r="84" spans="1:33" s="5" customFormat="1" x14ac:dyDescent="0.15">
      <c r="B84" s="222"/>
      <c r="C84" s="39">
        <v>0.72152777777777777</v>
      </c>
      <c r="D84" s="43">
        <v>30.833333333333336</v>
      </c>
      <c r="E84" s="224"/>
      <c r="F84" s="40">
        <v>0.27800000000000002</v>
      </c>
      <c r="G84" s="41">
        <v>0.27300000000000002</v>
      </c>
      <c r="H84" s="41">
        <v>0.25</v>
      </c>
      <c r="I84" s="41">
        <f t="shared" si="52"/>
        <v>0.34288520000000006</v>
      </c>
      <c r="J84" s="41">
        <f t="shared" si="53"/>
        <v>0.33671820000000002</v>
      </c>
      <c r="K84" s="41">
        <f t="shared" si="54"/>
        <v>0.30835000000000001</v>
      </c>
      <c r="L84" s="42">
        <f t="shared" si="55"/>
        <v>0.32931780000000005</v>
      </c>
      <c r="M84" s="49">
        <f t="shared" si="56"/>
        <v>1.0633977773784069E-2</v>
      </c>
      <c r="N84" s="41">
        <f t="shared" si="57"/>
        <v>-1.0703595817162443</v>
      </c>
      <c r="O84" s="41">
        <f t="shared" si="58"/>
        <v>-1.0885089002219219</v>
      </c>
      <c r="P84" s="41">
        <f t="shared" si="59"/>
        <v>-1.1765197775446352</v>
      </c>
      <c r="Q84" s="42">
        <f t="shared" si="60"/>
        <v>-1.1117960864942671</v>
      </c>
      <c r="R84" s="41">
        <f t="shared" si="61"/>
        <v>3.2783210021507213E-2</v>
      </c>
      <c r="S84" s="41">
        <f t="shared" si="62"/>
        <v>3.3417683743120714E-2</v>
      </c>
      <c r="T84" s="41">
        <f t="shared" si="63"/>
        <v>3.1044065504329699E-2</v>
      </c>
      <c r="U84" s="41">
        <f t="shared" si="64"/>
        <v>-7.5900402552701403E-3</v>
      </c>
      <c r="V84" s="42">
        <f t="shared" si="65"/>
        <v>1.8957236330726757E-2</v>
      </c>
      <c r="W84" s="41">
        <f t="shared" si="66"/>
        <v>1.329131215601561E-2</v>
      </c>
      <c r="X84" s="41">
        <f t="shared" si="67"/>
        <v>1.1120601081081082E-2</v>
      </c>
      <c r="Y84" s="41">
        <f t="shared" si="68"/>
        <v>1.0920590270270271E-2</v>
      </c>
      <c r="Z84" s="41">
        <f t="shared" si="69"/>
        <v>1.000054054054054E-2</v>
      </c>
      <c r="AA84" s="42">
        <f t="shared" si="70"/>
        <v>1.0680577297297296E-2</v>
      </c>
      <c r="AB84" s="169">
        <f t="shared" si="71"/>
        <v>3.4488576563624008E-4</v>
      </c>
      <c r="AD84" s="3"/>
      <c r="AE84" s="179"/>
      <c r="AF84" s="3"/>
      <c r="AG84" s="3"/>
    </row>
    <row r="85" spans="1:33" s="5" customFormat="1" x14ac:dyDescent="0.15">
      <c r="B85" s="44" t="s">
        <v>25</v>
      </c>
      <c r="C85" s="39">
        <v>0.46249999999999997</v>
      </c>
      <c r="D85" s="43">
        <v>119.18333333333334</v>
      </c>
      <c r="E85" s="45">
        <v>6</v>
      </c>
      <c r="F85" s="40">
        <v>1.0629999999999999</v>
      </c>
      <c r="G85" s="41">
        <v>1.0249999999999999</v>
      </c>
      <c r="H85" s="41">
        <v>1.0289999999999999</v>
      </c>
      <c r="I85" s="41">
        <f t="shared" si="52"/>
        <v>1.3111041999999999</v>
      </c>
      <c r="J85" s="41">
        <f t="shared" si="53"/>
        <v>1.264235</v>
      </c>
      <c r="K85" s="41">
        <f t="shared" si="54"/>
        <v>1.2691686</v>
      </c>
      <c r="L85" s="42">
        <f t="shared" si="55"/>
        <v>1.2815026</v>
      </c>
      <c r="M85" s="49">
        <f t="shared" si="56"/>
        <v>1.4869164336079309E-2</v>
      </c>
      <c r="N85" s="41">
        <f t="shared" si="57"/>
        <v>0.27086968293506619</v>
      </c>
      <c r="O85" s="41">
        <f t="shared" si="58"/>
        <v>0.23446719616562689</v>
      </c>
      <c r="P85" s="41">
        <f t="shared" si="59"/>
        <v>0.23836204042716794</v>
      </c>
      <c r="Q85" s="42">
        <f t="shared" si="60"/>
        <v>0.24789963984262034</v>
      </c>
      <c r="R85" s="41">
        <f t="shared" si="61"/>
        <v>1.1539925082180696E-2</v>
      </c>
      <c r="S85" s="41">
        <f t="shared" si="62"/>
        <v>1.518086321054115E-2</v>
      </c>
      <c r="T85" s="41">
        <f t="shared" si="63"/>
        <v>1.4974262551075822E-2</v>
      </c>
      <c r="U85" s="41">
        <f t="shared" si="64"/>
        <v>1.6014508409414863E-2</v>
      </c>
      <c r="V85" s="42">
        <f t="shared" si="65"/>
        <v>1.5389878057010612E-2</v>
      </c>
      <c r="W85" s="41">
        <f t="shared" si="66"/>
        <v>3.1795873211334181E-4</v>
      </c>
      <c r="X85" s="41">
        <f t="shared" si="67"/>
        <v>1.1000734442735281E-2</v>
      </c>
      <c r="Y85" s="41">
        <f t="shared" si="68"/>
        <v>1.0607481471122919E-2</v>
      </c>
      <c r="Z85" s="41">
        <f t="shared" si="69"/>
        <v>1.0648876520766326E-2</v>
      </c>
      <c r="AA85" s="42">
        <f t="shared" si="70"/>
        <v>1.0752364144874842E-2</v>
      </c>
      <c r="AB85" s="169">
        <f t="shared" si="71"/>
        <v>1.2475875544186256E-4</v>
      </c>
      <c r="AD85" s="3"/>
      <c r="AE85" s="179"/>
      <c r="AF85" s="3"/>
      <c r="AG85" s="3"/>
    </row>
    <row r="86" spans="1:33" s="5" customFormat="1" x14ac:dyDescent="0.15">
      <c r="B86" s="44" t="s">
        <v>26</v>
      </c>
      <c r="C86" s="39">
        <v>0.43263888888888885</v>
      </c>
      <c r="D86" s="43">
        <v>142</v>
      </c>
      <c r="E86" s="45">
        <v>7</v>
      </c>
      <c r="F86" s="40">
        <v>1.226</v>
      </c>
      <c r="G86" s="41">
        <v>1.242</v>
      </c>
      <c r="H86" s="41">
        <v>1.27</v>
      </c>
      <c r="I86" s="41">
        <f t="shared" si="52"/>
        <v>1.5121484000000001</v>
      </c>
      <c r="J86" s="41">
        <f t="shared" si="53"/>
        <v>1.5318828</v>
      </c>
      <c r="K86" s="41">
        <f t="shared" si="54"/>
        <v>1.5664180000000001</v>
      </c>
      <c r="L86" s="42">
        <f t="shared" si="55"/>
        <v>1.5368164</v>
      </c>
      <c r="M86" s="49">
        <f t="shared" si="56"/>
        <v>1.5859305131478294E-2</v>
      </c>
      <c r="N86" s="41">
        <f t="shared" si="57"/>
        <v>0.4135314210892751</v>
      </c>
      <c r="O86" s="41">
        <f t="shared" si="58"/>
        <v>0.42649756708654241</v>
      </c>
      <c r="P86" s="41">
        <f t="shared" si="59"/>
        <v>0.44879148404575536</v>
      </c>
      <c r="Q86" s="42">
        <f t="shared" si="60"/>
        <v>0.42960682407385758</v>
      </c>
      <c r="R86" s="41">
        <f t="shared" si="61"/>
        <v>1.0296740895118455E-2</v>
      </c>
      <c r="S86" s="41">
        <f t="shared" si="62"/>
        <v>6.2525232207834448E-3</v>
      </c>
      <c r="T86" s="41">
        <f t="shared" si="63"/>
        <v>8.4162324727939612E-3</v>
      </c>
      <c r="U86" s="41">
        <f t="shared" si="64"/>
        <v>9.2226198810191722E-3</v>
      </c>
      <c r="V86" s="42">
        <f t="shared" si="65"/>
        <v>7.9637918581988588E-3</v>
      </c>
      <c r="W86" s="41">
        <f t="shared" si="66"/>
        <v>8.8673472641432271E-4</v>
      </c>
      <c r="X86" s="41">
        <f t="shared" si="67"/>
        <v>1.0648932394366198E-2</v>
      </c>
      <c r="Y86" s="41">
        <f t="shared" si="68"/>
        <v>1.0787907042253521E-2</v>
      </c>
      <c r="Z86" s="41">
        <f t="shared" si="69"/>
        <v>1.1031112676056339E-2</v>
      </c>
      <c r="AA86" s="42">
        <f t="shared" si="70"/>
        <v>1.0822650704225353E-2</v>
      </c>
      <c r="AB86" s="169">
        <f t="shared" si="71"/>
        <v>1.116852474047767E-4</v>
      </c>
      <c r="AD86" s="3"/>
      <c r="AE86" s="179"/>
      <c r="AF86" s="3"/>
      <c r="AG86" s="3"/>
    </row>
    <row r="87" spans="1:33" s="5" customFormat="1" x14ac:dyDescent="0.15">
      <c r="B87" s="44" t="s">
        <v>27</v>
      </c>
      <c r="C87" s="39">
        <v>0.62152777777777779</v>
      </c>
      <c r="D87" s="43">
        <v>171</v>
      </c>
      <c r="E87" s="45">
        <v>8</v>
      </c>
      <c r="F87" s="40">
        <v>1.4339999999999999</v>
      </c>
      <c r="G87" s="41">
        <v>1.4370000000000001</v>
      </c>
      <c r="H87" s="41">
        <v>1.3759999999999999</v>
      </c>
      <c r="I87" s="41">
        <f t="shared" si="52"/>
        <v>1.7686956</v>
      </c>
      <c r="J87" s="41">
        <f t="shared" si="53"/>
        <v>1.7723958000000002</v>
      </c>
      <c r="K87" s="41">
        <f t="shared" si="54"/>
        <v>1.6971584</v>
      </c>
      <c r="L87" s="42">
        <f t="shared" si="55"/>
        <v>1.7460832666666668</v>
      </c>
      <c r="M87" s="49">
        <f t="shared" si="56"/>
        <v>2.448574281613242E-2</v>
      </c>
      <c r="N87" s="41">
        <f t="shared" si="57"/>
        <v>0.57024232575268408</v>
      </c>
      <c r="O87" s="41">
        <f t="shared" si="58"/>
        <v>0.57233219067214336</v>
      </c>
      <c r="P87" s="41">
        <f t="shared" si="59"/>
        <v>0.52895532308640725</v>
      </c>
      <c r="Q87" s="42">
        <f t="shared" si="60"/>
        <v>0.55717661317041156</v>
      </c>
      <c r="R87" s="41">
        <f t="shared" si="61"/>
        <v>1.4123535845643574E-2</v>
      </c>
      <c r="S87" s="41">
        <f t="shared" si="62"/>
        <v>5.4038242987382405E-3</v>
      </c>
      <c r="T87" s="41">
        <f t="shared" si="63"/>
        <v>5.0287801236414123E-3</v>
      </c>
      <c r="U87" s="41">
        <f t="shared" si="64"/>
        <v>2.7642703117466169E-3</v>
      </c>
      <c r="V87" s="42">
        <f t="shared" si="65"/>
        <v>4.3989582447087573E-3</v>
      </c>
      <c r="W87" s="41">
        <f t="shared" si="66"/>
        <v>8.244832749359929E-4</v>
      </c>
      <c r="X87" s="41">
        <f t="shared" si="67"/>
        <v>1.0343249122807019E-2</v>
      </c>
      <c r="Y87" s="41">
        <f t="shared" si="68"/>
        <v>1.0364887719298247E-2</v>
      </c>
      <c r="Z87" s="41">
        <f t="shared" si="69"/>
        <v>9.9249029239766081E-3</v>
      </c>
      <c r="AA87" s="42">
        <f t="shared" si="70"/>
        <v>1.0211013255360625E-2</v>
      </c>
      <c r="AB87" s="169">
        <f t="shared" si="71"/>
        <v>1.4319147845691493E-4</v>
      </c>
      <c r="AD87" s="3"/>
      <c r="AE87" s="179"/>
      <c r="AF87" s="3"/>
      <c r="AG87" s="3"/>
    </row>
    <row r="88" spans="1:33" s="5" customFormat="1" x14ac:dyDescent="0.15">
      <c r="B88" s="44" t="s">
        <v>28</v>
      </c>
      <c r="C88" s="39">
        <v>0.53333333333333333</v>
      </c>
      <c r="D88" s="43">
        <v>192.88333333333333</v>
      </c>
      <c r="E88" s="45">
        <v>9</v>
      </c>
      <c r="F88" s="40">
        <v>1.6719999999999999</v>
      </c>
      <c r="G88" s="41">
        <v>1.6040000000000001</v>
      </c>
      <c r="H88" s="41">
        <v>1.764</v>
      </c>
      <c r="I88" s="41">
        <f t="shared" si="52"/>
        <v>2.0622448000000002</v>
      </c>
      <c r="J88" s="41">
        <f t="shared" si="53"/>
        <v>1.9783736000000003</v>
      </c>
      <c r="K88" s="41">
        <f t="shared" si="54"/>
        <v>2.1757176</v>
      </c>
      <c r="L88" s="42">
        <f t="shared" si="55"/>
        <v>2.0721120000000002</v>
      </c>
      <c r="M88" s="49">
        <f t="shared" si="56"/>
        <v>5.718153784477404E-2</v>
      </c>
      <c r="N88" s="41">
        <f t="shared" si="57"/>
        <v>0.72379509823776533</v>
      </c>
      <c r="O88" s="41">
        <f t="shared" si="58"/>
        <v>0.68227509301957834</v>
      </c>
      <c r="P88" s="41">
        <f t="shared" si="59"/>
        <v>0.77735854115985492</v>
      </c>
      <c r="Q88" s="42">
        <f t="shared" si="60"/>
        <v>0.72780957747239949</v>
      </c>
      <c r="R88" s="41">
        <f t="shared" si="61"/>
        <v>2.7521522245963239E-2</v>
      </c>
      <c r="S88" s="41">
        <f t="shared" si="62"/>
        <v>7.0168822156168155E-3</v>
      </c>
      <c r="T88" s="41">
        <f t="shared" si="63"/>
        <v>5.0240473273770762E-3</v>
      </c>
      <c r="U88" s="41">
        <f t="shared" si="64"/>
        <v>1.1351251397111094E-2</v>
      </c>
      <c r="V88" s="42">
        <f t="shared" si="65"/>
        <v>7.7973936467016615E-3</v>
      </c>
      <c r="W88" s="41">
        <f t="shared" si="66"/>
        <v>1.8677327079960927E-3</v>
      </c>
      <c r="X88" s="41">
        <f t="shared" si="67"/>
        <v>1.0691669230104556E-2</v>
      </c>
      <c r="Y88" s="41">
        <f t="shared" si="68"/>
        <v>1.0256840577205566E-2</v>
      </c>
      <c r="Z88" s="41">
        <f t="shared" si="69"/>
        <v>1.1279966819320834E-2</v>
      </c>
      <c r="AA88" s="42">
        <f t="shared" si="70"/>
        <v>1.0742825542210318E-2</v>
      </c>
      <c r="AB88" s="169">
        <f t="shared" si="71"/>
        <v>2.9645660336010066E-4</v>
      </c>
      <c r="AD88" s="3"/>
      <c r="AE88" s="179"/>
      <c r="AF88" s="3"/>
      <c r="AG88" s="3"/>
    </row>
    <row r="89" spans="1:33" s="5" customFormat="1" x14ac:dyDescent="0.15">
      <c r="B89" s="44" t="s">
        <v>29</v>
      </c>
      <c r="C89" s="39">
        <v>0.52083333333333337</v>
      </c>
      <c r="D89" s="43">
        <v>216.58333333333331</v>
      </c>
      <c r="E89" s="45">
        <v>10</v>
      </c>
      <c r="F89" s="40">
        <v>1.827</v>
      </c>
      <c r="G89" s="41">
        <v>1.704</v>
      </c>
      <c r="H89" s="41">
        <v>1.871</v>
      </c>
      <c r="I89" s="41">
        <f t="shared" si="52"/>
        <v>2.2534217999999999</v>
      </c>
      <c r="J89" s="41">
        <f t="shared" si="53"/>
        <v>2.1017136000000001</v>
      </c>
      <c r="K89" s="41">
        <f t="shared" si="54"/>
        <v>2.3076913999999999</v>
      </c>
      <c r="L89" s="42">
        <f t="shared" si="55"/>
        <v>2.2209422666666665</v>
      </c>
      <c r="M89" s="49">
        <f t="shared" si="56"/>
        <v>6.1638471718490122E-2</v>
      </c>
      <c r="N89" s="41">
        <f t="shared" si="57"/>
        <v>0.81244986097112504</v>
      </c>
      <c r="O89" s="41">
        <f t="shared" si="58"/>
        <v>0.74275301198237942</v>
      </c>
      <c r="P89" s="41">
        <f t="shared" si="59"/>
        <v>0.83624763086720788</v>
      </c>
      <c r="Q89" s="42">
        <f t="shared" si="60"/>
        <v>0.79715016794023752</v>
      </c>
      <c r="R89" s="41">
        <f t="shared" si="61"/>
        <v>2.8052756223672412E-2</v>
      </c>
      <c r="S89" s="41">
        <f t="shared" si="62"/>
        <v>3.7407072883274156E-3</v>
      </c>
      <c r="T89" s="41">
        <f t="shared" si="63"/>
        <v>2.5518109267004688E-3</v>
      </c>
      <c r="U89" s="41">
        <f t="shared" si="64"/>
        <v>2.4847717176098307E-3</v>
      </c>
      <c r="V89" s="42">
        <f t="shared" si="65"/>
        <v>2.9257633108792386E-3</v>
      </c>
      <c r="W89" s="41">
        <f t="shared" si="66"/>
        <v>4.0793129677809146E-4</v>
      </c>
      <c r="X89" s="41">
        <f t="shared" si="67"/>
        <v>1.0404410003847635E-2</v>
      </c>
      <c r="Y89" s="41">
        <f t="shared" si="68"/>
        <v>9.7039489034243948E-3</v>
      </c>
      <c r="Z89" s="41">
        <f t="shared" si="69"/>
        <v>1.0654981454405542E-2</v>
      </c>
      <c r="AA89" s="42">
        <f t="shared" si="70"/>
        <v>1.0254446787225856E-2</v>
      </c>
      <c r="AB89" s="169">
        <f t="shared" si="71"/>
        <v>2.8459471359056657E-4</v>
      </c>
      <c r="AD89" s="3"/>
      <c r="AE89" s="179"/>
      <c r="AF89" s="3"/>
      <c r="AG89" s="3"/>
    </row>
    <row r="90" spans="1:33" s="5" customFormat="1" x14ac:dyDescent="0.15">
      <c r="B90" s="44" t="s">
        <v>30</v>
      </c>
      <c r="C90" s="39">
        <v>0.53472222222222221</v>
      </c>
      <c r="D90" s="43">
        <v>240.91666666666666</v>
      </c>
      <c r="E90" s="45">
        <v>11</v>
      </c>
      <c r="F90" s="40">
        <v>2.1739999999999999</v>
      </c>
      <c r="G90" s="41">
        <v>1.89</v>
      </c>
      <c r="H90" s="41">
        <v>1.994</v>
      </c>
      <c r="I90" s="41">
        <f t="shared" si="52"/>
        <v>2.6814116000000001</v>
      </c>
      <c r="J90" s="41">
        <f t="shared" si="53"/>
        <v>2.3311259999999998</v>
      </c>
      <c r="K90" s="41">
        <f t="shared" si="54"/>
        <v>2.4593996000000002</v>
      </c>
      <c r="L90" s="42">
        <f t="shared" si="55"/>
        <v>2.4906457333333334</v>
      </c>
      <c r="M90" s="49">
        <f t="shared" si="56"/>
        <v>0.10231852394695919</v>
      </c>
      <c r="N90" s="41">
        <f t="shared" si="57"/>
        <v>0.98634337227427316</v>
      </c>
      <c r="O90" s="41">
        <f t="shared" si="58"/>
        <v>0.84635141264680636</v>
      </c>
      <c r="P90" s="41">
        <f t="shared" si="59"/>
        <v>0.89991725511490206</v>
      </c>
      <c r="Q90" s="42">
        <f t="shared" si="60"/>
        <v>0.91087068001199389</v>
      </c>
      <c r="R90" s="41">
        <f t="shared" si="61"/>
        <v>4.0781614843851503E-2</v>
      </c>
      <c r="S90" s="41">
        <f t="shared" si="62"/>
        <v>7.1463086836910158E-3</v>
      </c>
      <c r="T90" s="41">
        <f t="shared" si="63"/>
        <v>4.2574685204559001E-3</v>
      </c>
      <c r="U90" s="41">
        <f t="shared" si="64"/>
        <v>2.6165599005901707E-3</v>
      </c>
      <c r="V90" s="42">
        <f t="shared" si="65"/>
        <v>4.6734457015790284E-3</v>
      </c>
      <c r="W90" s="41">
        <f t="shared" si="66"/>
        <v>1.3240636655025646E-3</v>
      </c>
      <c r="X90" s="41">
        <f t="shared" si="67"/>
        <v>1.1130037772397095E-2</v>
      </c>
      <c r="Y90" s="41">
        <f t="shared" si="68"/>
        <v>9.6760677966101685E-3</v>
      </c>
      <c r="Z90" s="41">
        <f t="shared" si="69"/>
        <v>1.0208507506053271E-2</v>
      </c>
      <c r="AA90" s="42">
        <f t="shared" si="70"/>
        <v>1.0338204358353512E-2</v>
      </c>
      <c r="AB90" s="169">
        <f t="shared" si="71"/>
        <v>4.2470504578468013E-4</v>
      </c>
      <c r="AD90" s="3"/>
      <c r="AE90" s="179"/>
      <c r="AF90" s="3"/>
      <c r="AG90" s="3"/>
    </row>
    <row r="91" spans="1:33" s="5" customFormat="1" x14ac:dyDescent="0.15">
      <c r="A91" s="173" t="s">
        <v>60</v>
      </c>
      <c r="B91" s="44" t="s">
        <v>32</v>
      </c>
      <c r="C91" s="39">
        <v>0.51388888888888895</v>
      </c>
      <c r="D91" s="43">
        <v>264.41666666666663</v>
      </c>
      <c r="E91" s="45">
        <v>12</v>
      </c>
      <c r="F91" s="40">
        <v>2.3420000000000001</v>
      </c>
      <c r="G91" s="41">
        <v>2.3220000000000001</v>
      </c>
      <c r="H91" s="41">
        <v>2.6179999999999999</v>
      </c>
      <c r="I91" s="41">
        <f t="shared" si="52"/>
        <v>2.8886228000000003</v>
      </c>
      <c r="J91" s="41">
        <f t="shared" si="53"/>
        <v>2.8639548000000001</v>
      </c>
      <c r="K91" s="41">
        <f t="shared" si="54"/>
        <v>3.2290412000000002</v>
      </c>
      <c r="L91" s="42">
        <f t="shared" si="55"/>
        <v>2.9938729333333334</v>
      </c>
      <c r="M91" s="49">
        <f t="shared" si="56"/>
        <v>0.11779956535184857</v>
      </c>
      <c r="N91" s="41">
        <f t="shared" si="57"/>
        <v>1.0607798487507811</v>
      </c>
      <c r="O91" s="41">
        <f t="shared" si="58"/>
        <v>1.0522034668509552</v>
      </c>
      <c r="P91" s="41">
        <f t="shared" si="59"/>
        <v>1.1721852510629636</v>
      </c>
      <c r="Q91" s="42">
        <f t="shared" si="60"/>
        <v>1.0950561888882333</v>
      </c>
      <c r="R91" s="41">
        <f t="shared" si="61"/>
        <v>3.8643920417007253E-2</v>
      </c>
      <c r="S91" s="41">
        <f t="shared" si="62"/>
        <v>3.1675096372982153E-3</v>
      </c>
      <c r="T91" s="41">
        <f t="shared" si="63"/>
        <v>8.7596618810276226E-3</v>
      </c>
      <c r="U91" s="41">
        <f t="shared" si="64"/>
        <v>1.1585872168002631E-2</v>
      </c>
      <c r="V91" s="42">
        <f t="shared" si="65"/>
        <v>7.8376812287761569E-3</v>
      </c>
      <c r="W91" s="41">
        <f t="shared" si="66"/>
        <v>2.473509191879459E-3</v>
      </c>
      <c r="X91" s="41">
        <f t="shared" si="67"/>
        <v>1.0924511062086356E-2</v>
      </c>
      <c r="Y91" s="41">
        <f t="shared" si="68"/>
        <v>1.0831218909549325E-2</v>
      </c>
      <c r="Z91" s="41">
        <f t="shared" si="69"/>
        <v>1.2211942767097387E-2</v>
      </c>
      <c r="AA91" s="42">
        <f t="shared" si="70"/>
        <v>1.132255757957769E-2</v>
      </c>
      <c r="AB91" s="169">
        <f t="shared" si="71"/>
        <v>4.4550733823579689E-4</v>
      </c>
      <c r="AD91" s="3"/>
      <c r="AE91" s="179"/>
      <c r="AF91" s="3"/>
      <c r="AG91" s="3"/>
    </row>
    <row r="92" spans="1:33" s="5" customFormat="1" x14ac:dyDescent="0.15">
      <c r="B92" s="44" t="s">
        <v>33</v>
      </c>
      <c r="C92" s="39">
        <v>0.52430555555555558</v>
      </c>
      <c r="D92" s="43">
        <v>288.66666666666663</v>
      </c>
      <c r="E92" s="45">
        <v>13</v>
      </c>
      <c r="F92" s="40">
        <v>2.6080000000000001</v>
      </c>
      <c r="G92" s="41">
        <v>2.5499999999999998</v>
      </c>
      <c r="H92" s="41">
        <v>2.5379999999999998</v>
      </c>
      <c r="I92" s="41">
        <f t="shared" si="52"/>
        <v>3.2167072000000001</v>
      </c>
      <c r="J92" s="41">
        <f t="shared" si="53"/>
        <v>3.1451699999999998</v>
      </c>
      <c r="K92" s="41">
        <f t="shared" si="54"/>
        <v>3.1303692000000001</v>
      </c>
      <c r="L92" s="42">
        <f t="shared" si="55"/>
        <v>3.1640821333333338</v>
      </c>
      <c r="M92" s="49">
        <f t="shared" si="56"/>
        <v>2.6657170088698088E-2</v>
      </c>
      <c r="N92" s="41">
        <f t="shared" si="57"/>
        <v>1.168358227639662</v>
      </c>
      <c r="O92" s="41">
        <f t="shared" si="58"/>
        <v>1.14586794274559</v>
      </c>
      <c r="P92" s="41">
        <f t="shared" si="59"/>
        <v>1.1411509528674513</v>
      </c>
      <c r="Q92" s="42">
        <f t="shared" si="60"/>
        <v>1.1517923744175678</v>
      </c>
      <c r="R92" s="41">
        <f t="shared" si="61"/>
        <v>8.3941074194856819E-3</v>
      </c>
      <c r="S92" s="41">
        <f t="shared" si="62"/>
        <v>4.4362218098507582E-3</v>
      </c>
      <c r="T92" s="41">
        <f t="shared" si="63"/>
        <v>3.8624526142117437E-3</v>
      </c>
      <c r="U92" s="41">
        <f t="shared" si="64"/>
        <v>-1.2797648740417438E-3</v>
      </c>
      <c r="V92" s="42">
        <f t="shared" si="65"/>
        <v>2.3396365166735863E-3</v>
      </c>
      <c r="W92" s="41">
        <f t="shared" si="66"/>
        <v>1.8172646654427368E-3</v>
      </c>
      <c r="X92" s="41">
        <f t="shared" si="67"/>
        <v>1.1143327482678985E-2</v>
      </c>
      <c r="Y92" s="41">
        <f t="shared" si="68"/>
        <v>1.0895508083140878E-2</v>
      </c>
      <c r="Z92" s="41">
        <f t="shared" si="69"/>
        <v>1.0844235103926099E-2</v>
      </c>
      <c r="AA92" s="42">
        <f t="shared" si="70"/>
        <v>1.0961023556581987E-2</v>
      </c>
      <c r="AB92" s="169">
        <f t="shared" si="71"/>
        <v>9.2345854810732151E-5</v>
      </c>
      <c r="AD92" s="3"/>
      <c r="AE92" s="179"/>
      <c r="AF92" s="3"/>
      <c r="AG92" s="3"/>
    </row>
    <row r="93" spans="1:33" s="5" customFormat="1" x14ac:dyDescent="0.15">
      <c r="B93" s="44" t="s">
        <v>34</v>
      </c>
      <c r="C93" s="39">
        <v>0.53472222222222221</v>
      </c>
      <c r="D93" s="43">
        <v>312.91666666666663</v>
      </c>
      <c r="E93" s="45">
        <v>14</v>
      </c>
      <c r="F93" s="40">
        <v>2.8820000000000001</v>
      </c>
      <c r="G93" s="41">
        <v>2.62</v>
      </c>
      <c r="H93" s="41">
        <v>2.5939999999999999</v>
      </c>
      <c r="I93" s="41">
        <f t="shared" si="52"/>
        <v>3.5546588000000003</v>
      </c>
      <c r="J93" s="41">
        <f t="shared" si="53"/>
        <v>3.2315080000000003</v>
      </c>
      <c r="K93" s="41">
        <f t="shared" si="54"/>
        <v>3.1994395999999998</v>
      </c>
      <c r="L93" s="42">
        <f t="shared" si="55"/>
        <v>3.3285354666666667</v>
      </c>
      <c r="M93" s="49">
        <f t="shared" si="56"/>
        <v>0.11344002376876429</v>
      </c>
      <c r="N93" s="41">
        <f t="shared" si="57"/>
        <v>1.2682590811525858</v>
      </c>
      <c r="O93" s="41">
        <f t="shared" si="58"/>
        <v>1.172948901348261</v>
      </c>
      <c r="P93" s="41">
        <f t="shared" si="59"/>
        <v>1.1629756694695075</v>
      </c>
      <c r="Q93" s="42">
        <f t="shared" si="60"/>
        <v>1.2013945506567847</v>
      </c>
      <c r="R93" s="41">
        <f t="shared" si="61"/>
        <v>3.3556000046413841E-2</v>
      </c>
      <c r="S93" s="41">
        <f t="shared" si="62"/>
        <v>4.1196228252752074E-3</v>
      </c>
      <c r="T93" s="41">
        <f t="shared" si="63"/>
        <v>1.116740560934887E-3</v>
      </c>
      <c r="U93" s="41">
        <f t="shared" si="64"/>
        <v>8.9998831348685378E-4</v>
      </c>
      <c r="V93" s="42">
        <f t="shared" si="65"/>
        <v>2.0454505665656493E-3</v>
      </c>
      <c r="W93" s="41">
        <f t="shared" si="66"/>
        <v>1.0389719764096427E-3</v>
      </c>
      <c r="X93" s="41">
        <f t="shared" si="67"/>
        <v>1.1359761810918778E-2</v>
      </c>
      <c r="Y93" s="41">
        <f t="shared" si="68"/>
        <v>1.0327056191744344E-2</v>
      </c>
      <c r="Z93" s="41">
        <f t="shared" si="69"/>
        <v>1.0224573954727031E-2</v>
      </c>
      <c r="AA93" s="42">
        <f t="shared" si="70"/>
        <v>1.0637130652463384E-2</v>
      </c>
      <c r="AB93" s="169">
        <f t="shared" si="71"/>
        <v>3.6252470978033875E-4</v>
      </c>
      <c r="AD93" s="3"/>
      <c r="AE93" s="179"/>
      <c r="AF93" s="3"/>
      <c r="AG93" s="3"/>
    </row>
    <row r="94" spans="1:33" s="5" customFormat="1" x14ac:dyDescent="0.15">
      <c r="B94" s="46" t="s">
        <v>35</v>
      </c>
      <c r="C94" s="39">
        <v>0.52777777777777779</v>
      </c>
      <c r="D94" s="43">
        <v>336.74999999999994</v>
      </c>
      <c r="E94" s="45">
        <v>15</v>
      </c>
      <c r="F94" s="40">
        <v>2.8940000000000001</v>
      </c>
      <c r="G94" s="41">
        <v>2.6739999999999999</v>
      </c>
      <c r="H94" s="41">
        <v>2.7879999999999998</v>
      </c>
      <c r="I94" s="41">
        <f t="shared" si="52"/>
        <v>3.5694596000000005</v>
      </c>
      <c r="J94" s="41">
        <f t="shared" si="53"/>
        <v>3.2981115999999999</v>
      </c>
      <c r="K94" s="41">
        <f t="shared" si="54"/>
        <v>3.4387192</v>
      </c>
      <c r="L94" s="42">
        <f t="shared" si="55"/>
        <v>3.4354301333333335</v>
      </c>
      <c r="M94" s="49">
        <f t="shared" si="56"/>
        <v>7.8348681643138102E-2</v>
      </c>
      <c r="N94" s="41">
        <f t="shared" si="57"/>
        <v>1.2724142117845476</v>
      </c>
      <c r="O94" s="41">
        <f t="shared" si="58"/>
        <v>1.1933500622550068</v>
      </c>
      <c r="P94" s="41">
        <f t="shared" si="59"/>
        <v>1.2350990764735328</v>
      </c>
      <c r="Q94" s="42">
        <f t="shared" si="60"/>
        <v>1.2336211168376958</v>
      </c>
      <c r="R94" s="41">
        <f t="shared" si="61"/>
        <v>2.2835814040823889E-2</v>
      </c>
      <c r="S94" s="41">
        <f t="shared" si="62"/>
        <v>1.743411453969997E-4</v>
      </c>
      <c r="T94" s="41">
        <f t="shared" si="63"/>
        <v>8.5599276531800707E-4</v>
      </c>
      <c r="U94" s="41">
        <f t="shared" si="64"/>
        <v>3.0261569372318337E-3</v>
      </c>
      <c r="V94" s="42">
        <f t="shared" si="65"/>
        <v>1.3521636159822801E-3</v>
      </c>
      <c r="W94" s="41">
        <f t="shared" si="66"/>
        <v>8.5981634907816536E-4</v>
      </c>
      <c r="X94" s="41">
        <f t="shared" si="67"/>
        <v>1.0599731551596143E-2</v>
      </c>
      <c r="Y94" s="41">
        <f t="shared" si="68"/>
        <v>9.7939468448403882E-3</v>
      </c>
      <c r="Z94" s="41">
        <f t="shared" si="69"/>
        <v>1.0211489829250187E-2</v>
      </c>
      <c r="AA94" s="42">
        <f t="shared" si="70"/>
        <v>1.0201722741895573E-2</v>
      </c>
      <c r="AB94" s="169">
        <f t="shared" si="71"/>
        <v>2.3266126694324591E-4</v>
      </c>
      <c r="AD94" s="3"/>
      <c r="AE94" s="179"/>
      <c r="AF94" s="3"/>
      <c r="AG94" s="3"/>
    </row>
    <row r="95" spans="1:33" s="5" customFormat="1" x14ac:dyDescent="0.15">
      <c r="B95" s="46" t="s">
        <v>36</v>
      </c>
      <c r="C95" s="39">
        <v>0.51944444444444449</v>
      </c>
      <c r="D95" s="43">
        <v>360.54999999999995</v>
      </c>
      <c r="E95" s="45">
        <v>16</v>
      </c>
      <c r="F95" s="40">
        <v>2.8919999999999999</v>
      </c>
      <c r="G95" s="41">
        <v>2.92</v>
      </c>
      <c r="H95" s="41">
        <v>2.9940000000000002</v>
      </c>
      <c r="I95" s="41">
        <f t="shared" si="52"/>
        <v>3.5669928</v>
      </c>
      <c r="J95" s="41">
        <f t="shared" si="53"/>
        <v>3.6015280000000001</v>
      </c>
      <c r="K95" s="41">
        <f t="shared" si="54"/>
        <v>3.6927996000000003</v>
      </c>
      <c r="L95" s="42">
        <f t="shared" si="55"/>
        <v>3.6204401333333336</v>
      </c>
      <c r="M95" s="49">
        <f t="shared" si="56"/>
        <v>3.7528164188039524E-2</v>
      </c>
      <c r="N95" s="41">
        <f t="shared" si="57"/>
        <v>1.2717228878717737</v>
      </c>
      <c r="O95" s="41">
        <f t="shared" si="58"/>
        <v>1.2813581998554457</v>
      </c>
      <c r="P95" s="41">
        <f t="shared" si="59"/>
        <v>1.3063848695726921</v>
      </c>
      <c r="Q95" s="42">
        <f t="shared" si="60"/>
        <v>1.2864886524333039</v>
      </c>
      <c r="R95" s="41">
        <f t="shared" si="61"/>
        <v>1.0329640226050766E-2</v>
      </c>
      <c r="S95" s="41">
        <f t="shared" si="62"/>
        <v>-2.9047223225795509E-5</v>
      </c>
      <c r="T95" s="41">
        <f t="shared" si="63"/>
        <v>3.6978209075814649E-3</v>
      </c>
      <c r="U95" s="41">
        <f t="shared" si="64"/>
        <v>2.9952013907209767E-3</v>
      </c>
      <c r="V95" s="42">
        <f t="shared" si="65"/>
        <v>2.2213250250255486E-3</v>
      </c>
      <c r="W95" s="41">
        <f t="shared" si="66"/>
        <v>1.1433211838241509E-3</v>
      </c>
      <c r="X95" s="41">
        <f t="shared" si="67"/>
        <v>9.8931987241714058E-3</v>
      </c>
      <c r="Y95" s="41">
        <f t="shared" si="68"/>
        <v>9.9889834974344772E-3</v>
      </c>
      <c r="Z95" s="41">
        <f t="shared" si="69"/>
        <v>1.0242128969629734E-2</v>
      </c>
      <c r="AA95" s="42">
        <f t="shared" si="70"/>
        <v>1.0041437063745206E-2</v>
      </c>
      <c r="AB95" s="169">
        <f t="shared" si="71"/>
        <v>1.0408588042723462E-4</v>
      </c>
      <c r="AD95" s="3"/>
      <c r="AE95" s="180"/>
      <c r="AF95" s="3"/>
      <c r="AG95" s="3"/>
    </row>
    <row r="96" spans="1:33" s="5" customFormat="1" x14ac:dyDescent="0.15">
      <c r="B96" s="46" t="s">
        <v>37</v>
      </c>
      <c r="C96" s="39">
        <v>0.51597222222222217</v>
      </c>
      <c r="D96" s="43">
        <v>384.46666666666664</v>
      </c>
      <c r="E96" s="45">
        <v>17</v>
      </c>
      <c r="F96" s="40">
        <v>2.8580000000000001</v>
      </c>
      <c r="G96" s="41">
        <v>2.99</v>
      </c>
      <c r="H96" s="41">
        <v>3.0939999999999999</v>
      </c>
      <c r="I96" s="41">
        <f t="shared" si="52"/>
        <v>3.5250572000000004</v>
      </c>
      <c r="J96" s="41">
        <f t="shared" si="53"/>
        <v>3.6878660000000005</v>
      </c>
      <c r="K96" s="41">
        <f t="shared" si="54"/>
        <v>3.8161396000000001</v>
      </c>
      <c r="L96" s="42">
        <f t="shared" si="55"/>
        <v>3.6763542666666669</v>
      </c>
      <c r="M96" s="49">
        <f t="shared" si="56"/>
        <v>8.4225156377995297E-2</v>
      </c>
      <c r="N96" s="41">
        <f t="shared" si="57"/>
        <v>1.2598966630829311</v>
      </c>
      <c r="O96" s="41">
        <f t="shared" si="58"/>
        <v>1.3050479709778506</v>
      </c>
      <c r="P96" s="41">
        <f t="shared" si="59"/>
        <v>1.3392393357261299</v>
      </c>
      <c r="Q96" s="42">
        <f t="shared" si="60"/>
        <v>1.3013946565956374</v>
      </c>
      <c r="R96" s="41">
        <f t="shared" si="61"/>
        <v>2.2976980908602954E-2</v>
      </c>
      <c r="S96" s="41">
        <f t="shared" si="62"/>
        <v>-4.9447629779132544E-4</v>
      </c>
      <c r="T96" s="41">
        <f t="shared" si="63"/>
        <v>9.9051307828870532E-4</v>
      </c>
      <c r="U96" s="41">
        <f t="shared" si="64"/>
        <v>1.3737059018858995E-3</v>
      </c>
      <c r="V96" s="42">
        <f t="shared" si="65"/>
        <v>6.2324756079442647E-4</v>
      </c>
      <c r="W96" s="41">
        <f t="shared" si="66"/>
        <v>5.697043540448455E-4</v>
      </c>
      <c r="X96" s="41">
        <f t="shared" si="67"/>
        <v>9.1686939483266883E-3</v>
      </c>
      <c r="Y96" s="41">
        <f t="shared" si="68"/>
        <v>9.5921605687532534E-3</v>
      </c>
      <c r="Z96" s="41">
        <f t="shared" si="69"/>
        <v>9.9258009363620611E-3</v>
      </c>
      <c r="AA96" s="42">
        <f t="shared" si="70"/>
        <v>9.5622184844806682E-3</v>
      </c>
      <c r="AB96" s="169">
        <f t="shared" si="71"/>
        <v>2.1907011369341588E-4</v>
      </c>
      <c r="AD96" s="3"/>
      <c r="AE96" s="180"/>
      <c r="AF96" s="3"/>
      <c r="AG96" s="3"/>
    </row>
    <row r="97" spans="1:33" s="5" customFormat="1" ht="15" thickBot="1" x14ac:dyDescent="0.2">
      <c r="A97" s="53"/>
      <c r="B97" s="50" t="s">
        <v>38</v>
      </c>
      <c r="C97" s="51">
        <v>0.53888888888888886</v>
      </c>
      <c r="D97" s="52">
        <v>409.01666666666665</v>
      </c>
      <c r="E97" s="53">
        <v>18</v>
      </c>
      <c r="F97" s="54">
        <v>3.0880000000000001</v>
      </c>
      <c r="G97" s="47">
        <v>3.1120000000000001</v>
      </c>
      <c r="H97" s="47">
        <v>3.1030000000000002</v>
      </c>
      <c r="I97" s="47">
        <f t="shared" si="52"/>
        <v>3.8087392000000002</v>
      </c>
      <c r="J97" s="47">
        <f t="shared" si="53"/>
        <v>3.8383408000000001</v>
      </c>
      <c r="K97" s="47">
        <f t="shared" si="54"/>
        <v>3.8272402000000003</v>
      </c>
      <c r="L97" s="48">
        <f t="shared" si="55"/>
        <v>3.8247734000000002</v>
      </c>
      <c r="M97" s="55">
        <f t="shared" si="56"/>
        <v>8.633799999999978E-3</v>
      </c>
      <c r="N97" s="47">
        <f t="shared" si="57"/>
        <v>1.3372982157377853</v>
      </c>
      <c r="O97" s="47">
        <f t="shared" si="58"/>
        <v>1.3450401898914006</v>
      </c>
      <c r="P97" s="47">
        <f t="shared" si="59"/>
        <v>1.3421439690414987</v>
      </c>
      <c r="Q97" s="48">
        <f t="shared" si="60"/>
        <v>1.3414941248902281</v>
      </c>
      <c r="R97" s="47">
        <f t="shared" si="61"/>
        <v>2.2584112420399498E-3</v>
      </c>
      <c r="S97" s="47">
        <f t="shared" si="62"/>
        <v>3.1528127354319398E-3</v>
      </c>
      <c r="T97" s="47">
        <f t="shared" si="63"/>
        <v>1.6290109537087562E-3</v>
      </c>
      <c r="U97" s="47">
        <f t="shared" si="64"/>
        <v>1.1831500266268148E-4</v>
      </c>
      <c r="V97" s="48">
        <f t="shared" si="65"/>
        <v>1.6333795639344592E-3</v>
      </c>
      <c r="W97" s="47">
        <f t="shared" si="66"/>
        <v>8.7598676476149278E-4</v>
      </c>
      <c r="X97" s="47">
        <f t="shared" si="67"/>
        <v>9.3119413226844874E-3</v>
      </c>
      <c r="Y97" s="47">
        <f t="shared" si="68"/>
        <v>9.3843139236379942E-3</v>
      </c>
      <c r="Z97" s="47">
        <f t="shared" si="69"/>
        <v>9.3571741982804296E-3</v>
      </c>
      <c r="AA97" s="48">
        <f t="shared" si="70"/>
        <v>9.3511431482009699E-3</v>
      </c>
      <c r="AB97" s="174">
        <f t="shared" si="71"/>
        <v>2.1108675278106173E-5</v>
      </c>
      <c r="AD97" s="3"/>
      <c r="AE97" s="180"/>
      <c r="AF97" s="3"/>
      <c r="AG97" s="3"/>
    </row>
    <row r="98" spans="1:33" s="5" customFormat="1" ht="13" x14ac:dyDescent="0.15">
      <c r="B98" s="181"/>
    </row>
    <row r="99" spans="1:33" s="5" customFormat="1" ht="13" x14ac:dyDescent="0.15"/>
    <row r="100" spans="1:33" s="5" customFormat="1" ht="13" x14ac:dyDescent="0.15"/>
  </sheetData>
  <mergeCells count="61">
    <mergeCell ref="E54:E57"/>
    <mergeCell ref="B82:B84"/>
    <mergeCell ref="B78:B81"/>
    <mergeCell ref="E82:E84"/>
    <mergeCell ref="E78:E81"/>
    <mergeCell ref="B58:B60"/>
    <mergeCell ref="E58:E60"/>
    <mergeCell ref="B75:AB75"/>
    <mergeCell ref="F76:H76"/>
    <mergeCell ref="I76:K76"/>
    <mergeCell ref="N76:P76"/>
    <mergeCell ref="S76:U76"/>
    <mergeCell ref="X76:Z76"/>
    <mergeCell ref="B54:B57"/>
    <mergeCell ref="B9:B11"/>
    <mergeCell ref="B5:B8"/>
    <mergeCell ref="E9:E11"/>
    <mergeCell ref="E5:E8"/>
    <mergeCell ref="B33:B35"/>
    <mergeCell ref="B29:B32"/>
    <mergeCell ref="E33:E35"/>
    <mergeCell ref="B26:AB26"/>
    <mergeCell ref="F27:H27"/>
    <mergeCell ref="I27:K27"/>
    <mergeCell ref="N27:P27"/>
    <mergeCell ref="S27:U27"/>
    <mergeCell ref="X27:Z27"/>
    <mergeCell ref="E29:E32"/>
    <mergeCell ref="F77:H77"/>
    <mergeCell ref="I77:K77"/>
    <mergeCell ref="N77:P77"/>
    <mergeCell ref="S77:U77"/>
    <mergeCell ref="X77:Z77"/>
    <mergeCell ref="F53:H53"/>
    <mergeCell ref="I53:K53"/>
    <mergeCell ref="N53:P53"/>
    <mergeCell ref="S53:U53"/>
    <mergeCell ref="X53:Z53"/>
    <mergeCell ref="B51:AB51"/>
    <mergeCell ref="F52:H52"/>
    <mergeCell ref="I52:K52"/>
    <mergeCell ref="N52:P52"/>
    <mergeCell ref="S52:U52"/>
    <mergeCell ref="X52:Z52"/>
    <mergeCell ref="F28:H28"/>
    <mergeCell ref="I28:K28"/>
    <mergeCell ref="N28:P28"/>
    <mergeCell ref="S28:U28"/>
    <mergeCell ref="X28:Z28"/>
    <mergeCell ref="F4:H4"/>
    <mergeCell ref="I4:K4"/>
    <mergeCell ref="N4:P4"/>
    <mergeCell ref="S4:U4"/>
    <mergeCell ref="X4:Z4"/>
    <mergeCell ref="A1:AB1"/>
    <mergeCell ref="B2:AB2"/>
    <mergeCell ref="F3:H3"/>
    <mergeCell ref="I3:K3"/>
    <mergeCell ref="N3:P3"/>
    <mergeCell ref="S3:U3"/>
    <mergeCell ref="X3:Z3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6696C-B4EA-E843-8AF3-3FCEFBB5CED5}">
  <dimension ref="A1:AF98"/>
  <sheetViews>
    <sheetView zoomScaleNormal="100" workbookViewId="0">
      <selection activeCell="B98" sqref="B98"/>
    </sheetView>
  </sheetViews>
  <sheetFormatPr baseColWidth="10" defaultColWidth="8.83203125" defaultRowHeight="14" x14ac:dyDescent="0.15"/>
  <cols>
    <col min="1" max="1" width="74.5" style="3" customWidth="1"/>
    <col min="2" max="2" width="12" style="3" bestFit="1" customWidth="1"/>
    <col min="3" max="3" width="12" style="3" customWidth="1"/>
    <col min="4" max="11" width="8.83203125" style="3"/>
    <col min="12" max="12" width="13.33203125" style="3" customWidth="1"/>
    <col min="13" max="13" width="10.33203125" style="3" customWidth="1"/>
    <col min="14" max="16" width="8.83203125" style="3"/>
    <col min="17" max="17" width="13.1640625" style="3" customWidth="1"/>
    <col min="18" max="18" width="10.5" style="3" customWidth="1"/>
    <col min="19" max="19" width="8.5" style="3" customWidth="1"/>
    <col min="20" max="20" width="9.1640625" style="3" bestFit="1" customWidth="1"/>
    <col min="21" max="21" width="9.33203125" style="3" bestFit="1" customWidth="1"/>
    <col min="22" max="26" width="9" style="3" bestFit="1" customWidth="1"/>
    <col min="27" max="27" width="10.33203125" style="3" customWidth="1"/>
    <col min="28" max="28" width="8.83203125" style="3" customWidth="1"/>
    <col min="29" max="29" width="12.1640625" style="3" customWidth="1"/>
    <col min="30" max="16384" width="8.83203125" style="3"/>
  </cols>
  <sheetData>
    <row r="1" spans="1:32" ht="17" customHeight="1" thickBot="1" x14ac:dyDescent="0.2">
      <c r="A1" s="198" t="s">
        <v>59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  <c r="W1" s="199"/>
      <c r="X1" s="199"/>
      <c r="Y1" s="199"/>
      <c r="Z1" s="199"/>
      <c r="AA1" s="199"/>
      <c r="AB1" s="200"/>
    </row>
    <row r="2" spans="1:32" ht="15" customHeight="1" thickBot="1" x14ac:dyDescent="0.2">
      <c r="A2" s="22"/>
      <c r="B2" s="201" t="s">
        <v>70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3"/>
    </row>
    <row r="3" spans="1:32" ht="45" customHeight="1" x14ac:dyDescent="0.15">
      <c r="A3" s="22"/>
      <c r="B3" s="23" t="s">
        <v>0</v>
      </c>
      <c r="C3" s="24" t="s">
        <v>1</v>
      </c>
      <c r="D3" s="25" t="s">
        <v>2</v>
      </c>
      <c r="E3" s="26" t="s">
        <v>3</v>
      </c>
      <c r="F3" s="204" t="s">
        <v>61</v>
      </c>
      <c r="G3" s="205"/>
      <c r="H3" s="206"/>
      <c r="I3" s="207" t="s">
        <v>10</v>
      </c>
      <c r="J3" s="205"/>
      <c r="K3" s="206"/>
      <c r="L3" s="27" t="s">
        <v>4</v>
      </c>
      <c r="M3" s="28" t="s">
        <v>62</v>
      </c>
      <c r="N3" s="207" t="s">
        <v>63</v>
      </c>
      <c r="O3" s="205"/>
      <c r="P3" s="206"/>
      <c r="Q3" s="28" t="s">
        <v>5</v>
      </c>
      <c r="R3" s="28" t="s">
        <v>62</v>
      </c>
      <c r="S3" s="207" t="s">
        <v>6</v>
      </c>
      <c r="T3" s="205"/>
      <c r="U3" s="206"/>
      <c r="V3" s="27" t="s">
        <v>64</v>
      </c>
      <c r="W3" s="27" t="s">
        <v>62</v>
      </c>
      <c r="X3" s="207" t="s">
        <v>65</v>
      </c>
      <c r="Y3" s="205"/>
      <c r="Z3" s="206"/>
      <c r="AA3" s="27" t="s">
        <v>66</v>
      </c>
      <c r="AB3" s="29" t="s">
        <v>62</v>
      </c>
    </row>
    <row r="4" spans="1:32" ht="15" customHeight="1" x14ac:dyDescent="0.15">
      <c r="A4" s="22"/>
      <c r="B4" s="30"/>
      <c r="C4" s="31"/>
      <c r="D4" s="32"/>
      <c r="E4" s="33"/>
      <c r="F4" s="208" t="s">
        <v>13</v>
      </c>
      <c r="G4" s="209"/>
      <c r="H4" s="210"/>
      <c r="I4" s="211" t="s">
        <v>7</v>
      </c>
      <c r="J4" s="209"/>
      <c r="K4" s="210"/>
      <c r="L4" s="35" t="s">
        <v>7</v>
      </c>
      <c r="M4" s="36"/>
      <c r="N4" s="211" t="s">
        <v>7</v>
      </c>
      <c r="O4" s="209"/>
      <c r="P4" s="210"/>
      <c r="Q4" s="34" t="s">
        <v>7</v>
      </c>
      <c r="R4" s="34"/>
      <c r="S4" s="212" t="s">
        <v>67</v>
      </c>
      <c r="T4" s="213"/>
      <c r="U4" s="214"/>
      <c r="V4" s="35" t="s">
        <v>67</v>
      </c>
      <c r="W4" s="32"/>
      <c r="X4" s="212" t="s">
        <v>68</v>
      </c>
      <c r="Y4" s="213"/>
      <c r="Z4" s="214"/>
      <c r="AA4" s="37" t="s">
        <v>68</v>
      </c>
      <c r="AB4" s="38"/>
    </row>
    <row r="5" spans="1:32" s="5" customFormat="1" x14ac:dyDescent="0.15">
      <c r="A5" s="46"/>
      <c r="B5" s="223" t="s">
        <v>23</v>
      </c>
      <c r="C5" s="39">
        <v>0.48333333333333334</v>
      </c>
      <c r="D5" s="5">
        <v>0</v>
      </c>
      <c r="E5" s="224">
        <v>1</v>
      </c>
      <c r="F5" s="40">
        <v>0.10199999999999999</v>
      </c>
      <c r="G5" s="41">
        <v>9.8000000000000004E-2</v>
      </c>
      <c r="H5" s="41">
        <v>9.5000000000000001E-2</v>
      </c>
      <c r="I5" s="41">
        <f>1.2596*F5</f>
        <v>0.12847919999999999</v>
      </c>
      <c r="J5" s="41">
        <f t="shared" ref="J5:K5" si="0">1.2596*G5</f>
        <v>0.1234408</v>
      </c>
      <c r="K5" s="41">
        <f t="shared" si="0"/>
        <v>0.119662</v>
      </c>
      <c r="L5" s="42">
        <f t="shared" ref="L5:L25" si="1">AVERAGE(I5:K5)</f>
        <v>0.12386066666666666</v>
      </c>
      <c r="M5" s="41">
        <f t="shared" ref="M5:M25" si="2">STDEV(I5:K5)/SQRT(3)</f>
        <v>2.5539492277212076E-3</v>
      </c>
      <c r="N5" s="41">
        <f t="shared" ref="N5:P25" si="3">LN(I5)</f>
        <v>-2.0519882554531335</v>
      </c>
      <c r="O5" s="41">
        <f t="shared" si="3"/>
        <v>-2.0919935900668327</v>
      </c>
      <c r="P5" s="41">
        <f t="shared" si="3"/>
        <v>-2.1230841771368638</v>
      </c>
      <c r="Q5" s="42">
        <f t="shared" ref="Q5:Q25" si="4">AVERAGE(N5:P5)</f>
        <v>-2.0890220075522765</v>
      </c>
      <c r="R5" s="41">
        <f>STDEV(N5:P5)/SQRT(3)</f>
        <v>2.0577335809051276E-2</v>
      </c>
      <c r="AB5" s="45"/>
      <c r="AE5" s="3"/>
      <c r="AF5" s="3"/>
    </row>
    <row r="6" spans="1:32" s="5" customFormat="1" x14ac:dyDescent="0.15">
      <c r="A6" s="46"/>
      <c r="B6" s="223"/>
      <c r="C6" s="39">
        <v>0.6069444444444444</v>
      </c>
      <c r="D6" s="43">
        <v>2.9666666666666668</v>
      </c>
      <c r="E6" s="224"/>
      <c r="F6" s="40">
        <v>0.112</v>
      </c>
      <c r="G6" s="41">
        <v>0.122</v>
      </c>
      <c r="H6" s="41">
        <v>0.127</v>
      </c>
      <c r="I6" s="41">
        <f t="shared" ref="I6:I25" si="5">1.2596*F6</f>
        <v>0.14107520000000001</v>
      </c>
      <c r="J6" s="41">
        <f t="shared" ref="J6:J25" si="6">1.2596*G6</f>
        <v>0.15367120000000001</v>
      </c>
      <c r="K6" s="41">
        <f t="shared" ref="K6:K25" si="7">1.2596*H6</f>
        <v>0.15996920000000001</v>
      </c>
      <c r="L6" s="42">
        <f t="shared" si="1"/>
        <v>0.15157186666666667</v>
      </c>
      <c r="M6" s="41">
        <f t="shared" si="2"/>
        <v>5.5543139190282623E-3</v>
      </c>
      <c r="N6" s="41">
        <f t="shared" si="3"/>
        <v>-1.95846219744231</v>
      </c>
      <c r="O6" s="41">
        <f t="shared" si="3"/>
        <v>-1.8729400240041478</v>
      </c>
      <c r="P6" s="41">
        <f t="shared" si="3"/>
        <v>-1.8327739822788132</v>
      </c>
      <c r="Q6" s="42">
        <f t="shared" si="4"/>
        <v>-1.8880587345750903</v>
      </c>
      <c r="R6" s="41">
        <f t="shared" ref="R6:R25" si="8">STDEV(N6:P6)/SQRT(3)</f>
        <v>3.7062170357127923E-2</v>
      </c>
      <c r="S6" s="41">
        <f>(N6-N5)/(D6-D5)</f>
        <v>3.1525637531738246E-2</v>
      </c>
      <c r="T6" s="41">
        <f>(O6-O5)/(D6-D5)</f>
        <v>7.3838280695287042E-2</v>
      </c>
      <c r="U6" s="41">
        <f>(P6-P5)/(D6-D5)</f>
        <v>9.7857369053275495E-2</v>
      </c>
      <c r="V6" s="42">
        <f>AVERAGE(S6:U6)</f>
        <v>6.7740429093433599E-2</v>
      </c>
      <c r="W6" s="41">
        <f>STDEV(S6:U6)/SQRT(3)</f>
        <v>1.9389537533422457E-2</v>
      </c>
      <c r="X6" s="41">
        <f>(I6/D6)</f>
        <v>4.7553438202247195E-2</v>
      </c>
      <c r="Y6" s="41">
        <f>J6/D6</f>
        <v>5.1799280898876407E-2</v>
      </c>
      <c r="Z6" s="41">
        <f>K6/D6</f>
        <v>5.3922202247191013E-2</v>
      </c>
      <c r="AA6" s="42">
        <f>AVERAGE(X6:Z6)</f>
        <v>5.1091640449438203E-2</v>
      </c>
      <c r="AB6" s="169">
        <f>STDEV(X6:Z6)/SQRT(3)</f>
        <v>1.8722406468634593E-3</v>
      </c>
      <c r="AD6" s="43"/>
      <c r="AE6" s="3"/>
      <c r="AF6" s="3"/>
    </row>
    <row r="7" spans="1:32" s="5" customFormat="1" x14ac:dyDescent="0.15">
      <c r="A7" s="46"/>
      <c r="B7" s="223"/>
      <c r="C7" s="39">
        <v>0.70416666666666661</v>
      </c>
      <c r="D7" s="43">
        <v>5.3000000000000007</v>
      </c>
      <c r="E7" s="224"/>
      <c r="F7" s="40">
        <v>0.13500000000000001</v>
      </c>
      <c r="G7" s="41">
        <v>0.13500000000000001</v>
      </c>
      <c r="H7" s="41">
        <v>0.13700000000000001</v>
      </c>
      <c r="I7" s="41">
        <f t="shared" si="5"/>
        <v>0.17004600000000003</v>
      </c>
      <c r="J7" s="41">
        <f t="shared" si="6"/>
        <v>0.17004600000000003</v>
      </c>
      <c r="K7" s="41">
        <f t="shared" si="7"/>
        <v>0.17256520000000003</v>
      </c>
      <c r="L7" s="42">
        <f t="shared" si="1"/>
        <v>0.17088573333333335</v>
      </c>
      <c r="M7" s="41">
        <f t="shared" si="2"/>
        <v>8.39733333333333E-4</v>
      </c>
      <c r="N7" s="41">
        <f t="shared" si="3"/>
        <v>-1.771686290298975</v>
      </c>
      <c r="O7" s="41">
        <f t="shared" si="3"/>
        <v>-1.771686290298975</v>
      </c>
      <c r="P7" s="41">
        <f t="shared" si="3"/>
        <v>-1.7569801429092795</v>
      </c>
      <c r="Q7" s="42">
        <f t="shared" si="4"/>
        <v>-1.7667842411690764</v>
      </c>
      <c r="R7" s="41">
        <f t="shared" si="8"/>
        <v>4.9020491298984821E-3</v>
      </c>
      <c r="S7" s="41">
        <f t="shared" ref="S7:S25" si="9">(N7-N6)/(D7-D6)</f>
        <v>8.004681734714357E-2</v>
      </c>
      <c r="T7" s="41">
        <f t="shared" ref="T7:T24" si="10">(O7-O6)/(D7-D6)</f>
        <v>4.3394457302216936E-2</v>
      </c>
      <c r="U7" s="41">
        <f t="shared" ref="U7:U25" si="11">(P7-P6)/(D7-D6)</f>
        <v>3.2483074015514417E-2</v>
      </c>
      <c r="V7" s="42">
        <f t="shared" ref="V7:V25" si="12">AVERAGE(S7:U7)</f>
        <v>5.1974782888291639E-2</v>
      </c>
      <c r="W7" s="41">
        <f t="shared" ref="W7:W25" si="13">STDEV(S7:U7)/SQRT(3)</f>
        <v>1.4385107001126331E-2</v>
      </c>
      <c r="X7" s="41">
        <f t="shared" ref="X7:X25" si="14">(I7/D7)</f>
        <v>3.2084150943396228E-2</v>
      </c>
      <c r="Y7" s="41">
        <f t="shared" ref="Y7:Y25" si="15">J7/D7</f>
        <v>3.2084150943396228E-2</v>
      </c>
      <c r="Z7" s="41">
        <f t="shared" ref="Z7:Z25" si="16">K7/D7</f>
        <v>3.2559471698113206E-2</v>
      </c>
      <c r="AA7" s="42">
        <f t="shared" ref="AA7:AA25" si="17">AVERAGE(X7:Z7)</f>
        <v>3.2242591194968556E-2</v>
      </c>
      <c r="AB7" s="169">
        <f t="shared" ref="AB7:AB25" si="18">STDEV(X7:Z7)/SQRT(3)</f>
        <v>1.5844025157232591E-4</v>
      </c>
      <c r="AD7" s="175"/>
      <c r="AE7" s="3"/>
      <c r="AF7" s="3"/>
    </row>
    <row r="8" spans="1:32" s="5" customFormat="1" x14ac:dyDescent="0.15">
      <c r="A8" s="46"/>
      <c r="B8" s="223"/>
      <c r="C8" s="39">
        <v>0.9</v>
      </c>
      <c r="D8" s="43">
        <v>10</v>
      </c>
      <c r="E8" s="224"/>
      <c r="F8" s="40">
        <v>0.161</v>
      </c>
      <c r="G8" s="41">
        <v>0.16500000000000001</v>
      </c>
      <c r="H8" s="41">
        <v>0.157</v>
      </c>
      <c r="I8" s="41">
        <f t="shared" si="5"/>
        <v>0.20279560000000002</v>
      </c>
      <c r="J8" s="41">
        <f t="shared" si="6"/>
        <v>0.20783400000000002</v>
      </c>
      <c r="K8" s="41">
        <f t="shared" si="7"/>
        <v>0.19775720000000002</v>
      </c>
      <c r="L8" s="42">
        <f t="shared" si="1"/>
        <v>0.20279560000000005</v>
      </c>
      <c r="M8" s="41">
        <f t="shared" si="2"/>
        <v>2.9089215962850097E-3</v>
      </c>
      <c r="N8" s="41">
        <f t="shared" si="3"/>
        <v>-1.5955567037529415</v>
      </c>
      <c r="O8" s="41">
        <f t="shared" si="3"/>
        <v>-1.5710155948368238</v>
      </c>
      <c r="P8" s="41">
        <f t="shared" si="3"/>
        <v>-1.6207152633890964</v>
      </c>
      <c r="Q8" s="42">
        <f t="shared" si="4"/>
        <v>-1.5957625206596207</v>
      </c>
      <c r="R8" s="41">
        <f t="shared" si="8"/>
        <v>1.4347427574316177E-2</v>
      </c>
      <c r="S8" s="41">
        <f t="shared" si="9"/>
        <v>3.7474380116177347E-2</v>
      </c>
      <c r="T8" s="41">
        <f t="shared" si="10"/>
        <v>4.2695892651521516E-2</v>
      </c>
      <c r="U8" s="41">
        <f t="shared" si="11"/>
        <v>2.8992527557485763E-2</v>
      </c>
      <c r="V8" s="42">
        <f t="shared" si="12"/>
        <v>3.6387600108394876E-2</v>
      </c>
      <c r="W8" s="41">
        <f t="shared" si="13"/>
        <v>3.9929676438331735E-3</v>
      </c>
      <c r="X8" s="41">
        <f t="shared" si="14"/>
        <v>2.0279560000000002E-2</v>
      </c>
      <c r="Y8" s="41">
        <f t="shared" si="15"/>
        <v>2.07834E-2</v>
      </c>
      <c r="Z8" s="41">
        <f t="shared" si="16"/>
        <v>1.9775720000000004E-2</v>
      </c>
      <c r="AA8" s="42">
        <f t="shared" si="17"/>
        <v>2.0279560000000002E-2</v>
      </c>
      <c r="AB8" s="169">
        <f t="shared" si="18"/>
        <v>2.9089215962850015E-4</v>
      </c>
      <c r="AD8" s="175"/>
      <c r="AE8" s="3"/>
      <c r="AF8" s="3"/>
    </row>
    <row r="9" spans="1:32" s="5" customFormat="1" x14ac:dyDescent="0.15">
      <c r="A9" s="46"/>
      <c r="B9" s="222" t="s">
        <v>24</v>
      </c>
      <c r="C9" s="39">
        <v>0.42152777777777778</v>
      </c>
      <c r="D9" s="43">
        <v>22.516666666666666</v>
      </c>
      <c r="E9" s="224">
        <v>2</v>
      </c>
      <c r="F9" s="40">
        <v>0.23100000000000001</v>
      </c>
      <c r="G9" s="41">
        <v>0.23200000000000001</v>
      </c>
      <c r="H9" s="41">
        <v>0.24199999999999999</v>
      </c>
      <c r="I9" s="41">
        <f t="shared" si="5"/>
        <v>0.29096760000000005</v>
      </c>
      <c r="J9" s="41">
        <f t="shared" si="6"/>
        <v>0.29222720000000002</v>
      </c>
      <c r="K9" s="41">
        <f t="shared" si="7"/>
        <v>0.30482320000000002</v>
      </c>
      <c r="L9" s="42">
        <f t="shared" si="1"/>
        <v>0.29600599999999999</v>
      </c>
      <c r="M9" s="41">
        <f t="shared" si="2"/>
        <v>4.4235698223644305E-3</v>
      </c>
      <c r="N9" s="41">
        <f t="shared" si="3"/>
        <v>-1.2345433582156109</v>
      </c>
      <c r="O9" s="41">
        <f t="shared" si="3"/>
        <v>-1.2302236970710945</v>
      </c>
      <c r="P9" s="41">
        <f t="shared" si="3"/>
        <v>-1.1880233425807181</v>
      </c>
      <c r="Q9" s="42">
        <f t="shared" si="4"/>
        <v>-1.217596799289141</v>
      </c>
      <c r="R9" s="41">
        <f t="shared" si="8"/>
        <v>1.4839214650879066E-2</v>
      </c>
      <c r="S9" s="41">
        <f t="shared" si="9"/>
        <v>2.884261082854838E-2</v>
      </c>
      <c r="T9" s="41">
        <f t="shared" si="10"/>
        <v>2.7227049089139501E-2</v>
      </c>
      <c r="U9" s="41">
        <f t="shared" si="11"/>
        <v>3.4569261316248608E-2</v>
      </c>
      <c r="V9" s="42">
        <f t="shared" si="12"/>
        <v>3.0212973744645499E-2</v>
      </c>
      <c r="W9" s="41">
        <f t="shared" si="13"/>
        <v>2.2275128872308284E-3</v>
      </c>
      <c r="X9" s="41">
        <f t="shared" si="14"/>
        <v>1.2922321243523318E-2</v>
      </c>
      <c r="Y9" s="41">
        <f t="shared" si="15"/>
        <v>1.2978262028127314E-2</v>
      </c>
      <c r="Z9" s="41">
        <f t="shared" si="16"/>
        <v>1.3537669874167284E-2</v>
      </c>
      <c r="AA9" s="42">
        <f t="shared" si="17"/>
        <v>1.3146084381939304E-2</v>
      </c>
      <c r="AB9" s="169">
        <f t="shared" si="18"/>
        <v>1.9645757908354241E-4</v>
      </c>
      <c r="AD9" s="175"/>
      <c r="AE9" s="3"/>
      <c r="AF9" s="3"/>
    </row>
    <row r="10" spans="1:32" s="5" customFormat="1" x14ac:dyDescent="0.15">
      <c r="A10" s="46"/>
      <c r="B10" s="222"/>
      <c r="C10" s="39">
        <v>0.54861111111111105</v>
      </c>
      <c r="D10" s="43">
        <v>25.566666666666666</v>
      </c>
      <c r="E10" s="224"/>
      <c r="F10" s="40">
        <v>0.252</v>
      </c>
      <c r="G10" s="41">
        <v>0.22800000000000001</v>
      </c>
      <c r="H10" s="41">
        <v>0.23200000000000001</v>
      </c>
      <c r="I10" s="41">
        <f t="shared" si="5"/>
        <v>0.31741920000000001</v>
      </c>
      <c r="J10" s="41">
        <f t="shared" si="6"/>
        <v>0.28718880000000002</v>
      </c>
      <c r="K10" s="41">
        <f t="shared" si="7"/>
        <v>0.29222720000000002</v>
      </c>
      <c r="L10" s="42">
        <f t="shared" si="1"/>
        <v>0.2989450666666667</v>
      </c>
      <c r="M10" s="41">
        <f t="shared" si="2"/>
        <v>9.3508746552275913E-3</v>
      </c>
      <c r="N10" s="41">
        <f t="shared" si="3"/>
        <v>-1.1475319812259812</v>
      </c>
      <c r="O10" s="41">
        <f t="shared" si="3"/>
        <v>-1.2476154397829637</v>
      </c>
      <c r="P10" s="41">
        <f t="shared" si="3"/>
        <v>-1.2302236970710945</v>
      </c>
      <c r="Q10" s="42">
        <f t="shared" si="4"/>
        <v>-1.2084570393600131</v>
      </c>
      <c r="R10" s="41">
        <f t="shared" si="8"/>
        <v>3.0873479504343434E-2</v>
      </c>
      <c r="S10" s="41">
        <f t="shared" si="9"/>
        <v>2.8528320324468743E-2</v>
      </c>
      <c r="T10" s="41">
        <f t="shared" si="10"/>
        <v>-5.7022107252030392E-3</v>
      </c>
      <c r="U10" s="41">
        <f t="shared" si="11"/>
        <v>-1.3836181800123408E-2</v>
      </c>
      <c r="V10" s="42">
        <f t="shared" si="12"/>
        <v>2.9966425997140986E-3</v>
      </c>
      <c r="W10" s="41">
        <f t="shared" si="13"/>
        <v>1.2979988404494816E-2</v>
      </c>
      <c r="X10" s="41">
        <f t="shared" si="14"/>
        <v>1.241535332464146E-2</v>
      </c>
      <c r="Y10" s="41">
        <f t="shared" si="15"/>
        <v>1.1232938722294656E-2</v>
      </c>
      <c r="Z10" s="41">
        <f t="shared" si="16"/>
        <v>1.143000782268579E-2</v>
      </c>
      <c r="AA10" s="42">
        <f t="shared" si="17"/>
        <v>1.1692766623207304E-2</v>
      </c>
      <c r="AB10" s="169">
        <f t="shared" si="18"/>
        <v>3.6574477139090931E-4</v>
      </c>
      <c r="AD10" s="175"/>
      <c r="AE10" s="3"/>
      <c r="AF10" s="3"/>
    </row>
    <row r="11" spans="1:32" s="5" customFormat="1" x14ac:dyDescent="0.15">
      <c r="A11" s="46"/>
      <c r="B11" s="222"/>
      <c r="C11" s="39">
        <v>0.72152777777777777</v>
      </c>
      <c r="D11" s="43">
        <v>29.716666666666669</v>
      </c>
      <c r="E11" s="224"/>
      <c r="F11" s="40">
        <v>0.252</v>
      </c>
      <c r="G11" s="41">
        <v>0.27100000000000002</v>
      </c>
      <c r="H11" s="41">
        <v>0.28100000000000003</v>
      </c>
      <c r="I11" s="41">
        <f t="shared" si="5"/>
        <v>0.31741920000000001</v>
      </c>
      <c r="J11" s="41">
        <f t="shared" si="6"/>
        <v>0.34135160000000003</v>
      </c>
      <c r="K11" s="41">
        <f t="shared" si="7"/>
        <v>0.35394760000000003</v>
      </c>
      <c r="L11" s="42">
        <f t="shared" si="1"/>
        <v>0.33757280000000006</v>
      </c>
      <c r="M11" s="41">
        <f t="shared" si="2"/>
        <v>1.0712772730406142E-2</v>
      </c>
      <c r="N11" s="41">
        <f t="shared" si="3"/>
        <v>-1.1475319812259812</v>
      </c>
      <c r="O11" s="41">
        <f t="shared" si="3"/>
        <v>-1.0748422478577035</v>
      </c>
      <c r="P11" s="41">
        <f t="shared" si="3"/>
        <v>-1.0386063994036587</v>
      </c>
      <c r="Q11" s="42">
        <f t="shared" si="4"/>
        <v>-1.0869935428291144</v>
      </c>
      <c r="R11" s="41">
        <f t="shared" si="8"/>
        <v>3.2025698383977751E-2</v>
      </c>
      <c r="S11" s="41">
        <f t="shared" si="9"/>
        <v>0</v>
      </c>
      <c r="T11" s="41">
        <f t="shared" si="10"/>
        <v>4.1632094439821715E-2</v>
      </c>
      <c r="U11" s="41">
        <f t="shared" si="11"/>
        <v>4.6172842811430276E-2</v>
      </c>
      <c r="V11" s="42">
        <f t="shared" si="12"/>
        <v>2.9268312417083997E-2</v>
      </c>
      <c r="W11" s="41">
        <f t="shared" si="13"/>
        <v>1.4692744045407711E-2</v>
      </c>
      <c r="X11" s="41">
        <f t="shared" si="14"/>
        <v>1.0681521031968592E-2</v>
      </c>
      <c r="Y11" s="41">
        <f t="shared" si="15"/>
        <v>1.1486873808188447E-2</v>
      </c>
      <c r="Z11" s="41">
        <f t="shared" si="16"/>
        <v>1.1910743690409422E-2</v>
      </c>
      <c r="AA11" s="42">
        <f t="shared" si="17"/>
        <v>1.1359712843522154E-2</v>
      </c>
      <c r="AB11" s="169">
        <f t="shared" si="18"/>
        <v>3.6049711936307806E-4</v>
      </c>
      <c r="AD11" s="175"/>
      <c r="AE11" s="3"/>
      <c r="AF11" s="3"/>
    </row>
    <row r="12" spans="1:32" s="5" customFormat="1" x14ac:dyDescent="0.15">
      <c r="A12" s="46"/>
      <c r="B12" s="44" t="s">
        <v>25</v>
      </c>
      <c r="C12" s="39">
        <v>0.46249999999999997</v>
      </c>
      <c r="D12" s="43">
        <v>47.5</v>
      </c>
      <c r="E12" s="45">
        <v>3</v>
      </c>
      <c r="F12" s="40">
        <v>0.39200000000000002</v>
      </c>
      <c r="G12" s="41">
        <v>0.4</v>
      </c>
      <c r="H12" s="41">
        <v>0.439</v>
      </c>
      <c r="I12" s="41">
        <f t="shared" si="5"/>
        <v>0.49376320000000001</v>
      </c>
      <c r="J12" s="41">
        <f t="shared" si="6"/>
        <v>0.50384000000000007</v>
      </c>
      <c r="K12" s="41">
        <f t="shared" si="7"/>
        <v>0.55296440000000002</v>
      </c>
      <c r="L12" s="42">
        <f t="shared" si="1"/>
        <v>0.51685586666666672</v>
      </c>
      <c r="M12" s="41">
        <f t="shared" si="2"/>
        <v>1.8287109386790585E-2</v>
      </c>
      <c r="N12" s="41">
        <f t="shared" si="3"/>
        <v>-0.70569922894694193</v>
      </c>
      <c r="O12" s="41">
        <f t="shared" si="3"/>
        <v>-0.68549652162942243</v>
      </c>
      <c r="P12" s="41">
        <f t="shared" si="3"/>
        <v>-0.59246165566223308</v>
      </c>
      <c r="Q12" s="42">
        <f t="shared" si="4"/>
        <v>-0.66121913541286581</v>
      </c>
      <c r="R12" s="41">
        <f t="shared" si="8"/>
        <v>3.4869903986022778E-2</v>
      </c>
      <c r="S12" s="41">
        <f t="shared" si="9"/>
        <v>2.4845328150648886E-2</v>
      </c>
      <c r="T12" s="41">
        <f t="shared" si="10"/>
        <v>2.1893855270568762E-2</v>
      </c>
      <c r="U12" s="41">
        <f t="shared" si="11"/>
        <v>2.5087801897362271E-2</v>
      </c>
      <c r="V12" s="42">
        <f t="shared" si="12"/>
        <v>2.394232843952664E-2</v>
      </c>
      <c r="W12" s="41">
        <f t="shared" si="13"/>
        <v>1.0266255601754312E-3</v>
      </c>
      <c r="X12" s="41">
        <f t="shared" si="14"/>
        <v>1.0395014736842106E-2</v>
      </c>
      <c r="Y12" s="41">
        <f t="shared" si="15"/>
        <v>1.0607157894736843E-2</v>
      </c>
      <c r="Z12" s="41">
        <f t="shared" si="16"/>
        <v>1.1641355789473685E-2</v>
      </c>
      <c r="AA12" s="42">
        <f t="shared" si="17"/>
        <v>1.0881176140350878E-2</v>
      </c>
      <c r="AB12" s="169">
        <f t="shared" si="18"/>
        <v>3.8499177656401253E-4</v>
      </c>
      <c r="AD12" s="175"/>
      <c r="AE12" s="3"/>
      <c r="AF12" s="3"/>
    </row>
    <row r="13" spans="1:32" s="5" customFormat="1" x14ac:dyDescent="0.15">
      <c r="A13" s="46"/>
      <c r="B13" s="44" t="s">
        <v>26</v>
      </c>
      <c r="C13" s="39">
        <v>0.43263888888888885</v>
      </c>
      <c r="D13" s="43">
        <v>70.783333333333331</v>
      </c>
      <c r="E13" s="45">
        <v>4</v>
      </c>
      <c r="F13" s="40">
        <v>0.54400000000000004</v>
      </c>
      <c r="G13" s="41">
        <v>0.55200000000000005</v>
      </c>
      <c r="H13" s="41">
        <v>0.59399999999999997</v>
      </c>
      <c r="I13" s="41">
        <f t="shared" si="5"/>
        <v>0.68522240000000012</v>
      </c>
      <c r="J13" s="41">
        <f t="shared" si="6"/>
        <v>0.69529920000000012</v>
      </c>
      <c r="K13" s="41">
        <f t="shared" si="7"/>
        <v>0.74820240000000005</v>
      </c>
      <c r="L13" s="42">
        <f t="shared" si="1"/>
        <v>0.70957466666666669</v>
      </c>
      <c r="M13" s="41">
        <f t="shared" si="2"/>
        <v>1.9531699118896701E-2</v>
      </c>
      <c r="N13" s="41">
        <f t="shared" si="3"/>
        <v>-0.37801182188146171</v>
      </c>
      <c r="O13" s="41">
        <f t="shared" si="3"/>
        <v>-0.36341302246030904</v>
      </c>
      <c r="P13" s="41">
        <f t="shared" si="3"/>
        <v>-0.29008174937475956</v>
      </c>
      <c r="Q13" s="42">
        <f t="shared" si="4"/>
        <v>-0.34383553123884347</v>
      </c>
      <c r="R13" s="41">
        <f t="shared" si="8"/>
        <v>2.7205287688568659E-2</v>
      </c>
      <c r="S13" s="41">
        <f t="shared" si="9"/>
        <v>1.4073904383628356E-2</v>
      </c>
      <c r="T13" s="41">
        <f t="shared" si="10"/>
        <v>1.3833221152574663E-2</v>
      </c>
      <c r="U13" s="41">
        <f t="shared" si="11"/>
        <v>1.2986968058159208E-2</v>
      </c>
      <c r="V13" s="42">
        <f t="shared" si="12"/>
        <v>1.3631364531454075E-2</v>
      </c>
      <c r="W13" s="41">
        <f t="shared" si="13"/>
        <v>3.2960441720531131E-4</v>
      </c>
      <c r="X13" s="41">
        <f t="shared" si="14"/>
        <v>9.6805613374146473E-3</v>
      </c>
      <c r="Y13" s="41">
        <f t="shared" si="15"/>
        <v>9.8229225335530988E-3</v>
      </c>
      <c r="Z13" s="41">
        <f t="shared" si="16"/>
        <v>1.0570318813279963E-2</v>
      </c>
      <c r="AA13" s="42">
        <f t="shared" si="17"/>
        <v>1.0024600894749236E-2</v>
      </c>
      <c r="AB13" s="169">
        <f t="shared" si="18"/>
        <v>2.7593641326437526E-4</v>
      </c>
      <c r="AD13" s="175"/>
      <c r="AE13" s="3"/>
      <c r="AF13" s="3"/>
    </row>
    <row r="14" spans="1:32" s="5" customFormat="1" x14ac:dyDescent="0.15">
      <c r="A14" s="46"/>
      <c r="B14" s="44" t="s">
        <v>27</v>
      </c>
      <c r="C14" s="39">
        <v>0.43888888888888888</v>
      </c>
      <c r="D14" s="43">
        <v>94.933333333333337</v>
      </c>
      <c r="E14" s="45">
        <v>5</v>
      </c>
      <c r="F14" s="40">
        <v>0.76500000000000001</v>
      </c>
      <c r="G14" s="41">
        <v>0.751</v>
      </c>
      <c r="H14" s="41">
        <v>0.78700000000000003</v>
      </c>
      <c r="I14" s="41">
        <f t="shared" si="5"/>
        <v>0.96359400000000006</v>
      </c>
      <c r="J14" s="41">
        <f t="shared" si="6"/>
        <v>0.94595960000000001</v>
      </c>
      <c r="K14" s="41">
        <f t="shared" si="7"/>
        <v>0.99130520000000011</v>
      </c>
      <c r="L14" s="42">
        <f t="shared" si="1"/>
        <v>0.96695293333333343</v>
      </c>
      <c r="M14" s="41">
        <f t="shared" si="2"/>
        <v>1.3197445266582666E-2</v>
      </c>
      <c r="N14" s="41">
        <f t="shared" si="3"/>
        <v>-3.7085234910868618E-2</v>
      </c>
      <c r="O14" s="41">
        <f t="shared" si="3"/>
        <v>-5.5555416973269767E-2</v>
      </c>
      <c r="P14" s="41">
        <f t="shared" si="3"/>
        <v>-8.7328203200011858E-3</v>
      </c>
      <c r="Q14" s="42">
        <f t="shared" si="4"/>
        <v>-3.3791157401379855E-2</v>
      </c>
      <c r="R14" s="41">
        <f t="shared" si="8"/>
        <v>1.3616498562620757E-2</v>
      </c>
      <c r="S14" s="41">
        <f t="shared" si="9"/>
        <v>1.4117042938740911E-2</v>
      </c>
      <c r="T14" s="41">
        <f t="shared" si="10"/>
        <v>1.2747726935281126E-2</v>
      </c>
      <c r="U14" s="41">
        <f t="shared" si="11"/>
        <v>1.1650059174110076E-2</v>
      </c>
      <c r="V14" s="42">
        <f t="shared" si="12"/>
        <v>1.2838276349377372E-2</v>
      </c>
      <c r="W14" s="41">
        <f t="shared" si="13"/>
        <v>7.1359456767198734E-4</v>
      </c>
      <c r="X14" s="41">
        <f t="shared" si="14"/>
        <v>1.0150217696629214E-2</v>
      </c>
      <c r="Y14" s="41">
        <f t="shared" si="15"/>
        <v>9.9644620786516844E-3</v>
      </c>
      <c r="Z14" s="41">
        <f t="shared" si="16"/>
        <v>1.0442119382022472E-2</v>
      </c>
      <c r="AA14" s="42">
        <f t="shared" si="17"/>
        <v>1.0185599719101124E-2</v>
      </c>
      <c r="AB14" s="169">
        <f t="shared" si="18"/>
        <v>1.3901803300473323E-4</v>
      </c>
      <c r="AD14" s="175"/>
      <c r="AE14" s="3"/>
      <c r="AF14" s="3"/>
    </row>
    <row r="15" spans="1:32" s="5" customFormat="1" x14ac:dyDescent="0.15">
      <c r="A15" s="46"/>
      <c r="B15" s="44" t="s">
        <v>28</v>
      </c>
      <c r="C15" s="39">
        <v>0.50069444444444444</v>
      </c>
      <c r="D15" s="43">
        <v>120.41666666666667</v>
      </c>
      <c r="E15" s="45">
        <v>6</v>
      </c>
      <c r="F15" s="40">
        <v>1.0649999999999999</v>
      </c>
      <c r="G15" s="41">
        <v>1.02</v>
      </c>
      <c r="H15" s="41">
        <v>1.101</v>
      </c>
      <c r="I15" s="41">
        <f t="shared" si="5"/>
        <v>1.3414740000000001</v>
      </c>
      <c r="J15" s="41">
        <f t="shared" si="6"/>
        <v>1.2847920000000002</v>
      </c>
      <c r="K15" s="41">
        <f t="shared" si="7"/>
        <v>1.3868195999999999</v>
      </c>
      <c r="L15" s="42">
        <f t="shared" si="1"/>
        <v>1.3376952</v>
      </c>
      <c r="M15" s="41">
        <f t="shared" si="2"/>
        <v>2.9513371475316002E-2</v>
      </c>
      <c r="N15" s="41">
        <f t="shared" si="3"/>
        <v>0.293769009406121</v>
      </c>
      <c r="O15" s="41">
        <f t="shared" si="3"/>
        <v>0.25059683754091239</v>
      </c>
      <c r="P15" s="41">
        <f t="shared" si="3"/>
        <v>0.32701306798527541</v>
      </c>
      <c r="Q15" s="42">
        <f t="shared" si="4"/>
        <v>0.2904596383107696</v>
      </c>
      <c r="R15" s="41">
        <f t="shared" si="8"/>
        <v>2.212143772916959E-2</v>
      </c>
      <c r="S15" s="41">
        <f t="shared" si="9"/>
        <v>1.2983161974505806E-2</v>
      </c>
      <c r="T15" s="41">
        <f t="shared" si="10"/>
        <v>1.2013822937116369E-2</v>
      </c>
      <c r="U15" s="41">
        <f t="shared" si="11"/>
        <v>1.3175116611063829E-2</v>
      </c>
      <c r="V15" s="42">
        <f t="shared" si="12"/>
        <v>1.2724033840895335E-2</v>
      </c>
      <c r="W15" s="41">
        <f t="shared" si="13"/>
        <v>3.5940288048786874E-4</v>
      </c>
      <c r="X15" s="41">
        <f t="shared" si="14"/>
        <v>1.1140268512110727E-2</v>
      </c>
      <c r="Y15" s="41">
        <f t="shared" si="15"/>
        <v>1.0669552941176471E-2</v>
      </c>
      <c r="Z15" s="41">
        <f t="shared" si="16"/>
        <v>1.1516840968858131E-2</v>
      </c>
      <c r="AA15" s="42">
        <f t="shared" si="17"/>
        <v>1.1108887474048444E-2</v>
      </c>
      <c r="AB15" s="169">
        <f t="shared" si="18"/>
        <v>2.450937423555659E-4</v>
      </c>
      <c r="AD15" s="175"/>
      <c r="AE15" s="3"/>
      <c r="AF15" s="3"/>
    </row>
    <row r="16" spans="1:32" s="5" customFormat="1" x14ac:dyDescent="0.15">
      <c r="A16" s="46"/>
      <c r="B16" s="44" t="s">
        <v>29</v>
      </c>
      <c r="C16" s="39">
        <v>0.51111111111111118</v>
      </c>
      <c r="D16" s="43">
        <v>144.66666666666669</v>
      </c>
      <c r="E16" s="45">
        <v>7</v>
      </c>
      <c r="F16" s="40">
        <v>1.3759999999999999</v>
      </c>
      <c r="G16" s="41">
        <v>1.256</v>
      </c>
      <c r="H16" s="41">
        <v>1.4059999999999999</v>
      </c>
      <c r="I16" s="41">
        <f t="shared" si="5"/>
        <v>1.7332095999999999</v>
      </c>
      <c r="J16" s="41">
        <f t="shared" si="6"/>
        <v>1.5820576000000002</v>
      </c>
      <c r="K16" s="41">
        <f t="shared" si="7"/>
        <v>1.7709976000000001</v>
      </c>
      <c r="L16" s="42">
        <f t="shared" si="1"/>
        <v>1.6954216000000002</v>
      </c>
      <c r="M16" s="41">
        <f t="shared" si="2"/>
        <v>5.7722123453663704E-2</v>
      </c>
      <c r="N16" s="41">
        <f t="shared" si="3"/>
        <v>0.54997494975588435</v>
      </c>
      <c r="O16" s="41">
        <f t="shared" si="3"/>
        <v>0.45872627829073959</v>
      </c>
      <c r="P16" s="41">
        <f t="shared" si="3"/>
        <v>0.57154300363320576</v>
      </c>
      <c r="Q16" s="42">
        <f t="shared" si="4"/>
        <v>0.52674807722660988</v>
      </c>
      <c r="R16" s="41">
        <f t="shared" si="8"/>
        <v>3.4576095233883462E-2</v>
      </c>
      <c r="S16" s="41">
        <f t="shared" si="9"/>
        <v>1.056519341648508E-2</v>
      </c>
      <c r="T16" s="41">
        <f t="shared" si="10"/>
        <v>8.5826573505083329E-3</v>
      </c>
      <c r="U16" s="41">
        <f t="shared" si="11"/>
        <v>1.0083708686512587E-2</v>
      </c>
      <c r="V16" s="42">
        <f t="shared" si="12"/>
        <v>9.7438531511686664E-3</v>
      </c>
      <c r="W16" s="41">
        <f t="shared" si="13"/>
        <v>5.9700325289526021E-4</v>
      </c>
      <c r="X16" s="41">
        <f t="shared" si="14"/>
        <v>1.1980711520737325E-2</v>
      </c>
      <c r="Y16" s="41">
        <f t="shared" si="15"/>
        <v>1.0935882027649769E-2</v>
      </c>
      <c r="Z16" s="41">
        <f t="shared" si="16"/>
        <v>1.2241918894009215E-2</v>
      </c>
      <c r="AA16" s="42">
        <f t="shared" si="17"/>
        <v>1.1719504147465434E-2</v>
      </c>
      <c r="AB16" s="169">
        <f t="shared" si="18"/>
        <v>3.9900085336633896E-4</v>
      </c>
      <c r="AD16" s="175"/>
      <c r="AE16" s="3"/>
      <c r="AF16" s="3"/>
    </row>
    <row r="17" spans="1:32" s="5" customFormat="1" x14ac:dyDescent="0.15">
      <c r="A17" s="46"/>
      <c r="B17" s="44" t="s">
        <v>30</v>
      </c>
      <c r="C17" s="39">
        <v>0.4291666666666667</v>
      </c>
      <c r="D17" s="43">
        <v>166.70000000000002</v>
      </c>
      <c r="E17" s="45">
        <v>8</v>
      </c>
      <c r="F17" s="40">
        <v>1.55</v>
      </c>
      <c r="G17" s="41">
        <v>1.45</v>
      </c>
      <c r="H17" s="41">
        <v>1.546</v>
      </c>
      <c r="I17" s="41">
        <f t="shared" si="5"/>
        <v>1.9523800000000002</v>
      </c>
      <c r="J17" s="41">
        <f t="shared" si="6"/>
        <v>1.8264199999999999</v>
      </c>
      <c r="K17" s="41">
        <f t="shared" si="7"/>
        <v>1.9473416000000001</v>
      </c>
      <c r="L17" s="42">
        <f t="shared" si="1"/>
        <v>1.9087138666666668</v>
      </c>
      <c r="M17" s="41">
        <f t="shared" si="2"/>
        <v>4.1172631430977519E-2</v>
      </c>
      <c r="N17" s="41">
        <f t="shared" si="3"/>
        <v>0.66904914117588787</v>
      </c>
      <c r="O17" s="41">
        <f t="shared" si="3"/>
        <v>0.60235776667721552</v>
      </c>
      <c r="P17" s="41">
        <f t="shared" si="3"/>
        <v>0.66646516040996284</v>
      </c>
      <c r="Q17" s="42">
        <f t="shared" si="4"/>
        <v>0.64595735608768878</v>
      </c>
      <c r="R17" s="41">
        <f t="shared" si="8"/>
        <v>2.1812552859313637E-2</v>
      </c>
      <c r="S17" s="41">
        <f t="shared" si="9"/>
        <v>5.4042749509835191E-3</v>
      </c>
      <c r="T17" s="41">
        <f t="shared" si="10"/>
        <v>6.5188270069504971E-3</v>
      </c>
      <c r="U17" s="41">
        <f t="shared" si="11"/>
        <v>4.3081160413051631E-3</v>
      </c>
      <c r="V17" s="42">
        <f t="shared" si="12"/>
        <v>5.4104059997463925E-3</v>
      </c>
      <c r="W17" s="41">
        <f t="shared" si="13"/>
        <v>6.3818464823417443E-4</v>
      </c>
      <c r="X17" s="41">
        <f t="shared" si="14"/>
        <v>1.1711937612477505E-2</v>
      </c>
      <c r="Y17" s="41">
        <f t="shared" si="15"/>
        <v>1.0956328734253147E-2</v>
      </c>
      <c r="Z17" s="41">
        <f t="shared" si="16"/>
        <v>1.1681713257348529E-2</v>
      </c>
      <c r="AA17" s="42">
        <f t="shared" si="17"/>
        <v>1.1449993201359726E-2</v>
      </c>
      <c r="AB17" s="169">
        <f t="shared" si="18"/>
        <v>2.4698639130760371E-4</v>
      </c>
      <c r="AD17" s="175"/>
      <c r="AE17" s="3"/>
      <c r="AF17" s="3"/>
    </row>
    <row r="18" spans="1:32" s="5" customFormat="1" x14ac:dyDescent="0.15">
      <c r="A18" s="46"/>
      <c r="B18" s="44" t="s">
        <v>32</v>
      </c>
      <c r="C18" s="39">
        <v>0.44097222222222227</v>
      </c>
      <c r="D18" s="43">
        <v>214.98333333333335</v>
      </c>
      <c r="E18" s="45">
        <v>10</v>
      </c>
      <c r="F18" s="40">
        <v>2.024</v>
      </c>
      <c r="G18" s="41">
        <v>1.8220000000000001</v>
      </c>
      <c r="H18" s="41">
        <v>2.024</v>
      </c>
      <c r="I18" s="41">
        <f t="shared" si="5"/>
        <v>2.5494304000000003</v>
      </c>
      <c r="J18" s="41">
        <f t="shared" si="6"/>
        <v>2.2949912000000001</v>
      </c>
      <c r="K18" s="41">
        <f t="shared" si="7"/>
        <v>2.5494304000000003</v>
      </c>
      <c r="L18" s="42">
        <f t="shared" si="1"/>
        <v>2.4646173333333334</v>
      </c>
      <c r="M18" s="41">
        <f t="shared" si="2"/>
        <v>8.4813066666666742E-2</v>
      </c>
      <c r="N18" s="41">
        <f t="shared" si="3"/>
        <v>0.93586996166995173</v>
      </c>
      <c r="O18" s="41">
        <f t="shared" si="3"/>
        <v>0.83072900908249914</v>
      </c>
      <c r="P18" s="41">
        <f t="shared" si="3"/>
        <v>0.93586996166995173</v>
      </c>
      <c r="Q18" s="42">
        <f t="shared" si="4"/>
        <v>0.90082297747413431</v>
      </c>
      <c r="R18" s="41">
        <f t="shared" si="8"/>
        <v>3.5046984195817532E-2</v>
      </c>
      <c r="S18" s="41">
        <f t="shared" si="9"/>
        <v>5.5261474731252442E-3</v>
      </c>
      <c r="T18" s="41">
        <f t="shared" si="10"/>
        <v>4.7298151689047349E-3</v>
      </c>
      <c r="U18" s="41">
        <f t="shared" si="11"/>
        <v>5.579664506592797E-3</v>
      </c>
      <c r="V18" s="42">
        <f t="shared" si="12"/>
        <v>5.2785423828742581E-3</v>
      </c>
      <c r="W18" s="41">
        <f t="shared" si="13"/>
        <v>2.7479821974851445E-4</v>
      </c>
      <c r="X18" s="41">
        <f t="shared" si="14"/>
        <v>1.1858735095743856E-2</v>
      </c>
      <c r="Y18" s="41">
        <f t="shared" si="15"/>
        <v>1.0675205209706178E-2</v>
      </c>
      <c r="Z18" s="41">
        <f t="shared" si="16"/>
        <v>1.1858735095743856E-2</v>
      </c>
      <c r="AA18" s="42">
        <f t="shared" si="17"/>
        <v>1.1464225133731298E-2</v>
      </c>
      <c r="AB18" s="169">
        <f t="shared" si="18"/>
        <v>3.9450996201255938E-4</v>
      </c>
      <c r="AD18" s="175"/>
      <c r="AE18" s="3"/>
      <c r="AF18" s="3"/>
    </row>
    <row r="19" spans="1:32" s="5" customFormat="1" x14ac:dyDescent="0.15">
      <c r="A19" s="46"/>
      <c r="B19" s="44" t="s">
        <v>33</v>
      </c>
      <c r="C19" s="39">
        <v>0.48402777777777778</v>
      </c>
      <c r="D19" s="43">
        <v>240.01666666666668</v>
      </c>
      <c r="E19" s="45">
        <v>11</v>
      </c>
      <c r="F19" s="40">
        <v>2.3279999999999998</v>
      </c>
      <c r="G19" s="41">
        <v>2.1960000000000002</v>
      </c>
      <c r="H19" s="41">
        <v>2.3079999999999998</v>
      </c>
      <c r="I19" s="41">
        <f t="shared" si="5"/>
        <v>2.9323487999999998</v>
      </c>
      <c r="J19" s="41">
        <f t="shared" si="6"/>
        <v>2.7660816000000001</v>
      </c>
      <c r="K19" s="41">
        <f t="shared" si="7"/>
        <v>2.9071568000000001</v>
      </c>
      <c r="L19" s="42">
        <f t="shared" si="1"/>
        <v>2.8685290666666661</v>
      </c>
      <c r="M19" s="41">
        <f t="shared" si="2"/>
        <v>5.1737387467263647E-2</v>
      </c>
      <c r="N19" s="41">
        <f t="shared" si="3"/>
        <v>1.0758037401139238</v>
      </c>
      <c r="O19" s="41">
        <f t="shared" si="3"/>
        <v>1.0174317338920167</v>
      </c>
      <c r="P19" s="41">
        <f t="shared" si="3"/>
        <v>1.0671755588905858</v>
      </c>
      <c r="Q19" s="42">
        <f t="shared" si="4"/>
        <v>1.053470344298842</v>
      </c>
      <c r="R19" s="41">
        <f t="shared" si="8"/>
        <v>1.8190633650745452E-2</v>
      </c>
      <c r="S19" s="41">
        <f t="shared" si="9"/>
        <v>5.5898979405048753E-3</v>
      </c>
      <c r="T19" s="41">
        <f t="shared" si="10"/>
        <v>7.4581647726837908E-3</v>
      </c>
      <c r="U19" s="41">
        <f t="shared" si="11"/>
        <v>5.2452302484940379E-3</v>
      </c>
      <c r="V19" s="42">
        <f t="shared" si="12"/>
        <v>6.0977643205609019E-3</v>
      </c>
      <c r="W19" s="41">
        <f t="shared" si="13"/>
        <v>6.8743872383438443E-4</v>
      </c>
      <c r="X19" s="41">
        <f t="shared" si="14"/>
        <v>1.2217271578362611E-2</v>
      </c>
      <c r="Y19" s="41">
        <f t="shared" si="15"/>
        <v>1.1524539684744114E-2</v>
      </c>
      <c r="Z19" s="41">
        <f t="shared" si="16"/>
        <v>1.2112312200541629E-2</v>
      </c>
      <c r="AA19" s="42">
        <f t="shared" si="17"/>
        <v>1.1951374487882785E-2</v>
      </c>
      <c r="AB19" s="169">
        <f t="shared" si="18"/>
        <v>2.1555747851092423E-4</v>
      </c>
      <c r="AD19" s="43"/>
      <c r="AE19" s="3"/>
      <c r="AF19" s="3"/>
    </row>
    <row r="20" spans="1:32" s="5" customFormat="1" x14ac:dyDescent="0.15">
      <c r="A20" s="46"/>
      <c r="B20" s="44" t="s">
        <v>34</v>
      </c>
      <c r="C20" s="39">
        <v>0.52013888888888882</v>
      </c>
      <c r="D20" s="43">
        <v>288.88333333333333</v>
      </c>
      <c r="E20" s="45">
        <v>13</v>
      </c>
      <c r="F20" s="40">
        <v>2.7759999999999998</v>
      </c>
      <c r="G20" s="41">
        <v>2.556</v>
      </c>
      <c r="H20" s="41">
        <v>2.7480000000000002</v>
      </c>
      <c r="I20" s="41">
        <f t="shared" si="5"/>
        <v>3.4966496</v>
      </c>
      <c r="J20" s="41">
        <f t="shared" si="6"/>
        <v>3.2195376000000002</v>
      </c>
      <c r="K20" s="41">
        <f t="shared" si="7"/>
        <v>3.4613808000000006</v>
      </c>
      <c r="L20" s="42">
        <f t="shared" si="1"/>
        <v>3.3925226666666668</v>
      </c>
      <c r="M20" s="41">
        <f t="shared" si="2"/>
        <v>8.7089699028479337E-2</v>
      </c>
      <c r="N20" s="41">
        <f t="shared" si="3"/>
        <v>1.2518052528892907</v>
      </c>
      <c r="O20" s="41">
        <f t="shared" si="3"/>
        <v>1.169237746760021</v>
      </c>
      <c r="P20" s="41">
        <f t="shared" si="3"/>
        <v>1.2416675846048355</v>
      </c>
      <c r="Q20" s="42">
        <f t="shared" si="4"/>
        <v>1.2209035280847156</v>
      </c>
      <c r="R20" s="41">
        <f t="shared" si="8"/>
        <v>2.59981268522676E-2</v>
      </c>
      <c r="S20" s="41">
        <f t="shared" si="9"/>
        <v>3.6016680649802249E-3</v>
      </c>
      <c r="T20" s="41">
        <f t="shared" si="10"/>
        <v>3.1065350518691211E-3</v>
      </c>
      <c r="U20" s="41">
        <f t="shared" si="11"/>
        <v>3.5707781524062028E-3</v>
      </c>
      <c r="V20" s="42">
        <f t="shared" si="12"/>
        <v>3.4263270897518495E-3</v>
      </c>
      <c r="W20" s="41">
        <f t="shared" si="13"/>
        <v>1.6014447362158027E-4</v>
      </c>
      <c r="X20" s="41">
        <f t="shared" si="14"/>
        <v>1.2104019846535511E-2</v>
      </c>
      <c r="Y20" s="41">
        <f t="shared" si="15"/>
        <v>1.1144767553222178E-2</v>
      </c>
      <c r="Z20" s="41">
        <f t="shared" si="16"/>
        <v>1.1981933191022906E-2</v>
      </c>
      <c r="AA20" s="42">
        <f t="shared" si="17"/>
        <v>1.1743573530260199E-2</v>
      </c>
      <c r="AB20" s="169">
        <f t="shared" si="18"/>
        <v>3.0147014029358797E-4</v>
      </c>
      <c r="AD20" s="43"/>
      <c r="AE20" s="3"/>
      <c r="AF20" s="3"/>
    </row>
    <row r="21" spans="1:32" s="5" customFormat="1" x14ac:dyDescent="0.15">
      <c r="A21" s="46"/>
      <c r="B21" s="46" t="s">
        <v>35</v>
      </c>
      <c r="C21" s="39">
        <v>0.52152777777777781</v>
      </c>
      <c r="D21" s="43">
        <v>312.91666666666669</v>
      </c>
      <c r="E21" s="45">
        <v>14</v>
      </c>
      <c r="F21" s="40">
        <v>2.8719999999999999</v>
      </c>
      <c r="G21" s="41">
        <v>2.68</v>
      </c>
      <c r="H21" s="41">
        <v>2.96</v>
      </c>
      <c r="I21" s="41">
        <f t="shared" si="5"/>
        <v>3.6175712</v>
      </c>
      <c r="J21" s="41">
        <f t="shared" si="6"/>
        <v>3.3757280000000005</v>
      </c>
      <c r="K21" s="41">
        <f t="shared" si="7"/>
        <v>3.7284160000000002</v>
      </c>
      <c r="L21" s="42">
        <f t="shared" si="1"/>
        <v>3.5739050666666672</v>
      </c>
      <c r="M21" s="41">
        <f t="shared" si="2"/>
        <v>0.10412693333333323</v>
      </c>
      <c r="N21" s="41">
        <f t="shared" si="3"/>
        <v>1.2858028614307102</v>
      </c>
      <c r="O21" s="41">
        <f t="shared" si="3"/>
        <v>1.2166110047674981</v>
      </c>
      <c r="P21" s="41">
        <f t="shared" si="3"/>
        <v>1.3159834785807016</v>
      </c>
      <c r="Q21" s="42">
        <f t="shared" si="4"/>
        <v>1.2727991149263032</v>
      </c>
      <c r="R21" s="41">
        <f t="shared" si="8"/>
        <v>2.9413971766844144E-2</v>
      </c>
      <c r="S21" s="41">
        <f t="shared" si="9"/>
        <v>1.4146022971464423E-3</v>
      </c>
      <c r="T21" s="41">
        <f t="shared" si="10"/>
        <v>1.9711480446939112E-3</v>
      </c>
      <c r="U21" s="41">
        <f t="shared" si="11"/>
        <v>3.0922008589125958E-3</v>
      </c>
      <c r="V21" s="42">
        <f t="shared" si="12"/>
        <v>2.1593170669176498E-3</v>
      </c>
      <c r="W21" s="41">
        <f t="shared" si="13"/>
        <v>4.933355583182185E-4</v>
      </c>
      <c r="X21" s="41">
        <f t="shared" si="14"/>
        <v>1.156081342210386E-2</v>
      </c>
      <c r="Y21" s="41">
        <f t="shared" si="15"/>
        <v>1.0787945672436752E-2</v>
      </c>
      <c r="Z21" s="41">
        <f t="shared" si="16"/>
        <v>1.191504447403462E-2</v>
      </c>
      <c r="AA21" s="42">
        <f t="shared" si="17"/>
        <v>1.1421267856191747E-2</v>
      </c>
      <c r="AB21" s="169">
        <f t="shared" si="18"/>
        <v>3.3276250332889425E-4</v>
      </c>
      <c r="AD21" s="43"/>
      <c r="AE21" s="3"/>
      <c r="AF21" s="3"/>
    </row>
    <row r="22" spans="1:32" s="5" customFormat="1" x14ac:dyDescent="0.15">
      <c r="A22" s="46"/>
      <c r="B22" s="46" t="s">
        <v>36</v>
      </c>
      <c r="C22" s="39">
        <v>0.49027777777777781</v>
      </c>
      <c r="D22" s="43">
        <v>336.16666666666669</v>
      </c>
      <c r="E22" s="45">
        <v>15</v>
      </c>
      <c r="F22" s="40">
        <v>3.3479999999999999</v>
      </c>
      <c r="G22" s="41">
        <v>2.7320000000000002</v>
      </c>
      <c r="H22" s="41">
        <v>2.7480000000000002</v>
      </c>
      <c r="I22" s="41">
        <f t="shared" si="5"/>
        <v>4.2171408000000001</v>
      </c>
      <c r="J22" s="41">
        <f t="shared" si="6"/>
        <v>3.4412272000000006</v>
      </c>
      <c r="K22" s="41">
        <f t="shared" si="7"/>
        <v>3.4613808000000006</v>
      </c>
      <c r="L22" s="42">
        <f t="shared" si="1"/>
        <v>3.7065829333333338</v>
      </c>
      <c r="M22" s="41">
        <f t="shared" si="2"/>
        <v>0.25534521946419458</v>
      </c>
      <c r="N22" s="41">
        <f t="shared" si="3"/>
        <v>1.4391573628719614</v>
      </c>
      <c r="O22" s="41">
        <f t="shared" si="3"/>
        <v>1.2358281519532763</v>
      </c>
      <c r="P22" s="41">
        <f t="shared" si="3"/>
        <v>1.2416675846048355</v>
      </c>
      <c r="Q22" s="42">
        <f t="shared" si="4"/>
        <v>1.3055510331433577</v>
      </c>
      <c r="R22" s="41">
        <f t="shared" si="8"/>
        <v>6.6824429792016166E-2</v>
      </c>
      <c r="S22" s="41">
        <f t="shared" si="9"/>
        <v>6.5958925351075779E-3</v>
      </c>
      <c r="T22" s="41">
        <f t="shared" si="10"/>
        <v>8.2654396497971062E-4</v>
      </c>
      <c r="U22" s="41">
        <f t="shared" si="11"/>
        <v>-3.196382536596393E-3</v>
      </c>
      <c r="V22" s="42">
        <f t="shared" si="12"/>
        <v>1.408684654496965E-3</v>
      </c>
      <c r="W22" s="41">
        <f t="shared" si="13"/>
        <v>2.8417323710941112E-3</v>
      </c>
      <c r="X22" s="41">
        <f t="shared" si="14"/>
        <v>1.2544791670798215E-2</v>
      </c>
      <c r="Y22" s="41">
        <f t="shared" si="15"/>
        <v>1.0236669905800695E-2</v>
      </c>
      <c r="Z22" s="41">
        <f t="shared" si="16"/>
        <v>1.0296621120475956E-2</v>
      </c>
      <c r="AA22" s="42">
        <f t="shared" si="17"/>
        <v>1.1026027565691621E-2</v>
      </c>
      <c r="AB22" s="169">
        <f t="shared" si="18"/>
        <v>7.5957923489596805E-4</v>
      </c>
      <c r="AD22" s="175"/>
      <c r="AE22" s="3"/>
      <c r="AF22" s="3"/>
    </row>
    <row r="23" spans="1:32" s="5" customFormat="1" x14ac:dyDescent="0.15">
      <c r="A23" s="46"/>
      <c r="B23" s="46" t="s">
        <v>37</v>
      </c>
      <c r="C23" s="39">
        <v>0.44375000000000003</v>
      </c>
      <c r="D23" s="43">
        <v>359.05</v>
      </c>
      <c r="E23" s="45">
        <v>16</v>
      </c>
      <c r="F23" s="40">
        <v>3.1560000000000001</v>
      </c>
      <c r="G23" s="41">
        <v>2.9279999999999999</v>
      </c>
      <c r="H23" s="41">
        <v>3.004</v>
      </c>
      <c r="I23" s="41">
        <f t="shared" si="5"/>
        <v>3.9752976000000002</v>
      </c>
      <c r="J23" s="41">
        <f t="shared" si="6"/>
        <v>3.6881088000000002</v>
      </c>
      <c r="K23" s="41">
        <f t="shared" si="7"/>
        <v>3.7838384</v>
      </c>
      <c r="L23" s="42">
        <f t="shared" si="1"/>
        <v>3.8157482666666667</v>
      </c>
      <c r="M23" s="41">
        <f t="shared" si="2"/>
        <v>8.4425571569229627E-2</v>
      </c>
      <c r="N23" s="41">
        <f t="shared" si="3"/>
        <v>1.3800996132283605</v>
      </c>
      <c r="O23" s="41">
        <f t="shared" si="3"/>
        <v>1.3051138063437977</v>
      </c>
      <c r="P23" s="41">
        <f t="shared" si="3"/>
        <v>1.3307389441466209</v>
      </c>
      <c r="Q23" s="42">
        <f t="shared" si="4"/>
        <v>1.3386507879062597</v>
      </c>
      <c r="R23" s="41">
        <f t="shared" si="8"/>
        <v>2.2005043075697735E-2</v>
      </c>
      <c r="S23" s="41">
        <f t="shared" si="9"/>
        <v>-2.5808193580597631E-3</v>
      </c>
      <c r="T23" s="41">
        <f t="shared" si="10"/>
        <v>3.0277780505690338E-3</v>
      </c>
      <c r="U23" s="41">
        <f t="shared" si="11"/>
        <v>3.8924119246228138E-3</v>
      </c>
      <c r="V23" s="42">
        <f t="shared" si="12"/>
        <v>1.4464568723773616E-3</v>
      </c>
      <c r="W23" s="41">
        <f t="shared" si="13"/>
        <v>2.0290484889247309E-3</v>
      </c>
      <c r="X23" s="41">
        <f t="shared" si="14"/>
        <v>1.1071710346748365E-2</v>
      </c>
      <c r="Y23" s="41">
        <f t="shared" si="15"/>
        <v>1.0271852945272246E-2</v>
      </c>
      <c r="Z23" s="41">
        <f t="shared" si="16"/>
        <v>1.0538472079097619E-2</v>
      </c>
      <c r="AA23" s="42">
        <f t="shared" si="17"/>
        <v>1.0627345123706076E-2</v>
      </c>
      <c r="AB23" s="169">
        <f t="shared" si="18"/>
        <v>2.3513597429112871E-4</v>
      </c>
      <c r="AD23" s="43"/>
      <c r="AE23" s="3"/>
      <c r="AF23" s="3"/>
    </row>
    <row r="24" spans="1:32" s="5" customFormat="1" x14ac:dyDescent="0.15">
      <c r="A24" s="46"/>
      <c r="B24" s="46" t="s">
        <v>38</v>
      </c>
      <c r="C24" s="39">
        <v>0.50347222222222221</v>
      </c>
      <c r="D24" s="43">
        <v>384.48333333333335</v>
      </c>
      <c r="E24" s="45">
        <v>17</v>
      </c>
      <c r="F24" s="40">
        <v>3.38</v>
      </c>
      <c r="G24" s="41">
        <v>2.87</v>
      </c>
      <c r="H24" s="41">
        <v>2.92</v>
      </c>
      <c r="I24" s="41">
        <f t="shared" si="5"/>
        <v>4.2574480000000001</v>
      </c>
      <c r="J24" s="41">
        <f t="shared" si="6"/>
        <v>3.6150520000000004</v>
      </c>
      <c r="K24" s="41">
        <f t="shared" si="7"/>
        <v>3.678032</v>
      </c>
      <c r="L24" s="42">
        <f t="shared" si="1"/>
        <v>3.8501773333333333</v>
      </c>
      <c r="M24" s="41">
        <f t="shared" si="2"/>
        <v>0.20444532035512844</v>
      </c>
      <c r="N24" s="41">
        <f t="shared" si="3"/>
        <v>1.44866991973966</v>
      </c>
      <c r="O24" s="41">
        <f t="shared" si="3"/>
        <v>1.2851062400162623</v>
      </c>
      <c r="P24" s="41">
        <f t="shared" si="3"/>
        <v>1.3023778265249228</v>
      </c>
      <c r="Q24" s="42">
        <f t="shared" si="4"/>
        <v>1.345384662093615</v>
      </c>
      <c r="R24" s="41">
        <f t="shared" si="8"/>
        <v>5.1882753269235013E-2</v>
      </c>
      <c r="S24" s="41">
        <f t="shared" si="9"/>
        <v>2.6960802035897562E-3</v>
      </c>
      <c r="T24" s="41">
        <f t="shared" si="10"/>
        <v>-7.8666709020453797E-4</v>
      </c>
      <c r="U24" s="41">
        <f t="shared" si="11"/>
        <v>-1.1151160270654527E-3</v>
      </c>
      <c r="V24" s="42">
        <f t="shared" si="12"/>
        <v>2.6476569543992188E-4</v>
      </c>
      <c r="W24" s="41">
        <f t="shared" si="13"/>
        <v>1.2193491917393436E-3</v>
      </c>
      <c r="X24" s="41">
        <f t="shared" si="14"/>
        <v>1.1073166587194937E-2</v>
      </c>
      <c r="Y24" s="41">
        <f t="shared" si="15"/>
        <v>9.4023633447483639E-3</v>
      </c>
      <c r="Z24" s="41">
        <f t="shared" si="16"/>
        <v>9.5661675842039096E-3</v>
      </c>
      <c r="AA24" s="42">
        <f t="shared" si="17"/>
        <v>1.0013899172049069E-2</v>
      </c>
      <c r="AB24" s="169">
        <f t="shared" si="18"/>
        <v>5.317403971263476E-4</v>
      </c>
      <c r="AD24" s="175"/>
      <c r="AE24" s="3"/>
      <c r="AF24" s="3"/>
    </row>
    <row r="25" spans="1:32" s="5" customFormat="1" ht="15" thickBot="1" x14ac:dyDescent="0.2">
      <c r="A25" s="46"/>
      <c r="B25" s="46" t="s">
        <v>39</v>
      </c>
      <c r="C25" s="39">
        <v>0.48472222222222222</v>
      </c>
      <c r="D25" s="43">
        <v>408.03333333333336</v>
      </c>
      <c r="E25" s="45">
        <v>18</v>
      </c>
      <c r="F25" s="40">
        <v>3.0720000000000001</v>
      </c>
      <c r="G25" s="41">
        <v>3.1040000000000001</v>
      </c>
      <c r="H25" s="41">
        <v>3.1680000000000001</v>
      </c>
      <c r="I25" s="41">
        <f t="shared" si="5"/>
        <v>3.8694912000000001</v>
      </c>
      <c r="J25" s="41">
        <f t="shared" si="6"/>
        <v>3.9097984000000001</v>
      </c>
      <c r="K25" s="41">
        <f t="shared" si="7"/>
        <v>3.9904128000000005</v>
      </c>
      <c r="L25" s="42">
        <f t="shared" si="1"/>
        <v>3.9232341333333332</v>
      </c>
      <c r="M25" s="41">
        <f t="shared" si="2"/>
        <v>3.554760908178102E-2</v>
      </c>
      <c r="N25" s="41">
        <f t="shared" si="3"/>
        <v>1.3531230255301583</v>
      </c>
      <c r="O25" s="41">
        <f>LN(J25)</f>
        <v>1.3634858125657048</v>
      </c>
      <c r="P25" s="41">
        <f t="shared" si="3"/>
        <v>1.3838946841969122</v>
      </c>
      <c r="Q25" s="42">
        <f t="shared" si="4"/>
        <v>1.3668345074309249</v>
      </c>
      <c r="R25" s="41">
        <f t="shared" si="8"/>
        <v>9.039433283325295E-3</v>
      </c>
      <c r="S25" s="41">
        <f t="shared" si="9"/>
        <v>-4.057192960063764E-3</v>
      </c>
      <c r="T25" s="41">
        <f>(O25-O24)/(D25-D24)</f>
        <v>3.3282196411652848E-3</v>
      </c>
      <c r="U25" s="41">
        <f t="shared" si="11"/>
        <v>3.4614376930781022E-3</v>
      </c>
      <c r="V25" s="42">
        <f t="shared" si="12"/>
        <v>9.1082145805987435E-4</v>
      </c>
      <c r="W25" s="41">
        <f t="shared" si="13"/>
        <v>2.4843048797300849E-3</v>
      </c>
      <c r="X25" s="41">
        <f t="shared" si="14"/>
        <v>9.4832722816763325E-3</v>
      </c>
      <c r="Y25" s="41">
        <f t="shared" si="15"/>
        <v>9.5820563679437955E-3</v>
      </c>
      <c r="Z25" s="41">
        <f t="shared" si="16"/>
        <v>9.7796245404787197E-3</v>
      </c>
      <c r="AA25" s="42">
        <f t="shared" si="17"/>
        <v>9.6149843966996159E-3</v>
      </c>
      <c r="AB25" s="169">
        <f t="shared" si="18"/>
        <v>8.7119375251485393E-5</v>
      </c>
      <c r="AD25" s="43"/>
      <c r="AE25" s="3"/>
      <c r="AF25" s="3"/>
    </row>
    <row r="26" spans="1:32" ht="15" thickBot="1" x14ac:dyDescent="0.2">
      <c r="B26" s="217" t="s">
        <v>71</v>
      </c>
      <c r="C26" s="218"/>
      <c r="D26" s="218"/>
      <c r="E26" s="218"/>
      <c r="F26" s="218"/>
      <c r="G26" s="218"/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9"/>
    </row>
    <row r="27" spans="1:32" ht="60" x14ac:dyDescent="0.15">
      <c r="B27" s="23" t="s">
        <v>0</v>
      </c>
      <c r="C27" s="24" t="s">
        <v>1</v>
      </c>
      <c r="D27" s="25" t="s">
        <v>2</v>
      </c>
      <c r="E27" s="26" t="s">
        <v>3</v>
      </c>
      <c r="F27" s="204" t="s">
        <v>61</v>
      </c>
      <c r="G27" s="205"/>
      <c r="H27" s="206"/>
      <c r="I27" s="207" t="s">
        <v>10</v>
      </c>
      <c r="J27" s="205"/>
      <c r="K27" s="206"/>
      <c r="L27" s="27" t="s">
        <v>4</v>
      </c>
      <c r="M27" s="28" t="s">
        <v>69</v>
      </c>
      <c r="N27" s="207" t="s">
        <v>63</v>
      </c>
      <c r="O27" s="205"/>
      <c r="P27" s="206"/>
      <c r="Q27" s="28" t="s">
        <v>5</v>
      </c>
      <c r="R27" s="28" t="s">
        <v>62</v>
      </c>
      <c r="S27" s="220" t="s">
        <v>6</v>
      </c>
      <c r="T27" s="221"/>
      <c r="U27" s="221"/>
      <c r="V27" s="27" t="s">
        <v>64</v>
      </c>
      <c r="W27" s="27" t="s">
        <v>62</v>
      </c>
      <c r="X27" s="207" t="s">
        <v>65</v>
      </c>
      <c r="Y27" s="205"/>
      <c r="Z27" s="206"/>
      <c r="AA27" s="27" t="s">
        <v>66</v>
      </c>
      <c r="AB27" s="29" t="s">
        <v>62</v>
      </c>
    </row>
    <row r="28" spans="1:32" ht="15" customHeight="1" x14ac:dyDescent="0.15">
      <c r="B28" s="30"/>
      <c r="C28" s="31"/>
      <c r="D28" s="32"/>
      <c r="E28" s="33"/>
      <c r="F28" s="208" t="s">
        <v>13</v>
      </c>
      <c r="G28" s="209"/>
      <c r="H28" s="210"/>
      <c r="I28" s="211" t="s">
        <v>7</v>
      </c>
      <c r="J28" s="209"/>
      <c r="K28" s="210"/>
      <c r="L28" s="35" t="s">
        <v>7</v>
      </c>
      <c r="M28" s="35"/>
      <c r="N28" s="211" t="s">
        <v>7</v>
      </c>
      <c r="O28" s="209"/>
      <c r="P28" s="210"/>
      <c r="Q28" s="34"/>
      <c r="R28" s="34"/>
      <c r="S28" s="215" t="s">
        <v>67</v>
      </c>
      <c r="T28" s="216"/>
      <c r="U28" s="216"/>
      <c r="V28" s="35" t="s">
        <v>67</v>
      </c>
      <c r="W28" s="32"/>
      <c r="X28" s="212" t="s">
        <v>68</v>
      </c>
      <c r="Y28" s="213"/>
      <c r="Z28" s="214"/>
      <c r="AA28" s="37" t="s">
        <v>68</v>
      </c>
      <c r="AB28" s="38"/>
    </row>
    <row r="29" spans="1:32" s="5" customFormat="1" x14ac:dyDescent="0.15">
      <c r="B29" s="223" t="s">
        <v>23</v>
      </c>
      <c r="C29" s="39">
        <v>0.42222222222222222</v>
      </c>
      <c r="D29" s="5">
        <v>0</v>
      </c>
      <c r="E29" s="224">
        <v>1</v>
      </c>
      <c r="F29" s="40">
        <v>9.2999999999999999E-2</v>
      </c>
      <c r="G29" s="41">
        <v>9.4E-2</v>
      </c>
      <c r="H29" s="41">
        <v>9.4E-2</v>
      </c>
      <c r="I29" s="41">
        <f>1.2596*F29</f>
        <v>0.11714280000000001</v>
      </c>
      <c r="J29" s="41">
        <f t="shared" ref="J29:K29" si="19">1.2596*G29</f>
        <v>0.1184024</v>
      </c>
      <c r="K29" s="41">
        <f t="shared" si="19"/>
        <v>0.1184024</v>
      </c>
      <c r="L29" s="42">
        <f t="shared" ref="L29:L50" si="20">AVERAGE(I29:K29)</f>
        <v>0.11798253333333335</v>
      </c>
      <c r="M29" s="41">
        <f>STDEV(I29:K29)/SQRT(3)</f>
        <v>4.1986666666666661E-4</v>
      </c>
      <c r="N29" s="41">
        <f t="shared" ref="N29:P50" si="21">LN(I29)</f>
        <v>-2.1443615755841487</v>
      </c>
      <c r="O29" s="41">
        <f t="shared" si="21"/>
        <v>-2.1336662864674008</v>
      </c>
      <c r="P29" s="41">
        <f t="shared" si="21"/>
        <v>-2.1336662864674008</v>
      </c>
      <c r="Q29" s="42">
        <f t="shared" ref="Q29:Q50" si="22">AVERAGE(N29:P29)</f>
        <v>-2.1372313828396501</v>
      </c>
      <c r="R29" s="41">
        <f>STDEV(N29:P29)/SQRT(3)</f>
        <v>3.5650963722493323E-3</v>
      </c>
      <c r="S29" s="41"/>
      <c r="T29" s="41"/>
      <c r="U29" s="160"/>
      <c r="V29" s="170"/>
      <c r="W29" s="160"/>
      <c r="X29" s="160"/>
      <c r="Y29" s="160"/>
      <c r="Z29" s="160"/>
      <c r="AA29" s="170"/>
      <c r="AB29" s="171"/>
      <c r="AC29" s="123"/>
      <c r="AE29" s="3"/>
      <c r="AF29" s="3"/>
    </row>
    <row r="30" spans="1:32" s="5" customFormat="1" x14ac:dyDescent="0.15">
      <c r="B30" s="223"/>
      <c r="C30" s="39">
        <v>0.58888888888888891</v>
      </c>
      <c r="D30" s="43">
        <v>4</v>
      </c>
      <c r="E30" s="224"/>
      <c r="F30" s="40">
        <v>0.11899999999999999</v>
      </c>
      <c r="G30" s="41">
        <v>0.128</v>
      </c>
      <c r="H30" s="41">
        <v>0.13100000000000001</v>
      </c>
      <c r="I30" s="41">
        <f t="shared" ref="I30:I50" si="23">1.2596*F30</f>
        <v>0.14989240000000001</v>
      </c>
      <c r="J30" s="41">
        <f t="shared" ref="J30:J50" si="24">1.2596*G30</f>
        <v>0.16122880000000001</v>
      </c>
      <c r="K30" s="41">
        <f t="shared" ref="K30:K50" si="25">1.2596*H30</f>
        <v>0.1650076</v>
      </c>
      <c r="L30" s="42">
        <f t="shared" si="20"/>
        <v>0.15870960000000001</v>
      </c>
      <c r="M30" s="41">
        <f t="shared" ref="M30:M50" si="26">STDEV(I30:K30)/SQRT(3)</f>
        <v>4.5415523865744399E-3</v>
      </c>
      <c r="N30" s="41">
        <f t="shared" si="21"/>
        <v>-1.8978375756258752</v>
      </c>
      <c r="O30" s="41">
        <f t="shared" si="21"/>
        <v>-1.8249308048177872</v>
      </c>
      <c r="P30" s="41">
        <f t="shared" si="21"/>
        <v>-1.801763745536253</v>
      </c>
      <c r="Q30" s="42">
        <f t="shared" si="22"/>
        <v>-1.8415107086599718</v>
      </c>
      <c r="R30" s="41">
        <f t="shared" ref="R30:R50" si="27">STDEV(N30:P30)/SQRT(3)</f>
        <v>2.8946589410985105E-2</v>
      </c>
      <c r="S30" s="41">
        <f>(N30-N29)/(D30-D29)</f>
        <v>6.1630999989568391E-2</v>
      </c>
      <c r="T30" s="41">
        <f>(O30-O29)/(D30-D29)</f>
        <v>7.7183870412403377E-2</v>
      </c>
      <c r="U30" s="41">
        <f>(P30-P29)/(D30-D29)</f>
        <v>8.2975635232786948E-2</v>
      </c>
      <c r="V30" s="42">
        <f>AVERAGE(S30:U30)</f>
        <v>7.3930168544919572E-2</v>
      </c>
      <c r="W30" s="41">
        <f>STDEV(S30:U30)/SQRT(3)</f>
        <v>6.3728145351527182E-3</v>
      </c>
      <c r="X30" s="41">
        <f>I30/D30</f>
        <v>3.7473100000000002E-2</v>
      </c>
      <c r="Y30" s="41">
        <f>J30/D30</f>
        <v>4.0307200000000001E-2</v>
      </c>
      <c r="Z30" s="41">
        <f>K30/D30</f>
        <v>4.1251900000000001E-2</v>
      </c>
      <c r="AA30" s="42">
        <f>AVERAGE(X30:Z30)</f>
        <v>3.9677400000000002E-2</v>
      </c>
      <c r="AB30" s="169">
        <f>STDEV(X30:Z30)/SQRT(3)</f>
        <v>1.13538809664361E-3</v>
      </c>
      <c r="AE30" s="3"/>
      <c r="AF30" s="3"/>
    </row>
    <row r="31" spans="1:32" s="5" customFormat="1" x14ac:dyDescent="0.15">
      <c r="B31" s="223"/>
      <c r="C31" s="39">
        <v>0.68472222222222223</v>
      </c>
      <c r="D31" s="43">
        <v>6.3</v>
      </c>
      <c r="E31" s="224"/>
      <c r="F31" s="40">
        <v>0.124</v>
      </c>
      <c r="G31" s="41">
        <v>0.14499999999999999</v>
      </c>
      <c r="H31" s="41">
        <v>0.128</v>
      </c>
      <c r="I31" s="41">
        <f t="shared" si="23"/>
        <v>0.15619040000000001</v>
      </c>
      <c r="J31" s="41">
        <f t="shared" si="24"/>
        <v>0.182642</v>
      </c>
      <c r="K31" s="41">
        <f t="shared" si="25"/>
        <v>0.16122880000000001</v>
      </c>
      <c r="L31" s="42">
        <f t="shared" si="20"/>
        <v>0.16668706666666666</v>
      </c>
      <c r="M31" s="41">
        <f t="shared" si="26"/>
        <v>8.1089722302589672E-3</v>
      </c>
      <c r="N31" s="41">
        <f t="shared" si="21"/>
        <v>-1.8566795031323675</v>
      </c>
      <c r="O31" s="41">
        <f t="shared" si="21"/>
        <v>-1.7002273263168302</v>
      </c>
      <c r="P31" s="41">
        <f t="shared" si="21"/>
        <v>-1.8249308048177872</v>
      </c>
      <c r="Q31" s="42">
        <f t="shared" si="22"/>
        <v>-1.793945878088995</v>
      </c>
      <c r="R31" s="41">
        <f t="shared" si="27"/>
        <v>4.7747147108043744E-2</v>
      </c>
      <c r="S31" s="41">
        <f t="shared" ref="S31:S50" si="28">(N31-N30)/(D31-D30)</f>
        <v>1.7894814127612031E-2</v>
      </c>
      <c r="T31" s="41">
        <f t="shared" ref="T31:T50" si="29">(O31-O30)/(D31-D30)</f>
        <v>5.4218903696068306E-2</v>
      </c>
      <c r="U31" s="41">
        <f t="shared" ref="U31:U50" si="30">(P31-P30)/(D31-D30)</f>
        <v>-1.00726344702323E-2</v>
      </c>
      <c r="V31" s="42">
        <f t="shared" ref="V31:V50" si="31">AVERAGE(S31:U31)</f>
        <v>2.0680361117816012E-2</v>
      </c>
      <c r="W31" s="41">
        <f t="shared" ref="W31:W50" si="32">STDEV(S31:U31)/SQRT(3)</f>
        <v>1.8611554869428094E-2</v>
      </c>
      <c r="X31" s="41">
        <f t="shared" ref="X31:X50" si="33">I31/D31</f>
        <v>2.4792126984126986E-2</v>
      </c>
      <c r="Y31" s="41">
        <f t="shared" ref="Y31:Y50" si="34">J31/D31</f>
        <v>2.8990793650793652E-2</v>
      </c>
      <c r="Z31" s="41">
        <f t="shared" ref="Z31:Z50" si="35">K31/D31</f>
        <v>2.5591873015873016E-2</v>
      </c>
      <c r="AA31" s="42">
        <f t="shared" ref="AA31:AA50" si="36">AVERAGE(X31:Z31)</f>
        <v>2.6458264550264551E-2</v>
      </c>
      <c r="AB31" s="169">
        <f t="shared" ref="AB31:AB50" si="37">STDEV(X31:Z31)/SQRT(3)</f>
        <v>1.2871384492474556E-3</v>
      </c>
      <c r="AE31" s="3"/>
      <c r="AF31" s="3"/>
    </row>
    <row r="32" spans="1:32" s="5" customFormat="1" ht="15" customHeight="1" x14ac:dyDescent="0.15">
      <c r="B32" s="223"/>
      <c r="C32" s="39">
        <v>0.88194444444444453</v>
      </c>
      <c r="D32" s="43">
        <v>11.033333333333333</v>
      </c>
      <c r="E32" s="224"/>
      <c r="F32" s="40">
        <v>0.13800000000000001</v>
      </c>
      <c r="G32" s="41">
        <v>0.152</v>
      </c>
      <c r="H32" s="41">
        <v>0.16400000000000001</v>
      </c>
      <c r="I32" s="41">
        <f t="shared" si="23"/>
        <v>0.17382480000000003</v>
      </c>
      <c r="J32" s="41">
        <f t="shared" si="24"/>
        <v>0.1914592</v>
      </c>
      <c r="K32" s="41">
        <f t="shared" si="25"/>
        <v>0.20657440000000002</v>
      </c>
      <c r="L32" s="42">
        <f t="shared" si="20"/>
        <v>0.19061946666666671</v>
      </c>
      <c r="M32" s="41">
        <f t="shared" si="26"/>
        <v>9.4633140617392097E-3</v>
      </c>
      <c r="N32" s="41">
        <f t="shared" si="21"/>
        <v>-1.7497073835801997</v>
      </c>
      <c r="O32" s="41">
        <f t="shared" si="21"/>
        <v>-1.6530805478911281</v>
      </c>
      <c r="P32" s="41">
        <f t="shared" si="21"/>
        <v>-1.5770946409132061</v>
      </c>
      <c r="Q32" s="42">
        <f t="shared" si="22"/>
        <v>-1.6599608574615112</v>
      </c>
      <c r="R32" s="41">
        <f t="shared" si="27"/>
        <v>4.9947618320241832E-2</v>
      </c>
      <c r="S32" s="41">
        <f t="shared" si="28"/>
        <v>2.2599743567359391E-2</v>
      </c>
      <c r="T32" s="41">
        <f t="shared" si="29"/>
        <v>9.9605869913454992E-3</v>
      </c>
      <c r="U32" s="41">
        <f t="shared" si="30"/>
        <v>5.2359752937587573E-2</v>
      </c>
      <c r="V32" s="42">
        <f t="shared" si="31"/>
        <v>2.8306694498764152E-2</v>
      </c>
      <c r="W32" s="41">
        <f t="shared" si="32"/>
        <v>1.256780655662634E-2</v>
      </c>
      <c r="X32" s="41">
        <f t="shared" si="33"/>
        <v>1.5754513595166168E-2</v>
      </c>
      <c r="Y32" s="41">
        <f t="shared" si="34"/>
        <v>1.7352797583081572E-2</v>
      </c>
      <c r="Z32" s="41">
        <f t="shared" si="35"/>
        <v>1.8722755287009066E-2</v>
      </c>
      <c r="AA32" s="42">
        <f t="shared" si="36"/>
        <v>1.7276688821752265E-2</v>
      </c>
      <c r="AB32" s="169">
        <f t="shared" si="37"/>
        <v>8.5770218082228467E-4</v>
      </c>
      <c r="AE32" s="3"/>
      <c r="AF32" s="3"/>
    </row>
    <row r="33" spans="2:32" s="5" customFormat="1" x14ac:dyDescent="0.15">
      <c r="B33" s="222" t="s">
        <v>24</v>
      </c>
      <c r="C33" s="39">
        <v>0.39652777777777781</v>
      </c>
      <c r="D33" s="43">
        <v>23.383333333333333</v>
      </c>
      <c r="E33" s="224">
        <v>2</v>
      </c>
      <c r="F33" s="40">
        <v>0.219</v>
      </c>
      <c r="G33" s="41">
        <v>0.22500000000000001</v>
      </c>
      <c r="H33" s="41">
        <v>0.25600000000000001</v>
      </c>
      <c r="I33" s="41">
        <f t="shared" si="23"/>
        <v>0.2758524</v>
      </c>
      <c r="J33" s="41">
        <f t="shared" si="24"/>
        <v>0.28341</v>
      </c>
      <c r="K33" s="41">
        <f t="shared" si="25"/>
        <v>0.32245760000000001</v>
      </c>
      <c r="L33" s="42">
        <f t="shared" si="20"/>
        <v>0.29390666666666665</v>
      </c>
      <c r="M33" s="41">
        <f t="shared" si="26"/>
        <v>1.4441216189473492E-2</v>
      </c>
      <c r="N33" s="41">
        <f t="shared" si="21"/>
        <v>-1.2878893389209036</v>
      </c>
      <c r="O33" s="41">
        <f t="shared" si="21"/>
        <v>-1.2608606665329845</v>
      </c>
      <c r="P33" s="41">
        <f t="shared" si="21"/>
        <v>-1.1317836242578421</v>
      </c>
      <c r="Q33" s="42">
        <f t="shared" si="22"/>
        <v>-1.2268445432372435</v>
      </c>
      <c r="R33" s="41">
        <f t="shared" si="27"/>
        <v>4.8166624062275024E-2</v>
      </c>
      <c r="S33" s="41">
        <f t="shared" si="28"/>
        <v>3.7394173656623168E-2</v>
      </c>
      <c r="T33" s="41">
        <f t="shared" si="29"/>
        <v>3.1758694846813255E-2</v>
      </c>
      <c r="U33" s="41">
        <f t="shared" si="30"/>
        <v>3.6057572198814898E-2</v>
      </c>
      <c r="V33" s="42">
        <f t="shared" si="31"/>
        <v>3.5070146900750443E-2</v>
      </c>
      <c r="W33" s="41">
        <f t="shared" si="32"/>
        <v>1.700089398962831E-3</v>
      </c>
      <c r="X33" s="41">
        <f t="shared" si="33"/>
        <v>1.1796966500356379E-2</v>
      </c>
      <c r="Y33" s="41">
        <f t="shared" si="34"/>
        <v>1.212017106200998E-2</v>
      </c>
      <c r="Z33" s="41">
        <f t="shared" si="35"/>
        <v>1.3790061297220243E-2</v>
      </c>
      <c r="AA33" s="42">
        <f t="shared" si="36"/>
        <v>1.2569066286528867E-2</v>
      </c>
      <c r="AB33" s="169">
        <f t="shared" si="37"/>
        <v>6.1758586697677068E-4</v>
      </c>
      <c r="AE33" s="3"/>
      <c r="AF33" s="3"/>
    </row>
    <row r="34" spans="2:32" s="5" customFormat="1" ht="15" customHeight="1" x14ac:dyDescent="0.15">
      <c r="B34" s="222"/>
      <c r="C34" s="39">
        <v>0.52777777777777779</v>
      </c>
      <c r="D34" s="43">
        <v>26.533333333333331</v>
      </c>
      <c r="E34" s="224"/>
      <c r="F34" s="40">
        <v>0.23400000000000001</v>
      </c>
      <c r="G34" s="41">
        <v>0.248</v>
      </c>
      <c r="H34" s="41">
        <v>0.23</v>
      </c>
      <c r="I34" s="41">
        <f t="shared" si="23"/>
        <v>0.29474640000000002</v>
      </c>
      <c r="J34" s="41">
        <f t="shared" si="24"/>
        <v>0.31238080000000001</v>
      </c>
      <c r="K34" s="41">
        <f t="shared" si="25"/>
        <v>0.28970800000000002</v>
      </c>
      <c r="L34" s="42">
        <f t="shared" si="20"/>
        <v>0.2989450666666667</v>
      </c>
      <c r="M34" s="41">
        <f t="shared" si="26"/>
        <v>6.8735135676336904E-3</v>
      </c>
      <c r="N34" s="41">
        <f t="shared" si="21"/>
        <v>-1.2216399533797031</v>
      </c>
      <c r="O34" s="41">
        <f t="shared" si="21"/>
        <v>-1.1635323225724223</v>
      </c>
      <c r="P34" s="41">
        <f t="shared" si="21"/>
        <v>-1.238881759814209</v>
      </c>
      <c r="Q34" s="42">
        <f t="shared" si="22"/>
        <v>-1.2080180119221116</v>
      </c>
      <c r="R34" s="41">
        <f t="shared" si="27"/>
        <v>2.2792925729774337E-2</v>
      </c>
      <c r="S34" s="41">
        <f t="shared" si="28"/>
        <v>2.1031550965460492E-2</v>
      </c>
      <c r="T34" s="41">
        <f t="shared" si="29"/>
        <v>3.0897886971607034E-2</v>
      </c>
      <c r="U34" s="41">
        <f t="shared" si="30"/>
        <v>-3.3999408113132373E-2</v>
      </c>
      <c r="V34" s="42">
        <f t="shared" si="31"/>
        <v>5.9766766079783857E-3</v>
      </c>
      <c r="W34" s="41">
        <f t="shared" si="32"/>
        <v>2.0189945177147086E-2</v>
      </c>
      <c r="X34" s="41">
        <f t="shared" si="33"/>
        <v>1.1108532663316585E-2</v>
      </c>
      <c r="Y34" s="41">
        <f t="shared" si="34"/>
        <v>1.1773145728643217E-2</v>
      </c>
      <c r="Z34" s="41">
        <f t="shared" si="35"/>
        <v>1.0918643216080404E-2</v>
      </c>
      <c r="AA34" s="42">
        <f t="shared" si="36"/>
        <v>1.1266773869346734E-2</v>
      </c>
      <c r="AB34" s="169">
        <f t="shared" si="37"/>
        <v>2.5905201888066663E-4</v>
      </c>
      <c r="AE34" s="3"/>
      <c r="AF34" s="3"/>
    </row>
    <row r="35" spans="2:32" s="5" customFormat="1" x14ac:dyDescent="0.15">
      <c r="B35" s="222"/>
      <c r="C35" s="39">
        <v>0.6958333333333333</v>
      </c>
      <c r="D35" s="43">
        <v>30.566666666666663</v>
      </c>
      <c r="E35" s="224"/>
      <c r="F35" s="40">
        <v>0.221</v>
      </c>
      <c r="G35" s="41">
        <v>0.26600000000000001</v>
      </c>
      <c r="H35" s="41">
        <v>0.25900000000000001</v>
      </c>
      <c r="I35" s="41">
        <f t="shared" si="23"/>
        <v>0.2783716</v>
      </c>
      <c r="J35" s="41">
        <f t="shared" si="24"/>
        <v>0.33505360000000001</v>
      </c>
      <c r="K35" s="41">
        <f t="shared" si="25"/>
        <v>0.32623640000000004</v>
      </c>
      <c r="L35" s="42">
        <f t="shared" si="20"/>
        <v>0.31322053333333333</v>
      </c>
      <c r="M35" s="41">
        <f t="shared" si="26"/>
        <v>1.7609390201568917E-2</v>
      </c>
      <c r="N35" s="41">
        <f t="shared" si="21"/>
        <v>-1.2787983672196517</v>
      </c>
      <c r="O35" s="41">
        <f t="shared" si="21"/>
        <v>-1.0934647599557055</v>
      </c>
      <c r="P35" s="41">
        <f t="shared" si="21"/>
        <v>-1.1201330070378666</v>
      </c>
      <c r="Q35" s="42">
        <f t="shared" si="22"/>
        <v>-1.1641320447377412</v>
      </c>
      <c r="R35" s="41">
        <f t="shared" si="27"/>
        <v>5.7847710943628845E-2</v>
      </c>
      <c r="S35" s="41">
        <f t="shared" si="28"/>
        <v>-1.417150756362362E-2</v>
      </c>
      <c r="T35" s="41">
        <f t="shared" si="29"/>
        <v>1.7372122962822374E-2</v>
      </c>
      <c r="U35" s="41">
        <f t="shared" si="30"/>
        <v>2.9441839531324586E-2</v>
      </c>
      <c r="V35" s="42">
        <f t="shared" si="31"/>
        <v>1.0880818310174447E-2</v>
      </c>
      <c r="W35" s="41">
        <f t="shared" si="32"/>
        <v>1.3001715121170529E-2</v>
      </c>
      <c r="X35" s="41">
        <f t="shared" si="33"/>
        <v>9.1070316248636866E-3</v>
      </c>
      <c r="Y35" s="41">
        <f t="shared" si="34"/>
        <v>1.0961404580152673E-2</v>
      </c>
      <c r="Z35" s="41">
        <f t="shared" si="35"/>
        <v>1.0672946564885499E-2</v>
      </c>
      <c r="AA35" s="42">
        <f t="shared" si="36"/>
        <v>1.0247127589967287E-2</v>
      </c>
      <c r="AB35" s="169">
        <f t="shared" si="37"/>
        <v>5.7609782556932126E-4</v>
      </c>
      <c r="AE35" s="3"/>
      <c r="AF35" s="3"/>
    </row>
    <row r="36" spans="2:32" s="5" customFormat="1" x14ac:dyDescent="0.15">
      <c r="B36" s="44" t="s">
        <v>25</v>
      </c>
      <c r="C36" s="39">
        <v>0.43124999999999997</v>
      </c>
      <c r="D36" s="43">
        <v>48.216666666666661</v>
      </c>
      <c r="E36" s="45">
        <v>3</v>
      </c>
      <c r="F36" s="40">
        <v>0.34899999999999998</v>
      </c>
      <c r="G36" s="41">
        <v>0.377</v>
      </c>
      <c r="H36" s="41">
        <v>0.38300000000000001</v>
      </c>
      <c r="I36" s="41">
        <f t="shared" si="23"/>
        <v>0.4396004</v>
      </c>
      <c r="J36" s="41">
        <f t="shared" si="24"/>
        <v>0.47486920000000005</v>
      </c>
      <c r="K36" s="41">
        <f t="shared" si="25"/>
        <v>0.48242680000000004</v>
      </c>
      <c r="L36" s="42">
        <f t="shared" si="20"/>
        <v>0.46563213333333336</v>
      </c>
      <c r="M36" s="41">
        <f t="shared" si="26"/>
        <v>1.3197445266582652E-2</v>
      </c>
      <c r="N36" s="41">
        <f t="shared" si="21"/>
        <v>-0.82188914653497736</v>
      </c>
      <c r="O36" s="41">
        <f t="shared" si="21"/>
        <v>-0.7447158812893937</v>
      </c>
      <c r="P36" s="41">
        <f t="shared" si="21"/>
        <v>-0.72892607955675848</v>
      </c>
      <c r="Q36" s="42">
        <f t="shared" si="22"/>
        <v>-0.76517703579370977</v>
      </c>
      <c r="R36" s="41">
        <f t="shared" si="27"/>
        <v>2.8720068989218007E-2</v>
      </c>
      <c r="S36" s="41">
        <f t="shared" si="28"/>
        <v>2.5887207970803079E-2</v>
      </c>
      <c r="T36" s="41">
        <f t="shared" si="29"/>
        <v>1.9759143267213133E-2</v>
      </c>
      <c r="U36" s="41">
        <f t="shared" si="30"/>
        <v>2.2164698440855984E-2</v>
      </c>
      <c r="V36" s="42">
        <f t="shared" si="31"/>
        <v>2.2603683226290732E-2</v>
      </c>
      <c r="W36" s="41">
        <f t="shared" si="32"/>
        <v>1.7825847323693226E-3</v>
      </c>
      <c r="X36" s="41">
        <f t="shared" si="33"/>
        <v>9.1171876944348435E-3</v>
      </c>
      <c r="Y36" s="41">
        <f t="shared" si="34"/>
        <v>9.8486526097476684E-3</v>
      </c>
      <c r="Z36" s="41">
        <f t="shared" si="35"/>
        <v>1.0005395091600417E-2</v>
      </c>
      <c r="AA36" s="42">
        <f t="shared" si="36"/>
        <v>9.6570784652609751E-3</v>
      </c>
      <c r="AB36" s="169">
        <f t="shared" si="37"/>
        <v>2.737112741081781E-4</v>
      </c>
      <c r="AE36" s="3"/>
      <c r="AF36" s="3"/>
    </row>
    <row r="37" spans="2:32" s="5" customFormat="1" x14ac:dyDescent="0.15">
      <c r="B37" s="44" t="s">
        <v>26</v>
      </c>
      <c r="C37" s="39">
        <v>0.4055555555555555</v>
      </c>
      <c r="D37" s="43">
        <v>71.599999999999994</v>
      </c>
      <c r="E37" s="45">
        <v>4</v>
      </c>
      <c r="F37" s="40">
        <v>0.54800000000000004</v>
      </c>
      <c r="G37" s="41">
        <v>0.56399999999999995</v>
      </c>
      <c r="H37" s="41">
        <v>0.54400000000000004</v>
      </c>
      <c r="I37" s="41">
        <f t="shared" si="23"/>
        <v>0.69026080000000012</v>
      </c>
      <c r="J37" s="41">
        <f t="shared" si="24"/>
        <v>0.7104144</v>
      </c>
      <c r="K37" s="41">
        <f t="shared" si="25"/>
        <v>0.68522240000000012</v>
      </c>
      <c r="L37" s="42">
        <f t="shared" si="20"/>
        <v>0.69529920000000012</v>
      </c>
      <c r="M37" s="41">
        <f t="shared" si="26"/>
        <v>7.6962831271551301E-3</v>
      </c>
      <c r="N37" s="41">
        <f t="shared" si="21"/>
        <v>-0.37068578178938882</v>
      </c>
      <c r="O37" s="41">
        <f t="shared" si="21"/>
        <v>-0.34190681723934563</v>
      </c>
      <c r="P37" s="41">
        <f t="shared" si="21"/>
        <v>-0.37801182188146171</v>
      </c>
      <c r="Q37" s="42">
        <f t="shared" si="22"/>
        <v>-0.36353480697006541</v>
      </c>
      <c r="R37" s="41">
        <f t="shared" si="27"/>
        <v>1.1018850071608414E-2</v>
      </c>
      <c r="S37" s="41">
        <f t="shared" si="28"/>
        <v>1.9295938620623888E-2</v>
      </c>
      <c r="T37" s="41">
        <f t="shared" si="29"/>
        <v>1.7226332033501698E-2</v>
      </c>
      <c r="U37" s="41">
        <f t="shared" si="30"/>
        <v>1.500702456202267E-2</v>
      </c>
      <c r="V37" s="42">
        <f t="shared" si="31"/>
        <v>1.7176431738716084E-2</v>
      </c>
      <c r="W37" s="41">
        <f t="shared" si="32"/>
        <v>1.2383542142808681E-3</v>
      </c>
      <c r="X37" s="41">
        <f t="shared" si="33"/>
        <v>9.6405139664804494E-3</v>
      </c>
      <c r="Y37" s="41">
        <f t="shared" si="34"/>
        <v>9.9219888268156434E-3</v>
      </c>
      <c r="Z37" s="41">
        <f t="shared" si="35"/>
        <v>9.5701452513966504E-3</v>
      </c>
      <c r="AA37" s="42">
        <f t="shared" si="36"/>
        <v>9.7108826815642466E-3</v>
      </c>
      <c r="AB37" s="169">
        <f t="shared" si="37"/>
        <v>1.0748998780942925E-4</v>
      </c>
      <c r="AE37" s="3"/>
      <c r="AF37" s="3"/>
    </row>
    <row r="38" spans="2:32" s="5" customFormat="1" x14ac:dyDescent="0.15">
      <c r="B38" s="44" t="s">
        <v>27</v>
      </c>
      <c r="C38" s="39">
        <v>0.41111111111111115</v>
      </c>
      <c r="D38" s="43">
        <v>95.73333333333332</v>
      </c>
      <c r="E38" s="45">
        <v>5</v>
      </c>
      <c r="F38" s="40">
        <v>0.71</v>
      </c>
      <c r="G38" s="41">
        <v>0.70199999999999996</v>
      </c>
      <c r="H38" s="41">
        <v>0.70399999999999996</v>
      </c>
      <c r="I38" s="41">
        <f t="shared" si="23"/>
        <v>0.894316</v>
      </c>
      <c r="J38" s="41">
        <f t="shared" si="24"/>
        <v>0.8842392</v>
      </c>
      <c r="K38" s="41">
        <f t="shared" si="25"/>
        <v>0.88675839999999995</v>
      </c>
      <c r="L38" s="42">
        <f t="shared" si="20"/>
        <v>0.88843786666666669</v>
      </c>
      <c r="M38" s="41">
        <f t="shared" si="26"/>
        <v>3.0277015910496318E-3</v>
      </c>
      <c r="N38" s="41">
        <f t="shared" si="21"/>
        <v>-0.11169609870204342</v>
      </c>
      <c r="O38" s="41">
        <f t="shared" si="21"/>
        <v>-0.1230276647115934</v>
      </c>
      <c r="P38" s="41">
        <f t="shared" si="21"/>
        <v>-0.12018271257936218</v>
      </c>
      <c r="Q38" s="42">
        <f t="shared" si="22"/>
        <v>-0.11830215866433301</v>
      </c>
      <c r="R38" s="41">
        <f t="shared" si="27"/>
        <v>3.4035990425673353E-3</v>
      </c>
      <c r="S38" s="41">
        <f t="shared" si="28"/>
        <v>1.0731616702514315E-2</v>
      </c>
      <c r="T38" s="41">
        <f t="shared" si="29"/>
        <v>9.0695781434151496E-3</v>
      </c>
      <c r="U38" s="41">
        <f t="shared" si="30"/>
        <v>1.0683526628540038E-2</v>
      </c>
      <c r="V38" s="42">
        <f t="shared" si="31"/>
        <v>1.0161573824823168E-2</v>
      </c>
      <c r="W38" s="41">
        <f t="shared" si="32"/>
        <v>5.461742975656624E-4</v>
      </c>
      <c r="X38" s="41">
        <f t="shared" si="33"/>
        <v>9.3417409470752093E-3</v>
      </c>
      <c r="Y38" s="41">
        <f t="shared" si="34"/>
        <v>9.2364818941504199E-3</v>
      </c>
      <c r="Z38" s="41">
        <f t="shared" si="35"/>
        <v>9.2627966573816164E-3</v>
      </c>
      <c r="AA38" s="42">
        <f t="shared" si="36"/>
        <v>9.280339832869083E-3</v>
      </c>
      <c r="AB38" s="169">
        <f t="shared" si="37"/>
        <v>3.1626409377258931E-5</v>
      </c>
      <c r="AE38" s="3"/>
      <c r="AF38" s="3"/>
    </row>
    <row r="39" spans="2:32" s="5" customFormat="1" x14ac:dyDescent="0.15">
      <c r="B39" s="44" t="s">
        <v>28</v>
      </c>
      <c r="C39" s="39">
        <v>0.48055555555555557</v>
      </c>
      <c r="D39" s="43">
        <v>121.39999999999999</v>
      </c>
      <c r="E39" s="45">
        <v>6</v>
      </c>
      <c r="F39" s="40">
        <v>0.94099999999999995</v>
      </c>
      <c r="G39" s="41">
        <v>0.98699999999999999</v>
      </c>
      <c r="H39" s="41">
        <v>0.95899999999999996</v>
      </c>
      <c r="I39" s="41">
        <f t="shared" si="23"/>
        <v>1.1852836</v>
      </c>
      <c r="J39" s="41">
        <f t="shared" si="24"/>
        <v>1.2432252000000001</v>
      </c>
      <c r="K39" s="41">
        <f t="shared" si="25"/>
        <v>1.2079564</v>
      </c>
      <c r="L39" s="42">
        <f t="shared" si="20"/>
        <v>1.2121550666666667</v>
      </c>
      <c r="M39" s="41">
        <f t="shared" si="26"/>
        <v>1.6857529019929915E-2</v>
      </c>
      <c r="N39" s="41">
        <f t="shared" si="21"/>
        <v>0.16998207084797512</v>
      </c>
      <c r="O39" s="41">
        <f t="shared" si="21"/>
        <v>0.21770897069607717</v>
      </c>
      <c r="P39" s="41">
        <f t="shared" si="21"/>
        <v>0.18893000614603372</v>
      </c>
      <c r="Q39" s="42">
        <f t="shared" si="22"/>
        <v>0.19220701589669534</v>
      </c>
      <c r="R39" s="41">
        <f t="shared" si="27"/>
        <v>1.3874657196451475E-2</v>
      </c>
      <c r="S39" s="41">
        <f t="shared" si="28"/>
        <v>1.097447413831241E-2</v>
      </c>
      <c r="T39" s="41">
        <f t="shared" si="29"/>
        <v>1.3275453327571579E-2</v>
      </c>
      <c r="U39" s="41">
        <f t="shared" si="30"/>
        <v>1.2043352677612825E-2</v>
      </c>
      <c r="V39" s="42">
        <f t="shared" si="31"/>
        <v>1.2097760047832272E-2</v>
      </c>
      <c r="W39" s="41">
        <f t="shared" si="32"/>
        <v>6.6479230561170834E-4</v>
      </c>
      <c r="X39" s="41">
        <f t="shared" si="33"/>
        <v>9.763456342668864E-3</v>
      </c>
      <c r="Y39" s="41">
        <f t="shared" si="34"/>
        <v>1.0240734761120265E-2</v>
      </c>
      <c r="Z39" s="41">
        <f t="shared" si="35"/>
        <v>9.9502174629324553E-3</v>
      </c>
      <c r="AA39" s="42">
        <f t="shared" si="36"/>
        <v>9.984802855573861E-3</v>
      </c>
      <c r="AB39" s="169">
        <f t="shared" si="37"/>
        <v>1.3885938237174556E-4</v>
      </c>
      <c r="AE39" s="3"/>
      <c r="AF39" s="3"/>
    </row>
    <row r="40" spans="2:32" s="5" customFormat="1" x14ac:dyDescent="0.15">
      <c r="B40" s="44" t="s">
        <v>29</v>
      </c>
      <c r="C40" s="39">
        <v>0.48680555555555555</v>
      </c>
      <c r="D40" s="43">
        <v>145.54999999999998</v>
      </c>
      <c r="E40" s="45">
        <v>7</v>
      </c>
      <c r="F40" s="40">
        <v>1.238</v>
      </c>
      <c r="G40" s="41">
        <v>1.3540000000000001</v>
      </c>
      <c r="H40" s="41">
        <v>1.1679999999999999</v>
      </c>
      <c r="I40" s="41">
        <f t="shared" si="23"/>
        <v>1.5593848000000001</v>
      </c>
      <c r="J40" s="41">
        <f t="shared" si="24"/>
        <v>1.7054984000000002</v>
      </c>
      <c r="K40" s="41">
        <f t="shared" si="25"/>
        <v>1.4712128</v>
      </c>
      <c r="L40" s="42">
        <f t="shared" si="20"/>
        <v>1.5786986666666667</v>
      </c>
      <c r="M40" s="41">
        <f t="shared" si="26"/>
        <v>6.8318383753455794E-2</v>
      </c>
      <c r="N40" s="41">
        <f t="shared" si="21"/>
        <v>0.44429138450713695</v>
      </c>
      <c r="O40" s="41">
        <f t="shared" si="21"/>
        <v>0.53385738473481592</v>
      </c>
      <c r="P40" s="41">
        <f t="shared" si="21"/>
        <v>0.38608709465076785</v>
      </c>
      <c r="Q40" s="42">
        <f t="shared" si="22"/>
        <v>0.45474528796424024</v>
      </c>
      <c r="R40" s="41">
        <f t="shared" si="27"/>
        <v>4.2976651533124001E-2</v>
      </c>
      <c r="S40" s="41">
        <f t="shared" si="28"/>
        <v>1.1358563712594697E-2</v>
      </c>
      <c r="T40" s="41">
        <f t="shared" si="29"/>
        <v>1.3091031637214859E-2</v>
      </c>
      <c r="U40" s="41">
        <f t="shared" si="30"/>
        <v>8.1638545964693252E-3</v>
      </c>
      <c r="V40" s="42">
        <f t="shared" si="31"/>
        <v>1.0871149982092959E-2</v>
      </c>
      <c r="W40" s="41">
        <f t="shared" si="32"/>
        <v>1.443080906281614E-3</v>
      </c>
      <c r="X40" s="41">
        <f t="shared" si="33"/>
        <v>1.0713739608382001E-2</v>
      </c>
      <c r="Y40" s="41">
        <f t="shared" si="34"/>
        <v>1.1717611817244936E-2</v>
      </c>
      <c r="Z40" s="41">
        <f t="shared" si="35"/>
        <v>1.0107954654757816E-2</v>
      </c>
      <c r="AA40" s="42">
        <f t="shared" si="36"/>
        <v>1.0846435360128253E-2</v>
      </c>
      <c r="AB40" s="169">
        <f t="shared" si="37"/>
        <v>4.6938085711752537E-4</v>
      </c>
      <c r="AE40" s="3"/>
      <c r="AF40" s="3"/>
    </row>
    <row r="41" spans="2:32" s="5" customFormat="1" x14ac:dyDescent="0.15">
      <c r="B41" s="44" t="s">
        <v>30</v>
      </c>
      <c r="C41" s="39">
        <v>0.4055555555555555</v>
      </c>
      <c r="D41" s="43">
        <v>167.6</v>
      </c>
      <c r="E41" s="45">
        <v>8</v>
      </c>
      <c r="F41" s="40">
        <v>1.478</v>
      </c>
      <c r="G41" s="41">
        <v>1.4550000000000001</v>
      </c>
      <c r="H41" s="41">
        <v>1.4690000000000001</v>
      </c>
      <c r="I41" s="41">
        <f t="shared" si="23"/>
        <v>1.8616888</v>
      </c>
      <c r="J41" s="41">
        <f t="shared" si="24"/>
        <v>1.8327180000000001</v>
      </c>
      <c r="K41" s="41">
        <f t="shared" si="25"/>
        <v>1.8503524000000002</v>
      </c>
      <c r="L41" s="42">
        <f t="shared" si="20"/>
        <v>1.8482530666666668</v>
      </c>
      <c r="M41" s="41">
        <f t="shared" si="26"/>
        <v>8.4287645099649332E-3</v>
      </c>
      <c r="N41" s="41">
        <f t="shared" si="21"/>
        <v>0.6214840327707426</v>
      </c>
      <c r="O41" s="41">
        <f t="shared" si="21"/>
        <v>0.60580011086818841</v>
      </c>
      <c r="P41" s="41">
        <f t="shared" si="21"/>
        <v>0.61537610743647286</v>
      </c>
      <c r="Q41" s="42">
        <f t="shared" si="22"/>
        <v>0.61422008369180137</v>
      </c>
      <c r="R41" s="41">
        <f t="shared" si="27"/>
        <v>4.5643051583287063E-3</v>
      </c>
      <c r="S41" s="41">
        <f t="shared" si="28"/>
        <v>8.0359477670569404E-3</v>
      </c>
      <c r="T41" s="41">
        <f t="shared" si="29"/>
        <v>3.2627086681801566E-3</v>
      </c>
      <c r="U41" s="41">
        <f t="shared" si="30"/>
        <v>1.0398594684158952E-2</v>
      </c>
      <c r="V41" s="42">
        <f t="shared" si="31"/>
        <v>7.2324170397986831E-3</v>
      </c>
      <c r="W41" s="41">
        <f t="shared" si="32"/>
        <v>2.0987665846473229E-3</v>
      </c>
      <c r="X41" s="41">
        <f t="shared" si="33"/>
        <v>1.1107928400954654E-2</v>
      </c>
      <c r="Y41" s="41">
        <f t="shared" si="34"/>
        <v>1.0935071599045347E-2</v>
      </c>
      <c r="Z41" s="41">
        <f t="shared" si="35"/>
        <v>1.1040288782816231E-2</v>
      </c>
      <c r="AA41" s="42">
        <f t="shared" si="36"/>
        <v>1.1027762927605411E-2</v>
      </c>
      <c r="AB41" s="169">
        <f t="shared" si="37"/>
        <v>5.0290957696687966E-5</v>
      </c>
      <c r="AE41" s="3"/>
      <c r="AF41" s="3"/>
    </row>
    <row r="42" spans="2:32" s="5" customFormat="1" x14ac:dyDescent="0.15">
      <c r="B42" s="44" t="s">
        <v>31</v>
      </c>
      <c r="C42" s="39">
        <v>0.30694444444444441</v>
      </c>
      <c r="D42" s="43">
        <v>189.23333333333332</v>
      </c>
      <c r="E42" s="45">
        <v>9</v>
      </c>
      <c r="F42" s="40">
        <v>1.43</v>
      </c>
      <c r="G42" s="41">
        <v>1.6080000000000001</v>
      </c>
      <c r="H42" s="41">
        <v>1.546</v>
      </c>
      <c r="I42" s="41">
        <f t="shared" si="23"/>
        <v>1.8012280000000001</v>
      </c>
      <c r="J42" s="41">
        <f t="shared" si="24"/>
        <v>2.0254368</v>
      </c>
      <c r="K42" s="41">
        <f t="shared" si="25"/>
        <v>1.9473416000000001</v>
      </c>
      <c r="L42" s="42">
        <f t="shared" si="20"/>
        <v>1.9246688000000001</v>
      </c>
      <c r="M42" s="41">
        <f t="shared" si="26"/>
        <v>6.570879797571505E-2</v>
      </c>
      <c r="N42" s="41">
        <f t="shared" si="21"/>
        <v>0.58846865451654851</v>
      </c>
      <c r="O42" s="41">
        <f t="shared" si="21"/>
        <v>0.70578538100150723</v>
      </c>
      <c r="P42" s="41">
        <f t="shared" si="21"/>
        <v>0.66646516040996284</v>
      </c>
      <c r="Q42" s="42">
        <f t="shared" si="22"/>
        <v>0.65357306530933945</v>
      </c>
      <c r="R42" s="41">
        <f t="shared" si="27"/>
        <v>3.4474426102785678E-2</v>
      </c>
      <c r="S42" s="41">
        <f t="shared" si="28"/>
        <v>-1.5261345880212991E-3</v>
      </c>
      <c r="T42" s="41">
        <f t="shared" si="29"/>
        <v>4.6218152603999469E-3</v>
      </c>
      <c r="U42" s="41">
        <f t="shared" si="30"/>
        <v>2.3615895057083201E-3</v>
      </c>
      <c r="V42" s="42">
        <f t="shared" si="31"/>
        <v>1.8190900593623223E-3</v>
      </c>
      <c r="W42" s="41">
        <f t="shared" si="32"/>
        <v>1.7953691423251465E-3</v>
      </c>
      <c r="X42" s="41">
        <f t="shared" si="33"/>
        <v>9.5185555751277091E-3</v>
      </c>
      <c r="Y42" s="41">
        <f t="shared" si="34"/>
        <v>1.0703382772591159E-2</v>
      </c>
      <c r="Z42" s="41">
        <f t="shared" si="35"/>
        <v>1.0290690153249958E-2</v>
      </c>
      <c r="AA42" s="42">
        <f t="shared" si="36"/>
        <v>1.017087616698961E-2</v>
      </c>
      <c r="AB42" s="169">
        <f t="shared" si="37"/>
        <v>3.4723691021163513E-4</v>
      </c>
      <c r="AD42" s="175"/>
      <c r="AE42" s="3"/>
      <c r="AF42" s="3"/>
    </row>
    <row r="43" spans="2:32" s="5" customFormat="1" x14ac:dyDescent="0.15">
      <c r="B43" s="44" t="s">
        <v>32</v>
      </c>
      <c r="C43" s="39">
        <v>0.4368055555555555</v>
      </c>
      <c r="D43" s="43">
        <v>216.35</v>
      </c>
      <c r="E43" s="45">
        <v>10</v>
      </c>
      <c r="F43" s="40">
        <v>1.506</v>
      </c>
      <c r="G43" s="41">
        <v>1.6439999999999999</v>
      </c>
      <c r="H43" s="41">
        <v>1.63</v>
      </c>
      <c r="I43" s="41">
        <f t="shared" si="23"/>
        <v>1.8969576000000001</v>
      </c>
      <c r="J43" s="41">
        <f t="shared" si="24"/>
        <v>2.0707824000000001</v>
      </c>
      <c r="K43" s="41">
        <f t="shared" si="25"/>
        <v>2.0531479999999998</v>
      </c>
      <c r="L43" s="42">
        <f t="shared" si="20"/>
        <v>2.0069626666666665</v>
      </c>
      <c r="M43" s="41">
        <f t="shared" si="26"/>
        <v>5.5237605050343842E-2</v>
      </c>
      <c r="N43" s="41">
        <f t="shared" si="21"/>
        <v>0.64025133962243441</v>
      </c>
      <c r="O43" s="41">
        <f t="shared" si="21"/>
        <v>0.72792650687872074</v>
      </c>
      <c r="P43" s="41">
        <f t="shared" si="21"/>
        <v>0.71937422506340343</v>
      </c>
      <c r="Q43" s="42">
        <f t="shared" si="22"/>
        <v>0.69585069052151949</v>
      </c>
      <c r="R43" s="41">
        <f t="shared" si="27"/>
        <v>2.7909086013709165E-2</v>
      </c>
      <c r="S43" s="41">
        <f t="shared" si="28"/>
        <v>1.9096257568243108E-3</v>
      </c>
      <c r="T43" s="41">
        <f t="shared" si="29"/>
        <v>8.1651355416890602E-4</v>
      </c>
      <c r="U43" s="41">
        <f t="shared" si="30"/>
        <v>1.9511640314729159E-3</v>
      </c>
      <c r="V43" s="42">
        <f t="shared" si="31"/>
        <v>1.5591011141553774E-3</v>
      </c>
      <c r="W43" s="41">
        <f t="shared" si="32"/>
        <v>3.7148735745656802E-4</v>
      </c>
      <c r="X43" s="41">
        <f t="shared" si="33"/>
        <v>8.7680036977120408E-3</v>
      </c>
      <c r="Y43" s="41">
        <f t="shared" si="34"/>
        <v>9.5714462676219098E-3</v>
      </c>
      <c r="Z43" s="41">
        <f t="shared" si="35"/>
        <v>9.489937601109312E-3</v>
      </c>
      <c r="AA43" s="42">
        <f t="shared" si="36"/>
        <v>9.2764625221477548E-3</v>
      </c>
      <c r="AB43" s="169">
        <f t="shared" si="37"/>
        <v>2.5531594661587183E-4</v>
      </c>
      <c r="AD43" s="43"/>
      <c r="AE43" s="3"/>
      <c r="AF43" s="3"/>
    </row>
    <row r="44" spans="2:32" s="5" customFormat="1" x14ac:dyDescent="0.15">
      <c r="B44" s="44" t="s">
        <v>33</v>
      </c>
      <c r="C44" s="39">
        <v>0.44722222222222219</v>
      </c>
      <c r="D44" s="43">
        <v>240.6</v>
      </c>
      <c r="E44" s="45">
        <v>11</v>
      </c>
      <c r="F44" s="40">
        <v>1.506</v>
      </c>
      <c r="G44" s="41">
        <v>1.744</v>
      </c>
      <c r="H44" s="41">
        <v>1.57</v>
      </c>
      <c r="I44" s="41">
        <f t="shared" si="23"/>
        <v>1.8969576000000001</v>
      </c>
      <c r="J44" s="41">
        <f t="shared" si="24"/>
        <v>2.1967424000000002</v>
      </c>
      <c r="K44" s="41">
        <f t="shared" si="25"/>
        <v>1.9775720000000001</v>
      </c>
      <c r="L44" s="42">
        <f t="shared" si="20"/>
        <v>2.0237573333333336</v>
      </c>
      <c r="M44" s="41">
        <f t="shared" si="26"/>
        <v>8.9568493975454994E-2</v>
      </c>
      <c r="N44" s="41">
        <f t="shared" si="21"/>
        <v>0.64025133962243441</v>
      </c>
      <c r="O44" s="41">
        <f t="shared" si="21"/>
        <v>0.78697553573152046</v>
      </c>
      <c r="P44" s="41">
        <f t="shared" si="21"/>
        <v>0.68186982960494924</v>
      </c>
      <c r="Q44" s="42">
        <f t="shared" si="22"/>
        <v>0.7030322349863013</v>
      </c>
      <c r="R44" s="41">
        <f t="shared" si="27"/>
        <v>4.3657313179305553E-2</v>
      </c>
      <c r="S44" s="41">
        <f t="shared" si="28"/>
        <v>0</v>
      </c>
      <c r="T44" s="41">
        <f t="shared" si="29"/>
        <v>2.4350114990845245E-3</v>
      </c>
      <c r="U44" s="41">
        <f t="shared" si="30"/>
        <v>-1.5465730085960489E-3</v>
      </c>
      <c r="V44" s="42">
        <f t="shared" si="31"/>
        <v>2.9614616349615857E-4</v>
      </c>
      <c r="W44" s="41">
        <f t="shared" si="32"/>
        <v>1.1588831851637176E-3</v>
      </c>
      <c r="X44" s="41">
        <f t="shared" si="33"/>
        <v>7.8842793017456364E-3</v>
      </c>
      <c r="Y44" s="41">
        <f t="shared" si="34"/>
        <v>9.1302676641729016E-3</v>
      </c>
      <c r="Z44" s="41">
        <f t="shared" si="35"/>
        <v>8.2193349958437252E-3</v>
      </c>
      <c r="AA44" s="42">
        <f t="shared" si="36"/>
        <v>8.4112939872540878E-3</v>
      </c>
      <c r="AB44" s="169">
        <f t="shared" si="37"/>
        <v>3.7227137978160826E-4</v>
      </c>
      <c r="AD44" s="43"/>
      <c r="AE44" s="3"/>
      <c r="AF44" s="3"/>
    </row>
    <row r="45" spans="2:32" s="5" customFormat="1" x14ac:dyDescent="0.15">
      <c r="B45" s="46" t="s">
        <v>34</v>
      </c>
      <c r="C45" s="39">
        <v>0.49236111111111108</v>
      </c>
      <c r="D45" s="43">
        <v>289.68333333333334</v>
      </c>
      <c r="E45" s="45">
        <v>12</v>
      </c>
      <c r="F45" s="40">
        <v>1.754</v>
      </c>
      <c r="G45" s="41">
        <v>1.77</v>
      </c>
      <c r="H45" s="41">
        <v>1.6859999999999999</v>
      </c>
      <c r="I45" s="41">
        <f t="shared" si="23"/>
        <v>2.2093384</v>
      </c>
      <c r="J45" s="41">
        <f t="shared" si="24"/>
        <v>2.229492</v>
      </c>
      <c r="K45" s="41">
        <f t="shared" si="25"/>
        <v>2.1236856</v>
      </c>
      <c r="L45" s="42">
        <f t="shared" si="20"/>
        <v>2.1875053333333336</v>
      </c>
      <c r="M45" s="41">
        <f t="shared" si="26"/>
        <v>3.2435888921035903E-2</v>
      </c>
      <c r="N45" s="41">
        <f t="shared" si="21"/>
        <v>0.79269310419472383</v>
      </c>
      <c r="O45" s="41">
        <f t="shared" si="21"/>
        <v>0.80177375683047036</v>
      </c>
      <c r="P45" s="41">
        <f t="shared" si="21"/>
        <v>0.75315306982439623</v>
      </c>
      <c r="Q45" s="42">
        <f t="shared" si="22"/>
        <v>0.78253997694986344</v>
      </c>
      <c r="R45" s="41">
        <f t="shared" si="27"/>
        <v>1.492545137087877E-2</v>
      </c>
      <c r="S45" s="41">
        <f t="shared" si="28"/>
        <v>3.1057744904371353E-3</v>
      </c>
      <c r="T45" s="41">
        <f t="shared" si="29"/>
        <v>3.0149177111612704E-4</v>
      </c>
      <c r="U45" s="41">
        <f t="shared" si="30"/>
        <v>1.452290123316407E-3</v>
      </c>
      <c r="V45" s="42">
        <f t="shared" si="31"/>
        <v>1.6198521282898897E-3</v>
      </c>
      <c r="W45" s="41">
        <f t="shared" si="32"/>
        <v>8.1385055171975676E-4</v>
      </c>
      <c r="X45" s="41">
        <f t="shared" si="33"/>
        <v>7.6267363212703526E-3</v>
      </c>
      <c r="Y45" s="41">
        <f t="shared" si="34"/>
        <v>7.6963074621713362E-3</v>
      </c>
      <c r="Z45" s="41">
        <f t="shared" si="35"/>
        <v>7.3310589724411715E-3</v>
      </c>
      <c r="AA45" s="42">
        <f t="shared" si="36"/>
        <v>7.5513675852942859E-3</v>
      </c>
      <c r="AB45" s="169">
        <f t="shared" si="37"/>
        <v>1.1197015909683853E-4</v>
      </c>
      <c r="AD45" s="43"/>
      <c r="AE45" s="3"/>
      <c r="AF45" s="3"/>
    </row>
    <row r="46" spans="2:32" s="5" customFormat="1" x14ac:dyDescent="0.15">
      <c r="B46" s="46" t="s">
        <v>35</v>
      </c>
      <c r="C46" s="39">
        <v>0.49374999999999997</v>
      </c>
      <c r="D46" s="43">
        <v>313.7166666666667</v>
      </c>
      <c r="E46" s="45">
        <v>14</v>
      </c>
      <c r="F46" s="40">
        <v>1.7</v>
      </c>
      <c r="G46" s="41">
        <v>1.88</v>
      </c>
      <c r="H46" s="41">
        <v>1.752</v>
      </c>
      <c r="I46" s="41">
        <f t="shared" si="23"/>
        <v>2.1413199999999999</v>
      </c>
      <c r="J46" s="41">
        <f t="shared" si="24"/>
        <v>2.3680479999999999</v>
      </c>
      <c r="K46" s="41">
        <f t="shared" si="25"/>
        <v>2.2068192</v>
      </c>
      <c r="L46" s="42">
        <f t="shared" si="20"/>
        <v>2.2387290666666666</v>
      </c>
      <c r="M46" s="41">
        <f t="shared" si="26"/>
        <v>6.7367341714447318E-2</v>
      </c>
      <c r="N46" s="41">
        <f t="shared" si="21"/>
        <v>0.76142246130690283</v>
      </c>
      <c r="O46" s="41">
        <f t="shared" si="21"/>
        <v>0.86206598708659032</v>
      </c>
      <c r="P46" s="41">
        <f t="shared" si="21"/>
        <v>0.79155220275893223</v>
      </c>
      <c r="Q46" s="42">
        <f t="shared" si="22"/>
        <v>0.80501355038414169</v>
      </c>
      <c r="R46" s="41">
        <f t="shared" si="27"/>
        <v>2.9822730314625831E-2</v>
      </c>
      <c r="S46" s="41">
        <f t="shared" si="28"/>
        <v>-1.3011363198815935E-3</v>
      </c>
      <c r="T46" s="41">
        <f t="shared" si="29"/>
        <v>2.5086919662740594E-3</v>
      </c>
      <c r="U46" s="41">
        <f t="shared" si="30"/>
        <v>1.5977447822969194E-3</v>
      </c>
      <c r="V46" s="42">
        <f t="shared" si="31"/>
        <v>9.3510014289646182E-4</v>
      </c>
      <c r="W46" s="41">
        <f t="shared" si="32"/>
        <v>1.1486254584056185E-3</v>
      </c>
      <c r="X46" s="41">
        <f t="shared" si="33"/>
        <v>6.8256494713913821E-3</v>
      </c>
      <c r="Y46" s="41">
        <f t="shared" si="34"/>
        <v>7.5483652977739986E-3</v>
      </c>
      <c r="Z46" s="41">
        <f t="shared" si="35"/>
        <v>7.0344340434574711E-3</v>
      </c>
      <c r="AA46" s="42">
        <f t="shared" si="36"/>
        <v>7.1361496042076185E-3</v>
      </c>
      <c r="AB46" s="169">
        <f t="shared" si="37"/>
        <v>2.1473944126158611E-4</v>
      </c>
      <c r="AD46" s="3"/>
      <c r="AE46" s="3"/>
      <c r="AF46" s="3"/>
    </row>
    <row r="47" spans="2:32" s="5" customFormat="1" x14ac:dyDescent="0.15">
      <c r="B47" s="46" t="s">
        <v>36</v>
      </c>
      <c r="C47" s="39">
        <v>0.46180555555555558</v>
      </c>
      <c r="D47" s="43">
        <v>336.95000000000005</v>
      </c>
      <c r="E47" s="45">
        <v>15</v>
      </c>
      <c r="F47" s="40">
        <v>1.8180000000000001</v>
      </c>
      <c r="G47" s="41">
        <v>1.9059999999999999</v>
      </c>
      <c r="H47" s="41">
        <v>1.88</v>
      </c>
      <c r="I47" s="41">
        <f t="shared" si="23"/>
        <v>2.2899528</v>
      </c>
      <c r="J47" s="41">
        <f t="shared" si="24"/>
        <v>2.4007976000000002</v>
      </c>
      <c r="K47" s="41">
        <f t="shared" si="25"/>
        <v>2.3680479999999999</v>
      </c>
      <c r="L47" s="42">
        <f t="shared" si="20"/>
        <v>2.3529328</v>
      </c>
      <c r="M47" s="41">
        <f t="shared" si="26"/>
        <v>3.287853593171898E-2</v>
      </c>
      <c r="N47" s="41">
        <f t="shared" si="21"/>
        <v>0.82853120600001962</v>
      </c>
      <c r="O47" s="41">
        <f t="shared" si="21"/>
        <v>0.87580101547674294</v>
      </c>
      <c r="P47" s="41">
        <f t="shared" si="21"/>
        <v>0.86206598708659032</v>
      </c>
      <c r="Q47" s="42">
        <f t="shared" si="22"/>
        <v>0.85546606952111759</v>
      </c>
      <c r="R47" s="41">
        <f t="shared" si="27"/>
        <v>1.4038968455632187E-2</v>
      </c>
      <c r="S47" s="41">
        <f t="shared" si="28"/>
        <v>2.8884682077381669E-3</v>
      </c>
      <c r="T47" s="41">
        <f t="shared" si="29"/>
        <v>5.9117769254602326E-4</v>
      </c>
      <c r="U47" s="41">
        <f t="shared" si="30"/>
        <v>3.0350265851215802E-3</v>
      </c>
      <c r="V47" s="42">
        <f t="shared" si="31"/>
        <v>2.1715574951352568E-3</v>
      </c>
      <c r="W47" s="41">
        <f t="shared" si="32"/>
        <v>7.9132169602913992E-4</v>
      </c>
      <c r="X47" s="41">
        <f t="shared" si="33"/>
        <v>6.7961204926546958E-3</v>
      </c>
      <c r="Y47" s="41">
        <f t="shared" si="34"/>
        <v>7.1250856210120193E-3</v>
      </c>
      <c r="Z47" s="41">
        <f t="shared" si="35"/>
        <v>7.0278913785428096E-3</v>
      </c>
      <c r="AA47" s="42">
        <f t="shared" si="36"/>
        <v>6.9830324974031743E-3</v>
      </c>
      <c r="AB47" s="169">
        <f t="shared" si="37"/>
        <v>9.7576898447006898E-5</v>
      </c>
      <c r="AD47" s="3"/>
      <c r="AE47" s="3"/>
      <c r="AF47" s="3"/>
    </row>
    <row r="48" spans="2:32" s="5" customFormat="1" x14ac:dyDescent="0.15">
      <c r="B48" s="46" t="s">
        <v>37</v>
      </c>
      <c r="C48" s="39">
        <v>0.41250000000000003</v>
      </c>
      <c r="D48" s="43">
        <v>359.76666666666671</v>
      </c>
      <c r="E48" s="45">
        <v>16</v>
      </c>
      <c r="F48" s="40">
        <v>1.8640000000000001</v>
      </c>
      <c r="G48" s="41">
        <v>2.0019999999999998</v>
      </c>
      <c r="H48" s="41">
        <v>1.8979999999999999</v>
      </c>
      <c r="I48" s="41">
        <f t="shared" si="23"/>
        <v>2.3478944000000004</v>
      </c>
      <c r="J48" s="41">
        <f t="shared" si="24"/>
        <v>2.5217191999999997</v>
      </c>
      <c r="K48" s="41">
        <f t="shared" si="25"/>
        <v>2.3907208</v>
      </c>
      <c r="L48" s="42">
        <f t="shared" si="20"/>
        <v>2.4201114666666665</v>
      </c>
      <c r="M48" s="41">
        <f t="shared" si="26"/>
        <v>5.2286466506140571E-2</v>
      </c>
      <c r="N48" s="41">
        <f t="shared" si="21"/>
        <v>0.8535189265081321</v>
      </c>
      <c r="O48" s="41">
        <f t="shared" si="21"/>
        <v>0.92494089113776123</v>
      </c>
      <c r="P48" s="41">
        <f t="shared" si="21"/>
        <v>0.87159491043246862</v>
      </c>
      <c r="Q48" s="42">
        <f t="shared" si="22"/>
        <v>0.88335157602612069</v>
      </c>
      <c r="R48" s="41">
        <f t="shared" si="27"/>
        <v>2.1439361365641778E-2</v>
      </c>
      <c r="S48" s="41">
        <f t="shared" si="28"/>
        <v>1.095152104080898E-3</v>
      </c>
      <c r="T48" s="41">
        <f t="shared" si="29"/>
        <v>2.1536833744785233E-3</v>
      </c>
      <c r="U48" s="41">
        <f t="shared" si="30"/>
        <v>4.1762994941760241E-4</v>
      </c>
      <c r="V48" s="42">
        <f t="shared" si="31"/>
        <v>1.222155142659008E-3</v>
      </c>
      <c r="W48" s="41">
        <f t="shared" si="32"/>
        <v>5.0516258192206248E-4</v>
      </c>
      <c r="X48" s="41">
        <f t="shared" si="33"/>
        <v>6.5261588066339296E-3</v>
      </c>
      <c r="Y48" s="41">
        <f t="shared" si="34"/>
        <v>7.0093186324469547E-3</v>
      </c>
      <c r="Z48" s="41">
        <f t="shared" si="35"/>
        <v>6.6451981840081522E-3</v>
      </c>
      <c r="AA48" s="42">
        <f t="shared" si="36"/>
        <v>6.7268918743630113E-3</v>
      </c>
      <c r="AB48" s="169">
        <f t="shared" si="37"/>
        <v>1.4533438295045097E-4</v>
      </c>
      <c r="AD48" s="3"/>
      <c r="AE48" s="3"/>
      <c r="AF48" s="3"/>
    </row>
    <row r="49" spans="2:32" s="5" customFormat="1" x14ac:dyDescent="0.15">
      <c r="B49" s="46" t="s">
        <v>38</v>
      </c>
      <c r="C49" s="39">
        <v>0.47361111111111115</v>
      </c>
      <c r="D49" s="43">
        <v>385.23333333333335</v>
      </c>
      <c r="E49" s="45">
        <v>17</v>
      </c>
      <c r="F49" s="40">
        <v>1.952</v>
      </c>
      <c r="G49" s="41">
        <v>2</v>
      </c>
      <c r="H49" s="41">
        <v>1.958</v>
      </c>
      <c r="I49" s="41">
        <f t="shared" si="23"/>
        <v>2.4587392000000001</v>
      </c>
      <c r="J49" s="41">
        <f t="shared" si="24"/>
        <v>2.5192000000000001</v>
      </c>
      <c r="K49" s="41">
        <f t="shared" si="25"/>
        <v>2.4662967999999998</v>
      </c>
      <c r="L49" s="42">
        <f t="shared" si="20"/>
        <v>2.4814120000000002</v>
      </c>
      <c r="M49" s="41">
        <f t="shared" si="26"/>
        <v>1.9019542909334105E-2</v>
      </c>
      <c r="N49" s="41">
        <f t="shared" si="21"/>
        <v>0.89964869823563332</v>
      </c>
      <c r="O49" s="41">
        <f t="shared" si="21"/>
        <v>0.92394139080467785</v>
      </c>
      <c r="P49" s="41">
        <f t="shared" si="21"/>
        <v>0.90271775435305113</v>
      </c>
      <c r="Q49" s="42">
        <f t="shared" si="22"/>
        <v>0.90876928113112088</v>
      </c>
      <c r="R49" s="41">
        <f t="shared" si="27"/>
        <v>7.6376143815286195E-3</v>
      </c>
      <c r="S49" s="41">
        <f t="shared" si="28"/>
        <v>1.8113784709751803E-3</v>
      </c>
      <c r="T49" s="41">
        <f t="shared" si="29"/>
        <v>-3.9247395278143264E-5</v>
      </c>
      <c r="U49" s="41">
        <f t="shared" si="30"/>
        <v>1.222101201069995E-3</v>
      </c>
      <c r="V49" s="42">
        <f t="shared" si="31"/>
        <v>9.9807742558901086E-4</v>
      </c>
      <c r="W49" s="41">
        <f t="shared" si="32"/>
        <v>5.4584613619500016E-4</v>
      </c>
      <c r="X49" s="41">
        <f t="shared" si="33"/>
        <v>6.382467422341438E-3</v>
      </c>
      <c r="Y49" s="41">
        <f t="shared" si="34"/>
        <v>6.5394133425629485E-3</v>
      </c>
      <c r="Z49" s="41">
        <f t="shared" si="35"/>
        <v>6.4020856623691266E-3</v>
      </c>
      <c r="AA49" s="42">
        <f t="shared" si="36"/>
        <v>6.4413221424245047E-3</v>
      </c>
      <c r="AB49" s="169">
        <f t="shared" si="37"/>
        <v>4.9371488040150677E-5</v>
      </c>
      <c r="AD49" s="3"/>
      <c r="AE49" s="3"/>
      <c r="AF49" s="3"/>
    </row>
    <row r="50" spans="2:32" s="5" customFormat="1" ht="15" thickBot="1" x14ac:dyDescent="0.2">
      <c r="B50" s="46" t="s">
        <v>39</v>
      </c>
      <c r="C50" s="39">
        <v>0.4548611111111111</v>
      </c>
      <c r="D50" s="43">
        <v>408.78333333333336</v>
      </c>
      <c r="E50" s="45">
        <v>18</v>
      </c>
      <c r="F50" s="40">
        <v>1.98</v>
      </c>
      <c r="G50" s="41">
        <v>1.91</v>
      </c>
      <c r="H50" s="41">
        <v>2.0619999999999998</v>
      </c>
      <c r="I50" s="41">
        <f t="shared" si="23"/>
        <v>2.494008</v>
      </c>
      <c r="J50" s="41">
        <f t="shared" si="24"/>
        <v>2.4058359999999999</v>
      </c>
      <c r="K50" s="41">
        <f t="shared" si="25"/>
        <v>2.5972952</v>
      </c>
      <c r="L50" s="42">
        <f t="shared" si="20"/>
        <v>2.4990463999999997</v>
      </c>
      <c r="M50" s="41">
        <f t="shared" si="26"/>
        <v>5.5326893466860566E-2</v>
      </c>
      <c r="N50" s="41">
        <f t="shared" si="21"/>
        <v>0.9138910549511764</v>
      </c>
      <c r="O50" s="41">
        <f t="shared" si="21"/>
        <v>0.87789745230327099</v>
      </c>
      <c r="P50" s="41">
        <f t="shared" si="21"/>
        <v>0.95447059583950067</v>
      </c>
      <c r="Q50" s="42">
        <f t="shared" si="22"/>
        <v>0.91541970103131598</v>
      </c>
      <c r="R50" s="41">
        <f t="shared" si="27"/>
        <v>2.211797268349696E-2</v>
      </c>
      <c r="S50" s="41">
        <f t="shared" si="28"/>
        <v>6.0477098579800738E-4</v>
      </c>
      <c r="T50" s="41">
        <f t="shared" si="29"/>
        <v>-1.9551566242635601E-3</v>
      </c>
      <c r="U50" s="41">
        <f t="shared" si="30"/>
        <v>2.1975728868980685E-3</v>
      </c>
      <c r="V50" s="42">
        <f t="shared" si="31"/>
        <v>2.8239574947750524E-4</v>
      </c>
      <c r="W50" s="41">
        <f t="shared" si="32"/>
        <v>1.2095777421567001E-3</v>
      </c>
      <c r="X50" s="41">
        <f t="shared" si="33"/>
        <v>6.1010510865576704E-3</v>
      </c>
      <c r="Y50" s="41">
        <f t="shared" si="34"/>
        <v>5.8853573612753281E-3</v>
      </c>
      <c r="Z50" s="41">
        <f t="shared" si="35"/>
        <v>6.3537208790312716E-3</v>
      </c>
      <c r="AA50" s="42">
        <f t="shared" si="36"/>
        <v>6.1133764422880892E-3</v>
      </c>
      <c r="AB50" s="169">
        <f t="shared" si="37"/>
        <v>1.3534527696055932E-4</v>
      </c>
      <c r="AD50" s="3"/>
      <c r="AE50" s="3"/>
      <c r="AF50" s="3"/>
    </row>
    <row r="51" spans="2:32" ht="15" thickBot="1" x14ac:dyDescent="0.2">
      <c r="B51" s="217" t="s">
        <v>72</v>
      </c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8"/>
      <c r="Y51" s="218"/>
      <c r="Z51" s="218"/>
      <c r="AA51" s="218"/>
      <c r="AB51" s="219"/>
    </row>
    <row r="52" spans="2:32" ht="60" x14ac:dyDescent="0.15">
      <c r="B52" s="23" t="s">
        <v>0</v>
      </c>
      <c r="C52" s="24" t="s">
        <v>1</v>
      </c>
      <c r="D52" s="25" t="s">
        <v>2</v>
      </c>
      <c r="E52" s="26" t="s">
        <v>3</v>
      </c>
      <c r="F52" s="204" t="s">
        <v>61</v>
      </c>
      <c r="G52" s="205"/>
      <c r="H52" s="206"/>
      <c r="I52" s="207" t="s">
        <v>10</v>
      </c>
      <c r="J52" s="205"/>
      <c r="K52" s="206"/>
      <c r="L52" s="27" t="s">
        <v>4</v>
      </c>
      <c r="M52" s="28" t="s">
        <v>69</v>
      </c>
      <c r="N52" s="207" t="s">
        <v>63</v>
      </c>
      <c r="O52" s="205"/>
      <c r="P52" s="206"/>
      <c r="Q52" s="28" t="s">
        <v>5</v>
      </c>
      <c r="R52" s="28" t="s">
        <v>62</v>
      </c>
      <c r="S52" s="220" t="s">
        <v>6</v>
      </c>
      <c r="T52" s="221"/>
      <c r="U52" s="221"/>
      <c r="V52" s="27" t="s">
        <v>64</v>
      </c>
      <c r="W52" s="27" t="s">
        <v>62</v>
      </c>
      <c r="X52" s="207" t="s">
        <v>65</v>
      </c>
      <c r="Y52" s="205"/>
      <c r="Z52" s="206"/>
      <c r="AA52" s="27" t="s">
        <v>66</v>
      </c>
      <c r="AB52" s="29" t="s">
        <v>62</v>
      </c>
    </row>
    <row r="53" spans="2:32" x14ac:dyDescent="0.15">
      <c r="B53" s="30"/>
      <c r="C53" s="31"/>
      <c r="D53" s="32"/>
      <c r="E53" s="33"/>
      <c r="F53" s="208" t="s">
        <v>13</v>
      </c>
      <c r="G53" s="209"/>
      <c r="H53" s="210"/>
      <c r="I53" s="211" t="s">
        <v>7</v>
      </c>
      <c r="J53" s="209"/>
      <c r="K53" s="210"/>
      <c r="L53" s="35" t="s">
        <v>7</v>
      </c>
      <c r="M53" s="35"/>
      <c r="N53" s="211" t="s">
        <v>7</v>
      </c>
      <c r="O53" s="209"/>
      <c r="P53" s="210"/>
      <c r="Q53" s="34"/>
      <c r="R53" s="34"/>
      <c r="S53" s="215" t="s">
        <v>67</v>
      </c>
      <c r="T53" s="216"/>
      <c r="U53" s="216"/>
      <c r="V53" s="35" t="s">
        <v>67</v>
      </c>
      <c r="W53" s="32"/>
      <c r="X53" s="212" t="s">
        <v>68</v>
      </c>
      <c r="Y53" s="213"/>
      <c r="Z53" s="214"/>
      <c r="AA53" s="37" t="s">
        <v>68</v>
      </c>
      <c r="AB53" s="38"/>
    </row>
    <row r="54" spans="2:32" s="5" customFormat="1" x14ac:dyDescent="0.15">
      <c r="B54" s="223" t="s">
        <v>23</v>
      </c>
      <c r="C54" s="39">
        <v>0.45208333333333334</v>
      </c>
      <c r="D54" s="5">
        <v>0</v>
      </c>
      <c r="E54" s="224">
        <v>1</v>
      </c>
      <c r="F54" s="40">
        <v>9.7000000000000003E-2</v>
      </c>
      <c r="G54" s="41">
        <v>0.10199999999999999</v>
      </c>
      <c r="H54" s="41">
        <v>0.10299999999999999</v>
      </c>
      <c r="I54" s="41">
        <f>1.2596*F54</f>
        <v>0.1221812</v>
      </c>
      <c r="J54" s="41">
        <f t="shared" ref="J54:K54" si="38">1.2596*G54</f>
        <v>0.12847919999999999</v>
      </c>
      <c r="K54" s="41">
        <f t="shared" si="38"/>
        <v>0.12973879999999999</v>
      </c>
      <c r="L54" s="42">
        <f t="shared" ref="L54:L74" si="39">AVERAGE(I54:K54)</f>
        <v>0.12679973333333333</v>
      </c>
      <c r="M54" s="49">
        <f t="shared" ref="M54:M74" si="40">STDEV(I54:K54)/SQRT(3)</f>
        <v>2.3377186638068935E-3</v>
      </c>
      <c r="N54" s="41">
        <f t="shared" ref="N54:P73" si="41">LN(I54)</f>
        <v>-2.1022500902340218</v>
      </c>
      <c r="O54" s="41">
        <f t="shared" si="41"/>
        <v>-2.0519882554531335</v>
      </c>
      <c r="P54" s="41">
        <f t="shared" si="41"/>
        <v>-2.0422320805077687</v>
      </c>
      <c r="Q54" s="42">
        <f t="shared" ref="Q54:Q74" si="42">AVERAGE(N54:P54)</f>
        <v>-2.0654901420649745</v>
      </c>
      <c r="R54" s="41">
        <f>STDEV(N54:P54)/SQRT(3)</f>
        <v>1.8594498105930987E-2</v>
      </c>
      <c r="S54" s="41"/>
      <c r="V54" s="172"/>
      <c r="AA54" s="172"/>
      <c r="AB54" s="45"/>
      <c r="AE54" s="3"/>
      <c r="AF54" s="3"/>
    </row>
    <row r="55" spans="2:32" s="5" customFormat="1" x14ac:dyDescent="0.15">
      <c r="B55" s="223"/>
      <c r="C55" s="39">
        <v>0.59791666666666665</v>
      </c>
      <c r="D55" s="43">
        <v>3.5</v>
      </c>
      <c r="E55" s="224"/>
      <c r="F55" s="40">
        <v>0.13</v>
      </c>
      <c r="G55" s="41">
        <v>0.13</v>
      </c>
      <c r="H55" s="41">
        <v>0.13500000000000001</v>
      </c>
      <c r="I55" s="41">
        <f t="shared" ref="I55:I74" si="43">1.2596*F55</f>
        <v>0.163748</v>
      </c>
      <c r="J55" s="41">
        <f t="shared" ref="J55:J74" si="44">1.2596*G55</f>
        <v>0.163748</v>
      </c>
      <c r="K55" s="41">
        <f t="shared" ref="K55:K74" si="45">1.2596*H55</f>
        <v>0.17004600000000003</v>
      </c>
      <c r="L55" s="42">
        <f t="shared" si="39"/>
        <v>0.16584733333333335</v>
      </c>
      <c r="M55" s="49">
        <f t="shared" si="40"/>
        <v>2.0993333333333419E-3</v>
      </c>
      <c r="N55" s="41">
        <f t="shared" si="41"/>
        <v>-1.8094266182818222</v>
      </c>
      <c r="O55" s="41">
        <f t="shared" si="41"/>
        <v>-1.8094266182818222</v>
      </c>
      <c r="P55" s="41">
        <f t="shared" si="41"/>
        <v>-1.771686290298975</v>
      </c>
      <c r="Q55" s="42">
        <f t="shared" si="42"/>
        <v>-1.7968465089542065</v>
      </c>
      <c r="R55" s="41">
        <f t="shared" ref="R55:R74" si="46">STDEV(N55:P55)/SQRT(3)</f>
        <v>1.2580109327615737E-2</v>
      </c>
      <c r="S55" s="41">
        <f>(N55-N54)/(D55-D54)</f>
        <v>8.3663849129199885E-2</v>
      </c>
      <c r="T55" s="41">
        <f>(O55-O54)/(D55-D54)</f>
        <v>6.9303324906088939E-2</v>
      </c>
      <c r="U55" s="41">
        <f>(P55-P54)/(D55-D54)</f>
        <v>7.7298797202512509E-2</v>
      </c>
      <c r="V55" s="42">
        <f>AVERAGE(S55:U55)</f>
        <v>7.6755323745933773E-2</v>
      </c>
      <c r="W55" s="41">
        <f>STDEV(S55:U55)/SQRT(3)</f>
        <v>4.1544228054425439E-3</v>
      </c>
      <c r="X55" s="41">
        <f>I55/D55</f>
        <v>4.6785142857142858E-2</v>
      </c>
      <c r="Y55" s="41">
        <f>J55/D55</f>
        <v>4.6785142857142858E-2</v>
      </c>
      <c r="Z55" s="41">
        <f>K55/D55</f>
        <v>4.8584571428571435E-2</v>
      </c>
      <c r="AA55" s="42">
        <f>AVERAGE(X55:Z55)</f>
        <v>4.7384952380952382E-2</v>
      </c>
      <c r="AB55" s="169">
        <f>STDEV(X55:Z55)/SQRT(3)</f>
        <v>5.9980952380952568E-4</v>
      </c>
      <c r="AE55" s="3"/>
      <c r="AF55" s="3"/>
    </row>
    <row r="56" spans="2:32" s="5" customFormat="1" x14ac:dyDescent="0.15">
      <c r="B56" s="223"/>
      <c r="C56" s="39">
        <v>0.69374999999999998</v>
      </c>
      <c r="D56" s="43">
        <v>5.8</v>
      </c>
      <c r="E56" s="224"/>
      <c r="F56" s="40">
        <v>0.14899999999999999</v>
      </c>
      <c r="G56" s="41">
        <v>0.129</v>
      </c>
      <c r="H56" s="41">
        <v>0.14099999999999999</v>
      </c>
      <c r="I56" s="41">
        <f t="shared" si="43"/>
        <v>0.1876804</v>
      </c>
      <c r="J56" s="41">
        <f t="shared" si="44"/>
        <v>0.16248840000000001</v>
      </c>
      <c r="K56" s="41">
        <f t="shared" si="45"/>
        <v>0.1776036</v>
      </c>
      <c r="L56" s="42">
        <f t="shared" si="39"/>
        <v>0.17592413333333334</v>
      </c>
      <c r="M56" s="49">
        <f t="shared" si="40"/>
        <v>7.3206254790451073E-3</v>
      </c>
      <c r="N56" s="41">
        <f t="shared" si="41"/>
        <v>-1.6730147627919454</v>
      </c>
      <c r="O56" s="41">
        <f t="shared" si="41"/>
        <v>-1.8171486643757324</v>
      </c>
      <c r="P56" s="41">
        <f t="shared" si="41"/>
        <v>-1.7282011783592361</v>
      </c>
      <c r="Q56" s="42">
        <f t="shared" si="42"/>
        <v>-1.7394548685089715</v>
      </c>
      <c r="R56" s="41">
        <f t="shared" si="46"/>
        <v>4.1986623079781356E-2</v>
      </c>
      <c r="S56" s="41">
        <f t="shared" ref="S56:S74" si="47">(N56-N55)/(D56-D55)</f>
        <v>5.9309502386902954E-2</v>
      </c>
      <c r="T56" s="41">
        <f t="shared" ref="T56:T74" si="48">(O56-O55)/(D56-D55)</f>
        <v>-3.3574113451783701E-3</v>
      </c>
      <c r="U56" s="41">
        <f t="shared" ref="U56:U74" si="49">(P56-P55)/(D56-D55)</f>
        <v>1.8906570408582093E-2</v>
      </c>
      <c r="V56" s="42">
        <f t="shared" ref="V56:V74" si="50">AVERAGE(S56:U56)</f>
        <v>2.4952887150102226E-2</v>
      </c>
      <c r="W56" s="41">
        <f t="shared" ref="W56:W74" si="51">STDEV(S56:U56)/SQRT(3)</f>
        <v>1.8341246584134906E-2</v>
      </c>
      <c r="X56" s="41">
        <f t="shared" ref="X56:X74" si="52">I56/D56</f>
        <v>3.2358689655172412E-2</v>
      </c>
      <c r="Y56" s="41">
        <f t="shared" ref="Y56:Y74" si="53">J56/D56</f>
        <v>2.8015241379310347E-2</v>
      </c>
      <c r="Z56" s="41">
        <f t="shared" ref="Z56:Z74" si="54">K56/D56</f>
        <v>3.0621310344827589E-2</v>
      </c>
      <c r="AA56" s="42">
        <f t="shared" ref="AA56:AA74" si="55">AVERAGE(X56:Z56)</f>
        <v>3.033174712643678E-2</v>
      </c>
      <c r="AB56" s="169">
        <f t="shared" ref="AB56:AB74" si="56">STDEV(X56:Z56)/SQRT(3)</f>
        <v>1.2621768067319146E-3</v>
      </c>
      <c r="AE56" s="3"/>
      <c r="AF56" s="3"/>
    </row>
    <row r="57" spans="2:32" s="5" customFormat="1" x14ac:dyDescent="0.15">
      <c r="B57" s="223"/>
      <c r="C57" s="39">
        <v>0.89097222222222217</v>
      </c>
      <c r="D57" s="43">
        <v>10.533333333333333</v>
      </c>
      <c r="E57" s="224"/>
      <c r="F57" s="40">
        <v>0.157</v>
      </c>
      <c r="G57" s="41">
        <v>0.16900000000000001</v>
      </c>
      <c r="H57" s="41">
        <v>0.16400000000000001</v>
      </c>
      <c r="I57" s="41">
        <f t="shared" si="43"/>
        <v>0.19775720000000002</v>
      </c>
      <c r="J57" s="41">
        <f t="shared" si="44"/>
        <v>0.21287240000000002</v>
      </c>
      <c r="K57" s="41">
        <f t="shared" si="45"/>
        <v>0.20657440000000002</v>
      </c>
      <c r="L57" s="42">
        <f t="shared" si="39"/>
        <v>0.2057346666666667</v>
      </c>
      <c r="M57" s="49">
        <f t="shared" si="40"/>
        <v>4.3835366928745749E-3</v>
      </c>
      <c r="N57" s="41">
        <f t="shared" si="41"/>
        <v>-1.6207152633890964</v>
      </c>
      <c r="O57" s="41">
        <f t="shared" si="41"/>
        <v>-1.5470623538143309</v>
      </c>
      <c r="P57" s="41">
        <f t="shared" si="41"/>
        <v>-1.5770946409132061</v>
      </c>
      <c r="Q57" s="42">
        <f t="shared" si="42"/>
        <v>-1.5816240860388777</v>
      </c>
      <c r="R57" s="41">
        <f t="shared" si="46"/>
        <v>2.1382038233581334E-2</v>
      </c>
      <c r="S57" s="41">
        <f t="shared" si="47"/>
        <v>1.1049190014686397E-2</v>
      </c>
      <c r="T57" s="41">
        <f t="shared" si="48"/>
        <v>5.7060488146774974E-2</v>
      </c>
      <c r="U57" s="41">
        <f t="shared" si="49"/>
        <v>3.1923916361837341E-2</v>
      </c>
      <c r="V57" s="42">
        <f t="shared" si="50"/>
        <v>3.3344531507766235E-2</v>
      </c>
      <c r="W57" s="41">
        <f t="shared" si="51"/>
        <v>1.330129692291465E-2</v>
      </c>
      <c r="X57" s="41">
        <f t="shared" si="52"/>
        <v>1.8774417721518988E-2</v>
      </c>
      <c r="Y57" s="41">
        <f t="shared" si="53"/>
        <v>2.0209405063291139E-2</v>
      </c>
      <c r="Z57" s="41">
        <f t="shared" si="54"/>
        <v>1.9611493670886077E-2</v>
      </c>
      <c r="AA57" s="42">
        <f t="shared" si="55"/>
        <v>1.9531772151898736E-2</v>
      </c>
      <c r="AB57" s="169">
        <f t="shared" si="56"/>
        <v>4.1615854679188989E-4</v>
      </c>
      <c r="AE57" s="3"/>
      <c r="AF57" s="3"/>
    </row>
    <row r="58" spans="2:32" s="5" customFormat="1" x14ac:dyDescent="0.15">
      <c r="B58" s="222" t="s">
        <v>24</v>
      </c>
      <c r="C58" s="39">
        <v>0.40902777777777777</v>
      </c>
      <c r="D58" s="43">
        <v>22.966666666666669</v>
      </c>
      <c r="E58" s="224">
        <v>2</v>
      </c>
      <c r="F58" s="40">
        <v>0.22900000000000001</v>
      </c>
      <c r="G58" s="41">
        <v>0.21099999999999999</v>
      </c>
      <c r="H58" s="41">
        <v>0.23</v>
      </c>
      <c r="I58" s="41">
        <f t="shared" si="43"/>
        <v>0.28844840000000005</v>
      </c>
      <c r="J58" s="41">
        <f t="shared" si="44"/>
        <v>0.2657756</v>
      </c>
      <c r="K58" s="41">
        <f t="shared" si="45"/>
        <v>0.28970800000000002</v>
      </c>
      <c r="L58" s="42">
        <f t="shared" si="39"/>
        <v>0.28131066666666671</v>
      </c>
      <c r="M58" s="49">
        <f t="shared" si="40"/>
        <v>7.7760394866395813E-3</v>
      </c>
      <c r="N58" s="41">
        <f t="shared" si="41"/>
        <v>-1.2432390651831646</v>
      </c>
      <c r="O58" s="41">
        <f t="shared" si="41"/>
        <v>-1.3251029352613379</v>
      </c>
      <c r="P58" s="41">
        <f t="shared" si="41"/>
        <v>-1.238881759814209</v>
      </c>
      <c r="Q58" s="42">
        <f t="shared" si="42"/>
        <v>-1.2690745867529039</v>
      </c>
      <c r="R58" s="41">
        <f t="shared" si="46"/>
        <v>2.8042398880721627E-2</v>
      </c>
      <c r="S58" s="41">
        <f t="shared" si="47"/>
        <v>3.0360015941495851E-2</v>
      </c>
      <c r="T58" s="41">
        <f t="shared" si="48"/>
        <v>1.7851963958685758E-2</v>
      </c>
      <c r="U58" s="41">
        <f t="shared" si="49"/>
        <v>2.7202108399383137E-2</v>
      </c>
      <c r="V58" s="42">
        <f t="shared" si="50"/>
        <v>2.5138029433188252E-2</v>
      </c>
      <c r="W58" s="41">
        <f t="shared" si="51"/>
        <v>3.7553587305425261E-3</v>
      </c>
      <c r="X58" s="41">
        <f t="shared" si="52"/>
        <v>1.2559436865021771E-2</v>
      </c>
      <c r="Y58" s="41">
        <f t="shared" si="53"/>
        <v>1.1572232220609577E-2</v>
      </c>
      <c r="Z58" s="41">
        <f t="shared" si="54"/>
        <v>1.2614281567489114E-2</v>
      </c>
      <c r="AA58" s="42">
        <f t="shared" si="55"/>
        <v>1.2248650217706823E-2</v>
      </c>
      <c r="AB58" s="169">
        <f t="shared" si="56"/>
        <v>3.3857936806848697E-4</v>
      </c>
      <c r="AE58" s="3"/>
      <c r="AF58" s="3"/>
    </row>
    <row r="59" spans="2:32" s="5" customFormat="1" x14ac:dyDescent="0.15">
      <c r="B59" s="222"/>
      <c r="C59" s="39">
        <v>0.54652777777777783</v>
      </c>
      <c r="D59" s="43">
        <v>26.266666666666669</v>
      </c>
      <c r="E59" s="224"/>
      <c r="F59" s="40">
        <v>0.23899999999999999</v>
      </c>
      <c r="G59" s="41">
        <v>0.247</v>
      </c>
      <c r="H59" s="41">
        <v>0.22800000000000001</v>
      </c>
      <c r="I59" s="41">
        <f t="shared" si="43"/>
        <v>0.30104439999999999</v>
      </c>
      <c r="J59" s="41">
        <f t="shared" si="44"/>
        <v>0.31112119999999999</v>
      </c>
      <c r="K59" s="41">
        <f t="shared" si="45"/>
        <v>0.28718880000000002</v>
      </c>
      <c r="L59" s="42">
        <f t="shared" si="39"/>
        <v>0.29978480000000002</v>
      </c>
      <c r="M59" s="49">
        <f t="shared" si="40"/>
        <v>6.9373358613615639E-3</v>
      </c>
      <c r="N59" s="41">
        <f t="shared" si="41"/>
        <v>-1.2004975168058938</v>
      </c>
      <c r="O59" s="41">
        <f t="shared" si="41"/>
        <v>-1.1675727321094274</v>
      </c>
      <c r="P59" s="41">
        <f t="shared" si="41"/>
        <v>-1.2476154397829637</v>
      </c>
      <c r="Q59" s="42">
        <f t="shared" si="42"/>
        <v>-1.2052285628994284</v>
      </c>
      <c r="R59" s="41">
        <f t="shared" si="46"/>
        <v>2.3227109597638716E-2</v>
      </c>
      <c r="S59" s="41">
        <f t="shared" si="47"/>
        <v>1.2951984356748738E-2</v>
      </c>
      <c r="T59" s="41">
        <f t="shared" si="48"/>
        <v>4.773642519754865E-2</v>
      </c>
      <c r="U59" s="41">
        <f t="shared" si="49"/>
        <v>-2.6465696875014348E-3</v>
      </c>
      <c r="V59" s="42">
        <f t="shared" si="50"/>
        <v>1.9347279955598651E-2</v>
      </c>
      <c r="W59" s="41">
        <f t="shared" si="51"/>
        <v>1.4891679978478447E-2</v>
      </c>
      <c r="X59" s="41">
        <f t="shared" si="52"/>
        <v>1.146108121827411E-2</v>
      </c>
      <c r="Y59" s="41">
        <f t="shared" si="53"/>
        <v>1.1844715736040607E-2</v>
      </c>
      <c r="Z59" s="41">
        <f t="shared" si="54"/>
        <v>1.0933583756345178E-2</v>
      </c>
      <c r="AA59" s="42">
        <f t="shared" si="55"/>
        <v>1.1413126903553297E-2</v>
      </c>
      <c r="AB59" s="169">
        <f t="shared" si="56"/>
        <v>2.64111771371633E-4</v>
      </c>
      <c r="AE59" s="3"/>
      <c r="AF59" s="3"/>
    </row>
    <row r="60" spans="2:32" s="5" customFormat="1" x14ac:dyDescent="0.15">
      <c r="B60" s="222"/>
      <c r="C60" s="39">
        <v>0.70486111111111116</v>
      </c>
      <c r="D60" s="43">
        <v>30.06666666666667</v>
      </c>
      <c r="E60" s="224"/>
      <c r="F60" s="40">
        <v>0.26600000000000001</v>
      </c>
      <c r="G60" s="41">
        <v>0.26700000000000002</v>
      </c>
      <c r="H60" s="41">
        <v>0.26400000000000001</v>
      </c>
      <c r="I60" s="41">
        <f t="shared" si="43"/>
        <v>0.33505360000000001</v>
      </c>
      <c r="J60" s="41">
        <f t="shared" si="44"/>
        <v>0.33631320000000003</v>
      </c>
      <c r="K60" s="41">
        <f t="shared" si="45"/>
        <v>0.33253440000000001</v>
      </c>
      <c r="L60" s="42">
        <f t="shared" si="39"/>
        <v>0.33463373333333335</v>
      </c>
      <c r="M60" s="49">
        <f t="shared" si="40"/>
        <v>1.1108627838056595E-3</v>
      </c>
      <c r="N60" s="41">
        <f t="shared" si="41"/>
        <v>-1.0934647599557055</v>
      </c>
      <c r="O60" s="41">
        <f t="shared" si="41"/>
        <v>-1.0897124103371549</v>
      </c>
      <c r="P60" s="41">
        <f t="shared" si="41"/>
        <v>-1.1010119655910884</v>
      </c>
      <c r="Q60" s="42">
        <f t="shared" si="42"/>
        <v>-1.0947297119613164</v>
      </c>
      <c r="R60" s="41">
        <f t="shared" si="46"/>
        <v>3.3226528014297964E-3</v>
      </c>
      <c r="S60" s="41">
        <f t="shared" si="47"/>
        <v>2.8166514960575866E-2</v>
      </c>
      <c r="T60" s="41">
        <f t="shared" si="48"/>
        <v>2.0489558361124319E-2</v>
      </c>
      <c r="U60" s="41">
        <f t="shared" si="49"/>
        <v>3.8579861629440874E-2</v>
      </c>
      <c r="V60" s="42">
        <f t="shared" si="50"/>
        <v>2.9078644983713691E-2</v>
      </c>
      <c r="W60" s="41">
        <f t="shared" si="51"/>
        <v>5.2420973528174751E-3</v>
      </c>
      <c r="X60" s="41">
        <f t="shared" si="52"/>
        <v>1.1143689578713967E-2</v>
      </c>
      <c r="Y60" s="41">
        <f t="shared" si="53"/>
        <v>1.1185583148558758E-2</v>
      </c>
      <c r="Z60" s="41">
        <f t="shared" si="54"/>
        <v>1.105990243902439E-2</v>
      </c>
      <c r="AA60" s="42">
        <f t="shared" si="55"/>
        <v>1.1129725055432372E-2</v>
      </c>
      <c r="AB60" s="169">
        <f t="shared" si="56"/>
        <v>3.694665578067581E-5</v>
      </c>
      <c r="AE60" s="3"/>
      <c r="AF60" s="3"/>
    </row>
    <row r="61" spans="2:32" s="5" customFormat="1" x14ac:dyDescent="0.15">
      <c r="B61" s="44" t="s">
        <v>25</v>
      </c>
      <c r="C61" s="39">
        <v>0.44236111111111115</v>
      </c>
      <c r="D61" s="43">
        <v>47.766666666666666</v>
      </c>
      <c r="E61" s="45">
        <v>3</v>
      </c>
      <c r="F61" s="40">
        <v>0.39500000000000002</v>
      </c>
      <c r="G61" s="41">
        <v>0.35099999999999998</v>
      </c>
      <c r="H61" s="41">
        <v>0.38600000000000001</v>
      </c>
      <c r="I61" s="41">
        <f t="shared" si="43"/>
        <v>0.49754200000000004</v>
      </c>
      <c r="J61" s="41">
        <f t="shared" si="44"/>
        <v>0.4421196</v>
      </c>
      <c r="K61" s="41">
        <f t="shared" si="45"/>
        <v>0.48620560000000002</v>
      </c>
      <c r="L61" s="42">
        <f t="shared" si="39"/>
        <v>0.47528906666666665</v>
      </c>
      <c r="M61" s="49">
        <f t="shared" si="40"/>
        <v>1.6904522377688705E-2</v>
      </c>
      <c r="N61" s="41">
        <f t="shared" si="41"/>
        <v>-0.69807530383628258</v>
      </c>
      <c r="O61" s="41">
        <f t="shared" si="41"/>
        <v>-0.81617484527153872</v>
      </c>
      <c r="P61" s="41">
        <f t="shared" si="41"/>
        <v>-0.72112369927257358</v>
      </c>
      <c r="Q61" s="42">
        <f t="shared" si="42"/>
        <v>-0.74512461612679826</v>
      </c>
      <c r="R61" s="41">
        <f t="shared" si="46"/>
        <v>3.614281131468608E-2</v>
      </c>
      <c r="S61" s="41">
        <f t="shared" si="47"/>
        <v>2.2338387351379829E-2</v>
      </c>
      <c r="T61" s="41">
        <f t="shared" si="48"/>
        <v>1.5454099721221259E-2</v>
      </c>
      <c r="U61" s="41">
        <f t="shared" si="49"/>
        <v>2.1462613916300277E-2</v>
      </c>
      <c r="V61" s="42">
        <f t="shared" si="50"/>
        <v>1.975170032963379E-2</v>
      </c>
      <c r="W61" s="41">
        <f t="shared" si="51"/>
        <v>2.1636214255632128E-3</v>
      </c>
      <c r="X61" s="41">
        <f t="shared" si="52"/>
        <v>1.0416092114445221E-2</v>
      </c>
      <c r="Y61" s="41">
        <f t="shared" si="53"/>
        <v>9.255818562456386E-3</v>
      </c>
      <c r="Z61" s="41">
        <f t="shared" si="54"/>
        <v>1.0178763433356596E-2</v>
      </c>
      <c r="AA61" s="42">
        <f t="shared" si="55"/>
        <v>9.9502247034193997E-3</v>
      </c>
      <c r="AB61" s="169">
        <f t="shared" si="56"/>
        <v>3.5389788648336419E-4</v>
      </c>
      <c r="AE61" s="3"/>
      <c r="AF61" s="3"/>
    </row>
    <row r="62" spans="2:32" s="5" customFormat="1" x14ac:dyDescent="0.15">
      <c r="B62" s="44" t="s">
        <v>26</v>
      </c>
      <c r="C62" s="39">
        <v>0.43124999999999997</v>
      </c>
      <c r="D62" s="43">
        <v>71.5</v>
      </c>
      <c r="E62" s="45">
        <v>4</v>
      </c>
      <c r="F62" s="40">
        <v>0.57399999999999995</v>
      </c>
      <c r="G62" s="41">
        <v>0.54</v>
      </c>
      <c r="H62" s="41">
        <v>0.54900000000000004</v>
      </c>
      <c r="I62" s="41">
        <f t="shared" si="43"/>
        <v>0.72301039999999994</v>
      </c>
      <c r="J62" s="41">
        <f t="shared" si="44"/>
        <v>0.68018400000000012</v>
      </c>
      <c r="K62" s="41">
        <f t="shared" si="45"/>
        <v>0.69152040000000004</v>
      </c>
      <c r="L62" s="42">
        <f t="shared" si="39"/>
        <v>0.69823826666666677</v>
      </c>
      <c r="M62" s="49">
        <f t="shared" si="40"/>
        <v>1.2811094588328891E-2</v>
      </c>
      <c r="N62" s="41">
        <f t="shared" si="41"/>
        <v>-0.32433167241783817</v>
      </c>
      <c r="O62" s="41">
        <f t="shared" si="41"/>
        <v>-0.38539192917908427</v>
      </c>
      <c r="P62" s="41">
        <f t="shared" si="41"/>
        <v>-0.36886262722787383</v>
      </c>
      <c r="Q62" s="42">
        <f t="shared" si="42"/>
        <v>-0.35952874294159876</v>
      </c>
      <c r="R62" s="41">
        <f t="shared" si="46"/>
        <v>1.8233940750146001E-2</v>
      </c>
      <c r="S62" s="41">
        <f t="shared" si="47"/>
        <v>1.5747624919316479E-2</v>
      </c>
      <c r="T62" s="41">
        <f t="shared" si="48"/>
        <v>1.8150965565693306E-2</v>
      </c>
      <c r="U62" s="41">
        <f t="shared" si="49"/>
        <v>1.4842460900759821E-2</v>
      </c>
      <c r="V62" s="42">
        <f t="shared" si="50"/>
        <v>1.624701712858987E-2</v>
      </c>
      <c r="W62" s="41">
        <f t="shared" si="51"/>
        <v>9.8718374066227347E-4</v>
      </c>
      <c r="X62" s="41">
        <f t="shared" si="52"/>
        <v>1.0112033566433566E-2</v>
      </c>
      <c r="Y62" s="41">
        <f t="shared" si="53"/>
        <v>9.5130629370629386E-3</v>
      </c>
      <c r="Z62" s="41">
        <f t="shared" si="54"/>
        <v>9.6716139860139865E-3</v>
      </c>
      <c r="AA62" s="42">
        <f t="shared" si="55"/>
        <v>9.7655701631701643E-3</v>
      </c>
      <c r="AB62" s="169">
        <f t="shared" si="56"/>
        <v>1.7917614808851619E-4</v>
      </c>
      <c r="AE62" s="3"/>
      <c r="AF62" s="3"/>
    </row>
    <row r="63" spans="2:32" s="5" customFormat="1" x14ac:dyDescent="0.15">
      <c r="B63" s="44" t="s">
        <v>27</v>
      </c>
      <c r="C63" s="39">
        <v>0.42638888888888887</v>
      </c>
      <c r="D63" s="43">
        <v>95.383333333333326</v>
      </c>
      <c r="E63" s="45">
        <v>5</v>
      </c>
      <c r="F63" s="40">
        <v>0.71199999999999997</v>
      </c>
      <c r="G63" s="41">
        <v>0.69299999999999995</v>
      </c>
      <c r="H63" s="41">
        <v>0.77800000000000002</v>
      </c>
      <c r="I63" s="41">
        <f t="shared" si="43"/>
        <v>0.89683519999999994</v>
      </c>
      <c r="J63" s="41">
        <f t="shared" si="44"/>
        <v>0.87290279999999998</v>
      </c>
      <c r="K63" s="41">
        <f t="shared" si="45"/>
        <v>0.97996880000000008</v>
      </c>
      <c r="L63" s="42">
        <f t="shared" si="39"/>
        <v>0.91656893333333322</v>
      </c>
      <c r="M63" s="49">
        <f t="shared" si="40"/>
        <v>3.2444040348746851E-2</v>
      </c>
      <c r="N63" s="41">
        <f t="shared" si="41"/>
        <v>-0.10888315732542882</v>
      </c>
      <c r="O63" s="41">
        <f t="shared" si="41"/>
        <v>-0.13593106954750131</v>
      </c>
      <c r="P63" s="41">
        <f t="shared" si="41"/>
        <v>-2.0234544559012836E-2</v>
      </c>
      <c r="Q63" s="42">
        <f t="shared" si="42"/>
        <v>-8.8349590477314333E-2</v>
      </c>
      <c r="R63" s="41">
        <f t="shared" si="46"/>
        <v>3.494110282190338E-2</v>
      </c>
      <c r="S63" s="41">
        <f t="shared" si="47"/>
        <v>9.0208729278050005E-3</v>
      </c>
      <c r="T63" s="41">
        <f t="shared" si="48"/>
        <v>1.0444976676828319E-2</v>
      </c>
      <c r="U63" s="41">
        <f t="shared" si="49"/>
        <v>1.4597128374132354E-2</v>
      </c>
      <c r="V63" s="42">
        <f t="shared" si="50"/>
        <v>1.1354325992921891E-2</v>
      </c>
      <c r="W63" s="41">
        <f t="shared" si="51"/>
        <v>1.6727067221207425E-3</v>
      </c>
      <c r="X63" s="41">
        <f t="shared" si="52"/>
        <v>9.4024308928883447E-3</v>
      </c>
      <c r="Y63" s="41">
        <f t="shared" si="53"/>
        <v>9.1515233269264373E-3</v>
      </c>
      <c r="Z63" s="41">
        <f t="shared" si="54"/>
        <v>1.0274004543071816E-2</v>
      </c>
      <c r="AA63" s="42">
        <f t="shared" si="55"/>
        <v>9.6093195876288656E-3</v>
      </c>
      <c r="AB63" s="169">
        <f t="shared" si="56"/>
        <v>3.4014370451246041E-4</v>
      </c>
      <c r="AE63" s="3"/>
      <c r="AF63" s="3"/>
    </row>
    <row r="64" spans="2:32" s="5" customFormat="1" x14ac:dyDescent="0.15">
      <c r="B64" s="44" t="s">
        <v>28</v>
      </c>
      <c r="C64" s="39">
        <v>0.4909722222222222</v>
      </c>
      <c r="D64" s="43">
        <v>120.93333333333332</v>
      </c>
      <c r="E64" s="45">
        <v>6</v>
      </c>
      <c r="F64" s="40">
        <v>0.996</v>
      </c>
      <c r="G64" s="41">
        <v>0.96199999999999997</v>
      </c>
      <c r="H64" s="41">
        <v>1.0049999999999999</v>
      </c>
      <c r="I64" s="41">
        <f t="shared" si="43"/>
        <v>1.2545615999999999</v>
      </c>
      <c r="J64" s="41">
        <f t="shared" si="44"/>
        <v>1.2117351999999999</v>
      </c>
      <c r="K64" s="41">
        <f t="shared" si="45"/>
        <v>1.265898</v>
      </c>
      <c r="L64" s="42">
        <f t="shared" si="39"/>
        <v>1.2440649333333333</v>
      </c>
      <c r="M64" s="49">
        <f t="shared" si="40"/>
        <v>1.6492798774953625E-2</v>
      </c>
      <c r="N64" s="41">
        <f t="shared" si="41"/>
        <v>0.22678618884719368</v>
      </c>
      <c r="O64" s="41">
        <f t="shared" si="41"/>
        <v>0.19205338192830188</v>
      </c>
      <c r="P64" s="41">
        <f t="shared" si="41"/>
        <v>0.23578175175577157</v>
      </c>
      <c r="Q64" s="42">
        <f t="shared" si="42"/>
        <v>0.21820710751042238</v>
      </c>
      <c r="R64" s="41">
        <f t="shared" si="46"/>
        <v>1.3332204861152233E-2</v>
      </c>
      <c r="S64" s="41">
        <f t="shared" si="47"/>
        <v>1.3137743490122212E-2</v>
      </c>
      <c r="T64" s="41">
        <f t="shared" si="48"/>
        <v>1.2836964832712456E-2</v>
      </c>
      <c r="U64" s="41">
        <f t="shared" si="49"/>
        <v>1.0020207292163774E-2</v>
      </c>
      <c r="V64" s="42">
        <f t="shared" si="50"/>
        <v>1.1998305204999482E-2</v>
      </c>
      <c r="W64" s="41">
        <f t="shared" si="51"/>
        <v>9.92852870060487E-4</v>
      </c>
      <c r="X64" s="41">
        <f t="shared" si="52"/>
        <v>1.0373993384785006E-2</v>
      </c>
      <c r="Y64" s="41">
        <f t="shared" si="53"/>
        <v>1.0019861080485117E-2</v>
      </c>
      <c r="Z64" s="41">
        <f t="shared" si="54"/>
        <v>1.0467734288864388E-2</v>
      </c>
      <c r="AA64" s="42">
        <f t="shared" si="55"/>
        <v>1.0287196251378172E-2</v>
      </c>
      <c r="AB64" s="169">
        <f t="shared" si="56"/>
        <v>1.3637926219641885E-4</v>
      </c>
      <c r="AE64" s="3"/>
      <c r="AF64" s="3"/>
    </row>
    <row r="65" spans="1:32" s="5" customFormat="1" x14ac:dyDescent="0.15">
      <c r="A65" s="45"/>
      <c r="B65" s="44" t="s">
        <v>29</v>
      </c>
      <c r="C65" s="39">
        <v>0.49861111111111112</v>
      </c>
      <c r="D65" s="43">
        <v>145.11666666666665</v>
      </c>
      <c r="E65" s="45">
        <v>7</v>
      </c>
      <c r="F65" s="40">
        <v>1.23</v>
      </c>
      <c r="G65" s="41">
        <v>1.242</v>
      </c>
      <c r="H65" s="41">
        <v>1.3620000000000001</v>
      </c>
      <c r="I65" s="41">
        <f t="shared" si="43"/>
        <v>1.5493080000000001</v>
      </c>
      <c r="J65" s="41">
        <f t="shared" si="44"/>
        <v>1.5644232</v>
      </c>
      <c r="K65" s="41">
        <f t="shared" si="45"/>
        <v>1.7155752000000002</v>
      </c>
      <c r="L65" s="42">
        <f t="shared" si="39"/>
        <v>1.6097688000000001</v>
      </c>
      <c r="M65" s="49">
        <f t="shared" si="40"/>
        <v>5.3082837868373284E-2</v>
      </c>
      <c r="N65" s="41">
        <f t="shared" si="41"/>
        <v>0.43780837962905872</v>
      </c>
      <c r="O65" s="41">
        <f t="shared" si="41"/>
        <v>0.44751719375601956</v>
      </c>
      <c r="P65" s="41">
        <f t="shared" si="41"/>
        <v>0.53974841797205331</v>
      </c>
      <c r="Q65" s="42">
        <f t="shared" si="42"/>
        <v>0.47502466378571051</v>
      </c>
      <c r="R65" s="41">
        <f t="shared" si="46"/>
        <v>3.2483013688791057E-2</v>
      </c>
      <c r="S65" s="41">
        <f t="shared" si="47"/>
        <v>8.7259348359144777E-3</v>
      </c>
      <c r="T65" s="41">
        <f t="shared" si="48"/>
        <v>1.0563631088671999E-2</v>
      </c>
      <c r="U65" s="41">
        <f t="shared" si="49"/>
        <v>1.2569262558908969E-2</v>
      </c>
      <c r="V65" s="42">
        <f t="shared" si="50"/>
        <v>1.0619609494498481E-2</v>
      </c>
      <c r="W65" s="41">
        <f t="shared" si="51"/>
        <v>1.1098261399912542E-3</v>
      </c>
      <c r="X65" s="41">
        <f t="shared" si="52"/>
        <v>1.0676292638107272E-2</v>
      </c>
      <c r="Y65" s="41">
        <f t="shared" si="53"/>
        <v>1.0780451590674173E-2</v>
      </c>
      <c r="Z65" s="41">
        <f t="shared" si="54"/>
        <v>1.1822041116343175E-2</v>
      </c>
      <c r="AA65" s="42">
        <f t="shared" si="55"/>
        <v>1.1092928448374874E-2</v>
      </c>
      <c r="AB65" s="169">
        <f t="shared" si="56"/>
        <v>3.6579421983489097E-4</v>
      </c>
      <c r="AE65" s="3"/>
      <c r="AF65" s="3"/>
    </row>
    <row r="66" spans="1:32" s="5" customFormat="1" x14ac:dyDescent="0.15">
      <c r="B66" s="44" t="s">
        <v>30</v>
      </c>
      <c r="C66" s="39">
        <v>0.41805555555555557</v>
      </c>
      <c r="D66" s="43">
        <v>167.18333333333331</v>
      </c>
      <c r="E66" s="45">
        <v>8</v>
      </c>
      <c r="F66" s="40">
        <v>1.6459999999999999</v>
      </c>
      <c r="G66" s="41">
        <v>1.51</v>
      </c>
      <c r="H66" s="41">
        <v>1.542</v>
      </c>
      <c r="I66" s="41">
        <f t="shared" si="43"/>
        <v>2.0733016000000002</v>
      </c>
      <c r="J66" s="41">
        <f t="shared" si="44"/>
        <v>1.901996</v>
      </c>
      <c r="K66" s="41">
        <f t="shared" si="45"/>
        <v>1.9423032000000002</v>
      </c>
      <c r="L66" s="42">
        <f t="shared" si="39"/>
        <v>1.9725336000000002</v>
      </c>
      <c r="M66" s="49">
        <f t="shared" si="40"/>
        <v>5.1710121385018397E-2</v>
      </c>
      <c r="N66" s="41">
        <f t="shared" si="41"/>
        <v>0.7291423124996107</v>
      </c>
      <c r="O66" s="41">
        <f t="shared" si="41"/>
        <v>0.6429038610715655</v>
      </c>
      <c r="P66" s="41">
        <f t="shared" si="41"/>
        <v>0.66387448538587035</v>
      </c>
      <c r="Q66" s="42">
        <f t="shared" si="42"/>
        <v>0.67864021965234889</v>
      </c>
      <c r="R66" s="41">
        <f t="shared" si="46"/>
        <v>2.59665670141307E-2</v>
      </c>
      <c r="S66" s="41">
        <f t="shared" si="47"/>
        <v>1.3202444087789367E-2</v>
      </c>
      <c r="T66" s="41">
        <f t="shared" si="48"/>
        <v>8.8543806940579745E-3</v>
      </c>
      <c r="U66" s="41">
        <f t="shared" si="49"/>
        <v>5.6250483722273597E-3</v>
      </c>
      <c r="V66" s="42">
        <f t="shared" si="50"/>
        <v>9.227291051358234E-3</v>
      </c>
      <c r="W66" s="41">
        <f t="shared" si="51"/>
        <v>2.1953380953352586E-3</v>
      </c>
      <c r="X66" s="41">
        <f t="shared" si="52"/>
        <v>1.2401365367361184E-2</v>
      </c>
      <c r="Y66" s="41">
        <f t="shared" si="53"/>
        <v>1.1376708204565848E-2</v>
      </c>
      <c r="Z66" s="41">
        <f t="shared" si="54"/>
        <v>1.1617804007576516E-2</v>
      </c>
      <c r="AA66" s="42">
        <f t="shared" si="55"/>
        <v>1.1798625859834516E-2</v>
      </c>
      <c r="AB66" s="169">
        <f t="shared" si="56"/>
        <v>3.0930189244353563E-4</v>
      </c>
      <c r="AE66" s="3"/>
      <c r="AF66" s="3"/>
    </row>
    <row r="67" spans="1:32" s="5" customFormat="1" ht="15" customHeight="1" x14ac:dyDescent="0.15">
      <c r="B67" s="44" t="s">
        <v>32</v>
      </c>
      <c r="C67" s="39">
        <v>0.43888888888888888</v>
      </c>
      <c r="D67" s="43">
        <v>215.68333333333331</v>
      </c>
      <c r="E67" s="45">
        <v>10</v>
      </c>
      <c r="F67" s="40">
        <v>1.97</v>
      </c>
      <c r="G67" s="41">
        <v>1.8919999999999999</v>
      </c>
      <c r="H67" s="41">
        <v>1.94</v>
      </c>
      <c r="I67" s="41">
        <f t="shared" si="43"/>
        <v>2.4814120000000002</v>
      </c>
      <c r="J67" s="41">
        <f t="shared" si="44"/>
        <v>2.3831631999999998</v>
      </c>
      <c r="K67" s="41">
        <f t="shared" si="45"/>
        <v>2.4436240000000002</v>
      </c>
      <c r="L67" s="42">
        <f t="shared" si="39"/>
        <v>2.4360664000000001</v>
      </c>
      <c r="M67" s="49">
        <f t="shared" si="40"/>
        <v>2.8612611809480215E-2</v>
      </c>
      <c r="N67" s="41">
        <f t="shared" si="41"/>
        <v>0.9088277529946297</v>
      </c>
      <c r="O67" s="41">
        <f t="shared" si="41"/>
        <v>0.86842868087441893</v>
      </c>
      <c r="P67" s="41">
        <f t="shared" si="41"/>
        <v>0.89348218331996943</v>
      </c>
      <c r="Q67" s="42">
        <f t="shared" si="42"/>
        <v>0.89024620572967272</v>
      </c>
      <c r="R67" s="41">
        <f t="shared" si="46"/>
        <v>1.1773910710651394E-2</v>
      </c>
      <c r="S67" s="41">
        <f t="shared" si="47"/>
        <v>3.7048544431962679E-3</v>
      </c>
      <c r="T67" s="41">
        <f t="shared" si="48"/>
        <v>4.6499962845949162E-3</v>
      </c>
      <c r="U67" s="41">
        <f t="shared" si="49"/>
        <v>4.7341793388474039E-3</v>
      </c>
      <c r="V67" s="42">
        <f t="shared" si="50"/>
        <v>4.3630100222128631E-3</v>
      </c>
      <c r="W67" s="41">
        <f t="shared" si="51"/>
        <v>3.2997387335909957E-4</v>
      </c>
      <c r="X67" s="41">
        <f t="shared" si="52"/>
        <v>1.1504885248435208E-2</v>
      </c>
      <c r="Y67" s="41">
        <f t="shared" si="53"/>
        <v>1.1049361873116451E-2</v>
      </c>
      <c r="Z67" s="41">
        <f t="shared" si="54"/>
        <v>1.1329683950235687E-2</v>
      </c>
      <c r="AA67" s="42">
        <f t="shared" si="55"/>
        <v>1.1294643690595782E-2</v>
      </c>
      <c r="AB67" s="169">
        <f t="shared" si="56"/>
        <v>1.3266028193870754E-4</v>
      </c>
      <c r="AD67" s="175"/>
      <c r="AE67" s="3"/>
      <c r="AF67" s="3"/>
    </row>
    <row r="68" spans="1:32" s="5" customFormat="1" x14ac:dyDescent="0.15">
      <c r="B68" s="44" t="s">
        <v>33</v>
      </c>
      <c r="C68" s="39">
        <v>0.46249999999999997</v>
      </c>
      <c r="D68" s="43">
        <v>240.24999999999997</v>
      </c>
      <c r="E68" s="45">
        <v>11</v>
      </c>
      <c r="F68" s="40">
        <v>2.3239999999999998</v>
      </c>
      <c r="G68" s="41">
        <v>2.1640000000000001</v>
      </c>
      <c r="H68" s="41">
        <v>2.3679999999999999</v>
      </c>
      <c r="I68" s="41">
        <f t="shared" si="43"/>
        <v>2.9273104000000001</v>
      </c>
      <c r="J68" s="41">
        <f t="shared" si="44"/>
        <v>2.7257744000000002</v>
      </c>
      <c r="K68" s="41">
        <f t="shared" si="45"/>
        <v>2.9827328</v>
      </c>
      <c r="L68" s="42">
        <f t="shared" si="39"/>
        <v>2.8786058666666663</v>
      </c>
      <c r="M68" s="49">
        <f t="shared" si="40"/>
        <v>7.807262325991382E-2</v>
      </c>
      <c r="N68" s="41">
        <f t="shared" si="41"/>
        <v>1.0740840492343973</v>
      </c>
      <c r="O68" s="41">
        <f t="shared" si="41"/>
        <v>1.0027525712289678</v>
      </c>
      <c r="P68" s="41">
        <f t="shared" si="41"/>
        <v>1.0928399272664917</v>
      </c>
      <c r="Q68" s="42">
        <f t="shared" si="42"/>
        <v>1.0565588492432856</v>
      </c>
      <c r="R68" s="41">
        <f t="shared" si="46"/>
        <v>2.7442560652535364E-2</v>
      </c>
      <c r="S68" s="41">
        <f t="shared" si="47"/>
        <v>6.7268505932062787E-3</v>
      </c>
      <c r="T68" s="41">
        <f t="shared" si="48"/>
        <v>5.4677295938079587E-3</v>
      </c>
      <c r="U68" s="41">
        <f t="shared" si="49"/>
        <v>8.1149692244174617E-3</v>
      </c>
      <c r="V68" s="42">
        <f t="shared" si="50"/>
        <v>6.7698498038105655E-3</v>
      </c>
      <c r="W68" s="41">
        <f t="shared" si="51"/>
        <v>7.6449462927082935E-4</v>
      </c>
      <c r="X68" s="41">
        <f t="shared" si="52"/>
        <v>1.2184434547346516E-2</v>
      </c>
      <c r="Y68" s="41">
        <f t="shared" si="53"/>
        <v>1.1345575026014571E-2</v>
      </c>
      <c r="Z68" s="41">
        <f t="shared" si="54"/>
        <v>1.2415120915712801E-2</v>
      </c>
      <c r="AA68" s="42">
        <f t="shared" si="55"/>
        <v>1.1981710163024628E-2</v>
      </c>
      <c r="AB68" s="169">
        <f t="shared" si="56"/>
        <v>3.2496409265312721E-4</v>
      </c>
      <c r="AD68" s="43"/>
      <c r="AE68" s="3"/>
      <c r="AF68" s="3"/>
    </row>
    <row r="69" spans="1:32" s="5" customFormat="1" x14ac:dyDescent="0.15">
      <c r="B69" s="44" t="s">
        <v>34</v>
      </c>
      <c r="C69" s="39">
        <v>0.50694444444444442</v>
      </c>
      <c r="D69" s="43">
        <v>289.31666666666666</v>
      </c>
      <c r="E69" s="45">
        <v>13</v>
      </c>
      <c r="F69" s="40">
        <v>2.8239999999999998</v>
      </c>
      <c r="G69" s="41">
        <v>2.58</v>
      </c>
      <c r="H69" s="41">
        <v>2.7759999999999998</v>
      </c>
      <c r="I69" s="41">
        <f t="shared" si="43"/>
        <v>3.5571104</v>
      </c>
      <c r="J69" s="41">
        <f t="shared" si="44"/>
        <v>3.2497680000000004</v>
      </c>
      <c r="K69" s="41">
        <f t="shared" si="45"/>
        <v>3.4966496</v>
      </c>
      <c r="L69" s="42">
        <f t="shared" si="39"/>
        <v>3.4345093333333332</v>
      </c>
      <c r="M69" s="49">
        <f t="shared" si="40"/>
        <v>9.4005136855197541E-2</v>
      </c>
      <c r="N69" s="41">
        <f t="shared" si="41"/>
        <v>1.2689485298757281</v>
      </c>
      <c r="O69" s="41">
        <f t="shared" si="41"/>
        <v>1.1785836091782587</v>
      </c>
      <c r="P69" s="41">
        <f t="shared" si="41"/>
        <v>1.2518052528892907</v>
      </c>
      <c r="Q69" s="42">
        <f t="shared" si="42"/>
        <v>1.2331124639810926</v>
      </c>
      <c r="R69" s="41">
        <f t="shared" si="46"/>
        <v>2.7709925965496131E-2</v>
      </c>
      <c r="S69" s="41">
        <f t="shared" si="47"/>
        <v>3.9714228391575564E-3</v>
      </c>
      <c r="T69" s="41">
        <f t="shared" si="48"/>
        <v>3.583513001683916E-3</v>
      </c>
      <c r="U69" s="41">
        <f t="shared" si="49"/>
        <v>3.2397824515516078E-3</v>
      </c>
      <c r="V69" s="42">
        <f t="shared" si="50"/>
        <v>3.5982394307976936E-3</v>
      </c>
      <c r="W69" s="41">
        <f t="shared" si="51"/>
        <v>2.1133469898077005E-4</v>
      </c>
      <c r="X69" s="41">
        <f t="shared" si="52"/>
        <v>1.2294868598421568E-2</v>
      </c>
      <c r="Y69" s="41">
        <f t="shared" si="53"/>
        <v>1.1232564087793077E-2</v>
      </c>
      <c r="Z69" s="41">
        <f t="shared" si="54"/>
        <v>1.2085890661904488E-2</v>
      </c>
      <c r="AA69" s="42">
        <f t="shared" si="55"/>
        <v>1.1871107782706378E-2</v>
      </c>
      <c r="AB69" s="169">
        <f t="shared" si="56"/>
        <v>3.2492126339719185E-4</v>
      </c>
      <c r="AD69" s="43"/>
      <c r="AE69" s="3"/>
      <c r="AF69" s="3"/>
    </row>
    <row r="70" spans="1:32" s="5" customFormat="1" x14ac:dyDescent="0.15">
      <c r="B70" s="46" t="s">
        <v>35</v>
      </c>
      <c r="C70" s="39">
        <v>0.50763888888888886</v>
      </c>
      <c r="D70" s="43">
        <v>313.33333333333331</v>
      </c>
      <c r="E70" s="45">
        <v>14</v>
      </c>
      <c r="F70" s="40">
        <v>2.7839999999999998</v>
      </c>
      <c r="G70" s="41">
        <v>2.52</v>
      </c>
      <c r="H70" s="41">
        <v>2.7839999999999998</v>
      </c>
      <c r="I70" s="41">
        <f t="shared" si="43"/>
        <v>3.5067263999999998</v>
      </c>
      <c r="J70" s="41">
        <f t="shared" si="44"/>
        <v>3.1741920000000001</v>
      </c>
      <c r="K70" s="41">
        <f t="shared" si="45"/>
        <v>3.5067263999999998</v>
      </c>
      <c r="L70" s="42">
        <f t="shared" si="39"/>
        <v>3.3958815999999996</v>
      </c>
      <c r="M70" s="49">
        <f t="shared" si="40"/>
        <v>0.1108447999999999</v>
      </c>
      <c r="N70" s="41">
        <f t="shared" si="41"/>
        <v>1.2546829527169057</v>
      </c>
      <c r="O70" s="41">
        <f t="shared" si="41"/>
        <v>1.1550531117680645</v>
      </c>
      <c r="P70" s="41">
        <f t="shared" si="41"/>
        <v>1.2546829527169057</v>
      </c>
      <c r="Q70" s="42">
        <f t="shared" si="42"/>
        <v>1.2214730057339585</v>
      </c>
      <c r="R70" s="41">
        <f t="shared" si="46"/>
        <v>3.3209946982947068E-2</v>
      </c>
      <c r="S70" s="41">
        <f t="shared" si="47"/>
        <v>-5.9398655761925721E-4</v>
      </c>
      <c r="T70" s="41">
        <f t="shared" si="48"/>
        <v>-9.797570052822017E-4</v>
      </c>
      <c r="U70" s="41">
        <f t="shared" si="49"/>
        <v>1.1982095049056168E-4</v>
      </c>
      <c r="V70" s="42">
        <f t="shared" si="50"/>
        <v>-4.8464087080363232E-4</v>
      </c>
      <c r="W70" s="41">
        <f t="shared" si="51"/>
        <v>3.2209485125981035E-4</v>
      </c>
      <c r="X70" s="41">
        <f t="shared" si="52"/>
        <v>1.1191680000000001E-2</v>
      </c>
      <c r="Y70" s="41">
        <f t="shared" si="53"/>
        <v>1.0130400000000001E-2</v>
      </c>
      <c r="Z70" s="41">
        <f t="shared" si="54"/>
        <v>1.1191680000000001E-2</v>
      </c>
      <c r="AA70" s="42">
        <f t="shared" si="55"/>
        <v>1.0837920000000001E-2</v>
      </c>
      <c r="AB70" s="169">
        <f t="shared" si="56"/>
        <v>3.5375999999999984E-4</v>
      </c>
      <c r="AD70" s="43"/>
      <c r="AE70" s="3"/>
      <c r="AF70" s="3"/>
    </row>
    <row r="71" spans="1:32" s="5" customFormat="1" x14ac:dyDescent="0.15">
      <c r="B71" s="46" t="s">
        <v>36</v>
      </c>
      <c r="C71" s="39">
        <v>0.47569444444444442</v>
      </c>
      <c r="D71" s="43">
        <v>336.56666666666666</v>
      </c>
      <c r="E71" s="45">
        <v>15</v>
      </c>
      <c r="F71" s="40">
        <v>2.8039999999999998</v>
      </c>
      <c r="G71" s="41">
        <v>2.532</v>
      </c>
      <c r="H71" s="41">
        <v>2.7040000000000002</v>
      </c>
      <c r="I71" s="41">
        <f t="shared" si="43"/>
        <v>3.5319183999999999</v>
      </c>
      <c r="J71" s="41">
        <f t="shared" si="44"/>
        <v>3.1893072</v>
      </c>
      <c r="K71" s="41">
        <f t="shared" si="45"/>
        <v>3.4059584000000003</v>
      </c>
      <c r="L71" s="42">
        <f t="shared" si="39"/>
        <v>3.3757280000000001</v>
      </c>
      <c r="M71" s="49">
        <f t="shared" si="40"/>
        <v>0.10005168065301717</v>
      </c>
      <c r="N71" s="41">
        <f t="shared" si="41"/>
        <v>1.2618411794170761</v>
      </c>
      <c r="O71" s="41">
        <f t="shared" si="41"/>
        <v>1.1598037145266622</v>
      </c>
      <c r="P71" s="41">
        <f t="shared" si="41"/>
        <v>1.2255263684254503</v>
      </c>
      <c r="Q71" s="42">
        <f t="shared" si="42"/>
        <v>1.215723754123063</v>
      </c>
      <c r="R71" s="41">
        <f t="shared" si="46"/>
        <v>2.9860673667811755E-2</v>
      </c>
      <c r="S71" s="41">
        <f t="shared" si="47"/>
        <v>3.0810157963430732E-4</v>
      </c>
      <c r="T71" s="41">
        <f t="shared" si="48"/>
        <v>2.0447357641023228E-4</v>
      </c>
      <c r="U71" s="41">
        <f t="shared" si="49"/>
        <v>-1.2549462392305042E-3</v>
      </c>
      <c r="V71" s="42">
        <f t="shared" si="50"/>
        <v>-2.4745702772865485E-4</v>
      </c>
      <c r="W71" s="41">
        <f t="shared" si="51"/>
        <v>5.0463206868387974E-4</v>
      </c>
      <c r="X71" s="41">
        <f t="shared" si="52"/>
        <v>1.049396375160939E-2</v>
      </c>
      <c r="Y71" s="41">
        <f t="shared" si="53"/>
        <v>9.4760043577300189E-3</v>
      </c>
      <c r="Z71" s="41">
        <f t="shared" si="54"/>
        <v>1.0119713974447856E-2</v>
      </c>
      <c r="AA71" s="42">
        <f t="shared" si="55"/>
        <v>1.0029894027929089E-2</v>
      </c>
      <c r="AB71" s="169">
        <f t="shared" si="56"/>
        <v>2.9727150832826755E-4</v>
      </c>
      <c r="AD71" s="175"/>
      <c r="AE71" s="3"/>
      <c r="AF71" s="3"/>
    </row>
    <row r="72" spans="1:32" s="5" customFormat="1" x14ac:dyDescent="0.15">
      <c r="B72" s="46" t="s">
        <v>37</v>
      </c>
      <c r="C72" s="39">
        <v>0.4291666666666667</v>
      </c>
      <c r="D72" s="43">
        <v>359.45</v>
      </c>
      <c r="E72" s="45">
        <v>16</v>
      </c>
      <c r="F72" s="40">
        <v>2.8239999999999998</v>
      </c>
      <c r="G72" s="41">
        <v>2.4620000000000002</v>
      </c>
      <c r="H72" s="41">
        <v>2.7080000000000002</v>
      </c>
      <c r="I72" s="41">
        <f t="shared" si="43"/>
        <v>3.5571104</v>
      </c>
      <c r="J72" s="41">
        <f t="shared" si="44"/>
        <v>3.1011352000000003</v>
      </c>
      <c r="K72" s="41">
        <f t="shared" si="45"/>
        <v>3.4109968000000004</v>
      </c>
      <c r="L72" s="42">
        <f t="shared" si="39"/>
        <v>3.3564141333333333</v>
      </c>
      <c r="M72" s="49">
        <f t="shared" si="40"/>
        <v>0.13442816716136699</v>
      </c>
      <c r="N72" s="41">
        <f t="shared" si="41"/>
        <v>1.2689485298757281</v>
      </c>
      <c r="O72" s="41">
        <f t="shared" si="41"/>
        <v>1.1317682380069944</v>
      </c>
      <c r="P72" s="41">
        <f t="shared" si="41"/>
        <v>1.2270045652947612</v>
      </c>
      <c r="Q72" s="42">
        <f t="shared" si="42"/>
        <v>1.2092404443924947</v>
      </c>
      <c r="R72" s="41">
        <f t="shared" si="46"/>
        <v>4.058440222906045E-2</v>
      </c>
      <c r="S72" s="41">
        <f t="shared" si="47"/>
        <v>3.1059069739193339E-4</v>
      </c>
      <c r="T72" s="41">
        <f t="shared" si="48"/>
        <v>-1.225148281995678E-3</v>
      </c>
      <c r="U72" s="41">
        <f t="shared" si="49"/>
        <v>6.459709552706238E-5</v>
      </c>
      <c r="V72" s="42">
        <f t="shared" si="50"/>
        <v>-2.8332016302556076E-4</v>
      </c>
      <c r="W72" s="41">
        <f t="shared" si="51"/>
        <v>4.7623816426297505E-4</v>
      </c>
      <c r="X72" s="41">
        <f t="shared" si="52"/>
        <v>9.8959810822089305E-3</v>
      </c>
      <c r="Y72" s="41">
        <f t="shared" si="53"/>
        <v>8.6274452635971641E-3</v>
      </c>
      <c r="Z72" s="41">
        <f t="shared" si="54"/>
        <v>9.48948894143831E-3</v>
      </c>
      <c r="AA72" s="42">
        <f t="shared" si="55"/>
        <v>9.3376384290814688E-3</v>
      </c>
      <c r="AB72" s="169">
        <f t="shared" si="56"/>
        <v>3.7398293827059926E-4</v>
      </c>
      <c r="AD72" s="43"/>
      <c r="AE72" s="3"/>
      <c r="AF72" s="3"/>
    </row>
    <row r="73" spans="1:32" s="5" customFormat="1" x14ac:dyDescent="0.15">
      <c r="B73" s="46" t="s">
        <v>38</v>
      </c>
      <c r="C73" s="39">
        <v>0.48958333333333331</v>
      </c>
      <c r="D73" s="43">
        <v>384.9</v>
      </c>
      <c r="E73" s="45">
        <v>17</v>
      </c>
      <c r="F73" s="40">
        <v>2.754</v>
      </c>
      <c r="G73" s="41">
        <v>2.58</v>
      </c>
      <c r="H73" s="41">
        <v>2.8079999999999998</v>
      </c>
      <c r="I73" s="41">
        <f t="shared" si="43"/>
        <v>3.4689384000000003</v>
      </c>
      <c r="J73" s="41">
        <f t="shared" si="44"/>
        <v>3.2497680000000004</v>
      </c>
      <c r="K73" s="41">
        <f t="shared" si="45"/>
        <v>3.5369568</v>
      </c>
      <c r="L73" s="42">
        <f t="shared" si="39"/>
        <v>3.4185544000000001</v>
      </c>
      <c r="M73" s="49">
        <f t="shared" si="40"/>
        <v>8.6647297136840815E-2</v>
      </c>
      <c r="N73" s="41">
        <f t="shared" si="41"/>
        <v>1.2438486105511957</v>
      </c>
      <c r="O73" s="41">
        <f t="shared" si="41"/>
        <v>1.1785836091782587</v>
      </c>
      <c r="P73" s="41">
        <f t="shared" si="41"/>
        <v>1.2632666964082973</v>
      </c>
      <c r="Q73" s="42">
        <f t="shared" si="42"/>
        <v>1.2285663053792506</v>
      </c>
      <c r="R73" s="41">
        <f t="shared" si="46"/>
        <v>2.5612288419356616E-2</v>
      </c>
      <c r="S73" s="41">
        <f t="shared" si="47"/>
        <v>-9.8624437424489164E-4</v>
      </c>
      <c r="T73" s="41">
        <f t="shared" si="48"/>
        <v>1.8395037788316007E-3</v>
      </c>
      <c r="U73" s="41">
        <f t="shared" si="49"/>
        <v>1.4248381577027921E-3</v>
      </c>
      <c r="V73" s="42">
        <f t="shared" si="50"/>
        <v>7.5936585409650036E-4</v>
      </c>
      <c r="W73" s="41">
        <f t="shared" si="51"/>
        <v>8.8097544352914114E-4</v>
      </c>
      <c r="X73" s="41">
        <f t="shared" si="52"/>
        <v>9.0125705378020279E-3</v>
      </c>
      <c r="Y73" s="41">
        <f t="shared" si="53"/>
        <v>8.443148869836322E-3</v>
      </c>
      <c r="Z73" s="41">
        <f t="shared" si="54"/>
        <v>9.1892876071706948E-3</v>
      </c>
      <c r="AA73" s="42">
        <f t="shared" si="55"/>
        <v>8.8816690049363465E-3</v>
      </c>
      <c r="AB73" s="169">
        <f t="shared" si="56"/>
        <v>2.2511638642982841E-4</v>
      </c>
      <c r="AD73" s="43"/>
      <c r="AE73" s="3"/>
      <c r="AF73" s="3"/>
    </row>
    <row r="74" spans="1:32" s="5" customFormat="1" ht="15" thickBot="1" x14ac:dyDescent="0.2">
      <c r="B74" s="46" t="s">
        <v>39</v>
      </c>
      <c r="C74" s="39">
        <v>0.47013888888888888</v>
      </c>
      <c r="D74" s="43">
        <v>408.43333333333328</v>
      </c>
      <c r="E74" s="45">
        <v>18</v>
      </c>
      <c r="F74" s="40">
        <v>2.702</v>
      </c>
      <c r="G74" s="41">
        <v>2.5299999999999998</v>
      </c>
      <c r="H74" s="41">
        <v>3.1280000000000001</v>
      </c>
      <c r="I74" s="41">
        <f t="shared" si="43"/>
        <v>3.4034392000000002</v>
      </c>
      <c r="J74" s="41">
        <f t="shared" si="44"/>
        <v>3.186788</v>
      </c>
      <c r="K74" s="41">
        <f t="shared" si="45"/>
        <v>3.9400288000000003</v>
      </c>
      <c r="L74" s="42">
        <f t="shared" si="39"/>
        <v>3.5100853333333339</v>
      </c>
      <c r="M74" s="49">
        <f t="shared" si="40"/>
        <v>0.22388462356935362</v>
      </c>
      <c r="N74" s="41">
        <f t="shared" ref="N74:P74" si="57">LN(I74)</f>
        <v>1.2247864497827397</v>
      </c>
      <c r="O74" s="41">
        <f t="shared" si="57"/>
        <v>1.1590135129841614</v>
      </c>
      <c r="P74" s="41">
        <f t="shared" si="57"/>
        <v>1.3711880329277972</v>
      </c>
      <c r="Q74" s="42">
        <f t="shared" si="42"/>
        <v>1.2516626652315661</v>
      </c>
      <c r="R74" s="41">
        <f t="shared" si="46"/>
        <v>6.2706339248826834E-2</v>
      </c>
      <c r="S74" s="41">
        <f t="shared" si="47"/>
        <v>-8.1000683152079487E-4</v>
      </c>
      <c r="T74" s="41">
        <f t="shared" si="48"/>
        <v>-8.3159048983416054E-4</v>
      </c>
      <c r="U74" s="41">
        <f t="shared" si="49"/>
        <v>4.5858924866643107E-3</v>
      </c>
      <c r="V74" s="42">
        <f t="shared" si="50"/>
        <v>9.8143172176978506E-4</v>
      </c>
      <c r="W74" s="41">
        <f t="shared" si="51"/>
        <v>1.8022411527340589E-3</v>
      </c>
      <c r="X74" s="41">
        <f t="shared" si="52"/>
        <v>8.3329124296090771E-3</v>
      </c>
      <c r="Y74" s="41">
        <f t="shared" si="53"/>
        <v>7.8024679670284838E-3</v>
      </c>
      <c r="Z74" s="41">
        <f t="shared" si="54"/>
        <v>9.6466876683261264E-3</v>
      </c>
      <c r="AA74" s="42">
        <f t="shared" si="55"/>
        <v>8.5940226883212279E-3</v>
      </c>
      <c r="AB74" s="169">
        <f t="shared" si="56"/>
        <v>5.4815463209667906E-4</v>
      </c>
      <c r="AD74" s="3"/>
      <c r="AE74" s="3"/>
      <c r="AF74" s="3"/>
    </row>
    <row r="75" spans="1:32" ht="15" thickBot="1" x14ac:dyDescent="0.2">
      <c r="B75" s="217" t="s">
        <v>73</v>
      </c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18"/>
      <c r="Y75" s="218"/>
      <c r="Z75" s="218"/>
      <c r="AA75" s="218"/>
      <c r="AB75" s="219"/>
    </row>
    <row r="76" spans="1:32" ht="60" x14ac:dyDescent="0.15">
      <c r="B76" s="23" t="s">
        <v>0</v>
      </c>
      <c r="C76" s="24" t="s">
        <v>1</v>
      </c>
      <c r="D76" s="25" t="s">
        <v>2</v>
      </c>
      <c r="E76" s="26" t="s">
        <v>3</v>
      </c>
      <c r="F76" s="204" t="s">
        <v>61</v>
      </c>
      <c r="G76" s="205"/>
      <c r="H76" s="206"/>
      <c r="I76" s="207" t="s">
        <v>10</v>
      </c>
      <c r="J76" s="205"/>
      <c r="K76" s="206"/>
      <c r="L76" s="27" t="s">
        <v>4</v>
      </c>
      <c r="M76" s="28" t="s">
        <v>69</v>
      </c>
      <c r="N76" s="207" t="s">
        <v>63</v>
      </c>
      <c r="O76" s="205"/>
      <c r="P76" s="206"/>
      <c r="Q76" s="28" t="s">
        <v>5</v>
      </c>
      <c r="R76" s="28" t="s">
        <v>62</v>
      </c>
      <c r="S76" s="220" t="s">
        <v>6</v>
      </c>
      <c r="T76" s="221"/>
      <c r="U76" s="221"/>
      <c r="V76" s="27" t="s">
        <v>64</v>
      </c>
      <c r="W76" s="27" t="s">
        <v>62</v>
      </c>
      <c r="X76" s="207" t="s">
        <v>65</v>
      </c>
      <c r="Y76" s="205"/>
      <c r="Z76" s="206"/>
      <c r="AA76" s="27" t="s">
        <v>66</v>
      </c>
      <c r="AB76" s="29" t="s">
        <v>62</v>
      </c>
    </row>
    <row r="77" spans="1:32" x14ac:dyDescent="0.15">
      <c r="B77" s="30"/>
      <c r="C77" s="31"/>
      <c r="D77" s="32"/>
      <c r="E77" s="33"/>
      <c r="F77" s="208" t="s">
        <v>13</v>
      </c>
      <c r="G77" s="209"/>
      <c r="H77" s="210"/>
      <c r="I77" s="211" t="s">
        <v>7</v>
      </c>
      <c r="J77" s="209"/>
      <c r="K77" s="210"/>
      <c r="L77" s="35" t="s">
        <v>7</v>
      </c>
      <c r="M77" s="35"/>
      <c r="N77" s="211" t="s">
        <v>7</v>
      </c>
      <c r="O77" s="209"/>
      <c r="P77" s="210"/>
      <c r="Q77" s="34"/>
      <c r="R77" s="34"/>
      <c r="S77" s="215" t="s">
        <v>67</v>
      </c>
      <c r="T77" s="216"/>
      <c r="U77" s="216"/>
      <c r="V77" s="35" t="s">
        <v>67</v>
      </c>
      <c r="W77" s="32"/>
      <c r="X77" s="212" t="s">
        <v>68</v>
      </c>
      <c r="Y77" s="213"/>
      <c r="Z77" s="214"/>
      <c r="AA77" s="37" t="s">
        <v>68</v>
      </c>
      <c r="AB77" s="38"/>
    </row>
    <row r="78" spans="1:32" s="5" customFormat="1" x14ac:dyDescent="0.15">
      <c r="B78" s="223" t="s">
        <v>23</v>
      </c>
      <c r="C78" s="39">
        <v>0.49652777777777773</v>
      </c>
      <c r="D78" s="5">
        <v>0</v>
      </c>
      <c r="E78" s="224">
        <v>1</v>
      </c>
      <c r="F78" s="40">
        <v>0.111</v>
      </c>
      <c r="G78" s="41">
        <v>0.106</v>
      </c>
      <c r="H78" s="41">
        <v>0.10299999999999999</v>
      </c>
      <c r="I78" s="41">
        <f>1.2596*F78</f>
        <v>0.13981560000000001</v>
      </c>
      <c r="J78" s="41">
        <f t="shared" ref="J78:K78" si="58">1.2596*G78</f>
        <v>0.13351760000000001</v>
      </c>
      <c r="K78" s="41">
        <f t="shared" si="58"/>
        <v>0.12973879999999999</v>
      </c>
      <c r="L78" s="42">
        <f t="shared" ref="L78:L97" si="59">AVERAGE(I78:K78)</f>
        <v>0.13435733333333336</v>
      </c>
      <c r="M78" s="49">
        <f t="shared" ref="M78:M97" si="60">STDEV(I78:K78)/SQRT(3)</f>
        <v>2.939066666666673E-3</v>
      </c>
      <c r="N78" s="41">
        <f t="shared" ref="N78:P97" si="61">LN(I78)</f>
        <v>-1.9674308674250702</v>
      </c>
      <c r="O78" s="41">
        <f t="shared" si="61"/>
        <v>-2.0135219746253372</v>
      </c>
      <c r="P78" s="41">
        <f t="shared" si="61"/>
        <v>-2.0422320805077687</v>
      </c>
      <c r="Q78" s="42">
        <f t="shared" ref="Q78:Q97" si="62">AVERAGE(N78:P78)</f>
        <v>-2.0077283075193919</v>
      </c>
      <c r="R78" s="41">
        <f>STDEV(N78:P78)/SQRT(3)</f>
        <v>2.1786695508663838E-2</v>
      </c>
      <c r="S78" s="41"/>
      <c r="V78" s="172"/>
      <c r="AA78" s="172"/>
      <c r="AB78" s="45"/>
      <c r="AD78" s="3"/>
      <c r="AE78" s="3"/>
      <c r="AF78" s="3"/>
    </row>
    <row r="79" spans="1:32" s="5" customFormat="1" x14ac:dyDescent="0.15">
      <c r="B79" s="223"/>
      <c r="C79" s="39">
        <v>0.6069444444444444</v>
      </c>
      <c r="D79" s="43">
        <v>2.9666666666666668</v>
      </c>
      <c r="E79" s="224"/>
      <c r="F79" s="40">
        <v>0.112</v>
      </c>
      <c r="G79" s="41">
        <v>0.122</v>
      </c>
      <c r="H79" s="41">
        <v>0.127</v>
      </c>
      <c r="I79" s="41">
        <f t="shared" ref="I79:I97" si="63">1.2596*F79</f>
        <v>0.14107520000000001</v>
      </c>
      <c r="J79" s="41">
        <f t="shared" ref="J79:J97" si="64">1.2596*G79</f>
        <v>0.15367120000000001</v>
      </c>
      <c r="K79" s="41">
        <f t="shared" ref="K79:K97" si="65">1.2596*H79</f>
        <v>0.15996920000000001</v>
      </c>
      <c r="L79" s="42">
        <f t="shared" si="59"/>
        <v>0.15157186666666667</v>
      </c>
      <c r="M79" s="49">
        <f t="shared" si="60"/>
        <v>5.5543139190282623E-3</v>
      </c>
      <c r="N79" s="41">
        <f t="shared" si="61"/>
        <v>-1.95846219744231</v>
      </c>
      <c r="O79" s="41">
        <f t="shared" si="61"/>
        <v>-1.8729400240041478</v>
      </c>
      <c r="P79" s="41">
        <f t="shared" si="61"/>
        <v>-1.8327739822788132</v>
      </c>
      <c r="Q79" s="42">
        <f t="shared" si="62"/>
        <v>-1.8880587345750903</v>
      </c>
      <c r="R79" s="41">
        <f t="shared" ref="R79:R97" si="66">STDEV(N79:P79)/SQRT(3)</f>
        <v>3.7062170357127923E-2</v>
      </c>
      <c r="S79" s="41">
        <f>(N79-N78)/(D79-D78)</f>
        <v>3.023147185200083E-3</v>
      </c>
      <c r="T79" s="41">
        <f>(O79-O78)/(D79-D78)</f>
        <v>4.7387174366693048E-2</v>
      </c>
      <c r="U79" s="41">
        <f>(P79-P78)/(D79-D78)</f>
        <v>7.0603853335602998E-2</v>
      </c>
      <c r="V79" s="42">
        <f>AVERAGE(S79:U79)</f>
        <v>4.0338058295832042E-2</v>
      </c>
      <c r="W79" s="41">
        <f>STDEV(S79:U79)/SQRT(3)</f>
        <v>1.9824694104257364E-2</v>
      </c>
      <c r="X79" s="41">
        <f>I79/D79</f>
        <v>4.7553438202247195E-2</v>
      </c>
      <c r="Y79" s="41">
        <f>J79/D79</f>
        <v>5.1799280898876407E-2</v>
      </c>
      <c r="Z79" s="41">
        <f>K79/D79</f>
        <v>5.3922202247191013E-2</v>
      </c>
      <c r="AA79" s="42">
        <f>AVERAGE(X79:Z79)</f>
        <v>5.1091640449438203E-2</v>
      </c>
      <c r="AB79" s="169">
        <f>STDEV(X79:Z79)/SQRT(3)</f>
        <v>1.8722406468634593E-3</v>
      </c>
      <c r="AD79" s="3"/>
      <c r="AE79" s="3"/>
      <c r="AF79" s="3"/>
    </row>
    <row r="80" spans="1:32" s="5" customFormat="1" x14ac:dyDescent="0.15">
      <c r="B80" s="223"/>
      <c r="C80" s="39">
        <v>0.70416666666666661</v>
      </c>
      <c r="D80" s="43">
        <v>5.3000000000000007</v>
      </c>
      <c r="E80" s="224"/>
      <c r="F80" s="40">
        <v>0.13500000000000001</v>
      </c>
      <c r="G80" s="41">
        <v>0.13500000000000001</v>
      </c>
      <c r="H80" s="41">
        <v>0.13700000000000001</v>
      </c>
      <c r="I80" s="41">
        <f t="shared" si="63"/>
        <v>0.17004600000000003</v>
      </c>
      <c r="J80" s="41">
        <f t="shared" si="64"/>
        <v>0.17004600000000003</v>
      </c>
      <c r="K80" s="41">
        <f t="shared" si="65"/>
        <v>0.17256520000000003</v>
      </c>
      <c r="L80" s="42">
        <f t="shared" si="59"/>
        <v>0.17088573333333335</v>
      </c>
      <c r="M80" s="49">
        <f t="shared" si="60"/>
        <v>8.39733333333333E-4</v>
      </c>
      <c r="N80" s="41">
        <f t="shared" si="61"/>
        <v>-1.771686290298975</v>
      </c>
      <c r="O80" s="41">
        <f t="shared" si="61"/>
        <v>-1.771686290298975</v>
      </c>
      <c r="P80" s="41">
        <f t="shared" si="61"/>
        <v>-1.7569801429092795</v>
      </c>
      <c r="Q80" s="42">
        <f t="shared" si="62"/>
        <v>-1.7667842411690764</v>
      </c>
      <c r="R80" s="41">
        <f t="shared" si="66"/>
        <v>4.9020491298984821E-3</v>
      </c>
      <c r="S80" s="41">
        <f t="shared" ref="S80:S97" si="67">(N80-N79)/(D80-D79)</f>
        <v>8.004681734714357E-2</v>
      </c>
      <c r="T80" s="41">
        <f t="shared" ref="T80:T97" si="68">(O80-O79)/(D80-D79)</f>
        <v>4.3394457302216936E-2</v>
      </c>
      <c r="U80" s="41">
        <f t="shared" ref="U80:U97" si="69">(P80-P79)/(D80-D79)</f>
        <v>3.2483074015514417E-2</v>
      </c>
      <c r="V80" s="42">
        <f t="shared" ref="V80:V97" si="70">AVERAGE(S80:U80)</f>
        <v>5.1974782888291639E-2</v>
      </c>
      <c r="W80" s="41">
        <f t="shared" ref="W80:W97" si="71">STDEV(S80:U80)/SQRT(3)</f>
        <v>1.4385107001126331E-2</v>
      </c>
      <c r="X80" s="41">
        <f t="shared" ref="X80:X97" si="72">I80/D80</f>
        <v>3.2084150943396228E-2</v>
      </c>
      <c r="Y80" s="41">
        <f t="shared" ref="Y80:Y97" si="73">J80/D80</f>
        <v>3.2084150943396228E-2</v>
      </c>
      <c r="Z80" s="41">
        <f t="shared" ref="Z80:Z97" si="74">K80/D80</f>
        <v>3.2559471698113206E-2</v>
      </c>
      <c r="AA80" s="42">
        <f t="shared" ref="AA80:AA97" si="75">AVERAGE(X80:Z80)</f>
        <v>3.2242591194968556E-2</v>
      </c>
      <c r="AB80" s="169">
        <f t="shared" ref="AB80:AB97" si="76">STDEV(X80:Z80)/SQRT(3)</f>
        <v>1.5844025157232591E-4</v>
      </c>
      <c r="AD80" s="3"/>
      <c r="AE80" s="3"/>
      <c r="AF80" s="3"/>
    </row>
    <row r="81" spans="1:32" s="5" customFormat="1" x14ac:dyDescent="0.15">
      <c r="B81" s="223"/>
      <c r="C81" s="39">
        <v>0.9</v>
      </c>
      <c r="D81" s="43">
        <v>10</v>
      </c>
      <c r="E81" s="224"/>
      <c r="F81" s="40">
        <v>0.161</v>
      </c>
      <c r="G81" s="41">
        <v>0.16500000000000001</v>
      </c>
      <c r="H81" s="41">
        <v>0.157</v>
      </c>
      <c r="I81" s="41">
        <f t="shared" si="63"/>
        <v>0.20279560000000002</v>
      </c>
      <c r="J81" s="41">
        <f t="shared" si="64"/>
        <v>0.20783400000000002</v>
      </c>
      <c r="K81" s="41">
        <f t="shared" si="65"/>
        <v>0.19775720000000002</v>
      </c>
      <c r="L81" s="42">
        <f t="shared" si="59"/>
        <v>0.20279560000000005</v>
      </c>
      <c r="M81" s="49">
        <f t="shared" si="60"/>
        <v>2.9089215962850097E-3</v>
      </c>
      <c r="N81" s="41">
        <f t="shared" si="61"/>
        <v>-1.5955567037529415</v>
      </c>
      <c r="O81" s="41">
        <f t="shared" si="61"/>
        <v>-1.5710155948368238</v>
      </c>
      <c r="P81" s="41">
        <f t="shared" si="61"/>
        <v>-1.6207152633890964</v>
      </c>
      <c r="Q81" s="42">
        <f t="shared" si="62"/>
        <v>-1.5957625206596207</v>
      </c>
      <c r="R81" s="41">
        <f t="shared" si="66"/>
        <v>1.4347427574316177E-2</v>
      </c>
      <c r="S81" s="41">
        <f t="shared" si="67"/>
        <v>3.7474380116177347E-2</v>
      </c>
      <c r="T81" s="41">
        <f t="shared" si="68"/>
        <v>4.2695892651521516E-2</v>
      </c>
      <c r="U81" s="41">
        <f t="shared" si="69"/>
        <v>2.8992527557485763E-2</v>
      </c>
      <c r="V81" s="42">
        <f t="shared" si="70"/>
        <v>3.6387600108394876E-2</v>
      </c>
      <c r="W81" s="41">
        <f t="shared" si="71"/>
        <v>3.9929676438331735E-3</v>
      </c>
      <c r="X81" s="41">
        <f t="shared" si="72"/>
        <v>2.0279560000000002E-2</v>
      </c>
      <c r="Y81" s="41">
        <f t="shared" si="73"/>
        <v>2.07834E-2</v>
      </c>
      <c r="Z81" s="41">
        <f t="shared" si="74"/>
        <v>1.9775720000000004E-2</v>
      </c>
      <c r="AA81" s="42">
        <f t="shared" si="75"/>
        <v>2.0279560000000002E-2</v>
      </c>
      <c r="AB81" s="169">
        <f t="shared" si="76"/>
        <v>2.9089215962850015E-4</v>
      </c>
      <c r="AD81" s="3"/>
      <c r="AE81" s="3"/>
      <c r="AF81" s="3"/>
    </row>
    <row r="82" spans="1:32" s="5" customFormat="1" x14ac:dyDescent="0.15">
      <c r="B82" s="222" t="s">
        <v>24</v>
      </c>
      <c r="C82" s="39">
        <v>0.46666666666666662</v>
      </c>
      <c r="D82" s="43">
        <v>23.283333333333331</v>
      </c>
      <c r="E82" s="224">
        <v>2</v>
      </c>
      <c r="F82" s="40">
        <v>0.17499999999999999</v>
      </c>
      <c r="G82" s="41">
        <v>0.19500000000000001</v>
      </c>
      <c r="H82" s="41">
        <v>0.19700000000000001</v>
      </c>
      <c r="I82" s="41">
        <f t="shared" si="63"/>
        <v>0.22042999999999999</v>
      </c>
      <c r="J82" s="41">
        <f t="shared" si="64"/>
        <v>0.24562200000000001</v>
      </c>
      <c r="K82" s="41">
        <f t="shared" si="65"/>
        <v>0.24814120000000003</v>
      </c>
      <c r="L82" s="42">
        <f t="shared" si="59"/>
        <v>0.23806440000000004</v>
      </c>
      <c r="M82" s="49">
        <f t="shared" si="60"/>
        <v>8.8471396447288853E-3</v>
      </c>
      <c r="N82" s="41">
        <f t="shared" si="61"/>
        <v>-1.5121750948138906</v>
      </c>
      <c r="O82" s="41">
        <f t="shared" si="61"/>
        <v>-1.4039615101736578</v>
      </c>
      <c r="P82" s="41">
        <f t="shared" si="61"/>
        <v>-1.3937573399994159</v>
      </c>
      <c r="Q82" s="42">
        <f t="shared" si="62"/>
        <v>-1.4366313149956547</v>
      </c>
      <c r="R82" s="41">
        <f t="shared" si="66"/>
        <v>3.7886577544718011E-2</v>
      </c>
      <c r="S82" s="41">
        <f t="shared" si="67"/>
        <v>6.2771600205057138E-3</v>
      </c>
      <c r="T82" s="41">
        <f t="shared" si="68"/>
        <v>1.2576217164102843E-2</v>
      </c>
      <c r="U82" s="41">
        <f t="shared" si="69"/>
        <v>1.7085916440879343E-2</v>
      </c>
      <c r="V82" s="42">
        <f t="shared" si="70"/>
        <v>1.1979764541829299E-2</v>
      </c>
      <c r="W82" s="41">
        <f t="shared" si="71"/>
        <v>3.1344388459342456E-3</v>
      </c>
      <c r="X82" s="41">
        <f t="shared" si="72"/>
        <v>9.4672870436649965E-3</v>
      </c>
      <c r="Y82" s="41">
        <f t="shared" si="73"/>
        <v>1.0549262705798141E-2</v>
      </c>
      <c r="Z82" s="41">
        <f t="shared" si="74"/>
        <v>1.0657460272011456E-2</v>
      </c>
      <c r="AA82" s="42">
        <f t="shared" si="75"/>
        <v>1.0224670007158198E-2</v>
      </c>
      <c r="AB82" s="169">
        <f t="shared" si="76"/>
        <v>3.7997736484161301E-4</v>
      </c>
      <c r="AD82" s="3"/>
      <c r="AE82" s="3"/>
      <c r="AF82" s="3"/>
    </row>
    <row r="83" spans="1:32" s="5" customFormat="1" x14ac:dyDescent="0.15">
      <c r="B83" s="222"/>
      <c r="C83" s="39">
        <v>0.54861111111111105</v>
      </c>
      <c r="D83" s="43">
        <v>26.333333333333332</v>
      </c>
      <c r="E83" s="224"/>
      <c r="F83" s="40">
        <v>0.252</v>
      </c>
      <c r="G83" s="41">
        <v>0.22800000000000001</v>
      </c>
      <c r="H83" s="41">
        <v>0.23200000000000001</v>
      </c>
      <c r="I83" s="41">
        <f t="shared" si="63"/>
        <v>0.31741920000000001</v>
      </c>
      <c r="J83" s="41">
        <f t="shared" si="64"/>
        <v>0.28718880000000002</v>
      </c>
      <c r="K83" s="41">
        <f t="shared" si="65"/>
        <v>0.29222720000000002</v>
      </c>
      <c r="L83" s="42">
        <f t="shared" si="59"/>
        <v>0.2989450666666667</v>
      </c>
      <c r="M83" s="49">
        <f t="shared" si="60"/>
        <v>9.3508746552275913E-3</v>
      </c>
      <c r="N83" s="41">
        <f t="shared" si="61"/>
        <v>-1.1475319812259812</v>
      </c>
      <c r="O83" s="41">
        <f t="shared" si="61"/>
        <v>-1.2476154397829637</v>
      </c>
      <c r="P83" s="41">
        <f t="shared" si="61"/>
        <v>-1.2302236970710945</v>
      </c>
      <c r="Q83" s="42">
        <f t="shared" si="62"/>
        <v>-1.2084570393600131</v>
      </c>
      <c r="R83" s="41">
        <f t="shared" si="66"/>
        <v>3.0873479504343434E-2</v>
      </c>
      <c r="S83" s="41">
        <f t="shared" si="67"/>
        <v>0.11955511920915057</v>
      </c>
      <c r="T83" s="41">
        <f t="shared" si="68"/>
        <v>5.126100668547344E-2</v>
      </c>
      <c r="U83" s="41">
        <f t="shared" si="69"/>
        <v>5.3617587845351262E-2</v>
      </c>
      <c r="V83" s="42">
        <f t="shared" si="70"/>
        <v>7.4811237913325099E-2</v>
      </c>
      <c r="W83" s="41">
        <f t="shared" si="71"/>
        <v>2.2382281338534753E-2</v>
      </c>
      <c r="X83" s="41">
        <f t="shared" si="72"/>
        <v>1.2053893670886077E-2</v>
      </c>
      <c r="Y83" s="41">
        <f t="shared" si="73"/>
        <v>1.0905903797468355E-2</v>
      </c>
      <c r="Z83" s="41">
        <f t="shared" si="74"/>
        <v>1.1097235443037977E-2</v>
      </c>
      <c r="AA83" s="42">
        <f t="shared" si="75"/>
        <v>1.1352344303797468E-2</v>
      </c>
      <c r="AB83" s="169">
        <f t="shared" si="76"/>
        <v>3.5509650589471881E-4</v>
      </c>
      <c r="AD83" s="3"/>
      <c r="AE83" s="3"/>
      <c r="AF83" s="3"/>
    </row>
    <row r="84" spans="1:32" s="5" customFormat="1" x14ac:dyDescent="0.15">
      <c r="B84" s="222"/>
      <c r="C84" s="39">
        <v>0.72152777777777777</v>
      </c>
      <c r="D84" s="43">
        <v>30.483333333333334</v>
      </c>
      <c r="E84" s="224"/>
      <c r="F84" s="40">
        <v>0.252</v>
      </c>
      <c r="G84" s="41">
        <v>0.27100000000000002</v>
      </c>
      <c r="H84" s="41">
        <v>0.28100000000000003</v>
      </c>
      <c r="I84" s="41">
        <f t="shared" si="63"/>
        <v>0.31741920000000001</v>
      </c>
      <c r="J84" s="41">
        <f t="shared" si="64"/>
        <v>0.34135160000000003</v>
      </c>
      <c r="K84" s="41">
        <f t="shared" si="65"/>
        <v>0.35394760000000003</v>
      </c>
      <c r="L84" s="42">
        <f t="shared" si="59"/>
        <v>0.33757280000000006</v>
      </c>
      <c r="M84" s="49">
        <f t="shared" si="60"/>
        <v>1.0712772730406142E-2</v>
      </c>
      <c r="N84" s="41">
        <f t="shared" si="61"/>
        <v>-1.1475319812259812</v>
      </c>
      <c r="O84" s="41">
        <f t="shared" si="61"/>
        <v>-1.0748422478577035</v>
      </c>
      <c r="P84" s="41">
        <f t="shared" si="61"/>
        <v>-1.0386063994036587</v>
      </c>
      <c r="Q84" s="42">
        <f t="shared" si="62"/>
        <v>-1.0869935428291144</v>
      </c>
      <c r="R84" s="41">
        <f t="shared" si="66"/>
        <v>3.2025698383977751E-2</v>
      </c>
      <c r="S84" s="41">
        <f t="shared" si="67"/>
        <v>0</v>
      </c>
      <c r="T84" s="41">
        <f t="shared" si="68"/>
        <v>4.1632094439821715E-2</v>
      </c>
      <c r="U84" s="41">
        <f t="shared" si="69"/>
        <v>4.6172842811430276E-2</v>
      </c>
      <c r="V84" s="42">
        <f t="shared" si="70"/>
        <v>2.9268312417083997E-2</v>
      </c>
      <c r="W84" s="41">
        <f t="shared" si="71"/>
        <v>1.4692744045407711E-2</v>
      </c>
      <c r="X84" s="41">
        <f t="shared" si="72"/>
        <v>1.0412876981957354E-2</v>
      </c>
      <c r="Y84" s="41">
        <f t="shared" si="73"/>
        <v>1.1197974849644615E-2</v>
      </c>
      <c r="Z84" s="41">
        <f t="shared" si="74"/>
        <v>1.1611184253690543E-2</v>
      </c>
      <c r="AA84" s="42">
        <f t="shared" si="75"/>
        <v>1.1074012028430837E-2</v>
      </c>
      <c r="AB84" s="169">
        <f t="shared" si="76"/>
        <v>3.5143048869566365E-4</v>
      </c>
      <c r="AD84" s="3"/>
      <c r="AE84" s="3"/>
      <c r="AF84" s="3"/>
    </row>
    <row r="85" spans="1:32" s="5" customFormat="1" x14ac:dyDescent="0.15">
      <c r="B85" s="44" t="s">
        <v>28</v>
      </c>
      <c r="C85" s="39">
        <v>0.46249999999999997</v>
      </c>
      <c r="D85" s="43">
        <v>118.83333333333333</v>
      </c>
      <c r="E85" s="45">
        <v>6</v>
      </c>
      <c r="F85" s="40">
        <v>1.0649999999999999</v>
      </c>
      <c r="G85" s="41">
        <v>1.02</v>
      </c>
      <c r="H85" s="41">
        <v>1.101</v>
      </c>
      <c r="I85" s="41">
        <f t="shared" si="63"/>
        <v>1.3414740000000001</v>
      </c>
      <c r="J85" s="41">
        <f t="shared" si="64"/>
        <v>1.2847920000000002</v>
      </c>
      <c r="K85" s="41">
        <f t="shared" si="65"/>
        <v>1.3868195999999999</v>
      </c>
      <c r="L85" s="42">
        <f t="shared" si="59"/>
        <v>1.3376952</v>
      </c>
      <c r="M85" s="49">
        <f t="shared" si="60"/>
        <v>2.9513371475316002E-2</v>
      </c>
      <c r="N85" s="41">
        <f t="shared" si="61"/>
        <v>0.293769009406121</v>
      </c>
      <c r="O85" s="41">
        <f t="shared" si="61"/>
        <v>0.25059683754091239</v>
      </c>
      <c r="P85" s="41">
        <f t="shared" si="61"/>
        <v>0.32701306798527541</v>
      </c>
      <c r="Q85" s="42">
        <f t="shared" si="62"/>
        <v>0.2904596383107696</v>
      </c>
      <c r="R85" s="41">
        <f t="shared" si="66"/>
        <v>2.212143772916959E-2</v>
      </c>
      <c r="S85" s="41">
        <f t="shared" si="67"/>
        <v>1.6313536962445981E-2</v>
      </c>
      <c r="T85" s="41">
        <f t="shared" si="68"/>
        <v>1.500214018560969E-2</v>
      </c>
      <c r="U85" s="41">
        <f t="shared" si="69"/>
        <v>1.5456926625794388E-2</v>
      </c>
      <c r="V85" s="42">
        <f t="shared" si="70"/>
        <v>1.5590867924616688E-2</v>
      </c>
      <c r="W85" s="41">
        <f t="shared" si="71"/>
        <v>3.8444573965723967E-4</v>
      </c>
      <c r="X85" s="41">
        <f t="shared" si="72"/>
        <v>1.1288701262272091E-2</v>
      </c>
      <c r="Y85" s="41">
        <f t="shared" si="73"/>
        <v>1.0811713884992989E-2</v>
      </c>
      <c r="Z85" s="41">
        <f t="shared" si="74"/>
        <v>1.1670291164095372E-2</v>
      </c>
      <c r="AA85" s="42">
        <f t="shared" si="75"/>
        <v>1.1256902103786817E-2</v>
      </c>
      <c r="AB85" s="169">
        <f t="shared" si="76"/>
        <v>2.4835936725371119E-4</v>
      </c>
      <c r="AD85" s="3"/>
      <c r="AE85" s="3"/>
      <c r="AF85" s="3"/>
    </row>
    <row r="86" spans="1:32" s="5" customFormat="1" x14ac:dyDescent="0.15">
      <c r="B86" s="44" t="s">
        <v>29</v>
      </c>
      <c r="C86" s="39">
        <v>0.43263888888888885</v>
      </c>
      <c r="D86" s="43">
        <v>142.11666666666667</v>
      </c>
      <c r="E86" s="45">
        <v>7</v>
      </c>
      <c r="F86" s="40">
        <v>1.3759999999999999</v>
      </c>
      <c r="G86" s="41">
        <v>1.256</v>
      </c>
      <c r="H86" s="41">
        <v>1.306</v>
      </c>
      <c r="I86" s="41">
        <f t="shared" si="63"/>
        <v>1.7332095999999999</v>
      </c>
      <c r="J86" s="41">
        <f t="shared" si="64"/>
        <v>1.5820576000000002</v>
      </c>
      <c r="K86" s="41">
        <f t="shared" si="65"/>
        <v>1.6450376000000002</v>
      </c>
      <c r="L86" s="42">
        <f t="shared" si="59"/>
        <v>1.6534349333333334</v>
      </c>
      <c r="M86" s="49">
        <f t="shared" si="60"/>
        <v>4.3835366928745678E-2</v>
      </c>
      <c r="N86" s="41">
        <f t="shared" si="61"/>
        <v>0.54997494975588435</v>
      </c>
      <c r="O86" s="41">
        <f t="shared" si="61"/>
        <v>0.45872627829073959</v>
      </c>
      <c r="P86" s="41">
        <f t="shared" si="61"/>
        <v>0.49776324109897196</v>
      </c>
      <c r="Q86" s="42">
        <f t="shared" si="62"/>
        <v>0.50215482304853198</v>
      </c>
      <c r="R86" s="41">
        <f t="shared" si="66"/>
        <v>2.6432584090179664E-2</v>
      </c>
      <c r="S86" s="41">
        <f t="shared" si="67"/>
        <v>1.1003834231199565E-2</v>
      </c>
      <c r="T86" s="41">
        <f t="shared" si="68"/>
        <v>8.9389881495988734E-3</v>
      </c>
      <c r="U86" s="41">
        <f t="shared" si="69"/>
        <v>7.3335793749619094E-3</v>
      </c>
      <c r="V86" s="42">
        <f t="shared" si="70"/>
        <v>9.0921339185867835E-3</v>
      </c>
      <c r="W86" s="41">
        <f t="shared" si="71"/>
        <v>1.0622747443345651E-3</v>
      </c>
      <c r="X86" s="41">
        <f t="shared" si="72"/>
        <v>1.2195681482350181E-2</v>
      </c>
      <c r="Y86" s="41">
        <f t="shared" si="73"/>
        <v>1.1132104608889411E-2</v>
      </c>
      <c r="Z86" s="41">
        <f t="shared" si="74"/>
        <v>1.1575261639498065E-2</v>
      </c>
      <c r="AA86" s="42">
        <f t="shared" si="75"/>
        <v>1.163434924357922E-2</v>
      </c>
      <c r="AB86" s="169">
        <f t="shared" si="76"/>
        <v>3.0844634874220003E-4</v>
      </c>
      <c r="AD86" s="3"/>
      <c r="AE86" s="3"/>
      <c r="AF86" s="3"/>
    </row>
    <row r="87" spans="1:32" s="5" customFormat="1" x14ac:dyDescent="0.15">
      <c r="B87" s="44" t="s">
        <v>30</v>
      </c>
      <c r="C87" s="39">
        <v>0.62152777777777779</v>
      </c>
      <c r="D87" s="43">
        <v>170.65</v>
      </c>
      <c r="E87" s="45">
        <v>8</v>
      </c>
      <c r="F87" s="40">
        <v>1.4119999999999999</v>
      </c>
      <c r="G87" s="41">
        <v>1.48</v>
      </c>
      <c r="H87" s="41">
        <v>1.518</v>
      </c>
      <c r="I87" s="41">
        <f t="shared" si="63"/>
        <v>1.7785552</v>
      </c>
      <c r="J87" s="41">
        <f t="shared" si="64"/>
        <v>1.8642080000000001</v>
      </c>
      <c r="K87" s="41">
        <f t="shared" si="65"/>
        <v>1.9120728</v>
      </c>
      <c r="L87" s="42">
        <f t="shared" si="59"/>
        <v>1.851612</v>
      </c>
      <c r="M87" s="49">
        <f t="shared" si="60"/>
        <v>3.9054371455873337E-2</v>
      </c>
      <c r="N87" s="41">
        <f t="shared" si="61"/>
        <v>0.57580134931578286</v>
      </c>
      <c r="O87" s="41">
        <f t="shared" si="61"/>
        <v>0.62283629802075624</v>
      </c>
      <c r="P87" s="41">
        <f t="shared" si="61"/>
        <v>0.64818788921817072</v>
      </c>
      <c r="Q87" s="42">
        <f t="shared" si="62"/>
        <v>0.61560851218490331</v>
      </c>
      <c r="R87" s="41">
        <f t="shared" si="66"/>
        <v>2.1206394128711236E-2</v>
      </c>
      <c r="S87" s="41">
        <f t="shared" si="67"/>
        <v>9.0513082569737796E-4</v>
      </c>
      <c r="T87" s="41">
        <f t="shared" si="68"/>
        <v>5.7515193830613319E-3</v>
      </c>
      <c r="U87" s="41">
        <f t="shared" si="69"/>
        <v>5.2718918733364057E-3</v>
      </c>
      <c r="V87" s="42">
        <f t="shared" si="70"/>
        <v>3.9761806940317055E-3</v>
      </c>
      <c r="W87" s="41">
        <f t="shared" si="71"/>
        <v>1.5417545316260578E-3</v>
      </c>
      <c r="X87" s="41">
        <f t="shared" si="72"/>
        <v>1.0422239671842953E-2</v>
      </c>
      <c r="Y87" s="41">
        <f t="shared" si="73"/>
        <v>1.0924160562554937E-2</v>
      </c>
      <c r="Z87" s="41">
        <f t="shared" si="74"/>
        <v>1.1204645766188103E-2</v>
      </c>
      <c r="AA87" s="42">
        <f t="shared" si="75"/>
        <v>1.0850348666861999E-2</v>
      </c>
      <c r="AB87" s="169">
        <f t="shared" si="76"/>
        <v>2.2885655702240454E-4</v>
      </c>
      <c r="AD87" s="3"/>
      <c r="AE87" s="3"/>
      <c r="AF87" s="3"/>
    </row>
    <row r="88" spans="1:32" s="5" customFormat="1" x14ac:dyDescent="0.15">
      <c r="B88" s="44" t="s">
        <v>32</v>
      </c>
      <c r="C88" s="39">
        <v>0.53333333333333333</v>
      </c>
      <c r="D88" s="43">
        <v>192.53333333333333</v>
      </c>
      <c r="E88" s="45">
        <v>9</v>
      </c>
      <c r="F88" s="40">
        <v>1.6839999999999999</v>
      </c>
      <c r="G88" s="41">
        <v>1.6539999999999999</v>
      </c>
      <c r="H88" s="41">
        <v>1.732</v>
      </c>
      <c r="I88" s="41">
        <f t="shared" si="63"/>
        <v>2.1211663999999999</v>
      </c>
      <c r="J88" s="41">
        <f t="shared" si="64"/>
        <v>2.0833784</v>
      </c>
      <c r="K88" s="41">
        <f t="shared" si="65"/>
        <v>2.1816271999999999</v>
      </c>
      <c r="L88" s="42">
        <f t="shared" si="59"/>
        <v>2.1287240000000001</v>
      </c>
      <c r="M88" s="49">
        <f t="shared" si="60"/>
        <v>2.8612611809480076E-2</v>
      </c>
      <c r="N88" s="41">
        <f t="shared" si="61"/>
        <v>0.75196612606486746</v>
      </c>
      <c r="O88" s="41">
        <f t="shared" si="61"/>
        <v>0.73399080684623208</v>
      </c>
      <c r="P88" s="41">
        <f t="shared" si="61"/>
        <v>0.78007102038497589</v>
      </c>
      <c r="Q88" s="42">
        <f t="shared" si="62"/>
        <v>0.7553426510986917</v>
      </c>
      <c r="R88" s="41">
        <f t="shared" si="66"/>
        <v>1.3408917566580943E-2</v>
      </c>
      <c r="S88" s="41">
        <f t="shared" si="67"/>
        <v>8.0501802017860467E-3</v>
      </c>
      <c r="T88" s="41">
        <f t="shared" si="68"/>
        <v>5.0794139600369784E-3</v>
      </c>
      <c r="U88" s="41">
        <f t="shared" si="69"/>
        <v>6.0266472734259811E-3</v>
      </c>
      <c r="V88" s="42">
        <f t="shared" si="70"/>
        <v>6.3854138117496696E-3</v>
      </c>
      <c r="W88" s="41">
        <f t="shared" si="71"/>
        <v>8.7614650364432824E-4</v>
      </c>
      <c r="X88" s="41">
        <f t="shared" si="72"/>
        <v>1.1017138504155125E-2</v>
      </c>
      <c r="Y88" s="41">
        <f t="shared" si="73"/>
        <v>1.0820871191135733E-2</v>
      </c>
      <c r="Z88" s="41">
        <f t="shared" si="74"/>
        <v>1.133116620498615E-2</v>
      </c>
      <c r="AA88" s="42">
        <f t="shared" si="75"/>
        <v>1.1056391966759003E-2</v>
      </c>
      <c r="AB88" s="169">
        <f t="shared" si="76"/>
        <v>1.4861121092181519E-4</v>
      </c>
      <c r="AD88" s="3"/>
      <c r="AE88" s="3"/>
      <c r="AF88" s="3"/>
    </row>
    <row r="89" spans="1:32" s="5" customFormat="1" x14ac:dyDescent="0.15">
      <c r="B89" s="44" t="s">
        <v>33</v>
      </c>
      <c r="C89" s="39">
        <v>0.52083333333333337</v>
      </c>
      <c r="D89" s="43">
        <v>216.23333333333332</v>
      </c>
      <c r="E89" s="45">
        <v>10</v>
      </c>
      <c r="F89" s="40">
        <v>1.8580000000000001</v>
      </c>
      <c r="G89" s="41">
        <v>1.8320000000000001</v>
      </c>
      <c r="H89" s="41">
        <v>1.8460000000000001</v>
      </c>
      <c r="I89" s="41">
        <f t="shared" si="63"/>
        <v>2.3403368000000002</v>
      </c>
      <c r="J89" s="41">
        <f t="shared" si="64"/>
        <v>2.3075872000000004</v>
      </c>
      <c r="K89" s="41">
        <f t="shared" si="65"/>
        <v>2.3252216000000003</v>
      </c>
      <c r="L89" s="42">
        <f t="shared" si="59"/>
        <v>2.3243818666666667</v>
      </c>
      <c r="M89" s="49">
        <f t="shared" si="60"/>
        <v>9.4633140617391628E-3</v>
      </c>
      <c r="N89" s="41">
        <f t="shared" si="61"/>
        <v>0.85029485063637944</v>
      </c>
      <c r="O89" s="41">
        <f t="shared" si="61"/>
        <v>0.83620247649667123</v>
      </c>
      <c r="P89" s="41">
        <f t="shared" si="61"/>
        <v>0.84381534632539312</v>
      </c>
      <c r="Q89" s="42">
        <f t="shared" si="62"/>
        <v>0.84343755781948115</v>
      </c>
      <c r="R89" s="41">
        <f t="shared" si="66"/>
        <v>4.0725010881839559E-3</v>
      </c>
      <c r="S89" s="41">
        <f t="shared" si="67"/>
        <v>4.1488913321313095E-3</v>
      </c>
      <c r="T89" s="41">
        <f t="shared" si="68"/>
        <v>4.3127286772337214E-3</v>
      </c>
      <c r="U89" s="41">
        <f t="shared" si="69"/>
        <v>2.6896340059247791E-3</v>
      </c>
      <c r="V89" s="42">
        <f t="shared" si="70"/>
        <v>3.7170846717632703E-3</v>
      </c>
      <c r="W89" s="41">
        <f t="shared" si="71"/>
        <v>5.1589786520250965E-4</v>
      </c>
      <c r="X89" s="41">
        <f t="shared" si="72"/>
        <v>1.0823200863264994E-2</v>
      </c>
      <c r="Y89" s="41">
        <f t="shared" si="73"/>
        <v>1.0671745953445355E-2</v>
      </c>
      <c r="Z89" s="41">
        <f t="shared" si="74"/>
        <v>1.0753298597194391E-2</v>
      </c>
      <c r="AA89" s="42">
        <f t="shared" si="75"/>
        <v>1.0749415137968246E-2</v>
      </c>
      <c r="AB89" s="169">
        <f t="shared" si="76"/>
        <v>4.3764362856817472E-5</v>
      </c>
      <c r="AD89" s="3"/>
      <c r="AE89" s="3"/>
      <c r="AF89" s="3"/>
    </row>
    <row r="90" spans="1:32" s="5" customFormat="1" x14ac:dyDescent="0.15">
      <c r="B90" s="44" t="s">
        <v>34</v>
      </c>
      <c r="C90" s="39">
        <v>0.53472222222222221</v>
      </c>
      <c r="D90" s="43">
        <v>240.56666666666666</v>
      </c>
      <c r="E90" s="45">
        <v>11</v>
      </c>
      <c r="F90" s="40">
        <v>2.1139999999999999</v>
      </c>
      <c r="G90" s="41">
        <v>2.2130000000000001</v>
      </c>
      <c r="H90" s="41">
        <v>2.129</v>
      </c>
      <c r="I90" s="41">
        <f t="shared" si="63"/>
        <v>2.6627944000000001</v>
      </c>
      <c r="J90" s="41">
        <f t="shared" si="64"/>
        <v>2.7874948000000002</v>
      </c>
      <c r="K90" s="41">
        <f t="shared" si="65"/>
        <v>2.6816884000000001</v>
      </c>
      <c r="L90" s="42">
        <f t="shared" si="59"/>
        <v>2.7106592000000003</v>
      </c>
      <c r="M90" s="49">
        <f t="shared" si="60"/>
        <v>3.8803040600447813E-2</v>
      </c>
      <c r="N90" s="41">
        <f t="shared" si="61"/>
        <v>0.97937609769277845</v>
      </c>
      <c r="O90" s="41">
        <f t="shared" si="61"/>
        <v>1.0251432713136452</v>
      </c>
      <c r="P90" s="41">
        <f t="shared" si="61"/>
        <v>0.986446596156075</v>
      </c>
      <c r="Q90" s="42">
        <f t="shared" si="62"/>
        <v>0.99698865505416634</v>
      </c>
      <c r="R90" s="41">
        <f t="shared" si="66"/>
        <v>1.4224507017453597E-2</v>
      </c>
      <c r="S90" s="41">
        <f t="shared" si="67"/>
        <v>5.3047087831396833E-3</v>
      </c>
      <c r="T90" s="41">
        <f t="shared" si="68"/>
        <v>7.7646901979578327E-3</v>
      </c>
      <c r="U90" s="41">
        <f t="shared" si="69"/>
        <v>5.861558212219801E-3</v>
      </c>
      <c r="V90" s="42">
        <f t="shared" si="70"/>
        <v>6.3103190644391051E-3</v>
      </c>
      <c r="W90" s="41">
        <f t="shared" si="71"/>
        <v>7.447408648149868E-4</v>
      </c>
      <c r="X90" s="41">
        <f t="shared" si="72"/>
        <v>1.1068841901066925E-2</v>
      </c>
      <c r="Y90" s="41">
        <f t="shared" si="73"/>
        <v>1.1587202992933353E-2</v>
      </c>
      <c r="Z90" s="41">
        <f t="shared" si="74"/>
        <v>1.1147381460440626E-2</v>
      </c>
      <c r="AA90" s="42">
        <f t="shared" si="75"/>
        <v>1.1267808784813635E-2</v>
      </c>
      <c r="AB90" s="169">
        <f t="shared" si="76"/>
        <v>1.6129849217312418E-4</v>
      </c>
      <c r="AD90" s="3"/>
      <c r="AE90" s="3"/>
      <c r="AF90" s="3"/>
    </row>
    <row r="91" spans="1:32" s="5" customFormat="1" x14ac:dyDescent="0.15">
      <c r="A91" s="173" t="s">
        <v>60</v>
      </c>
      <c r="B91" s="46" t="s">
        <v>35</v>
      </c>
      <c r="C91" s="39">
        <v>0.51388888888888895</v>
      </c>
      <c r="D91" s="43">
        <v>264.06666666666666</v>
      </c>
      <c r="E91" s="45">
        <v>12</v>
      </c>
      <c r="F91" s="40">
        <v>2.2909999999999999</v>
      </c>
      <c r="G91" s="41">
        <v>2.37</v>
      </c>
      <c r="H91" s="41">
        <v>2.4489999999999998</v>
      </c>
      <c r="I91" s="41">
        <f t="shared" si="63"/>
        <v>2.8857436000000001</v>
      </c>
      <c r="J91" s="41">
        <f t="shared" si="64"/>
        <v>2.9852520000000005</v>
      </c>
      <c r="K91" s="41">
        <f t="shared" si="65"/>
        <v>3.0847604</v>
      </c>
      <c r="L91" s="42">
        <f t="shared" si="59"/>
        <v>2.9852520000000005</v>
      </c>
      <c r="M91" s="49">
        <f t="shared" si="60"/>
        <v>5.7451201526628928E-2</v>
      </c>
      <c r="N91" s="41">
        <f t="shared" si="61"/>
        <v>1.0597826137160911</v>
      </c>
      <c r="O91" s="41">
        <f t="shared" si="61"/>
        <v>1.0936841653917726</v>
      </c>
      <c r="P91" s="41">
        <f t="shared" si="61"/>
        <v>1.1264739882147632</v>
      </c>
      <c r="Q91" s="42">
        <f t="shared" si="62"/>
        <v>1.0933135891075423</v>
      </c>
      <c r="R91" s="41">
        <f t="shared" si="66"/>
        <v>1.9253033122232623E-2</v>
      </c>
      <c r="S91" s="41">
        <f t="shared" si="67"/>
        <v>3.4215538733324514E-3</v>
      </c>
      <c r="T91" s="41">
        <f t="shared" si="68"/>
        <v>2.9166337905586108E-3</v>
      </c>
      <c r="U91" s="41">
        <f t="shared" si="69"/>
        <v>5.958612428029285E-3</v>
      </c>
      <c r="V91" s="42">
        <f t="shared" si="70"/>
        <v>4.0989333639734485E-3</v>
      </c>
      <c r="W91" s="41">
        <f t="shared" si="71"/>
        <v>9.4119440755931292E-4</v>
      </c>
      <c r="X91" s="41">
        <f t="shared" si="72"/>
        <v>1.092808735167887E-2</v>
      </c>
      <c r="Y91" s="41">
        <f t="shared" si="73"/>
        <v>1.1304917950012625E-2</v>
      </c>
      <c r="Z91" s="41">
        <f t="shared" si="74"/>
        <v>1.1681748548346377E-2</v>
      </c>
      <c r="AA91" s="42">
        <f t="shared" si="75"/>
        <v>1.1304917950012624E-2</v>
      </c>
      <c r="AB91" s="169">
        <f t="shared" si="76"/>
        <v>2.1756324738688058E-4</v>
      </c>
      <c r="AD91" s="3"/>
      <c r="AE91" s="3"/>
      <c r="AF91" s="3"/>
    </row>
    <row r="92" spans="1:32" s="5" customFormat="1" x14ac:dyDescent="0.15">
      <c r="B92" s="46" t="s">
        <v>36</v>
      </c>
      <c r="C92" s="39">
        <v>0.52430555555555558</v>
      </c>
      <c r="D92" s="43">
        <v>288.31666666666666</v>
      </c>
      <c r="E92" s="45">
        <v>13</v>
      </c>
      <c r="F92" s="40">
        <v>2.7080000000000002</v>
      </c>
      <c r="G92" s="41">
        <v>2.7050000000000001</v>
      </c>
      <c r="H92" s="41">
        <v>2.7170000000000001</v>
      </c>
      <c r="I92" s="41">
        <f t="shared" si="63"/>
        <v>3.4109968000000004</v>
      </c>
      <c r="J92" s="41">
        <f t="shared" si="64"/>
        <v>3.4072180000000003</v>
      </c>
      <c r="K92" s="41">
        <f t="shared" si="65"/>
        <v>3.4223332000000002</v>
      </c>
      <c r="L92" s="42">
        <f t="shared" si="59"/>
        <v>3.413516</v>
      </c>
      <c r="M92" s="49">
        <f t="shared" si="60"/>
        <v>4.5415523865743957E-3</v>
      </c>
      <c r="N92" s="41">
        <f t="shared" si="61"/>
        <v>1.2270045652947612</v>
      </c>
      <c r="O92" s="41">
        <f t="shared" si="61"/>
        <v>1.2258961225431775</v>
      </c>
      <c r="P92" s="41">
        <f t="shared" si="61"/>
        <v>1.2303225406889433</v>
      </c>
      <c r="Q92" s="42">
        <f t="shared" si="62"/>
        <v>1.2277410761756273</v>
      </c>
      <c r="R92" s="41">
        <f t="shared" si="66"/>
        <v>1.3298033198581038E-3</v>
      </c>
      <c r="S92" s="41">
        <f t="shared" si="67"/>
        <v>6.8957505805637177E-3</v>
      </c>
      <c r="T92" s="41">
        <f t="shared" si="68"/>
        <v>5.4520394701610261E-3</v>
      </c>
      <c r="U92" s="41">
        <f t="shared" si="69"/>
        <v>4.2824145350177367E-3</v>
      </c>
      <c r="V92" s="42">
        <f t="shared" si="70"/>
        <v>5.5434015285808274E-3</v>
      </c>
      <c r="W92" s="41">
        <f t="shared" si="71"/>
        <v>7.5578691684594621E-4</v>
      </c>
      <c r="X92" s="41">
        <f t="shared" si="72"/>
        <v>1.183073056246026E-2</v>
      </c>
      <c r="Y92" s="41">
        <f t="shared" si="73"/>
        <v>1.1817624140123708E-2</v>
      </c>
      <c r="Z92" s="41">
        <f t="shared" si="74"/>
        <v>1.1870049829469912E-2</v>
      </c>
      <c r="AA92" s="42">
        <f t="shared" si="75"/>
        <v>1.1839468177351292E-2</v>
      </c>
      <c r="AB92" s="169">
        <f t="shared" si="76"/>
        <v>1.5751959257440142E-5</v>
      </c>
      <c r="AD92" s="3"/>
      <c r="AE92" s="3"/>
      <c r="AF92" s="3"/>
    </row>
    <row r="93" spans="1:32" s="5" customFormat="1" x14ac:dyDescent="0.15">
      <c r="B93" s="46" t="s">
        <v>37</v>
      </c>
      <c r="C93" s="39">
        <v>0.53472222222222221</v>
      </c>
      <c r="D93" s="43">
        <v>312.56666666666666</v>
      </c>
      <c r="E93" s="45">
        <v>14</v>
      </c>
      <c r="F93" s="40">
        <v>2.899</v>
      </c>
      <c r="G93" s="41">
        <v>2.8069999999999999</v>
      </c>
      <c r="H93" s="41">
        <v>2.8780000000000001</v>
      </c>
      <c r="I93" s="41">
        <f t="shared" si="63"/>
        <v>3.6515804000000003</v>
      </c>
      <c r="J93" s="41">
        <f t="shared" si="64"/>
        <v>3.5356972</v>
      </c>
      <c r="K93" s="41">
        <f t="shared" si="65"/>
        <v>3.6251288000000002</v>
      </c>
      <c r="L93" s="42">
        <f t="shared" si="59"/>
        <v>3.604135466666667</v>
      </c>
      <c r="M93" s="49">
        <f t="shared" si="60"/>
        <v>3.5060752244703057E-2</v>
      </c>
      <c r="N93" s="41">
        <f t="shared" si="61"/>
        <v>1.295160060184251</v>
      </c>
      <c r="O93" s="41">
        <f t="shared" si="61"/>
        <v>1.262910507624478</v>
      </c>
      <c r="P93" s="41">
        <f t="shared" si="61"/>
        <v>1.2878898187099086</v>
      </c>
      <c r="Q93" s="42">
        <f t="shared" si="62"/>
        <v>1.2819867955062125</v>
      </c>
      <c r="R93" s="41">
        <f t="shared" si="66"/>
        <v>9.7663140826673763E-3</v>
      </c>
      <c r="S93" s="41">
        <f t="shared" si="67"/>
        <v>2.8105358717315379E-3</v>
      </c>
      <c r="T93" s="41">
        <f t="shared" si="68"/>
        <v>1.5263663951051755E-3</v>
      </c>
      <c r="U93" s="41">
        <f t="shared" si="69"/>
        <v>2.3739083719985683E-3</v>
      </c>
      <c r="V93" s="42">
        <f t="shared" si="70"/>
        <v>2.2369368796117607E-3</v>
      </c>
      <c r="W93" s="41">
        <f t="shared" si="71"/>
        <v>3.7698085869608306E-4</v>
      </c>
      <c r="X93" s="41">
        <f t="shared" si="72"/>
        <v>1.1682564999466781E-2</v>
      </c>
      <c r="Y93" s="41">
        <f t="shared" si="73"/>
        <v>1.1311817852191533E-2</v>
      </c>
      <c r="Z93" s="41">
        <f t="shared" si="74"/>
        <v>1.1597937933240909E-2</v>
      </c>
      <c r="AA93" s="42">
        <f t="shared" si="75"/>
        <v>1.1530773594966409E-2</v>
      </c>
      <c r="AB93" s="169">
        <f t="shared" si="76"/>
        <v>1.1217047748118705E-4</v>
      </c>
      <c r="AD93" s="3"/>
      <c r="AE93" s="3"/>
      <c r="AF93" s="3"/>
    </row>
    <row r="94" spans="1:32" s="5" customFormat="1" x14ac:dyDescent="0.15">
      <c r="B94" s="46" t="s">
        <v>38</v>
      </c>
      <c r="C94" s="39">
        <v>0.52777777777777779</v>
      </c>
      <c r="D94" s="43">
        <v>336.4</v>
      </c>
      <c r="E94" s="45">
        <v>15</v>
      </c>
      <c r="F94" s="40">
        <v>3.04</v>
      </c>
      <c r="G94" s="41">
        <v>2.9220000000000002</v>
      </c>
      <c r="H94" s="41">
        <v>2.9540000000000002</v>
      </c>
      <c r="I94" s="41">
        <f t="shared" si="63"/>
        <v>3.8291840000000001</v>
      </c>
      <c r="J94" s="41">
        <f t="shared" si="64"/>
        <v>3.6805512000000005</v>
      </c>
      <c r="K94" s="41">
        <f t="shared" si="65"/>
        <v>3.7208584000000005</v>
      </c>
      <c r="L94" s="42">
        <f t="shared" si="59"/>
        <v>3.7435312000000001</v>
      </c>
      <c r="M94" s="49">
        <f t="shared" si="60"/>
        <v>4.4378933455112735E-2</v>
      </c>
      <c r="N94" s="41">
        <f t="shared" si="61"/>
        <v>1.3426517256628629</v>
      </c>
      <c r="O94" s="41">
        <f t="shared" si="61"/>
        <v>1.3030625235732405</v>
      </c>
      <c r="P94" s="41">
        <f t="shared" si="61"/>
        <v>1.3139543943539207</v>
      </c>
      <c r="Q94" s="42">
        <f t="shared" si="62"/>
        <v>1.3198895478633415</v>
      </c>
      <c r="R94" s="41">
        <f t="shared" si="66"/>
        <v>1.1807423736905714E-2</v>
      </c>
      <c r="S94" s="41">
        <f t="shared" si="67"/>
        <v>1.9926572928088944E-3</v>
      </c>
      <c r="T94" s="41">
        <f t="shared" si="68"/>
        <v>1.6846999698781481E-3</v>
      </c>
      <c r="U94" s="41">
        <f t="shared" si="69"/>
        <v>1.093618558490019E-3</v>
      </c>
      <c r="V94" s="42">
        <f t="shared" si="70"/>
        <v>1.5903252737256872E-3</v>
      </c>
      <c r="W94" s="41">
        <f t="shared" si="71"/>
        <v>2.6378501278302588E-4</v>
      </c>
      <c r="X94" s="41">
        <f t="shared" si="72"/>
        <v>1.1382829964328182E-2</v>
      </c>
      <c r="Y94" s="41">
        <f t="shared" si="73"/>
        <v>1.0940996432818076E-2</v>
      </c>
      <c r="Z94" s="41">
        <f t="shared" si="74"/>
        <v>1.1060815695600478E-2</v>
      </c>
      <c r="AA94" s="42">
        <f t="shared" si="75"/>
        <v>1.1128214030915578E-2</v>
      </c>
      <c r="AB94" s="169">
        <f t="shared" si="76"/>
        <v>1.3192310777381902E-4</v>
      </c>
      <c r="AD94" s="3"/>
      <c r="AE94" s="3"/>
      <c r="AF94" s="3"/>
    </row>
    <row r="95" spans="1:32" s="5" customFormat="1" x14ac:dyDescent="0.15">
      <c r="B95" s="46" t="s">
        <v>39</v>
      </c>
      <c r="C95" s="39">
        <v>0.51944444444444449</v>
      </c>
      <c r="D95" s="43">
        <v>360.2</v>
      </c>
      <c r="E95" s="45">
        <v>16</v>
      </c>
      <c r="F95" s="40">
        <v>2.9220000000000002</v>
      </c>
      <c r="G95" s="41">
        <v>2.92</v>
      </c>
      <c r="H95" s="41">
        <v>2.9790000000000001</v>
      </c>
      <c r="I95" s="41">
        <f t="shared" si="63"/>
        <v>3.6805512000000005</v>
      </c>
      <c r="J95" s="41">
        <f t="shared" si="64"/>
        <v>3.678032</v>
      </c>
      <c r="K95" s="41">
        <f t="shared" si="65"/>
        <v>3.7523484000000003</v>
      </c>
      <c r="L95" s="42">
        <f t="shared" si="59"/>
        <v>3.7036438666666669</v>
      </c>
      <c r="M95" s="49">
        <f t="shared" si="60"/>
        <v>2.4363122867518003E-2</v>
      </c>
      <c r="N95" s="41">
        <f t="shared" si="61"/>
        <v>1.3030625235732405</v>
      </c>
      <c r="O95" s="41">
        <f t="shared" si="61"/>
        <v>1.3023778265249228</v>
      </c>
      <c r="P95" s="41">
        <f t="shared" si="61"/>
        <v>1.3223818839758779</v>
      </c>
      <c r="Q95" s="42">
        <f t="shared" si="62"/>
        <v>1.3092740780246805</v>
      </c>
      <c r="R95" s="41">
        <f t="shared" si="66"/>
        <v>6.5568827744256512E-3</v>
      </c>
      <c r="S95" s="41">
        <f t="shared" si="67"/>
        <v>-1.6634118525051449E-3</v>
      </c>
      <c r="T95" s="41">
        <f t="shared" si="68"/>
        <v>-2.8768783542757952E-5</v>
      </c>
      <c r="U95" s="41">
        <f t="shared" si="69"/>
        <v>3.5409620260324194E-4</v>
      </c>
      <c r="V95" s="42">
        <f t="shared" si="70"/>
        <v>-4.4602814448155368E-4</v>
      </c>
      <c r="W95" s="41">
        <f t="shared" si="71"/>
        <v>6.1864467960887298E-4</v>
      </c>
      <c r="X95" s="41">
        <f t="shared" si="72"/>
        <v>1.0218076624097724E-2</v>
      </c>
      <c r="Y95" s="41">
        <f t="shared" si="73"/>
        <v>1.0211082731815658E-2</v>
      </c>
      <c r="Z95" s="41">
        <f t="shared" si="74"/>
        <v>1.0417402554136592E-2</v>
      </c>
      <c r="AA95" s="42">
        <f t="shared" si="75"/>
        <v>1.0282187303349991E-2</v>
      </c>
      <c r="AB95" s="169">
        <f t="shared" si="76"/>
        <v>6.7637764762681923E-5</v>
      </c>
      <c r="AD95" s="3"/>
      <c r="AE95" s="180"/>
      <c r="AF95" s="3"/>
    </row>
    <row r="96" spans="1:32" s="5" customFormat="1" x14ac:dyDescent="0.15">
      <c r="B96" s="46" t="s">
        <v>120</v>
      </c>
      <c r="C96" s="39">
        <v>0.51597222222222217</v>
      </c>
      <c r="D96" s="43">
        <v>384.11666666666667</v>
      </c>
      <c r="E96" s="45">
        <v>17</v>
      </c>
      <c r="F96" s="40">
        <v>3.0070000000000001</v>
      </c>
      <c r="G96" s="41">
        <v>3.0190000000000001</v>
      </c>
      <c r="H96" s="41">
        <v>3.0169999999999999</v>
      </c>
      <c r="I96" s="41">
        <f t="shared" si="63"/>
        <v>3.7876172000000001</v>
      </c>
      <c r="J96" s="41">
        <f t="shared" si="64"/>
        <v>3.8027324000000005</v>
      </c>
      <c r="K96" s="41">
        <f t="shared" si="65"/>
        <v>3.8002132</v>
      </c>
      <c r="L96" s="42">
        <f t="shared" si="59"/>
        <v>3.7968542666666671</v>
      </c>
      <c r="M96" s="49">
        <f t="shared" si="60"/>
        <v>4.6754373276138459E-3</v>
      </c>
      <c r="N96" s="41">
        <f t="shared" si="61"/>
        <v>1.3317371142511245</v>
      </c>
      <c r="O96" s="41">
        <f t="shared" si="61"/>
        <v>1.3357198609694343</v>
      </c>
      <c r="P96" s="41">
        <f t="shared" si="61"/>
        <v>1.3350571704216565</v>
      </c>
      <c r="Q96" s="42">
        <f t="shared" si="62"/>
        <v>1.3341713818807384</v>
      </c>
      <c r="R96" s="41">
        <f t="shared" si="66"/>
        <v>1.2320760068502477E-3</v>
      </c>
      <c r="S96" s="41">
        <f t="shared" si="67"/>
        <v>1.1989375893191917E-3</v>
      </c>
      <c r="T96" s="41">
        <f t="shared" si="68"/>
        <v>1.3940920325231257E-3</v>
      </c>
      <c r="U96" s="41">
        <f t="shared" si="69"/>
        <v>5.2997713362140631E-4</v>
      </c>
      <c r="V96" s="42">
        <f t="shared" si="70"/>
        <v>1.0410022518212412E-3</v>
      </c>
      <c r="W96" s="41">
        <f t="shared" si="71"/>
        <v>2.6164945872224148E-4</v>
      </c>
      <c r="X96" s="41">
        <f t="shared" si="72"/>
        <v>9.8605906191695236E-3</v>
      </c>
      <c r="Y96" s="41">
        <f t="shared" si="73"/>
        <v>9.8999411637089429E-3</v>
      </c>
      <c r="Z96" s="41">
        <f t="shared" si="74"/>
        <v>9.8933827396190388E-3</v>
      </c>
      <c r="AA96" s="42">
        <f t="shared" si="75"/>
        <v>9.8846381741658357E-3</v>
      </c>
      <c r="AB96" s="169">
        <f t="shared" si="76"/>
        <v>1.2171919974696235E-5</v>
      </c>
      <c r="AD96" s="3"/>
      <c r="AE96" s="180"/>
      <c r="AF96" s="3"/>
    </row>
    <row r="97" spans="1:32" s="5" customFormat="1" ht="15" thickBot="1" x14ac:dyDescent="0.2">
      <c r="A97" s="53"/>
      <c r="B97" s="50" t="s">
        <v>121</v>
      </c>
      <c r="C97" s="51">
        <v>0.53888888888888886</v>
      </c>
      <c r="D97" s="52">
        <v>408.66666666666669</v>
      </c>
      <c r="E97" s="53">
        <v>18</v>
      </c>
      <c r="F97" s="54">
        <v>3.01</v>
      </c>
      <c r="G97" s="47">
        <v>3.0230000000000001</v>
      </c>
      <c r="H97" s="47">
        <v>3.0169999999999999</v>
      </c>
      <c r="I97" s="47">
        <f t="shared" si="63"/>
        <v>3.7913959999999998</v>
      </c>
      <c r="J97" s="47">
        <f t="shared" si="64"/>
        <v>3.8077708000000001</v>
      </c>
      <c r="K97" s="47">
        <f t="shared" si="65"/>
        <v>3.8002132</v>
      </c>
      <c r="L97" s="48">
        <f t="shared" si="59"/>
        <v>3.7997933333333336</v>
      </c>
      <c r="M97" s="55">
        <f t="shared" si="60"/>
        <v>4.7316570308697089E-3</v>
      </c>
      <c r="N97" s="47">
        <f t="shared" si="61"/>
        <v>1.3327342890055169</v>
      </c>
      <c r="O97" s="47">
        <f t="shared" si="61"/>
        <v>1.3370439260420535</v>
      </c>
      <c r="P97" s="47">
        <f t="shared" si="61"/>
        <v>1.3350571704216565</v>
      </c>
      <c r="Q97" s="48">
        <f t="shared" si="62"/>
        <v>1.3349451284897424</v>
      </c>
      <c r="R97" s="47">
        <f t="shared" si="66"/>
        <v>1.2453457207474744E-3</v>
      </c>
      <c r="S97" s="47">
        <f t="shared" si="67"/>
        <v>4.0618116268530614E-5</v>
      </c>
      <c r="T97" s="47">
        <f t="shared" si="68"/>
        <v>5.3933404180007056E-5</v>
      </c>
      <c r="U97" s="47">
        <f t="shared" si="69"/>
        <v>0</v>
      </c>
      <c r="V97" s="48">
        <f t="shared" si="70"/>
        <v>3.151717348284589E-5</v>
      </c>
      <c r="W97" s="47">
        <f t="shared" si="71"/>
        <v>1.6220597926733269E-5</v>
      </c>
      <c r="X97" s="47">
        <f t="shared" si="72"/>
        <v>9.2774779771615003E-3</v>
      </c>
      <c r="Y97" s="47">
        <f t="shared" si="73"/>
        <v>9.3175468189233279E-3</v>
      </c>
      <c r="Z97" s="47">
        <f t="shared" si="74"/>
        <v>9.2990535073409451E-3</v>
      </c>
      <c r="AA97" s="48">
        <f t="shared" si="75"/>
        <v>9.2980261011419239E-3</v>
      </c>
      <c r="AB97" s="174">
        <f t="shared" si="76"/>
        <v>1.1578279847152536E-5</v>
      </c>
      <c r="AD97" s="3"/>
      <c r="AE97" s="180"/>
      <c r="AF97" s="3"/>
    </row>
    <row r="98" spans="1:32" s="5" customFormat="1" ht="13" x14ac:dyDescent="0.15"/>
  </sheetData>
  <mergeCells count="61">
    <mergeCell ref="B82:B84"/>
    <mergeCell ref="E78:E81"/>
    <mergeCell ref="E82:E84"/>
    <mergeCell ref="B5:B8"/>
    <mergeCell ref="B9:B11"/>
    <mergeCell ref="E5:E8"/>
    <mergeCell ref="E9:E11"/>
    <mergeCell ref="B29:B32"/>
    <mergeCell ref="B33:B35"/>
    <mergeCell ref="E29:E32"/>
    <mergeCell ref="E33:E35"/>
    <mergeCell ref="B58:B60"/>
    <mergeCell ref="E58:E60"/>
    <mergeCell ref="B75:AB75"/>
    <mergeCell ref="F76:H76"/>
    <mergeCell ref="I76:K76"/>
    <mergeCell ref="N76:P76"/>
    <mergeCell ref="S76:U76"/>
    <mergeCell ref="X76:Z76"/>
    <mergeCell ref="B78:B81"/>
    <mergeCell ref="F53:H53"/>
    <mergeCell ref="I53:K53"/>
    <mergeCell ref="N53:P53"/>
    <mergeCell ref="S53:U53"/>
    <mergeCell ref="X53:Z53"/>
    <mergeCell ref="B54:B57"/>
    <mergeCell ref="E54:E57"/>
    <mergeCell ref="F77:H77"/>
    <mergeCell ref="I77:K77"/>
    <mergeCell ref="N77:P77"/>
    <mergeCell ref="S77:U77"/>
    <mergeCell ref="X77:Z77"/>
    <mergeCell ref="B51:AB51"/>
    <mergeCell ref="F52:H52"/>
    <mergeCell ref="I52:K52"/>
    <mergeCell ref="N52:P52"/>
    <mergeCell ref="S52:U52"/>
    <mergeCell ref="X52:Z52"/>
    <mergeCell ref="F28:H28"/>
    <mergeCell ref="I28:K28"/>
    <mergeCell ref="N28:P28"/>
    <mergeCell ref="S28:U28"/>
    <mergeCell ref="X28:Z28"/>
    <mergeCell ref="B26:AB26"/>
    <mergeCell ref="F27:H27"/>
    <mergeCell ref="I27:K27"/>
    <mergeCell ref="N27:P27"/>
    <mergeCell ref="S27:U27"/>
    <mergeCell ref="X27:Z27"/>
    <mergeCell ref="F4:H4"/>
    <mergeCell ref="I4:K4"/>
    <mergeCell ref="N4:P4"/>
    <mergeCell ref="S4:U4"/>
    <mergeCell ref="X4:Z4"/>
    <mergeCell ref="A1:AB1"/>
    <mergeCell ref="B2:AB2"/>
    <mergeCell ref="F3:H3"/>
    <mergeCell ref="I3:K3"/>
    <mergeCell ref="N3:P3"/>
    <mergeCell ref="S3:U3"/>
    <mergeCell ref="X3:Z3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BF40F-18C5-D948-A41B-2121E76716A8}">
  <dimension ref="A1:AH196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85.6640625" style="56" customWidth="1"/>
    <col min="2" max="2" width="10.1640625" style="56" bestFit="1" customWidth="1"/>
    <col min="3" max="3" width="8.5" style="56" customWidth="1"/>
    <col min="4" max="4" width="9.33203125" style="56" customWidth="1"/>
    <col min="5" max="5" width="9.6640625" style="56" customWidth="1"/>
    <col min="6" max="7" width="10" style="56" bestFit="1" customWidth="1"/>
    <col min="8" max="11" width="9.1640625" style="56" bestFit="1" customWidth="1"/>
    <col min="12" max="12" width="8.6640625" style="56" customWidth="1"/>
    <col min="13" max="13" width="8.5" style="56" customWidth="1"/>
    <col min="14" max="14" width="7.6640625" style="56" bestFit="1" customWidth="1"/>
    <col min="15" max="15" width="9.1640625" style="56"/>
    <col min="16" max="16" width="11.6640625" style="56" bestFit="1" customWidth="1"/>
    <col min="17" max="17" width="9.1640625" style="56" bestFit="1" customWidth="1"/>
    <col min="18" max="18" width="11.6640625" style="56" bestFit="1" customWidth="1"/>
    <col min="19" max="19" width="9.1640625" style="56"/>
    <col min="20" max="21" width="9.5" style="56" bestFit="1" customWidth="1"/>
    <col min="22" max="23" width="9" style="56" bestFit="1" customWidth="1"/>
    <col min="24" max="25" width="8.33203125" style="56" bestFit="1" customWidth="1"/>
    <col min="26" max="27" width="10.5" style="56" bestFit="1" customWidth="1"/>
    <col min="28" max="28" width="8.33203125" style="56" bestFit="1" customWidth="1"/>
    <col min="29" max="30" width="9.1640625" style="56"/>
    <col min="31" max="31" width="11.83203125" style="56" customWidth="1"/>
    <col min="32" max="16384" width="9.1640625" style="56"/>
  </cols>
  <sheetData>
    <row r="1" spans="1:34" ht="17" thickBot="1" x14ac:dyDescent="0.25">
      <c r="A1" s="227" t="s">
        <v>89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9"/>
    </row>
    <row r="2" spans="1:34" ht="15" thickBot="1" x14ac:dyDescent="0.25">
      <c r="A2" s="57"/>
      <c r="B2" s="230" t="s">
        <v>70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2"/>
    </row>
    <row r="3" spans="1:34" ht="47" customHeight="1" x14ac:dyDescent="0.2">
      <c r="A3" s="58"/>
      <c r="B3" s="59" t="s">
        <v>0</v>
      </c>
      <c r="C3" s="60" t="s">
        <v>1</v>
      </c>
      <c r="D3" s="61" t="s">
        <v>2</v>
      </c>
      <c r="E3" s="62"/>
      <c r="F3" s="60" t="s">
        <v>8</v>
      </c>
      <c r="G3" s="60" t="s">
        <v>9</v>
      </c>
      <c r="H3" s="233" t="s">
        <v>90</v>
      </c>
      <c r="I3" s="234"/>
      <c r="J3" s="235" t="s">
        <v>91</v>
      </c>
      <c r="K3" s="236"/>
      <c r="L3" s="237" t="s">
        <v>92</v>
      </c>
      <c r="M3" s="238"/>
      <c r="N3" s="63" t="s">
        <v>93</v>
      </c>
      <c r="O3" s="64" t="s">
        <v>94</v>
      </c>
      <c r="P3" s="63" t="s">
        <v>10</v>
      </c>
      <c r="Q3" s="63" t="s">
        <v>11</v>
      </c>
      <c r="R3" s="63" t="s">
        <v>95</v>
      </c>
      <c r="S3" s="63" t="s">
        <v>96</v>
      </c>
      <c r="T3" s="63" t="s">
        <v>97</v>
      </c>
      <c r="U3" s="65" t="s">
        <v>62</v>
      </c>
      <c r="V3" s="64" t="s">
        <v>98</v>
      </c>
      <c r="W3" s="63" t="s">
        <v>99</v>
      </c>
      <c r="X3" s="63" t="s">
        <v>97</v>
      </c>
      <c r="Y3" s="66" t="s">
        <v>62</v>
      </c>
      <c r="Z3" s="66" t="s">
        <v>100</v>
      </c>
      <c r="AA3" s="63" t="s">
        <v>101</v>
      </c>
      <c r="AB3" s="67" t="s">
        <v>62</v>
      </c>
    </row>
    <row r="4" spans="1:34" ht="37" customHeight="1" x14ac:dyDescent="0.2">
      <c r="A4" s="58"/>
      <c r="B4" s="68"/>
      <c r="C4" s="69"/>
      <c r="D4" s="70"/>
      <c r="E4" s="71"/>
      <c r="F4" s="69" t="s">
        <v>13</v>
      </c>
      <c r="G4" s="69" t="s">
        <v>13</v>
      </c>
      <c r="H4" s="72" t="s">
        <v>102</v>
      </c>
      <c r="I4" s="69" t="s">
        <v>103</v>
      </c>
      <c r="J4" s="70" t="s">
        <v>102</v>
      </c>
      <c r="K4" s="73" t="s">
        <v>103</v>
      </c>
      <c r="L4" s="225" t="s">
        <v>14</v>
      </c>
      <c r="M4" s="226"/>
      <c r="N4" s="74" t="s">
        <v>14</v>
      </c>
      <c r="O4" s="74" t="s">
        <v>13</v>
      </c>
      <c r="P4" s="74" t="s">
        <v>15</v>
      </c>
      <c r="Q4" s="74" t="s">
        <v>16</v>
      </c>
      <c r="R4" s="75" t="s">
        <v>104</v>
      </c>
      <c r="S4" s="75" t="s">
        <v>104</v>
      </c>
      <c r="T4" s="74"/>
      <c r="U4" s="70"/>
      <c r="V4" s="75" t="s">
        <v>105</v>
      </c>
      <c r="W4" s="75" t="s">
        <v>105</v>
      </c>
      <c r="X4" s="74"/>
      <c r="Y4" s="74"/>
      <c r="Z4" s="75" t="s">
        <v>106</v>
      </c>
      <c r="AA4" s="75" t="s">
        <v>106</v>
      </c>
      <c r="AB4" s="76"/>
      <c r="AD4" s="56" t="s">
        <v>2</v>
      </c>
      <c r="AE4" s="77" t="str">
        <f>S3</f>
        <v>Average specific CPC conc.</v>
      </c>
      <c r="AF4" s="56" t="s">
        <v>12</v>
      </c>
      <c r="AG4" s="77" t="str">
        <f>W3</f>
        <v>Average total CPC</v>
      </c>
      <c r="AH4" s="56" t="s">
        <v>12</v>
      </c>
    </row>
    <row r="5" spans="1:34" x14ac:dyDescent="0.2">
      <c r="A5" s="58"/>
      <c r="B5" s="58" t="s">
        <v>23</v>
      </c>
      <c r="C5" s="78">
        <v>0.48333333333333334</v>
      </c>
      <c r="D5" s="148">
        <v>0</v>
      </c>
      <c r="E5" s="80" t="s">
        <v>107</v>
      </c>
      <c r="F5" s="82">
        <f>(0.0345+0.0356)/2</f>
        <v>3.5049999999999998E-2</v>
      </c>
      <c r="G5" s="82">
        <f>(0.0344+0.0347)/2</f>
        <v>3.4549999999999997E-2</v>
      </c>
      <c r="H5" s="81">
        <f>0.149-F5</f>
        <v>0.11395</v>
      </c>
      <c r="I5" s="82">
        <f>0.1475-F5</f>
        <v>0.11244999999999999</v>
      </c>
      <c r="J5" s="82">
        <f>0.1042-G5</f>
        <v>6.9650000000000004E-2</v>
      </c>
      <c r="K5" s="82">
        <f>0.1012-G5</f>
        <v>6.6650000000000001E-2</v>
      </c>
      <c r="L5" s="82">
        <f>(H5-(0.605*J5))/6.17</f>
        <v>1.1638857374392219E-2</v>
      </c>
      <c r="M5" s="82">
        <f>(I5-(0.605*K5))/6.17</f>
        <v>1.1689910858995137E-2</v>
      </c>
      <c r="N5" s="82">
        <f>AVERAGE(L5:M5)</f>
        <v>1.1664384116693679E-2</v>
      </c>
      <c r="O5" s="82">
        <f>'Growth curves CeBER'!F5</f>
        <v>9.7000000000000003E-2</v>
      </c>
      <c r="P5" s="82">
        <f>1.2334*O5</f>
        <v>0.1196398</v>
      </c>
      <c r="Q5" s="83">
        <f>P5*1/1000</f>
        <v>1.196398E-4</v>
      </c>
      <c r="R5" s="84">
        <f>(N5*0.5)/Q5</f>
        <v>48.747925509294063</v>
      </c>
      <c r="S5" s="85"/>
      <c r="V5" s="86">
        <f>R5*P5</f>
        <v>5.8321920583468403</v>
      </c>
      <c r="W5" s="85"/>
      <c r="AA5" s="85"/>
      <c r="AB5" s="79"/>
      <c r="AD5" s="87">
        <f>D8</f>
        <v>22.516666666666666</v>
      </c>
      <c r="AE5" s="86">
        <f>S10</f>
        <v>21.961937793009131</v>
      </c>
      <c r="AF5" s="86">
        <f>U10</f>
        <v>1.5697867774858496</v>
      </c>
      <c r="AG5" s="86">
        <f>W10</f>
        <v>6.3056523500810373</v>
      </c>
      <c r="AH5" s="86">
        <f>Y10</f>
        <v>0.42581337162469107</v>
      </c>
    </row>
    <row r="6" spans="1:34" ht="15" customHeight="1" x14ac:dyDescent="0.2">
      <c r="A6" s="58"/>
      <c r="B6" s="58"/>
      <c r="D6" s="148"/>
      <c r="E6" s="80" t="s">
        <v>108</v>
      </c>
      <c r="H6" s="81">
        <f>0.1355-F5</f>
        <v>0.10045000000000001</v>
      </c>
      <c r="I6" s="82">
        <f>0.1429-F5</f>
        <v>0.10785</v>
      </c>
      <c r="J6" s="82">
        <f>0.0955-G5</f>
        <v>6.0950000000000004E-2</v>
      </c>
      <c r="K6" s="82">
        <f>0.1003-G5</f>
        <v>6.5750000000000003E-2</v>
      </c>
      <c r="L6" s="82">
        <f t="shared" ref="L6:L49" si="0">(H6-(0.605*J6))/6.17</f>
        <v>1.0303930307941652E-2</v>
      </c>
      <c r="M6" s="82">
        <f t="shared" ref="M6:M49" si="1">(I6-(0.605*K6))/6.17</f>
        <v>1.1032617504051864E-2</v>
      </c>
      <c r="N6" s="82">
        <f t="shared" ref="N6:N49" si="2">AVERAGE(L6:M6)</f>
        <v>1.0668273905996759E-2</v>
      </c>
      <c r="O6" s="82">
        <f>'Growth curves CeBER'!G5</f>
        <v>0.104</v>
      </c>
      <c r="P6" s="82">
        <f t="shared" ref="P6:P49" si="3">1.2334*O6</f>
        <v>0.12827359999999999</v>
      </c>
      <c r="Q6" s="83">
        <f>P6*1/1000</f>
        <v>1.282736E-4</v>
      </c>
      <c r="R6" s="84">
        <f t="shared" ref="R6:R49" si="4">(N6*0.5)/Q6</f>
        <v>41.584059019146416</v>
      </c>
      <c r="S6" s="85"/>
      <c r="V6" s="86">
        <f t="shared" ref="V6:V49" si="5">R6*P6</f>
        <v>5.3341369529983789</v>
      </c>
      <c r="W6" s="85"/>
      <c r="AA6" s="85"/>
      <c r="AB6" s="79"/>
      <c r="AD6" s="87">
        <f>D11</f>
        <v>70.783333333333331</v>
      </c>
      <c r="AE6" s="86">
        <f>S13</f>
        <v>28.258584222517381</v>
      </c>
      <c r="AF6" s="86">
        <f>U13</f>
        <v>1.155208727393416</v>
      </c>
      <c r="AG6" s="86">
        <f>W13</f>
        <v>19.816437061048084</v>
      </c>
      <c r="AH6" s="86">
        <f>Y13</f>
        <v>0.62102695204752312</v>
      </c>
    </row>
    <row r="7" spans="1:34" ht="15" customHeight="1" x14ac:dyDescent="0.2">
      <c r="A7" s="58"/>
      <c r="B7" s="88"/>
      <c r="C7" s="97"/>
      <c r="D7" s="149"/>
      <c r="E7" s="90" t="s">
        <v>109</v>
      </c>
      <c r="F7" s="88"/>
      <c r="G7" s="89"/>
      <c r="H7" s="91">
        <f>0.1319-F5</f>
        <v>9.6849999999999992E-2</v>
      </c>
      <c r="I7" s="92">
        <f>0.138-F5</f>
        <v>0.10295000000000001</v>
      </c>
      <c r="J7" s="92">
        <f>0.0937-G5</f>
        <v>5.9150000000000008E-2</v>
      </c>
      <c r="K7" s="92">
        <f>0.0996-G5</f>
        <v>6.5049999999999997E-2</v>
      </c>
      <c r="L7" s="82">
        <f t="shared" si="0"/>
        <v>9.896961102106968E-3</v>
      </c>
      <c r="M7" s="82">
        <f t="shared" si="1"/>
        <v>1.0307090761750409E-2</v>
      </c>
      <c r="N7" s="92">
        <f t="shared" si="2"/>
        <v>1.0102025931928688E-2</v>
      </c>
      <c r="O7" s="92">
        <f>'Growth curves CeBER'!H5</f>
        <v>9.7000000000000003E-2</v>
      </c>
      <c r="P7" s="92">
        <f t="shared" si="3"/>
        <v>0.1196398</v>
      </c>
      <c r="Q7" s="93">
        <f>P7*1/1000</f>
        <v>1.196398E-4</v>
      </c>
      <c r="R7" s="94">
        <f t="shared" si="4"/>
        <v>42.218500582284022</v>
      </c>
      <c r="S7" s="95">
        <f>AVERAGE(R5:R7)</f>
        <v>44.183495036908162</v>
      </c>
      <c r="T7" s="96">
        <f>STDEV(R5:R7)</f>
        <v>3.9656207808100894</v>
      </c>
      <c r="U7" s="96">
        <f>T7/SQRT(3)</f>
        <v>2.2895522253046789</v>
      </c>
      <c r="V7" s="96">
        <f t="shared" si="5"/>
        <v>5.0510129659643441</v>
      </c>
      <c r="W7" s="95">
        <f>AVERAGE(V5:V7)</f>
        <v>5.4057806591031872</v>
      </c>
      <c r="X7" s="96">
        <f>STDEV(V5:V7)</f>
        <v>0.39548680011121651</v>
      </c>
      <c r="Y7" s="96">
        <f>X7/SQRT(3)</f>
        <v>0.22833441050515457</v>
      </c>
      <c r="Z7" s="97"/>
      <c r="AA7" s="98"/>
      <c r="AB7" s="89"/>
      <c r="AD7" s="87">
        <f>D14</f>
        <v>94.933333333333337</v>
      </c>
      <c r="AE7" s="86">
        <f>S16</f>
        <v>39.901898957132907</v>
      </c>
      <c r="AF7" s="86">
        <f>U16</f>
        <v>1.0151508267707705</v>
      </c>
      <c r="AG7" s="86">
        <f>W16</f>
        <v>36.106402339276066</v>
      </c>
      <c r="AH7" s="86">
        <f>Y16</f>
        <v>0.79651164481139047</v>
      </c>
    </row>
    <row r="8" spans="1:34" x14ac:dyDescent="0.2">
      <c r="A8" s="58"/>
      <c r="B8" s="58" t="s">
        <v>24</v>
      </c>
      <c r="C8" s="78">
        <v>0.42152777777777778</v>
      </c>
      <c r="D8" s="148">
        <f>10+31/60+12</f>
        <v>22.516666666666666</v>
      </c>
      <c r="E8" s="80" t="s">
        <v>107</v>
      </c>
      <c r="F8" s="82">
        <f>(0.0391+0.0385)/2</f>
        <v>3.8800000000000001E-2</v>
      </c>
      <c r="G8" s="82">
        <f>(0.0387+0.0381)/2</f>
        <v>3.8400000000000004E-2</v>
      </c>
      <c r="H8" s="81">
        <f>0.1576-F8</f>
        <v>0.11879999999999999</v>
      </c>
      <c r="I8" s="82">
        <f>0.1542-F8</f>
        <v>0.1154</v>
      </c>
      <c r="J8" s="82">
        <f>0.1097-G8</f>
        <v>7.1300000000000002E-2</v>
      </c>
      <c r="K8" s="82">
        <f>0.1049-G8</f>
        <v>6.649999999999999E-2</v>
      </c>
      <c r="L8" s="82">
        <f t="shared" si="0"/>
        <v>1.2263128038897892E-2</v>
      </c>
      <c r="M8" s="82">
        <f t="shared" si="1"/>
        <v>1.2182739059967588E-2</v>
      </c>
      <c r="N8" s="82">
        <f t="shared" si="2"/>
        <v>1.2222933549432741E-2</v>
      </c>
      <c r="O8" s="82">
        <f>'Growth curves CeBER'!F9</f>
        <v>0.24299999999999999</v>
      </c>
      <c r="P8" s="82">
        <f t="shared" si="3"/>
        <v>0.29971619999999999</v>
      </c>
      <c r="Q8" s="83">
        <f>P8*1/1000</f>
        <v>2.9971619999999996E-4</v>
      </c>
      <c r="R8" s="84">
        <f t="shared" si="4"/>
        <v>20.390845655711541</v>
      </c>
      <c r="S8" s="102"/>
      <c r="T8" s="86"/>
      <c r="U8" s="86"/>
      <c r="V8" s="86">
        <f t="shared" si="5"/>
        <v>6.1114667747163711</v>
      </c>
      <c r="W8" s="102"/>
      <c r="X8" s="86"/>
      <c r="Y8" s="86"/>
      <c r="Z8" s="86">
        <f>(V8-$V$5)/(D8-$D$5)</f>
        <v>1.2403022192577239E-2</v>
      </c>
      <c r="AA8" s="102"/>
      <c r="AB8" s="79"/>
      <c r="AD8" s="87">
        <f>D17</f>
        <v>120.41666666666667</v>
      </c>
      <c r="AE8" s="86">
        <f>S19</f>
        <v>44.352903574149593</v>
      </c>
      <c r="AF8" s="86">
        <f>U19</f>
        <v>3.0057457431534997</v>
      </c>
      <c r="AG8" s="86">
        <f>W19</f>
        <v>56.751459340896815</v>
      </c>
      <c r="AH8" s="86">
        <f>Y19</f>
        <v>3.2579199107336745</v>
      </c>
    </row>
    <row r="9" spans="1:34" x14ac:dyDescent="0.2">
      <c r="A9" s="58"/>
      <c r="B9" s="58"/>
      <c r="D9" s="148"/>
      <c r="E9" s="80" t="s">
        <v>108</v>
      </c>
      <c r="F9" s="156"/>
      <c r="G9" s="156"/>
      <c r="H9" s="81">
        <f>0.142-F8</f>
        <v>0.10319999999999999</v>
      </c>
      <c r="I9" s="82">
        <f>0.1537-F8</f>
        <v>0.1149</v>
      </c>
      <c r="J9" s="82">
        <f>0.0956-G8</f>
        <v>5.7200000000000001E-2</v>
      </c>
      <c r="K9" s="82">
        <f>0.1098-G8</f>
        <v>7.1399999999999991E-2</v>
      </c>
      <c r="L9" s="82">
        <f t="shared" si="0"/>
        <v>1.1117341977309561E-2</v>
      </c>
      <c r="M9" s="82">
        <f t="shared" si="1"/>
        <v>1.1621231766612644E-2</v>
      </c>
      <c r="N9" s="82">
        <f t="shared" si="2"/>
        <v>1.1369286871961103E-2</v>
      </c>
      <c r="O9" s="82">
        <f>'Growth curves CeBER'!G9</f>
        <v>0.22600000000000001</v>
      </c>
      <c r="P9" s="82">
        <f t="shared" si="3"/>
        <v>0.27874840000000001</v>
      </c>
      <c r="Q9" s="83">
        <f>P9*1/1000</f>
        <v>2.7874840000000002E-4</v>
      </c>
      <c r="R9" s="84">
        <f t="shared" si="4"/>
        <v>20.393456737260379</v>
      </c>
      <c r="S9" s="85"/>
      <c r="T9" s="86"/>
      <c r="U9" s="86"/>
      <c r="V9" s="86">
        <f t="shared" si="5"/>
        <v>5.6846434359805516</v>
      </c>
      <c r="W9" s="102"/>
      <c r="X9" s="86"/>
      <c r="Y9" s="86"/>
      <c r="Z9" s="86">
        <f>(V9-$V$6)/(D8-$D$5)</f>
        <v>1.5566535143545789E-2</v>
      </c>
      <c r="AA9" s="102"/>
      <c r="AB9" s="79"/>
      <c r="AD9" s="87">
        <f>D20</f>
        <v>144.66666666666669</v>
      </c>
      <c r="AE9" s="86">
        <f>S22</f>
        <v>46.433578827933637</v>
      </c>
      <c r="AF9" s="86">
        <f>U22</f>
        <v>2.0272838772455626</v>
      </c>
      <c r="AG9" s="86">
        <f>W22</f>
        <v>71.311209935170169</v>
      </c>
      <c r="AH9" s="86">
        <f>Y22</f>
        <v>2.5737866578717141</v>
      </c>
    </row>
    <row r="10" spans="1:34" x14ac:dyDescent="0.2">
      <c r="A10" s="58"/>
      <c r="B10" s="58"/>
      <c r="D10" s="148"/>
      <c r="E10" s="90" t="s">
        <v>109</v>
      </c>
      <c r="F10" s="156"/>
      <c r="G10" s="156"/>
      <c r="H10" s="81">
        <f>0.1857-F8</f>
        <v>0.1469</v>
      </c>
      <c r="I10" s="82">
        <f>0.1835-F8</f>
        <v>0.1447</v>
      </c>
      <c r="J10" s="82">
        <f>0.1348-G8</f>
        <v>9.64E-2</v>
      </c>
      <c r="K10" s="82">
        <f>0.1335-G8</f>
        <v>9.5100000000000004E-2</v>
      </c>
      <c r="L10" s="82">
        <f t="shared" si="0"/>
        <v>1.4356239870340357E-2</v>
      </c>
      <c r="M10" s="82">
        <f t="shared" si="1"/>
        <v>1.4127147487844407E-2</v>
      </c>
      <c r="N10" s="92">
        <f t="shared" si="2"/>
        <v>1.4241693679092383E-2</v>
      </c>
      <c r="O10" s="92">
        <f>'Growth curves CeBER'!H9</f>
        <v>0.23</v>
      </c>
      <c r="P10" s="92">
        <f t="shared" si="3"/>
        <v>0.28368200000000005</v>
      </c>
      <c r="Q10" s="93">
        <f t="shared" ref="Q10" si="6">P10*1/1000</f>
        <v>2.8368200000000005E-4</v>
      </c>
      <c r="R10" s="94">
        <f t="shared" si="4"/>
        <v>25.101510986055477</v>
      </c>
      <c r="S10" s="95">
        <f>AVERAGE(R8:R10)</f>
        <v>21.961937793009131</v>
      </c>
      <c r="T10" s="96">
        <f>STDEV(R8:R10)</f>
        <v>2.7189504556553112</v>
      </c>
      <c r="U10" s="96">
        <f>T10/SQRT(3)</f>
        <v>1.5697867774858496</v>
      </c>
      <c r="V10" s="96">
        <f t="shared" si="5"/>
        <v>7.120846839546191</v>
      </c>
      <c r="W10" s="95">
        <f>AVERAGE(V8:V10)</f>
        <v>6.3056523500810373</v>
      </c>
      <c r="X10" s="96">
        <f>STDEV(V8:V10)</f>
        <v>0.73753039419617261</v>
      </c>
      <c r="Y10" s="96">
        <f>X10/SQRT(3)</f>
        <v>0.42581337162469107</v>
      </c>
      <c r="Z10" s="96">
        <f>(V10-$V$7)/(D8-$D$5)</f>
        <v>9.1924524363368482E-2</v>
      </c>
      <c r="AA10" s="95">
        <f>AVERAGE(Z8:Z10)</f>
        <v>3.9964693899830504E-2</v>
      </c>
      <c r="AB10" s="103">
        <f>STDEV(Z8:Z10)/SQRT(3)</f>
        <v>2.599596083944224E-2</v>
      </c>
      <c r="AD10" s="87">
        <f>D23</f>
        <v>166.70000000000002</v>
      </c>
      <c r="AE10" s="86">
        <f>S25</f>
        <v>47.72461289680615</v>
      </c>
      <c r="AF10" s="86">
        <f>U25</f>
        <v>3.4421829168819214</v>
      </c>
      <c r="AG10" s="86">
        <f>W25</f>
        <v>86.983352728254999</v>
      </c>
      <c r="AH10" s="86">
        <f>Y25</f>
        <v>6.1927319277129387</v>
      </c>
    </row>
    <row r="11" spans="1:34" x14ac:dyDescent="0.2">
      <c r="A11" s="58"/>
      <c r="B11" s="99" t="s">
        <v>26</v>
      </c>
      <c r="C11" s="100">
        <v>0.43263888888888885</v>
      </c>
      <c r="D11" s="147">
        <f>16/60+48+D8</f>
        <v>70.783333333333331</v>
      </c>
      <c r="E11" s="80" t="s">
        <v>107</v>
      </c>
      <c r="F11" s="104">
        <v>3.3399999999999999E-2</v>
      </c>
      <c r="G11" s="139">
        <v>3.3300000000000003E-2</v>
      </c>
      <c r="H11" s="104">
        <f>0.2212-F11</f>
        <v>0.18780000000000002</v>
      </c>
      <c r="I11" s="105">
        <f>0.2244-F11</f>
        <v>0.191</v>
      </c>
      <c r="J11" s="105">
        <f>0.1538-G11</f>
        <v>0.1205</v>
      </c>
      <c r="K11" s="105">
        <f>0.1577-G11</f>
        <v>0.12440000000000001</v>
      </c>
      <c r="L11" s="82">
        <f t="shared" si="0"/>
        <v>1.8621961102106975E-2</v>
      </c>
      <c r="M11" s="82">
        <f t="shared" si="1"/>
        <v>1.8758184764991897E-2</v>
      </c>
      <c r="N11" s="105">
        <f t="shared" si="2"/>
        <v>1.8690072933549434E-2</v>
      </c>
      <c r="O11" s="105">
        <f>'Growth curves CeBER'!F13</f>
        <v>0.57799999999999996</v>
      </c>
      <c r="P11" s="105">
        <f t="shared" si="3"/>
        <v>0.71290520000000002</v>
      </c>
      <c r="Q11" s="106">
        <f>P11*0.5/1000</f>
        <v>3.5645259999999998E-4</v>
      </c>
      <c r="R11" s="107">
        <f t="shared" si="4"/>
        <v>26.216771786135709</v>
      </c>
      <c r="S11" s="108"/>
      <c r="T11" s="109"/>
      <c r="U11" s="109"/>
      <c r="V11" s="86">
        <f t="shared" si="5"/>
        <v>18.690072933549434</v>
      </c>
      <c r="W11" s="102"/>
      <c r="X11" s="86"/>
      <c r="Y11" s="86"/>
      <c r="Z11" s="86">
        <f t="shared" ref="Z11:Z47" si="7">(V11-$V$5)/(D11-$D$5)</f>
        <v>0.18165124853123513</v>
      </c>
      <c r="AA11" s="102"/>
      <c r="AB11" s="110"/>
      <c r="AD11" s="87">
        <f>D26</f>
        <v>214.98333333333335</v>
      </c>
      <c r="AE11" s="86">
        <f>S28</f>
        <v>35.728050371952357</v>
      </c>
      <c r="AF11" s="86">
        <f>U28</f>
        <v>2.2801806753173759</v>
      </c>
      <c r="AG11" s="86">
        <f>W28</f>
        <v>83.485548352242034</v>
      </c>
      <c r="AH11" s="86">
        <f>Y28</f>
        <v>6.4131268348592227</v>
      </c>
    </row>
    <row r="12" spans="1:34" x14ac:dyDescent="0.2">
      <c r="A12" s="58"/>
      <c r="B12" s="58"/>
      <c r="D12" s="148"/>
      <c r="E12" s="80" t="s">
        <v>108</v>
      </c>
      <c r="F12" s="157"/>
      <c r="G12" s="158"/>
      <c r="H12" s="81">
        <f>0.2427-F11</f>
        <v>0.20929999999999999</v>
      </c>
      <c r="I12" s="82">
        <f>0.2435-F11</f>
        <v>0.21010000000000001</v>
      </c>
      <c r="J12" s="82">
        <f>0.1674-G11</f>
        <v>0.1341</v>
      </c>
      <c r="K12" s="82">
        <f>0.1675-G11</f>
        <v>0.13420000000000001</v>
      </c>
      <c r="L12" s="82">
        <f t="shared" si="0"/>
        <v>2.0773014586709885E-2</v>
      </c>
      <c r="M12" s="82">
        <f t="shared" si="1"/>
        <v>2.0892868719611022E-2</v>
      </c>
      <c r="N12" s="82">
        <f t="shared" si="2"/>
        <v>2.0832941653160453E-2</v>
      </c>
      <c r="O12" s="82">
        <f>'Growth curves CeBER'!G13</f>
        <v>0.55900000000000005</v>
      </c>
      <c r="P12" s="82">
        <f t="shared" si="3"/>
        <v>0.68947060000000004</v>
      </c>
      <c r="Q12" s="83">
        <f>P12*0.5/1000</f>
        <v>3.4473530000000003E-4</v>
      </c>
      <c r="R12" s="84">
        <f t="shared" si="4"/>
        <v>30.215852065570964</v>
      </c>
      <c r="S12" s="85"/>
      <c r="T12" s="86"/>
      <c r="U12" s="86"/>
      <c r="V12" s="86">
        <f t="shared" si="5"/>
        <v>20.832941653160454</v>
      </c>
      <c r="W12" s="102"/>
      <c r="X12" s="86"/>
      <c r="Y12" s="86"/>
      <c r="Z12" s="86">
        <f>(V12-$V$6)/(D11-$D$5)</f>
        <v>0.21896121544848707</v>
      </c>
      <c r="AA12" s="102"/>
      <c r="AB12" s="110"/>
      <c r="AD12" s="87">
        <f>D29</f>
        <v>240.01666666666668</v>
      </c>
      <c r="AE12" s="86">
        <f>S31</f>
        <v>39.04534323927448</v>
      </c>
      <c r="AF12" s="86">
        <f>U31</f>
        <v>2.0062999286126204</v>
      </c>
      <c r="AG12" s="86">
        <f>W31</f>
        <v>102.20752296056186</v>
      </c>
      <c r="AH12" s="86">
        <f>Y31</f>
        <v>6.1250859174299377</v>
      </c>
    </row>
    <row r="13" spans="1:34" x14ac:dyDescent="0.2">
      <c r="A13" s="58"/>
      <c r="B13" s="58"/>
      <c r="D13" s="148"/>
      <c r="E13" s="90" t="s">
        <v>109</v>
      </c>
      <c r="F13" s="157"/>
      <c r="G13" s="158"/>
      <c r="H13" s="81">
        <f>0.217-F11</f>
        <v>0.18359999999999999</v>
      </c>
      <c r="I13" s="82">
        <f>0.2614-F11</f>
        <v>0.22800000000000004</v>
      </c>
      <c r="J13" s="82">
        <f>0.1495-G11</f>
        <v>0.1162</v>
      </c>
      <c r="K13" s="82">
        <f>0.191-G11</f>
        <v>0.15770000000000001</v>
      </c>
      <c r="L13" s="82">
        <f t="shared" si="0"/>
        <v>1.8362884927066447E-2</v>
      </c>
      <c r="M13" s="82">
        <f t="shared" si="1"/>
        <v>2.1489708265802272E-2</v>
      </c>
      <c r="N13" s="92">
        <f t="shared" si="2"/>
        <v>1.992629659643436E-2</v>
      </c>
      <c r="O13" s="92">
        <f>'Growth curves CeBER'!H13</f>
        <v>0.56999999999999995</v>
      </c>
      <c r="P13" s="92">
        <f t="shared" si="3"/>
        <v>0.70303799999999994</v>
      </c>
      <c r="Q13" s="93">
        <f>P13*0.5/1000</f>
        <v>3.5151899999999995E-4</v>
      </c>
      <c r="R13" s="94">
        <f t="shared" si="4"/>
        <v>28.343128815845464</v>
      </c>
      <c r="S13" s="95">
        <f>AVERAGE(R11:R13)</f>
        <v>28.258584222517381</v>
      </c>
      <c r="T13" s="96">
        <f>STDEV(R11:R13)</f>
        <v>2.0008802091923812</v>
      </c>
      <c r="U13" s="96">
        <f>T13/SQRT(3)</f>
        <v>1.155208727393416</v>
      </c>
      <c r="V13" s="96">
        <f t="shared" si="5"/>
        <v>19.926296596434362</v>
      </c>
      <c r="W13" s="95">
        <f>AVERAGE(V11:V13)</f>
        <v>19.816437061048084</v>
      </c>
      <c r="X13" s="96">
        <f>STDEV(V11:V13)</f>
        <v>1.0756502338159508</v>
      </c>
      <c r="Y13" s="96">
        <f>X13/SQRT(3)</f>
        <v>0.62102695204752312</v>
      </c>
      <c r="Z13" s="96">
        <f>(V13-$V$7)/(D11-$D$5)</f>
        <v>0.21015234702806715</v>
      </c>
      <c r="AA13" s="95">
        <f>AVERAGE(Z11:Z13)</f>
        <v>0.20358827033592977</v>
      </c>
      <c r="AB13" s="103">
        <f>STDEV(Z11:Z13)/SQRT(3)</f>
        <v>1.1259421757751808E-2</v>
      </c>
      <c r="AD13" s="87">
        <f>D32</f>
        <v>288.88333333333333</v>
      </c>
      <c r="AE13" s="86">
        <f>S34</f>
        <v>39.972146356155889</v>
      </c>
      <c r="AF13" s="86">
        <f>U34</f>
        <v>4.4429424445804768</v>
      </c>
      <c r="AG13" s="86">
        <f>W34</f>
        <v>125.07212317666126</v>
      </c>
      <c r="AH13" s="86">
        <f>Y34</f>
        <v>15.685276796867017</v>
      </c>
    </row>
    <row r="14" spans="1:34" x14ac:dyDescent="0.2">
      <c r="A14" s="58"/>
      <c r="B14" s="99" t="s">
        <v>27</v>
      </c>
      <c r="C14" s="100">
        <v>0.43888888888888888</v>
      </c>
      <c r="D14" s="147">
        <f>9/60+24+D11</f>
        <v>94.933333333333337</v>
      </c>
      <c r="E14" s="80" t="s">
        <v>107</v>
      </c>
      <c r="F14" s="104">
        <f>(0.0445+0.044)/2</f>
        <v>4.4249999999999998E-2</v>
      </c>
      <c r="G14" s="139">
        <f>(0.0435+0.0427)/2</f>
        <v>4.3099999999999999E-2</v>
      </c>
      <c r="H14" s="104">
        <f>0.1872-F14</f>
        <v>0.14295000000000002</v>
      </c>
      <c r="I14" s="105">
        <f>0.1885-F14</f>
        <v>0.14424999999999999</v>
      </c>
      <c r="J14" s="105">
        <f>0.1318-G14</f>
        <v>8.8700000000000001E-2</v>
      </c>
      <c r="K14" s="105">
        <f>0.1333-G14</f>
        <v>9.0200000000000002E-2</v>
      </c>
      <c r="L14" s="82">
        <f t="shared" si="0"/>
        <v>1.4471069692058349E-2</v>
      </c>
      <c r="M14" s="82">
        <f t="shared" si="1"/>
        <v>1.4534683954619121E-2</v>
      </c>
      <c r="N14" s="105">
        <f t="shared" si="2"/>
        <v>1.4502876823338735E-2</v>
      </c>
      <c r="O14" s="105">
        <f>'Growth curves CeBER'!F14</f>
        <v>0.69599999999999995</v>
      </c>
      <c r="P14" s="105">
        <f t="shared" si="3"/>
        <v>0.85844639999999994</v>
      </c>
      <c r="Q14" s="106">
        <f t="shared" ref="Q14:Q22" si="8">O14*0.25/1000</f>
        <v>1.74E-4</v>
      </c>
      <c r="R14" s="107">
        <f t="shared" si="4"/>
        <v>41.674933400398665</v>
      </c>
      <c r="S14" s="108"/>
      <c r="T14" s="109"/>
      <c r="U14" s="109"/>
      <c r="V14" s="86">
        <f t="shared" si="5"/>
        <v>35.775696547811989</v>
      </c>
      <c r="W14" s="102"/>
      <c r="X14" s="86"/>
      <c r="Y14" s="86"/>
      <c r="Z14" s="86">
        <f t="shared" si="7"/>
        <v>0.31541612875138847</v>
      </c>
      <c r="AA14" s="102"/>
      <c r="AB14" s="110"/>
      <c r="AD14" s="87">
        <f>D35</f>
        <v>312.91666666666669</v>
      </c>
      <c r="AE14" s="86">
        <f>S37</f>
        <v>39.022841499092408</v>
      </c>
      <c r="AF14" s="86">
        <f>U37</f>
        <v>1.1573822887901992</v>
      </c>
      <c r="AG14" s="86">
        <f>W37</f>
        <v>133.31253376553215</v>
      </c>
      <c r="AH14" s="86">
        <f>Y37</f>
        <v>7.0564879027874463</v>
      </c>
    </row>
    <row r="15" spans="1:34" x14ac:dyDescent="0.2">
      <c r="A15" s="58"/>
      <c r="B15" s="58"/>
      <c r="D15" s="148"/>
      <c r="E15" s="80" t="s">
        <v>108</v>
      </c>
      <c r="F15" s="58"/>
      <c r="G15" s="79"/>
      <c r="H15" s="81">
        <f>0.182-F14</f>
        <v>0.13774999999999998</v>
      </c>
      <c r="I15" s="82">
        <f>0.1809-F14</f>
        <v>0.13664999999999999</v>
      </c>
      <c r="J15" s="82">
        <f>0.1256-G14</f>
        <v>8.249999999999999E-2</v>
      </c>
      <c r="K15" s="82">
        <f>0.1254-G14</f>
        <v>8.2300000000000012E-2</v>
      </c>
      <c r="L15" s="82">
        <f t="shared" si="0"/>
        <v>1.4236223662884925E-2</v>
      </c>
      <c r="M15" s="82">
        <f t="shared" si="1"/>
        <v>1.4077552674230144E-2</v>
      </c>
      <c r="N15" s="82">
        <f t="shared" si="2"/>
        <v>1.4156888168557535E-2</v>
      </c>
      <c r="O15" s="82">
        <f>'Growth curves CeBER'!G14</f>
        <v>0.74199999999999999</v>
      </c>
      <c r="P15" s="82">
        <f t="shared" si="3"/>
        <v>0.91518280000000007</v>
      </c>
      <c r="Q15" s="83">
        <f t="shared" si="8"/>
        <v>1.8550000000000001E-4</v>
      </c>
      <c r="R15" s="84">
        <f t="shared" si="4"/>
        <v>38.158728217136215</v>
      </c>
      <c r="S15" s="85"/>
      <c r="T15" s="86"/>
      <c r="U15" s="86"/>
      <c r="V15" s="86">
        <f t="shared" si="5"/>
        <v>34.922211734197731</v>
      </c>
      <c r="W15" s="102"/>
      <c r="X15" s="86"/>
      <c r="Y15" s="86"/>
      <c r="Z15" s="86">
        <f>(V15-$V$6)/(D14-$D$5)</f>
        <v>0.31167213603791449</v>
      </c>
      <c r="AA15" s="102"/>
      <c r="AB15" s="110"/>
      <c r="AD15" s="87">
        <f>D38</f>
        <v>336.16666666666669</v>
      </c>
      <c r="AE15" s="86">
        <f>S40</f>
        <v>45.684810558657738</v>
      </c>
      <c r="AF15" s="86">
        <f>U40</f>
        <v>0.98288173551994462</v>
      </c>
      <c r="AG15" s="86">
        <f>W40</f>
        <v>163.66351521699983</v>
      </c>
      <c r="AH15" s="86">
        <f>Y40</f>
        <v>11.398951517629467</v>
      </c>
    </row>
    <row r="16" spans="1:34" x14ac:dyDescent="0.2">
      <c r="A16" s="58"/>
      <c r="B16" s="58"/>
      <c r="D16" s="148"/>
      <c r="E16" s="90" t="s">
        <v>109</v>
      </c>
      <c r="F16" s="88"/>
      <c r="G16" s="89"/>
      <c r="H16" s="81">
        <f>0.1903-F14</f>
        <v>0.14605000000000001</v>
      </c>
      <c r="I16" s="82">
        <f>0.2028-F14</f>
        <v>0.15855000000000002</v>
      </c>
      <c r="J16" s="82">
        <f>0.1337-G14</f>
        <v>9.0600000000000014E-2</v>
      </c>
      <c r="K16" s="82">
        <f>0.1449-G14</f>
        <v>0.1018</v>
      </c>
      <c r="L16" s="82">
        <f t="shared" si="0"/>
        <v>1.4787196110210699E-2</v>
      </c>
      <c r="M16" s="82">
        <f t="shared" si="1"/>
        <v>1.5714910858995141E-2</v>
      </c>
      <c r="N16" s="92">
        <f t="shared" si="2"/>
        <v>1.5251053484602921E-2</v>
      </c>
      <c r="O16" s="92">
        <f>'Growth curves CeBER'!H14</f>
        <v>0.76500000000000001</v>
      </c>
      <c r="P16" s="92">
        <f t="shared" si="3"/>
        <v>0.94355100000000003</v>
      </c>
      <c r="Q16" s="93">
        <f t="shared" si="8"/>
        <v>1.9125000000000001E-4</v>
      </c>
      <c r="R16" s="94">
        <f t="shared" si="4"/>
        <v>39.872035253863842</v>
      </c>
      <c r="S16" s="95">
        <f>AVERAGE(R14:R16)</f>
        <v>39.901898957132907</v>
      </c>
      <c r="T16" s="96">
        <f>STDEV(R14:R16)</f>
        <v>1.7582928093125265</v>
      </c>
      <c r="U16" s="96">
        <f>T16/SQRT(3)</f>
        <v>1.0151508267707705</v>
      </c>
      <c r="V16" s="96">
        <f t="shared" si="5"/>
        <v>37.621298735818485</v>
      </c>
      <c r="W16" s="95">
        <f>AVERAGE(V14:V16)</f>
        <v>36.106402339276066</v>
      </c>
      <c r="X16" s="96">
        <f>STDEV(V14:V16)</f>
        <v>1.3795986376335836</v>
      </c>
      <c r="Y16" s="96">
        <f>X16/SQRT(3)</f>
        <v>0.79651164481139047</v>
      </c>
      <c r="Z16" s="96">
        <f>(V16-$V$7)/(D14-$D$5)</f>
        <v>0.34308587538469948</v>
      </c>
      <c r="AA16" s="95">
        <f>AVERAGE(Z14:Z16)</f>
        <v>0.32339138005800083</v>
      </c>
      <c r="AB16" s="103">
        <f>STDEV(Z14:Z16)/SQRT(3)</f>
        <v>9.9063822860089093E-3</v>
      </c>
      <c r="AD16" s="87">
        <f>D41</f>
        <v>359.05</v>
      </c>
      <c r="AE16" s="86">
        <f>S43</f>
        <v>48.912528866497965</v>
      </c>
      <c r="AF16" s="86">
        <f>U43</f>
        <v>0</v>
      </c>
      <c r="AG16" s="86">
        <f>W43</f>
        <v>194.74108589951379</v>
      </c>
      <c r="AH16" s="86">
        <f>Y43</f>
        <v>0</v>
      </c>
    </row>
    <row r="17" spans="1:34" x14ac:dyDescent="0.2">
      <c r="A17" s="58"/>
      <c r="B17" s="99" t="s">
        <v>28</v>
      </c>
      <c r="C17" s="100">
        <v>0.50069444444444444</v>
      </c>
      <c r="D17" s="147">
        <f>1+29/60+24+D14</f>
        <v>120.41666666666667</v>
      </c>
      <c r="E17" s="80" t="s">
        <v>107</v>
      </c>
      <c r="F17" s="81">
        <f>(0.0498+0.0453)/2</f>
        <v>4.7549999999999995E-2</v>
      </c>
      <c r="G17" s="137">
        <f>(0.0497+0.044)/2</f>
        <v>4.6850000000000003E-2</v>
      </c>
      <c r="H17" s="104">
        <f>0.2401-F17</f>
        <v>0.19255</v>
      </c>
      <c r="I17" s="105">
        <f>0.2402-F17</f>
        <v>0.19264999999999999</v>
      </c>
      <c r="J17" s="105">
        <f>0.1567-G17</f>
        <v>0.10985</v>
      </c>
      <c r="K17" s="105">
        <f>0.1574-G17</f>
        <v>0.11055000000000001</v>
      </c>
      <c r="L17" s="82">
        <f t="shared" si="0"/>
        <v>2.0436102106969205E-2</v>
      </c>
      <c r="M17" s="82">
        <f t="shared" si="1"/>
        <v>2.0383670988654783E-2</v>
      </c>
      <c r="N17" s="105">
        <f t="shared" si="2"/>
        <v>2.0409886547811992E-2</v>
      </c>
      <c r="O17" s="105">
        <f>'Growth curves CeBER'!F15</f>
        <v>1.0629999999999999</v>
      </c>
      <c r="P17" s="105">
        <f t="shared" si="3"/>
        <v>1.3111041999999999</v>
      </c>
      <c r="Q17" s="106">
        <f t="shared" si="8"/>
        <v>2.6574999999999998E-4</v>
      </c>
      <c r="R17" s="107">
        <f t="shared" si="4"/>
        <v>38.400539130408269</v>
      </c>
      <c r="S17" s="111"/>
      <c r="T17" s="112"/>
      <c r="U17" s="112"/>
      <c r="V17" s="86">
        <f t="shared" si="5"/>
        <v>50.34710813614263</v>
      </c>
      <c r="W17" s="102"/>
      <c r="X17" s="86"/>
      <c r="Y17" s="86"/>
      <c r="Z17" s="86">
        <f t="shared" si="7"/>
        <v>0.36967404355262939</v>
      </c>
      <c r="AA17" s="102"/>
      <c r="AB17" s="110"/>
      <c r="AD17" s="87">
        <f>D44</f>
        <v>384.48333333333335</v>
      </c>
      <c r="AE17" s="86">
        <f>S46</f>
        <v>48.780821390168455</v>
      </c>
      <c r="AF17" s="86">
        <f>U46</f>
        <v>3.8449593305427547</v>
      </c>
      <c r="AG17" s="86">
        <f>W46</f>
        <v>185.05848190167475</v>
      </c>
      <c r="AH17" s="86">
        <f>Y46</f>
        <v>9.1395073739267279</v>
      </c>
    </row>
    <row r="18" spans="1:34" ht="15" customHeight="1" x14ac:dyDescent="0.2">
      <c r="A18" s="58"/>
      <c r="B18" s="58"/>
      <c r="D18" s="148"/>
      <c r="E18" s="80" t="s">
        <v>108</v>
      </c>
      <c r="F18" s="58"/>
      <c r="G18" s="79"/>
      <c r="H18" s="81">
        <f>0.2719-F17</f>
        <v>0.22434999999999999</v>
      </c>
      <c r="I18" s="82">
        <f>0.2783-F17</f>
        <v>0.23075000000000001</v>
      </c>
      <c r="J18" s="82">
        <f>0.1775-G17</f>
        <v>0.13064999999999999</v>
      </c>
      <c r="K18" s="82">
        <f>0.1813-G17</f>
        <v>0.13444999999999999</v>
      </c>
      <c r="L18" s="82">
        <f t="shared" si="0"/>
        <v>2.3550526742301455E-2</v>
      </c>
      <c r="M18" s="82">
        <f t="shared" si="1"/>
        <v>2.4215194489465155E-2</v>
      </c>
      <c r="N18" s="82">
        <f t="shared" si="2"/>
        <v>2.3882860615883305E-2</v>
      </c>
      <c r="O18" s="82">
        <f>'Growth curves CeBER'!G15</f>
        <v>1.0249999999999999</v>
      </c>
      <c r="P18" s="82">
        <f t="shared" si="3"/>
        <v>1.264235</v>
      </c>
      <c r="Q18" s="83">
        <f t="shared" si="8"/>
        <v>2.5624999999999997E-4</v>
      </c>
      <c r="R18" s="84">
        <f t="shared" si="4"/>
        <v>46.600703640747916</v>
      </c>
      <c r="S18" s="85"/>
      <c r="V18" s="86">
        <f t="shared" si="5"/>
        <v>58.91424056726094</v>
      </c>
      <c r="W18" s="102"/>
      <c r="X18" s="86"/>
      <c r="Y18" s="86"/>
      <c r="Z18" s="86">
        <f>(V18-$V$6)/(D17-$D$5)</f>
        <v>0.44495587776550222</v>
      </c>
      <c r="AA18" s="102"/>
      <c r="AB18" s="110"/>
      <c r="AD18" s="87">
        <f>D47</f>
        <v>408.03333333333336</v>
      </c>
      <c r="AE18" s="86">
        <f>S49</f>
        <v>53.585289086859099</v>
      </c>
      <c r="AF18" s="86">
        <f>U49</f>
        <v>4.6645660650336787</v>
      </c>
      <c r="AG18" s="86">
        <f>W49</f>
        <v>209.43787142085353</v>
      </c>
      <c r="AH18" s="86">
        <f>Y49</f>
        <v>10.560695485209061</v>
      </c>
    </row>
    <row r="19" spans="1:34" ht="15" customHeight="1" x14ac:dyDescent="0.2">
      <c r="A19" s="58"/>
      <c r="B19" s="88"/>
      <c r="C19" s="97"/>
      <c r="D19" s="149"/>
      <c r="E19" s="90" t="s">
        <v>109</v>
      </c>
      <c r="F19" s="58"/>
      <c r="G19" s="79"/>
      <c r="H19" s="91">
        <f>0.2823-F17</f>
        <v>0.23475000000000001</v>
      </c>
      <c r="I19" s="92">
        <f>0.2881-F17</f>
        <v>0.24055000000000004</v>
      </c>
      <c r="J19" s="92">
        <f>0.1846-G17</f>
        <v>0.13774999999999998</v>
      </c>
      <c r="K19" s="92">
        <f>0.1904-G17</f>
        <v>0.14355000000000001</v>
      </c>
      <c r="L19" s="82">
        <f t="shared" si="0"/>
        <v>2.453991085899514E-2</v>
      </c>
      <c r="M19" s="82">
        <f t="shared" si="1"/>
        <v>2.4911223662884934E-2</v>
      </c>
      <c r="N19" s="92">
        <f t="shared" si="2"/>
        <v>2.4725567260940037E-2</v>
      </c>
      <c r="O19" s="92">
        <f>'Growth curves CeBER'!H15</f>
        <v>1.0289999999999999</v>
      </c>
      <c r="P19" s="92">
        <f t="shared" si="3"/>
        <v>1.2691686</v>
      </c>
      <c r="Q19" s="93">
        <f t="shared" si="8"/>
        <v>2.5724999999999999E-4</v>
      </c>
      <c r="R19" s="94">
        <f t="shared" si="4"/>
        <v>48.057467951292594</v>
      </c>
      <c r="S19" s="95">
        <f>AVERAGE(R17:R19)</f>
        <v>44.352903574149593</v>
      </c>
      <c r="T19" s="96">
        <f>STDEV(R17:R19)</f>
        <v>5.2061043417757338</v>
      </c>
      <c r="U19" s="96">
        <f>T19/SQRT(3)</f>
        <v>3.0057457431534997</v>
      </c>
      <c r="V19" s="96">
        <f t="shared" si="5"/>
        <v>60.99302931928689</v>
      </c>
      <c r="W19" s="95">
        <f>AVERAGE(V17:V19)</f>
        <v>56.751459340896815</v>
      </c>
      <c r="X19" s="96">
        <f>STDEV(V17:V19)</f>
        <v>5.6428828123809849</v>
      </c>
      <c r="Y19" s="96">
        <f>X19/SQRT(3)</f>
        <v>3.2579199107336745</v>
      </c>
      <c r="Z19" s="96">
        <f>(V19-$V$7)/(D17-$D$5)</f>
        <v>0.46457037802067164</v>
      </c>
      <c r="AA19" s="95">
        <f>AVERAGE(Z17:Z19)</f>
        <v>0.42640009977960108</v>
      </c>
      <c r="AB19" s="103">
        <f>STDEV(Z17:Z19)/SQRT(3)</f>
        <v>2.8922691474366487E-2</v>
      </c>
      <c r="AD19" s="87"/>
      <c r="AE19" s="86"/>
      <c r="AF19" s="86"/>
      <c r="AG19" s="86"/>
      <c r="AH19" s="86"/>
    </row>
    <row r="20" spans="1:34" x14ac:dyDescent="0.2">
      <c r="A20" s="58"/>
      <c r="B20" s="58" t="s">
        <v>29</v>
      </c>
      <c r="C20" s="78">
        <v>0.51111111111111118</v>
      </c>
      <c r="D20" s="148">
        <f>15/60+24+D17</f>
        <v>144.66666666666669</v>
      </c>
      <c r="E20" s="80" t="s">
        <v>107</v>
      </c>
      <c r="F20" s="104">
        <v>4.3700000000000003E-2</v>
      </c>
      <c r="G20" s="139">
        <v>4.2200000000000001E-2</v>
      </c>
      <c r="H20" s="81">
        <f>0.3453-F20</f>
        <v>0.30159999999999998</v>
      </c>
      <c r="I20" s="82">
        <f>0.33-F20</f>
        <v>0.2863</v>
      </c>
      <c r="J20" s="82">
        <f>0.219-G20</f>
        <v>0.17680000000000001</v>
      </c>
      <c r="K20" s="82">
        <f>0.2059-G20</f>
        <v>0.16370000000000001</v>
      </c>
      <c r="L20" s="82">
        <f t="shared" si="0"/>
        <v>3.1545542949756887E-2</v>
      </c>
      <c r="M20" s="82">
        <f t="shared" si="1"/>
        <v>3.0350324149108591E-2</v>
      </c>
      <c r="N20" s="82">
        <f t="shared" si="2"/>
        <v>3.0947933549432739E-2</v>
      </c>
      <c r="O20" s="82">
        <f>'Growth curves CeBER'!F16</f>
        <v>1.226</v>
      </c>
      <c r="P20" s="82">
        <f t="shared" si="3"/>
        <v>1.5121484000000001</v>
      </c>
      <c r="Q20" s="83">
        <f t="shared" si="8"/>
        <v>3.0649999999999997E-4</v>
      </c>
      <c r="R20" s="84">
        <f t="shared" si="4"/>
        <v>50.486025366121929</v>
      </c>
      <c r="S20" s="85"/>
      <c r="V20" s="86">
        <f t="shared" si="5"/>
        <v>76.342362479740686</v>
      </c>
      <c r="W20" s="102"/>
      <c r="X20" s="86"/>
      <c r="Y20" s="86"/>
      <c r="Z20" s="86">
        <f t="shared" si="7"/>
        <v>0.48739749139212335</v>
      </c>
      <c r="AA20" s="102"/>
      <c r="AB20" s="110"/>
    </row>
    <row r="21" spans="1:34" x14ac:dyDescent="0.2">
      <c r="A21" s="58"/>
      <c r="B21" s="58"/>
      <c r="D21" s="148"/>
      <c r="E21" s="80" t="s">
        <v>108</v>
      </c>
      <c r="F21" s="58"/>
      <c r="G21" s="79"/>
      <c r="H21" s="81">
        <f>0.3006-F20</f>
        <v>0.25689999999999996</v>
      </c>
      <c r="I21" s="82">
        <f>0.309-F20</f>
        <v>0.26529999999999998</v>
      </c>
      <c r="J21" s="82">
        <f>0.1898-G20</f>
        <v>0.14760000000000001</v>
      </c>
      <c r="K21" s="82">
        <f>0.1967-G20</f>
        <v>0.15450000000000003</v>
      </c>
      <c r="L21" s="82">
        <f t="shared" si="0"/>
        <v>2.7164019448946513E-2</v>
      </c>
      <c r="M21" s="82">
        <f t="shared" si="1"/>
        <v>2.7848865478119929E-2</v>
      </c>
      <c r="N21" s="82">
        <f t="shared" si="2"/>
        <v>2.7506442463533221E-2</v>
      </c>
      <c r="O21" s="82">
        <f>'Growth curves CeBER'!G16</f>
        <v>1.242</v>
      </c>
      <c r="P21" s="82">
        <f t="shared" si="3"/>
        <v>1.5318828</v>
      </c>
      <c r="Q21" s="83">
        <f t="shared" si="8"/>
        <v>3.1050000000000001E-4</v>
      </c>
      <c r="R21" s="84">
        <f t="shared" si="4"/>
        <v>44.293788186043834</v>
      </c>
      <c r="S21" s="85"/>
      <c r="V21" s="86">
        <f t="shared" si="5"/>
        <v>67.85289226904375</v>
      </c>
      <c r="W21" s="102"/>
      <c r="X21" s="86"/>
      <c r="Y21" s="86"/>
      <c r="Z21" s="86">
        <f>(V21-$V$6)/(D20-$D$5)</f>
        <v>0.43215729481137349</v>
      </c>
      <c r="AA21" s="102"/>
      <c r="AB21" s="110"/>
      <c r="AD21" s="87"/>
      <c r="AE21" s="86"/>
      <c r="AF21" s="86"/>
      <c r="AG21" s="86"/>
      <c r="AH21" s="86"/>
    </row>
    <row r="22" spans="1:34" x14ac:dyDescent="0.2">
      <c r="A22" s="58"/>
      <c r="B22" s="58"/>
      <c r="D22" s="148"/>
      <c r="E22" s="90" t="s">
        <v>109</v>
      </c>
      <c r="F22" s="58"/>
      <c r="G22" s="79"/>
      <c r="H22" s="81">
        <f>0.3021-F20</f>
        <v>0.25839999999999996</v>
      </c>
      <c r="I22" s="82">
        <f>0.33-F20</f>
        <v>0.2863</v>
      </c>
      <c r="J22" s="82">
        <f>0.1912-G20</f>
        <v>0.14900000000000002</v>
      </c>
      <c r="K22" s="82">
        <f>0.2169-G20</f>
        <v>0.17470000000000002</v>
      </c>
      <c r="L22" s="82">
        <f t="shared" si="0"/>
        <v>2.7269854132901124E-2</v>
      </c>
      <c r="M22" s="82">
        <f t="shared" si="1"/>
        <v>2.9271717990275527E-2</v>
      </c>
      <c r="N22" s="92">
        <f t="shared" si="2"/>
        <v>2.8270786061588324E-2</v>
      </c>
      <c r="O22" s="92">
        <f>'Growth curves CeBER'!H16</f>
        <v>1.27</v>
      </c>
      <c r="P22" s="92">
        <f t="shared" si="3"/>
        <v>1.5664180000000001</v>
      </c>
      <c r="Q22" s="93">
        <f t="shared" si="8"/>
        <v>3.1750000000000002E-4</v>
      </c>
      <c r="R22" s="94">
        <f t="shared" si="4"/>
        <v>44.520922931635155</v>
      </c>
      <c r="S22" s="95">
        <f>AVERAGE(R20:R22)</f>
        <v>46.433578827933637</v>
      </c>
      <c r="T22" s="96">
        <f>STDEV(R20:R22)</f>
        <v>3.5113586767545408</v>
      </c>
      <c r="U22" s="96">
        <f>T22/SQRT(3)</f>
        <v>2.0272838772455626</v>
      </c>
      <c r="V22" s="96">
        <f t="shared" si="5"/>
        <v>69.738375056726085</v>
      </c>
      <c r="W22" s="95">
        <f>AVERAGE(V20:V22)</f>
        <v>71.311209935170169</v>
      </c>
      <c r="X22" s="96">
        <f>STDEV(V20:V22)</f>
        <v>4.4579292592767041</v>
      </c>
      <c r="Y22" s="96">
        <f>X22/SQRT(3)</f>
        <v>2.5737866578717141</v>
      </c>
      <c r="Z22" s="96">
        <f>(V22-$V$7)/(D20-$D$5)</f>
        <v>0.44714766422185526</v>
      </c>
      <c r="AA22" s="95">
        <f>AVERAGE(Z20:Z22)</f>
        <v>0.45556748347511739</v>
      </c>
      <c r="AB22" s="103">
        <f>STDEV(Z20:Z22)/SQRT(3)</f>
        <v>1.6492825175038736E-2</v>
      </c>
      <c r="AD22" s="87"/>
      <c r="AE22" s="86"/>
      <c r="AF22" s="86"/>
      <c r="AG22" s="86"/>
      <c r="AH22" s="86"/>
    </row>
    <row r="23" spans="1:34" x14ac:dyDescent="0.2">
      <c r="A23" s="58"/>
      <c r="B23" s="99" t="s">
        <v>30</v>
      </c>
      <c r="C23" s="100">
        <v>0.4291666666666667</v>
      </c>
      <c r="D23" s="147">
        <f>10+2/60+12+D20</f>
        <v>166.70000000000002</v>
      </c>
      <c r="E23" s="80" t="s">
        <v>107</v>
      </c>
      <c r="F23" s="104">
        <v>3.7900000000000003E-2</v>
      </c>
      <c r="G23" s="139">
        <v>3.7999999999999999E-2</v>
      </c>
      <c r="H23" s="104">
        <f>0.2069-F23</f>
        <v>0.16899999999999998</v>
      </c>
      <c r="I23" s="105">
        <f>0.204-F23</f>
        <v>0.16609999999999997</v>
      </c>
      <c r="J23" s="105">
        <f>0.1342-G23</f>
        <v>9.6200000000000008E-2</v>
      </c>
      <c r="K23" s="105">
        <f>0.1316-G23</f>
        <v>9.3599999999999989E-2</v>
      </c>
      <c r="L23" s="82">
        <f t="shared" si="0"/>
        <v>1.7957698541329007E-2</v>
      </c>
      <c r="M23" s="82">
        <f t="shared" si="1"/>
        <v>1.7742625607779578E-2</v>
      </c>
      <c r="N23" s="105">
        <f t="shared" si="2"/>
        <v>1.7850162074554293E-2</v>
      </c>
      <c r="O23" s="105">
        <f>'Growth curves CeBER'!F17</f>
        <v>1.466</v>
      </c>
      <c r="P23" s="105">
        <f t="shared" si="3"/>
        <v>1.8081644000000001</v>
      </c>
      <c r="Q23" s="106">
        <f>O23*0.125/1000</f>
        <v>1.8325000000000001E-4</v>
      </c>
      <c r="R23" s="107">
        <f t="shared" si="4"/>
        <v>48.704398566314573</v>
      </c>
      <c r="S23" s="111"/>
      <c r="T23" s="112"/>
      <c r="U23" s="112"/>
      <c r="V23" s="86">
        <f t="shared" si="5"/>
        <v>88.065559611021058</v>
      </c>
      <c r="W23" s="102"/>
      <c r="X23" s="86"/>
      <c r="Y23" s="86"/>
      <c r="Z23" s="86">
        <f t="shared" si="7"/>
        <v>0.49330154500704387</v>
      </c>
      <c r="AA23" s="102"/>
      <c r="AB23" s="110"/>
      <c r="AC23" s="86"/>
      <c r="AD23" s="86"/>
      <c r="AE23" s="86"/>
    </row>
    <row r="24" spans="1:34" x14ac:dyDescent="0.2">
      <c r="A24" s="58"/>
      <c r="B24" s="58"/>
      <c r="D24" s="148"/>
      <c r="E24" s="80" t="s">
        <v>108</v>
      </c>
      <c r="F24" s="58"/>
      <c r="G24" s="79"/>
      <c r="H24" s="81">
        <f>0.1827-F23</f>
        <v>0.14479999999999998</v>
      </c>
      <c r="I24" s="82">
        <f>0.1812-F23</f>
        <v>0.14329999999999998</v>
      </c>
      <c r="J24" s="82">
        <f>0.1196-G23</f>
        <v>8.1600000000000006E-2</v>
      </c>
      <c r="K24" s="82">
        <f>0.1194-G23</f>
        <v>8.14E-2</v>
      </c>
      <c r="L24" s="82">
        <f t="shared" si="0"/>
        <v>1.5467098865478118E-2</v>
      </c>
      <c r="M24" s="82">
        <f t="shared" si="1"/>
        <v>1.5243598055105346E-2</v>
      </c>
      <c r="N24" s="82">
        <f t="shared" si="2"/>
        <v>1.5355348460291733E-2</v>
      </c>
      <c r="O24" s="82">
        <f>'Growth curves CeBER'!G17</f>
        <v>1.486</v>
      </c>
      <c r="P24" s="82">
        <f t="shared" si="3"/>
        <v>1.8328324</v>
      </c>
      <c r="Q24" s="83">
        <f>O24*0.125/1000</f>
        <v>1.8574999999999999E-4</v>
      </c>
      <c r="R24" s="84">
        <f t="shared" si="4"/>
        <v>41.333374051929297</v>
      </c>
      <c r="S24" s="85"/>
      <c r="V24" s="86">
        <f t="shared" si="5"/>
        <v>75.757147163695294</v>
      </c>
      <c r="W24" s="102"/>
      <c r="X24" s="86"/>
      <c r="Y24" s="86"/>
      <c r="Z24" s="86">
        <f>(V24-$V$7)/(D23-$D$5)</f>
        <v>0.42415197479142736</v>
      </c>
      <c r="AA24" s="102"/>
      <c r="AB24" s="110"/>
      <c r="AC24" s="86"/>
      <c r="AD24" s="86"/>
      <c r="AE24" s="86"/>
    </row>
    <row r="25" spans="1:34" x14ac:dyDescent="0.2">
      <c r="A25" s="58"/>
      <c r="B25" s="58"/>
      <c r="D25" s="148"/>
      <c r="E25" s="90" t="s">
        <v>109</v>
      </c>
      <c r="F25" s="58"/>
      <c r="G25" s="79"/>
      <c r="H25" s="81">
        <f>0.2141-F23</f>
        <v>0.17620000000000002</v>
      </c>
      <c r="I25" s="82">
        <f>0.2672-F23</f>
        <v>0.2293</v>
      </c>
      <c r="J25" s="82">
        <f>0.1468-G23</f>
        <v>0.10880000000000001</v>
      </c>
      <c r="K25" s="82">
        <f>0.1979-G23</f>
        <v>0.15989999999999999</v>
      </c>
      <c r="L25" s="82">
        <f t="shared" si="0"/>
        <v>1.788914100486224E-2</v>
      </c>
      <c r="M25" s="82">
        <f t="shared" si="1"/>
        <v>2.1484683954619128E-2</v>
      </c>
      <c r="N25" s="92">
        <f t="shared" si="2"/>
        <v>1.9686912479740686E-2</v>
      </c>
      <c r="O25" s="92">
        <f>'Growth curves CeBER'!H17</f>
        <v>1.482</v>
      </c>
      <c r="P25" s="92">
        <f t="shared" si="3"/>
        <v>1.8278988</v>
      </c>
      <c r="Q25" s="93">
        <f>O25*0.125/1000</f>
        <v>1.8525E-4</v>
      </c>
      <c r="R25" s="94">
        <f t="shared" si="4"/>
        <v>53.136066072174586</v>
      </c>
      <c r="S25" s="95">
        <f>AVERAGE(R23:R25)</f>
        <v>47.72461289680615</v>
      </c>
      <c r="T25" s="96">
        <f>STDEV(R23:R25)</f>
        <v>5.9620357009851253</v>
      </c>
      <c r="U25" s="96">
        <f>T25/SQRT(3)</f>
        <v>3.4421829168819214</v>
      </c>
      <c r="V25" s="96">
        <f t="shared" si="5"/>
        <v>97.127351410048647</v>
      </c>
      <c r="W25" s="95">
        <f>AVERAGE(V23:V25)</f>
        <v>86.983352728254999</v>
      </c>
      <c r="X25" s="96">
        <f>STDEV(V23:V25)</f>
        <v>10.726126336452765</v>
      </c>
      <c r="Y25" s="96">
        <f>X25/SQRT(3)</f>
        <v>6.1927319277129387</v>
      </c>
      <c r="Z25" s="96">
        <f>(V25-$V$7)/(D23-$D$5)</f>
        <v>0.55234756115227523</v>
      </c>
      <c r="AA25" s="95">
        <f>AVERAGE(Z23:Z25)</f>
        <v>0.4899336936502488</v>
      </c>
      <c r="AB25" s="103">
        <f>STDEV(Z23:Z25)/SQRT(3)</f>
        <v>3.7045170210035665E-2</v>
      </c>
    </row>
    <row r="26" spans="1:34" x14ac:dyDescent="0.2">
      <c r="A26" s="58"/>
      <c r="B26" s="99" t="s">
        <v>32</v>
      </c>
      <c r="C26" s="100">
        <v>0.44097222222222227</v>
      </c>
      <c r="D26" s="147">
        <f>17/60+48+D23</f>
        <v>214.98333333333335</v>
      </c>
      <c r="E26" s="80" t="s">
        <v>107</v>
      </c>
      <c r="F26" s="104">
        <v>3.1099999999999999E-2</v>
      </c>
      <c r="G26" s="139">
        <v>3.0200000000000001E-2</v>
      </c>
      <c r="H26" s="104">
        <f>0.2273-F26</f>
        <v>0.19620000000000001</v>
      </c>
      <c r="I26" s="105">
        <f>0.2008-F26</f>
        <v>0.16970000000000002</v>
      </c>
      <c r="J26" s="105">
        <f>0.1485-G26</f>
        <v>0.11829999999999999</v>
      </c>
      <c r="K26" s="105">
        <f>0.1266-G26</f>
        <v>9.6399999999999986E-2</v>
      </c>
      <c r="L26" s="82">
        <f t="shared" si="0"/>
        <v>2.019910858995138E-2</v>
      </c>
      <c r="M26" s="82">
        <f t="shared" si="1"/>
        <v>1.8051539708265809E-2</v>
      </c>
      <c r="N26" s="105">
        <f t="shared" si="2"/>
        <v>1.9125324149108593E-2</v>
      </c>
      <c r="O26" s="105">
        <f>'Growth curves CeBER'!F18</f>
        <v>1.956</v>
      </c>
      <c r="P26" s="105">
        <f t="shared" si="3"/>
        <v>2.4125304000000001</v>
      </c>
      <c r="Q26" s="106">
        <f t="shared" ref="Q26:Q31" si="9">P26*0.1/1000</f>
        <v>2.4125304000000003E-4</v>
      </c>
      <c r="R26" s="107">
        <f t="shared" si="4"/>
        <v>39.637478037807504</v>
      </c>
      <c r="S26" s="111"/>
      <c r="T26" s="112"/>
      <c r="U26" s="112"/>
      <c r="V26" s="86">
        <f t="shared" si="5"/>
        <v>95.626620745542951</v>
      </c>
      <c r="W26" s="102"/>
      <c r="X26" s="86"/>
      <c r="Y26" s="86"/>
      <c r="Z26" s="86">
        <f t="shared" si="7"/>
        <v>0.41768088388493424</v>
      </c>
      <c r="AA26" s="102"/>
      <c r="AB26" s="110"/>
    </row>
    <row r="27" spans="1:34" x14ac:dyDescent="0.2">
      <c r="A27" s="58"/>
      <c r="B27" s="58"/>
      <c r="D27" s="148"/>
      <c r="E27" s="80" t="s">
        <v>108</v>
      </c>
      <c r="F27" s="58"/>
      <c r="G27" s="79"/>
      <c r="H27" s="81">
        <f>0.1799-F26</f>
        <v>0.14880000000000002</v>
      </c>
      <c r="I27" s="82">
        <f>0.1862-F26</f>
        <v>0.15510000000000002</v>
      </c>
      <c r="J27" s="82">
        <f>0.1141-G26</f>
        <v>8.3899999999999988E-2</v>
      </c>
      <c r="K27" s="82">
        <f>0.1182-G26</f>
        <v>8.7999999999999995E-2</v>
      </c>
      <c r="L27" s="82">
        <f t="shared" si="0"/>
        <v>1.588987034035657E-2</v>
      </c>
      <c r="M27" s="82">
        <f t="shared" si="1"/>
        <v>1.6508914100486227E-2</v>
      </c>
      <c r="N27" s="82">
        <f t="shared" si="2"/>
        <v>1.6199392220421396E-2</v>
      </c>
      <c r="O27" s="82">
        <f>'Growth curves CeBER'!G18</f>
        <v>1.8340000000000001</v>
      </c>
      <c r="P27" s="82">
        <f t="shared" si="3"/>
        <v>2.2620556000000001</v>
      </c>
      <c r="Q27" s="83">
        <f t="shared" si="9"/>
        <v>2.2620556000000003E-4</v>
      </c>
      <c r="R27" s="84">
        <f t="shared" si="4"/>
        <v>35.806794979799335</v>
      </c>
      <c r="S27" s="85"/>
      <c r="V27" s="86">
        <f t="shared" si="5"/>
        <v>80.99696110210698</v>
      </c>
      <c r="W27" s="102"/>
      <c r="X27" s="86"/>
      <c r="Y27" s="86"/>
      <c r="Z27" s="86">
        <f>(V27-$V$6)/(D26-$D$5)</f>
        <v>0.35194739506523881</v>
      </c>
      <c r="AA27" s="102"/>
      <c r="AB27" s="110"/>
    </row>
    <row r="28" spans="1:34" x14ac:dyDescent="0.2">
      <c r="A28" s="58"/>
      <c r="B28" s="58"/>
      <c r="D28" s="148"/>
      <c r="E28" s="90" t="s">
        <v>109</v>
      </c>
      <c r="F28" s="58"/>
      <c r="G28" s="79"/>
      <c r="H28" s="81">
        <f>0.1695-F26</f>
        <v>0.13840000000000002</v>
      </c>
      <c r="I28" s="82">
        <f>0.1693-F26</f>
        <v>0.13820000000000002</v>
      </c>
      <c r="J28" s="82">
        <f>0.1089-G26</f>
        <v>7.8699999999999992E-2</v>
      </c>
      <c r="K28" s="82">
        <f>0.1075-G26</f>
        <v>7.7299999999999994E-2</v>
      </c>
      <c r="L28" s="82">
        <f t="shared" si="0"/>
        <v>1.4714181523500814E-2</v>
      </c>
      <c r="M28" s="82">
        <f t="shared" si="1"/>
        <v>1.4819043760129665E-2</v>
      </c>
      <c r="N28" s="92">
        <f t="shared" si="2"/>
        <v>1.4766612641815238E-2</v>
      </c>
      <c r="O28" s="92">
        <f>'Growth curves CeBER'!H18</f>
        <v>1.8859999999999999</v>
      </c>
      <c r="P28" s="92">
        <f t="shared" si="3"/>
        <v>2.3261924</v>
      </c>
      <c r="Q28" s="93">
        <f t="shared" si="9"/>
        <v>2.3261924000000001E-4</v>
      </c>
      <c r="R28" s="94">
        <f t="shared" si="4"/>
        <v>31.739878098250252</v>
      </c>
      <c r="S28" s="95">
        <f>AVERAGE(R26:R28)</f>
        <v>35.728050371952357</v>
      </c>
      <c r="T28" s="96">
        <f>STDEV(R26:R28)</f>
        <v>3.9493887800864087</v>
      </c>
      <c r="U28" s="96">
        <f>T28/SQRT(3)</f>
        <v>2.2801806753173759</v>
      </c>
      <c r="V28" s="96">
        <f t="shared" si="5"/>
        <v>73.833063209076187</v>
      </c>
      <c r="W28" s="95">
        <f>AVERAGE(V26:V28)</f>
        <v>83.485548352242034</v>
      </c>
      <c r="X28" s="96">
        <f>STDEV(V26:V28)</f>
        <v>11.107861513359554</v>
      </c>
      <c r="Y28" s="96">
        <f>X28/SQRT(3)</f>
        <v>6.4131268348592227</v>
      </c>
      <c r="Z28" s="96">
        <f>(V28-$V$7)/(D26-$D$5)</f>
        <v>0.31994131441093959</v>
      </c>
      <c r="AA28" s="95">
        <f>AVERAGE(Z26:Z28)</f>
        <v>0.36318986445370421</v>
      </c>
      <c r="AB28" s="103">
        <f>STDEV(Z26:Z28)/SQRT(3)</f>
        <v>2.8769490197680828E-2</v>
      </c>
    </row>
    <row r="29" spans="1:34" x14ac:dyDescent="0.2">
      <c r="A29" s="58"/>
      <c r="B29" s="99" t="s">
        <v>33</v>
      </c>
      <c r="C29" s="100">
        <v>0.48402777777777778</v>
      </c>
      <c r="D29" s="147">
        <f>1+2/60+24+D26</f>
        <v>240.01666666666668</v>
      </c>
      <c r="E29" s="80" t="s">
        <v>107</v>
      </c>
      <c r="F29" s="104">
        <v>4.9200000000000001E-2</v>
      </c>
      <c r="G29" s="139">
        <v>4.8500000000000001E-2</v>
      </c>
      <c r="H29" s="104">
        <f>0.2382-F29</f>
        <v>0.189</v>
      </c>
      <c r="I29" s="105">
        <f>0.2391-F29</f>
        <v>0.18990000000000001</v>
      </c>
      <c r="J29" s="105">
        <f>0.1536-G29</f>
        <v>0.10509999999999999</v>
      </c>
      <c r="K29" s="105">
        <f>0.1557-G29</f>
        <v>0.1072</v>
      </c>
      <c r="L29" s="82">
        <f t="shared" si="0"/>
        <v>2.0326499189627232E-2</v>
      </c>
      <c r="M29" s="82">
        <f t="shared" si="1"/>
        <v>2.0266450567260941E-2</v>
      </c>
      <c r="N29" s="105">
        <f t="shared" si="2"/>
        <v>2.0296474878444087E-2</v>
      </c>
      <c r="O29" s="105">
        <f>'Growth curves CeBER'!F19</f>
        <v>2.2440000000000002</v>
      </c>
      <c r="P29" s="105">
        <f t="shared" si="3"/>
        <v>2.7677496000000006</v>
      </c>
      <c r="Q29" s="106">
        <f t="shared" si="9"/>
        <v>2.7677496000000004E-4</v>
      </c>
      <c r="R29" s="107">
        <f t="shared" si="4"/>
        <v>36.666024409224164</v>
      </c>
      <c r="S29" s="111"/>
      <c r="T29" s="112"/>
      <c r="U29" s="112"/>
      <c r="V29" s="86">
        <f t="shared" si="5"/>
        <v>101.48237439222044</v>
      </c>
      <c r="W29" s="102"/>
      <c r="X29" s="86"/>
      <c r="Y29" s="86"/>
      <c r="Z29" s="86">
        <f t="shared" si="7"/>
        <v>0.39851475175560142</v>
      </c>
      <c r="AA29" s="102"/>
      <c r="AB29" s="110"/>
    </row>
    <row r="30" spans="1:34" x14ac:dyDescent="0.2">
      <c r="A30" s="58"/>
      <c r="B30" s="58"/>
      <c r="D30" s="148"/>
      <c r="E30" s="80" t="s">
        <v>108</v>
      </c>
      <c r="F30" s="58"/>
      <c r="G30" s="79"/>
      <c r="H30" s="81">
        <f>0.2216-F29</f>
        <v>0.1724</v>
      </c>
      <c r="I30" s="82">
        <f>0.2144-F29</f>
        <v>0.16520000000000001</v>
      </c>
      <c r="J30" s="82">
        <f>0.1431-G29</f>
        <v>9.4600000000000004E-2</v>
      </c>
      <c r="K30" s="82">
        <f>0.1367-G29</f>
        <v>8.8199999999999987E-2</v>
      </c>
      <c r="L30" s="82">
        <f t="shared" si="0"/>
        <v>1.8665640194489463E-2</v>
      </c>
      <c r="M30" s="82">
        <f t="shared" si="1"/>
        <v>1.8126256077795791E-2</v>
      </c>
      <c r="N30" s="82">
        <f t="shared" si="2"/>
        <v>1.8395948136142627E-2</v>
      </c>
      <c r="O30" s="82">
        <f>'Growth curves CeBER'!G19</f>
        <v>1.992</v>
      </c>
      <c r="P30" s="82">
        <f t="shared" si="3"/>
        <v>2.4569328000000001</v>
      </c>
      <c r="Q30" s="83">
        <f t="shared" si="9"/>
        <v>2.4569328000000003E-4</v>
      </c>
      <c r="R30" s="84">
        <f t="shared" si="4"/>
        <v>37.436815805753064</v>
      </c>
      <c r="S30" s="85"/>
      <c r="V30" s="86">
        <f t="shared" si="5"/>
        <v>91.979740680713135</v>
      </c>
      <c r="W30" s="102"/>
      <c r="X30" s="86"/>
      <c r="Y30" s="86"/>
      <c r="Z30" s="86">
        <f>(V30-$V$6)/(D29-$D$5)</f>
        <v>0.36099827954051006</v>
      </c>
      <c r="AA30" s="102"/>
      <c r="AB30" s="110"/>
    </row>
    <row r="31" spans="1:34" x14ac:dyDescent="0.2">
      <c r="A31" s="58"/>
      <c r="B31" s="58"/>
      <c r="D31" s="148"/>
      <c r="E31" s="90" t="s">
        <v>109</v>
      </c>
      <c r="F31" s="58"/>
      <c r="G31" s="79"/>
      <c r="H31" s="81">
        <f>0.255-F29</f>
        <v>0.20580000000000001</v>
      </c>
      <c r="I31" s="82">
        <f>0.2824-F29</f>
        <v>0.23319999999999999</v>
      </c>
      <c r="J31" s="82">
        <f>0.1672-G29</f>
        <v>0.11869999999999999</v>
      </c>
      <c r="K31" s="82">
        <f>0.1938-G29</f>
        <v>0.14529999999999998</v>
      </c>
      <c r="L31" s="82">
        <f t="shared" si="0"/>
        <v>2.1715802269043762E-2</v>
      </c>
      <c r="M31" s="82">
        <f t="shared" si="1"/>
        <v>2.3548379254457054E-2</v>
      </c>
      <c r="N31" s="92">
        <f t="shared" si="2"/>
        <v>2.2632090761750406E-2</v>
      </c>
      <c r="O31" s="92">
        <f>'Growth curves CeBER'!H19</f>
        <v>2.1320000000000001</v>
      </c>
      <c r="P31" s="92">
        <f t="shared" si="3"/>
        <v>2.6296088000000002</v>
      </c>
      <c r="Q31" s="93">
        <f t="shared" si="9"/>
        <v>2.6296088000000002E-4</v>
      </c>
      <c r="R31" s="94">
        <f t="shared" si="4"/>
        <v>43.033189502846213</v>
      </c>
      <c r="S31" s="95">
        <f>AVERAGE(R29:R31)</f>
        <v>39.04534323927448</v>
      </c>
      <c r="T31" s="96">
        <f>STDEV(R29:R31)</f>
        <v>3.4750134115788698</v>
      </c>
      <c r="U31" s="96">
        <f>T31/SQRT(3)</f>
        <v>2.0062999286126204</v>
      </c>
      <c r="V31" s="96">
        <f t="shared" si="5"/>
        <v>113.16045380875204</v>
      </c>
      <c r="W31" s="95">
        <f>AVERAGE(V29:V31)</f>
        <v>102.20752296056186</v>
      </c>
      <c r="X31" s="96">
        <f>STDEV(V29:V31)</f>
        <v>10.608960009713281</v>
      </c>
      <c r="Y31" s="96">
        <f>X31/SQRT(3)</f>
        <v>6.1250859174299377</v>
      </c>
      <c r="Z31" s="96">
        <f>(V31-$V$7)/(D29-$D$5)</f>
        <v>0.45042472401689199</v>
      </c>
      <c r="AA31" s="95">
        <f>AVERAGE(Z29:Z31)</f>
        <v>0.40331258510433449</v>
      </c>
      <c r="AB31" s="103">
        <f>STDEV(Z29:Z31)/SQRT(3)</f>
        <v>2.5926412829091985E-2</v>
      </c>
    </row>
    <row r="32" spans="1:34" x14ac:dyDescent="0.2">
      <c r="A32" s="58"/>
      <c r="B32" s="99" t="s">
        <v>34</v>
      </c>
      <c r="C32" s="100">
        <v>0.52013888888888882</v>
      </c>
      <c r="D32" s="147">
        <f>52/60+48+D29</f>
        <v>288.88333333333333</v>
      </c>
      <c r="E32" s="80" t="s">
        <v>107</v>
      </c>
      <c r="F32" s="104">
        <v>4.5900000000000003E-2</v>
      </c>
      <c r="G32" s="139">
        <v>4.4499999999999998E-2</v>
      </c>
      <c r="H32" s="104">
        <f>0.2313-F32</f>
        <v>0.18540000000000001</v>
      </c>
      <c r="I32" s="105">
        <f>0.232-F32</f>
        <v>0.18610000000000002</v>
      </c>
      <c r="J32" s="105">
        <f>0.1526-G32</f>
        <v>0.10810000000000002</v>
      </c>
      <c r="K32" s="105">
        <f>0.1538-G32</f>
        <v>0.10929999999999999</v>
      </c>
      <c r="L32" s="82">
        <f t="shared" si="0"/>
        <v>1.9448865478119935E-2</v>
      </c>
      <c r="M32" s="82">
        <f t="shared" si="1"/>
        <v>1.9444651539708271E-2</v>
      </c>
      <c r="N32" s="105">
        <f t="shared" si="2"/>
        <v>1.9446758508914103E-2</v>
      </c>
      <c r="O32" s="105">
        <f>'Growth curves CeBER'!F20</f>
        <v>2.5640000000000001</v>
      </c>
      <c r="P32" s="105">
        <f t="shared" si="3"/>
        <v>3.1624376000000001</v>
      </c>
      <c r="Q32" s="106">
        <f>P32*0.075/1000</f>
        <v>2.3718281999999998E-4</v>
      </c>
      <c r="R32" s="107">
        <f t="shared" si="4"/>
        <v>40.995293227633653</v>
      </c>
      <c r="S32" s="111"/>
      <c r="T32" s="112"/>
      <c r="U32" s="112"/>
      <c r="V32" s="86">
        <f t="shared" si="5"/>
        <v>129.64505672609403</v>
      </c>
      <c r="W32" s="102"/>
      <c r="X32" s="86"/>
      <c r="Y32" s="86"/>
      <c r="Z32" s="86">
        <f t="shared" si="7"/>
        <v>0.42859123521980219</v>
      </c>
      <c r="AA32" s="102"/>
      <c r="AB32" s="110"/>
    </row>
    <row r="33" spans="1:28" x14ac:dyDescent="0.2">
      <c r="A33" s="58"/>
      <c r="B33" s="58"/>
      <c r="D33" s="148"/>
      <c r="E33" s="80" t="s">
        <v>108</v>
      </c>
      <c r="F33" s="58"/>
      <c r="G33" s="79"/>
      <c r="H33" s="81">
        <f>0.1749-F32</f>
        <v>0.129</v>
      </c>
      <c r="I33" s="82">
        <f>0.1784-F32</f>
        <v>0.13250000000000001</v>
      </c>
      <c r="J33" s="82">
        <f>0.113-G32</f>
        <v>6.8500000000000005E-2</v>
      </c>
      <c r="K33" s="82">
        <f>0.1148-G32</f>
        <v>7.0300000000000001E-2</v>
      </c>
      <c r="L33" s="82">
        <f t="shared" si="0"/>
        <v>1.4190842787682336E-2</v>
      </c>
      <c r="M33" s="82">
        <f t="shared" si="1"/>
        <v>1.4581604538087522E-2</v>
      </c>
      <c r="N33" s="82">
        <f t="shared" si="2"/>
        <v>1.4386223662884929E-2</v>
      </c>
      <c r="O33" s="82">
        <f>'Growth curves CeBER'!G20</f>
        <v>2.444</v>
      </c>
      <c r="P33" s="82">
        <f t="shared" si="3"/>
        <v>3.0144296000000002</v>
      </c>
      <c r="Q33" s="83">
        <f>P33*0.075/1000</f>
        <v>2.2608222E-4</v>
      </c>
      <c r="R33" s="84">
        <f t="shared" si="4"/>
        <v>31.81635349937056</v>
      </c>
      <c r="S33" s="85"/>
      <c r="V33" s="86">
        <f t="shared" si="5"/>
        <v>95.908157752566197</v>
      </c>
      <c r="W33" s="102"/>
      <c r="X33" s="86"/>
      <c r="Y33" s="86"/>
      <c r="Z33" s="86">
        <f>(V33-$V$6)/(D32-$D$5)</f>
        <v>0.31353148606554371</v>
      </c>
      <c r="AA33" s="102"/>
      <c r="AB33" s="110"/>
    </row>
    <row r="34" spans="1:28" x14ac:dyDescent="0.2">
      <c r="A34" s="58"/>
      <c r="B34" s="58"/>
      <c r="D34" s="148"/>
      <c r="E34" s="90" t="s">
        <v>109</v>
      </c>
      <c r="F34" s="58"/>
      <c r="G34" s="79"/>
      <c r="H34" s="81">
        <f>0.2628-F32</f>
        <v>0.21689999999999998</v>
      </c>
      <c r="I34" s="82">
        <f>0.2819-F32</f>
        <v>0.23599999999999999</v>
      </c>
      <c r="J34" s="82">
        <f>0.1802-G32</f>
        <v>0.13569999999999999</v>
      </c>
      <c r="K34" s="82">
        <f>0.1995-G32</f>
        <v>0.15500000000000003</v>
      </c>
      <c r="L34" s="82">
        <f t="shared" si="0"/>
        <v>2.1847893030794163E-2</v>
      </c>
      <c r="M34" s="82">
        <f t="shared" si="1"/>
        <v>2.3051053484602915E-2</v>
      </c>
      <c r="N34" s="92">
        <f t="shared" si="2"/>
        <v>2.2449473257698541E-2</v>
      </c>
      <c r="O34" s="92">
        <f>'Growth curves CeBER'!H20</f>
        <v>2.5760000000000001</v>
      </c>
      <c r="P34" s="92">
        <f t="shared" si="3"/>
        <v>3.1772384000000002</v>
      </c>
      <c r="Q34" s="93">
        <f>P34*0.075/1000</f>
        <v>2.3829288000000001E-4</v>
      </c>
      <c r="R34" s="94">
        <f t="shared" si="4"/>
        <v>47.104792341463451</v>
      </c>
      <c r="S34" s="95">
        <f>AVERAGE(R32:R34)</f>
        <v>39.972146356155889</v>
      </c>
      <c r="T34" s="96">
        <f>STDEV(R32:R34)</f>
        <v>7.6954020491176562</v>
      </c>
      <c r="U34" s="96">
        <f>T34/SQRT(3)</f>
        <v>4.4429424445804768</v>
      </c>
      <c r="V34" s="96">
        <f t="shared" si="5"/>
        <v>149.6631550513236</v>
      </c>
      <c r="W34" s="95">
        <f>AVERAGE(V32:V34)</f>
        <v>125.07212317666126</v>
      </c>
      <c r="X34" s="96">
        <f>STDEV(V32:V34)</f>
        <v>27.167696342954887</v>
      </c>
      <c r="Y34" s="96">
        <f>X34/SQRT(3)</f>
        <v>15.685276796867017</v>
      </c>
      <c r="Z34" s="96">
        <f>(V34-$V$7)/(D32-$D$5)</f>
        <v>0.50059011856698532</v>
      </c>
      <c r="AA34" s="95">
        <f>AVERAGE(Z32:Z34)</f>
        <v>0.41423761328411041</v>
      </c>
      <c r="AB34" s="103">
        <f>STDEV(Z32:Z34)/SQRT(3)</f>
        <v>5.4474008619805454E-2</v>
      </c>
    </row>
    <row r="35" spans="1:28" x14ac:dyDescent="0.2">
      <c r="A35" s="58"/>
      <c r="B35" s="99" t="s">
        <v>35</v>
      </c>
      <c r="C35" s="100">
        <v>0.52152777777777781</v>
      </c>
      <c r="D35" s="147">
        <f>2/60+24+D32</f>
        <v>312.91666666666669</v>
      </c>
      <c r="E35" s="80" t="s">
        <v>107</v>
      </c>
      <c r="F35" s="104">
        <f>(0.0555+0.0526)/2</f>
        <v>5.4050000000000001E-2</v>
      </c>
      <c r="G35" s="139">
        <f>(0.0536+0.0514)/2</f>
        <v>5.2500000000000005E-2</v>
      </c>
      <c r="H35" s="104">
        <f>0.2672-F35</f>
        <v>0.21315000000000001</v>
      </c>
      <c r="I35" s="105">
        <f>0.2429-F35</f>
        <v>0.18885000000000002</v>
      </c>
      <c r="J35" s="105">
        <f>0.1829-G35</f>
        <v>0.13040000000000002</v>
      </c>
      <c r="K35" s="105">
        <f>0.1608-G35</f>
        <v>0.10829999999999999</v>
      </c>
      <c r="L35" s="82">
        <f t="shared" si="0"/>
        <v>2.1759805510534844E-2</v>
      </c>
      <c r="M35" s="82">
        <f t="shared" si="1"/>
        <v>1.9988411669367913E-2</v>
      </c>
      <c r="N35" s="105">
        <f t="shared" si="2"/>
        <v>2.0874108589951378E-2</v>
      </c>
      <c r="O35" s="105">
        <f>'Growth curves CeBER'!F21</f>
        <v>2.94</v>
      </c>
      <c r="P35" s="105">
        <f t="shared" si="3"/>
        <v>3.6261960000000002</v>
      </c>
      <c r="Q35" s="106">
        <f t="shared" ref="Q35:Q37" si="10">P35*0.075/1000</f>
        <v>2.7196469999999999E-4</v>
      </c>
      <c r="R35" s="107">
        <f t="shared" si="4"/>
        <v>38.376503623358801</v>
      </c>
      <c r="S35" s="111"/>
      <c r="T35" s="112"/>
      <c r="U35" s="112"/>
      <c r="V35" s="86">
        <f t="shared" si="5"/>
        <v>139.16072393300919</v>
      </c>
      <c r="W35" s="102"/>
      <c r="X35" s="86"/>
      <c r="Y35" s="86"/>
      <c r="Z35" s="86">
        <f t="shared" si="7"/>
        <v>0.42608319107748288</v>
      </c>
      <c r="AA35" s="102"/>
      <c r="AB35" s="110"/>
    </row>
    <row r="36" spans="1:28" x14ac:dyDescent="0.2">
      <c r="A36" s="58"/>
      <c r="B36" s="58"/>
      <c r="D36" s="148"/>
      <c r="E36" s="80" t="s">
        <v>108</v>
      </c>
      <c r="F36" s="58"/>
      <c r="G36" s="79"/>
      <c r="H36" s="81">
        <f>0.2179-F35</f>
        <v>0.16385</v>
      </c>
      <c r="I36" s="82">
        <f>0.2175-F35</f>
        <v>0.16344999999999998</v>
      </c>
      <c r="J36" s="82">
        <f>0.1413-G35</f>
        <v>8.8800000000000004E-2</v>
      </c>
      <c r="K36" s="82">
        <f>0.1398-G35</f>
        <v>8.7300000000000003E-2</v>
      </c>
      <c r="L36" s="82">
        <f t="shared" si="0"/>
        <v>1.7848622366288494E-2</v>
      </c>
      <c r="M36" s="82">
        <f t="shared" si="1"/>
        <v>1.7930875202593191E-2</v>
      </c>
      <c r="N36" s="82">
        <f t="shared" si="2"/>
        <v>1.7889748784440843E-2</v>
      </c>
      <c r="O36" s="82">
        <f>'Growth curves CeBER'!G21</f>
        <v>2.5840000000000001</v>
      </c>
      <c r="P36" s="82">
        <f t="shared" si="3"/>
        <v>3.1871056000000002</v>
      </c>
      <c r="Q36" s="83">
        <f t="shared" si="10"/>
        <v>2.3903292000000001E-4</v>
      </c>
      <c r="R36" s="84">
        <f t="shared" si="4"/>
        <v>37.421098283116905</v>
      </c>
      <c r="S36" s="85"/>
      <c r="V36" s="86">
        <f t="shared" si="5"/>
        <v>119.26499189627228</v>
      </c>
      <c r="W36" s="102"/>
      <c r="X36" s="86"/>
      <c r="Y36" s="86"/>
      <c r="Z36" s="86">
        <f>(V36-$V$6)/(D35-$D$5)</f>
        <v>0.36409327811432401</v>
      </c>
      <c r="AA36" s="102"/>
      <c r="AB36" s="110"/>
    </row>
    <row r="37" spans="1:28" x14ac:dyDescent="0.2">
      <c r="A37" s="58"/>
      <c r="B37" s="58"/>
      <c r="D37" s="148"/>
      <c r="E37" s="90" t="s">
        <v>109</v>
      </c>
      <c r="F37" s="58"/>
      <c r="G37" s="79"/>
      <c r="H37" s="81">
        <f>0.2409-F35</f>
        <v>0.18685000000000002</v>
      </c>
      <c r="I37" s="82">
        <f>0.26-F35</f>
        <v>0.20595000000000002</v>
      </c>
      <c r="J37" s="82">
        <f>0.1529-G35</f>
        <v>0.1004</v>
      </c>
      <c r="K37" s="82">
        <f>0.1684-G35</f>
        <v>0.11589999999999999</v>
      </c>
      <c r="L37" s="82">
        <f t="shared" si="0"/>
        <v>2.04388978930308E-2</v>
      </c>
      <c r="M37" s="82">
        <f t="shared" si="1"/>
        <v>2.2014667747163701E-2</v>
      </c>
      <c r="N37" s="92">
        <f t="shared" si="2"/>
        <v>2.122678282009725E-2</v>
      </c>
      <c r="O37" s="92">
        <f>'Growth curves CeBER'!H21</f>
        <v>2.78</v>
      </c>
      <c r="P37" s="92">
        <f t="shared" si="3"/>
        <v>3.428852</v>
      </c>
      <c r="Q37" s="93">
        <f t="shared" si="10"/>
        <v>2.5716390000000001E-4</v>
      </c>
      <c r="R37" s="94">
        <f t="shared" si="4"/>
        <v>41.270922590801526</v>
      </c>
      <c r="S37" s="95">
        <f>AVERAGE(R35:R37)</f>
        <v>39.022841499092408</v>
      </c>
      <c r="T37" s="96">
        <f>STDEV(R35:R37)</f>
        <v>2.0046449279649798</v>
      </c>
      <c r="U37" s="96">
        <f>T37/SQRT(3)</f>
        <v>1.1573822887901992</v>
      </c>
      <c r="V37" s="96">
        <f t="shared" si="5"/>
        <v>141.51188546731498</v>
      </c>
      <c r="W37" s="95">
        <f>AVERAGE(V35:V37)</f>
        <v>133.31253376553215</v>
      </c>
      <c r="X37" s="96">
        <f>STDEV(V35:V37)</f>
        <v>12.222195570623009</v>
      </c>
      <c r="Y37" s="96">
        <f>X37/SQRT(3)</f>
        <v>7.0564879027874463</v>
      </c>
      <c r="Z37" s="96">
        <f>(V37-$V$7)/(D35-$D$5)</f>
        <v>0.4360933342253549</v>
      </c>
      <c r="AA37" s="95">
        <f>AVERAGE(Z35:Z37)</f>
        <v>0.40875660113905399</v>
      </c>
      <c r="AB37" s="103">
        <f>STDEV(Z35:Z37)/SQRT(3)</f>
        <v>2.2517845213435719E-2</v>
      </c>
    </row>
    <row r="38" spans="1:28" x14ac:dyDescent="0.2">
      <c r="A38" s="58"/>
      <c r="B38" s="99" t="s">
        <v>36</v>
      </c>
      <c r="C38" s="100">
        <v>0.49027777777777781</v>
      </c>
      <c r="D38" s="155">
        <f>11+15/60+12+D35</f>
        <v>336.16666666666669</v>
      </c>
      <c r="E38" s="80" t="s">
        <v>107</v>
      </c>
      <c r="F38" s="104">
        <f>(0.0459+0.0491)/2</f>
        <v>4.7500000000000001E-2</v>
      </c>
      <c r="G38" s="139">
        <f>(0.0437+0.047)/2</f>
        <v>4.5350000000000001E-2</v>
      </c>
      <c r="H38" s="104">
        <f>0.2973-F38</f>
        <v>0.24980000000000002</v>
      </c>
      <c r="I38" s="105">
        <f>0.3084-F38</f>
        <v>0.26090000000000002</v>
      </c>
      <c r="J38" s="105">
        <f>0.1884-G38</f>
        <v>0.14305000000000001</v>
      </c>
      <c r="K38" s="105">
        <f>0.1951-G38</f>
        <v>0.14974999999999999</v>
      </c>
      <c r="L38" s="82">
        <f t="shared" si="0"/>
        <v>2.6459440842787684E-2</v>
      </c>
      <c r="M38" s="82">
        <f t="shared" si="1"/>
        <v>2.7601499189627232E-2</v>
      </c>
      <c r="N38" s="105">
        <f t="shared" si="2"/>
        <v>2.703047001620746E-2</v>
      </c>
      <c r="O38" s="105">
        <f>'Growth curves CeBER'!F22</f>
        <v>3.0680000000000001</v>
      </c>
      <c r="P38" s="105">
        <f t="shared" si="3"/>
        <v>3.7840712000000001</v>
      </c>
      <c r="Q38" s="106">
        <f>P38*0.075/1000</f>
        <v>2.8380534000000003E-4</v>
      </c>
      <c r="R38" s="107">
        <f t="shared" si="4"/>
        <v>47.621496509204967</v>
      </c>
      <c r="S38" s="111"/>
      <c r="T38" s="112"/>
      <c r="U38" s="112"/>
      <c r="V38" s="86">
        <f t="shared" si="5"/>
        <v>180.20313344138305</v>
      </c>
      <c r="W38" s="102"/>
      <c r="X38" s="86"/>
      <c r="Y38" s="86"/>
      <c r="Z38" s="86">
        <f t="shared" si="7"/>
        <v>0.51870384149638926</v>
      </c>
      <c r="AA38" s="102"/>
      <c r="AB38" s="110"/>
    </row>
    <row r="39" spans="1:28" x14ac:dyDescent="0.2">
      <c r="A39" s="58"/>
      <c r="B39" s="58"/>
      <c r="D39" s="87"/>
      <c r="E39" s="80" t="s">
        <v>108</v>
      </c>
      <c r="F39" s="81"/>
      <c r="G39" s="137"/>
      <c r="H39" s="81">
        <f>0.241-F38</f>
        <v>0.19350000000000001</v>
      </c>
      <c r="I39" s="82">
        <f>0.2445-F38</f>
        <v>0.19700000000000001</v>
      </c>
      <c r="J39" s="82">
        <f>0.1497-G38</f>
        <v>0.10435</v>
      </c>
      <c r="K39" s="82">
        <f>0.1526-G38</f>
        <v>0.10725000000000001</v>
      </c>
      <c r="L39" s="82">
        <f t="shared" si="0"/>
        <v>2.1129376012965967E-2</v>
      </c>
      <c r="M39" s="82">
        <f t="shared" si="1"/>
        <v>2.1412277147487845E-2</v>
      </c>
      <c r="N39" s="82">
        <f t="shared" si="2"/>
        <v>2.1270826580226908E-2</v>
      </c>
      <c r="O39" s="82">
        <f>'Growth curves CeBER'!G22</f>
        <v>2.5880000000000001</v>
      </c>
      <c r="P39" s="82">
        <f t="shared" si="3"/>
        <v>3.1920392000000004</v>
      </c>
      <c r="Q39" s="83">
        <f>P39*0.075/1000</f>
        <v>2.3940294000000001E-4</v>
      </c>
      <c r="R39" s="84">
        <f t="shared" si="4"/>
        <v>44.424739688298956</v>
      </c>
      <c r="S39" s="85"/>
      <c r="V39" s="86">
        <f t="shared" si="5"/>
        <v>141.80551053484606</v>
      </c>
      <c r="W39" s="102"/>
      <c r="X39" s="86"/>
      <c r="Y39" s="86"/>
      <c r="Z39" s="86">
        <f>(V39-$V$6)/(D38-$D$5)</f>
        <v>0.40596343157713732</v>
      </c>
      <c r="AA39" s="102"/>
      <c r="AB39" s="110"/>
    </row>
    <row r="40" spans="1:28" x14ac:dyDescent="0.2">
      <c r="A40" s="58"/>
      <c r="B40" s="58"/>
      <c r="D40" s="87"/>
      <c r="E40" s="90" t="s">
        <v>109</v>
      </c>
      <c r="F40" s="81"/>
      <c r="G40" s="137"/>
      <c r="H40" s="81">
        <f>0.2748-F38</f>
        <v>0.2273</v>
      </c>
      <c r="I40" s="82">
        <f>0.2993-F38</f>
        <v>0.25180000000000002</v>
      </c>
      <c r="J40" s="82">
        <f>0.1723-G38</f>
        <v>0.12695000000000001</v>
      </c>
      <c r="K40" s="82">
        <f>0.1933-G38</f>
        <v>0.14795</v>
      </c>
      <c r="L40" s="82">
        <f t="shared" si="0"/>
        <v>2.4391450567260938E-2</v>
      </c>
      <c r="M40" s="82">
        <f t="shared" si="1"/>
        <v>2.6303119935170184E-2</v>
      </c>
      <c r="N40" s="92">
        <f t="shared" si="2"/>
        <v>2.5347285251215559E-2</v>
      </c>
      <c r="O40" s="92">
        <f>'Growth curves CeBER'!H22</f>
        <v>3.044</v>
      </c>
      <c r="P40" s="92">
        <f t="shared" si="3"/>
        <v>3.7544696000000002</v>
      </c>
      <c r="Q40" s="93">
        <f>P40*0.075/1000</f>
        <v>2.8158522000000004E-4</v>
      </c>
      <c r="R40" s="94">
        <f t="shared" si="4"/>
        <v>45.008195478469283</v>
      </c>
      <c r="S40" s="95">
        <f>AVERAGE(R38:R40)</f>
        <v>45.684810558657738</v>
      </c>
      <c r="T40" s="96">
        <f>STDEV(R38:R40)</f>
        <v>1.7024011037520197</v>
      </c>
      <c r="U40" s="96">
        <f>T40/SQRT(3)</f>
        <v>0.98288173551994462</v>
      </c>
      <c r="V40" s="96">
        <f t="shared" si="5"/>
        <v>168.9819016747704</v>
      </c>
      <c r="W40" s="95">
        <f>AVERAGE(V38:V40)</f>
        <v>163.66351521699983</v>
      </c>
      <c r="X40" s="96">
        <f>STDEV(V38:V40)</f>
        <v>19.743563181548595</v>
      </c>
      <c r="Y40" s="96">
        <f>X40/SQRT(3)</f>
        <v>11.398951517629467</v>
      </c>
      <c r="Z40" s="96">
        <f>(V40-$V$7)/(D38-$D$5)</f>
        <v>0.48764766100785145</v>
      </c>
      <c r="AA40" s="95">
        <f>AVERAGE(Z38:Z40)</f>
        <v>0.47077164469379268</v>
      </c>
      <c r="AB40" s="103">
        <f>STDEV(Z38:Z40)/SQRT(3)</f>
        <v>3.3621421505564325E-2</v>
      </c>
    </row>
    <row r="41" spans="1:28" x14ac:dyDescent="0.2">
      <c r="A41" s="58"/>
      <c r="B41" s="99" t="s">
        <v>37</v>
      </c>
      <c r="C41" s="100">
        <v>0.44375000000000003</v>
      </c>
      <c r="D41" s="155">
        <f>10+53/60+12+D38</f>
        <v>359.05</v>
      </c>
      <c r="E41" s="80" t="s">
        <v>107</v>
      </c>
      <c r="F41" s="104">
        <f>(0.0422+0.0455)/2</f>
        <v>4.385E-2</v>
      </c>
      <c r="G41" s="139">
        <f>(0.0423+0.0455)/2</f>
        <v>4.3899999999999995E-2</v>
      </c>
      <c r="H41" s="104">
        <f>0.2192-F41</f>
        <v>0.17535000000000001</v>
      </c>
      <c r="I41" s="105">
        <f>0.2237-F41</f>
        <v>0.17985000000000001</v>
      </c>
      <c r="J41" s="105">
        <f>0.1375-G41</f>
        <v>9.3600000000000017E-2</v>
      </c>
      <c r="K41" s="105">
        <f>0.1402-G41</f>
        <v>9.6299999999999997E-2</v>
      </c>
      <c r="L41" s="82">
        <f t="shared" si="0"/>
        <v>1.9241815235008102E-2</v>
      </c>
      <c r="M41" s="82">
        <f t="shared" si="1"/>
        <v>1.9706401944894654E-2</v>
      </c>
      <c r="N41" s="105">
        <f t="shared" si="2"/>
        <v>1.9474108589951376E-2</v>
      </c>
      <c r="O41" s="105">
        <f>'Growth curves CeBER'!F23</f>
        <v>3.2280000000000002</v>
      </c>
      <c r="P41" s="105">
        <f t="shared" si="3"/>
        <v>3.9814152000000003</v>
      </c>
      <c r="Q41" s="106">
        <f t="shared" ref="Q41:Q49" si="11">P41*0.05/1000</f>
        <v>1.9907076E-4</v>
      </c>
      <c r="R41" s="107">
        <f t="shared" si="4"/>
        <v>48.912528866497965</v>
      </c>
      <c r="S41" s="111"/>
      <c r="T41" s="112"/>
      <c r="U41" s="112"/>
      <c r="V41" s="86">
        <f t="shared" si="5"/>
        <v>194.74108589951379</v>
      </c>
      <c r="W41" s="102"/>
      <c r="X41" s="86"/>
      <c r="Y41" s="86"/>
      <c r="Z41" s="86">
        <f t="shared" si="7"/>
        <v>0.52613534003945672</v>
      </c>
      <c r="AA41" s="102"/>
      <c r="AB41" s="110"/>
    </row>
    <row r="42" spans="1:28" x14ac:dyDescent="0.2">
      <c r="A42" s="58"/>
      <c r="B42" s="58"/>
      <c r="D42" s="87"/>
      <c r="E42" s="80" t="s">
        <v>108</v>
      </c>
      <c r="F42" s="81"/>
      <c r="G42" s="137"/>
      <c r="H42" s="81"/>
      <c r="I42" s="82"/>
      <c r="J42" s="82"/>
      <c r="K42" s="82"/>
      <c r="L42" s="82">
        <f t="shared" si="0"/>
        <v>0</v>
      </c>
      <c r="M42" s="82">
        <f t="shared" si="1"/>
        <v>0</v>
      </c>
      <c r="N42" s="82">
        <f t="shared" si="2"/>
        <v>0</v>
      </c>
      <c r="O42" s="82">
        <f>'Growth curves CeBER'!G23</f>
        <v>2.8439999999999999</v>
      </c>
      <c r="P42" s="82">
        <f t="shared" si="3"/>
        <v>3.5077896000000002</v>
      </c>
      <c r="Q42" s="83">
        <f t="shared" si="11"/>
        <v>1.7538948E-4</v>
      </c>
      <c r="R42" s="84"/>
      <c r="S42" s="85"/>
      <c r="V42" s="86"/>
      <c r="W42" s="102"/>
      <c r="X42" s="86"/>
      <c r="Y42" s="86"/>
      <c r="Z42" s="86">
        <f>(V42-$V$6)/(D41-$D$5)</f>
        <v>-1.4856251087587742E-2</v>
      </c>
      <c r="AA42" s="102"/>
      <c r="AB42" s="110"/>
    </row>
    <row r="43" spans="1:28" x14ac:dyDescent="0.2">
      <c r="A43" s="58"/>
      <c r="B43" s="58"/>
      <c r="D43" s="87"/>
      <c r="E43" s="90" t="s">
        <v>109</v>
      </c>
      <c r="F43" s="81"/>
      <c r="G43" s="137"/>
      <c r="H43" s="81"/>
      <c r="I43" s="82"/>
      <c r="J43" s="82"/>
      <c r="K43" s="82"/>
      <c r="L43" s="82">
        <f t="shared" si="0"/>
        <v>0</v>
      </c>
      <c r="M43" s="82">
        <f t="shared" si="1"/>
        <v>0</v>
      </c>
      <c r="N43" s="92">
        <f t="shared" si="2"/>
        <v>0</v>
      </c>
      <c r="O43" s="92">
        <f>'Growth curves CeBER'!H23</f>
        <v>3.1360000000000001</v>
      </c>
      <c r="P43" s="92">
        <f t="shared" si="3"/>
        <v>3.8679424000000004</v>
      </c>
      <c r="Q43" s="93">
        <f t="shared" si="11"/>
        <v>1.9339712000000003E-4</v>
      </c>
      <c r="R43" s="94"/>
      <c r="S43" s="95">
        <f>AVERAGE(R41:R43)</f>
        <v>48.912528866497965</v>
      </c>
      <c r="T43" s="96"/>
      <c r="U43" s="96"/>
      <c r="V43" s="96"/>
      <c r="W43" s="95">
        <f>AVERAGE(V41:V43)</f>
        <v>194.74108589951379</v>
      </c>
      <c r="X43" s="96"/>
      <c r="Y43" s="96"/>
      <c r="Z43" s="96">
        <f>(V43-$V$7)/(D41-$D$5)</f>
        <v>-1.4067714708158596E-2</v>
      </c>
      <c r="AA43" s="95">
        <f>AVERAGE(Z41:Z43)</f>
        <v>0.16573712474790347</v>
      </c>
      <c r="AB43" s="103">
        <f>STDEV(Z41:Z43)/SQRT(3)</f>
        <v>0.18019925141946624</v>
      </c>
    </row>
    <row r="44" spans="1:28" x14ac:dyDescent="0.2">
      <c r="A44" s="58"/>
      <c r="B44" s="99" t="s">
        <v>38</v>
      </c>
      <c r="C44" s="100">
        <v>0.50347222222222221</v>
      </c>
      <c r="D44" s="155">
        <f>1+26/60+24+D41</f>
        <v>384.48333333333335</v>
      </c>
      <c r="E44" s="80" t="s">
        <v>107</v>
      </c>
      <c r="F44" s="104">
        <f>(0.0451+0.0398+0.0434)/3</f>
        <v>4.2766666666666668E-2</v>
      </c>
      <c r="G44" s="139">
        <f>(0.0445+0.0392+0.0428)/3</f>
        <v>4.2166666666666665E-2</v>
      </c>
      <c r="H44" s="104">
        <f>0.2013-F44</f>
        <v>0.15853333333333333</v>
      </c>
      <c r="I44" s="105">
        <f>0.2025-F44</f>
        <v>0.15973333333333334</v>
      </c>
      <c r="J44" s="105">
        <f>0.1287-G44</f>
        <v>8.6533333333333351E-2</v>
      </c>
      <c r="K44" s="105">
        <f>0.131-G44</f>
        <v>8.8833333333333347E-2</v>
      </c>
      <c r="L44" s="82">
        <f t="shared" si="0"/>
        <v>1.7209184224743383E-2</v>
      </c>
      <c r="M44" s="82">
        <f t="shared" si="1"/>
        <v>1.7178146947595892E-2</v>
      </c>
      <c r="N44" s="105">
        <f t="shared" si="2"/>
        <v>1.7193665586169637E-2</v>
      </c>
      <c r="O44" s="105">
        <f>'Growth curves CeBER'!F24</f>
        <v>3.38</v>
      </c>
      <c r="P44" s="105">
        <f t="shared" si="3"/>
        <v>4.1688920000000005</v>
      </c>
      <c r="Q44" s="106">
        <f t="shared" si="11"/>
        <v>2.0844460000000003E-4</v>
      </c>
      <c r="R44" s="107">
        <f t="shared" si="4"/>
        <v>41.242770467955602</v>
      </c>
      <c r="S44" s="111"/>
      <c r="T44" s="112"/>
      <c r="U44" s="112"/>
      <c r="V44" s="86">
        <f t="shared" si="5"/>
        <v>171.93665586169638</v>
      </c>
      <c r="W44" s="102"/>
      <c r="X44" s="86"/>
      <c r="Y44" s="86"/>
      <c r="Z44" s="86">
        <f t="shared" si="7"/>
        <v>0.43201993273228023</v>
      </c>
      <c r="AA44" s="102"/>
      <c r="AB44" s="110"/>
    </row>
    <row r="45" spans="1:28" x14ac:dyDescent="0.2">
      <c r="A45" s="58"/>
      <c r="B45" s="58"/>
      <c r="D45" s="87"/>
      <c r="E45" s="80" t="s">
        <v>108</v>
      </c>
      <c r="F45" s="81"/>
      <c r="G45" s="137"/>
      <c r="H45" s="81">
        <f>0.2112-F44</f>
        <v>0.16843333333333332</v>
      </c>
      <c r="I45" s="82">
        <f>0.2143-F44</f>
        <v>0.17153333333333332</v>
      </c>
      <c r="J45" s="82">
        <f>0.1382-G44</f>
        <v>9.6033333333333332E-2</v>
      </c>
      <c r="K45" s="82">
        <f>0.1397-G44</f>
        <v>9.7533333333333333E-2</v>
      </c>
      <c r="L45" s="82">
        <f t="shared" si="0"/>
        <v>1.7882198811453268E-2</v>
      </c>
      <c r="M45" s="82">
        <f t="shared" si="1"/>
        <v>1.8237547271745001E-2</v>
      </c>
      <c r="N45" s="82">
        <f t="shared" si="2"/>
        <v>1.8059873041599134E-2</v>
      </c>
      <c r="O45" s="82">
        <f>'Growth curves CeBER'!G24</f>
        <v>2.8580000000000001</v>
      </c>
      <c r="P45" s="82">
        <f t="shared" si="3"/>
        <v>3.5250572000000004</v>
      </c>
      <c r="Q45" s="83">
        <f t="shared" si="11"/>
        <v>1.7625286000000004E-4</v>
      </c>
      <c r="R45" s="84">
        <f t="shared" si="4"/>
        <v>51.232851034585003</v>
      </c>
      <c r="S45" s="85"/>
      <c r="V45" s="86">
        <f t="shared" si="5"/>
        <v>180.59873041599133</v>
      </c>
      <c r="W45" s="102"/>
      <c r="X45" s="86"/>
      <c r="Y45" s="86"/>
      <c r="Z45" s="86">
        <f>(V45-$V$6)/(D44-$D$5)</f>
        <v>0.45584444959814363</v>
      </c>
      <c r="AA45" s="102"/>
      <c r="AB45" s="110"/>
    </row>
    <row r="46" spans="1:28" x14ac:dyDescent="0.2">
      <c r="A46" s="58"/>
      <c r="B46" s="58"/>
      <c r="D46" s="87"/>
      <c r="E46" s="90" t="s">
        <v>109</v>
      </c>
      <c r="F46" s="81"/>
      <c r="G46" s="137"/>
      <c r="H46" s="81">
        <f>0.2383-F44</f>
        <v>0.19553333333333334</v>
      </c>
      <c r="I46" s="82">
        <f>0.2484-F44</f>
        <v>0.20563333333333333</v>
      </c>
      <c r="J46" s="82">
        <f>0.1618-G44</f>
        <v>0.11963333333333334</v>
      </c>
      <c r="K46" s="82">
        <f>0.1723-G44</f>
        <v>0.13013333333333335</v>
      </c>
      <c r="L46" s="82">
        <f t="shared" si="0"/>
        <v>1.9960318746623445E-2</v>
      </c>
      <c r="M46" s="82">
        <f t="shared" si="1"/>
        <v>2.0567693138843868E-2</v>
      </c>
      <c r="N46" s="92">
        <f t="shared" si="2"/>
        <v>2.0264005942733657E-2</v>
      </c>
      <c r="O46" s="92">
        <f>'Growth curves CeBER'!H24</f>
        <v>3.05</v>
      </c>
      <c r="P46" s="92">
        <f t="shared" si="3"/>
        <v>3.76187</v>
      </c>
      <c r="Q46" s="93">
        <f t="shared" si="11"/>
        <v>1.8809350000000002E-4</v>
      </c>
      <c r="R46" s="94">
        <f t="shared" si="4"/>
        <v>53.866842667964747</v>
      </c>
      <c r="S46" s="95">
        <f>AVERAGE(R44:R46)</f>
        <v>48.780821390168455</v>
      </c>
      <c r="T46" s="96">
        <f>STDEV(R44:R46)</f>
        <v>6.6596649135360675</v>
      </c>
      <c r="U46" s="96">
        <f>T46/SQRT(3)</f>
        <v>3.8449593305427547</v>
      </c>
      <c r="V46" s="96">
        <f t="shared" si="5"/>
        <v>202.64005942733655</v>
      </c>
      <c r="W46" s="95">
        <f>AVERAGE(V44:V46)</f>
        <v>185.05848190167475</v>
      </c>
      <c r="X46" s="96">
        <f>STDEV(V44:V46)</f>
        <v>15.830091127791496</v>
      </c>
      <c r="Y46" s="96">
        <f>X46/SQRT(3)</f>
        <v>9.1395073739267279</v>
      </c>
      <c r="Z46" s="96">
        <f>(V46-$V$7)/(D44-$D$5)</f>
        <v>0.5139079625333709</v>
      </c>
      <c r="AA46" s="95">
        <f>AVERAGE(Z44:Z46)</f>
        <v>0.46725744828793153</v>
      </c>
      <c r="AB46" s="103">
        <f>STDEV(Z44:Z46)/SQRT(3)</f>
        <v>2.4318064345227704E-2</v>
      </c>
    </row>
    <row r="47" spans="1:28" x14ac:dyDescent="0.2">
      <c r="A47" s="58"/>
      <c r="B47" s="99" t="s">
        <v>39</v>
      </c>
      <c r="C47" s="100">
        <v>0.48472222222222222</v>
      </c>
      <c r="D47" s="155">
        <f>11+33/60+12+D44</f>
        <v>408.03333333333336</v>
      </c>
      <c r="E47" s="80" t="s">
        <v>107</v>
      </c>
      <c r="F47" s="104">
        <v>4.4200000000000003E-2</v>
      </c>
      <c r="G47" s="139">
        <v>4.2500000000000003E-2</v>
      </c>
      <c r="H47" s="105">
        <f>0.2234-F47</f>
        <v>0.17919999999999997</v>
      </c>
      <c r="I47" s="105">
        <f>0.2117-F47</f>
        <v>0.16749999999999998</v>
      </c>
      <c r="J47" s="105">
        <f>0.1416-G47</f>
        <v>9.9099999999999994E-2</v>
      </c>
      <c r="K47" s="105">
        <f>0.131-G47</f>
        <v>8.8499999999999995E-2</v>
      </c>
      <c r="L47" s="82">
        <f t="shared" si="0"/>
        <v>1.9326499189627224E-2</v>
      </c>
      <c r="M47" s="82">
        <f t="shared" si="1"/>
        <v>1.8469611021069691E-2</v>
      </c>
      <c r="N47" s="105">
        <f t="shared" si="2"/>
        <v>1.8898055105348456E-2</v>
      </c>
      <c r="O47" s="105">
        <f>'Growth curves CeBER'!F25</f>
        <v>3.3839999999999999</v>
      </c>
      <c r="P47" s="105">
        <f t="shared" si="3"/>
        <v>4.1738255999999998</v>
      </c>
      <c r="Q47" s="106">
        <f t="shared" si="11"/>
        <v>2.0869128000000002E-4</v>
      </c>
      <c r="R47" s="107">
        <f t="shared" si="4"/>
        <v>45.2775389210044</v>
      </c>
      <c r="S47" s="111"/>
      <c r="T47" s="112"/>
      <c r="U47" s="112"/>
      <c r="V47" s="86">
        <f t="shared" si="5"/>
        <v>188.98055105348453</v>
      </c>
      <c r="W47" s="102"/>
      <c r="X47" s="86"/>
      <c r="Y47" s="86"/>
      <c r="Z47" s="86">
        <f t="shared" si="7"/>
        <v>0.44885636548109881</v>
      </c>
      <c r="AA47" s="102"/>
      <c r="AB47" s="110"/>
    </row>
    <row r="48" spans="1:28" x14ac:dyDescent="0.2">
      <c r="A48" s="58"/>
      <c r="B48" s="58"/>
      <c r="D48" s="87"/>
      <c r="E48" s="80" t="s">
        <v>108</v>
      </c>
      <c r="F48" s="81"/>
      <c r="G48" s="137"/>
      <c r="H48" s="82">
        <f>0.2773-F47</f>
        <v>0.23309999999999997</v>
      </c>
      <c r="I48" s="82">
        <f>0.2809-F47</f>
        <v>0.23669999999999997</v>
      </c>
      <c r="J48" s="82">
        <f>0.2019-G47</f>
        <v>0.15939999999999999</v>
      </c>
      <c r="K48" s="82">
        <f>0.2023-G47</f>
        <v>0.1598</v>
      </c>
      <c r="L48" s="82">
        <f t="shared" si="0"/>
        <v>2.2149594813614261E-2</v>
      </c>
      <c r="M48" s="82">
        <f t="shared" si="1"/>
        <v>2.2693841166936783E-2</v>
      </c>
      <c r="N48" s="82">
        <f t="shared" si="2"/>
        <v>2.2421717990275522E-2</v>
      </c>
      <c r="O48" s="82">
        <f>'Growth curves CeBER'!G25</f>
        <v>2.96</v>
      </c>
      <c r="P48" s="82">
        <f t="shared" si="3"/>
        <v>3.6508640000000003</v>
      </c>
      <c r="Q48" s="83">
        <f t="shared" si="11"/>
        <v>1.825432E-4</v>
      </c>
      <c r="R48" s="84">
        <f t="shared" si="4"/>
        <v>61.414826710267818</v>
      </c>
      <c r="S48" s="85"/>
      <c r="V48" s="86">
        <f t="shared" si="5"/>
        <v>224.21717990275522</v>
      </c>
      <c r="W48" s="102"/>
      <c r="X48" s="86"/>
      <c r="Y48" s="86"/>
      <c r="Z48" s="86">
        <f>(V48-$V$5)/(D47-$D$5)</f>
        <v>0.5352135965470346</v>
      </c>
      <c r="AA48" s="102"/>
      <c r="AB48" s="110"/>
    </row>
    <row r="49" spans="1:34" ht="14" thickBot="1" x14ac:dyDescent="0.25">
      <c r="A49" s="58"/>
      <c r="B49" s="58"/>
      <c r="D49" s="87"/>
      <c r="E49" s="90" t="s">
        <v>109</v>
      </c>
      <c r="F49" s="81"/>
      <c r="G49" s="137"/>
      <c r="H49" s="82">
        <f>0.236-F47</f>
        <v>0.19179999999999997</v>
      </c>
      <c r="I49" s="82">
        <f>0.276-F47</f>
        <v>0.23180000000000001</v>
      </c>
      <c r="J49" s="82">
        <f>0.155-G47</f>
        <v>0.11249999999999999</v>
      </c>
      <c r="K49" s="82">
        <f>0.1914-G47</f>
        <v>0.14889999999999998</v>
      </c>
      <c r="L49" s="82">
        <f t="shared" si="0"/>
        <v>2.005470016207455E-2</v>
      </c>
      <c r="M49" s="82">
        <f t="shared" si="1"/>
        <v>2.2968476499189632E-2</v>
      </c>
      <c r="N49" s="92">
        <f t="shared" si="2"/>
        <v>2.1511588330632089E-2</v>
      </c>
      <c r="O49" s="92">
        <f>'Growth curves CeBER'!H25</f>
        <v>3.226</v>
      </c>
      <c r="P49" s="92">
        <f t="shared" si="3"/>
        <v>3.9789484000000002</v>
      </c>
      <c r="Q49" s="93">
        <f t="shared" si="11"/>
        <v>1.9894742000000002E-4</v>
      </c>
      <c r="R49" s="94">
        <f t="shared" si="4"/>
        <v>54.063501629305087</v>
      </c>
      <c r="S49" s="95">
        <f>AVERAGE(R47:R49)</f>
        <v>53.585289086859099</v>
      </c>
      <c r="T49" s="96">
        <f>STDEV(R47:R49)</f>
        <v>8.0792654198999632</v>
      </c>
      <c r="U49" s="96">
        <f>T49/SQRT(3)</f>
        <v>4.6645660650336787</v>
      </c>
      <c r="V49" s="96">
        <f t="shared" si="5"/>
        <v>215.11588330632088</v>
      </c>
      <c r="W49" s="95">
        <f>AVERAGE(V47:V49)</f>
        <v>209.43787142085353</v>
      </c>
      <c r="X49" s="96">
        <f>STDEV(V47:V49)</f>
        <v>18.291661143645349</v>
      </c>
      <c r="Y49" s="96">
        <f>X49/SQRT(3)</f>
        <v>10.560695485209061</v>
      </c>
      <c r="Z49" s="96">
        <f>(V49-$V$7)/(D47-$D$5)</f>
        <v>0.51482281759747539</v>
      </c>
      <c r="AA49" s="95">
        <f>AVERAGE(Z47:Z49)</f>
        <v>0.49963092654186964</v>
      </c>
      <c r="AB49" s="103">
        <f>STDEV(Z47:Z49)/SQRT(3)</f>
        <v>2.6060749571772381E-2</v>
      </c>
    </row>
    <row r="50" spans="1:34" ht="15" thickBot="1" x14ac:dyDescent="0.25">
      <c r="B50" s="239" t="s">
        <v>71</v>
      </c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0"/>
      <c r="Y50" s="240"/>
      <c r="Z50" s="240"/>
      <c r="AA50" s="240"/>
      <c r="AB50" s="241"/>
    </row>
    <row r="51" spans="1:34" ht="45" customHeight="1" x14ac:dyDescent="0.2">
      <c r="B51" s="59" t="s">
        <v>0</v>
      </c>
      <c r="C51" s="60" t="s">
        <v>1</v>
      </c>
      <c r="D51" s="61" t="s">
        <v>2</v>
      </c>
      <c r="E51" s="62"/>
      <c r="F51" s="60" t="s">
        <v>8</v>
      </c>
      <c r="G51" s="60" t="s">
        <v>9</v>
      </c>
      <c r="H51" s="233" t="s">
        <v>90</v>
      </c>
      <c r="I51" s="234"/>
      <c r="J51" s="235" t="s">
        <v>91</v>
      </c>
      <c r="K51" s="236"/>
      <c r="L51" s="237" t="s">
        <v>92</v>
      </c>
      <c r="M51" s="238"/>
      <c r="N51" s="63" t="s">
        <v>93</v>
      </c>
      <c r="O51" s="64" t="s">
        <v>94</v>
      </c>
      <c r="P51" s="63" t="s">
        <v>10</v>
      </c>
      <c r="Q51" s="63" t="s">
        <v>11</v>
      </c>
      <c r="R51" s="63" t="s">
        <v>95</v>
      </c>
      <c r="S51" s="63" t="s">
        <v>96</v>
      </c>
      <c r="T51" s="63" t="s">
        <v>97</v>
      </c>
      <c r="U51" s="65" t="s">
        <v>62</v>
      </c>
      <c r="V51" s="64" t="s">
        <v>98</v>
      </c>
      <c r="W51" s="63" t="s">
        <v>99</v>
      </c>
      <c r="X51" s="63" t="s">
        <v>97</v>
      </c>
      <c r="Y51" s="66" t="s">
        <v>62</v>
      </c>
      <c r="Z51" s="66" t="s">
        <v>100</v>
      </c>
      <c r="AA51" s="63" t="s">
        <v>101</v>
      </c>
      <c r="AB51" s="67" t="s">
        <v>62</v>
      </c>
      <c r="AD51" s="56" t="s">
        <v>2</v>
      </c>
      <c r="AE51" s="77" t="str">
        <f>S51</f>
        <v>Average specific CPC conc.</v>
      </c>
      <c r="AF51" s="56" t="s">
        <v>12</v>
      </c>
      <c r="AG51" s="77" t="str">
        <f>W51</f>
        <v>Average total CPC</v>
      </c>
      <c r="AH51" s="56" t="s">
        <v>12</v>
      </c>
    </row>
    <row r="52" spans="1:34" ht="25" customHeight="1" x14ac:dyDescent="0.2">
      <c r="B52" s="68"/>
      <c r="C52" s="69"/>
      <c r="D52" s="70"/>
      <c r="E52" s="71"/>
      <c r="F52" s="69" t="s">
        <v>13</v>
      </c>
      <c r="G52" s="69" t="s">
        <v>13</v>
      </c>
      <c r="H52" s="72" t="s">
        <v>102</v>
      </c>
      <c r="I52" s="69" t="s">
        <v>103</v>
      </c>
      <c r="J52" s="70" t="s">
        <v>102</v>
      </c>
      <c r="K52" s="73" t="s">
        <v>103</v>
      </c>
      <c r="L52" s="225" t="s">
        <v>14</v>
      </c>
      <c r="M52" s="226"/>
      <c r="N52" s="74" t="s">
        <v>14</v>
      </c>
      <c r="O52" s="74" t="s">
        <v>13</v>
      </c>
      <c r="P52" s="74" t="s">
        <v>15</v>
      </c>
      <c r="Q52" s="74" t="s">
        <v>16</v>
      </c>
      <c r="R52" s="75" t="s">
        <v>104</v>
      </c>
      <c r="S52" s="75" t="s">
        <v>104</v>
      </c>
      <c r="T52" s="74"/>
      <c r="U52" s="70"/>
      <c r="V52" s="75" t="s">
        <v>105</v>
      </c>
      <c r="W52" s="75" t="s">
        <v>105</v>
      </c>
      <c r="X52" s="74"/>
      <c r="Y52" s="74"/>
      <c r="Z52" s="75" t="s">
        <v>106</v>
      </c>
      <c r="AA52" s="75" t="s">
        <v>106</v>
      </c>
      <c r="AB52" s="76"/>
      <c r="AD52" s="87">
        <f>D56</f>
        <v>23.383333333333333</v>
      </c>
      <c r="AE52" s="86">
        <f>S58</f>
        <v>21.876942056817949</v>
      </c>
      <c r="AF52" s="86">
        <f>U58</f>
        <v>1.4318365615832005</v>
      </c>
      <c r="AG52" s="86">
        <f>W58</f>
        <v>6.300574014046461</v>
      </c>
      <c r="AH52" s="86">
        <f>Y58</f>
        <v>0.38753509153279131</v>
      </c>
    </row>
    <row r="53" spans="1:34" x14ac:dyDescent="0.2">
      <c r="B53" s="58" t="s">
        <v>23</v>
      </c>
      <c r="C53" s="78">
        <v>0.42222222222222222</v>
      </c>
      <c r="D53" s="148">
        <v>0</v>
      </c>
      <c r="E53" s="80" t="s">
        <v>107</v>
      </c>
      <c r="F53" s="82">
        <f>(0.0345+0.0356)/2</f>
        <v>3.5049999999999998E-2</v>
      </c>
      <c r="G53" s="82">
        <f>(0.0344+0.0347)/2</f>
        <v>3.4549999999999997E-2</v>
      </c>
      <c r="H53" s="81">
        <f>0.1548-F53</f>
        <v>0.11975</v>
      </c>
      <c r="I53" s="82">
        <f>0.1487-F53</f>
        <v>0.11365</v>
      </c>
      <c r="J53" s="82">
        <f>0.1091-G53</f>
        <v>7.4550000000000005E-2</v>
      </c>
      <c r="K53" s="82">
        <f>0.1034-G53</f>
        <v>6.8850000000000008E-2</v>
      </c>
      <c r="L53" s="82">
        <f>(H53-(0.605*J53))/6.17</f>
        <v>1.2098419773095623E-2</v>
      </c>
      <c r="M53" s="82">
        <f>(I53-(0.605*K53))/6.17</f>
        <v>1.1668679092382495E-2</v>
      </c>
      <c r="N53" s="82">
        <f>AVERAGE(L53:M53)</f>
        <v>1.188354943273906E-2</v>
      </c>
      <c r="O53" s="56">
        <f>'Growth curves CeBER'!F29</f>
        <v>9.5000000000000001E-2</v>
      </c>
      <c r="P53" s="82">
        <f>1.2334*O53</f>
        <v>0.117173</v>
      </c>
      <c r="Q53" s="83">
        <f>P53*1/1000</f>
        <v>1.17173E-4</v>
      </c>
      <c r="R53" s="84">
        <f>(N53*0.5)/Q53</f>
        <v>50.709418691759453</v>
      </c>
      <c r="S53" s="85"/>
      <c r="V53" s="86">
        <f>R53*P53</f>
        <v>5.9417747163695305</v>
      </c>
      <c r="W53" s="85"/>
      <c r="AA53" s="85"/>
      <c r="AB53" s="79"/>
      <c r="AD53" s="87">
        <f>D59</f>
        <v>71.599999999999994</v>
      </c>
      <c r="AE53" s="86">
        <f>S61</f>
        <v>24.277887838273326</v>
      </c>
      <c r="AF53" s="86">
        <f>U61</f>
        <v>5.0999210332738238</v>
      </c>
      <c r="AG53" s="86">
        <f>W61</f>
        <v>16.848878984332796</v>
      </c>
      <c r="AH53" s="86">
        <f>Y61</f>
        <v>3.547137332702742</v>
      </c>
    </row>
    <row r="54" spans="1:34" ht="15" customHeight="1" x14ac:dyDescent="0.2">
      <c r="B54" s="58"/>
      <c r="D54" s="148"/>
      <c r="E54" s="80" t="s">
        <v>108</v>
      </c>
      <c r="H54" s="81">
        <f>0.143-F53</f>
        <v>0.10794999999999999</v>
      </c>
      <c r="I54" s="82">
        <f>0.1454-F53</f>
        <v>0.11035</v>
      </c>
      <c r="J54" s="82">
        <f>0.0993-G53</f>
        <v>6.4750000000000002E-2</v>
      </c>
      <c r="K54" s="82">
        <f>0.1005-G53</f>
        <v>6.5950000000000009E-2</v>
      </c>
      <c r="L54" s="82">
        <f t="shared" ref="L54:L100" si="12">(H54-(0.605*J54))/6.17</f>
        <v>1.114688006482982E-2</v>
      </c>
      <c r="M54" s="82">
        <f t="shared" ref="M54:M100" si="13">(I54-(0.605*K54))/6.17</f>
        <v>1.1418192868719609E-2</v>
      </c>
      <c r="N54" s="82">
        <f t="shared" ref="N54:N100" si="14">AVERAGE(L54:M54)</f>
        <v>1.1282536466774715E-2</v>
      </c>
      <c r="O54" s="56">
        <f>'Growth curves CeBER'!G29</f>
        <v>0.106</v>
      </c>
      <c r="P54" s="82">
        <f t="shared" ref="P54:P100" si="15">1.2334*O54</f>
        <v>0.13074040000000001</v>
      </c>
      <c r="Q54" s="83">
        <f>P54*1/1000</f>
        <v>1.3074040000000001E-4</v>
      </c>
      <c r="R54" s="84">
        <f t="shared" ref="R54:R100" si="16">(N54*0.5)/Q54</f>
        <v>43.148623022320237</v>
      </c>
      <c r="S54" s="85"/>
      <c r="V54" s="86">
        <f t="shared" ref="V54:V100" si="17">R54*P54</f>
        <v>5.6412682333873567</v>
      </c>
      <c r="W54" s="85"/>
      <c r="AA54" s="85"/>
      <c r="AB54" s="79"/>
      <c r="AD54" s="87">
        <f>D62</f>
        <v>95.73333333333332</v>
      </c>
      <c r="AE54" s="86">
        <f>S64</f>
        <v>37.995997935536046</v>
      </c>
      <c r="AF54" s="86">
        <f>U64</f>
        <v>1.2406684737144702</v>
      </c>
      <c r="AG54" s="86">
        <f>W64</f>
        <v>34.332032166396552</v>
      </c>
      <c r="AH54" s="86">
        <f>Y64</f>
        <v>1.8364220661164152</v>
      </c>
    </row>
    <row r="55" spans="1:34" ht="15" customHeight="1" x14ac:dyDescent="0.2">
      <c r="B55" s="88"/>
      <c r="C55" s="97"/>
      <c r="D55" s="149"/>
      <c r="E55" s="90" t="s">
        <v>109</v>
      </c>
      <c r="F55" s="88"/>
      <c r="G55" s="89"/>
      <c r="H55" s="91">
        <f>0.1297-F53</f>
        <v>9.4650000000000012E-2</v>
      </c>
      <c r="I55" s="92">
        <f>0.1294-F53</f>
        <v>9.4349999999999989E-2</v>
      </c>
      <c r="J55" s="92">
        <f>0.0919-G53</f>
        <v>5.7349999999999998E-2</v>
      </c>
      <c r="K55" s="92">
        <f>0.0912-G53</f>
        <v>5.6650000000000006E-2</v>
      </c>
      <c r="L55" s="82">
        <f t="shared" si="12"/>
        <v>9.7168962722852543E-3</v>
      </c>
      <c r="M55" s="82">
        <f t="shared" si="13"/>
        <v>9.7369124797406781E-3</v>
      </c>
      <c r="N55" s="92">
        <f t="shared" si="14"/>
        <v>9.7269043760129653E-3</v>
      </c>
      <c r="O55" s="97">
        <f>'Growth curves CeBER'!H29</f>
        <v>0.10199999999999999</v>
      </c>
      <c r="P55" s="92">
        <f t="shared" si="15"/>
        <v>0.1258068</v>
      </c>
      <c r="Q55" s="93">
        <f>P55*1/1000</f>
        <v>1.2580680000000001E-4</v>
      </c>
      <c r="R55" s="94">
        <f t="shared" si="16"/>
        <v>38.658102646331379</v>
      </c>
      <c r="S55" s="95">
        <f>AVERAGE(R53:R55)</f>
        <v>44.172048120137021</v>
      </c>
      <c r="T55" s="96">
        <f>STDEV(R53:R55)</f>
        <v>6.0904929032738435</v>
      </c>
      <c r="U55" s="96">
        <f>T55/SQRT(3)</f>
        <v>3.5163477172026592</v>
      </c>
      <c r="V55" s="96">
        <f t="shared" si="17"/>
        <v>4.863452188006482</v>
      </c>
      <c r="W55" s="95">
        <f>AVERAGE(V53:V55)</f>
        <v>5.482165045921124</v>
      </c>
      <c r="X55" s="96">
        <f>STDEV(V53:V55)</f>
        <v>0.55648920653527134</v>
      </c>
      <c r="Y55" s="96">
        <f>X55/SQRT(3)</f>
        <v>0.32128919319426019</v>
      </c>
      <c r="Z55" s="97"/>
      <c r="AA55" s="98"/>
      <c r="AB55" s="89"/>
      <c r="AD55" s="87">
        <f>D65</f>
        <v>121.39999999999999</v>
      </c>
      <c r="AE55" s="86">
        <f>S67</f>
        <v>39.746302852446846</v>
      </c>
      <c r="AF55" s="86">
        <f>U67</f>
        <v>2.3721234722376057</v>
      </c>
      <c r="AG55" s="86">
        <f>W67</f>
        <v>47.555033036196654</v>
      </c>
      <c r="AH55" s="86">
        <f>Y67</f>
        <v>2.7261187185074429</v>
      </c>
    </row>
    <row r="56" spans="1:34" x14ac:dyDescent="0.2">
      <c r="B56" s="58" t="s">
        <v>24</v>
      </c>
      <c r="C56" s="78">
        <v>0.39652777777777781</v>
      </c>
      <c r="D56" s="148">
        <f>11+23/60+12</f>
        <v>23.383333333333333</v>
      </c>
      <c r="E56" s="80" t="s">
        <v>107</v>
      </c>
      <c r="F56" s="82">
        <f>(0.0391+0.0385)/2</f>
        <v>3.8800000000000001E-2</v>
      </c>
      <c r="G56" s="82">
        <f>(0.0387+0.0381)/2</f>
        <v>3.8400000000000004E-2</v>
      </c>
      <c r="H56" s="81">
        <f>0.1493-F56</f>
        <v>0.11049999999999999</v>
      </c>
      <c r="I56" s="82">
        <f>0.1455-F56</f>
        <v>0.10669999999999999</v>
      </c>
      <c r="J56" s="82">
        <f>0.1034-G56</f>
        <v>6.5000000000000002E-2</v>
      </c>
      <c r="K56" s="82">
        <f>0.1009-G56</f>
        <v>6.25E-2</v>
      </c>
      <c r="L56" s="82">
        <f t="shared" si="12"/>
        <v>1.1535656401944892E-2</v>
      </c>
      <c r="M56" s="82">
        <f t="shared" si="13"/>
        <v>1.1164910858995136E-2</v>
      </c>
      <c r="N56" s="82">
        <f t="shared" si="14"/>
        <v>1.1350283630470014E-2</v>
      </c>
      <c r="O56" s="82">
        <f>'Growth curves CeBER'!F33</f>
        <v>0.23799999999999999</v>
      </c>
      <c r="P56" s="82">
        <f t="shared" si="15"/>
        <v>0.29354920000000001</v>
      </c>
      <c r="Q56" s="83">
        <f t="shared" ref="Q56:Q58" si="18">P56*1/1000</f>
        <v>2.935492E-4</v>
      </c>
      <c r="R56" s="84">
        <f t="shared" si="16"/>
        <v>19.332847152146922</v>
      </c>
      <c r="S56" s="102"/>
      <c r="T56" s="86"/>
      <c r="U56" s="86"/>
      <c r="V56" s="86">
        <f t="shared" si="17"/>
        <v>5.6751418152350075</v>
      </c>
      <c r="W56" s="102"/>
      <c r="X56" s="86"/>
      <c r="Y56" s="86"/>
      <c r="Z56" s="86">
        <f>(V56-$V$53)/(D56-$D$53)</f>
        <v>-1.140268999862536E-2</v>
      </c>
      <c r="AA56" s="102"/>
      <c r="AB56" s="79"/>
      <c r="AD56" s="87">
        <f>D68</f>
        <v>145.54999999999998</v>
      </c>
      <c r="AE56" s="86">
        <f>S70</f>
        <v>48.63517784126055</v>
      </c>
      <c r="AF56" s="86">
        <f>U70</f>
        <v>5.1336139346033534</v>
      </c>
      <c r="AG56" s="86">
        <f>W70</f>
        <v>73.05865987034035</v>
      </c>
      <c r="AH56" s="86">
        <f>Y70</f>
        <v>6.6522615400587197</v>
      </c>
    </row>
    <row r="57" spans="1:34" x14ac:dyDescent="0.2">
      <c r="B57" s="58"/>
      <c r="D57" s="148"/>
      <c r="E57" s="80" t="s">
        <v>108</v>
      </c>
      <c r="F57" s="156"/>
      <c r="G57" s="156"/>
      <c r="H57" s="81">
        <f>0.1538-F56</f>
        <v>0.11499999999999999</v>
      </c>
      <c r="I57" s="82">
        <f>0.1557-F56</f>
        <v>0.1169</v>
      </c>
      <c r="J57" s="82">
        <f>0.1021-G56</f>
        <v>6.3699999999999993E-2</v>
      </c>
      <c r="K57" s="82">
        <f>0.1044-G56</f>
        <v>6.6000000000000003E-2</v>
      </c>
      <c r="L57" s="82">
        <f t="shared" si="12"/>
        <v>1.2392463533225281E-2</v>
      </c>
      <c r="M57" s="82">
        <f t="shared" si="13"/>
        <v>1.247487844408428E-2</v>
      </c>
      <c r="N57" s="82">
        <f t="shared" si="14"/>
        <v>1.243367098865478E-2</v>
      </c>
      <c r="O57" s="82">
        <f>'Growth curves CeBER'!G33</f>
        <v>0.22900000000000001</v>
      </c>
      <c r="P57" s="82">
        <f t="shared" si="15"/>
        <v>0.28244860000000005</v>
      </c>
      <c r="Q57" s="83">
        <f t="shared" si="18"/>
        <v>2.8244860000000007E-4</v>
      </c>
      <c r="R57" s="84">
        <f t="shared" si="16"/>
        <v>22.010502067729806</v>
      </c>
      <c r="S57" s="85"/>
      <c r="T57" s="86"/>
      <c r="U57" s="86"/>
      <c r="V57" s="86">
        <f t="shared" si="17"/>
        <v>6.2168354943273902</v>
      </c>
      <c r="W57" s="102"/>
      <c r="X57" s="86"/>
      <c r="Y57" s="86"/>
      <c r="Z57" s="86">
        <f>(V57-$V$54)/(D56-$D$53)</f>
        <v>2.4614423133572354E-2</v>
      </c>
      <c r="AA57" s="102"/>
      <c r="AB57" s="79"/>
      <c r="AD57" s="87">
        <f>D71</f>
        <v>167.6</v>
      </c>
      <c r="AE57" s="86">
        <f>S73</f>
        <v>51.25450093038372</v>
      </c>
      <c r="AF57" s="86">
        <f>U73</f>
        <v>5.2677109801668101</v>
      </c>
      <c r="AG57" s="86">
        <f>W73</f>
        <v>88.993908006482982</v>
      </c>
      <c r="AH57" s="86">
        <f>Y73</f>
        <v>9.7598853730310893</v>
      </c>
    </row>
    <row r="58" spans="1:34" x14ac:dyDescent="0.2">
      <c r="B58" s="58"/>
      <c r="D58" s="148"/>
      <c r="E58" s="90" t="s">
        <v>109</v>
      </c>
      <c r="F58" s="156"/>
      <c r="G58" s="156"/>
      <c r="H58" s="81">
        <f>0.1652-F56</f>
        <v>0.12640000000000001</v>
      </c>
      <c r="I58" s="82">
        <f>0.1894-F56</f>
        <v>0.15060000000000001</v>
      </c>
      <c r="J58" s="82">
        <f>0.1118-G56</f>
        <v>7.3399999999999993E-2</v>
      </c>
      <c r="K58" s="82">
        <f>0.1369-G56</f>
        <v>9.849999999999999E-2</v>
      </c>
      <c r="L58" s="82">
        <f t="shared" si="12"/>
        <v>1.3288978930307943E-2</v>
      </c>
      <c r="M58" s="82">
        <f t="shared" si="13"/>
        <v>1.4750000000000003E-2</v>
      </c>
      <c r="N58" s="92">
        <f t="shared" si="14"/>
        <v>1.4019489465153974E-2</v>
      </c>
      <c r="O58" s="92">
        <f>'Growth curves CeBER'!H33</f>
        <v>0.23400000000000001</v>
      </c>
      <c r="P58" s="92">
        <f t="shared" si="15"/>
        <v>0.28861560000000003</v>
      </c>
      <c r="Q58" s="93">
        <f t="shared" si="18"/>
        <v>2.8861560000000003E-4</v>
      </c>
      <c r="R58" s="94">
        <f t="shared" si="16"/>
        <v>24.287476950577123</v>
      </c>
      <c r="S58" s="95">
        <f>AVERAGE(R56:R58)</f>
        <v>21.876942056817949</v>
      </c>
      <c r="T58" s="96">
        <f>STDEV(R56:R58)</f>
        <v>2.4800136727968267</v>
      </c>
      <c r="U58" s="96">
        <f>T58/SQRT(3)</f>
        <v>1.4318365615832005</v>
      </c>
      <c r="V58" s="96">
        <f t="shared" si="17"/>
        <v>7.009744732576987</v>
      </c>
      <c r="W58" s="95">
        <f t="shared" ref="W58:W100" si="19">AVERAGE(V56:V58)</f>
        <v>6.300574014046461</v>
      </c>
      <c r="X58" s="96">
        <f t="shared" ref="X58:X100" si="20">STDEV(V56:V58)</f>
        <v>0.67123046825064991</v>
      </c>
      <c r="Y58" s="96">
        <f t="shared" ref="Y58:Y100" si="21">X58/SQRT(3)</f>
        <v>0.38753509153279131</v>
      </c>
      <c r="Z58" s="96">
        <f>(V58-$V$55)/(D56-$D$53)</f>
        <v>9.1787279169087882E-2</v>
      </c>
      <c r="AA58" s="95">
        <f>AVERAGE(Z56:Z58)</f>
        <v>3.499967076801163E-2</v>
      </c>
      <c r="AB58" s="103">
        <f>STDEV(Z56:Z58)/SQRT(3)</f>
        <v>3.0237572987536945E-2</v>
      </c>
      <c r="AD58" s="87">
        <f>D74</f>
        <v>189.23333333333332</v>
      </c>
      <c r="AE58" s="86">
        <f>S76</f>
        <v>39.878783571835299</v>
      </c>
      <c r="AF58" s="86">
        <f>U76</f>
        <v>1.8594300458127397</v>
      </c>
      <c r="AG58" s="86">
        <f>W76</f>
        <v>72.876823338735804</v>
      </c>
      <c r="AH58" s="86">
        <f>Y76</f>
        <v>2.4136325265337533</v>
      </c>
    </row>
    <row r="59" spans="1:34" x14ac:dyDescent="0.2">
      <c r="B59" s="99" t="s">
        <v>26</v>
      </c>
      <c r="C59" s="100">
        <v>0.4055555555555555</v>
      </c>
      <c r="D59" s="147">
        <v>71.599999999999994</v>
      </c>
      <c r="E59" s="80" t="s">
        <v>107</v>
      </c>
      <c r="F59" s="104">
        <v>3.3399999999999999E-2</v>
      </c>
      <c r="G59" s="139">
        <v>3.3300000000000003E-2</v>
      </c>
      <c r="H59" s="104"/>
      <c r="I59" s="105">
        <f>0.2315-F59</f>
        <v>0.1981</v>
      </c>
      <c r="J59" s="105"/>
      <c r="K59" s="105">
        <f>0.1534-G59</f>
        <v>0.12010000000000001</v>
      </c>
      <c r="L59" s="82">
        <f t="shared" si="12"/>
        <v>0</v>
      </c>
      <c r="M59" s="82">
        <f t="shared" si="13"/>
        <v>2.0330551053484601E-2</v>
      </c>
      <c r="N59" s="82">
        <f t="shared" si="14"/>
        <v>1.01652755267423E-2</v>
      </c>
      <c r="O59" s="82">
        <f>'Growth curves CeBER'!F37</f>
        <v>0.57799999999999996</v>
      </c>
      <c r="P59" s="82">
        <f t="shared" si="15"/>
        <v>0.71290520000000002</v>
      </c>
      <c r="Q59" s="83">
        <f>P59*0.5/1000</f>
        <v>3.5645259999999998E-4</v>
      </c>
      <c r="R59" s="84">
        <f t="shared" si="16"/>
        <v>14.25894428423625</v>
      </c>
      <c r="S59" s="102"/>
      <c r="T59" s="86"/>
      <c r="U59" s="86"/>
      <c r="V59" s="86">
        <f t="shared" si="17"/>
        <v>10.165275526742301</v>
      </c>
      <c r="W59" s="102"/>
      <c r="X59" s="86"/>
      <c r="Y59" s="86"/>
      <c r="Z59" s="86">
        <f t="shared" ref="Z59:Z98" si="22">(V59-$V$53)/(D59-$D$53)</f>
        <v>5.8987441485653221E-2</v>
      </c>
      <c r="AA59" s="102"/>
      <c r="AB59" s="110"/>
      <c r="AD59" s="87">
        <f>D77</f>
        <v>216.35</v>
      </c>
      <c r="AE59" s="86">
        <f>S79</f>
        <v>35.495690038039463</v>
      </c>
      <c r="AF59" s="86">
        <f>U79</f>
        <v>1.0442626285427694</v>
      </c>
      <c r="AG59" s="86">
        <f>W79</f>
        <v>69.777215018908691</v>
      </c>
      <c r="AH59" s="86">
        <f>Y79</f>
        <v>2.4840982589710485</v>
      </c>
    </row>
    <row r="60" spans="1:34" x14ac:dyDescent="0.2">
      <c r="B60" s="58"/>
      <c r="D60" s="148"/>
      <c r="E60" s="80" t="s">
        <v>108</v>
      </c>
      <c r="F60" s="157"/>
      <c r="G60" s="158"/>
      <c r="H60" s="81">
        <f>0.207-F59</f>
        <v>0.17359999999999998</v>
      </c>
      <c r="I60" s="82">
        <f>0.2127-F59</f>
        <v>0.17930000000000001</v>
      </c>
      <c r="J60" s="82">
        <f>0.1378-G59</f>
        <v>0.10450000000000001</v>
      </c>
      <c r="K60" s="82">
        <f>0.1423-G59</f>
        <v>0.10900000000000001</v>
      </c>
      <c r="L60" s="82">
        <f t="shared" si="12"/>
        <v>1.7889384116693677E-2</v>
      </c>
      <c r="M60" s="82">
        <f t="shared" si="13"/>
        <v>1.8371961102106971E-2</v>
      </c>
      <c r="N60" s="82">
        <f t="shared" si="14"/>
        <v>1.8130672609400322E-2</v>
      </c>
      <c r="O60" s="82">
        <f>'Growth curves CeBER'!G37</f>
        <v>0.53200000000000003</v>
      </c>
      <c r="P60" s="82">
        <f t="shared" si="15"/>
        <v>0.65616880000000011</v>
      </c>
      <c r="Q60" s="83">
        <f>P60*0.5/1000</f>
        <v>3.2808440000000005E-4</v>
      </c>
      <c r="R60" s="84">
        <f t="shared" si="16"/>
        <v>27.631110484680647</v>
      </c>
      <c r="S60" s="85"/>
      <c r="T60" s="86"/>
      <c r="U60" s="86"/>
      <c r="V60" s="86">
        <f t="shared" si="17"/>
        <v>18.130672609400321</v>
      </c>
      <c r="W60" s="102"/>
      <c r="X60" s="86"/>
      <c r="Y60" s="86"/>
      <c r="Z60" s="86">
        <f>(V60-$V$54)/(D59-$D$53)</f>
        <v>0.17443302201135424</v>
      </c>
      <c r="AA60" s="102"/>
      <c r="AB60" s="110"/>
      <c r="AD60" s="87">
        <f>D80</f>
        <v>240.6</v>
      </c>
      <c r="AE60" s="86">
        <f>S82</f>
        <v>43.74456559237084</v>
      </c>
      <c r="AF60" s="86">
        <f>U82</f>
        <v>1.7273621983595608</v>
      </c>
      <c r="AG60" s="86">
        <f>W82</f>
        <v>89.451310102647241</v>
      </c>
      <c r="AH60" s="86">
        <f>Y82</f>
        <v>4.7840140311030872</v>
      </c>
    </row>
    <row r="61" spans="1:34" x14ac:dyDescent="0.2">
      <c r="B61" s="58"/>
      <c r="D61" s="148"/>
      <c r="E61" s="90" t="s">
        <v>109</v>
      </c>
      <c r="F61" s="157"/>
      <c r="G61" s="158"/>
      <c r="H61" s="81">
        <f>0.253-F59</f>
        <v>0.21960000000000002</v>
      </c>
      <c r="I61" s="82">
        <f>0.2513-F59</f>
        <v>0.21790000000000004</v>
      </c>
      <c r="J61" s="82">
        <f>0.17-G59</f>
        <v>0.13670000000000002</v>
      </c>
      <c r="K61" s="82">
        <f>0.1659-G59</f>
        <v>0.1326</v>
      </c>
      <c r="L61" s="82">
        <f t="shared" si="12"/>
        <v>2.2187439222042141E-2</v>
      </c>
      <c r="M61" s="82">
        <f t="shared" si="13"/>
        <v>2.2313938411669378E-2</v>
      </c>
      <c r="N61" s="92">
        <f t="shared" si="14"/>
        <v>2.2250688816855761E-2</v>
      </c>
      <c r="O61" s="92">
        <f>'Growth curves CeBER'!H37</f>
        <v>0.58299999999999996</v>
      </c>
      <c r="P61" s="92">
        <f t="shared" si="15"/>
        <v>0.71907219999999994</v>
      </c>
      <c r="Q61" s="93">
        <f>P61*0.5/1000</f>
        <v>3.5953609999999996E-4</v>
      </c>
      <c r="R61" s="94">
        <f t="shared" si="16"/>
        <v>30.943608745903074</v>
      </c>
      <c r="S61" s="95">
        <f>AVERAGE(R59:R61)</f>
        <v>24.277887838273326</v>
      </c>
      <c r="T61" s="96">
        <f>STDEV(R59:R61)</f>
        <v>8.8333223442194289</v>
      </c>
      <c r="U61" s="96">
        <f>T61/SQRT(3)</f>
        <v>5.0999210332738238</v>
      </c>
      <c r="V61" s="96">
        <f t="shared" si="17"/>
        <v>22.250688816855764</v>
      </c>
      <c r="W61" s="95">
        <f t="shared" si="19"/>
        <v>16.848878984332796</v>
      </c>
      <c r="X61" s="96">
        <f t="shared" si="20"/>
        <v>6.1438220816654976</v>
      </c>
      <c r="Y61" s="96">
        <f t="shared" si="21"/>
        <v>3.547137332702742</v>
      </c>
      <c r="Z61" s="96">
        <f>(V61-$V$55)/(D59-$D$53)</f>
        <v>0.24283850040292293</v>
      </c>
      <c r="AA61" s="95">
        <f t="shared" ref="AA61:AA100" si="23">AVERAGE(Z59:Z61)</f>
        <v>0.15875298796664347</v>
      </c>
      <c r="AB61" s="103">
        <f t="shared" ref="AB61:AB100" si="24">STDEV(Z59:Z61)/SQRT(3)</f>
        <v>5.3649170751537287E-2</v>
      </c>
      <c r="AD61" s="87">
        <f>D83</f>
        <v>289.68333333333334</v>
      </c>
      <c r="AE61" s="86">
        <f>S85</f>
        <v>37.047491550297401</v>
      </c>
      <c r="AF61" s="86">
        <f>U85</f>
        <v>2.2315150290697838</v>
      </c>
      <c r="AG61" s="86">
        <f>W85</f>
        <v>80.043129839726291</v>
      </c>
      <c r="AH61" s="86">
        <f>Y85</f>
        <v>5.0076155724253253</v>
      </c>
    </row>
    <row r="62" spans="1:34" x14ac:dyDescent="0.2">
      <c r="B62" s="99" t="s">
        <v>27</v>
      </c>
      <c r="C62" s="100">
        <v>0.41111111111111115</v>
      </c>
      <c r="D62" s="147">
        <v>95.73333333333332</v>
      </c>
      <c r="E62" s="80" t="s">
        <v>107</v>
      </c>
      <c r="F62" s="104">
        <f>(0.0445+0.044)/2</f>
        <v>4.4249999999999998E-2</v>
      </c>
      <c r="G62" s="139">
        <f>(0.0435+0.0427)/2</f>
        <v>4.3099999999999999E-2</v>
      </c>
      <c r="H62" s="104">
        <f>0.1822-F62</f>
        <v>0.13795000000000002</v>
      </c>
      <c r="I62" s="105">
        <f>0.1865-F62</f>
        <v>0.14224999999999999</v>
      </c>
      <c r="J62" s="105">
        <f>0.1218-G62</f>
        <v>7.8700000000000006E-2</v>
      </c>
      <c r="K62" s="105">
        <f>0.1272-G62</f>
        <v>8.4100000000000008E-2</v>
      </c>
      <c r="L62" s="82">
        <f t="shared" si="12"/>
        <v>1.4641247974068074E-2</v>
      </c>
      <c r="M62" s="82">
        <f t="shared" si="13"/>
        <v>1.4808670988654781E-2</v>
      </c>
      <c r="N62" s="82">
        <f t="shared" si="14"/>
        <v>1.4724959481361427E-2</v>
      </c>
      <c r="O62" s="82">
        <f>'Growth curves CeBER'!F38</f>
        <v>0.73799999999999999</v>
      </c>
      <c r="P62" s="82">
        <f t="shared" si="15"/>
        <v>0.91024919999999998</v>
      </c>
      <c r="Q62" s="83">
        <f t="shared" ref="Q62:Q70" si="25">O62*0.25/1000</f>
        <v>1.8449999999999999E-4</v>
      </c>
      <c r="R62" s="84">
        <f t="shared" si="16"/>
        <v>39.90503924488192</v>
      </c>
      <c r="S62" s="102"/>
      <c r="T62" s="86"/>
      <c r="U62" s="86"/>
      <c r="V62" s="86">
        <f t="shared" si="17"/>
        <v>36.323530048622374</v>
      </c>
      <c r="W62" s="102"/>
      <c r="X62" s="86"/>
      <c r="Y62" s="86"/>
      <c r="Z62" s="86">
        <f t="shared" si="22"/>
        <v>0.31735816851239046</v>
      </c>
      <c r="AA62" s="102"/>
      <c r="AB62" s="110"/>
      <c r="AD62" s="87">
        <f>D86</f>
        <v>313.7166666666667</v>
      </c>
      <c r="AE62" s="86">
        <f>S88</f>
        <v>43.682128236862603</v>
      </c>
      <c r="AF62" s="86">
        <f>U88</f>
        <v>1.0629088866079239</v>
      </c>
      <c r="AG62" s="86">
        <f>W88</f>
        <v>98.563749324689368</v>
      </c>
      <c r="AH62" s="86">
        <f>Y88</f>
        <v>2.2302292313554277</v>
      </c>
    </row>
    <row r="63" spans="1:34" x14ac:dyDescent="0.2">
      <c r="B63" s="58"/>
      <c r="D63" s="148"/>
      <c r="E63" s="80" t="s">
        <v>108</v>
      </c>
      <c r="F63" s="58"/>
      <c r="G63" s="79"/>
      <c r="H63" s="81">
        <f>0.1612-F62</f>
        <v>0.11695000000000001</v>
      </c>
      <c r="I63" s="82">
        <f>0.1614-F62</f>
        <v>0.11714999999999999</v>
      </c>
      <c r="J63" s="82">
        <f>0.1096-G62</f>
        <v>6.6500000000000004E-2</v>
      </c>
      <c r="K63" s="82">
        <f>0.11-G62</f>
        <v>6.6900000000000001E-2</v>
      </c>
      <c r="L63" s="82">
        <f t="shared" si="12"/>
        <v>1.2433954619124799E-2</v>
      </c>
      <c r="M63" s="82">
        <f t="shared" si="13"/>
        <v>1.2427147487844407E-2</v>
      </c>
      <c r="N63" s="82">
        <f t="shared" si="14"/>
        <v>1.2430551053484604E-2</v>
      </c>
      <c r="O63" s="82">
        <f>'Growth curves CeBER'!G38</f>
        <v>0.69699999999999995</v>
      </c>
      <c r="P63" s="82">
        <f t="shared" si="15"/>
        <v>0.85967979999999999</v>
      </c>
      <c r="Q63" s="83">
        <f t="shared" si="25"/>
        <v>1.7424999999999998E-4</v>
      </c>
      <c r="R63" s="84">
        <f t="shared" si="16"/>
        <v>35.668726121907042</v>
      </c>
      <c r="S63" s="85"/>
      <c r="T63" s="86"/>
      <c r="U63" s="86"/>
      <c r="V63" s="86">
        <f t="shared" si="17"/>
        <v>30.663683338735822</v>
      </c>
      <c r="W63" s="102"/>
      <c r="X63" s="86"/>
      <c r="Y63" s="86"/>
      <c r="Z63" s="86">
        <f>(V63-$V$54)/(D62-$D$53)</f>
        <v>0.26137620235391856</v>
      </c>
      <c r="AA63" s="102"/>
      <c r="AB63" s="110"/>
      <c r="AD63" s="87">
        <f>D89</f>
        <v>336.95000000000005</v>
      </c>
      <c r="AE63" s="86">
        <f>S91</f>
        <v>50.490708279218133</v>
      </c>
      <c r="AF63" s="86">
        <f>U91</f>
        <v>3.2080685456845237</v>
      </c>
      <c r="AG63" s="86">
        <f>W91</f>
        <v>118.61223662884929</v>
      </c>
      <c r="AH63" s="86">
        <f>Y91</f>
        <v>9.7380445893450993</v>
      </c>
    </row>
    <row r="64" spans="1:34" x14ac:dyDescent="0.2">
      <c r="B64" s="58"/>
      <c r="D64" s="148"/>
      <c r="E64" s="90" t="s">
        <v>109</v>
      </c>
      <c r="F64" s="88"/>
      <c r="G64" s="89"/>
      <c r="H64" s="91">
        <f>0.1817-F62</f>
        <v>0.13745000000000002</v>
      </c>
      <c r="I64" s="92">
        <f>0.1847-F62</f>
        <v>0.14045000000000002</v>
      </c>
      <c r="J64" s="92">
        <f>0.1231-G62</f>
        <v>0.08</v>
      </c>
      <c r="K64" s="92">
        <f>0.1247-G62</f>
        <v>8.1600000000000006E-2</v>
      </c>
      <c r="L64" s="82">
        <f t="shared" si="12"/>
        <v>1.4432739059967588E-2</v>
      </c>
      <c r="M64" s="82">
        <f t="shared" si="13"/>
        <v>1.476207455429498E-2</v>
      </c>
      <c r="N64" s="92">
        <f t="shared" si="14"/>
        <v>1.4597406807131284E-2</v>
      </c>
      <c r="O64" s="92">
        <f>'Growth curves CeBER'!H38</f>
        <v>0.76</v>
      </c>
      <c r="P64" s="92">
        <f t="shared" si="15"/>
        <v>0.937384</v>
      </c>
      <c r="Q64" s="93">
        <f t="shared" si="25"/>
        <v>1.9000000000000001E-4</v>
      </c>
      <c r="R64" s="94">
        <f t="shared" si="16"/>
        <v>38.414228439819169</v>
      </c>
      <c r="S64" s="95">
        <f>AVERAGE(R62:R64)</f>
        <v>37.995997935536046</v>
      </c>
      <c r="T64" s="96">
        <f>STDEV(R62:R64)</f>
        <v>2.1489008318223943</v>
      </c>
      <c r="U64" s="96">
        <f>T64/SQRT(3)</f>
        <v>1.2406684737144702</v>
      </c>
      <c r="V64" s="96">
        <f t="shared" si="17"/>
        <v>36.008883111831452</v>
      </c>
      <c r="W64" s="95">
        <f t="shared" si="19"/>
        <v>34.332032166396552</v>
      </c>
      <c r="X64" s="96">
        <f t="shared" si="20"/>
        <v>3.1807763226542431</v>
      </c>
      <c r="Y64" s="96">
        <f t="shared" si="21"/>
        <v>1.8364220661164152</v>
      </c>
      <c r="Z64" s="96">
        <f>(V64-$V$55)/(D62-$D$53)</f>
        <v>0.32533528123772604</v>
      </c>
      <c r="AA64" s="95">
        <f t="shared" si="23"/>
        <v>0.30135655070134504</v>
      </c>
      <c r="AB64" s="103">
        <f t="shared" si="24"/>
        <v>2.0122373719687843E-2</v>
      </c>
      <c r="AD64" s="87">
        <f>D92</f>
        <v>359.76666666666671</v>
      </c>
      <c r="AE64" s="86">
        <f>S94</f>
        <v>50.811076186042179</v>
      </c>
      <c r="AF64" s="86">
        <f>U94</f>
        <v>2.9757022766609977</v>
      </c>
      <c r="AG64" s="86">
        <f>W94</f>
        <v>119.56145326850351</v>
      </c>
      <c r="AH64" s="86">
        <f>Y94</f>
        <v>3.2548374143354613</v>
      </c>
    </row>
    <row r="65" spans="2:34" x14ac:dyDescent="0.2">
      <c r="B65" s="99" t="s">
        <v>28</v>
      </c>
      <c r="C65" s="100">
        <v>0.48055555555555557</v>
      </c>
      <c r="D65" s="147">
        <v>121.39999999999999</v>
      </c>
      <c r="E65" s="80" t="s">
        <v>107</v>
      </c>
      <c r="F65" s="81">
        <f>(0.0498+0.0453)/2</f>
        <v>4.7549999999999995E-2</v>
      </c>
      <c r="G65" s="137">
        <f>(0.0497+0.044)/2</f>
        <v>4.6850000000000003E-2</v>
      </c>
      <c r="H65" s="81">
        <f>0.2505-F65</f>
        <v>0.20295000000000002</v>
      </c>
      <c r="I65" s="82">
        <f>0.2484-F65</f>
        <v>0.20085000000000003</v>
      </c>
      <c r="J65" s="82">
        <f>0.1623-G65</f>
        <v>0.11545</v>
      </c>
      <c r="K65" s="82">
        <f>0.1616-G65</f>
        <v>0.11474999999999999</v>
      </c>
      <c r="L65" s="82">
        <f t="shared" si="12"/>
        <v>2.1572568881685579E-2</v>
      </c>
      <c r="M65" s="82">
        <f t="shared" si="13"/>
        <v>2.1300850891410053E-2</v>
      </c>
      <c r="N65" s="82">
        <f t="shared" si="14"/>
        <v>2.1436709886547816E-2</v>
      </c>
      <c r="O65" s="82">
        <f>'Growth curves CeBER'!F39</f>
        <v>0.96699999999999997</v>
      </c>
      <c r="P65" s="82">
        <f t="shared" si="15"/>
        <v>1.1926977999999999</v>
      </c>
      <c r="Q65" s="83">
        <f t="shared" si="25"/>
        <v>2.4174999999999999E-4</v>
      </c>
      <c r="R65" s="84">
        <f t="shared" si="16"/>
        <v>44.336525101443257</v>
      </c>
      <c r="S65" s="85"/>
      <c r="V65" s="86">
        <f t="shared" si="17"/>
        <v>52.880075948136145</v>
      </c>
      <c r="W65" s="102"/>
      <c r="X65" s="86"/>
      <c r="Y65" s="86"/>
      <c r="Z65" s="86">
        <f t="shared" si="22"/>
        <v>0.38664169054173492</v>
      </c>
      <c r="AA65" s="102"/>
      <c r="AB65" s="110"/>
      <c r="AD65" s="87">
        <f>D95</f>
        <v>385.23333333333335</v>
      </c>
      <c r="AE65" s="86">
        <f>S97</f>
        <v>56.131438225239641</v>
      </c>
      <c r="AF65" s="86">
        <f>U97</f>
        <v>5.121224632209489</v>
      </c>
      <c r="AG65" s="86">
        <f>W97</f>
        <v>138.07482441923281</v>
      </c>
      <c r="AH65" s="86">
        <f>Y97</f>
        <v>13.238427931264173</v>
      </c>
    </row>
    <row r="66" spans="2:34" ht="15" customHeight="1" x14ac:dyDescent="0.2">
      <c r="B66" s="58"/>
      <c r="D66" s="148"/>
      <c r="E66" s="80" t="s">
        <v>108</v>
      </c>
      <c r="F66" s="58"/>
      <c r="G66" s="79"/>
      <c r="H66" s="81">
        <f>0.2189-F65</f>
        <v>0.17135</v>
      </c>
      <c r="I66" s="82">
        <f>0.2191-F65</f>
        <v>0.17154999999999998</v>
      </c>
      <c r="J66" s="82">
        <f>0.1393-G65</f>
        <v>9.2450000000000004E-2</v>
      </c>
      <c r="K66" s="82">
        <f>0.1416-G65</f>
        <v>9.4750000000000001E-2</v>
      </c>
      <c r="L66" s="82">
        <f t="shared" si="12"/>
        <v>1.8706280388978931E-2</v>
      </c>
      <c r="M66" s="82">
        <f t="shared" si="13"/>
        <v>1.8513168557536461E-2</v>
      </c>
      <c r="N66" s="82">
        <f t="shared" si="14"/>
        <v>1.8609724473257698E-2</v>
      </c>
      <c r="O66" s="82">
        <f>'Growth curves CeBER'!G39</f>
        <v>0.96699999999999997</v>
      </c>
      <c r="P66" s="82">
        <f t="shared" si="15"/>
        <v>1.1926977999999999</v>
      </c>
      <c r="Q66" s="83">
        <f t="shared" si="25"/>
        <v>2.4174999999999999E-4</v>
      </c>
      <c r="R66" s="84">
        <f t="shared" si="16"/>
        <v>38.489605942621921</v>
      </c>
      <c r="S66" s="85"/>
      <c r="V66" s="86">
        <f t="shared" si="17"/>
        <v>45.906468330632087</v>
      </c>
      <c r="W66" s="102"/>
      <c r="X66" s="86"/>
      <c r="Y66" s="86"/>
      <c r="Z66" s="86">
        <f>(V66-$V$54)/(D65-$D$53)</f>
        <v>0.33167380640234539</v>
      </c>
      <c r="AA66" s="102"/>
      <c r="AB66" s="110"/>
      <c r="AD66" s="87">
        <f>D98</f>
        <v>408.78333333333336</v>
      </c>
      <c r="AE66" s="86">
        <f>S100</f>
        <v>57.166552563576907</v>
      </c>
      <c r="AF66" s="86">
        <f>U100</f>
        <v>3.4403827912624991</v>
      </c>
      <c r="AG66" s="86">
        <f>W100</f>
        <v>144.56415451107509</v>
      </c>
      <c r="AH66" s="86">
        <f>Y100</f>
        <v>9.6005702119809353</v>
      </c>
    </row>
    <row r="67" spans="2:34" ht="15" customHeight="1" x14ac:dyDescent="0.2">
      <c r="B67" s="88"/>
      <c r="C67" s="97"/>
      <c r="D67" s="149"/>
      <c r="E67" s="90" t="s">
        <v>109</v>
      </c>
      <c r="F67" s="58"/>
      <c r="G67" s="79"/>
      <c r="H67" s="81">
        <f>0.2147-F65</f>
        <v>0.16715000000000002</v>
      </c>
      <c r="I67" s="82">
        <f>0.2137-F65</f>
        <v>0.16615000000000002</v>
      </c>
      <c r="J67" s="82">
        <f>0.1418-G65</f>
        <v>9.4950000000000007E-2</v>
      </c>
      <c r="K67" s="82">
        <f>0.14-G65</f>
        <v>9.3150000000000011E-2</v>
      </c>
      <c r="L67" s="82">
        <f t="shared" si="12"/>
        <v>1.7780429497568886E-2</v>
      </c>
      <c r="M67" s="82">
        <f t="shared" si="13"/>
        <v>1.7794854132901137E-2</v>
      </c>
      <c r="N67" s="92">
        <f t="shared" si="14"/>
        <v>1.7787641815235011E-2</v>
      </c>
      <c r="O67" s="92">
        <f>'Growth curves CeBER'!H39</f>
        <v>0.97699999999999998</v>
      </c>
      <c r="P67" s="92">
        <f t="shared" si="15"/>
        <v>1.2050318</v>
      </c>
      <c r="Q67" s="93">
        <f t="shared" si="25"/>
        <v>2.4425E-4</v>
      </c>
      <c r="R67" s="94">
        <f t="shared" si="16"/>
        <v>36.412777513275358</v>
      </c>
      <c r="S67" s="95">
        <f>AVERAGE(R65:R67)</f>
        <v>39.746302852446846</v>
      </c>
      <c r="T67" s="96">
        <f>STDEV(R65:R67)</f>
        <v>4.1086383757422338</v>
      </c>
      <c r="U67" s="96">
        <f>T67/SQRT(3)</f>
        <v>2.3721234722376057</v>
      </c>
      <c r="V67" s="96">
        <f t="shared" si="17"/>
        <v>43.878554829821731</v>
      </c>
      <c r="W67" s="95">
        <f t="shared" si="19"/>
        <v>47.555033036196654</v>
      </c>
      <c r="X67" s="96">
        <f t="shared" si="20"/>
        <v>4.7217761279194495</v>
      </c>
      <c r="Y67" s="96">
        <f t="shared" si="21"/>
        <v>2.7261187185074429</v>
      </c>
      <c r="Z67" s="96">
        <f>(V67-$V$55)/(D65-$D$53)</f>
        <v>0.32137646327689662</v>
      </c>
      <c r="AA67" s="95">
        <f t="shared" si="23"/>
        <v>0.34656398674032562</v>
      </c>
      <c r="AB67" s="103">
        <f t="shared" si="24"/>
        <v>2.0258130675162904E-2</v>
      </c>
    </row>
    <row r="68" spans="2:34" x14ac:dyDescent="0.2">
      <c r="B68" s="58" t="s">
        <v>29</v>
      </c>
      <c r="C68" s="78">
        <v>0.48680555555555555</v>
      </c>
      <c r="D68" s="148">
        <f>9/60+24+D65</f>
        <v>145.54999999999998</v>
      </c>
      <c r="E68" s="80" t="s">
        <v>107</v>
      </c>
      <c r="F68" s="104">
        <v>4.3700000000000003E-2</v>
      </c>
      <c r="G68" s="139">
        <v>4.2200000000000001E-2</v>
      </c>
      <c r="H68" s="104">
        <f>0.3957-F68</f>
        <v>0.35199999999999998</v>
      </c>
      <c r="I68" s="105">
        <f>0.3281-F68</f>
        <v>0.28439999999999999</v>
      </c>
      <c r="J68" s="105">
        <f>0.2751-G68</f>
        <v>0.2329</v>
      </c>
      <c r="K68" s="105">
        <f>0.2083-G68</f>
        <v>0.16610000000000003</v>
      </c>
      <c r="L68" s="82">
        <f t="shared" si="12"/>
        <v>3.421320907617504E-2</v>
      </c>
      <c r="M68" s="82">
        <f t="shared" si="13"/>
        <v>2.9807050243111827E-2</v>
      </c>
      <c r="N68" s="82">
        <f t="shared" si="14"/>
        <v>3.2010129659643435E-2</v>
      </c>
      <c r="O68" s="82">
        <f>'Growth curves CeBER'!F40</f>
        <v>1.3360000000000001</v>
      </c>
      <c r="P68" s="82">
        <f t="shared" si="15"/>
        <v>1.6478224000000001</v>
      </c>
      <c r="Q68" s="83">
        <f t="shared" si="25"/>
        <v>3.3400000000000004E-4</v>
      </c>
      <c r="R68" s="84">
        <f t="shared" si="16"/>
        <v>47.919355777909331</v>
      </c>
      <c r="S68" s="85"/>
      <c r="V68" s="86">
        <f t="shared" si="17"/>
        <v>78.962587844408432</v>
      </c>
      <c r="W68" s="102"/>
      <c r="X68" s="86"/>
      <c r="Y68" s="86"/>
      <c r="Z68" s="86">
        <f t="shared" si="22"/>
        <v>0.50168885694289866</v>
      </c>
      <c r="AA68" s="102"/>
      <c r="AB68" s="110"/>
      <c r="AD68" s="87"/>
      <c r="AE68" s="86"/>
      <c r="AF68" s="86"/>
      <c r="AG68" s="86"/>
      <c r="AH68" s="86"/>
    </row>
    <row r="69" spans="2:34" x14ac:dyDescent="0.2">
      <c r="B69" s="58"/>
      <c r="D69" s="148"/>
      <c r="E69" s="80" t="s">
        <v>108</v>
      </c>
      <c r="F69" s="58"/>
      <c r="G69" s="79"/>
      <c r="H69" s="81">
        <f>0.2734-F68</f>
        <v>0.22969999999999996</v>
      </c>
      <c r="I69" s="82">
        <f>0.2738-F68</f>
        <v>0.23009999999999997</v>
      </c>
      <c r="J69" s="82">
        <f>0.1747-G68</f>
        <v>0.13250000000000001</v>
      </c>
      <c r="K69" s="82">
        <f>0.1754-G68</f>
        <v>0.13319999999999999</v>
      </c>
      <c r="L69" s="82">
        <f t="shared" si="12"/>
        <v>2.4236223662884922E-2</v>
      </c>
      <c r="M69" s="82">
        <f t="shared" si="13"/>
        <v>2.4232414910858993E-2</v>
      </c>
      <c r="N69" s="82">
        <f t="shared" si="14"/>
        <v>2.4234319286871957E-2</v>
      </c>
      <c r="O69" s="82">
        <f>'Growth curves CeBER'!G40</f>
        <v>1.208</v>
      </c>
      <c r="P69" s="82">
        <f t="shared" si="15"/>
        <v>1.4899472</v>
      </c>
      <c r="Q69" s="83">
        <f t="shared" si="25"/>
        <v>3.0199999999999997E-4</v>
      </c>
      <c r="R69" s="84">
        <f t="shared" si="16"/>
        <v>40.12304517694033</v>
      </c>
      <c r="S69" s="85"/>
      <c r="V69" s="86">
        <f t="shared" si="17"/>
        <v>59.781218816855748</v>
      </c>
      <c r="W69" s="102"/>
      <c r="X69" s="86"/>
      <c r="Y69" s="86"/>
      <c r="Z69" s="86">
        <f>(V69-$V$54)/(D68-$D$53)</f>
        <v>0.37196805622444795</v>
      </c>
      <c r="AA69" s="102"/>
      <c r="AB69" s="110"/>
    </row>
    <row r="70" spans="2:34" x14ac:dyDescent="0.2">
      <c r="B70" s="58"/>
      <c r="D70" s="148"/>
      <c r="E70" s="90" t="s">
        <v>109</v>
      </c>
      <c r="F70" s="58"/>
      <c r="G70" s="79"/>
      <c r="H70" s="81">
        <f>0.3495-F68</f>
        <v>0.30579999999999996</v>
      </c>
      <c r="I70" s="82">
        <f>0.373-F68</f>
        <v>0.32929999999999998</v>
      </c>
      <c r="J70" s="82">
        <f>0.2245-G68</f>
        <v>0.18230000000000002</v>
      </c>
      <c r="K70" s="82">
        <f>0.2446-G68</f>
        <v>0.20240000000000002</v>
      </c>
      <c r="L70" s="82">
        <f t="shared" si="12"/>
        <v>3.1686952998379252E-2</v>
      </c>
      <c r="M70" s="82">
        <f t="shared" si="13"/>
        <v>3.3524797406807125E-2</v>
      </c>
      <c r="N70" s="92">
        <f t="shared" si="14"/>
        <v>3.2605875202593185E-2</v>
      </c>
      <c r="O70" s="92">
        <f>'Growth curves CeBER'!H40</f>
        <v>1.127</v>
      </c>
      <c r="P70" s="92">
        <f t="shared" si="15"/>
        <v>1.3900418000000001</v>
      </c>
      <c r="Q70" s="93">
        <f t="shared" si="25"/>
        <v>2.8174999999999999E-4</v>
      </c>
      <c r="R70" s="94">
        <f t="shared" si="16"/>
        <v>57.863132568932009</v>
      </c>
      <c r="S70" s="95">
        <f>AVERAGE(R68:R70)</f>
        <v>48.63517784126055</v>
      </c>
      <c r="T70" s="96">
        <f>STDEV(R68:R70)</f>
        <v>8.8916801611765788</v>
      </c>
      <c r="U70" s="96">
        <f>T70/SQRT(3)</f>
        <v>5.1336139346033534</v>
      </c>
      <c r="V70" s="96">
        <f t="shared" si="17"/>
        <v>80.432172949756875</v>
      </c>
      <c r="W70" s="95">
        <f t="shared" si="19"/>
        <v>73.05865987034035</v>
      </c>
      <c r="X70" s="96">
        <f t="shared" si="20"/>
        <v>11.522054972618088</v>
      </c>
      <c r="Y70" s="96">
        <f t="shared" si="21"/>
        <v>6.6522615400587197</v>
      </c>
      <c r="Z70" s="96">
        <f>(V70-$V$55)/(D68-$D$53)</f>
        <v>0.51919423402095777</v>
      </c>
      <c r="AA70" s="95">
        <f t="shared" si="23"/>
        <v>0.46428371572943483</v>
      </c>
      <c r="AB70" s="103">
        <f t="shared" si="24"/>
        <v>4.6433627538102595E-2</v>
      </c>
      <c r="AD70" s="87"/>
      <c r="AE70" s="86"/>
      <c r="AF70" s="86"/>
      <c r="AG70" s="86"/>
      <c r="AH70" s="86"/>
    </row>
    <row r="71" spans="2:34" x14ac:dyDescent="0.2">
      <c r="B71" s="99" t="s">
        <v>30</v>
      </c>
      <c r="C71" s="100">
        <v>0.4055555555555555</v>
      </c>
      <c r="D71" s="147">
        <f>10+3/60+12+D68</f>
        <v>167.6</v>
      </c>
      <c r="E71" s="80" t="s">
        <v>107</v>
      </c>
      <c r="F71" s="104">
        <v>3.7900000000000003E-2</v>
      </c>
      <c r="G71" s="139">
        <v>3.7999999999999999E-2</v>
      </c>
      <c r="H71" s="104">
        <f>0.1813-F71</f>
        <v>0.14339999999999997</v>
      </c>
      <c r="I71" s="105">
        <f>0.1635-F71</f>
        <v>0.12559999999999999</v>
      </c>
      <c r="J71" s="105">
        <f>0.1257-G71</f>
        <v>8.77E-2</v>
      </c>
      <c r="K71" s="105">
        <f>0.1077-G71</f>
        <v>6.9700000000000012E-2</v>
      </c>
      <c r="L71" s="82">
        <f t="shared" si="12"/>
        <v>1.4642058346839541E-2</v>
      </c>
      <c r="M71" s="82">
        <f t="shared" si="13"/>
        <v>1.3522123176661262E-2</v>
      </c>
      <c r="N71" s="82">
        <f t="shared" si="14"/>
        <v>1.4082090761750401E-2</v>
      </c>
      <c r="O71" s="82">
        <f>'Growth curves CeBER'!F41</f>
        <v>1.3720000000000001</v>
      </c>
      <c r="P71" s="82">
        <f t="shared" si="15"/>
        <v>1.6922248000000002</v>
      </c>
      <c r="Q71" s="83">
        <f>O71*0.125/1000</f>
        <v>1.7150000000000002E-4</v>
      </c>
      <c r="R71" s="84">
        <f t="shared" si="16"/>
        <v>41.05565819752303</v>
      </c>
      <c r="S71" s="85"/>
      <c r="V71" s="86">
        <f t="shared" si="17"/>
        <v>69.475402982171772</v>
      </c>
      <c r="W71" s="102"/>
      <c r="X71" s="86"/>
      <c r="Y71" s="86"/>
      <c r="Z71" s="86">
        <f t="shared" si="22"/>
        <v>0.37907892760025208</v>
      </c>
      <c r="AA71" s="102"/>
      <c r="AB71" s="110"/>
      <c r="AE71" s="86"/>
      <c r="AF71" s="86"/>
      <c r="AG71" s="86"/>
      <c r="AH71" s="86"/>
    </row>
    <row r="72" spans="2:34" x14ac:dyDescent="0.2">
      <c r="B72" s="58"/>
      <c r="D72" s="148"/>
      <c r="E72" s="80" t="s">
        <v>108</v>
      </c>
      <c r="F72" s="58"/>
      <c r="G72" s="79"/>
      <c r="H72" s="81">
        <f>0.2385-F71</f>
        <v>0.2006</v>
      </c>
      <c r="I72" s="82">
        <f>0.2488-F71</f>
        <v>0.21089999999999998</v>
      </c>
      <c r="J72" s="82">
        <f>0.1686-G71</f>
        <v>0.13059999999999999</v>
      </c>
      <c r="K72" s="82">
        <f>0.1785-G71</f>
        <v>0.14049999999999999</v>
      </c>
      <c r="L72" s="82">
        <f t="shared" si="12"/>
        <v>1.970615883306321E-2</v>
      </c>
      <c r="M72" s="82">
        <f t="shared" si="13"/>
        <v>2.0404781199351702E-2</v>
      </c>
      <c r="N72" s="82">
        <f t="shared" si="14"/>
        <v>2.0055470016207458E-2</v>
      </c>
      <c r="O72" s="82">
        <f>'Growth curves CeBER'!G41</f>
        <v>1.3680000000000001</v>
      </c>
      <c r="P72" s="82">
        <f t="shared" si="15"/>
        <v>1.6872912000000002</v>
      </c>
      <c r="Q72" s="83">
        <f>O72*0.125/1000</f>
        <v>1.7100000000000001E-4</v>
      </c>
      <c r="R72" s="84">
        <f t="shared" si="16"/>
        <v>58.641725193589053</v>
      </c>
      <c r="S72" s="85"/>
      <c r="V72" s="86">
        <f t="shared" si="17"/>
        <v>98.945666871961123</v>
      </c>
      <c r="W72" s="102"/>
      <c r="X72" s="86"/>
      <c r="Y72" s="86"/>
      <c r="Z72" s="86">
        <f>(V72-$V$54)/(D71-$D$53)</f>
        <v>0.55670882242585784</v>
      </c>
      <c r="AA72" s="102"/>
      <c r="AB72" s="110"/>
      <c r="AE72" s="86"/>
      <c r="AF72" s="86"/>
      <c r="AG72" s="86"/>
      <c r="AH72" s="86"/>
    </row>
    <row r="73" spans="2:34" x14ac:dyDescent="0.2">
      <c r="B73" s="58"/>
      <c r="D73" s="148"/>
      <c r="E73" s="90" t="s">
        <v>109</v>
      </c>
      <c r="F73" s="58"/>
      <c r="G73" s="79"/>
      <c r="H73" s="81">
        <f>0.2358-F71</f>
        <v>0.19790000000000002</v>
      </c>
      <c r="I73" s="82">
        <f>0.2267-F71</f>
        <v>0.18880000000000002</v>
      </c>
      <c r="J73" s="82">
        <f>0.1577-G71</f>
        <v>0.1197</v>
      </c>
      <c r="K73" s="82">
        <f>0.15-G71</f>
        <v>0.11199999999999999</v>
      </c>
      <c r="L73" s="82">
        <f t="shared" si="12"/>
        <v>2.0337358184764995E-2</v>
      </c>
      <c r="M73" s="82">
        <f t="shared" si="13"/>
        <v>1.9617504051863865E-2</v>
      </c>
      <c r="N73" s="92">
        <f t="shared" si="14"/>
        <v>1.9977431118314432E-2</v>
      </c>
      <c r="O73" s="92">
        <f>'Growth curves CeBER'!H41</f>
        <v>1.478</v>
      </c>
      <c r="P73" s="92">
        <f t="shared" si="15"/>
        <v>1.8229652000000001</v>
      </c>
      <c r="Q73" s="93">
        <f>O73*0.125/1000</f>
        <v>1.8474999999999999E-4</v>
      </c>
      <c r="R73" s="94">
        <f t="shared" si="16"/>
        <v>54.066119400039057</v>
      </c>
      <c r="S73" s="95">
        <f>AVERAGE(R71:R73)</f>
        <v>51.25450093038372</v>
      </c>
      <c r="T73" s="96">
        <f>STDEV(R71:R73)</f>
        <v>9.1239430572373657</v>
      </c>
      <c r="U73" s="96">
        <f>T73/SQRT(3)</f>
        <v>5.2677109801668101</v>
      </c>
      <c r="V73" s="96">
        <f t="shared" si="17"/>
        <v>98.56065416531608</v>
      </c>
      <c r="W73" s="95">
        <f t="shared" si="19"/>
        <v>88.993908006482982</v>
      </c>
      <c r="X73" s="96">
        <f t="shared" si="20"/>
        <v>16.90461734213817</v>
      </c>
      <c r="Y73" s="96">
        <f t="shared" si="21"/>
        <v>9.7598853730310893</v>
      </c>
      <c r="Z73" s="96">
        <f>(V73-$V$55)/(D71-$D$53)</f>
        <v>0.55905251776437714</v>
      </c>
      <c r="AA73" s="95">
        <f t="shared" si="23"/>
        <v>0.49828008926349571</v>
      </c>
      <c r="AB73" s="103">
        <f t="shared" si="24"/>
        <v>5.9604420790631434E-2</v>
      </c>
    </row>
    <row r="74" spans="2:34" x14ac:dyDescent="0.2">
      <c r="B74" s="99" t="s">
        <v>31</v>
      </c>
      <c r="C74" s="100">
        <v>0.30694444444444441</v>
      </c>
      <c r="D74" s="147">
        <f>9+38/60+12+D71</f>
        <v>189.23333333333332</v>
      </c>
      <c r="E74" s="80" t="s">
        <v>107</v>
      </c>
      <c r="F74" s="104">
        <v>3.9E-2</v>
      </c>
      <c r="G74" s="139">
        <v>3.8899999999999997E-2</v>
      </c>
      <c r="H74" s="104">
        <f>0.2208-F74</f>
        <v>0.18179999999999999</v>
      </c>
      <c r="I74" s="105">
        <f>0.1866-F74</f>
        <v>0.14759999999999998</v>
      </c>
      <c r="J74" s="105">
        <f>0.151-G74</f>
        <v>0.11210000000000001</v>
      </c>
      <c r="K74" s="105">
        <f>0.1209-G74</f>
        <v>8.199999999999999E-2</v>
      </c>
      <c r="L74" s="82">
        <f t="shared" si="12"/>
        <v>1.847317666126418E-2</v>
      </c>
      <c r="M74" s="82">
        <f t="shared" si="13"/>
        <v>1.5881685575364665E-2</v>
      </c>
      <c r="N74" s="82">
        <f t="shared" si="14"/>
        <v>1.7177431118314421E-2</v>
      </c>
      <c r="O74" s="82">
        <f>'Growth curves CeBER'!F42</f>
        <v>1.4379999999999999</v>
      </c>
      <c r="P74" s="82">
        <f t="shared" si="15"/>
        <v>1.7736292</v>
      </c>
      <c r="Q74" s="83">
        <f>P74*0.125/1000</f>
        <v>2.2170364999999999E-4</v>
      </c>
      <c r="R74" s="84">
        <f t="shared" si="16"/>
        <v>38.739621829217562</v>
      </c>
      <c r="S74" s="85"/>
      <c r="V74" s="86">
        <f t="shared" si="17"/>
        <v>68.70972447325768</v>
      </c>
      <c r="W74" s="102"/>
      <c r="X74" s="86"/>
      <c r="Y74" s="86"/>
      <c r="Z74" s="86">
        <f t="shared" si="22"/>
        <v>0.33169605296928739</v>
      </c>
      <c r="AA74" s="102"/>
      <c r="AB74" s="110"/>
    </row>
    <row r="75" spans="2:34" x14ac:dyDescent="0.2">
      <c r="B75" s="58"/>
      <c r="D75" s="148"/>
      <c r="E75" s="80" t="s">
        <v>108</v>
      </c>
      <c r="F75" s="58"/>
      <c r="G75" s="79"/>
      <c r="H75" s="81">
        <f>0.2122-F74</f>
        <v>0.17319999999999999</v>
      </c>
      <c r="I75" s="82">
        <f>0.2242-F74</f>
        <v>0.1852</v>
      </c>
      <c r="J75" s="82">
        <f>0.1351-G74</f>
        <v>9.6200000000000008E-2</v>
      </c>
      <c r="K75" s="82">
        <f>0.1421-G74</f>
        <v>0.10320000000000001</v>
      </c>
      <c r="L75" s="82">
        <f t="shared" si="12"/>
        <v>1.8638411669367909E-2</v>
      </c>
      <c r="M75" s="82">
        <f t="shared" si="13"/>
        <v>1.9896920583468397E-2</v>
      </c>
      <c r="N75" s="82">
        <f t="shared" si="14"/>
        <v>1.9267666126418153E-2</v>
      </c>
      <c r="O75" s="82">
        <f>'Growth curves CeBER'!G42</f>
        <v>1.4359999999999999</v>
      </c>
      <c r="P75" s="82">
        <f t="shared" si="15"/>
        <v>1.7711623999999999</v>
      </c>
      <c r="Q75" s="83">
        <f>P75*0.125/1000</f>
        <v>2.2139529999999998E-4</v>
      </c>
      <c r="R75" s="84">
        <f t="shared" si="16"/>
        <v>43.514171543881361</v>
      </c>
      <c r="S75" s="85"/>
      <c r="V75" s="86">
        <f t="shared" si="17"/>
        <v>77.07066450567261</v>
      </c>
      <c r="W75" s="102"/>
      <c r="X75" s="86"/>
      <c r="Y75" s="86"/>
      <c r="Z75" s="86">
        <f>(V75-$V$54)/(D74-$D$53)</f>
        <v>0.37746730459196021</v>
      </c>
      <c r="AA75" s="102"/>
      <c r="AB75" s="110"/>
    </row>
    <row r="76" spans="2:34" x14ac:dyDescent="0.2">
      <c r="B76" s="58"/>
      <c r="D76" s="148"/>
      <c r="E76" s="90" t="s">
        <v>109</v>
      </c>
      <c r="F76" s="58"/>
      <c r="G76" s="79"/>
      <c r="H76" s="81">
        <f>0.2028-F74</f>
        <v>0.1638</v>
      </c>
      <c r="I76" s="82">
        <f>0.2158-F74</f>
        <v>0.17679999999999998</v>
      </c>
      <c r="J76" s="82">
        <f>0.1305-G74</f>
        <v>9.1600000000000015E-2</v>
      </c>
      <c r="K76" s="82">
        <f>0.1388-G74</f>
        <v>9.9900000000000017E-2</v>
      </c>
      <c r="L76" s="82">
        <f t="shared" si="12"/>
        <v>1.7565964343598053E-2</v>
      </c>
      <c r="M76" s="82">
        <f t="shared" si="13"/>
        <v>1.8859076175040516E-2</v>
      </c>
      <c r="N76" s="92">
        <f t="shared" si="14"/>
        <v>1.8212520259319284E-2</v>
      </c>
      <c r="O76" s="92">
        <f>'Growth curves CeBER'!H42</f>
        <v>1.58</v>
      </c>
      <c r="P76" s="92">
        <f t="shared" si="15"/>
        <v>1.9487720000000002</v>
      </c>
      <c r="Q76" s="93">
        <f>P76*0.125/1000</f>
        <v>2.4359650000000001E-4</v>
      </c>
      <c r="R76" s="94">
        <f t="shared" si="16"/>
        <v>37.382557342406976</v>
      </c>
      <c r="S76" s="95">
        <f>AVERAGE(R74:R76)</f>
        <v>39.878783571835299</v>
      </c>
      <c r="T76" s="96">
        <f>STDEV(R74:R76)</f>
        <v>3.2206273124677902</v>
      </c>
      <c r="U76" s="96">
        <f>T76/SQRT(3)</f>
        <v>1.8594300458127397</v>
      </c>
      <c r="V76" s="96">
        <f t="shared" si="17"/>
        <v>72.850081037277135</v>
      </c>
      <c r="W76" s="95">
        <f t="shared" si="19"/>
        <v>72.876823338735804</v>
      </c>
      <c r="X76" s="96">
        <f t="shared" si="20"/>
        <v>4.1805341667572966</v>
      </c>
      <c r="Y76" s="96">
        <f t="shared" si="21"/>
        <v>2.4136325265337533</v>
      </c>
      <c r="Z76" s="96">
        <f>(V76-$V$55)/(D74-$D$53)</f>
        <v>0.35927406473104101</v>
      </c>
      <c r="AA76" s="95">
        <f t="shared" si="23"/>
        <v>0.35614580743076285</v>
      </c>
      <c r="AB76" s="103">
        <f t="shared" si="24"/>
        <v>1.3305279203873237E-2</v>
      </c>
    </row>
    <row r="77" spans="2:34" x14ac:dyDescent="0.2">
      <c r="B77" s="99" t="s">
        <v>32</v>
      </c>
      <c r="C77" s="100">
        <v>0.4368055555555555</v>
      </c>
      <c r="D77" s="147">
        <f>3+7/60+24+D74</f>
        <v>216.35</v>
      </c>
      <c r="E77" s="80" t="s">
        <v>107</v>
      </c>
      <c r="F77" s="104">
        <v>3.1099999999999999E-2</v>
      </c>
      <c r="G77" s="139">
        <v>3.0200000000000001E-2</v>
      </c>
      <c r="H77" s="104">
        <f>0.1545-F77</f>
        <v>0.1234</v>
      </c>
      <c r="I77" s="105">
        <f>0.143-F77</f>
        <v>0.11189999999999999</v>
      </c>
      <c r="J77" s="105">
        <f>0.0938-G77</f>
        <v>6.359999999999999E-2</v>
      </c>
      <c r="K77" s="105">
        <f>0.0839-G77</f>
        <v>5.3699999999999998E-2</v>
      </c>
      <c r="L77" s="82">
        <f t="shared" si="12"/>
        <v>1.3763695299837925E-2</v>
      </c>
      <c r="M77" s="82">
        <f t="shared" si="13"/>
        <v>1.2870583468395461E-2</v>
      </c>
      <c r="N77" s="82">
        <f t="shared" si="14"/>
        <v>1.3317139384116692E-2</v>
      </c>
      <c r="O77" s="82">
        <f>'Growth curves CeBER'!F43</f>
        <v>1.5960000000000001</v>
      </c>
      <c r="P77" s="82">
        <f t="shared" si="15"/>
        <v>1.9685064000000001</v>
      </c>
      <c r="Q77" s="83">
        <f>P77*0.1/1000</f>
        <v>1.9685064000000003E-4</v>
      </c>
      <c r="R77" s="84">
        <f t="shared" si="16"/>
        <v>33.82549171320116</v>
      </c>
      <c r="S77" s="85"/>
      <c r="V77" s="86">
        <f t="shared" si="17"/>
        <v>66.585696920583445</v>
      </c>
      <c r="W77" s="102"/>
      <c r="X77" s="86"/>
      <c r="Y77" s="86"/>
      <c r="Z77" s="86">
        <f t="shared" si="22"/>
        <v>0.28030470166033705</v>
      </c>
      <c r="AA77" s="102"/>
      <c r="AB77" s="110"/>
    </row>
    <row r="78" spans="2:34" x14ac:dyDescent="0.2">
      <c r="B78" s="58"/>
      <c r="D78" s="148"/>
      <c r="E78" s="80" t="s">
        <v>108</v>
      </c>
      <c r="F78" s="58"/>
      <c r="G78" s="79"/>
      <c r="H78" s="81">
        <f>0.1759-F77</f>
        <v>0.14480000000000001</v>
      </c>
      <c r="I78" s="82">
        <f>0.145-F77</f>
        <v>0.11389999999999999</v>
      </c>
      <c r="J78" s="82">
        <f>0.1215-G77</f>
        <v>9.1299999999999992E-2</v>
      </c>
      <c r="K78" s="82">
        <f>0.0888-G77</f>
        <v>5.8599999999999999E-2</v>
      </c>
      <c r="L78" s="82">
        <f t="shared" si="12"/>
        <v>1.4515964343598059E-2</v>
      </c>
      <c r="M78" s="82">
        <f t="shared" si="13"/>
        <v>1.2714262560777956E-2</v>
      </c>
      <c r="N78" s="82">
        <f t="shared" si="14"/>
        <v>1.3615113452188007E-2</v>
      </c>
      <c r="O78" s="82">
        <f>'Growth curves CeBER'!G43</f>
        <v>1.5660000000000001</v>
      </c>
      <c r="P78" s="82">
        <f t="shared" si="15"/>
        <v>1.9315044000000001</v>
      </c>
      <c r="Q78" s="83">
        <f>P78*0.1/1000</f>
        <v>1.9315044000000004E-4</v>
      </c>
      <c r="R78" s="84">
        <f t="shared" si="16"/>
        <v>35.244841927846515</v>
      </c>
      <c r="S78" s="85"/>
      <c r="V78" s="86">
        <f t="shared" si="17"/>
        <v>68.075567260940034</v>
      </c>
      <c r="W78" s="102"/>
      <c r="X78" s="86"/>
      <c r="Y78" s="86"/>
      <c r="Z78" s="86">
        <f>(V78-$V$54)/(D77-$D$53)</f>
        <v>0.28858007408159314</v>
      </c>
      <c r="AA78" s="102"/>
      <c r="AB78" s="110"/>
    </row>
    <row r="79" spans="2:34" x14ac:dyDescent="0.2">
      <c r="B79" s="58"/>
      <c r="D79" s="148"/>
      <c r="E79" s="90" t="s">
        <v>109</v>
      </c>
      <c r="F79" s="58"/>
      <c r="G79" s="79"/>
      <c r="H79" s="81">
        <f>0.1807-F77</f>
        <v>0.14960000000000001</v>
      </c>
      <c r="I79" s="82">
        <f>0.186-F77</f>
        <v>0.15490000000000001</v>
      </c>
      <c r="J79" s="82">
        <f>0.1277-G77</f>
        <v>9.7500000000000003E-2</v>
      </c>
      <c r="K79" s="82">
        <f>0.1314-G77</f>
        <v>0.10119999999999998</v>
      </c>
      <c r="L79" s="82">
        <f t="shared" si="12"/>
        <v>1.4685980551053487E-2</v>
      </c>
      <c r="M79" s="82">
        <f t="shared" si="13"/>
        <v>1.5182171799027555E-2</v>
      </c>
      <c r="N79" s="92">
        <f t="shared" si="14"/>
        <v>1.4934076175040521E-2</v>
      </c>
      <c r="O79" s="92">
        <f>'Growth curves CeBER'!H43</f>
        <v>1.6180000000000001</v>
      </c>
      <c r="P79" s="92">
        <f t="shared" si="15"/>
        <v>1.9956412000000001</v>
      </c>
      <c r="Q79" s="93">
        <f>P79*0.1/1000</f>
        <v>1.9956412000000001E-4</v>
      </c>
      <c r="R79" s="94">
        <f t="shared" si="16"/>
        <v>37.416736473070713</v>
      </c>
      <c r="S79" s="95">
        <f>AVERAGE(R77:R79)</f>
        <v>35.495690038039463</v>
      </c>
      <c r="T79" s="96">
        <f>STDEV(R77:R79)</f>
        <v>1.8087159290815022</v>
      </c>
      <c r="U79" s="96">
        <f>T79/SQRT(3)</f>
        <v>1.0442626285427694</v>
      </c>
      <c r="V79" s="96">
        <f t="shared" si="17"/>
        <v>74.670380875202611</v>
      </c>
      <c r="W79" s="95">
        <f t="shared" si="19"/>
        <v>69.777215018908691</v>
      </c>
      <c r="X79" s="96">
        <f t="shared" si="20"/>
        <v>4.3025843955312464</v>
      </c>
      <c r="Y79" s="96">
        <f t="shared" si="21"/>
        <v>2.4840982589710485</v>
      </c>
      <c r="Z79" s="96">
        <f>(V79-$V$55)/(D77-$D$53)</f>
        <v>0.32265740091146816</v>
      </c>
      <c r="AA79" s="95">
        <f t="shared" si="23"/>
        <v>0.29718072555113278</v>
      </c>
      <c r="AB79" s="103">
        <f t="shared" si="24"/>
        <v>1.2960403642628333E-2</v>
      </c>
    </row>
    <row r="80" spans="2:34" x14ac:dyDescent="0.2">
      <c r="B80" s="99" t="s">
        <v>33</v>
      </c>
      <c r="C80" s="100">
        <v>0.44722222222222219</v>
      </c>
      <c r="D80" s="147">
        <f>15/60+24+D77</f>
        <v>240.6</v>
      </c>
      <c r="E80" s="80" t="s">
        <v>107</v>
      </c>
      <c r="F80" s="104">
        <v>4.9200000000000001E-2</v>
      </c>
      <c r="G80" s="139">
        <v>4.8500000000000001E-2</v>
      </c>
      <c r="H80" s="104">
        <f>0.2003-F80</f>
        <v>0.15110000000000001</v>
      </c>
      <c r="I80" s="105">
        <f>0.191-F80</f>
        <v>0.14180000000000001</v>
      </c>
      <c r="J80" s="105">
        <f>0.1323-G80</f>
        <v>8.3799999999999999E-2</v>
      </c>
      <c r="K80" s="105">
        <f>0.1213-G80</f>
        <v>7.2800000000000004E-2</v>
      </c>
      <c r="L80" s="82">
        <f t="shared" si="12"/>
        <v>1.6272447325769858E-2</v>
      </c>
      <c r="M80" s="82">
        <f t="shared" si="13"/>
        <v>1.5843760129659646E-2</v>
      </c>
      <c r="N80" s="82">
        <f t="shared" si="14"/>
        <v>1.6058103727714754E-2</v>
      </c>
      <c r="O80" s="82">
        <f>'Growth curves CeBER'!F44</f>
        <v>1.6140000000000001</v>
      </c>
      <c r="P80" s="82">
        <f t="shared" si="15"/>
        <v>1.9907076000000001</v>
      </c>
      <c r="Q80" s="83">
        <f t="shared" ref="Q80:Q82" si="26">P80*0.1/1000</f>
        <v>1.9907076E-4</v>
      </c>
      <c r="R80" s="84">
        <f t="shared" si="16"/>
        <v>40.332652891149742</v>
      </c>
      <c r="S80" s="85"/>
      <c r="V80" s="86">
        <f t="shared" si="17"/>
        <v>80.290518638573772</v>
      </c>
      <c r="W80" s="102"/>
      <c r="X80" s="86"/>
      <c r="Y80" s="86"/>
      <c r="Z80" s="86">
        <f t="shared" si="22"/>
        <v>0.30901389826352549</v>
      </c>
      <c r="AA80" s="102"/>
      <c r="AB80" s="110"/>
    </row>
    <row r="81" spans="2:28" x14ac:dyDescent="0.2">
      <c r="B81" s="58"/>
      <c r="D81" s="148"/>
      <c r="E81" s="80" t="s">
        <v>108</v>
      </c>
      <c r="F81" s="58"/>
      <c r="G81" s="79"/>
      <c r="H81" s="81">
        <f>0.2126-F80</f>
        <v>0.16340000000000002</v>
      </c>
      <c r="I81" s="82">
        <f>0.2127-F80</f>
        <v>0.16350000000000001</v>
      </c>
      <c r="J81" s="82">
        <f>0.1318-G80</f>
        <v>8.3299999999999999E-2</v>
      </c>
      <c r="K81" s="82">
        <f>0.1317-G80</f>
        <v>8.320000000000001E-2</v>
      </c>
      <c r="L81" s="82">
        <f t="shared" si="12"/>
        <v>1.8314991896272288E-2</v>
      </c>
      <c r="M81" s="82">
        <f t="shared" si="13"/>
        <v>1.834100486223663E-2</v>
      </c>
      <c r="N81" s="82">
        <f t="shared" si="14"/>
        <v>1.8327998379254459E-2</v>
      </c>
      <c r="O81" s="82">
        <f>'Growth curves CeBER'!G44</f>
        <v>1.6180000000000001</v>
      </c>
      <c r="P81" s="82">
        <f t="shared" si="15"/>
        <v>1.9956412000000001</v>
      </c>
      <c r="Q81" s="83">
        <f t="shared" si="26"/>
        <v>1.9956412000000001E-4</v>
      </c>
      <c r="R81" s="84">
        <f t="shared" si="16"/>
        <v>45.920074157755558</v>
      </c>
      <c r="S81" s="85"/>
      <c r="V81" s="86">
        <f t="shared" si="17"/>
        <v>91.639991896272292</v>
      </c>
      <c r="W81" s="102"/>
      <c r="X81" s="86"/>
      <c r="Y81" s="86"/>
      <c r="Z81" s="86">
        <f>(V81-$V$54)/(D80-$D$53)</f>
        <v>0.357434429189048</v>
      </c>
      <c r="AA81" s="102"/>
      <c r="AB81" s="110"/>
    </row>
    <row r="82" spans="2:28" x14ac:dyDescent="0.2">
      <c r="B82" s="58"/>
      <c r="D82" s="148"/>
      <c r="E82" s="90" t="s">
        <v>109</v>
      </c>
      <c r="F82" s="58"/>
      <c r="G82" s="79"/>
      <c r="H82" s="81">
        <f>0.2162-F80</f>
        <v>0.16700000000000001</v>
      </c>
      <c r="I82" s="82">
        <f>0.2275-F80</f>
        <v>0.17830000000000001</v>
      </c>
      <c r="J82" s="82">
        <f>0.1333-G80</f>
        <v>8.48E-2</v>
      </c>
      <c r="K82" s="82">
        <f>0.1411-G80</f>
        <v>9.2600000000000002E-2</v>
      </c>
      <c r="L82" s="82">
        <f t="shared" si="12"/>
        <v>1.875137763371151E-2</v>
      </c>
      <c r="M82" s="82">
        <f t="shared" si="13"/>
        <v>1.9817990275526748E-2</v>
      </c>
      <c r="N82" s="92">
        <f t="shared" si="14"/>
        <v>1.9284683954619131E-2</v>
      </c>
      <c r="O82" s="92">
        <f>'Growth curves CeBER'!H44</f>
        <v>1.738</v>
      </c>
      <c r="P82" s="92">
        <f t="shared" si="15"/>
        <v>2.1436492</v>
      </c>
      <c r="Q82" s="93">
        <f t="shared" si="26"/>
        <v>2.1436492000000002E-4</v>
      </c>
      <c r="R82" s="94">
        <f t="shared" si="16"/>
        <v>44.980969728207228</v>
      </c>
      <c r="S82" s="95">
        <f>AVERAGE(R80:R82)</f>
        <v>43.74456559237084</v>
      </c>
      <c r="T82" s="96">
        <f>STDEV(R80:R82)</f>
        <v>2.9918790906326285</v>
      </c>
      <c r="U82" s="96">
        <f>T82/SQRT(3)</f>
        <v>1.7273621983595608</v>
      </c>
      <c r="V82" s="96">
        <f t="shared" si="17"/>
        <v>96.423419773095645</v>
      </c>
      <c r="W82" s="95">
        <f t="shared" si="19"/>
        <v>89.451310102647241</v>
      </c>
      <c r="X82" s="96">
        <f t="shared" si="20"/>
        <v>8.2861553659929417</v>
      </c>
      <c r="Y82" s="96">
        <f t="shared" si="21"/>
        <v>4.7840140311030872</v>
      </c>
      <c r="Z82" s="96">
        <f>(V82-$V$55)/(D80-$D$53)</f>
        <v>0.38054849370361249</v>
      </c>
      <c r="AA82" s="95">
        <f t="shared" si="23"/>
        <v>0.34899894038539531</v>
      </c>
      <c r="AB82" s="103">
        <f t="shared" si="24"/>
        <v>2.1076588035951499E-2</v>
      </c>
    </row>
    <row r="83" spans="2:28" x14ac:dyDescent="0.2">
      <c r="B83" s="99" t="s">
        <v>34</v>
      </c>
      <c r="C83" s="100">
        <v>0.49236111111111108</v>
      </c>
      <c r="D83" s="147">
        <f>1+5/60+48+D80</f>
        <v>289.68333333333334</v>
      </c>
      <c r="E83" s="80" t="s">
        <v>107</v>
      </c>
      <c r="F83" s="104">
        <v>4.5900000000000003E-2</v>
      </c>
      <c r="G83" s="139">
        <v>4.4499999999999998E-2</v>
      </c>
      <c r="H83" s="104">
        <f>0.1496-F83</f>
        <v>0.10370000000000001</v>
      </c>
      <c r="I83" s="105">
        <f>0.183-F83</f>
        <v>0.1371</v>
      </c>
      <c r="J83" s="105">
        <f>0.0919-G83</f>
        <v>4.7399999999999998E-2</v>
      </c>
      <c r="K83" s="105">
        <f>0.1223-G83</f>
        <v>7.7800000000000008E-2</v>
      </c>
      <c r="L83" s="82">
        <f t="shared" si="12"/>
        <v>1.2159319286871964E-2</v>
      </c>
      <c r="M83" s="82">
        <f t="shared" si="13"/>
        <v>1.4591734197730957E-2</v>
      </c>
      <c r="N83" s="82">
        <f t="shared" si="14"/>
        <v>1.337552674230146E-2</v>
      </c>
      <c r="O83" s="82">
        <f>'Growth curves CeBER'!F45</f>
        <v>1.742</v>
      </c>
      <c r="P83" s="82">
        <f t="shared" si="15"/>
        <v>2.1485828000000002</v>
      </c>
      <c r="Q83" s="83">
        <f t="shared" ref="Q83:Q85" si="27">P83*0.075/1000</f>
        <v>1.6114371000000002E-4</v>
      </c>
      <c r="R83" s="84">
        <f t="shared" si="16"/>
        <v>41.501858007059219</v>
      </c>
      <c r="S83" s="85"/>
      <c r="V83" s="86">
        <f t="shared" si="17"/>
        <v>89.170178282009729</v>
      </c>
      <c r="W83" s="102"/>
      <c r="X83" s="86"/>
      <c r="Y83" s="86"/>
      <c r="Z83" s="86">
        <f t="shared" si="22"/>
        <v>0.28730822242324444</v>
      </c>
      <c r="AA83" s="102"/>
      <c r="AB83" s="110"/>
    </row>
    <row r="84" spans="2:28" x14ac:dyDescent="0.2">
      <c r="B84" s="58"/>
      <c r="D84" s="148"/>
      <c r="E84" s="80" t="s">
        <v>108</v>
      </c>
      <c r="F84" s="58"/>
      <c r="G84" s="79"/>
      <c r="H84" s="81">
        <f>0.1402-F83</f>
        <v>9.4299999999999995E-2</v>
      </c>
      <c r="I84" s="82">
        <f>0.14-F83</f>
        <v>9.4100000000000017E-2</v>
      </c>
      <c r="J84" s="82">
        <f>0.0895-G83</f>
        <v>4.4999999999999998E-2</v>
      </c>
      <c r="K84" s="82">
        <f>0.0909-G83</f>
        <v>4.6399999999999997E-2</v>
      </c>
      <c r="L84" s="82">
        <f t="shared" si="12"/>
        <v>1.0871150729335494E-2</v>
      </c>
      <c r="M84" s="82">
        <f t="shared" si="13"/>
        <v>1.0701458670988657E-2</v>
      </c>
      <c r="N84" s="82">
        <f t="shared" si="14"/>
        <v>1.0786304700162076E-2</v>
      </c>
      <c r="O84" s="82">
        <f>'Growth curves CeBER'!G45</f>
        <v>1.6859999999999999</v>
      </c>
      <c r="P84" s="82">
        <f t="shared" si="15"/>
        <v>2.0795124</v>
      </c>
      <c r="Q84" s="83">
        <f t="shared" si="27"/>
        <v>1.5596342999999997E-4</v>
      </c>
      <c r="R84" s="84">
        <f t="shared" si="16"/>
        <v>34.579595678814186</v>
      </c>
      <c r="S84" s="85"/>
      <c r="V84" s="86">
        <f t="shared" si="17"/>
        <v>71.908698001080523</v>
      </c>
      <c r="W84" s="102"/>
      <c r="X84" s="86"/>
      <c r="Y84" s="86"/>
      <c r="Z84" s="86">
        <f>(V84-$V$54)/(D83-$D$53)</f>
        <v>0.22875817191540132</v>
      </c>
      <c r="AA84" s="102"/>
      <c r="AB84" s="110"/>
    </row>
    <row r="85" spans="2:28" x14ac:dyDescent="0.2">
      <c r="B85" s="58"/>
      <c r="D85" s="148"/>
      <c r="E85" s="90" t="s">
        <v>109</v>
      </c>
      <c r="F85" s="58"/>
      <c r="G85" s="79"/>
      <c r="H85" s="81">
        <f>0.1569-F83</f>
        <v>0.11100000000000002</v>
      </c>
      <c r="I85" s="82">
        <f>0.1511-F83</f>
        <v>0.10520000000000002</v>
      </c>
      <c r="J85" s="82">
        <f>0.1048-G83</f>
        <v>6.0300000000000006E-2</v>
      </c>
      <c r="K85" s="82">
        <f>0.0997-G83</f>
        <v>5.5199999999999999E-2</v>
      </c>
      <c r="L85" s="82">
        <f t="shared" si="12"/>
        <v>1.2077552674230149E-2</v>
      </c>
      <c r="M85" s="82">
        <f t="shared" si="13"/>
        <v>1.1637601296596438E-2</v>
      </c>
      <c r="N85" s="92">
        <f t="shared" si="14"/>
        <v>1.1857576985413294E-2</v>
      </c>
      <c r="O85" s="92">
        <f>'Growth curves CeBER'!H45</f>
        <v>1.8280000000000001</v>
      </c>
      <c r="P85" s="92">
        <f t="shared" si="15"/>
        <v>2.2546552000000002</v>
      </c>
      <c r="Q85" s="93">
        <f t="shared" si="27"/>
        <v>1.6909914000000001E-4</v>
      </c>
      <c r="R85" s="94">
        <f t="shared" si="16"/>
        <v>35.061020965018784</v>
      </c>
      <c r="S85" s="95">
        <f>AVERAGE(R83:R85)</f>
        <v>37.047491550297401</v>
      </c>
      <c r="T85" s="96">
        <f>STDEV(R83:R85)</f>
        <v>3.8650974082024052</v>
      </c>
      <c r="U85" s="96">
        <f>T85/SQRT(3)</f>
        <v>2.2315150290697838</v>
      </c>
      <c r="V85" s="96">
        <f t="shared" si="17"/>
        <v>79.050513236088619</v>
      </c>
      <c r="W85" s="95">
        <f t="shared" si="19"/>
        <v>80.043129839726291</v>
      </c>
      <c r="X85" s="96">
        <f t="shared" si="20"/>
        <v>8.6734445962137698</v>
      </c>
      <c r="Y85" s="96">
        <f t="shared" si="21"/>
        <v>5.0076155724253253</v>
      </c>
      <c r="Z85" s="96">
        <f>(V85-$V$55)/(D83-$D$53)</f>
        <v>0.2560970981465352</v>
      </c>
      <c r="AA85" s="95">
        <f t="shared" si="23"/>
        <v>0.25738783082839367</v>
      </c>
      <c r="AB85" s="103">
        <f t="shared" si="24"/>
        <v>1.6914260223844242E-2</v>
      </c>
    </row>
    <row r="86" spans="2:28" x14ac:dyDescent="0.2">
      <c r="B86" s="99" t="s">
        <v>35</v>
      </c>
      <c r="C86" s="100">
        <v>0.49374999999999997</v>
      </c>
      <c r="D86" s="155">
        <f>2/60+24+D83</f>
        <v>313.7166666666667</v>
      </c>
      <c r="E86" s="80" t="s">
        <v>107</v>
      </c>
      <c r="F86" s="104">
        <f>(0.0555+0.0526)/2</f>
        <v>5.4050000000000001E-2</v>
      </c>
      <c r="G86" s="139">
        <f>(0.0536+0.0514)/2</f>
        <v>5.2500000000000005E-2</v>
      </c>
      <c r="H86" s="104">
        <f>0.2208-F86</f>
        <v>0.16675000000000001</v>
      </c>
      <c r="I86" s="105">
        <f>0.2175-F86</f>
        <v>0.16344999999999998</v>
      </c>
      <c r="J86" s="105">
        <f>0.1329-G86</f>
        <v>8.0399999999999985E-2</v>
      </c>
      <c r="K86" s="105">
        <f>0.1334-G86</f>
        <v>8.0899999999999986E-2</v>
      </c>
      <c r="L86" s="82">
        <f t="shared" si="12"/>
        <v>1.9142301458670991E-2</v>
      </c>
      <c r="M86" s="82">
        <f t="shared" si="13"/>
        <v>1.8558427876823338E-2</v>
      </c>
      <c r="N86" s="82">
        <f t="shared" si="14"/>
        <v>1.8850364667747165E-2</v>
      </c>
      <c r="O86" s="82">
        <f>'Growth curves CeBER'!F46</f>
        <v>1.83</v>
      </c>
      <c r="P86" s="82">
        <f t="shared" si="15"/>
        <v>2.2571220000000003</v>
      </c>
      <c r="Q86" s="83">
        <f t="shared" ref="Q86:Q91" si="28">P86*0.1/1000</f>
        <v>2.2571220000000002E-4</v>
      </c>
      <c r="R86" s="84">
        <f t="shared" si="16"/>
        <v>41.75752278287829</v>
      </c>
      <c r="S86" s="85"/>
      <c r="V86" s="86">
        <f t="shared" si="17"/>
        <v>94.251823338735818</v>
      </c>
      <c r="W86" s="102"/>
      <c r="X86" s="86"/>
      <c r="Y86" s="86"/>
      <c r="Z86" s="86">
        <f t="shared" si="22"/>
        <v>0.28149619706433493</v>
      </c>
      <c r="AA86" s="102"/>
      <c r="AB86" s="110"/>
    </row>
    <row r="87" spans="2:28" x14ac:dyDescent="0.2">
      <c r="B87" s="58"/>
      <c r="D87" s="87"/>
      <c r="E87" s="80" t="s">
        <v>108</v>
      </c>
      <c r="F87" s="58"/>
      <c r="G87" s="79"/>
      <c r="H87" s="81">
        <f>0.2336-F86</f>
        <v>0.17954999999999999</v>
      </c>
      <c r="I87" s="82">
        <f>0.2469-F86</f>
        <v>0.19285000000000002</v>
      </c>
      <c r="J87" s="82">
        <f>0.152-G86</f>
        <v>9.9499999999999991E-2</v>
      </c>
      <c r="K87" s="82">
        <f>0.1617-G86</f>
        <v>0.10920000000000001</v>
      </c>
      <c r="L87" s="82">
        <f t="shared" si="12"/>
        <v>1.9344003241491086E-2</v>
      </c>
      <c r="M87" s="82">
        <f t="shared" si="13"/>
        <v>2.05484602917342E-2</v>
      </c>
      <c r="N87" s="82">
        <f t="shared" si="14"/>
        <v>1.9946231766612643E-2</v>
      </c>
      <c r="O87" s="82">
        <f>'Growth curves CeBER'!G46</f>
        <v>1.78</v>
      </c>
      <c r="P87" s="82">
        <f t="shared" si="15"/>
        <v>2.195452</v>
      </c>
      <c r="Q87" s="83">
        <f t="shared" si="28"/>
        <v>2.1954519999999999E-4</v>
      </c>
      <c r="R87" s="84">
        <f t="shared" si="16"/>
        <v>45.426253378831888</v>
      </c>
      <c r="S87" s="85"/>
      <c r="V87" s="86">
        <f t="shared" si="17"/>
        <v>99.731158833063219</v>
      </c>
      <c r="W87" s="102"/>
      <c r="X87" s="86"/>
      <c r="Y87" s="86"/>
      <c r="Z87" s="86">
        <f>(V87-$V$54)/(D86-$D$53)</f>
        <v>0.29991996153538497</v>
      </c>
      <c r="AA87" s="102"/>
      <c r="AB87" s="110"/>
    </row>
    <row r="88" spans="2:28" x14ac:dyDescent="0.2">
      <c r="B88" s="58"/>
      <c r="D88" s="87"/>
      <c r="E88" s="90" t="s">
        <v>109</v>
      </c>
      <c r="F88" s="58"/>
      <c r="G88" s="79"/>
      <c r="H88" s="81">
        <f>0.2323-F86</f>
        <v>0.17825000000000002</v>
      </c>
      <c r="I88" s="82">
        <f>0.2362-F86</f>
        <v>0.18214999999999998</v>
      </c>
      <c r="J88" s="82">
        <f>0.1429-G86</f>
        <v>9.0399999999999994E-2</v>
      </c>
      <c r="K88" s="82">
        <f>0.1429-G86</f>
        <v>9.0399999999999994E-2</v>
      </c>
      <c r="L88" s="82">
        <f t="shared" si="12"/>
        <v>2.0025607779578611E-2</v>
      </c>
      <c r="M88" s="82">
        <f t="shared" si="13"/>
        <v>2.0657698541329008E-2</v>
      </c>
      <c r="N88" s="92">
        <f t="shared" si="14"/>
        <v>2.0341653160453811E-2</v>
      </c>
      <c r="O88" s="92">
        <f>'Growth curves CeBER'!H46</f>
        <v>1.88</v>
      </c>
      <c r="P88" s="92">
        <f t="shared" si="15"/>
        <v>2.3187920000000002</v>
      </c>
      <c r="Q88" s="93">
        <f t="shared" si="28"/>
        <v>2.3187920000000003E-4</v>
      </c>
      <c r="R88" s="94">
        <f t="shared" si="16"/>
        <v>43.862608548877624</v>
      </c>
      <c r="S88" s="95">
        <f>AVERAGE(R86:R88)</f>
        <v>43.682128236862603</v>
      </c>
      <c r="T88" s="96">
        <f>STDEV(R86:R88)</f>
        <v>1.8410121954213909</v>
      </c>
      <c r="U88" s="96">
        <f>T88/SQRT(3)</f>
        <v>1.0629088866079239</v>
      </c>
      <c r="V88" s="96">
        <f t="shared" si="17"/>
        <v>101.70826580226905</v>
      </c>
      <c r="W88" s="95">
        <f t="shared" si="19"/>
        <v>98.563749324689368</v>
      </c>
      <c r="X88" s="96">
        <f t="shared" si="20"/>
        <v>3.8628703412328846</v>
      </c>
      <c r="Y88" s="96">
        <f t="shared" si="21"/>
        <v>2.2302292313554277</v>
      </c>
      <c r="Z88" s="96">
        <f>(V88-$V$55)/(D86-$D$53)</f>
        <v>0.30870152562587017</v>
      </c>
      <c r="AA88" s="95">
        <f t="shared" si="23"/>
        <v>0.29670589474186337</v>
      </c>
      <c r="AB88" s="103">
        <f t="shared" si="24"/>
        <v>8.0162365348955995E-3</v>
      </c>
    </row>
    <row r="89" spans="2:28" x14ac:dyDescent="0.2">
      <c r="B89" s="99" t="s">
        <v>36</v>
      </c>
      <c r="C89" s="100">
        <v>0.46180555555555558</v>
      </c>
      <c r="D89" s="155">
        <f>11+14/60+12+D86</f>
        <v>336.95000000000005</v>
      </c>
      <c r="E89" s="80" t="s">
        <v>107</v>
      </c>
      <c r="F89" s="104">
        <f>(0.0459+0.0491)/2</f>
        <v>4.7500000000000001E-2</v>
      </c>
      <c r="G89" s="139">
        <f>(0.0437+0.047)/2</f>
        <v>4.5350000000000001E-2</v>
      </c>
      <c r="H89" s="104">
        <f>0.2668-F89</f>
        <v>0.21929999999999999</v>
      </c>
      <c r="I89" s="105">
        <f>0.2685-F89</f>
        <v>0.22100000000000003</v>
      </c>
      <c r="J89" s="105">
        <f>0.1618-G89</f>
        <v>0.11645</v>
      </c>
      <c r="K89" s="105">
        <f>0.1635-G89</f>
        <v>0.11815000000000001</v>
      </c>
      <c r="L89" s="82">
        <f t="shared" si="12"/>
        <v>2.4124432739059967E-2</v>
      </c>
      <c r="M89" s="82">
        <f t="shared" si="13"/>
        <v>2.423326580226905E-2</v>
      </c>
      <c r="N89" s="82">
        <f t="shared" si="14"/>
        <v>2.4178849270664507E-2</v>
      </c>
      <c r="O89" s="82">
        <f>'Growth curves CeBER'!F47</f>
        <v>1.9239999999999999</v>
      </c>
      <c r="P89" s="82">
        <f t="shared" si="15"/>
        <v>2.3730616000000002</v>
      </c>
      <c r="Q89" s="83">
        <f t="shared" si="28"/>
        <v>2.3730616000000005E-4</v>
      </c>
      <c r="R89" s="84">
        <f t="shared" si="16"/>
        <v>50.944419796486748</v>
      </c>
      <c r="S89" s="85"/>
      <c r="V89" s="86">
        <f t="shared" si="17"/>
        <v>120.89424635332253</v>
      </c>
      <c r="W89" s="102"/>
      <c r="X89" s="86"/>
      <c r="Y89" s="86"/>
      <c r="Z89" s="86">
        <f t="shared" si="22"/>
        <v>0.34115587368141559</v>
      </c>
      <c r="AA89" s="102"/>
      <c r="AB89" s="110"/>
    </row>
    <row r="90" spans="2:28" x14ac:dyDescent="0.2">
      <c r="B90" s="58"/>
      <c r="D90" s="87"/>
      <c r="E90" s="80" t="s">
        <v>108</v>
      </c>
      <c r="F90" s="81"/>
      <c r="G90" s="137"/>
      <c r="H90" s="81">
        <f>0.2303-F89</f>
        <v>0.18280000000000002</v>
      </c>
      <c r="I90" s="82">
        <f>0.2272-F89</f>
        <v>0.17970000000000003</v>
      </c>
      <c r="J90" s="82">
        <f>0.141-G89</f>
        <v>9.5649999999999985E-2</v>
      </c>
      <c r="K90" s="82">
        <f>0.138-G89</f>
        <v>9.265000000000001E-2</v>
      </c>
      <c r="L90" s="82">
        <f t="shared" si="12"/>
        <v>2.0248257698541335E-2</v>
      </c>
      <c r="M90" s="82">
        <f t="shared" si="13"/>
        <v>2.0039991896272289E-2</v>
      </c>
      <c r="N90" s="82">
        <f t="shared" si="14"/>
        <v>2.0144124797406814E-2</v>
      </c>
      <c r="O90" s="82">
        <f>'Growth curves CeBER'!G47</f>
        <v>1.8260000000000001</v>
      </c>
      <c r="P90" s="82">
        <f t="shared" si="15"/>
        <v>2.2521884000000001</v>
      </c>
      <c r="Q90" s="83">
        <f t="shared" si="28"/>
        <v>2.2521884000000004E-4</v>
      </c>
      <c r="R90" s="84">
        <f t="shared" si="16"/>
        <v>44.721224914857942</v>
      </c>
      <c r="S90" s="85"/>
      <c r="V90" s="86">
        <f t="shared" si="17"/>
        <v>100.72062398703405</v>
      </c>
      <c r="W90" s="102"/>
      <c r="X90" s="86"/>
      <c r="Y90" s="86"/>
      <c r="Z90" s="86">
        <f>(V90-$V$54)/(D89-$D$53)</f>
        <v>0.28217645274861752</v>
      </c>
      <c r="AA90" s="102"/>
      <c r="AB90" s="110"/>
    </row>
    <row r="91" spans="2:28" x14ac:dyDescent="0.2">
      <c r="B91" s="58"/>
      <c r="D91" s="87"/>
      <c r="E91" s="90" t="s">
        <v>109</v>
      </c>
      <c r="F91" s="81"/>
      <c r="G91" s="137"/>
      <c r="H91" s="81">
        <f>0.2887-F89</f>
        <v>0.24120000000000003</v>
      </c>
      <c r="I91" s="82">
        <f>0.2925-F89</f>
        <v>0.245</v>
      </c>
      <c r="J91" s="82">
        <f>0.1735-G89</f>
        <v>0.12814999999999999</v>
      </c>
      <c r="K91" s="82">
        <f>0.1733-G89</f>
        <v>0.12795000000000001</v>
      </c>
      <c r="L91" s="82">
        <f t="shared" si="12"/>
        <v>2.6526620745542958E-2</v>
      </c>
      <c r="M91" s="82">
        <f t="shared" si="13"/>
        <v>2.7162115072933549E-2</v>
      </c>
      <c r="N91" s="92">
        <f t="shared" si="14"/>
        <v>2.6844367909238255E-2</v>
      </c>
      <c r="O91" s="92">
        <f>'Growth curves CeBER'!H47</f>
        <v>1.95</v>
      </c>
      <c r="P91" s="92">
        <f t="shared" si="15"/>
        <v>2.4051300000000002</v>
      </c>
      <c r="Q91" s="93">
        <f t="shared" si="28"/>
        <v>2.4051300000000003E-4</v>
      </c>
      <c r="R91" s="94">
        <f t="shared" si="16"/>
        <v>55.806480126309701</v>
      </c>
      <c r="S91" s="95">
        <f>AVERAGE(R89:R91)</f>
        <v>50.490708279218133</v>
      </c>
      <c r="T91" s="96">
        <f>STDEV(R89:R91)</f>
        <v>5.5565377152891928</v>
      </c>
      <c r="U91" s="96">
        <f>T91/SQRT(3)</f>
        <v>3.2080685456845237</v>
      </c>
      <c r="V91" s="96">
        <f t="shared" si="17"/>
        <v>134.22183954619126</v>
      </c>
      <c r="W91" s="95">
        <f t="shared" si="19"/>
        <v>118.61223662884929</v>
      </c>
      <c r="X91" s="96">
        <f t="shared" si="20"/>
        <v>16.866787995116916</v>
      </c>
      <c r="Y91" s="96">
        <f t="shared" si="21"/>
        <v>9.7380445893450993</v>
      </c>
      <c r="Z91" s="96">
        <f>(V91-$V$55)/(D89-$D$53)</f>
        <v>0.38390974138057504</v>
      </c>
      <c r="AA91" s="95">
        <f t="shared" si="23"/>
        <v>0.33574735593686938</v>
      </c>
      <c r="AB91" s="103">
        <f t="shared" si="24"/>
        <v>2.9492115059865938E-2</v>
      </c>
    </row>
    <row r="92" spans="2:28" x14ac:dyDescent="0.2">
      <c r="B92" s="99" t="s">
        <v>37</v>
      </c>
      <c r="C92" s="100">
        <v>0.41250000000000003</v>
      </c>
      <c r="D92" s="155">
        <f>10+49/60+12+D89</f>
        <v>359.76666666666671</v>
      </c>
      <c r="E92" s="80" t="s">
        <v>107</v>
      </c>
      <c r="F92" s="104">
        <f>(0.0422+0.0455)/2</f>
        <v>4.385E-2</v>
      </c>
      <c r="G92" s="139">
        <f>(0.0423+0.0455)/2</f>
        <v>4.3899999999999995E-2</v>
      </c>
      <c r="H92" s="104">
        <f>0.1448-F92</f>
        <v>0.10095000000000001</v>
      </c>
      <c r="I92" s="105">
        <f>0.1482-F92</f>
        <v>0.10435</v>
      </c>
      <c r="J92" s="105">
        <f>0.0953-G92</f>
        <v>5.1400000000000001E-2</v>
      </c>
      <c r="K92" s="105">
        <f>0.0993-G92</f>
        <v>5.5400000000000005E-2</v>
      </c>
      <c r="L92" s="82">
        <f t="shared" si="12"/>
        <v>1.1321393841166939E-2</v>
      </c>
      <c r="M92" s="82">
        <f t="shared" si="13"/>
        <v>1.1480226904376011E-2</v>
      </c>
      <c r="N92" s="82">
        <f t="shared" si="14"/>
        <v>1.1400810372771474E-2</v>
      </c>
      <c r="O92" s="82">
        <f>'Growth curves CeBER'!F48</f>
        <v>1.984</v>
      </c>
      <c r="P92" s="82">
        <f t="shared" si="15"/>
        <v>2.4470656000000002</v>
      </c>
      <c r="Q92" s="83">
        <f t="shared" ref="Q92:Q100" si="29">P92*0.05/1000</f>
        <v>1.2235328000000001E-4</v>
      </c>
      <c r="R92" s="84">
        <f t="shared" si="16"/>
        <v>46.589721063348172</v>
      </c>
      <c r="S92" s="85"/>
      <c r="V92" s="86">
        <f t="shared" si="17"/>
        <v>114.00810372771474</v>
      </c>
      <c r="W92" s="102"/>
      <c r="X92" s="86"/>
      <c r="Y92" s="86"/>
      <c r="Z92" s="86">
        <f t="shared" si="22"/>
        <v>0.30037893730569404</v>
      </c>
      <c r="AA92" s="102"/>
      <c r="AB92" s="110"/>
    </row>
    <row r="93" spans="2:28" x14ac:dyDescent="0.2">
      <c r="B93" s="58"/>
      <c r="D93" s="87"/>
      <c r="E93" s="80" t="s">
        <v>108</v>
      </c>
      <c r="F93" s="81"/>
      <c r="G93" s="137"/>
      <c r="H93" s="81">
        <f>0.1435-F92</f>
        <v>9.9649999999999989E-2</v>
      </c>
      <c r="I93" s="82">
        <f>0.1841-F92</f>
        <v>0.14025000000000001</v>
      </c>
      <c r="J93" s="82">
        <f>0.0951-G92</f>
        <v>5.1200000000000009E-2</v>
      </c>
      <c r="K93" s="82">
        <f>0.1337-G92</f>
        <v>8.9800000000000019E-2</v>
      </c>
      <c r="L93" s="82">
        <f t="shared" si="12"/>
        <v>1.1130307941653159E-2</v>
      </c>
      <c r="M93" s="82">
        <f t="shared" si="13"/>
        <v>1.3925607779578606E-2</v>
      </c>
      <c r="N93" s="82">
        <f t="shared" si="14"/>
        <v>1.2527957860615883E-2</v>
      </c>
      <c r="O93" s="82">
        <f>'Growth curves CeBER'!G48</f>
        <v>1.796</v>
      </c>
      <c r="P93" s="82">
        <f t="shared" si="15"/>
        <v>2.2151864000000003</v>
      </c>
      <c r="Q93" s="83">
        <f t="shared" si="29"/>
        <v>1.1075932000000002E-4</v>
      </c>
      <c r="R93" s="84">
        <f t="shared" si="16"/>
        <v>56.554869877387659</v>
      </c>
      <c r="S93" s="85"/>
      <c r="V93" s="86">
        <f t="shared" si="17"/>
        <v>125.27957860615884</v>
      </c>
      <c r="W93" s="102"/>
      <c r="X93" s="86"/>
      <c r="Y93" s="86"/>
      <c r="Z93" s="86">
        <f>(V93-$V$54)/(D92-$D$53)</f>
        <v>0.33254417781739498</v>
      </c>
      <c r="AA93" s="102"/>
      <c r="AB93" s="110"/>
    </row>
    <row r="94" spans="2:28" x14ac:dyDescent="0.2">
      <c r="B94" s="58"/>
      <c r="D94" s="87"/>
      <c r="E94" s="90" t="s">
        <v>109</v>
      </c>
      <c r="F94" s="81"/>
      <c r="G94" s="137"/>
      <c r="H94" s="81">
        <f>0.1646-F92</f>
        <v>0.12075</v>
      </c>
      <c r="I94" s="82">
        <f>0.146-F92</f>
        <v>0.10214999999999999</v>
      </c>
      <c r="J94" s="82">
        <f>0.1157-G92</f>
        <v>7.1800000000000003E-2</v>
      </c>
      <c r="K94" s="82">
        <f>0.097-G92</f>
        <v>5.3100000000000008E-2</v>
      </c>
      <c r="L94" s="82">
        <f t="shared" si="12"/>
        <v>1.2530145867098864E-2</v>
      </c>
      <c r="M94" s="82">
        <f t="shared" si="13"/>
        <v>1.1349189627228523E-2</v>
      </c>
      <c r="N94" s="92">
        <f t="shared" si="14"/>
        <v>1.1939667747163693E-2</v>
      </c>
      <c r="O94" s="92">
        <f>'Growth curves CeBER'!H48</f>
        <v>1.964</v>
      </c>
      <c r="P94" s="92">
        <f t="shared" si="15"/>
        <v>2.4223976</v>
      </c>
      <c r="Q94" s="93">
        <f t="shared" si="29"/>
        <v>1.2111988000000001E-4</v>
      </c>
      <c r="R94" s="94">
        <f t="shared" si="16"/>
        <v>49.288637617390691</v>
      </c>
      <c r="S94" s="95">
        <f>AVERAGE(R92:R94)</f>
        <v>50.811076186042179</v>
      </c>
      <c r="T94" s="96">
        <f>STDEV(R92:R94)</f>
        <v>5.1540675313752278</v>
      </c>
      <c r="U94" s="96">
        <f>T94/SQRT(3)</f>
        <v>2.9757022766609977</v>
      </c>
      <c r="V94" s="96">
        <f t="shared" si="17"/>
        <v>119.39667747163693</v>
      </c>
      <c r="W94" s="95">
        <f t="shared" si="19"/>
        <v>119.56145326850351</v>
      </c>
      <c r="X94" s="96">
        <f t="shared" si="20"/>
        <v>5.6375437720051318</v>
      </c>
      <c r="Y94" s="96">
        <f t="shared" si="21"/>
        <v>3.2548374143354613</v>
      </c>
      <c r="Z94" s="96">
        <f>(V94-$V$55)/(D92-$D$53)</f>
        <v>0.31835418868793786</v>
      </c>
      <c r="AA94" s="95">
        <f t="shared" si="23"/>
        <v>0.31709243460367559</v>
      </c>
      <c r="AB94" s="103">
        <f t="shared" si="24"/>
        <v>9.3067124847383918E-3</v>
      </c>
    </row>
    <row r="95" spans="2:28" x14ac:dyDescent="0.2">
      <c r="B95" s="99" t="s">
        <v>38</v>
      </c>
      <c r="C95" s="100">
        <v>0.47361111111111115</v>
      </c>
      <c r="D95" s="155">
        <f>1+28/60+24+D92</f>
        <v>385.23333333333335</v>
      </c>
      <c r="E95" s="80" t="s">
        <v>107</v>
      </c>
      <c r="F95" s="104">
        <f>(0.0451+0.0398+0.0434)/3</f>
        <v>4.2766666666666668E-2</v>
      </c>
      <c r="G95" s="139">
        <f>(0.0445+0.0392+0.0428)/3</f>
        <v>4.2166666666666665E-2</v>
      </c>
      <c r="H95" s="105">
        <f>0.2118-F95</f>
        <v>0.16903333333333331</v>
      </c>
      <c r="I95" s="105">
        <f>0.2166-F95</f>
        <v>0.17383333333333331</v>
      </c>
      <c r="J95" s="105">
        <f>0.1552-G95</f>
        <v>0.11303333333333335</v>
      </c>
      <c r="K95" s="105">
        <f>0.1607-G95</f>
        <v>0.11853333333333335</v>
      </c>
      <c r="L95" s="82">
        <f t="shared" si="12"/>
        <v>1.6312506753106425E-2</v>
      </c>
      <c r="M95" s="82">
        <f t="shared" si="13"/>
        <v>1.6551161534305775E-2</v>
      </c>
      <c r="N95" s="82">
        <f t="shared" si="14"/>
        <v>1.6431834143706102E-2</v>
      </c>
      <c r="O95" s="82">
        <f>'Growth curves CeBER'!F49</f>
        <v>2.0139999999999998</v>
      </c>
      <c r="P95" s="82">
        <f t="shared" si="15"/>
        <v>2.4840675999999999</v>
      </c>
      <c r="Q95" s="83">
        <f t="shared" si="29"/>
        <v>1.2420338E-4</v>
      </c>
      <c r="R95" s="84">
        <f t="shared" si="16"/>
        <v>66.148900874139258</v>
      </c>
      <c r="S95" s="85"/>
      <c r="V95" s="86">
        <f t="shared" si="17"/>
        <v>164.31834143706101</v>
      </c>
      <c r="W95" s="102"/>
      <c r="X95" s="86"/>
      <c r="Y95" s="86"/>
      <c r="Z95" s="86">
        <f t="shared" si="22"/>
        <v>0.41111854301468753</v>
      </c>
      <c r="AA95" s="102"/>
      <c r="AB95" s="110"/>
    </row>
    <row r="96" spans="2:28" x14ac:dyDescent="0.2">
      <c r="B96" s="58"/>
      <c r="D96" s="87"/>
      <c r="E96" s="80" t="s">
        <v>108</v>
      </c>
      <c r="F96" s="81"/>
      <c r="G96" s="137"/>
      <c r="H96" s="82">
        <f>0.135-F95</f>
        <v>9.2233333333333334E-2</v>
      </c>
      <c r="I96" s="82">
        <f>0.1836-F95</f>
        <v>0.14083333333333334</v>
      </c>
      <c r="J96" s="82">
        <f>0.0864-G95</f>
        <v>4.423333333333334E-2</v>
      </c>
      <c r="K96" s="82">
        <f>0.1345-G95</f>
        <v>9.2333333333333351E-2</v>
      </c>
      <c r="L96" s="82">
        <f t="shared" si="12"/>
        <v>1.0611372231226364E-2</v>
      </c>
      <c r="M96" s="82">
        <f t="shared" si="13"/>
        <v>1.3771745002701242E-2</v>
      </c>
      <c r="N96" s="82">
        <f t="shared" si="14"/>
        <v>1.2191558616963803E-2</v>
      </c>
      <c r="O96" s="82">
        <f>'Growth curves CeBER'!G49</f>
        <v>1.8660000000000001</v>
      </c>
      <c r="P96" s="82">
        <f t="shared" si="15"/>
        <v>2.3015244000000004</v>
      </c>
      <c r="Q96" s="83">
        <f t="shared" si="29"/>
        <v>1.1507622000000002E-4</v>
      </c>
      <c r="R96" s="84">
        <f t="shared" si="16"/>
        <v>52.971667895260204</v>
      </c>
      <c r="S96" s="85"/>
      <c r="V96" s="86">
        <f t="shared" si="17"/>
        <v>121.91558616963802</v>
      </c>
      <c r="W96" s="102"/>
      <c r="X96" s="86"/>
      <c r="Y96" s="86"/>
      <c r="Z96" s="86">
        <f>(V96-$V$54)/(D95-$D$53)</f>
        <v>0.30182828918296445</v>
      </c>
      <c r="AA96" s="102"/>
      <c r="AB96" s="110"/>
    </row>
    <row r="97" spans="2:34" x14ac:dyDescent="0.2">
      <c r="B97" s="58"/>
      <c r="D97" s="87"/>
      <c r="E97" s="90" t="s">
        <v>109</v>
      </c>
      <c r="F97" s="81"/>
      <c r="G97" s="137"/>
      <c r="H97" s="82">
        <f>0.1703-F95</f>
        <v>0.12753333333333333</v>
      </c>
      <c r="I97" s="82">
        <f>0.1538-F95</f>
        <v>0.11103333333333332</v>
      </c>
      <c r="J97" s="82">
        <f>0.1172-G95</f>
        <v>7.5033333333333341E-2</v>
      </c>
      <c r="K97" s="82">
        <f>0.1004-G95</f>
        <v>5.8233333333333338E-2</v>
      </c>
      <c r="L97" s="82">
        <f t="shared" si="12"/>
        <v>1.331250675310643E-2</v>
      </c>
      <c r="M97" s="82">
        <f t="shared" si="13"/>
        <v>1.2285602377093459E-2</v>
      </c>
      <c r="N97" s="92">
        <f t="shared" si="14"/>
        <v>1.2799054565099943E-2</v>
      </c>
      <c r="O97" s="92">
        <f>'Growth curves CeBER'!H49</f>
        <v>2.1059999999999999</v>
      </c>
      <c r="P97" s="92">
        <f t="shared" si="15"/>
        <v>2.5975403999999997</v>
      </c>
      <c r="Q97" s="93">
        <f t="shared" si="29"/>
        <v>1.2987701999999998E-4</v>
      </c>
      <c r="R97" s="94">
        <f t="shared" si="16"/>
        <v>49.273745906319476</v>
      </c>
      <c r="S97" s="95">
        <f>AVERAGE(R95:R97)</f>
        <v>56.131438225239641</v>
      </c>
      <c r="T97" s="96">
        <f>STDEV(R95:R97)</f>
        <v>8.870221259960072</v>
      </c>
      <c r="U97" s="96">
        <f>T97/SQRT(3)</f>
        <v>5.121224632209489</v>
      </c>
      <c r="V97" s="96">
        <f t="shared" si="17"/>
        <v>127.99054565099944</v>
      </c>
      <c r="W97" s="95">
        <f t="shared" si="19"/>
        <v>138.07482441923281</v>
      </c>
      <c r="X97" s="96">
        <f t="shared" si="20"/>
        <v>22.929629789288491</v>
      </c>
      <c r="Y97" s="96">
        <f t="shared" si="21"/>
        <v>13.238427931264173</v>
      </c>
      <c r="Z97" s="96">
        <f>(V97-$V$55)/(D95-$D$53)</f>
        <v>0.31961692514405027</v>
      </c>
      <c r="AA97" s="95">
        <f t="shared" si="23"/>
        <v>0.34418791911390079</v>
      </c>
      <c r="AB97" s="103">
        <f t="shared" si="24"/>
        <v>3.3857004219464047E-2</v>
      </c>
    </row>
    <row r="98" spans="2:34" x14ac:dyDescent="0.2">
      <c r="B98" s="99" t="s">
        <v>39</v>
      </c>
      <c r="C98" s="100">
        <v>0.4548611111111111</v>
      </c>
      <c r="D98" s="147">
        <f>11+33/60+12+D95</f>
        <v>408.78333333333336</v>
      </c>
      <c r="E98" s="80" t="s">
        <v>107</v>
      </c>
      <c r="F98" s="104">
        <v>4.4200000000000003E-2</v>
      </c>
      <c r="G98" s="139">
        <v>4.2500000000000003E-2</v>
      </c>
      <c r="H98" s="105">
        <f>0.1868-F98</f>
        <v>0.1426</v>
      </c>
      <c r="I98" s="105">
        <f>0.1877-F98</f>
        <v>0.14350000000000002</v>
      </c>
      <c r="J98" s="105">
        <f>0.1252-G98</f>
        <v>8.2699999999999996E-2</v>
      </c>
      <c r="K98" s="105">
        <f>0.1268-G98</f>
        <v>8.4299999999999986E-2</v>
      </c>
      <c r="L98" s="82">
        <f t="shared" si="12"/>
        <v>1.5002674230145868E-2</v>
      </c>
      <c r="M98" s="82">
        <f t="shared" si="13"/>
        <v>1.4991653160453812E-2</v>
      </c>
      <c r="N98" s="82">
        <f t="shared" si="14"/>
        <v>1.4997163695299839E-2</v>
      </c>
      <c r="O98" s="82">
        <f>'Growth curves CeBER'!F50</f>
        <v>2.2120000000000002</v>
      </c>
      <c r="P98" s="82">
        <f t="shared" si="15"/>
        <v>2.7282808000000003</v>
      </c>
      <c r="Q98" s="83">
        <f t="shared" si="29"/>
        <v>1.3641404000000002E-4</v>
      </c>
      <c r="R98" s="84">
        <f t="shared" si="16"/>
        <v>54.969282103586394</v>
      </c>
      <c r="S98" s="85"/>
      <c r="V98" s="86">
        <f t="shared" si="17"/>
        <v>149.97163695299838</v>
      </c>
      <c r="W98" s="102"/>
      <c r="X98" s="86"/>
      <c r="Y98" s="86"/>
      <c r="Z98" s="86">
        <f t="shared" si="22"/>
        <v>0.35233790248288538</v>
      </c>
      <c r="AA98" s="102"/>
      <c r="AB98" s="110"/>
    </row>
    <row r="99" spans="2:34" x14ac:dyDescent="0.2">
      <c r="B99" s="58"/>
      <c r="D99" s="87"/>
      <c r="E99" s="80" t="s">
        <v>108</v>
      </c>
      <c r="F99" s="81"/>
      <c r="G99" s="137"/>
      <c r="H99" s="82">
        <f>0.159-F98</f>
        <v>0.1148</v>
      </c>
      <c r="I99" s="82">
        <f>0.159-F98</f>
        <v>0.1148</v>
      </c>
      <c r="J99" s="82">
        <f>0.1046-G98</f>
        <v>6.2099999999999995E-2</v>
      </c>
      <c r="K99" s="82">
        <f>0.1031-G98</f>
        <v>6.0599999999999994E-2</v>
      </c>
      <c r="L99" s="82">
        <f t="shared" si="12"/>
        <v>1.2516936790923826E-2</v>
      </c>
      <c r="M99" s="82">
        <f t="shared" si="13"/>
        <v>1.2664019448946517E-2</v>
      </c>
      <c r="N99" s="82">
        <f t="shared" si="14"/>
        <v>1.2590478119935172E-2</v>
      </c>
      <c r="O99" s="82">
        <f>'Growth curves CeBER'!G50</f>
        <v>1.94</v>
      </c>
      <c r="P99" s="82">
        <f t="shared" si="15"/>
        <v>2.3927960000000001</v>
      </c>
      <c r="Q99" s="83">
        <f t="shared" si="29"/>
        <v>1.1963980000000001E-4</v>
      </c>
      <c r="R99" s="84">
        <f t="shared" si="16"/>
        <v>52.618268000845745</v>
      </c>
      <c r="S99" s="85"/>
      <c r="V99" s="86">
        <f t="shared" si="17"/>
        <v>125.9047811993517</v>
      </c>
      <c r="W99" s="102"/>
      <c r="X99" s="86"/>
      <c r="Y99" s="86"/>
      <c r="Z99" s="86">
        <f>(V99-$V$54)/(D98-$D$53)</f>
        <v>0.29419866995384109</v>
      </c>
      <c r="AA99" s="102"/>
      <c r="AB99" s="110"/>
    </row>
    <row r="100" spans="2:34" ht="14" thickBot="1" x14ac:dyDescent="0.25">
      <c r="B100" s="58"/>
      <c r="D100" s="87"/>
      <c r="E100" s="90" t="s">
        <v>109</v>
      </c>
      <c r="F100" s="81"/>
      <c r="G100" s="137"/>
      <c r="H100" s="82">
        <f>0.1871-F98</f>
        <v>0.14289999999999997</v>
      </c>
      <c r="I100" s="82">
        <f>0.1874-F98</f>
        <v>0.14319999999999999</v>
      </c>
      <c r="J100" s="82">
        <f>0.1191-G98</f>
        <v>7.6600000000000001E-2</v>
      </c>
      <c r="K100" s="82">
        <f>0.1169-G98</f>
        <v>7.4399999999999994E-2</v>
      </c>
      <c r="L100" s="82">
        <f t="shared" si="12"/>
        <v>1.5649432739059964E-2</v>
      </c>
      <c r="M100" s="82">
        <f t="shared" si="13"/>
        <v>1.5913776337115073E-2</v>
      </c>
      <c r="N100" s="92">
        <f t="shared" si="14"/>
        <v>1.5781604538087517E-2</v>
      </c>
      <c r="O100" s="82">
        <f>'Growth curves CeBER'!H50</f>
        <v>2.0019999999999998</v>
      </c>
      <c r="P100" s="92">
        <f t="shared" si="15"/>
        <v>2.4692667999999998</v>
      </c>
      <c r="Q100" s="93">
        <f t="shared" si="29"/>
        <v>1.2346334E-4</v>
      </c>
      <c r="R100" s="94">
        <f t="shared" si="16"/>
        <v>63.912107586298561</v>
      </c>
      <c r="S100" s="95">
        <f>AVERAGE(R98:R100)</f>
        <v>57.166552563576907</v>
      </c>
      <c r="T100" s="96">
        <f>STDEV(R98:R100)</f>
        <v>5.9589177919522793</v>
      </c>
      <c r="U100" s="96">
        <f>T100/SQRT(3)</f>
        <v>3.4403827912624991</v>
      </c>
      <c r="V100" s="96">
        <f t="shared" si="17"/>
        <v>157.81604538087515</v>
      </c>
      <c r="W100" s="95">
        <f t="shared" si="19"/>
        <v>144.56415451107509</v>
      </c>
      <c r="X100" s="96">
        <f t="shared" si="20"/>
        <v>16.628675388783286</v>
      </c>
      <c r="Y100" s="96">
        <f t="shared" si="21"/>
        <v>9.6005702119809353</v>
      </c>
      <c r="Z100" s="96">
        <f>(V100-$V$55)/(D98-$D$53)</f>
        <v>0.37416543366788113</v>
      </c>
      <c r="AA100" s="95">
        <f t="shared" si="23"/>
        <v>0.34023400203486914</v>
      </c>
      <c r="AB100" s="103">
        <f t="shared" si="24"/>
        <v>2.3864542242036914E-2</v>
      </c>
    </row>
    <row r="101" spans="2:34" ht="15" thickBot="1" x14ac:dyDescent="0.25">
      <c r="B101" s="239" t="s">
        <v>72</v>
      </c>
      <c r="C101" s="240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0"/>
      <c r="Z101" s="240"/>
      <c r="AA101" s="240"/>
      <c r="AB101" s="241"/>
    </row>
    <row r="102" spans="2:34" ht="45" customHeight="1" x14ac:dyDescent="0.2">
      <c r="B102" s="59" t="s">
        <v>0</v>
      </c>
      <c r="C102" s="60" t="s">
        <v>1</v>
      </c>
      <c r="D102" s="61" t="s">
        <v>2</v>
      </c>
      <c r="E102" s="62"/>
      <c r="F102" s="60" t="s">
        <v>8</v>
      </c>
      <c r="G102" s="60" t="s">
        <v>9</v>
      </c>
      <c r="H102" s="233" t="s">
        <v>90</v>
      </c>
      <c r="I102" s="234"/>
      <c r="J102" s="235" t="s">
        <v>110</v>
      </c>
      <c r="K102" s="236"/>
      <c r="L102" s="237" t="s">
        <v>92</v>
      </c>
      <c r="M102" s="238"/>
      <c r="N102" s="63" t="s">
        <v>93</v>
      </c>
      <c r="O102" s="64" t="s">
        <v>94</v>
      </c>
      <c r="P102" s="63" t="s">
        <v>10</v>
      </c>
      <c r="Q102" s="63" t="s">
        <v>11</v>
      </c>
      <c r="R102" s="63" t="s">
        <v>95</v>
      </c>
      <c r="S102" s="63" t="s">
        <v>96</v>
      </c>
      <c r="T102" s="63" t="s">
        <v>97</v>
      </c>
      <c r="U102" s="65" t="s">
        <v>62</v>
      </c>
      <c r="V102" s="64" t="s">
        <v>98</v>
      </c>
      <c r="W102" s="63" t="s">
        <v>99</v>
      </c>
      <c r="X102" s="63" t="s">
        <v>97</v>
      </c>
      <c r="Y102" s="66" t="s">
        <v>62</v>
      </c>
      <c r="Z102" s="66" t="s">
        <v>100</v>
      </c>
      <c r="AA102" s="63" t="s">
        <v>101</v>
      </c>
      <c r="AB102" s="67" t="s">
        <v>62</v>
      </c>
      <c r="AD102" s="56" t="s">
        <v>2</v>
      </c>
      <c r="AE102" s="77" t="str">
        <f>S102</f>
        <v>Average specific CPC conc.</v>
      </c>
      <c r="AF102" s="56" t="s">
        <v>12</v>
      </c>
      <c r="AG102" s="77" t="str">
        <f>W102</f>
        <v>Average total CPC</v>
      </c>
      <c r="AH102" s="56" t="s">
        <v>12</v>
      </c>
    </row>
    <row r="103" spans="2:34" ht="31" customHeight="1" x14ac:dyDescent="0.2">
      <c r="B103" s="68"/>
      <c r="C103" s="69"/>
      <c r="D103" s="70"/>
      <c r="E103" s="71"/>
      <c r="F103" s="69" t="s">
        <v>13</v>
      </c>
      <c r="G103" s="69" t="s">
        <v>13</v>
      </c>
      <c r="H103" s="72" t="s">
        <v>102</v>
      </c>
      <c r="I103" s="69" t="s">
        <v>103</v>
      </c>
      <c r="J103" s="242" t="s">
        <v>13</v>
      </c>
      <c r="K103" s="226"/>
      <c r="L103" s="225" t="s">
        <v>14</v>
      </c>
      <c r="M103" s="226"/>
      <c r="N103" s="74" t="s">
        <v>14</v>
      </c>
      <c r="O103" s="74" t="s">
        <v>13</v>
      </c>
      <c r="P103" s="74" t="s">
        <v>15</v>
      </c>
      <c r="Q103" s="74" t="s">
        <v>16</v>
      </c>
      <c r="R103" s="75" t="s">
        <v>104</v>
      </c>
      <c r="S103" s="75" t="s">
        <v>104</v>
      </c>
      <c r="T103" s="74"/>
      <c r="U103" s="70"/>
      <c r="V103" s="75" t="s">
        <v>105</v>
      </c>
      <c r="W103" s="75" t="s">
        <v>105</v>
      </c>
      <c r="X103" s="74"/>
      <c r="Y103" s="74"/>
      <c r="Z103" s="75" t="s">
        <v>106</v>
      </c>
      <c r="AA103" s="75" t="s">
        <v>106</v>
      </c>
      <c r="AB103" s="76"/>
      <c r="AD103" s="87">
        <f>D107</f>
        <v>22.966666666666669</v>
      </c>
      <c r="AE103" s="86">
        <f>S109</f>
        <v>21.030541407251764</v>
      </c>
      <c r="AF103" s="86">
        <f>U109</f>
        <v>0.74174689884532563</v>
      </c>
      <c r="AG103" s="86">
        <f>W109</f>
        <v>6.4658022690437598</v>
      </c>
      <c r="AH103" s="86">
        <f>Y109</f>
        <v>0.21827672374262816</v>
      </c>
    </row>
    <row r="104" spans="2:34" x14ac:dyDescent="0.2">
      <c r="B104" s="58" t="s">
        <v>23</v>
      </c>
      <c r="C104" s="78">
        <v>0.45208333333333334</v>
      </c>
      <c r="D104" s="148">
        <v>0</v>
      </c>
      <c r="E104" s="80" t="s">
        <v>107</v>
      </c>
      <c r="F104" s="82">
        <f>(0.0345+0.0356)/2</f>
        <v>3.5049999999999998E-2</v>
      </c>
      <c r="G104" s="82">
        <f>(0.0344+0.0347)/2</f>
        <v>3.4549999999999997E-2</v>
      </c>
      <c r="H104" s="81">
        <f>0.1837-F104</f>
        <v>0.14865</v>
      </c>
      <c r="I104" s="82">
        <f>0.197-F104</f>
        <v>0.16195000000000001</v>
      </c>
      <c r="J104" s="82">
        <f>0.1369-G104</f>
        <v>0.10235</v>
      </c>
      <c r="K104" s="82">
        <f>0.1524-G104</f>
        <v>0.11785000000000001</v>
      </c>
      <c r="L104" s="82">
        <f>(H104-(0.605*J104))/6.17</f>
        <v>1.4056442463533226E-2</v>
      </c>
      <c r="M104" s="82">
        <f>(I104-(0.605*K104))/6.17</f>
        <v>1.4692179902755268E-2</v>
      </c>
      <c r="N104" s="82">
        <f>AVERAGE(L104:M104)</f>
        <v>1.4374311183144247E-2</v>
      </c>
      <c r="O104" s="56">
        <f>'Growth curves CeBER'!F54</f>
        <v>9.9000000000000005E-2</v>
      </c>
      <c r="P104" s="82">
        <f>1.2334*O104</f>
        <v>0.12210660000000001</v>
      </c>
      <c r="Q104" s="83">
        <f>P104*1/1000</f>
        <v>1.2210660000000001E-4</v>
      </c>
      <c r="R104" s="84">
        <f>(N104*0.5)/Q104</f>
        <v>58.859681553430548</v>
      </c>
      <c r="S104" s="85"/>
      <c r="V104" s="86">
        <f>R104*P104</f>
        <v>7.1871555915721235</v>
      </c>
      <c r="W104" s="85"/>
      <c r="AA104" s="85"/>
      <c r="AB104" s="79"/>
      <c r="AD104" s="87">
        <f>D110</f>
        <v>71.5</v>
      </c>
      <c r="AE104" s="86">
        <f>S112</f>
        <v>28.345553027109982</v>
      </c>
      <c r="AF104" s="86">
        <f>U112</f>
        <v>1.7044789788066284</v>
      </c>
      <c r="AG104" s="86">
        <f>W112</f>
        <v>21.028322528363052</v>
      </c>
      <c r="AH104" s="86">
        <f>Y112</f>
        <v>1.6828451506408129</v>
      </c>
    </row>
    <row r="105" spans="2:34" ht="15" customHeight="1" x14ac:dyDescent="0.2">
      <c r="B105" s="58"/>
      <c r="D105" s="148"/>
      <c r="E105" s="80" t="s">
        <v>108</v>
      </c>
      <c r="H105" s="81">
        <f>0.121-F104</f>
        <v>8.5949999999999999E-2</v>
      </c>
      <c r="I105" s="82">
        <f>0.1195-F104</f>
        <v>8.4449999999999997E-2</v>
      </c>
      <c r="J105" s="82">
        <f>0.0876-G104</f>
        <v>5.305E-2</v>
      </c>
      <c r="K105" s="82">
        <f>0.0853-G104</f>
        <v>5.0750000000000003E-2</v>
      </c>
      <c r="L105" s="82">
        <f t="shared" ref="L105:L148" si="30">(H105-(0.605*J105))/6.17</f>
        <v>8.7284846029173427E-3</v>
      </c>
      <c r="M105" s="82">
        <f t="shared" ref="M105:M117" si="31">(I105-(0.605*K105))/6.17</f>
        <v>8.7108995137763368E-3</v>
      </c>
      <c r="N105" s="82">
        <f t="shared" ref="N105:N148" si="32">AVERAGE(L105:M105)</f>
        <v>8.7196920583468389E-3</v>
      </c>
      <c r="O105" s="56">
        <f>'Growth curves CeBER'!G54</f>
        <v>0.1</v>
      </c>
      <c r="P105" s="82">
        <f t="shared" ref="P105:P148" si="33">1.2334*O105</f>
        <v>0.12334000000000001</v>
      </c>
      <c r="Q105" s="83">
        <f>P105*1/1000</f>
        <v>1.2333999999999999E-4</v>
      </c>
      <c r="R105" s="84">
        <f t="shared" ref="R105:R148" si="34">(N105*0.5)/Q105</f>
        <v>35.348192226150637</v>
      </c>
      <c r="S105" s="85"/>
      <c r="V105" s="86">
        <f t="shared" ref="V105:V148" si="35">R105*P105</f>
        <v>4.3598460291734193</v>
      </c>
      <c r="W105" s="85"/>
      <c r="AA105" s="85"/>
      <c r="AB105" s="79"/>
      <c r="AD105" s="87">
        <f>D113</f>
        <v>95.383333333333326</v>
      </c>
      <c r="AE105" s="86">
        <f>S115</f>
        <v>43.081701000159136</v>
      </c>
      <c r="AF105" s="86">
        <f>U115</f>
        <v>2.712052768782609</v>
      </c>
      <c r="AG105" s="86">
        <f>W115</f>
        <v>40.774264943273913</v>
      </c>
      <c r="AH105" s="86">
        <f>Y115</f>
        <v>3.4178785958565405</v>
      </c>
    </row>
    <row r="106" spans="2:34" ht="15" customHeight="1" x14ac:dyDescent="0.2">
      <c r="B106" s="88"/>
      <c r="C106" s="97"/>
      <c r="D106" s="149"/>
      <c r="E106" s="90" t="s">
        <v>109</v>
      </c>
      <c r="F106" s="88"/>
      <c r="G106" s="89"/>
      <c r="H106" s="91">
        <f>0.1337-F104</f>
        <v>9.8650000000000015E-2</v>
      </c>
      <c r="I106" s="92">
        <f>0.1328-F104</f>
        <v>9.7750000000000004E-2</v>
      </c>
      <c r="J106" s="92">
        <f>0.0971-G104</f>
        <v>6.2550000000000008E-2</v>
      </c>
      <c r="K106" s="92">
        <f>0.0949-G104</f>
        <v>6.0350000000000001E-2</v>
      </c>
      <c r="L106" s="82">
        <f t="shared" si="30"/>
        <v>9.8553079416531623E-3</v>
      </c>
      <c r="M106" s="82">
        <f t="shared" si="31"/>
        <v>9.9251620745542946E-3</v>
      </c>
      <c r="N106" s="92">
        <f>AVERAGE(L106:M106)</f>
        <v>9.8902350081037285E-3</v>
      </c>
      <c r="O106" s="97">
        <f>'Growth curves CeBER'!H54</f>
        <v>0.10100000000000001</v>
      </c>
      <c r="P106" s="92">
        <f t="shared" si="33"/>
        <v>0.12457340000000001</v>
      </c>
      <c r="Q106" s="93">
        <f>P106*1/1000</f>
        <v>1.245734E-4</v>
      </c>
      <c r="R106" s="94">
        <f t="shared" si="34"/>
        <v>39.69641596080595</v>
      </c>
      <c r="S106" s="95">
        <f>AVERAGE(R104:R106)</f>
        <v>44.634763246795707</v>
      </c>
      <c r="T106" s="96">
        <f>STDEV(R104:R106)</f>
        <v>12.509515899285693</v>
      </c>
      <c r="U106" s="96">
        <f>T106/SQRT(3)</f>
        <v>7.2223723718844992</v>
      </c>
      <c r="V106" s="96">
        <f t="shared" si="35"/>
        <v>4.9451175040518649</v>
      </c>
      <c r="W106" s="95">
        <f>AVERAGE(V104:V106)</f>
        <v>5.4973730415991362</v>
      </c>
      <c r="X106" s="96">
        <f>STDEV(V104:V106)</f>
        <v>1.4923670709552346</v>
      </c>
      <c r="Y106" s="96">
        <f>X106/SQRT(3)</f>
        <v>0.86161853014573808</v>
      </c>
      <c r="Z106" s="97"/>
      <c r="AA106" s="98"/>
      <c r="AB106" s="89"/>
      <c r="AD106" s="87">
        <f>D116</f>
        <v>120.93333333333332</v>
      </c>
      <c r="AE106" s="86">
        <f>S118</f>
        <v>44.810580903516019</v>
      </c>
      <c r="AF106" s="86">
        <f>U118</f>
        <v>1.6954780742367068</v>
      </c>
      <c r="AG106" s="86">
        <f>W118</f>
        <v>57.331177331172348</v>
      </c>
      <c r="AH106" s="86">
        <f>Y118</f>
        <v>3.564565600945873</v>
      </c>
    </row>
    <row r="107" spans="2:34" x14ac:dyDescent="0.2">
      <c r="B107" s="58" t="s">
        <v>24</v>
      </c>
      <c r="C107" s="78">
        <v>0.40902777777777777</v>
      </c>
      <c r="D107" s="148">
        <f>10+58/60+12</f>
        <v>22.966666666666669</v>
      </c>
      <c r="E107" s="80" t="s">
        <v>107</v>
      </c>
      <c r="F107" s="82">
        <f>(0.0391+0.0385)/2</f>
        <v>3.8800000000000001E-2</v>
      </c>
      <c r="G107" s="82">
        <f>(0.0387+0.0381)/2</f>
        <v>3.8400000000000004E-2</v>
      </c>
      <c r="H107" s="81">
        <f>0.1716-F107</f>
        <v>0.1328</v>
      </c>
      <c r="I107" s="82">
        <f>0.1695-F107</f>
        <v>0.13070000000000001</v>
      </c>
      <c r="J107" s="82">
        <f>0.1223-G107</f>
        <v>8.3900000000000002E-2</v>
      </c>
      <c r="K107" s="82">
        <f>0.1211-G107</f>
        <v>8.2699999999999996E-2</v>
      </c>
      <c r="L107" s="82">
        <f t="shared" si="30"/>
        <v>1.3296677471636953E-2</v>
      </c>
      <c r="M107" s="82">
        <f t="shared" si="31"/>
        <v>1.3073987034035658E-2</v>
      </c>
      <c r="N107" s="82">
        <f t="shared" si="32"/>
        <v>1.3185332252836305E-2</v>
      </c>
      <c r="O107" s="82">
        <f>'Growth curves CeBER'!F58</f>
        <v>0.25600000000000001</v>
      </c>
      <c r="P107" s="82">
        <f t="shared" si="33"/>
        <v>0.31575040000000004</v>
      </c>
      <c r="Q107" s="83">
        <f t="shared" ref="Q107:Q109" si="36">P107*1/1000</f>
        <v>3.1575040000000003E-4</v>
      </c>
      <c r="R107" s="84">
        <f t="shared" si="34"/>
        <v>20.879359539744531</v>
      </c>
      <c r="S107" s="102"/>
      <c r="T107" s="86"/>
      <c r="U107" s="86"/>
      <c r="V107" s="86">
        <f t="shared" si="35"/>
        <v>6.5926661264181527</v>
      </c>
      <c r="W107" s="102"/>
      <c r="X107" s="86"/>
      <c r="Y107" s="86"/>
      <c r="Z107" s="86">
        <f>(V107-$V$104)/(D107-$D$104)</f>
        <v>-2.5884882372451554E-2</v>
      </c>
      <c r="AA107" s="102"/>
      <c r="AB107" s="79"/>
      <c r="AD107" s="87">
        <f>D119</f>
        <v>145.11666666666665</v>
      </c>
      <c r="AE107" s="86">
        <f>S121</f>
        <v>52.42795288993085</v>
      </c>
      <c r="AF107" s="86">
        <f>U121</f>
        <v>3.9144310292182962</v>
      </c>
      <c r="AG107" s="86">
        <f>W121</f>
        <v>81.632255823878992</v>
      </c>
      <c r="AH107" s="86">
        <f>Y121</f>
        <v>8.1427719123328579</v>
      </c>
    </row>
    <row r="108" spans="2:34" x14ac:dyDescent="0.2">
      <c r="B108" s="58"/>
      <c r="D108" s="148"/>
      <c r="E108" s="80" t="s">
        <v>108</v>
      </c>
      <c r="F108" s="156"/>
      <c r="G108" s="156"/>
      <c r="H108" s="81">
        <f>0.173-F107</f>
        <v>0.13419999999999999</v>
      </c>
      <c r="I108" s="82">
        <f>0.1661-F107</f>
        <v>0.1273</v>
      </c>
      <c r="J108" s="82">
        <f>0.12-G107</f>
        <v>8.1599999999999992E-2</v>
      </c>
      <c r="K108" s="82">
        <f>0.1131-G107</f>
        <v>7.4700000000000003E-2</v>
      </c>
      <c r="L108" s="82">
        <f t="shared" si="30"/>
        <v>1.3749108589951377E-2</v>
      </c>
      <c r="M108" s="82">
        <f t="shared" si="31"/>
        <v>1.3307374392220421E-2</v>
      </c>
      <c r="N108" s="82">
        <f t="shared" si="32"/>
        <v>1.3528241491085899E-2</v>
      </c>
      <c r="O108" s="82">
        <f>'Growth curves CeBER'!G58</f>
        <v>0.245</v>
      </c>
      <c r="P108" s="82">
        <f t="shared" si="33"/>
        <v>0.30218300000000003</v>
      </c>
      <c r="Q108" s="83">
        <f t="shared" si="36"/>
        <v>3.0218300000000003E-4</v>
      </c>
      <c r="R108" s="84">
        <f t="shared" si="34"/>
        <v>22.384186885241554</v>
      </c>
      <c r="S108" s="85"/>
      <c r="T108" s="86"/>
      <c r="U108" s="86"/>
      <c r="V108" s="86">
        <f t="shared" si="35"/>
        <v>6.7641207455429493</v>
      </c>
      <c r="W108" s="102"/>
      <c r="X108" s="86"/>
      <c r="Y108" s="86"/>
      <c r="Z108" s="86">
        <f>(V108-$V$105)/(D107-$D$104)</f>
        <v>0.10468540129330318</v>
      </c>
      <c r="AA108" s="102"/>
      <c r="AB108" s="79"/>
      <c r="AD108" s="87">
        <f>D122</f>
        <v>167.18333333333331</v>
      </c>
      <c r="AE108" s="86">
        <f>S124</f>
        <v>53.425559094981338</v>
      </c>
      <c r="AF108" s="86">
        <f>U124</f>
        <v>2.0340840720854048</v>
      </c>
      <c r="AG108" s="86">
        <f>W124</f>
        <v>94.860454165316071</v>
      </c>
      <c r="AH108" s="86">
        <f>Y124</f>
        <v>3.9478757500139632</v>
      </c>
    </row>
    <row r="109" spans="2:34" x14ac:dyDescent="0.2">
      <c r="B109" s="58"/>
      <c r="D109" s="148"/>
      <c r="E109" s="90" t="s">
        <v>109</v>
      </c>
      <c r="F109" s="156"/>
      <c r="G109" s="156"/>
      <c r="H109" s="81">
        <f>0.1581-F107</f>
        <v>0.11929999999999999</v>
      </c>
      <c r="I109" s="82">
        <f>0.1554-F107</f>
        <v>0.11660000000000001</v>
      </c>
      <c r="J109" s="82">
        <f>0.1113-G107</f>
        <v>7.2899999999999993E-2</v>
      </c>
      <c r="K109" s="82">
        <f>0.109-G107</f>
        <v>7.0599999999999996E-2</v>
      </c>
      <c r="L109" s="82">
        <f t="shared" si="30"/>
        <v>1.2187277147487845E-2</v>
      </c>
      <c r="M109" s="82">
        <f t="shared" si="31"/>
        <v>1.1975202593192871E-2</v>
      </c>
      <c r="N109" s="92">
        <f t="shared" si="32"/>
        <v>1.2081239870340358E-2</v>
      </c>
      <c r="O109" s="92">
        <f>'Growth curves CeBER'!H58</f>
        <v>0.247</v>
      </c>
      <c r="P109" s="92">
        <f t="shared" si="33"/>
        <v>0.30464980000000003</v>
      </c>
      <c r="Q109" s="93">
        <f t="shared" si="36"/>
        <v>3.0464980000000005E-4</v>
      </c>
      <c r="R109" s="94">
        <f t="shared" si="34"/>
        <v>19.8280777967692</v>
      </c>
      <c r="S109" s="95">
        <f>AVERAGE(R107:R109)</f>
        <v>21.030541407251764</v>
      </c>
      <c r="T109" s="96">
        <f>STDEV(R107:R109)</f>
        <v>1.2847433151567564</v>
      </c>
      <c r="U109" s="96">
        <f>T109/SQRT(3)</f>
        <v>0.74174689884532563</v>
      </c>
      <c r="V109" s="96">
        <f t="shared" si="35"/>
        <v>6.0406199351701781</v>
      </c>
      <c r="W109" s="95">
        <f t="shared" ref="W109:W148" si="37">AVERAGE(V107:V109)</f>
        <v>6.4658022690437598</v>
      </c>
      <c r="X109" s="96">
        <f t="shared" ref="X109:X148" si="38">STDEV(V107:V109)</f>
        <v>0.37806637563190781</v>
      </c>
      <c r="Y109" s="96">
        <f t="shared" ref="Y109:Y148" si="39">X109/SQRT(3)</f>
        <v>0.21827672374262816</v>
      </c>
      <c r="Z109" s="96">
        <f>(V109-$V$106)/(D107-$D$104)</f>
        <v>4.769967044056516E-2</v>
      </c>
      <c r="AA109" s="95">
        <f>AVERAGE(Z107:Z109)</f>
        <v>4.216672978713893E-2</v>
      </c>
      <c r="AB109" s="103">
        <f>STDEV(Z107:Z109)/SQRT(3)</f>
        <v>3.7793781756371277E-2</v>
      </c>
      <c r="AD109" s="87">
        <f>D125</f>
        <v>215.68333333333331</v>
      </c>
      <c r="AE109" s="86">
        <f>S127</f>
        <v>39.624152366947357</v>
      </c>
      <c r="AF109" s="86">
        <f>U127</f>
        <v>2.6736004793564834</v>
      </c>
      <c r="AG109" s="86">
        <f>W127</f>
        <v>95.44671799027553</v>
      </c>
      <c r="AH109" s="86">
        <f>Y127</f>
        <v>4.8080117091576202</v>
      </c>
    </row>
    <row r="110" spans="2:34" x14ac:dyDescent="0.2">
      <c r="B110" s="99" t="s">
        <v>26</v>
      </c>
      <c r="C110" s="100">
        <v>0.43124999999999997</v>
      </c>
      <c r="D110" s="147">
        <f>32/60+48+D107</f>
        <v>71.5</v>
      </c>
      <c r="E110" s="80" t="s">
        <v>107</v>
      </c>
      <c r="F110" s="104">
        <v>3.3399999999999999E-2</v>
      </c>
      <c r="G110" s="139">
        <v>3.3300000000000003E-2</v>
      </c>
      <c r="H110" s="104">
        <f>0.2554-F110</f>
        <v>0.22200000000000003</v>
      </c>
      <c r="I110" s="105">
        <f>0.2421-F110</f>
        <v>0.2087</v>
      </c>
      <c r="J110" s="105">
        <f>0.1735-G110</f>
        <v>0.14019999999999999</v>
      </c>
      <c r="K110" s="105">
        <f>0.1608-G110</f>
        <v>0.1275</v>
      </c>
      <c r="L110" s="82">
        <f t="shared" si="30"/>
        <v>2.2233225283630479E-2</v>
      </c>
      <c r="M110" s="82">
        <f t="shared" si="31"/>
        <v>2.1322933549432738E-2</v>
      </c>
      <c r="N110" s="82">
        <f t="shared" si="32"/>
        <v>2.1778079416531607E-2</v>
      </c>
      <c r="O110" s="82">
        <f>'Growth curves CeBER'!F62</f>
        <v>0.61599999999999999</v>
      </c>
      <c r="P110" s="82">
        <f t="shared" si="33"/>
        <v>0.75977440000000007</v>
      </c>
      <c r="Q110" s="83">
        <f>P110*0.5/1000</f>
        <v>3.7988720000000004E-4</v>
      </c>
      <c r="R110" s="84">
        <f t="shared" si="34"/>
        <v>28.663876298716573</v>
      </c>
      <c r="S110" s="102"/>
      <c r="T110" s="86"/>
      <c r="U110" s="86"/>
      <c r="V110" s="86">
        <f t="shared" si="35"/>
        <v>21.778079416531607</v>
      </c>
      <c r="W110" s="102"/>
      <c r="X110" s="86"/>
      <c r="Y110" s="86"/>
      <c r="Z110" s="86">
        <f t="shared" ref="Z110:Z146" si="40">(V110-$V$104)/(D110-$D$104)</f>
        <v>0.20406886468474802</v>
      </c>
      <c r="AA110" s="102"/>
      <c r="AB110" s="110"/>
      <c r="AD110" s="87">
        <f>D128</f>
        <v>240.24999999999997</v>
      </c>
      <c r="AE110" s="86">
        <f>S130</f>
        <v>40.436723880810355</v>
      </c>
      <c r="AF110" s="86">
        <f>U130</f>
        <v>1.9075717698347068</v>
      </c>
      <c r="AG110" s="86">
        <f>W130</f>
        <v>112.73622366288494</v>
      </c>
      <c r="AH110" s="86">
        <f>Y130</f>
        <v>2.7228732713467116</v>
      </c>
    </row>
    <row r="111" spans="2:34" x14ac:dyDescent="0.2">
      <c r="B111" s="58"/>
      <c r="D111" s="148"/>
      <c r="E111" s="80" t="s">
        <v>108</v>
      </c>
      <c r="F111" s="157"/>
      <c r="G111" s="158"/>
      <c r="H111" s="81">
        <f>0.2705-F110</f>
        <v>0.23710000000000003</v>
      </c>
      <c r="I111" s="82">
        <f>0.2716-F110</f>
        <v>0.23820000000000002</v>
      </c>
      <c r="J111" s="82">
        <f>0.1856-G110</f>
        <v>0.15229999999999999</v>
      </c>
      <c r="K111" s="82">
        <f>0.1874-G110</f>
        <v>0.15410000000000001</v>
      </c>
      <c r="L111" s="82">
        <f t="shared" si="30"/>
        <v>2.349408427876824E-2</v>
      </c>
      <c r="M111" s="82">
        <f t="shared" si="31"/>
        <v>2.3495867098865482E-2</v>
      </c>
      <c r="N111" s="82">
        <f t="shared" si="32"/>
        <v>2.3494975688816859E-2</v>
      </c>
      <c r="O111" s="82">
        <f>'Growth curves CeBER'!G62</f>
        <v>0.61199999999999999</v>
      </c>
      <c r="P111" s="82">
        <f t="shared" si="33"/>
        <v>0.75484079999999998</v>
      </c>
      <c r="Q111" s="83">
        <f>P111*0.5/1000</f>
        <v>3.7742039999999998E-4</v>
      </c>
      <c r="R111" s="84">
        <f t="shared" si="34"/>
        <v>31.125736299385064</v>
      </c>
      <c r="S111" s="85"/>
      <c r="T111" s="86"/>
      <c r="U111" s="86"/>
      <c r="V111" s="86">
        <f t="shared" si="35"/>
        <v>23.494975688816861</v>
      </c>
      <c r="W111" s="102"/>
      <c r="X111" s="86"/>
      <c r="Y111" s="86"/>
      <c r="Z111" s="86">
        <f>(V111-$V$105)/(D110-$D$104)</f>
        <v>0.26762419104396423</v>
      </c>
      <c r="AA111" s="102"/>
      <c r="AB111" s="110"/>
      <c r="AD111" s="87">
        <f>D131</f>
        <v>289.31666666666666</v>
      </c>
      <c r="AE111" s="86">
        <f>S133</f>
        <v>36.729137632120512</v>
      </c>
      <c r="AF111" s="86">
        <f>U133</f>
        <v>4.1167173885052488</v>
      </c>
      <c r="AG111" s="86">
        <f>W133</f>
        <v>123.82622006122818</v>
      </c>
      <c r="AH111" s="86">
        <f>Y133</f>
        <v>10.827700165090667</v>
      </c>
    </row>
    <row r="112" spans="2:34" x14ac:dyDescent="0.2">
      <c r="B112" s="58"/>
      <c r="D112" s="148"/>
      <c r="E112" s="90" t="s">
        <v>109</v>
      </c>
      <c r="F112" s="157"/>
      <c r="G112" s="158"/>
      <c r="H112" s="81">
        <f>0.2121-F110</f>
        <v>0.17870000000000003</v>
      </c>
      <c r="I112" s="82">
        <f>0.2174-F110</f>
        <v>0.184</v>
      </c>
      <c r="J112" s="82">
        <f>0.1491-G110</f>
        <v>0.11580000000000001</v>
      </c>
      <c r="K112" s="82">
        <f>0.1537-G110</f>
        <v>0.12040000000000001</v>
      </c>
      <c r="L112" s="82">
        <f t="shared" si="30"/>
        <v>1.7607941653160458E-2</v>
      </c>
      <c r="M112" s="82">
        <f t="shared" si="31"/>
        <v>1.8015883306320906E-2</v>
      </c>
      <c r="N112" s="92">
        <f t="shared" si="32"/>
        <v>1.7811912479740684E-2</v>
      </c>
      <c r="O112" s="92">
        <f>'Growth curves CeBER'!H62</f>
        <v>0.57199999999999995</v>
      </c>
      <c r="P112" s="92">
        <f t="shared" si="33"/>
        <v>0.70550479999999993</v>
      </c>
      <c r="Q112" s="93">
        <f>P112*0.5/1000</f>
        <v>3.5275239999999999E-4</v>
      </c>
      <c r="R112" s="94">
        <f t="shared" si="34"/>
        <v>25.247046483228299</v>
      </c>
      <c r="S112" s="95">
        <f>AVERAGE(R110:R112)</f>
        <v>28.345553027109982</v>
      </c>
      <c r="T112" s="96">
        <f>STDEV(R110:R112)</f>
        <v>2.9522441917261957</v>
      </c>
      <c r="U112" s="96">
        <f>T112/SQRT(3)</f>
        <v>1.7044789788066284</v>
      </c>
      <c r="V112" s="96">
        <f t="shared" si="35"/>
        <v>17.811912479740684</v>
      </c>
      <c r="W112" s="95">
        <f t="shared" si="37"/>
        <v>21.028322528363052</v>
      </c>
      <c r="X112" s="96">
        <f t="shared" si="38"/>
        <v>2.9147733021807887</v>
      </c>
      <c r="Y112" s="96">
        <f t="shared" si="39"/>
        <v>1.6828451506408129</v>
      </c>
      <c r="Z112" s="96">
        <f>(V112-$V$106)/(D110-$D$104)</f>
        <v>0.1799551744851583</v>
      </c>
      <c r="AA112" s="95">
        <f t="shared" ref="AA112:AA148" si="41">AVERAGE(Z110:Z112)</f>
        <v>0.21721607673795684</v>
      </c>
      <c r="AB112" s="103">
        <f t="shared" ref="AB112:AB148" si="42">STDEV(Z110:Z112)/SQRT(3)</f>
        <v>2.6147664042740621E-2</v>
      </c>
      <c r="AD112" s="87">
        <f>D134</f>
        <v>313.33333333333331</v>
      </c>
      <c r="AE112" s="86">
        <f>S136</f>
        <v>41.23160855759955</v>
      </c>
      <c r="AF112" s="86">
        <f>U136</f>
        <v>0.51853286424840905</v>
      </c>
      <c r="AG112" s="86">
        <f>W136</f>
        <v>145.09310282730061</v>
      </c>
      <c r="AH112" s="86">
        <f>Y136</f>
        <v>1.3202499980008098</v>
      </c>
    </row>
    <row r="113" spans="2:34" x14ac:dyDescent="0.2">
      <c r="B113" s="99" t="s">
        <v>27</v>
      </c>
      <c r="C113" s="100">
        <v>0.42638888888888887</v>
      </c>
      <c r="D113" s="147">
        <f>11+53/60+12+D110</f>
        <v>95.383333333333326</v>
      </c>
      <c r="E113" s="80" t="s">
        <v>107</v>
      </c>
      <c r="F113" s="104">
        <f>(0.0445+0.044)/2</f>
        <v>4.4249999999999998E-2</v>
      </c>
      <c r="G113" s="139">
        <f>(0.0435+0.0427)/2</f>
        <v>4.3099999999999999E-2</v>
      </c>
      <c r="H113" s="104">
        <f>0.2338-F113</f>
        <v>0.18955</v>
      </c>
      <c r="I113" s="105">
        <f>0.2315-F113</f>
        <v>0.18725000000000003</v>
      </c>
      <c r="J113" s="105">
        <f>0.159-G113</f>
        <v>0.1159</v>
      </c>
      <c r="K113" s="105">
        <f>0.1573-G113</f>
        <v>0.1142</v>
      </c>
      <c r="L113" s="82">
        <f t="shared" si="30"/>
        <v>1.9356645056726095E-2</v>
      </c>
      <c r="M113" s="82">
        <f t="shared" si="31"/>
        <v>1.9150567260940037E-2</v>
      </c>
      <c r="N113" s="82">
        <f t="shared" si="32"/>
        <v>1.9253606158833064E-2</v>
      </c>
      <c r="O113" s="82">
        <f>'Growth curves CeBER'!F63</f>
        <v>0.79400000000000004</v>
      </c>
      <c r="P113" s="82">
        <f t="shared" si="33"/>
        <v>0.97931960000000007</v>
      </c>
      <c r="Q113" s="83">
        <f t="shared" ref="Q113:Q121" si="43">O113*0.25/1000</f>
        <v>1.985E-4</v>
      </c>
      <c r="R113" s="84">
        <f t="shared" si="34"/>
        <v>48.497748510914519</v>
      </c>
      <c r="S113" s="102"/>
      <c r="T113" s="86"/>
      <c r="U113" s="86"/>
      <c r="V113" s="86">
        <f t="shared" si="35"/>
        <v>47.494795672609406</v>
      </c>
      <c r="W113" s="102"/>
      <c r="X113" s="86"/>
      <c r="Y113" s="86"/>
      <c r="Z113" s="86">
        <f t="shared" si="40"/>
        <v>0.42258577754014282</v>
      </c>
      <c r="AA113" s="102"/>
      <c r="AB113" s="110"/>
      <c r="AD113" s="87">
        <f>D137</f>
        <v>336.56666666666666</v>
      </c>
      <c r="AE113" s="86">
        <f>S139</f>
        <v>41.522660351103347</v>
      </c>
      <c r="AF113" s="86">
        <f>U139</f>
        <v>0.97482137472375208</v>
      </c>
      <c r="AG113" s="86">
        <f>W139</f>
        <v>149.39834323788943</v>
      </c>
      <c r="AH113" s="86">
        <f>Y139</f>
        <v>6.1648780076146252</v>
      </c>
    </row>
    <row r="114" spans="2:34" x14ac:dyDescent="0.2">
      <c r="B114" s="58"/>
      <c r="D114" s="148"/>
      <c r="E114" s="80" t="s">
        <v>108</v>
      </c>
      <c r="F114" s="58"/>
      <c r="G114" s="79"/>
      <c r="H114" s="81">
        <f>0.1944-F113</f>
        <v>0.15015000000000001</v>
      </c>
      <c r="I114" s="82">
        <f>0.1937-F113</f>
        <v>0.14945000000000003</v>
      </c>
      <c r="J114" s="82">
        <f>0.132-G113</f>
        <v>8.8900000000000007E-2</v>
      </c>
      <c r="K114" s="82">
        <f>0.1311-G113</f>
        <v>8.7999999999999995E-2</v>
      </c>
      <c r="L114" s="82">
        <f t="shared" si="30"/>
        <v>1.5618395461912479E-2</v>
      </c>
      <c r="M114" s="82">
        <f t="shared" si="31"/>
        <v>1.5593192868719616E-2</v>
      </c>
      <c r="N114" s="82">
        <f t="shared" si="32"/>
        <v>1.5605794165316048E-2</v>
      </c>
      <c r="O114" s="82">
        <f>'Growth curves CeBER'!G63</f>
        <v>0.77800000000000002</v>
      </c>
      <c r="P114" s="82">
        <f t="shared" si="33"/>
        <v>0.95958520000000003</v>
      </c>
      <c r="Q114" s="83">
        <f t="shared" si="43"/>
        <v>1.9450000000000001E-4</v>
      </c>
      <c r="R114" s="84">
        <f t="shared" si="34"/>
        <v>40.117722790015549</v>
      </c>
      <c r="S114" s="85"/>
      <c r="T114" s="86"/>
      <c r="U114" s="86"/>
      <c r="V114" s="86">
        <f t="shared" si="35"/>
        <v>38.496373047001626</v>
      </c>
      <c r="W114" s="102"/>
      <c r="X114" s="86"/>
      <c r="Y114" s="86"/>
      <c r="Z114" s="86">
        <f>(V114-$V$105)/(D113-$D$104)</f>
        <v>0.35788775486103314</v>
      </c>
      <c r="AA114" s="102"/>
      <c r="AB114" s="110"/>
      <c r="AD114" s="87">
        <f>D140</f>
        <v>359.45</v>
      </c>
      <c r="AE114" s="86">
        <f>S142</f>
        <v>45.072796888546996</v>
      </c>
      <c r="AF114" s="86">
        <f>U142</f>
        <v>0</v>
      </c>
      <c r="AG114" s="86">
        <f>W142</f>
        <v>166.77836304700159</v>
      </c>
      <c r="AH114" s="86">
        <f>Y142</f>
        <v>0</v>
      </c>
    </row>
    <row r="115" spans="2:34" x14ac:dyDescent="0.2">
      <c r="B115" s="58"/>
      <c r="D115" s="148"/>
      <c r="E115" s="90" t="s">
        <v>109</v>
      </c>
      <c r="F115" s="88"/>
      <c r="G115" s="89"/>
      <c r="H115" s="81">
        <f>0.1878-F113</f>
        <v>0.14355000000000001</v>
      </c>
      <c r="I115" s="82">
        <f>0.1954-F113</f>
        <v>0.15115000000000001</v>
      </c>
      <c r="J115" s="82">
        <f>0.1335-G113</f>
        <v>9.0400000000000008E-2</v>
      </c>
      <c r="K115" s="82">
        <f>0.1394-G113</f>
        <v>9.6299999999999997E-2</v>
      </c>
      <c r="L115" s="82">
        <f t="shared" si="30"/>
        <v>1.4401620745542951E-2</v>
      </c>
      <c r="M115" s="82">
        <f t="shared" si="31"/>
        <v>1.5054862236628851E-2</v>
      </c>
      <c r="N115" s="92">
        <f t="shared" si="32"/>
        <v>1.4728241491085901E-2</v>
      </c>
      <c r="O115" s="92">
        <f>'Growth curves CeBER'!H63</f>
        <v>0.72499999999999998</v>
      </c>
      <c r="P115" s="92">
        <f t="shared" si="33"/>
        <v>0.89421499999999998</v>
      </c>
      <c r="Q115" s="93">
        <f t="shared" si="43"/>
        <v>1.8124999999999999E-4</v>
      </c>
      <c r="R115" s="94">
        <f t="shared" si="34"/>
        <v>40.629631699547318</v>
      </c>
      <c r="S115" s="95">
        <f>AVERAGE(R113:R115)</f>
        <v>43.081701000159136</v>
      </c>
      <c r="T115" s="96">
        <f>STDEV(R113:R115)</f>
        <v>4.6974131883393273</v>
      </c>
      <c r="U115" s="96">
        <f>T115/SQRT(3)</f>
        <v>2.712052768782609</v>
      </c>
      <c r="V115" s="96">
        <f t="shared" si="35"/>
        <v>36.331626110210706</v>
      </c>
      <c r="W115" s="95">
        <f t="shared" si="37"/>
        <v>40.774264943273913</v>
      </c>
      <c r="X115" s="96">
        <f t="shared" si="38"/>
        <v>5.9199393821257011</v>
      </c>
      <c r="Y115" s="96">
        <f t="shared" si="39"/>
        <v>3.4178785958565405</v>
      </c>
      <c r="Z115" s="96">
        <f>(V115-$V$106)/(D113-$D$104)</f>
        <v>0.32905652915770234</v>
      </c>
      <c r="AA115" s="95">
        <f t="shared" si="41"/>
        <v>0.36984335385295947</v>
      </c>
      <c r="AB115" s="103">
        <f t="shared" si="42"/>
        <v>2.7653404469057282E-2</v>
      </c>
      <c r="AD115" s="87">
        <f>D143</f>
        <v>384.9</v>
      </c>
      <c r="AE115" s="86">
        <f>S145</f>
        <v>41.091273264994861</v>
      </c>
      <c r="AF115" s="86">
        <f>U145</f>
        <v>3.5551886461950293</v>
      </c>
      <c r="AG115" s="86">
        <f>W145</f>
        <v>147.86858454889247</v>
      </c>
      <c r="AH115" s="86">
        <f>Y145</f>
        <v>12.927955688358155</v>
      </c>
    </row>
    <row r="116" spans="2:34" x14ac:dyDescent="0.2">
      <c r="B116" s="99" t="s">
        <v>28</v>
      </c>
      <c r="C116" s="100">
        <v>0.4909722222222222</v>
      </c>
      <c r="D116" s="147">
        <f>1+33/60+24+D113</f>
        <v>120.93333333333332</v>
      </c>
      <c r="E116" s="80" t="s">
        <v>107</v>
      </c>
      <c r="F116" s="81">
        <f>(0.0498+0.0453)/2</f>
        <v>4.7549999999999995E-2</v>
      </c>
      <c r="G116" s="137">
        <f>(0.0497+0.044)/2</f>
        <v>4.6850000000000003E-2</v>
      </c>
      <c r="H116" s="104">
        <f>0.2823-F116</f>
        <v>0.23475000000000001</v>
      </c>
      <c r="I116" s="105">
        <f>0.2743-F116</f>
        <v>0.22675000000000001</v>
      </c>
      <c r="J116" s="105">
        <f>0.1812-G116</f>
        <v>0.13435</v>
      </c>
      <c r="K116" s="105">
        <f>0.1756-G116</f>
        <v>0.12875</v>
      </c>
      <c r="L116" s="82">
        <f t="shared" si="30"/>
        <v>2.4873298217179908E-2</v>
      </c>
      <c r="M116" s="82">
        <f t="shared" si="31"/>
        <v>2.4125810372771478E-2</v>
      </c>
      <c r="N116" s="82">
        <f t="shared" si="32"/>
        <v>2.4499554294975693E-2</v>
      </c>
      <c r="O116" s="82">
        <f>'Growth curves CeBER'!F64</f>
        <v>1.0349999999999999</v>
      </c>
      <c r="P116" s="82">
        <f t="shared" si="33"/>
        <v>1.2765690000000001</v>
      </c>
      <c r="Q116" s="83">
        <f t="shared" si="43"/>
        <v>2.5874999999999997E-4</v>
      </c>
      <c r="R116" s="84">
        <f t="shared" si="34"/>
        <v>47.342133903334677</v>
      </c>
      <c r="S116" s="85"/>
      <c r="V116" s="86">
        <f t="shared" si="35"/>
        <v>60.435500534846049</v>
      </c>
      <c r="W116" s="102"/>
      <c r="X116" s="86"/>
      <c r="Y116" s="86"/>
      <c r="Z116" s="86">
        <f t="shared" si="40"/>
        <v>0.44031156237547353</v>
      </c>
      <c r="AA116" s="102"/>
      <c r="AB116" s="110"/>
      <c r="AD116" s="87">
        <f>D146</f>
        <v>408.43333333333328</v>
      </c>
      <c r="AE116" s="86">
        <f>S148</f>
        <v>34.732176746364694</v>
      </c>
      <c r="AF116" s="86">
        <f>U148</f>
        <v>7.763874022596351</v>
      </c>
      <c r="AG116" s="86">
        <f>W148</f>
        <v>127.11898973527822</v>
      </c>
      <c r="AH116" s="86">
        <f>Y148</f>
        <v>29.31366139157516</v>
      </c>
    </row>
    <row r="117" spans="2:34" ht="15" customHeight="1" x14ac:dyDescent="0.2">
      <c r="B117" s="58"/>
      <c r="D117" s="148"/>
      <c r="E117" s="80" t="s">
        <v>108</v>
      </c>
      <c r="F117" s="58"/>
      <c r="G117" s="79"/>
      <c r="H117" s="81">
        <f>0.2798-F116</f>
        <v>0.23225000000000001</v>
      </c>
      <c r="I117" s="82">
        <f>0.285-F116</f>
        <v>0.23744999999999999</v>
      </c>
      <c r="J117" s="82">
        <f>0.1783-G116</f>
        <v>0.13144999999999998</v>
      </c>
      <c r="K117" s="82">
        <f>0.1846-G116</f>
        <v>0.13774999999999998</v>
      </c>
      <c r="L117" s="82">
        <f t="shared" si="30"/>
        <v>2.4752471636953002E-2</v>
      </c>
      <c r="M117" s="82">
        <f t="shared" si="31"/>
        <v>2.4977512155591575E-2</v>
      </c>
      <c r="N117" s="82">
        <f t="shared" si="32"/>
        <v>2.4864991896272289E-2</v>
      </c>
      <c r="O117" s="82">
        <f>'Growth curves CeBER'!G64</f>
        <v>1.093</v>
      </c>
      <c r="P117" s="82">
        <f t="shared" si="33"/>
        <v>1.3481061999999999</v>
      </c>
      <c r="Q117" s="83">
        <f t="shared" si="43"/>
        <v>2.7325E-4</v>
      </c>
      <c r="R117" s="84">
        <f t="shared" si="34"/>
        <v>45.498612801962103</v>
      </c>
      <c r="S117" s="85"/>
      <c r="V117" s="86">
        <f t="shared" si="35"/>
        <v>61.336962009724481</v>
      </c>
      <c r="W117" s="102"/>
      <c r="X117" s="86"/>
      <c r="Y117" s="86"/>
      <c r="Z117" s="86">
        <f>(V117-$V$105)/(D116-$D$104)</f>
        <v>0.47114483997148071</v>
      </c>
      <c r="AA117" s="102"/>
      <c r="AB117" s="110"/>
    </row>
    <row r="118" spans="2:34" ht="15" customHeight="1" x14ac:dyDescent="0.2">
      <c r="B118" s="88"/>
      <c r="C118" s="97"/>
      <c r="D118" s="149"/>
      <c r="E118" s="90" t="s">
        <v>109</v>
      </c>
      <c r="F118" s="58"/>
      <c r="G118" s="79"/>
      <c r="H118" s="91">
        <f>0.2441-F116</f>
        <v>0.19655</v>
      </c>
      <c r="I118" s="92">
        <f>0.2522-F116</f>
        <v>0.20465</v>
      </c>
      <c r="J118" s="92">
        <f>0.1641-G116</f>
        <v>0.11724999999999999</v>
      </c>
      <c r="K118" s="92">
        <f>0.1701-G116</f>
        <v>0.12325</v>
      </c>
      <c r="L118" s="82">
        <f t="shared" si="30"/>
        <v>2.0358792544570507E-2</v>
      </c>
      <c r="M118" s="82"/>
      <c r="N118" s="92">
        <f t="shared" si="32"/>
        <v>2.0358792544570507E-2</v>
      </c>
      <c r="O118" s="92">
        <f>'Growth curves CeBER'!H64</f>
        <v>0.97899999999999998</v>
      </c>
      <c r="P118" s="92">
        <f t="shared" si="33"/>
        <v>1.2074986000000001</v>
      </c>
      <c r="Q118" s="93">
        <f t="shared" si="43"/>
        <v>2.4475000000000001E-4</v>
      </c>
      <c r="R118" s="94">
        <f t="shared" si="34"/>
        <v>41.590996005251291</v>
      </c>
      <c r="S118" s="95">
        <f>AVERAGE(R116:R118)</f>
        <v>44.810580903516019</v>
      </c>
      <c r="T118" s="96">
        <f>STDEV(R116:R118)</f>
        <v>2.9366541676970126</v>
      </c>
      <c r="U118" s="96">
        <f>T118/SQRT(3)</f>
        <v>1.6954780742367068</v>
      </c>
      <c r="V118" s="96">
        <f t="shared" si="35"/>
        <v>50.22106944894653</v>
      </c>
      <c r="W118" s="95">
        <f t="shared" si="37"/>
        <v>57.331177331172348</v>
      </c>
      <c r="X118" s="96">
        <f t="shared" si="38"/>
        <v>6.1740087277505395</v>
      </c>
      <c r="Y118" s="96">
        <f t="shared" si="39"/>
        <v>3.564565600945873</v>
      </c>
      <c r="Z118" s="96">
        <f>(V118-$V$106)/(D116-$D$104)</f>
        <v>0.37438769524444326</v>
      </c>
      <c r="AA118" s="95">
        <f t="shared" si="41"/>
        <v>0.42861469919713252</v>
      </c>
      <c r="AB118" s="103">
        <f t="shared" si="42"/>
        <v>2.853710286680506E-2</v>
      </c>
      <c r="AD118" s="87"/>
      <c r="AE118" s="86"/>
      <c r="AF118" s="86"/>
      <c r="AG118" s="86"/>
      <c r="AH118" s="86"/>
    </row>
    <row r="119" spans="2:34" x14ac:dyDescent="0.2">
      <c r="B119" s="58" t="s">
        <v>29</v>
      </c>
      <c r="C119" s="78">
        <v>0.49861111111111112</v>
      </c>
      <c r="D119" s="148">
        <f>11/60+24+D116</f>
        <v>145.11666666666665</v>
      </c>
      <c r="E119" s="80" t="s">
        <v>107</v>
      </c>
      <c r="F119" s="104">
        <v>4.3700000000000003E-2</v>
      </c>
      <c r="G119" s="139">
        <v>4.2200000000000001E-2</v>
      </c>
      <c r="H119" s="81">
        <f>0.33-F119</f>
        <v>0.2863</v>
      </c>
      <c r="I119" s="82">
        <f>0.3229-F119</f>
        <v>0.2792</v>
      </c>
      <c r="J119" s="82">
        <f>0.1987-G119</f>
        <v>0.15649999999999997</v>
      </c>
      <c r="K119" s="82">
        <f>0.1942-G119</f>
        <v>0.15200000000000002</v>
      </c>
      <c r="L119" s="82">
        <f t="shared" si="30"/>
        <v>3.1056320907617507E-2</v>
      </c>
      <c r="M119" s="82">
        <f>(I119-(0.605*K119))/6.17</f>
        <v>3.0346839546191245E-2</v>
      </c>
      <c r="N119" s="82">
        <f t="shared" si="32"/>
        <v>3.0701580226904376E-2</v>
      </c>
      <c r="O119" s="82">
        <f>'Growth curves CeBER'!F65</f>
        <v>1.2849999999999999</v>
      </c>
      <c r="P119" s="82">
        <f t="shared" si="33"/>
        <v>1.584919</v>
      </c>
      <c r="Q119" s="83">
        <f t="shared" si="43"/>
        <v>3.2124999999999998E-4</v>
      </c>
      <c r="R119" s="84">
        <f t="shared" si="34"/>
        <v>47.784560664442616</v>
      </c>
      <c r="S119" s="85"/>
      <c r="V119" s="86">
        <f t="shared" si="35"/>
        <v>75.734658103727725</v>
      </c>
      <c r="W119" s="102"/>
      <c r="X119" s="86"/>
      <c r="Y119" s="86"/>
      <c r="Z119" s="86">
        <f t="shared" si="40"/>
        <v>0.47236133579066691</v>
      </c>
      <c r="AA119" s="102"/>
      <c r="AB119" s="110"/>
      <c r="AD119" s="87"/>
      <c r="AE119" s="86"/>
      <c r="AF119" s="86"/>
      <c r="AG119" s="86"/>
      <c r="AH119" s="86"/>
    </row>
    <row r="120" spans="2:34" x14ac:dyDescent="0.2">
      <c r="B120" s="58"/>
      <c r="D120" s="148"/>
      <c r="E120" s="80" t="s">
        <v>108</v>
      </c>
      <c r="F120" s="58"/>
      <c r="G120" s="79"/>
      <c r="H120" s="81">
        <f>0.4173-F119</f>
        <v>0.37359999999999999</v>
      </c>
      <c r="I120" s="82">
        <f>0.4282-F119</f>
        <v>0.38450000000000001</v>
      </c>
      <c r="J120" s="82">
        <f>0.2617-G119</f>
        <v>0.21949999999999997</v>
      </c>
      <c r="K120" s="82">
        <f>0.2677-G119</f>
        <v>0.22549999999999998</v>
      </c>
      <c r="L120" s="82">
        <f t="shared" si="30"/>
        <v>3.9027957860615886E-2</v>
      </c>
      <c r="M120" s="82">
        <f t="shared" ref="M120:M147" si="44">(I120-(0.605*K120))/6.17</f>
        <v>4.020623987034036E-2</v>
      </c>
      <c r="N120" s="82">
        <f t="shared" si="32"/>
        <v>3.9617098865478123E-2</v>
      </c>
      <c r="O120" s="82">
        <f>'Growth curves CeBER'!G65</f>
        <v>1.3160000000000001</v>
      </c>
      <c r="P120" s="82">
        <f t="shared" si="33"/>
        <v>1.6231544000000002</v>
      </c>
      <c r="Q120" s="83">
        <f t="shared" si="43"/>
        <v>3.2900000000000003E-4</v>
      </c>
      <c r="R120" s="84">
        <f t="shared" si="34"/>
        <v>60.208356938416593</v>
      </c>
      <c r="S120" s="85"/>
      <c r="V120" s="86">
        <f t="shared" si="35"/>
        <v>97.727459481361436</v>
      </c>
      <c r="W120" s="102"/>
      <c r="X120" s="86"/>
      <c r="Y120" s="86"/>
      <c r="Z120" s="86">
        <f>(V120-$V$105)/(D119-$D$104)</f>
        <v>0.64339689986577253</v>
      </c>
      <c r="AA120" s="102"/>
      <c r="AB120" s="110"/>
      <c r="AD120" s="87"/>
      <c r="AE120" s="86"/>
      <c r="AF120" s="86"/>
      <c r="AG120" s="86"/>
      <c r="AH120" s="86"/>
    </row>
    <row r="121" spans="2:34" x14ac:dyDescent="0.2">
      <c r="B121" s="58"/>
      <c r="D121" s="148"/>
      <c r="E121" s="90" t="s">
        <v>109</v>
      </c>
      <c r="F121" s="58"/>
      <c r="G121" s="79"/>
      <c r="H121" s="81">
        <f>0.3277-F119</f>
        <v>0.28399999999999997</v>
      </c>
      <c r="I121" s="82">
        <f>0.3098-F119</f>
        <v>0.2661</v>
      </c>
      <c r="J121" s="82">
        <f>0.2119-G119</f>
        <v>0.16970000000000002</v>
      </c>
      <c r="K121" s="82">
        <f>0.1911-G119</f>
        <v>0.14889999999999998</v>
      </c>
      <c r="L121" s="82">
        <f t="shared" si="30"/>
        <v>2.9389222042139382E-2</v>
      </c>
      <c r="M121" s="82">
        <f t="shared" si="44"/>
        <v>2.8527633711507298E-2</v>
      </c>
      <c r="N121" s="92">
        <f t="shared" si="32"/>
        <v>2.8958427876823338E-2</v>
      </c>
      <c r="O121" s="92">
        <f>'Growth curves CeBER'!H65</f>
        <v>1.175</v>
      </c>
      <c r="P121" s="92">
        <f t="shared" si="33"/>
        <v>1.4492450000000001</v>
      </c>
      <c r="Q121" s="93">
        <f t="shared" si="43"/>
        <v>2.9375000000000001E-4</v>
      </c>
      <c r="R121" s="94">
        <f t="shared" si="34"/>
        <v>49.290941066933343</v>
      </c>
      <c r="S121" s="95">
        <f>AVERAGE(R119:R121)</f>
        <v>52.42795288993085</v>
      </c>
      <c r="T121" s="96">
        <f>STDEV(R119:R121)</f>
        <v>6.779993425330221</v>
      </c>
      <c r="U121" s="96">
        <f>T121/SQRT(3)</f>
        <v>3.9144310292182962</v>
      </c>
      <c r="V121" s="96">
        <f t="shared" si="35"/>
        <v>71.434649886547817</v>
      </c>
      <c r="W121" s="95">
        <f t="shared" si="37"/>
        <v>81.632255823878992</v>
      </c>
      <c r="X121" s="96">
        <f t="shared" si="38"/>
        <v>14.103694666605298</v>
      </c>
      <c r="Y121" s="96">
        <f t="shared" si="39"/>
        <v>8.1427719123328579</v>
      </c>
      <c r="Z121" s="96">
        <f>(V121-$V$106)/(D119-$D$104)</f>
        <v>0.45817984873662082</v>
      </c>
      <c r="AA121" s="95">
        <f t="shared" si="41"/>
        <v>0.52464602813102013</v>
      </c>
      <c r="AB121" s="103">
        <f t="shared" si="42"/>
        <v>5.9516400532650469E-2</v>
      </c>
    </row>
    <row r="122" spans="2:34" x14ac:dyDescent="0.2">
      <c r="B122" s="99" t="s">
        <v>30</v>
      </c>
      <c r="C122" s="100">
        <v>0.41805555555555557</v>
      </c>
      <c r="D122" s="147">
        <f>10+4/60+12+D119</f>
        <v>167.18333333333331</v>
      </c>
      <c r="E122" s="80" t="s">
        <v>107</v>
      </c>
      <c r="F122" s="104">
        <v>3.7900000000000003E-2</v>
      </c>
      <c r="G122" s="139">
        <v>3.7999999999999999E-2</v>
      </c>
      <c r="H122" s="104">
        <f>0.202-F122</f>
        <v>0.16410000000000002</v>
      </c>
      <c r="I122" s="105">
        <f>0.1966-F122</f>
        <v>0.15870000000000001</v>
      </c>
      <c r="J122" s="105">
        <f>0.1268-G122</f>
        <v>8.879999999999999E-2</v>
      </c>
      <c r="K122" s="105">
        <f>0.1231-G122</f>
        <v>8.5100000000000009E-2</v>
      </c>
      <c r="L122" s="82">
        <f t="shared" si="30"/>
        <v>1.7889141004862243E-2</v>
      </c>
      <c r="M122" s="82">
        <f t="shared" si="44"/>
        <v>1.7376742301458671E-2</v>
      </c>
      <c r="N122" s="82">
        <f t="shared" si="32"/>
        <v>1.7632941653160455E-2</v>
      </c>
      <c r="O122" s="82">
        <f>'Growth curves CeBER'!F66</f>
        <v>1.419</v>
      </c>
      <c r="P122" s="82">
        <f t="shared" si="33"/>
        <v>1.7501946000000002</v>
      </c>
      <c r="Q122" s="83">
        <f>O122*0.125/1000</f>
        <v>1.7737500000000002E-4</v>
      </c>
      <c r="R122" s="84">
        <f t="shared" si="34"/>
        <v>49.705261883468509</v>
      </c>
      <c r="S122" s="85"/>
      <c r="V122" s="86">
        <f t="shared" si="35"/>
        <v>86.993880940032426</v>
      </c>
      <c r="W122" s="102"/>
      <c r="X122" s="86"/>
      <c r="Y122" s="86"/>
      <c r="Z122" s="86">
        <f t="shared" si="40"/>
        <v>0.47736053443401644</v>
      </c>
      <c r="AA122" s="102"/>
      <c r="AB122" s="110"/>
      <c r="AE122" s="86"/>
      <c r="AF122" s="86"/>
      <c r="AG122" s="86"/>
      <c r="AH122" s="86"/>
    </row>
    <row r="123" spans="2:34" x14ac:dyDescent="0.2">
      <c r="B123" s="58"/>
      <c r="D123" s="148"/>
      <c r="E123" s="80" t="s">
        <v>108</v>
      </c>
      <c r="F123" s="58"/>
      <c r="G123" s="79"/>
      <c r="H123" s="81">
        <f>0.2435-F122</f>
        <v>0.2056</v>
      </c>
      <c r="I123" s="82">
        <f>0.2196-F122</f>
        <v>0.18169999999999997</v>
      </c>
      <c r="J123" s="82">
        <f>0.165-G122</f>
        <v>0.127</v>
      </c>
      <c r="K123" s="82">
        <f>0.1403-G122</f>
        <v>0.1023</v>
      </c>
      <c r="L123" s="82">
        <f t="shared" si="30"/>
        <v>2.0869529983792549E-2</v>
      </c>
      <c r="M123" s="82">
        <f t="shared" si="44"/>
        <v>1.9417909238249591E-2</v>
      </c>
      <c r="N123" s="82">
        <f t="shared" si="32"/>
        <v>2.0143719611021071E-2</v>
      </c>
      <c r="O123" s="82">
        <f>'Growth curves CeBER'!G66</f>
        <v>1.496</v>
      </c>
      <c r="P123" s="82">
        <f t="shared" si="33"/>
        <v>1.8451664000000001</v>
      </c>
      <c r="Q123" s="83">
        <f>O123*0.125/1000</f>
        <v>1.8699999999999999E-4</v>
      </c>
      <c r="R123" s="84">
        <f t="shared" si="34"/>
        <v>53.860212863692709</v>
      </c>
      <c r="S123" s="85"/>
      <c r="V123" s="86">
        <f t="shared" si="35"/>
        <v>99.381055072933577</v>
      </c>
      <c r="W123" s="102"/>
      <c r="X123" s="86"/>
      <c r="Y123" s="86"/>
      <c r="Z123" s="86">
        <f>(V123-$V$105)/(D122-$D$104)</f>
        <v>0.56836532176508925</v>
      </c>
      <c r="AA123" s="102"/>
      <c r="AB123" s="110"/>
      <c r="AE123" s="86"/>
      <c r="AF123" s="86"/>
      <c r="AG123" s="86"/>
      <c r="AH123" s="86"/>
    </row>
    <row r="124" spans="2:34" x14ac:dyDescent="0.2">
      <c r="B124" s="58"/>
      <c r="D124" s="148"/>
      <c r="E124" s="90" t="s">
        <v>109</v>
      </c>
      <c r="F124" s="58"/>
      <c r="G124" s="79"/>
      <c r="H124" s="81">
        <f>0.2242-F122</f>
        <v>0.18630000000000002</v>
      </c>
      <c r="I124" s="82">
        <f>0.2454-F122</f>
        <v>0.20750000000000002</v>
      </c>
      <c r="J124" s="82">
        <f>0.15-G122</f>
        <v>0.11199999999999999</v>
      </c>
      <c r="K124" s="82">
        <f>0.1709-G122</f>
        <v>0.13289999999999999</v>
      </c>
      <c r="L124" s="82">
        <f t="shared" si="30"/>
        <v>1.9212317666126424E-2</v>
      </c>
      <c r="M124" s="82">
        <f t="shared" si="44"/>
        <v>2.0598946515397086E-2</v>
      </c>
      <c r="N124" s="92">
        <f t="shared" si="32"/>
        <v>1.9905632090761755E-2</v>
      </c>
      <c r="O124" s="92">
        <f>'Growth curves CeBER'!H66</f>
        <v>1.4039999999999999</v>
      </c>
      <c r="P124" s="92">
        <f t="shared" si="33"/>
        <v>1.7316936000000001</v>
      </c>
      <c r="Q124" s="93">
        <f>O124*0.125/1000</f>
        <v>1.7549999999999998E-4</v>
      </c>
      <c r="R124" s="94">
        <f t="shared" si="34"/>
        <v>56.711202537782782</v>
      </c>
      <c r="S124" s="95">
        <f>AVERAGE(R122:R124)</f>
        <v>53.425559094981338</v>
      </c>
      <c r="T124" s="96">
        <f>STDEV(R122:R124)</f>
        <v>3.5231369597185158</v>
      </c>
      <c r="U124" s="96">
        <f>T124/SQRT(3)</f>
        <v>2.0340840720854048</v>
      </c>
      <c r="V124" s="96">
        <f t="shared" si="35"/>
        <v>98.206426482982209</v>
      </c>
      <c r="W124" s="95">
        <f t="shared" si="37"/>
        <v>94.860454165316071</v>
      </c>
      <c r="X124" s="96">
        <f t="shared" si="38"/>
        <v>6.8379213809932713</v>
      </c>
      <c r="Y124" s="96">
        <f t="shared" si="39"/>
        <v>3.9478757500139632</v>
      </c>
      <c r="Z124" s="96">
        <f>(V124-$V$106)/(D122-$D$104)</f>
        <v>0.55783855435508145</v>
      </c>
      <c r="AA124" s="95">
        <f t="shared" si="41"/>
        <v>0.53452147018472906</v>
      </c>
      <c r="AB124" s="103">
        <f t="shared" si="42"/>
        <v>2.8741564791250333E-2</v>
      </c>
    </row>
    <row r="125" spans="2:34" x14ac:dyDescent="0.2">
      <c r="B125" s="99" t="s">
        <v>32</v>
      </c>
      <c r="C125" s="100">
        <v>0.43888888888888888</v>
      </c>
      <c r="D125" s="147">
        <f>30/60+48+D122</f>
        <v>215.68333333333331</v>
      </c>
      <c r="E125" s="80" t="s">
        <v>107</v>
      </c>
      <c r="F125" s="104">
        <v>3.1099999999999999E-2</v>
      </c>
      <c r="G125" s="139">
        <v>3.0200000000000001E-2</v>
      </c>
      <c r="H125" s="104">
        <f>0.1938-F125</f>
        <v>0.16270000000000001</v>
      </c>
      <c r="I125" s="105">
        <f>0.2053-F125</f>
        <v>0.17420000000000002</v>
      </c>
      <c r="J125" s="105">
        <f>0.1184-G125</f>
        <v>8.8200000000000001E-2</v>
      </c>
      <c r="K125" s="105">
        <f>0.131-G125</f>
        <v>0.1008</v>
      </c>
      <c r="L125" s="82">
        <f t="shared" si="30"/>
        <v>1.7721069692058351E-2</v>
      </c>
      <c r="M125" s="82">
        <f t="shared" si="44"/>
        <v>1.8349432739059972E-2</v>
      </c>
      <c r="N125" s="82">
        <f t="shared" si="32"/>
        <v>1.8035251215559163E-2</v>
      </c>
      <c r="O125" s="82">
        <f>'Growth curves CeBER'!F67</f>
        <v>2.012</v>
      </c>
      <c r="P125" s="82">
        <f t="shared" si="33"/>
        <v>2.4816008000000003</v>
      </c>
      <c r="Q125" s="83">
        <f t="shared" ref="Q125:Q130" si="45">P125*0.1/1000</f>
        <v>2.4816008000000004E-4</v>
      </c>
      <c r="R125" s="84">
        <f t="shared" si="34"/>
        <v>36.337938026855809</v>
      </c>
      <c r="S125" s="85"/>
      <c r="V125" s="86">
        <f t="shared" si="35"/>
        <v>90.176256077795813</v>
      </c>
      <c r="W125" s="102"/>
      <c r="X125" s="86"/>
      <c r="Y125" s="86"/>
      <c r="Z125" s="86">
        <f t="shared" si="40"/>
        <v>0.38477289461196368</v>
      </c>
      <c r="AA125" s="102"/>
      <c r="AB125" s="110"/>
    </row>
    <row r="126" spans="2:34" x14ac:dyDescent="0.2">
      <c r="B126" s="58"/>
      <c r="D126" s="148"/>
      <c r="E126" s="80" t="s">
        <v>108</v>
      </c>
      <c r="F126" s="58"/>
      <c r="G126" s="79"/>
      <c r="H126" s="81">
        <f>0.207-F125</f>
        <v>0.1759</v>
      </c>
      <c r="I126" s="82">
        <f>0.1992-F125</f>
        <v>0.1681</v>
      </c>
      <c r="J126" s="82">
        <f>0.1345-G125</f>
        <v>0.1043</v>
      </c>
      <c r="K126" s="82">
        <f>0.1228-G125</f>
        <v>9.2600000000000002E-2</v>
      </c>
      <c r="L126" s="82">
        <f t="shared" si="30"/>
        <v>1.8281766612641814E-2</v>
      </c>
      <c r="M126" s="82">
        <f t="shared" si="44"/>
        <v>1.8164829821717993E-2</v>
      </c>
      <c r="N126" s="82">
        <f t="shared" si="32"/>
        <v>1.8223298217179905E-2</v>
      </c>
      <c r="O126" s="82">
        <f>'Growth curves CeBER'!G67</f>
        <v>1.964</v>
      </c>
      <c r="P126" s="82">
        <f t="shared" si="33"/>
        <v>2.4223976</v>
      </c>
      <c r="Q126" s="83">
        <f t="shared" si="45"/>
        <v>2.4223976000000002E-4</v>
      </c>
      <c r="R126" s="84">
        <f t="shared" si="34"/>
        <v>37.614176585173098</v>
      </c>
      <c r="S126" s="85"/>
      <c r="V126" s="86">
        <f t="shared" si="35"/>
        <v>91.116491085899511</v>
      </c>
      <c r="W126" s="102"/>
      <c r="X126" s="86"/>
      <c r="Y126" s="86"/>
      <c r="Z126" s="86">
        <f>(V126-$V$105)/(D125-$D$104)</f>
        <v>0.4022408394562681</v>
      </c>
      <c r="AA126" s="102"/>
      <c r="AB126" s="110"/>
    </row>
    <row r="127" spans="2:34" x14ac:dyDescent="0.2">
      <c r="B127" s="58"/>
      <c r="D127" s="148"/>
      <c r="E127" s="90" t="s">
        <v>109</v>
      </c>
      <c r="F127" s="58"/>
      <c r="G127" s="79"/>
      <c r="H127" s="81">
        <f>0.2193-F125</f>
        <v>0.18820000000000001</v>
      </c>
      <c r="I127" s="82">
        <f>0.2695-F125</f>
        <v>0.23840000000000003</v>
      </c>
      <c r="J127" s="82">
        <f>0.1466-G125</f>
        <v>0.1164</v>
      </c>
      <c r="K127" s="82">
        <f>0.1904-G125</f>
        <v>0.16020000000000001</v>
      </c>
      <c r="L127" s="82">
        <f t="shared" si="30"/>
        <v>1.9088816855753647E-2</v>
      </c>
      <c r="M127" s="82">
        <f t="shared" si="44"/>
        <v>2.2930145867098871E-2</v>
      </c>
      <c r="N127" s="92">
        <f t="shared" si="32"/>
        <v>2.100948136142626E-2</v>
      </c>
      <c r="O127" s="92">
        <f>'Growth curves CeBER'!H67</f>
        <v>1.8959999999999999</v>
      </c>
      <c r="P127" s="92">
        <f t="shared" si="33"/>
        <v>2.3385264000000001</v>
      </c>
      <c r="Q127" s="93">
        <f t="shared" si="45"/>
        <v>2.3385264000000004E-4</v>
      </c>
      <c r="R127" s="94">
        <f t="shared" si="34"/>
        <v>44.920342488813162</v>
      </c>
      <c r="S127" s="95">
        <f>AVERAGE(R125:R127)</f>
        <v>39.624152366947357</v>
      </c>
      <c r="T127" s="96">
        <f>STDEV(R125:R127)</f>
        <v>4.6308118693859344</v>
      </c>
      <c r="U127" s="96">
        <f>T127/SQRT(3)</f>
        <v>2.6736004793564834</v>
      </c>
      <c r="V127" s="96">
        <f t="shared" si="35"/>
        <v>105.0474068071313</v>
      </c>
      <c r="W127" s="95">
        <f t="shared" si="37"/>
        <v>95.44671799027553</v>
      </c>
      <c r="X127" s="96">
        <f t="shared" si="38"/>
        <v>8.3277205636470732</v>
      </c>
      <c r="Y127" s="96">
        <f t="shared" si="39"/>
        <v>4.8080117091576202</v>
      </c>
      <c r="Z127" s="96">
        <f>(V127-$V$106)/(D125-$D$104)</f>
        <v>0.46411694290895344</v>
      </c>
      <c r="AA127" s="95">
        <f t="shared" si="41"/>
        <v>0.41704355899239509</v>
      </c>
      <c r="AB127" s="103">
        <f t="shared" si="42"/>
        <v>2.4070797516823075E-2</v>
      </c>
    </row>
    <row r="128" spans="2:34" x14ac:dyDescent="0.2">
      <c r="B128" s="99" t="s">
        <v>33</v>
      </c>
      <c r="C128" s="100">
        <v>0.46249999999999997</v>
      </c>
      <c r="D128" s="147">
        <f>34/60+24+D125</f>
        <v>240.24999999999997</v>
      </c>
      <c r="E128" s="80" t="s">
        <v>107</v>
      </c>
      <c r="F128" s="104">
        <v>4.9200000000000001E-2</v>
      </c>
      <c r="G128" s="139">
        <v>4.8500000000000001E-2</v>
      </c>
      <c r="H128" s="104">
        <f>0.2597-F128</f>
        <v>0.21049999999999999</v>
      </c>
      <c r="I128" s="105">
        <f>0.2434-F128</f>
        <v>0.19420000000000001</v>
      </c>
      <c r="J128" s="105">
        <f>0.1675-G128</f>
        <v>0.11900000000000001</v>
      </c>
      <c r="K128" s="105">
        <f>0.1506-G128</f>
        <v>0.10210000000000001</v>
      </c>
      <c r="L128" s="82">
        <f t="shared" si="30"/>
        <v>2.2448136142625606E-2</v>
      </c>
      <c r="M128" s="82">
        <f t="shared" si="44"/>
        <v>2.1463452188006483E-2</v>
      </c>
      <c r="N128" s="82">
        <f t="shared" si="32"/>
        <v>2.1955794165316046E-2</v>
      </c>
      <c r="O128" s="82">
        <f>'Growth curves CeBER'!F68</f>
        <v>2.36</v>
      </c>
      <c r="P128" s="82">
        <f t="shared" si="33"/>
        <v>2.9108239999999999</v>
      </c>
      <c r="Q128" s="83">
        <f t="shared" si="45"/>
        <v>2.9108240000000004E-4</v>
      </c>
      <c r="R128" s="84">
        <f t="shared" si="34"/>
        <v>37.714053074517807</v>
      </c>
      <c r="S128" s="85"/>
      <c r="V128" s="86">
        <f t="shared" si="35"/>
        <v>109.77897082658022</v>
      </c>
      <c r="W128" s="102"/>
      <c r="X128" s="86"/>
      <c r="Y128" s="86"/>
      <c r="Z128" s="86">
        <f t="shared" si="40"/>
        <v>0.42702108318421689</v>
      </c>
      <c r="AA128" s="102"/>
      <c r="AB128" s="110"/>
    </row>
    <row r="129" spans="2:28" x14ac:dyDescent="0.2">
      <c r="B129" s="58"/>
      <c r="D129" s="148"/>
      <c r="E129" s="80" t="s">
        <v>108</v>
      </c>
      <c r="F129" s="58"/>
      <c r="G129" s="79"/>
      <c r="H129" s="81">
        <f>0.2851-F128</f>
        <v>0.23590000000000003</v>
      </c>
      <c r="I129" s="82">
        <f>0.2579-F128</f>
        <v>0.20870000000000002</v>
      </c>
      <c r="J129" s="82">
        <f>0.1886-G128</f>
        <v>0.1401</v>
      </c>
      <c r="K129" s="82">
        <f>0.1612-G128</f>
        <v>0.11270000000000001</v>
      </c>
      <c r="L129" s="82">
        <f t="shared" si="30"/>
        <v>2.4495867098865483E-2</v>
      </c>
      <c r="M129" s="82">
        <f t="shared" si="44"/>
        <v>2.2774149108589953E-2</v>
      </c>
      <c r="N129" s="82">
        <f t="shared" si="32"/>
        <v>2.363500810372772E-2</v>
      </c>
      <c r="O129" s="82">
        <f>'Growth curves CeBER'!G68</f>
        <v>2.1720000000000002</v>
      </c>
      <c r="P129" s="82">
        <f t="shared" si="33"/>
        <v>2.6789448000000005</v>
      </c>
      <c r="Q129" s="83">
        <f t="shared" si="45"/>
        <v>2.6789448000000005E-4</v>
      </c>
      <c r="R129" s="84">
        <f t="shared" si="34"/>
        <v>44.112532859444727</v>
      </c>
      <c r="S129" s="85"/>
      <c r="V129" s="86">
        <f t="shared" si="35"/>
        <v>118.1750405186386</v>
      </c>
      <c r="W129" s="102"/>
      <c r="X129" s="86"/>
      <c r="Y129" s="86"/>
      <c r="Z129" s="86">
        <f>(V129-$V$105)/(D128-$D$104)</f>
        <v>0.47373650151702468</v>
      </c>
      <c r="AA129" s="102"/>
      <c r="AB129" s="110"/>
    </row>
    <row r="130" spans="2:28" x14ac:dyDescent="0.2">
      <c r="B130" s="58"/>
      <c r="D130" s="148"/>
      <c r="E130" s="90" t="s">
        <v>109</v>
      </c>
      <c r="F130" s="58"/>
      <c r="G130" s="79"/>
      <c r="H130" s="81">
        <f>0.2524-F128</f>
        <v>0.20320000000000002</v>
      </c>
      <c r="I130" s="82">
        <f>0.2526-F128</f>
        <v>0.2034</v>
      </c>
      <c r="J130" s="82">
        <f>0.1598-G128</f>
        <v>0.1113</v>
      </c>
      <c r="K130" s="82">
        <f>0.1595-G128</f>
        <v>0.111</v>
      </c>
      <c r="L130" s="82">
        <f t="shared" si="30"/>
        <v>2.2020016207455435E-2</v>
      </c>
      <c r="M130" s="82">
        <f t="shared" si="44"/>
        <v>2.2081847649918964E-2</v>
      </c>
      <c r="N130" s="92">
        <f t="shared" si="32"/>
        <v>2.2050931928687199E-2</v>
      </c>
      <c r="O130" s="92">
        <f>'Growth curves CeBER'!H68</f>
        <v>2.2639999999999998</v>
      </c>
      <c r="P130" s="92">
        <f t="shared" si="33"/>
        <v>2.7924175999999998</v>
      </c>
      <c r="Q130" s="93">
        <f t="shared" si="45"/>
        <v>2.7924176E-4</v>
      </c>
      <c r="R130" s="94">
        <f t="shared" si="34"/>
        <v>39.483585708468532</v>
      </c>
      <c r="S130" s="95">
        <f>AVERAGE(R128:R130)</f>
        <v>40.436723880810355</v>
      </c>
      <c r="T130" s="96">
        <f>STDEV(R128:R130)</f>
        <v>3.3040112244377964</v>
      </c>
      <c r="U130" s="96">
        <f>T130/SQRT(3)</f>
        <v>1.9075717698347068</v>
      </c>
      <c r="V130" s="96">
        <f t="shared" si="35"/>
        <v>110.25465964343599</v>
      </c>
      <c r="W130" s="95">
        <f t="shared" si="37"/>
        <v>112.73622366288494</v>
      </c>
      <c r="X130" s="96">
        <f t="shared" si="38"/>
        <v>4.7161548485437823</v>
      </c>
      <c r="Y130" s="96">
        <f t="shared" si="39"/>
        <v>2.7228732713467116</v>
      </c>
      <c r="Z130" s="96">
        <f>(V130-$V$106)/(D128-$D$104)</f>
        <v>0.43833316187048549</v>
      </c>
      <c r="AA130" s="95">
        <f t="shared" si="41"/>
        <v>0.44636358219057565</v>
      </c>
      <c r="AB130" s="103">
        <f t="shared" si="42"/>
        <v>1.4070635088607963E-2</v>
      </c>
    </row>
    <row r="131" spans="2:28" x14ac:dyDescent="0.2">
      <c r="B131" s="99" t="s">
        <v>34</v>
      </c>
      <c r="C131" s="100">
        <v>0.50694444444444442</v>
      </c>
      <c r="D131" s="147">
        <f>1+4/60+48+D128</f>
        <v>289.31666666666666</v>
      </c>
      <c r="E131" s="80" t="s">
        <v>107</v>
      </c>
      <c r="F131" s="104">
        <v>4.5900000000000003E-2</v>
      </c>
      <c r="G131" s="139">
        <v>4.4499999999999998E-2</v>
      </c>
      <c r="H131" s="104">
        <f>0.2404-F131</f>
        <v>0.19450000000000001</v>
      </c>
      <c r="I131" s="105">
        <f>0.241-F131</f>
        <v>0.1951</v>
      </c>
      <c r="J131" s="105">
        <f>0.1468-G131</f>
        <v>0.10230000000000002</v>
      </c>
      <c r="K131" s="105">
        <f>0.1478-G131</f>
        <v>0.10329999999999999</v>
      </c>
      <c r="L131" s="82">
        <f t="shared" si="30"/>
        <v>2.1492463533225283E-2</v>
      </c>
      <c r="M131" s="82">
        <f t="shared" si="44"/>
        <v>2.1491653160453809E-2</v>
      </c>
      <c r="N131" s="82">
        <f t="shared" si="32"/>
        <v>2.1492058346839545E-2</v>
      </c>
      <c r="O131" s="82">
        <f>'Growth curves CeBER'!F69</f>
        <v>2.6440000000000001</v>
      </c>
      <c r="P131" s="82">
        <f t="shared" si="33"/>
        <v>3.2611096000000002</v>
      </c>
      <c r="Q131" s="83">
        <f>P131*0.075/1000</f>
        <v>2.4458321999999997E-4</v>
      </c>
      <c r="R131" s="84">
        <f t="shared" si="34"/>
        <v>43.936085122355379</v>
      </c>
      <c r="S131" s="85"/>
      <c r="V131" s="86">
        <f t="shared" si="35"/>
        <v>143.28038897893032</v>
      </c>
      <c r="W131" s="102"/>
      <c r="X131" s="86"/>
      <c r="Y131" s="86"/>
      <c r="Z131" s="86">
        <f t="shared" si="40"/>
        <v>0.4703954146691337</v>
      </c>
      <c r="AA131" s="102"/>
      <c r="AB131" s="110"/>
    </row>
    <row r="132" spans="2:28" x14ac:dyDescent="0.2">
      <c r="B132" s="58"/>
      <c r="D132" s="148"/>
      <c r="E132" s="80" t="s">
        <v>108</v>
      </c>
      <c r="F132" s="58"/>
      <c r="G132" s="79"/>
      <c r="H132" s="81">
        <f>0.1874-F131</f>
        <v>0.14150000000000001</v>
      </c>
      <c r="I132" s="82">
        <f>0.1937-F131</f>
        <v>0.14780000000000001</v>
      </c>
      <c r="J132" s="82">
        <f>0.1192-G131</f>
        <v>7.4700000000000003E-2</v>
      </c>
      <c r="K132" s="82">
        <f>0.1241-G131</f>
        <v>7.9600000000000004E-2</v>
      </c>
      <c r="L132" s="82">
        <f t="shared" si="30"/>
        <v>1.5608833063209079E-2</v>
      </c>
      <c r="M132" s="82">
        <f t="shared" si="44"/>
        <v>1.6149432739059968E-2</v>
      </c>
      <c r="N132" s="82">
        <f t="shared" si="32"/>
        <v>1.5879132901134525E-2</v>
      </c>
      <c r="O132" s="82">
        <f>'Growth curves CeBER'!G69</f>
        <v>2.8919999999999999</v>
      </c>
      <c r="P132" s="82">
        <f t="shared" si="33"/>
        <v>3.5669928</v>
      </c>
      <c r="Q132" s="83">
        <f>P132*0.075/1000</f>
        <v>2.6752445999999995E-4</v>
      </c>
      <c r="R132" s="84">
        <f t="shared" si="34"/>
        <v>29.677908519345351</v>
      </c>
      <c r="S132" s="85"/>
      <c r="V132" s="86">
        <f t="shared" si="35"/>
        <v>105.86088600756352</v>
      </c>
      <c r="W132" s="102"/>
      <c r="X132" s="86"/>
      <c r="Y132" s="86"/>
      <c r="Z132" s="86">
        <f>(V132-$V$105)/(D131-$D$104)</f>
        <v>0.3508302551243393</v>
      </c>
      <c r="AA132" s="102"/>
      <c r="AB132" s="110"/>
    </row>
    <row r="133" spans="2:28" x14ac:dyDescent="0.2">
      <c r="B133" s="58"/>
      <c r="D133" s="148"/>
      <c r="E133" s="90" t="s">
        <v>109</v>
      </c>
      <c r="F133" s="58"/>
      <c r="G133" s="79"/>
      <c r="H133" s="81">
        <f>0.2119-F131</f>
        <v>0.16600000000000001</v>
      </c>
      <c r="I133" s="82">
        <f>0.2193-F131</f>
        <v>0.1734</v>
      </c>
      <c r="J133" s="82">
        <f>0.1344-G131</f>
        <v>8.9899999999999994E-2</v>
      </c>
      <c r="K133" s="82">
        <f>0.1413-G131</f>
        <v>9.6800000000000011E-2</v>
      </c>
      <c r="L133" s="82">
        <f t="shared" si="30"/>
        <v>1.8089222042139388E-2</v>
      </c>
      <c r="M133" s="82">
        <f t="shared" si="44"/>
        <v>1.8611993517017828E-2</v>
      </c>
      <c r="N133" s="92">
        <f t="shared" si="32"/>
        <v>1.8350607779578608E-2</v>
      </c>
      <c r="O133" s="92">
        <f>'Growth curves CeBER'!H69</f>
        <v>2.7120000000000002</v>
      </c>
      <c r="P133" s="92">
        <f t="shared" si="33"/>
        <v>3.3449808000000005</v>
      </c>
      <c r="Q133" s="93">
        <f>P133*0.075/1000</f>
        <v>2.5087356000000007E-4</v>
      </c>
      <c r="R133" s="94">
        <f t="shared" si="34"/>
        <v>36.573419254660799</v>
      </c>
      <c r="S133" s="95">
        <f>AVERAGE(R131:R133)</f>
        <v>36.729137632120512</v>
      </c>
      <c r="T133" s="96">
        <f>STDEV(R131:R133)</f>
        <v>7.1303636772933556</v>
      </c>
      <c r="U133" s="96">
        <f>T133/SQRT(3)</f>
        <v>4.1167173885052488</v>
      </c>
      <c r="V133" s="96">
        <f t="shared" si="35"/>
        <v>122.3373851971907</v>
      </c>
      <c r="W133" s="95">
        <f t="shared" si="37"/>
        <v>123.82622006122818</v>
      </c>
      <c r="X133" s="96">
        <f t="shared" si="38"/>
        <v>18.754126815058953</v>
      </c>
      <c r="Y133" s="96">
        <f t="shared" si="39"/>
        <v>10.827700165090667</v>
      </c>
      <c r="Z133" s="96">
        <f>(V133-$V$106)/(D131-$D$104)</f>
        <v>0.40575701720077945</v>
      </c>
      <c r="AA133" s="95">
        <f t="shared" si="41"/>
        <v>0.40899422899808413</v>
      </c>
      <c r="AB133" s="103">
        <f t="shared" si="42"/>
        <v>3.4553419991893375E-2</v>
      </c>
    </row>
    <row r="134" spans="2:28" x14ac:dyDescent="0.2">
      <c r="B134" s="99" t="s">
        <v>35</v>
      </c>
      <c r="C134" s="100">
        <v>0.50763888888888886</v>
      </c>
      <c r="D134" s="147">
        <f>1/60+24+D131</f>
        <v>313.33333333333331</v>
      </c>
      <c r="E134" s="80" t="s">
        <v>107</v>
      </c>
      <c r="F134" s="104">
        <f>(0.0555+0.0526)/2</f>
        <v>5.4050000000000001E-2</v>
      </c>
      <c r="G134" s="139">
        <f>(0.0536+0.0514)/2</f>
        <v>5.2500000000000005E-2</v>
      </c>
      <c r="H134" s="104">
        <f>0.253-F134</f>
        <v>0.19895000000000002</v>
      </c>
      <c r="I134" s="105">
        <f>0.2474-F134</f>
        <v>0.19335000000000002</v>
      </c>
      <c r="J134" s="105">
        <f>0.1547-G134</f>
        <v>0.1022</v>
      </c>
      <c r="K134" s="105">
        <f>0.1545-G134</f>
        <v>0.10199999999999999</v>
      </c>
      <c r="L134" s="82">
        <f t="shared" si="30"/>
        <v>2.2223500810372776E-2</v>
      </c>
      <c r="M134" s="82">
        <f t="shared" si="44"/>
        <v>2.1335494327390604E-2</v>
      </c>
      <c r="N134" s="82">
        <f t="shared" si="32"/>
        <v>2.177949756888169E-2</v>
      </c>
      <c r="O134" s="82">
        <f>'Growth curves CeBER'!F70</f>
        <v>2.84</v>
      </c>
      <c r="P134" s="82">
        <f t="shared" si="33"/>
        <v>3.502856</v>
      </c>
      <c r="Q134" s="83">
        <f t="shared" ref="Q134:Q136" si="46">P134*0.075/1000</f>
        <v>2.6271420000000001E-4</v>
      </c>
      <c r="R134" s="84">
        <f t="shared" si="34"/>
        <v>41.450933312477382</v>
      </c>
      <c r="S134" s="85"/>
      <c r="V134" s="86">
        <f t="shared" si="35"/>
        <v>145.19665045921127</v>
      </c>
      <c r="W134" s="102"/>
      <c r="X134" s="86"/>
      <c r="Y134" s="86"/>
      <c r="Z134" s="86">
        <f t="shared" si="40"/>
        <v>0.44045583468395477</v>
      </c>
      <c r="AA134" s="102"/>
      <c r="AB134" s="110"/>
    </row>
    <row r="135" spans="2:28" x14ac:dyDescent="0.2">
      <c r="B135" s="58"/>
      <c r="D135" s="148"/>
      <c r="E135" s="80" t="s">
        <v>108</v>
      </c>
      <c r="F135" s="58"/>
      <c r="G135" s="79"/>
      <c r="H135" s="81">
        <f>0.2528-F134</f>
        <v>0.19875000000000004</v>
      </c>
      <c r="I135" s="82">
        <f>0.2634-F134</f>
        <v>0.20935000000000004</v>
      </c>
      <c r="J135" s="82">
        <f>0.1611-G134</f>
        <v>0.10859999999999999</v>
      </c>
      <c r="K135" s="82">
        <f>0.1677-G134</f>
        <v>0.11519999999999998</v>
      </c>
      <c r="L135" s="82">
        <f t="shared" si="30"/>
        <v>2.1563533225283635E-2</v>
      </c>
      <c r="M135" s="82">
        <f t="shared" si="44"/>
        <v>2.2634359805510543E-2</v>
      </c>
      <c r="N135" s="82">
        <f t="shared" si="32"/>
        <v>2.2098946515397087E-2</v>
      </c>
      <c r="O135" s="82">
        <f>'Growth curves CeBER'!G70</f>
        <v>2.8439999999999999</v>
      </c>
      <c r="P135" s="82">
        <f t="shared" si="33"/>
        <v>3.5077896000000002</v>
      </c>
      <c r="Q135" s="83">
        <f t="shared" si="46"/>
        <v>2.6308422000000001E-4</v>
      </c>
      <c r="R135" s="84">
        <f t="shared" si="34"/>
        <v>41.999756799166988</v>
      </c>
      <c r="S135" s="85"/>
      <c r="V135" s="86">
        <f t="shared" si="35"/>
        <v>147.32631010264726</v>
      </c>
      <c r="W135" s="102"/>
      <c r="X135" s="86"/>
      <c r="Y135" s="86"/>
      <c r="Z135" s="86">
        <f>(V135-$V$105)/(D134-$D$104)</f>
        <v>0.45627594917066122</v>
      </c>
      <c r="AA135" s="102"/>
      <c r="AB135" s="110"/>
    </row>
    <row r="136" spans="2:28" x14ac:dyDescent="0.2">
      <c r="B136" s="58"/>
      <c r="D136" s="148"/>
      <c r="E136" s="90" t="s">
        <v>109</v>
      </c>
      <c r="F136" s="58"/>
      <c r="G136" s="79"/>
      <c r="H136" s="81">
        <f>0.2459-F134</f>
        <v>0.19185000000000002</v>
      </c>
      <c r="I136" s="82">
        <f>0.2593-F134</f>
        <v>0.20524999999999999</v>
      </c>
      <c r="J136" s="82">
        <f>0.1576-G134</f>
        <v>0.10509999999999999</v>
      </c>
      <c r="K136" s="82">
        <f>0.167-G134</f>
        <v>0.1145</v>
      </c>
      <c r="L136" s="82">
        <f t="shared" si="30"/>
        <v>2.0788411669367915E-2</v>
      </c>
      <c r="M136" s="82">
        <f t="shared" si="44"/>
        <v>2.2038492706645051E-2</v>
      </c>
      <c r="N136" s="92">
        <f t="shared" si="32"/>
        <v>2.1413452188006485E-2</v>
      </c>
      <c r="O136" s="92">
        <f>'Growth curves CeBER'!H70</f>
        <v>2.8759999999999999</v>
      </c>
      <c r="P136" s="92">
        <f t="shared" si="33"/>
        <v>3.5472584</v>
      </c>
      <c r="Q136" s="93">
        <f t="shared" si="46"/>
        <v>2.6604437999999995E-4</v>
      </c>
      <c r="R136" s="94">
        <f t="shared" si="34"/>
        <v>40.244135561154287</v>
      </c>
      <c r="S136" s="95">
        <f>AVERAGE(R134:R136)</f>
        <v>41.23160855759955</v>
      </c>
      <c r="T136" s="96">
        <f>STDEV(R134:R136)</f>
        <v>0.89812526627245992</v>
      </c>
      <c r="U136" s="96">
        <f>T136/SQRT(3)</f>
        <v>0.51853286424840905</v>
      </c>
      <c r="V136" s="96">
        <f t="shared" si="35"/>
        <v>142.75634792004325</v>
      </c>
      <c r="W136" s="95">
        <f t="shared" si="37"/>
        <v>145.09310282730061</v>
      </c>
      <c r="X136" s="96">
        <f t="shared" si="38"/>
        <v>2.286740075230111</v>
      </c>
      <c r="Y136" s="96">
        <f t="shared" si="39"/>
        <v>1.3202499980008098</v>
      </c>
      <c r="Z136" s="96">
        <f>(V136-$V$106)/(D134-$D$104)</f>
        <v>0.43982307579571722</v>
      </c>
      <c r="AA136" s="95">
        <f t="shared" si="41"/>
        <v>0.44551828655011105</v>
      </c>
      <c r="AB136" s="103">
        <f t="shared" si="42"/>
        <v>5.3819319562726838E-3</v>
      </c>
    </row>
    <row r="137" spans="2:28" x14ac:dyDescent="0.2">
      <c r="B137" s="99" t="s">
        <v>36</v>
      </c>
      <c r="C137" s="100">
        <v>0.47569444444444442</v>
      </c>
      <c r="D137" s="155">
        <f>11+14/60+12+D134</f>
        <v>336.56666666666666</v>
      </c>
      <c r="E137" s="80" t="s">
        <v>107</v>
      </c>
      <c r="F137" s="104">
        <f>(0.0459+0.0491)/2</f>
        <v>4.7500000000000001E-2</v>
      </c>
      <c r="G137" s="139">
        <f>(0.0437+0.047)/2</f>
        <v>4.5350000000000001E-2</v>
      </c>
      <c r="H137" s="104">
        <f>0.2623-F137</f>
        <v>0.21479999999999999</v>
      </c>
      <c r="I137" s="105">
        <f>0.27-F137</f>
        <v>0.22250000000000003</v>
      </c>
      <c r="J137" s="105">
        <f>0.1608-G137</f>
        <v>0.11545</v>
      </c>
      <c r="K137" s="105">
        <f>0.1671-G137</f>
        <v>0.12175</v>
      </c>
      <c r="L137" s="82">
        <f t="shared" si="30"/>
        <v>2.3493152350081037E-2</v>
      </c>
      <c r="M137" s="82">
        <f t="shared" si="44"/>
        <v>2.4123379254457056E-2</v>
      </c>
      <c r="N137" s="82">
        <f t="shared" si="32"/>
        <v>2.3808265802269045E-2</v>
      </c>
      <c r="O137" s="82">
        <f>'Growth curves CeBER'!F71</f>
        <v>2.996</v>
      </c>
      <c r="P137" s="82">
        <f t="shared" si="33"/>
        <v>3.6952664</v>
      </c>
      <c r="Q137" s="83">
        <f>P137*0.075/1000</f>
        <v>2.7714497999999999E-4</v>
      </c>
      <c r="R137" s="84">
        <f t="shared" si="34"/>
        <v>42.952727850724635</v>
      </c>
      <c r="S137" s="85"/>
      <c r="V137" s="86">
        <f t="shared" si="35"/>
        <v>158.72177201512696</v>
      </c>
      <c r="W137" s="102"/>
      <c r="X137" s="86"/>
      <c r="Y137" s="86"/>
      <c r="Z137" s="86">
        <f t="shared" si="40"/>
        <v>0.45023655469016988</v>
      </c>
      <c r="AA137" s="102"/>
      <c r="AB137" s="110"/>
    </row>
    <row r="138" spans="2:28" x14ac:dyDescent="0.2">
      <c r="B138" s="58"/>
      <c r="D138" s="87"/>
      <c r="E138" s="80" t="s">
        <v>108</v>
      </c>
      <c r="F138" s="81"/>
      <c r="G138" s="137"/>
      <c r="H138" s="81">
        <f>0.2564-F137</f>
        <v>0.20890000000000003</v>
      </c>
      <c r="I138" s="82">
        <f>0.2621-F137</f>
        <v>0.21460000000000001</v>
      </c>
      <c r="J138" s="82">
        <f>0.1611-G137</f>
        <v>0.11574999999999999</v>
      </c>
      <c r="K138" s="82">
        <f>0.1654-G137</f>
        <v>0.12004999999999999</v>
      </c>
      <c r="L138" s="82">
        <f t="shared" si="30"/>
        <v>2.2507495948136152E-2</v>
      </c>
      <c r="M138" s="82">
        <f t="shared" si="44"/>
        <v>2.3009683954619126E-2</v>
      </c>
      <c r="N138" s="82">
        <f t="shared" si="32"/>
        <v>2.2758589951377639E-2</v>
      </c>
      <c r="O138" s="82">
        <f>'Growth curves CeBER'!G71</f>
        <v>2.9319999999999999</v>
      </c>
      <c r="P138" s="82">
        <f t="shared" si="33"/>
        <v>3.6163288000000002</v>
      </c>
      <c r="Q138" s="83">
        <f>P138*0.075/1000</f>
        <v>2.7122466E-4</v>
      </c>
      <c r="R138" s="84">
        <f t="shared" si="34"/>
        <v>41.955237313925728</v>
      </c>
      <c r="S138" s="85"/>
      <c r="V138" s="86">
        <f t="shared" si="35"/>
        <v>151.72393300918426</v>
      </c>
      <c r="W138" s="102"/>
      <c r="X138" s="86"/>
      <c r="Y138" s="86"/>
      <c r="Z138" s="86">
        <f>(V138-$V$105)/(D137-$D$104)</f>
        <v>0.4378451628602878</v>
      </c>
      <c r="AA138" s="102"/>
      <c r="AB138" s="110"/>
    </row>
    <row r="139" spans="2:28" x14ac:dyDescent="0.2">
      <c r="B139" s="58"/>
      <c r="D139" s="87"/>
      <c r="E139" s="90" t="s">
        <v>109</v>
      </c>
      <c r="F139" s="81"/>
      <c r="G139" s="137"/>
      <c r="H139" s="81">
        <f>0.233-F137</f>
        <v>0.1855</v>
      </c>
      <c r="I139" s="82">
        <f>0.2387-F137</f>
        <v>0.19119999999999998</v>
      </c>
      <c r="J139" s="82">
        <f>0.144-G137</f>
        <v>9.8649999999999988E-2</v>
      </c>
      <c r="K139" s="82">
        <f>0.1479-G137</f>
        <v>0.10255</v>
      </c>
      <c r="L139" s="82">
        <f t="shared" si="30"/>
        <v>2.0391693679092382E-2</v>
      </c>
      <c r="M139" s="82">
        <f t="shared" si="44"/>
        <v>2.0933103727714744E-2</v>
      </c>
      <c r="N139" s="92">
        <f t="shared" si="32"/>
        <v>2.0662398703403563E-2</v>
      </c>
      <c r="O139" s="92">
        <f>'Growth curves CeBER'!H71</f>
        <v>2.8159999999999998</v>
      </c>
      <c r="P139" s="92">
        <f t="shared" si="33"/>
        <v>3.4732544000000001</v>
      </c>
      <c r="Q139" s="93">
        <f>P139*0.075/1000</f>
        <v>2.6049408000000001E-4</v>
      </c>
      <c r="R139" s="94">
        <f t="shared" si="34"/>
        <v>39.660015888659665</v>
      </c>
      <c r="S139" s="95">
        <f>AVERAGE(R137:R139)</f>
        <v>41.522660351103347</v>
      </c>
      <c r="T139" s="96">
        <f>STDEV(R137:R139)</f>
        <v>1.6884401493256778</v>
      </c>
      <c r="U139" s="96">
        <f>T139/SQRT(3)</f>
        <v>0.97482137472375208</v>
      </c>
      <c r="V139" s="96">
        <f t="shared" si="35"/>
        <v>137.74932468935708</v>
      </c>
      <c r="W139" s="95">
        <f t="shared" si="37"/>
        <v>149.39834323788943</v>
      </c>
      <c r="X139" s="96">
        <f t="shared" si="38"/>
        <v>10.677881931652522</v>
      </c>
      <c r="Y139" s="96">
        <f t="shared" si="39"/>
        <v>6.1648780076146252</v>
      </c>
      <c r="Z139" s="96">
        <f>(V139-$V$106)/(D137-$D$104)</f>
        <v>0.39458514564317682</v>
      </c>
      <c r="AA139" s="95">
        <f t="shared" si="41"/>
        <v>0.42755562106454481</v>
      </c>
      <c r="AB139" s="103">
        <f t="shared" si="42"/>
        <v>1.6868865156491622E-2</v>
      </c>
    </row>
    <row r="140" spans="2:28" x14ac:dyDescent="0.2">
      <c r="B140" s="99" t="s">
        <v>37</v>
      </c>
      <c r="C140" s="100">
        <v>0.4291666666666667</v>
      </c>
      <c r="D140" s="155">
        <f>10+53/60+12+D137</f>
        <v>359.45</v>
      </c>
      <c r="E140" s="80" t="s">
        <v>107</v>
      </c>
      <c r="F140" s="104">
        <f>(0.0422+0.0455)/2</f>
        <v>4.385E-2</v>
      </c>
      <c r="G140" s="139">
        <f>(0.0423+0.0455)/2</f>
        <v>4.3899999999999995E-2</v>
      </c>
      <c r="H140" s="104">
        <f>0.2062-F140</f>
        <v>0.16234999999999999</v>
      </c>
      <c r="I140" s="105">
        <f>0.2126-F140</f>
        <v>0.16875000000000001</v>
      </c>
      <c r="J140" s="105">
        <f>0.1448-G140</f>
        <v>0.10090000000000002</v>
      </c>
      <c r="K140" s="105">
        <f>0.1501-G140</f>
        <v>0.10620000000000002</v>
      </c>
      <c r="L140" s="82">
        <f t="shared" si="30"/>
        <v>1.6419043760129658E-2</v>
      </c>
      <c r="M140" s="82">
        <f t="shared" si="44"/>
        <v>1.6936628849270666E-2</v>
      </c>
      <c r="N140" s="82">
        <f t="shared" si="32"/>
        <v>1.6677836304700162E-2</v>
      </c>
      <c r="O140" s="82">
        <f>'Growth curves CeBER'!F72</f>
        <v>3</v>
      </c>
      <c r="P140" s="82">
        <f t="shared" si="33"/>
        <v>3.7002000000000002</v>
      </c>
      <c r="Q140" s="83">
        <f t="shared" ref="Q140:Q148" si="47">P140*0.05/1000</f>
        <v>1.8501000000000002E-4</v>
      </c>
      <c r="R140" s="84">
        <f t="shared" si="34"/>
        <v>45.072796888546996</v>
      </c>
      <c r="S140" s="85"/>
      <c r="V140" s="86">
        <f t="shared" si="35"/>
        <v>166.77836304700159</v>
      </c>
      <c r="W140" s="102"/>
      <c r="X140" s="86"/>
      <c r="Y140" s="86"/>
      <c r="Z140" s="86">
        <f t="shared" si="40"/>
        <v>0.44398722341196128</v>
      </c>
      <c r="AA140" s="102"/>
      <c r="AB140" s="110"/>
    </row>
    <row r="141" spans="2:28" x14ac:dyDescent="0.2">
      <c r="B141" s="58"/>
      <c r="D141" s="87"/>
      <c r="E141" s="80" t="s">
        <v>108</v>
      </c>
      <c r="F141" s="81"/>
      <c r="G141" s="137"/>
      <c r="H141" s="81"/>
      <c r="I141" s="82"/>
      <c r="J141" s="82"/>
      <c r="K141" s="82"/>
      <c r="L141" s="82">
        <f t="shared" si="30"/>
        <v>0</v>
      </c>
      <c r="M141" s="82">
        <f t="shared" si="44"/>
        <v>0</v>
      </c>
      <c r="N141" s="82">
        <f t="shared" si="32"/>
        <v>0</v>
      </c>
      <c r="O141" s="82">
        <f>'Growth curves CeBER'!G72</f>
        <v>2.956</v>
      </c>
      <c r="P141" s="82">
        <f t="shared" si="33"/>
        <v>3.6459304000000001</v>
      </c>
      <c r="Q141" s="83">
        <f t="shared" si="47"/>
        <v>1.8229652000000001E-4</v>
      </c>
      <c r="R141" s="84"/>
      <c r="S141" s="85"/>
      <c r="V141" s="86"/>
      <c r="W141" s="102"/>
      <c r="X141" s="86"/>
      <c r="Y141" s="86"/>
      <c r="Z141" s="86">
        <f>(V141-$V$105)/(D140-$D$104)</f>
        <v>-1.2129214158223451E-2</v>
      </c>
      <c r="AA141" s="102"/>
      <c r="AB141" s="110"/>
    </row>
    <row r="142" spans="2:28" x14ac:dyDescent="0.2">
      <c r="B142" s="58"/>
      <c r="D142" s="87"/>
      <c r="E142" s="90" t="s">
        <v>109</v>
      </c>
      <c r="F142" s="81"/>
      <c r="G142" s="137"/>
      <c r="H142" s="81"/>
      <c r="I142" s="82"/>
      <c r="J142" s="82"/>
      <c r="K142" s="82"/>
      <c r="L142" s="82">
        <f t="shared" si="30"/>
        <v>0</v>
      </c>
      <c r="M142" s="82">
        <f t="shared" si="44"/>
        <v>0</v>
      </c>
      <c r="N142" s="92">
        <f t="shared" si="32"/>
        <v>0</v>
      </c>
      <c r="O142" s="92">
        <f>'Growth curves CeBER'!H72</f>
        <v>2.7240000000000002</v>
      </c>
      <c r="P142" s="92">
        <f t="shared" si="33"/>
        <v>3.3597816000000003</v>
      </c>
      <c r="Q142" s="93">
        <f t="shared" si="47"/>
        <v>1.6798908000000001E-4</v>
      </c>
      <c r="R142" s="94"/>
      <c r="S142" s="95">
        <f>AVERAGE(R140:R142)</f>
        <v>45.072796888546996</v>
      </c>
      <c r="T142" s="96"/>
      <c r="U142" s="96"/>
      <c r="V142" s="96"/>
      <c r="W142" s="95">
        <f t="shared" si="37"/>
        <v>166.77836304700159</v>
      </c>
      <c r="X142" s="96"/>
      <c r="Y142" s="96"/>
      <c r="Z142" s="96">
        <f>(V142-$V$106)/(D140-$D$104)</f>
        <v>-1.3757455846576339E-2</v>
      </c>
      <c r="AA142" s="95">
        <f t="shared" si="41"/>
        <v>0.1393668511357205</v>
      </c>
      <c r="AB142" s="103">
        <f t="shared" si="42"/>
        <v>0.152310911402779</v>
      </c>
    </row>
    <row r="143" spans="2:28" x14ac:dyDescent="0.2">
      <c r="B143" s="99" t="s">
        <v>38</v>
      </c>
      <c r="C143" s="100">
        <v>0.48958333333333331</v>
      </c>
      <c r="D143" s="155">
        <f>1+27/60+24+D140</f>
        <v>384.9</v>
      </c>
      <c r="E143" s="80" t="s">
        <v>107</v>
      </c>
      <c r="F143" s="104">
        <f>(0.0451+0.0398+0.0434)/3</f>
        <v>4.2766666666666668E-2</v>
      </c>
      <c r="G143" s="139">
        <f>(0.0445+0.0392+0.0428)/3</f>
        <v>4.2166666666666665E-2</v>
      </c>
      <c r="H143" s="104">
        <f>0.2067-F143</f>
        <v>0.16393333333333332</v>
      </c>
      <c r="I143" s="105">
        <f>0.2011-F143</f>
        <v>0.15833333333333333</v>
      </c>
      <c r="J143" s="105">
        <f>0.1369-G143</f>
        <v>9.4733333333333336E-2</v>
      </c>
      <c r="K143" s="105">
        <f>0.1345-G143</f>
        <v>9.2333333333333351E-2</v>
      </c>
      <c r="L143" s="82">
        <f t="shared" si="30"/>
        <v>1.7280334954078873E-2</v>
      </c>
      <c r="M143" s="82">
        <f t="shared" si="44"/>
        <v>1.6608049702863316E-2</v>
      </c>
      <c r="N143" s="82">
        <f t="shared" si="32"/>
        <v>1.6944192328471094E-2</v>
      </c>
      <c r="O143" s="82">
        <f>'Growth curves CeBER'!F73</f>
        <v>3</v>
      </c>
      <c r="P143" s="82">
        <f t="shared" si="33"/>
        <v>3.7002000000000002</v>
      </c>
      <c r="Q143" s="83">
        <f t="shared" si="47"/>
        <v>1.8501000000000002E-4</v>
      </c>
      <c r="R143" s="84">
        <f t="shared" si="34"/>
        <v>45.792639123482765</v>
      </c>
      <c r="S143" s="85"/>
      <c r="V143" s="86">
        <f t="shared" si="35"/>
        <v>169.44192328471092</v>
      </c>
      <c r="W143" s="102"/>
      <c r="X143" s="86"/>
      <c r="Y143" s="86"/>
      <c r="Z143" s="86">
        <f t="shared" si="40"/>
        <v>0.42155044867014502</v>
      </c>
      <c r="AA143" s="102"/>
      <c r="AB143" s="110"/>
    </row>
    <row r="144" spans="2:28" x14ac:dyDescent="0.2">
      <c r="B144" s="58"/>
      <c r="D144" s="87"/>
      <c r="E144" s="80" t="s">
        <v>108</v>
      </c>
      <c r="F144" s="81"/>
      <c r="G144" s="137"/>
      <c r="H144" s="81">
        <f>0.159-F143</f>
        <v>0.11623333333333333</v>
      </c>
      <c r="I144" s="82">
        <f>0.1577-F143</f>
        <v>0.11493333333333333</v>
      </c>
      <c r="J144" s="82">
        <f>0.1072-G143</f>
        <v>6.5033333333333332E-2</v>
      </c>
      <c r="K144" s="82">
        <f>0.1048-G143</f>
        <v>6.2633333333333346E-2</v>
      </c>
      <c r="L144" s="82">
        <f t="shared" si="30"/>
        <v>1.2461615343057805E-2</v>
      </c>
      <c r="M144" s="82">
        <f t="shared" si="44"/>
        <v>1.2486250675310642E-2</v>
      </c>
      <c r="N144" s="82">
        <f t="shared" si="32"/>
        <v>1.2473933009184222E-2</v>
      </c>
      <c r="O144" s="82">
        <f>'Growth curves CeBER'!G73</f>
        <v>2.964</v>
      </c>
      <c r="P144" s="82">
        <f t="shared" si="33"/>
        <v>3.6557976000000001</v>
      </c>
      <c r="Q144" s="83">
        <f t="shared" si="47"/>
        <v>1.8278988000000002E-4</v>
      </c>
      <c r="R144" s="84">
        <f t="shared" si="34"/>
        <v>34.120961754513488</v>
      </c>
      <c r="S144" s="85"/>
      <c r="V144" s="86">
        <f t="shared" si="35"/>
        <v>124.73933009184221</v>
      </c>
      <c r="W144" s="102"/>
      <c r="X144" s="86"/>
      <c r="Y144" s="86"/>
      <c r="Z144" s="86">
        <f>(V144-$V$105)/(D143-$D$104)</f>
        <v>0.31275521970036058</v>
      </c>
      <c r="AA144" s="102"/>
      <c r="AB144" s="110"/>
    </row>
    <row r="145" spans="2:34" x14ac:dyDescent="0.2">
      <c r="B145" s="58"/>
      <c r="D145" s="87"/>
      <c r="E145" s="90" t="s">
        <v>109</v>
      </c>
      <c r="F145" s="81"/>
      <c r="G145" s="137"/>
      <c r="H145" s="81">
        <f>0.1777-F143</f>
        <v>0.13493333333333332</v>
      </c>
      <c r="I145" s="82">
        <f>0.1838-F143</f>
        <v>0.14103333333333332</v>
      </c>
      <c r="J145" s="82">
        <f>0.1153-G143</f>
        <v>7.3133333333333328E-2</v>
      </c>
      <c r="K145" s="82">
        <f>0.1204-G143</f>
        <v>7.8233333333333321E-2</v>
      </c>
      <c r="L145" s="82">
        <f t="shared" si="30"/>
        <v>1.4698163155051324E-2</v>
      </c>
      <c r="M145" s="82">
        <f t="shared" si="44"/>
        <v>1.5186736898973527E-2</v>
      </c>
      <c r="N145" s="92">
        <f t="shared" si="32"/>
        <v>1.4942450027012427E-2</v>
      </c>
      <c r="O145" s="92">
        <f>'Growth curves CeBER'!H73</f>
        <v>2.794</v>
      </c>
      <c r="P145" s="92">
        <f t="shared" si="33"/>
        <v>3.4461196000000003</v>
      </c>
      <c r="Q145" s="93">
        <f t="shared" si="47"/>
        <v>1.7230598000000003E-4</v>
      </c>
      <c r="R145" s="94">
        <f t="shared" si="34"/>
        <v>43.360218916988323</v>
      </c>
      <c r="S145" s="95">
        <f>AVERAGE(R143:R145)</f>
        <v>41.091273264994861</v>
      </c>
      <c r="T145" s="96">
        <f>STDEV(R143:R145)</f>
        <v>6.1577673657018037</v>
      </c>
      <c r="U145" s="96">
        <f>T145/SQRT(3)</f>
        <v>3.5551886461950293</v>
      </c>
      <c r="V145" s="96">
        <f t="shared" si="35"/>
        <v>149.42450027012424</v>
      </c>
      <c r="W145" s="95">
        <f t="shared" si="37"/>
        <v>147.86858454889247</v>
      </c>
      <c r="X145" s="96">
        <f t="shared" si="38"/>
        <v>22.391876090235403</v>
      </c>
      <c r="Y145" s="96">
        <f t="shared" si="39"/>
        <v>12.927955688358155</v>
      </c>
      <c r="Z145" s="96">
        <f>(V145-$V$106)/(D143-$D$104)</f>
        <v>0.37536862241120389</v>
      </c>
      <c r="AA145" s="95">
        <f t="shared" si="41"/>
        <v>0.36989143026056981</v>
      </c>
      <c r="AB145" s="103">
        <f t="shared" si="42"/>
        <v>3.1525651920503397E-2</v>
      </c>
    </row>
    <row r="146" spans="2:34" x14ac:dyDescent="0.2">
      <c r="B146" s="99" t="s">
        <v>39</v>
      </c>
      <c r="C146" s="100">
        <v>0.47013888888888888</v>
      </c>
      <c r="D146" s="155">
        <f>11+32/60+12+D143</f>
        <v>408.43333333333328</v>
      </c>
      <c r="E146" s="80" t="s">
        <v>107</v>
      </c>
      <c r="F146" s="104">
        <v>4.4200000000000003E-2</v>
      </c>
      <c r="G146" s="139">
        <v>4.2500000000000003E-2</v>
      </c>
      <c r="H146" s="105">
        <f>0.1985-F146</f>
        <v>0.15429999999999999</v>
      </c>
      <c r="I146" s="105">
        <f>0.1973-F146</f>
        <v>0.15310000000000001</v>
      </c>
      <c r="J146" s="105">
        <f>0.1351-G146</f>
        <v>9.2599999999999988E-2</v>
      </c>
      <c r="K146" s="105">
        <f>0.1336-G146</f>
        <v>9.1099999999999987E-2</v>
      </c>
      <c r="L146" s="82">
        <f t="shared" si="30"/>
        <v>1.5928200972447328E-2</v>
      </c>
      <c r="M146" s="82">
        <f t="shared" si="44"/>
        <v>1.5880794165316049E-2</v>
      </c>
      <c r="N146" s="82">
        <f t="shared" si="32"/>
        <v>1.5904497568881688E-2</v>
      </c>
      <c r="O146" s="82">
        <f>'Growth curves CeBER'!F74</f>
        <v>3.0840000000000001</v>
      </c>
      <c r="P146" s="82">
        <f t="shared" si="33"/>
        <v>3.8038056000000005</v>
      </c>
      <c r="Q146" s="83">
        <f t="shared" si="47"/>
        <v>1.9019028000000004E-4</v>
      </c>
      <c r="R146" s="84">
        <f t="shared" si="34"/>
        <v>41.812067285672235</v>
      </c>
      <c r="S146" s="85"/>
      <c r="V146" s="86">
        <f t="shared" si="35"/>
        <v>159.04497568881686</v>
      </c>
      <c r="W146" s="102"/>
      <c r="X146" s="86"/>
      <c r="Y146" s="86"/>
      <c r="Z146" s="86">
        <f t="shared" si="40"/>
        <v>0.37180564783459913</v>
      </c>
      <c r="AA146" s="102"/>
      <c r="AB146" s="110"/>
    </row>
    <row r="147" spans="2:34" x14ac:dyDescent="0.2">
      <c r="B147" s="58"/>
      <c r="D147" s="87"/>
      <c r="E147" s="80" t="s">
        <v>108</v>
      </c>
      <c r="F147" s="81"/>
      <c r="G147" s="137"/>
      <c r="H147" s="82">
        <f>0.2024-F146</f>
        <v>0.15820000000000001</v>
      </c>
      <c r="I147" s="82">
        <f>0.1779-F146</f>
        <v>0.13369999999999999</v>
      </c>
      <c r="J147" s="82">
        <f>0.1396-G146</f>
        <v>9.7099999999999992E-2</v>
      </c>
      <c r="K147" s="82">
        <f>0.1143-G146</f>
        <v>7.1800000000000003E-2</v>
      </c>
      <c r="L147" s="82">
        <f t="shared" si="30"/>
        <v>1.6119043760129664E-2</v>
      </c>
      <c r="M147" s="82">
        <f t="shared" si="44"/>
        <v>1.4629011345218797E-2</v>
      </c>
      <c r="N147" s="82">
        <f t="shared" si="32"/>
        <v>1.5374027552674231E-2</v>
      </c>
      <c r="O147" s="82">
        <f>'Growth curves CeBER'!G74</f>
        <v>2.8879999999999999</v>
      </c>
      <c r="P147" s="82">
        <f t="shared" si="33"/>
        <v>3.5620592000000002</v>
      </c>
      <c r="Q147" s="83">
        <f t="shared" si="47"/>
        <v>1.7810296000000004E-4</v>
      </c>
      <c r="R147" s="84">
        <f t="shared" si="34"/>
        <v>43.160505453346275</v>
      </c>
      <c r="S147" s="85"/>
      <c r="V147" s="86">
        <f t="shared" si="35"/>
        <v>153.74027552674227</v>
      </c>
      <c r="W147" s="102"/>
      <c r="X147" s="86"/>
      <c r="Y147" s="86"/>
      <c r="Z147" s="86">
        <f>(V147-$V$105)/(D146-$D$104)</f>
        <v>0.36574005426647077</v>
      </c>
      <c r="AA147" s="102"/>
      <c r="AB147" s="110"/>
    </row>
    <row r="148" spans="2:34" ht="14" thickBot="1" x14ac:dyDescent="0.25">
      <c r="B148" s="58"/>
      <c r="D148" s="87"/>
      <c r="E148" s="90" t="s">
        <v>109</v>
      </c>
      <c r="F148" s="81"/>
      <c r="G148" s="137"/>
      <c r="H148" s="82">
        <f>0.1903-F146</f>
        <v>0.14610000000000001</v>
      </c>
      <c r="I148" s="82">
        <f>0.0895-F146</f>
        <v>4.5299999999999993E-2</v>
      </c>
      <c r="J148" s="82">
        <f>0.1307-G146</f>
        <v>8.8200000000000001E-2</v>
      </c>
      <c r="K148" s="82">
        <f>0.1308-G146</f>
        <v>8.829999999999999E-2</v>
      </c>
      <c r="L148" s="82">
        <f t="shared" si="30"/>
        <v>1.5030632090761753E-2</v>
      </c>
      <c r="M148" s="82">
        <f>(I148-(0.605*K148))/6.17</f>
        <v>-1.3162884927066445E-3</v>
      </c>
      <c r="N148" s="92">
        <f t="shared" si="32"/>
        <v>6.8571717990275538E-3</v>
      </c>
      <c r="O148" s="92">
        <f>'Growth curves CeBER'!H74</f>
        <v>2.8919999999999999</v>
      </c>
      <c r="P148" s="92">
        <f t="shared" si="33"/>
        <v>3.5669928</v>
      </c>
      <c r="Q148" s="93">
        <f t="shared" si="47"/>
        <v>1.7834964E-4</v>
      </c>
      <c r="R148" s="94">
        <f t="shared" si="34"/>
        <v>19.223957500075564</v>
      </c>
      <c r="S148" s="95">
        <f>AVERAGE(R146:R148)</f>
        <v>34.732176746364694</v>
      </c>
      <c r="T148" s="96">
        <f>STDEV(R146:R148)</f>
        <v>13.447424270701037</v>
      </c>
      <c r="U148" s="96">
        <f>T148/SQRT(3)</f>
        <v>7.763874022596351</v>
      </c>
      <c r="V148" s="96">
        <f t="shared" si="35"/>
        <v>68.57171799027553</v>
      </c>
      <c r="W148" s="95">
        <f t="shared" si="37"/>
        <v>127.11898973527822</v>
      </c>
      <c r="X148" s="96">
        <f t="shared" si="38"/>
        <v>50.77275088607837</v>
      </c>
      <c r="Y148" s="96">
        <f t="shared" si="39"/>
        <v>29.31366139157516</v>
      </c>
      <c r="Z148" s="96">
        <f>(V148-$V$106)/(D146-$D$104)</f>
        <v>0.15578209537147722</v>
      </c>
      <c r="AA148" s="95">
        <f t="shared" si="41"/>
        <v>0.29777593249084905</v>
      </c>
      <c r="AB148" s="103">
        <f t="shared" si="42"/>
        <v>7.1018507426457683E-2</v>
      </c>
    </row>
    <row r="149" spans="2:34" ht="15" thickBot="1" x14ac:dyDescent="0.25">
      <c r="B149" s="239" t="s">
        <v>73</v>
      </c>
      <c r="C149" s="240"/>
      <c r="D149" s="240"/>
      <c r="E149" s="240"/>
      <c r="F149" s="240"/>
      <c r="G149" s="240"/>
      <c r="H149" s="240"/>
      <c r="I149" s="240"/>
      <c r="J149" s="240"/>
      <c r="K149" s="240"/>
      <c r="L149" s="240"/>
      <c r="M149" s="240"/>
      <c r="N149" s="240"/>
      <c r="O149" s="240"/>
      <c r="P149" s="240"/>
      <c r="Q149" s="240"/>
      <c r="R149" s="240"/>
      <c r="S149" s="240"/>
      <c r="T149" s="240"/>
      <c r="U149" s="240"/>
      <c r="V149" s="240"/>
      <c r="W149" s="240"/>
      <c r="X149" s="240"/>
      <c r="Y149" s="240"/>
      <c r="Z149" s="240"/>
      <c r="AA149" s="240"/>
      <c r="AB149" s="241"/>
    </row>
    <row r="150" spans="2:34" ht="56" x14ac:dyDescent="0.2">
      <c r="B150" s="59" t="s">
        <v>0</v>
      </c>
      <c r="C150" s="60" t="s">
        <v>1</v>
      </c>
      <c r="D150" s="61" t="s">
        <v>2</v>
      </c>
      <c r="E150" s="62"/>
      <c r="F150" s="60" t="s">
        <v>8</v>
      </c>
      <c r="G150" s="60" t="s">
        <v>9</v>
      </c>
      <c r="H150" s="233" t="s">
        <v>90</v>
      </c>
      <c r="I150" s="234"/>
      <c r="J150" s="235" t="s">
        <v>110</v>
      </c>
      <c r="K150" s="236"/>
      <c r="L150" s="237" t="s">
        <v>92</v>
      </c>
      <c r="M150" s="238"/>
      <c r="N150" s="63" t="s">
        <v>93</v>
      </c>
      <c r="O150" s="64" t="s">
        <v>94</v>
      </c>
      <c r="P150" s="63" t="s">
        <v>10</v>
      </c>
      <c r="Q150" s="63" t="s">
        <v>11</v>
      </c>
      <c r="R150" s="63" t="s">
        <v>95</v>
      </c>
      <c r="S150" s="63" t="s">
        <v>96</v>
      </c>
      <c r="T150" s="63" t="s">
        <v>97</v>
      </c>
      <c r="U150" s="65" t="s">
        <v>62</v>
      </c>
      <c r="V150" s="64" t="s">
        <v>98</v>
      </c>
      <c r="W150" s="63" t="s">
        <v>99</v>
      </c>
      <c r="X150" s="63" t="s">
        <v>97</v>
      </c>
      <c r="Y150" s="66" t="s">
        <v>62</v>
      </c>
      <c r="Z150" s="66" t="s">
        <v>100</v>
      </c>
      <c r="AA150" s="63" t="s">
        <v>101</v>
      </c>
      <c r="AB150" s="67" t="s">
        <v>62</v>
      </c>
      <c r="AD150" s="56" t="s">
        <v>2</v>
      </c>
      <c r="AE150" s="77" t="str">
        <f>S150</f>
        <v>Average specific CPC conc.</v>
      </c>
      <c r="AF150" s="56" t="s">
        <v>12</v>
      </c>
      <c r="AG150" s="77" t="str">
        <f>W150</f>
        <v>Average total CPC</v>
      </c>
      <c r="AH150" s="56" t="s">
        <v>12</v>
      </c>
    </row>
    <row r="151" spans="2:34" ht="28" x14ac:dyDescent="0.2">
      <c r="B151" s="68"/>
      <c r="C151" s="69"/>
      <c r="D151" s="70"/>
      <c r="E151" s="71"/>
      <c r="F151" s="69" t="s">
        <v>13</v>
      </c>
      <c r="G151" s="69" t="s">
        <v>13</v>
      </c>
      <c r="H151" s="72" t="s">
        <v>102</v>
      </c>
      <c r="I151" s="69" t="s">
        <v>103</v>
      </c>
      <c r="J151" s="242" t="s">
        <v>13</v>
      </c>
      <c r="K151" s="226"/>
      <c r="L151" s="225" t="s">
        <v>14</v>
      </c>
      <c r="M151" s="226"/>
      <c r="N151" s="74" t="s">
        <v>14</v>
      </c>
      <c r="O151" s="74" t="s">
        <v>13</v>
      </c>
      <c r="P151" s="74" t="s">
        <v>15</v>
      </c>
      <c r="Q151" s="74" t="s">
        <v>16</v>
      </c>
      <c r="R151" s="75" t="s">
        <v>104</v>
      </c>
      <c r="S151" s="75" t="s">
        <v>104</v>
      </c>
      <c r="T151" s="74"/>
      <c r="U151" s="70"/>
      <c r="V151" s="75" t="s">
        <v>105</v>
      </c>
      <c r="W151" s="75" t="s">
        <v>105</v>
      </c>
      <c r="X151" s="74"/>
      <c r="Y151" s="74"/>
      <c r="Z151" s="75" t="s">
        <v>106</v>
      </c>
      <c r="AA151" s="75" t="s">
        <v>106</v>
      </c>
      <c r="AB151" s="76"/>
      <c r="AD151" s="87">
        <f>D152</f>
        <v>0</v>
      </c>
      <c r="AE151" s="86">
        <f>S154</f>
        <v>43.929191353351428</v>
      </c>
      <c r="AF151" s="86">
        <f>U154</f>
        <v>4.0187562861922039</v>
      </c>
      <c r="AG151" s="86">
        <f>W154</f>
        <v>5.4057806591031872</v>
      </c>
      <c r="AH151" s="86">
        <f>Y154</f>
        <v>0.22833441050515446</v>
      </c>
    </row>
    <row r="152" spans="2:34" x14ac:dyDescent="0.2">
      <c r="B152" s="58" t="s">
        <v>88</v>
      </c>
      <c r="C152" s="291">
        <v>0.49652777777777773</v>
      </c>
      <c r="D152" s="148">
        <v>0</v>
      </c>
      <c r="E152" s="80" t="s">
        <v>107</v>
      </c>
      <c r="F152" s="292">
        <f>(0.0345+0.0356)/2</f>
        <v>3.5049999999999998E-2</v>
      </c>
      <c r="G152" s="292">
        <f>(0.0344+0.0347)/2</f>
        <v>3.4549999999999997E-2</v>
      </c>
      <c r="H152" s="81">
        <f>0.149-F152</f>
        <v>0.11395</v>
      </c>
      <c r="I152" s="292">
        <f>0.1475-F152</f>
        <v>0.11244999999999999</v>
      </c>
      <c r="J152" s="292">
        <f>0.1042-G152</f>
        <v>6.9650000000000004E-2</v>
      </c>
      <c r="K152" s="292">
        <f>0.1012-G152</f>
        <v>6.6650000000000001E-2</v>
      </c>
      <c r="L152" s="292">
        <f>(H152-(0.605*J152))/6.17</f>
        <v>1.1638857374392219E-2</v>
      </c>
      <c r="M152" s="292">
        <f>(I152-(0.605*K152))/6.17</f>
        <v>1.1689910858995137E-2</v>
      </c>
      <c r="N152" s="292">
        <f>AVERAGE(L152:M152)</f>
        <v>1.1664384116693679E-2</v>
      </c>
      <c r="O152" s="293">
        <v>9.0999999999999998E-2</v>
      </c>
      <c r="P152" s="292">
        <f>1.2334*O152</f>
        <v>0.1122394</v>
      </c>
      <c r="Q152" s="294">
        <f>P152*1/1000</f>
        <v>1.1223940000000001E-4</v>
      </c>
      <c r="R152" s="295">
        <f>(N152*0.5)/Q152</f>
        <v>51.962074443972789</v>
      </c>
      <c r="S152" s="296"/>
      <c r="T152" s="293"/>
      <c r="U152" s="293"/>
      <c r="V152" s="297">
        <f>R152*P152</f>
        <v>5.8321920583468394</v>
      </c>
      <c r="W152" s="296"/>
      <c r="X152" s="293"/>
      <c r="Y152" s="293"/>
      <c r="Z152" s="293"/>
      <c r="AA152" s="296"/>
      <c r="AB152" s="79"/>
      <c r="AD152" s="87">
        <f>D155</f>
        <v>23.633333333333333</v>
      </c>
      <c r="AE152" s="86">
        <f>S157</f>
        <v>21.127417534252931</v>
      </c>
      <c r="AF152" s="86">
        <f>U157</f>
        <v>1.6385646893875758</v>
      </c>
      <c r="AG152" s="86">
        <f>W157</f>
        <v>5.301411399243654</v>
      </c>
      <c r="AH152" s="86">
        <f>Y157</f>
        <v>0.32486100181101907</v>
      </c>
    </row>
    <row r="153" spans="2:34" x14ac:dyDescent="0.2">
      <c r="B153" s="58"/>
      <c r="C153" s="293"/>
      <c r="D153" s="148"/>
      <c r="E153" s="80" t="s">
        <v>108</v>
      </c>
      <c r="F153" s="293"/>
      <c r="G153" s="293"/>
      <c r="H153" s="81">
        <f>0.1355-F152</f>
        <v>0.10045000000000001</v>
      </c>
      <c r="I153" s="292">
        <f>0.1429-F152</f>
        <v>0.10785</v>
      </c>
      <c r="J153" s="292">
        <f>0.0955-G152</f>
        <v>6.0950000000000004E-2</v>
      </c>
      <c r="K153" s="292">
        <f>0.1003-G152</f>
        <v>6.5750000000000003E-2</v>
      </c>
      <c r="L153" s="292">
        <f t="shared" ref="L153:L196" si="48">(H153-(0.605*J153))/6.17</f>
        <v>1.0303930307941652E-2</v>
      </c>
      <c r="M153" s="292">
        <f t="shared" ref="M153:M196" si="49">(I153-(0.605*K153))/6.17</f>
        <v>1.1032617504051864E-2</v>
      </c>
      <c r="N153" s="292">
        <f t="shared" ref="N153" si="50">AVERAGE(L153:M153)</f>
        <v>1.0668273905996759E-2</v>
      </c>
      <c r="O153" s="293">
        <v>0.109</v>
      </c>
      <c r="P153" s="292">
        <f t="shared" ref="P153:P196" si="51">1.2334*O153</f>
        <v>0.13444059999999999</v>
      </c>
      <c r="Q153" s="294">
        <f>P153*1/1000</f>
        <v>1.3444059999999998E-4</v>
      </c>
      <c r="R153" s="295">
        <f t="shared" ref="R153:R196" si="52">(N153*0.5)/Q153</f>
        <v>39.67653337606631</v>
      </c>
      <c r="S153" s="296"/>
      <c r="T153" s="293"/>
      <c r="U153" s="293"/>
      <c r="V153" s="297">
        <f t="shared" ref="V153:V196" si="53">R153*P153</f>
        <v>5.3341369529983798</v>
      </c>
      <c r="W153" s="296"/>
      <c r="X153" s="293"/>
      <c r="Y153" s="293"/>
      <c r="Z153" s="293"/>
      <c r="AA153" s="296"/>
      <c r="AB153" s="79"/>
      <c r="AD153" s="87">
        <f>D158</f>
        <v>119.18333333333334</v>
      </c>
      <c r="AE153" s="86">
        <f>S160</f>
        <v>35.959869932016858</v>
      </c>
      <c r="AF153" s="86">
        <f>U160</f>
        <v>2.4369594155614549</v>
      </c>
      <c r="AG153" s="86">
        <f>W160</f>
        <v>46.012209616423554</v>
      </c>
      <c r="AH153" s="86">
        <f>Y160</f>
        <v>2.6414139052486427</v>
      </c>
    </row>
    <row r="154" spans="2:34" x14ac:dyDescent="0.2">
      <c r="B154" s="88"/>
      <c r="C154" s="97"/>
      <c r="D154" s="149"/>
      <c r="E154" s="90" t="s">
        <v>109</v>
      </c>
      <c r="F154" s="88"/>
      <c r="G154" s="89"/>
      <c r="H154" s="91">
        <f>0.1319-F152</f>
        <v>9.6849999999999992E-2</v>
      </c>
      <c r="I154" s="92">
        <f>0.138-F152</f>
        <v>0.10295000000000001</v>
      </c>
      <c r="J154" s="92">
        <f>0.0937-G152</f>
        <v>5.9150000000000008E-2</v>
      </c>
      <c r="K154" s="92">
        <f>0.0996-G152</f>
        <v>6.5049999999999997E-2</v>
      </c>
      <c r="L154" s="292">
        <f t="shared" si="48"/>
        <v>9.896961102106968E-3</v>
      </c>
      <c r="M154" s="292">
        <f t="shared" si="49"/>
        <v>1.0307090761750409E-2</v>
      </c>
      <c r="N154" s="92">
        <f>AVERAGE(L154:M154)</f>
        <v>1.0102025931928688E-2</v>
      </c>
      <c r="O154" s="97">
        <v>0.10199999999999999</v>
      </c>
      <c r="P154" s="92">
        <f t="shared" si="51"/>
        <v>0.1258068</v>
      </c>
      <c r="Q154" s="93">
        <f>P154*1/1000</f>
        <v>1.2580680000000001E-4</v>
      </c>
      <c r="R154" s="94">
        <f t="shared" si="52"/>
        <v>40.148966240015191</v>
      </c>
      <c r="S154" s="95">
        <f>AVERAGE(R152:R154)</f>
        <v>43.929191353351428</v>
      </c>
      <c r="T154" s="96">
        <f>STDEV(R152:R154)</f>
        <v>6.9606900709217081</v>
      </c>
      <c r="U154" s="96">
        <f>T154/SQRT(3)</f>
        <v>4.0187562861922039</v>
      </c>
      <c r="V154" s="96">
        <f t="shared" si="53"/>
        <v>5.0510129659643432</v>
      </c>
      <c r="W154" s="95">
        <f>AVERAGE(V152:V154)</f>
        <v>5.4057806591031872</v>
      </c>
      <c r="X154" s="96">
        <f>STDEV(V152:V154)</f>
        <v>0.39548680011121629</v>
      </c>
      <c r="Y154" s="96">
        <f>X154/SQRT(3)</f>
        <v>0.22833441050515446</v>
      </c>
      <c r="Z154" s="97"/>
      <c r="AA154" s="98"/>
      <c r="AB154" s="89"/>
      <c r="AD154" s="87">
        <f>D161</f>
        <v>142.46666666666667</v>
      </c>
      <c r="AE154" s="86">
        <f>S163</f>
        <v>46.409173365609298</v>
      </c>
      <c r="AF154" s="86">
        <f>U163</f>
        <v>2.4525615239361556</v>
      </c>
      <c r="AG154" s="86">
        <f>W163</f>
        <v>71.264565958941105</v>
      </c>
      <c r="AH154" s="86">
        <f>Y163</f>
        <v>3.2934647942186044</v>
      </c>
    </row>
    <row r="155" spans="2:34" x14ac:dyDescent="0.2">
      <c r="B155" s="58" t="s">
        <v>74</v>
      </c>
      <c r="C155" s="291">
        <v>0.48125000000000001</v>
      </c>
      <c r="D155" s="148">
        <f>38/60+11+12</f>
        <v>23.633333333333333</v>
      </c>
      <c r="E155" s="80" t="s">
        <v>107</v>
      </c>
      <c r="F155" s="292">
        <f>(0.0454+0.0428+0.0497)/3</f>
        <v>4.5966666666666663E-2</v>
      </c>
      <c r="G155" s="292">
        <f>(0.0439+0.0423+0.0481)/3</f>
        <v>4.476666666666667E-2</v>
      </c>
      <c r="H155" s="81">
        <f>0.1564-F155</f>
        <v>0.11043333333333336</v>
      </c>
      <c r="I155" s="292">
        <f>0.1544-F155</f>
        <v>0.10843333333333335</v>
      </c>
      <c r="J155" s="292">
        <f>0.1145-G155</f>
        <v>6.9733333333333342E-2</v>
      </c>
      <c r="K155" s="292">
        <f>0.1105-G155</f>
        <v>6.5733333333333338E-2</v>
      </c>
      <c r="L155" s="292">
        <f t="shared" si="48"/>
        <v>1.1060723933009185E-2</v>
      </c>
      <c r="M155" s="292">
        <f t="shared" si="49"/>
        <v>1.1128795245813077E-2</v>
      </c>
      <c r="N155" s="292">
        <f t="shared" ref="N155:N196" si="54">AVERAGE(L155:M155)</f>
        <v>1.109475958941113E-2</v>
      </c>
      <c r="O155" s="292">
        <v>0.20200000000000001</v>
      </c>
      <c r="P155" s="292">
        <f t="shared" si="51"/>
        <v>0.24914680000000003</v>
      </c>
      <c r="Q155" s="294">
        <f t="shared" ref="Q155:Q157" si="55">P155*1/1000</f>
        <v>2.491468E-4</v>
      </c>
      <c r="R155" s="295">
        <f t="shared" si="52"/>
        <v>22.265506900773218</v>
      </c>
      <c r="S155" s="298"/>
      <c r="T155" s="297"/>
      <c r="U155" s="297"/>
      <c r="V155" s="297">
        <f t="shared" si="53"/>
        <v>5.5473797947055656</v>
      </c>
      <c r="W155" s="298"/>
      <c r="X155" s="297"/>
      <c r="Y155" s="297"/>
      <c r="Z155" s="297">
        <f>(V155-$V$104)/(D155-$D$104)</f>
        <v>-6.9384025255284532E-2</v>
      </c>
      <c r="AA155" s="298"/>
      <c r="AB155" s="79"/>
      <c r="AD155" s="87">
        <f>D164</f>
        <v>171</v>
      </c>
      <c r="AE155" s="86">
        <f>S166</f>
        <v>53.543066344594543</v>
      </c>
      <c r="AF155" s="86">
        <f>U166</f>
        <v>3.9132724457266628</v>
      </c>
      <c r="AG155" s="86">
        <f>W166</f>
        <v>93.301412576985413</v>
      </c>
      <c r="AH155" s="86">
        <f>Y166</f>
        <v>5.4487296437228414</v>
      </c>
    </row>
    <row r="156" spans="2:34" x14ac:dyDescent="0.2">
      <c r="B156" s="58"/>
      <c r="C156" s="293"/>
      <c r="D156" s="148"/>
      <c r="E156" s="80" t="s">
        <v>108</v>
      </c>
      <c r="F156" s="299"/>
      <c r="G156" s="299"/>
      <c r="H156" s="81">
        <f>0.159-F155</f>
        <v>0.11303333333333335</v>
      </c>
      <c r="I156" s="292">
        <f>0.1861-F155</f>
        <v>0.14013333333333333</v>
      </c>
      <c r="J156" s="292">
        <f>0.1238-G155</f>
        <v>7.9033333333333317E-2</v>
      </c>
      <c r="K156" s="292">
        <f>0.1517-G155</f>
        <v>0.10693333333333332</v>
      </c>
      <c r="L156" s="292">
        <f t="shared" si="48"/>
        <v>1.0570205294435444E-2</v>
      </c>
      <c r="M156" s="292">
        <f t="shared" si="49"/>
        <v>1.222668827660724E-2</v>
      </c>
      <c r="N156" s="292">
        <f t="shared" si="54"/>
        <v>1.1398446785521342E-2</v>
      </c>
      <c r="O156" s="292">
        <v>0.19900000000000001</v>
      </c>
      <c r="P156" s="292">
        <f t="shared" si="51"/>
        <v>0.24544660000000001</v>
      </c>
      <c r="Q156" s="294">
        <f t="shared" si="55"/>
        <v>2.4544660000000001E-4</v>
      </c>
      <c r="R156" s="295">
        <f t="shared" si="52"/>
        <v>23.219809900649146</v>
      </c>
      <c r="S156" s="296"/>
      <c r="T156" s="297"/>
      <c r="U156" s="297"/>
      <c r="V156" s="297">
        <f t="shared" si="53"/>
        <v>5.699223392760671</v>
      </c>
      <c r="W156" s="298"/>
      <c r="X156" s="297"/>
      <c r="Y156" s="297"/>
      <c r="Z156" s="297">
        <f>(V156-$V$105)/(D155-$D$104)</f>
        <v>5.6673231181406984E-2</v>
      </c>
      <c r="AA156" s="298"/>
      <c r="AB156" s="79"/>
      <c r="AD156" s="87">
        <f>D167</f>
        <v>192.88333333333333</v>
      </c>
      <c r="AE156" s="86">
        <f>S169</f>
        <v>41.353313214389743</v>
      </c>
      <c r="AF156" s="86">
        <f>U169</f>
        <v>9.475332047771019</v>
      </c>
      <c r="AG156" s="86">
        <f>W169</f>
        <v>85.410851021069675</v>
      </c>
      <c r="AH156" s="86">
        <f>Y169</f>
        <v>19.247454381606794</v>
      </c>
    </row>
    <row r="157" spans="2:34" x14ac:dyDescent="0.2">
      <c r="B157" s="58"/>
      <c r="C157" s="293"/>
      <c r="D157" s="148"/>
      <c r="E157" s="90" t="s">
        <v>109</v>
      </c>
      <c r="F157" s="299"/>
      <c r="G157" s="299"/>
      <c r="H157" s="81">
        <f>0.1343-F155</f>
        <v>8.8333333333333347E-2</v>
      </c>
      <c r="I157" s="292">
        <f>0.1278-F155</f>
        <v>8.1833333333333341E-2</v>
      </c>
      <c r="J157" s="292">
        <f>0.0937-G155</f>
        <v>4.8933333333333336E-2</v>
      </c>
      <c r="K157" s="292">
        <f>0.0871-G155</f>
        <v>4.2333333333333327E-2</v>
      </c>
      <c r="L157" s="292">
        <f t="shared" si="48"/>
        <v>9.5184224743381975E-3</v>
      </c>
      <c r="M157" s="292">
        <f t="shared" si="49"/>
        <v>9.1121015667206939E-3</v>
      </c>
      <c r="N157" s="92">
        <f t="shared" si="54"/>
        <v>9.3152620205294457E-3</v>
      </c>
      <c r="O157" s="92">
        <v>0.21099999999999999</v>
      </c>
      <c r="P157" s="92">
        <f t="shared" si="51"/>
        <v>0.26024740000000002</v>
      </c>
      <c r="Q157" s="93">
        <f t="shared" si="55"/>
        <v>2.6024739999999999E-4</v>
      </c>
      <c r="R157" s="94">
        <f t="shared" si="52"/>
        <v>17.896935801336433</v>
      </c>
      <c r="S157" s="95">
        <f>AVERAGE(R155:R157)</f>
        <v>21.127417534252931</v>
      </c>
      <c r="T157" s="96">
        <f>STDEV(R155:R157)</f>
        <v>2.8380772935075971</v>
      </c>
      <c r="U157" s="96">
        <f>T157/SQRT(3)</f>
        <v>1.6385646893875758</v>
      </c>
      <c r="V157" s="96">
        <f t="shared" si="53"/>
        <v>4.6576310102647236</v>
      </c>
      <c r="W157" s="95">
        <f t="shared" ref="W157" si="56">AVERAGE(V155:V157)</f>
        <v>5.301411399243654</v>
      </c>
      <c r="X157" s="96">
        <f t="shared" ref="X157" si="57">STDEV(V155:V157)</f>
        <v>0.56267576053441004</v>
      </c>
      <c r="Y157" s="96">
        <f t="shared" ref="Y157" si="58">X157/SQRT(3)</f>
        <v>0.32486100181101907</v>
      </c>
      <c r="Z157" s="96">
        <f>(V157-$V$106)/(D155-$D$104)</f>
        <v>-1.2164449666592721E-2</v>
      </c>
      <c r="AA157" s="95">
        <f>AVERAGE(Z155:Z157)</f>
        <v>-8.2917479134900895E-3</v>
      </c>
      <c r="AB157" s="103">
        <f>STDEV(Z155:Z157)/SQRT(3)</f>
        <v>3.6441077276601903E-2</v>
      </c>
      <c r="AD157" s="87">
        <f>D170</f>
        <v>216.6</v>
      </c>
      <c r="AE157" s="86">
        <f>S172</f>
        <v>37.156276103319243</v>
      </c>
      <c r="AF157" s="86">
        <f>U172</f>
        <v>3.0059463885712283</v>
      </c>
      <c r="AG157" s="86">
        <f>W172</f>
        <v>82.376860270124268</v>
      </c>
      <c r="AH157" s="86">
        <f>Y172</f>
        <v>6.3279605104922423</v>
      </c>
    </row>
    <row r="158" spans="2:34" x14ac:dyDescent="0.2">
      <c r="B158" s="99" t="s">
        <v>75</v>
      </c>
      <c r="C158" s="100">
        <v>0.46249999999999997</v>
      </c>
      <c r="D158" s="147">
        <f>11+33/60+12+72+D155</f>
        <v>119.18333333333334</v>
      </c>
      <c r="E158" s="80" t="s">
        <v>107</v>
      </c>
      <c r="F158" s="104">
        <f>(0.0498+0.0453)/2</f>
        <v>4.7549999999999995E-2</v>
      </c>
      <c r="G158" s="139">
        <f>(0.0497+0.044)/2</f>
        <v>4.6850000000000003E-2</v>
      </c>
      <c r="H158" s="104">
        <f>0.2401-F158</f>
        <v>0.19255</v>
      </c>
      <c r="I158" s="105">
        <f>0.2402-F158</f>
        <v>0.19264999999999999</v>
      </c>
      <c r="J158" s="105">
        <f>0.1567-G158</f>
        <v>0.10985</v>
      </c>
      <c r="K158" s="105">
        <f>0.1574-G158</f>
        <v>0.11055000000000001</v>
      </c>
      <c r="L158" s="292">
        <f t="shared" si="48"/>
        <v>2.0436102106969205E-2</v>
      </c>
      <c r="M158" s="292">
        <f t="shared" si="49"/>
        <v>2.0383670988654783E-2</v>
      </c>
      <c r="N158" s="292">
        <f t="shared" si="54"/>
        <v>2.0409886547811992E-2</v>
      </c>
      <c r="O158" s="292">
        <v>1.0629999999999999</v>
      </c>
      <c r="P158" s="292">
        <f t="shared" si="51"/>
        <v>1.3111041999999999</v>
      </c>
      <c r="Q158" s="294">
        <f>P158*0.25/1000</f>
        <v>3.2777604999999996E-4</v>
      </c>
      <c r="R158" s="295">
        <f t="shared" si="52"/>
        <v>31.133889354960491</v>
      </c>
      <c r="S158" s="298"/>
      <c r="T158" s="297"/>
      <c r="U158" s="297"/>
      <c r="V158" s="297">
        <f t="shared" si="53"/>
        <v>40.819773095623987</v>
      </c>
      <c r="W158" s="298"/>
      <c r="X158" s="297"/>
      <c r="Y158" s="297"/>
      <c r="Z158" s="297">
        <f t="shared" ref="Z158" si="59">(V158-$V$104)/(D158-$D$104)</f>
        <v>0.2821922878259141</v>
      </c>
      <c r="AA158" s="298"/>
      <c r="AB158" s="110"/>
      <c r="AD158" s="87">
        <f>D173</f>
        <v>240.85</v>
      </c>
      <c r="AE158" s="86">
        <f>S175</f>
        <v>38.55769870805284</v>
      </c>
      <c r="AF158" s="86">
        <f>U175</f>
        <v>2.6176525316448171</v>
      </c>
      <c r="AG158" s="86">
        <f>W175</f>
        <v>95.927133981631542</v>
      </c>
      <c r="AH158" s="86">
        <f>Y175</f>
        <v>6.7579198097833553</v>
      </c>
    </row>
    <row r="159" spans="2:34" x14ac:dyDescent="0.2">
      <c r="B159" s="58"/>
      <c r="C159" s="293"/>
      <c r="D159" s="148"/>
      <c r="E159" s="80" t="s">
        <v>108</v>
      </c>
      <c r="F159" s="58"/>
      <c r="G159" s="79"/>
      <c r="H159" s="81">
        <f>0.2719-F158</f>
        <v>0.22434999999999999</v>
      </c>
      <c r="I159" s="292">
        <f>0.2783-F158</f>
        <v>0.23075000000000001</v>
      </c>
      <c r="J159" s="292">
        <f>0.1775-G158</f>
        <v>0.13064999999999999</v>
      </c>
      <c r="K159" s="292">
        <f>0.1813-G158</f>
        <v>0.13444999999999999</v>
      </c>
      <c r="L159" s="292">
        <f t="shared" si="48"/>
        <v>2.3550526742301455E-2</v>
      </c>
      <c r="M159" s="292">
        <f t="shared" si="49"/>
        <v>2.4215194489465155E-2</v>
      </c>
      <c r="N159" s="292">
        <f t="shared" si="54"/>
        <v>2.3882860615883305E-2</v>
      </c>
      <c r="O159" s="292">
        <v>1.0249999999999999</v>
      </c>
      <c r="P159" s="292">
        <f t="shared" si="51"/>
        <v>1.264235</v>
      </c>
      <c r="Q159" s="294">
        <f>P159*0.25/1000</f>
        <v>3.1605875000000001E-4</v>
      </c>
      <c r="R159" s="295">
        <f t="shared" si="52"/>
        <v>37.782312016173108</v>
      </c>
      <c r="S159" s="296"/>
      <c r="T159" s="297"/>
      <c r="U159" s="297"/>
      <c r="V159" s="297">
        <f t="shared" si="53"/>
        <v>47.765721231766612</v>
      </c>
      <c r="W159" s="298"/>
      <c r="X159" s="297"/>
      <c r="Y159" s="297"/>
      <c r="Z159" s="297">
        <f>(V159-$V$105)/(D158-$D$104)</f>
        <v>0.36419417034758655</v>
      </c>
      <c r="AA159" s="298"/>
      <c r="AB159" s="110"/>
      <c r="AD159" s="87"/>
      <c r="AE159" s="86"/>
      <c r="AF159" s="86"/>
      <c r="AG159" s="86"/>
      <c r="AH159" s="86"/>
    </row>
    <row r="160" spans="2:34" x14ac:dyDescent="0.2">
      <c r="B160" s="58"/>
      <c r="C160" s="293"/>
      <c r="D160" s="148"/>
      <c r="E160" s="90" t="s">
        <v>109</v>
      </c>
      <c r="F160" s="58"/>
      <c r="G160" s="79"/>
      <c r="H160" s="91">
        <f>0.2823-F158</f>
        <v>0.23475000000000001</v>
      </c>
      <c r="I160" s="92">
        <f>0.2881-F158</f>
        <v>0.24055000000000004</v>
      </c>
      <c r="J160" s="92">
        <f>0.1846-G158</f>
        <v>0.13774999999999998</v>
      </c>
      <c r="K160" s="92">
        <f>0.1904-G158</f>
        <v>0.14355000000000001</v>
      </c>
      <c r="L160" s="292">
        <f t="shared" si="48"/>
        <v>2.453991085899514E-2</v>
      </c>
      <c r="M160" s="292">
        <f t="shared" si="49"/>
        <v>2.4911223662884934E-2</v>
      </c>
      <c r="N160" s="92">
        <f t="shared" si="54"/>
        <v>2.4725567260940037E-2</v>
      </c>
      <c r="O160" s="92">
        <v>1.0289999999999999</v>
      </c>
      <c r="P160" s="92">
        <f t="shared" si="51"/>
        <v>1.2691686</v>
      </c>
      <c r="Q160" s="93">
        <f>P160*0.25/1000</f>
        <v>3.1729214999999999E-4</v>
      </c>
      <c r="R160" s="94">
        <f t="shared" si="52"/>
        <v>38.96340842491697</v>
      </c>
      <c r="S160" s="95">
        <f>AVERAGE(R158:R160)</f>
        <v>35.959869932016858</v>
      </c>
      <c r="T160" s="96">
        <f>STDEV(R158:R160)</f>
        <v>4.2209375237357971</v>
      </c>
      <c r="U160" s="96">
        <f>T160/SQRT(3)</f>
        <v>2.4369594155614549</v>
      </c>
      <c r="V160" s="96">
        <f t="shared" si="53"/>
        <v>49.451134521880078</v>
      </c>
      <c r="W160" s="95">
        <f t="shared" ref="W160" si="60">AVERAGE(V158:V160)</f>
        <v>46.012209616423554</v>
      </c>
      <c r="X160" s="96">
        <f t="shared" ref="X160" si="61">STDEV(V158:V160)</f>
        <v>4.575063087709573</v>
      </c>
      <c r="Y160" s="96">
        <f t="shared" ref="Y160" si="62">X160/SQRT(3)</f>
        <v>2.6414139052486427</v>
      </c>
      <c r="Z160" s="96">
        <f>(V160-$V$106)/(D158-$D$104)</f>
        <v>0.37342483863371456</v>
      </c>
      <c r="AA160" s="95">
        <f t="shared" ref="AA160" si="63">AVERAGE(Z158:Z160)</f>
        <v>0.33993709893573837</v>
      </c>
      <c r="AB160" s="103">
        <f t="shared" ref="AB160" si="64">STDEV(Z158:Z160)/SQRT(3)</f>
        <v>2.8995107155254947E-2</v>
      </c>
      <c r="AD160" s="87">
        <f>D179</f>
        <v>288.60000000000002</v>
      </c>
      <c r="AE160" s="86">
        <f>S181</f>
        <v>45.387316127906026</v>
      </c>
      <c r="AF160" s="86">
        <f>U181</f>
        <v>5.8624703748298774</v>
      </c>
      <c r="AG160" s="86">
        <f>W181</f>
        <v>125.07212317666126</v>
      </c>
      <c r="AH160" s="86">
        <f>Y181</f>
        <v>15.685276796867017</v>
      </c>
    </row>
    <row r="161" spans="2:34" x14ac:dyDescent="0.2">
      <c r="B161" s="99" t="s">
        <v>76</v>
      </c>
      <c r="C161" s="100">
        <v>0.43263888888888885</v>
      </c>
      <c r="D161" s="147">
        <f>11+17/60+12+D158</f>
        <v>142.46666666666667</v>
      </c>
      <c r="E161" s="80" t="s">
        <v>107</v>
      </c>
      <c r="F161" s="104">
        <v>4.3700000000000003E-2</v>
      </c>
      <c r="G161" s="139">
        <v>4.2200000000000001E-2</v>
      </c>
      <c r="H161" s="81">
        <f>0.3253-F161</f>
        <v>0.28159999999999996</v>
      </c>
      <c r="I161" s="292">
        <f>0.325-F161</f>
        <v>0.28129999999999999</v>
      </c>
      <c r="J161" s="292">
        <f>0.219-G161</f>
        <v>0.17680000000000001</v>
      </c>
      <c r="K161" s="292">
        <f>0.2059-G161</f>
        <v>0.16370000000000001</v>
      </c>
      <c r="L161" s="292">
        <f t="shared" si="48"/>
        <v>2.8304051863857368E-2</v>
      </c>
      <c r="M161" s="292">
        <f t="shared" si="49"/>
        <v>2.9539951377633711E-2</v>
      </c>
      <c r="N161" s="292">
        <f t="shared" si="54"/>
        <v>2.8922001620745541E-2</v>
      </c>
      <c r="O161" s="292">
        <v>1.226</v>
      </c>
      <c r="P161" s="292">
        <f t="shared" si="51"/>
        <v>1.5121484000000001</v>
      </c>
      <c r="Q161" s="294">
        <f>O161*0.25/1000</f>
        <v>3.0649999999999997E-4</v>
      </c>
      <c r="R161" s="295">
        <f t="shared" si="52"/>
        <v>47.181079316061243</v>
      </c>
      <c r="S161" s="298"/>
      <c r="T161" s="297"/>
      <c r="U161" s="297"/>
      <c r="V161" s="297">
        <f t="shared" si="53"/>
        <v>71.344793598055105</v>
      </c>
      <c r="W161" s="298"/>
      <c r="X161" s="297"/>
      <c r="Y161" s="297"/>
      <c r="Z161" s="297">
        <f t="shared" ref="Z161" si="65">(V161-$V$104)/(D161-$D$104)</f>
        <v>0.45033438001742854</v>
      </c>
      <c r="AA161" s="298"/>
      <c r="AB161" s="110"/>
      <c r="AD161" s="87">
        <f>D182</f>
        <v>312.85000000000002</v>
      </c>
      <c r="AE161" s="86">
        <f>S184</f>
        <v>45.511280125061639</v>
      </c>
      <c r="AF161" s="86">
        <f>U184</f>
        <v>2.1663778406086083</v>
      </c>
      <c r="AG161" s="86">
        <f>W184</f>
        <v>133.31253376553218</v>
      </c>
      <c r="AH161" s="86">
        <f>Y184</f>
        <v>7.0564879027874428</v>
      </c>
    </row>
    <row r="162" spans="2:34" x14ac:dyDescent="0.2">
      <c r="B162" s="58"/>
      <c r="C162" s="293"/>
      <c r="D162" s="148"/>
      <c r="E162" s="80" t="s">
        <v>108</v>
      </c>
      <c r="F162" s="58"/>
      <c r="G162" s="79"/>
      <c r="H162" s="81">
        <f>0.326-F161</f>
        <v>0.2823</v>
      </c>
      <c r="I162" s="292">
        <f>0.329-F161</f>
        <v>0.2853</v>
      </c>
      <c r="J162" s="292">
        <f>0.1898-G161</f>
        <v>0.14760000000000001</v>
      </c>
      <c r="K162" s="292">
        <f>0.1967-G161</f>
        <v>0.15450000000000003</v>
      </c>
      <c r="L162" s="292">
        <f t="shared" si="48"/>
        <v>3.1280713128038901E-2</v>
      </c>
      <c r="M162" s="292">
        <f t="shared" si="49"/>
        <v>3.1090356564019445E-2</v>
      </c>
      <c r="N162" s="292">
        <f t="shared" si="54"/>
        <v>3.1185534846029171E-2</v>
      </c>
      <c r="O162" s="292">
        <v>1.242</v>
      </c>
      <c r="P162" s="292">
        <f t="shared" si="51"/>
        <v>1.5318828</v>
      </c>
      <c r="Q162" s="294">
        <f>O162*0.25/1000</f>
        <v>3.1050000000000001E-4</v>
      </c>
      <c r="R162" s="295">
        <f t="shared" si="52"/>
        <v>50.218252570095281</v>
      </c>
      <c r="S162" s="296"/>
      <c r="T162" s="297"/>
      <c r="U162" s="297"/>
      <c r="V162" s="297">
        <f t="shared" si="53"/>
        <v>76.92847735818475</v>
      </c>
      <c r="W162" s="298"/>
      <c r="X162" s="297"/>
      <c r="Y162" s="297"/>
      <c r="Z162" s="297">
        <f>(V162-$V$105)/(D161-$D$104)</f>
        <v>0.50937270469591478</v>
      </c>
      <c r="AA162" s="298"/>
      <c r="AB162" s="110"/>
      <c r="AD162" s="87">
        <f>D185</f>
        <v>336.68333333333334</v>
      </c>
      <c r="AE162" s="86">
        <f>S187</f>
        <v>55.928886864685403</v>
      </c>
      <c r="AF162" s="86">
        <f>U187</f>
        <v>4.4902701170460722</v>
      </c>
      <c r="AG162" s="86">
        <f>W187</f>
        <v>175.75643796146232</v>
      </c>
      <c r="AH162" s="86">
        <f>Y187</f>
        <v>16.233301962997484</v>
      </c>
    </row>
    <row r="163" spans="2:34" x14ac:dyDescent="0.2">
      <c r="B163" s="58"/>
      <c r="C163" s="293"/>
      <c r="D163" s="148"/>
      <c r="E163" s="90" t="s">
        <v>109</v>
      </c>
      <c r="F163" s="58"/>
      <c r="G163" s="79"/>
      <c r="H163" s="81">
        <f>0.301-F161</f>
        <v>0.25729999999999997</v>
      </c>
      <c r="I163" s="292">
        <f>0.31-F161</f>
        <v>0.26629999999999998</v>
      </c>
      <c r="J163" s="292">
        <f>0.1912-G161</f>
        <v>0.14900000000000002</v>
      </c>
      <c r="K163" s="292">
        <f>0.2169-G161</f>
        <v>0.17470000000000002</v>
      </c>
      <c r="L163" s="292">
        <f t="shared" si="48"/>
        <v>2.7091572123176651E-2</v>
      </c>
      <c r="M163" s="292">
        <f t="shared" si="49"/>
        <v>2.6030226904376012E-2</v>
      </c>
      <c r="N163" s="92">
        <f t="shared" si="54"/>
        <v>2.6560899513776333E-2</v>
      </c>
      <c r="O163" s="92">
        <v>1.27</v>
      </c>
      <c r="P163" s="92">
        <f t="shared" si="51"/>
        <v>1.5664180000000001</v>
      </c>
      <c r="Q163" s="93">
        <f>O163*0.25/1000</f>
        <v>3.1750000000000002E-4</v>
      </c>
      <c r="R163" s="94">
        <f t="shared" si="52"/>
        <v>41.828188210671385</v>
      </c>
      <c r="S163" s="95">
        <f>AVERAGE(R161:R163)</f>
        <v>46.409173365609298</v>
      </c>
      <c r="T163" s="96">
        <f>STDEV(R161:R163)</f>
        <v>4.2479611681459746</v>
      </c>
      <c r="U163" s="96">
        <f>T163/SQRT(3)</f>
        <v>2.4525615239361556</v>
      </c>
      <c r="V163" s="96">
        <f t="shared" si="53"/>
        <v>65.520426920583446</v>
      </c>
      <c r="W163" s="95">
        <f t="shared" ref="W163" si="66">AVERAGE(V161:V163)</f>
        <v>71.264565958941105</v>
      </c>
      <c r="X163" s="96">
        <f t="shared" ref="X163" si="67">STDEV(V161:V163)</f>
        <v>5.704448356526</v>
      </c>
      <c r="Y163" s="96">
        <f t="shared" ref="Y163" si="68">X163/SQRT(3)</f>
        <v>3.2934647942186044</v>
      </c>
      <c r="Z163" s="96">
        <f>(V163-$V$106)/(D161-$D$104)</f>
        <v>0.42518935013943554</v>
      </c>
      <c r="AA163" s="95">
        <f t="shared" ref="AA163" si="69">AVERAGE(Z161:Z163)</f>
        <v>0.46163214495092625</v>
      </c>
      <c r="AB163" s="103">
        <f t="shared" ref="AB163" si="70">STDEV(Z161:Z163)/SQRT(3)</f>
        <v>2.4949541849266507E-2</v>
      </c>
      <c r="AD163" s="87"/>
      <c r="AE163" s="86"/>
      <c r="AF163" s="86"/>
      <c r="AG163" s="86"/>
      <c r="AH163" s="86"/>
    </row>
    <row r="164" spans="2:34" x14ac:dyDescent="0.2">
      <c r="B164" s="161" t="s">
        <v>77</v>
      </c>
      <c r="C164" s="100">
        <v>0.62152777777777779</v>
      </c>
      <c r="D164" s="147">
        <f>4+32/60+24+D161</f>
        <v>171</v>
      </c>
      <c r="E164" s="80" t="s">
        <v>107</v>
      </c>
      <c r="F164" s="104">
        <f>(0.0462+0.0426+0.0532)/3</f>
        <v>4.7333333333333331E-2</v>
      </c>
      <c r="G164" s="139">
        <f>(0.0446+0.0409+0.0512)/3</f>
        <v>4.5566666666666665E-2</v>
      </c>
      <c r="H164" s="104">
        <f>0.2826-F164</f>
        <v>0.23526666666666668</v>
      </c>
      <c r="I164" s="105">
        <f>0.1779-F164</f>
        <v>0.13056666666666666</v>
      </c>
      <c r="J164" s="105">
        <f>0.2208-G164</f>
        <v>0.17523333333333332</v>
      </c>
      <c r="K164" s="105">
        <f>0.1176-G164</f>
        <v>7.2033333333333338E-2</v>
      </c>
      <c r="L164" s="292">
        <f t="shared" si="48"/>
        <v>2.0948217179902758E-2</v>
      </c>
      <c r="M164" s="292">
        <f t="shared" si="49"/>
        <v>1.4098298217179901E-2</v>
      </c>
      <c r="N164" s="292">
        <f t="shared" si="54"/>
        <v>1.7523257698541329E-2</v>
      </c>
      <c r="O164" s="292">
        <v>1.4339999999999999</v>
      </c>
      <c r="P164" s="292">
        <f t="shared" si="51"/>
        <v>1.7686956</v>
      </c>
      <c r="Q164" s="294">
        <f>O164*0.125/1000</f>
        <v>1.7924999999999999E-4</v>
      </c>
      <c r="R164" s="295">
        <f t="shared" si="52"/>
        <v>48.879379912249178</v>
      </c>
      <c r="S164" s="296"/>
      <c r="T164" s="293"/>
      <c r="U164" s="293"/>
      <c r="V164" s="297">
        <f t="shared" si="53"/>
        <v>86.452744181523514</v>
      </c>
      <c r="W164" s="298"/>
      <c r="X164" s="297"/>
      <c r="Y164" s="297"/>
      <c r="Z164" s="297">
        <f t="shared" ref="Z164" si="71">(V164-$V$104)/(D164-$D$104)</f>
        <v>0.4635414537424058</v>
      </c>
      <c r="AA164" s="298"/>
      <c r="AB164" s="110"/>
      <c r="AD164" s="87">
        <f>D191</f>
        <v>384.40000000000003</v>
      </c>
      <c r="AE164" s="86">
        <f>S193</f>
        <v>55.077587161511133</v>
      </c>
      <c r="AF164" s="86">
        <f>U193</f>
        <v>3.8774940465119725</v>
      </c>
      <c r="AG164" s="86">
        <f>W193</f>
        <v>185.05848190167475</v>
      </c>
      <c r="AH164" s="86">
        <f>Y193</f>
        <v>9.139507373926735</v>
      </c>
    </row>
    <row r="165" spans="2:34" x14ac:dyDescent="0.2">
      <c r="B165" s="58"/>
      <c r="C165" s="293"/>
      <c r="D165" s="148"/>
      <c r="E165" s="80" t="s">
        <v>108</v>
      </c>
      <c r="F165" s="58"/>
      <c r="G165" s="79"/>
      <c r="H165" s="81">
        <f>0.2025-F164</f>
        <v>0.15516666666666667</v>
      </c>
      <c r="I165" s="292">
        <f>0.2346-F164</f>
        <v>0.18726666666666666</v>
      </c>
      <c r="J165" s="292">
        <f>0.1293-G164</f>
        <v>8.3733333333333326E-2</v>
      </c>
      <c r="K165" s="292">
        <f>0.1583-G164</f>
        <v>0.11273333333333332</v>
      </c>
      <c r="L165" s="292">
        <f t="shared" si="48"/>
        <v>1.6938087520259323E-2</v>
      </c>
      <c r="M165" s="292">
        <f t="shared" si="49"/>
        <v>1.9297082658022692E-2</v>
      </c>
      <c r="N165" s="292">
        <f t="shared" si="54"/>
        <v>1.8117585089141006E-2</v>
      </c>
      <c r="O165" s="292">
        <v>1.4370000000000001</v>
      </c>
      <c r="P165" s="292">
        <f t="shared" si="51"/>
        <v>1.7723958000000002</v>
      </c>
      <c r="Q165" s="294">
        <f>O165*0.125/1000</f>
        <v>1.7962500000000002E-4</v>
      </c>
      <c r="R165" s="295">
        <f t="shared" si="52"/>
        <v>50.431691271095346</v>
      </c>
      <c r="S165" s="296"/>
      <c r="T165" s="293"/>
      <c r="U165" s="293"/>
      <c r="V165" s="297">
        <f t="shared" si="53"/>
        <v>89.384917795786066</v>
      </c>
      <c r="W165" s="298"/>
      <c r="X165" s="297"/>
      <c r="Y165" s="297"/>
      <c r="Z165" s="297">
        <f>(V165-$V$105)/(D164-$D$104)</f>
        <v>0.49722264191001542</v>
      </c>
      <c r="AA165" s="298"/>
      <c r="AB165" s="110"/>
      <c r="AD165" s="87">
        <f>D194</f>
        <v>408.95000000000005</v>
      </c>
      <c r="AE165" s="86">
        <f>S196</f>
        <v>61.625009278856901</v>
      </c>
      <c r="AF165" s="86">
        <f>U196</f>
        <v>5.4848205036044515</v>
      </c>
      <c r="AG165" s="86">
        <f>W196</f>
        <v>209.43787142085355</v>
      </c>
      <c r="AH165" s="86">
        <f>Y196</f>
        <v>10.560695485209063</v>
      </c>
    </row>
    <row r="166" spans="2:34" x14ac:dyDescent="0.2">
      <c r="B166" s="88"/>
      <c r="C166" s="97"/>
      <c r="D166" s="149"/>
      <c r="E166" s="90" t="s">
        <v>109</v>
      </c>
      <c r="F166" s="58"/>
      <c r="G166" s="79"/>
      <c r="H166" s="91">
        <f>0.2622-F164</f>
        <v>0.21486666666666665</v>
      </c>
      <c r="I166" s="92">
        <f>0.2254-F164</f>
        <v>0.17806666666666665</v>
      </c>
      <c r="J166" s="92">
        <f>0.1856-G164</f>
        <v>0.14003333333333332</v>
      </c>
      <c r="K166" s="92">
        <f>0.1459-G164</f>
        <v>0.10033333333333333</v>
      </c>
      <c r="L166" s="292">
        <f t="shared" si="48"/>
        <v>2.1093435980551054E-2</v>
      </c>
      <c r="M166" s="292"/>
      <c r="N166" s="92">
        <f t="shared" si="54"/>
        <v>2.1093435980551054E-2</v>
      </c>
      <c r="O166" s="92">
        <v>1.3759999999999999</v>
      </c>
      <c r="P166" s="92">
        <f t="shared" si="51"/>
        <v>1.6971584</v>
      </c>
      <c r="Q166" s="93">
        <f>O166*0.125/1000</f>
        <v>1.7199999999999998E-4</v>
      </c>
      <c r="R166" s="94">
        <f t="shared" si="52"/>
        <v>61.318127850439119</v>
      </c>
      <c r="S166" s="95">
        <f>AVERAGE(R164:R166)</f>
        <v>53.543066344594543</v>
      </c>
      <c r="T166" s="96">
        <f>STDEV(R164:R166)</f>
        <v>6.7779866998579017</v>
      </c>
      <c r="U166" s="96">
        <f>T166/SQRT(3)</f>
        <v>3.9132724457266628</v>
      </c>
      <c r="V166" s="96">
        <f t="shared" si="53"/>
        <v>104.06657575364669</v>
      </c>
      <c r="W166" s="95">
        <f t="shared" ref="W166" si="72">AVERAGE(V164:V166)</f>
        <v>93.301412576985413</v>
      </c>
      <c r="X166" s="96">
        <f t="shared" ref="X166" si="73">STDEV(V164:V166)</f>
        <v>9.4374765796346285</v>
      </c>
      <c r="Y166" s="96">
        <f t="shared" ref="Y166" si="74">X166/SQRT(3)</f>
        <v>5.4487296437228414</v>
      </c>
      <c r="Z166" s="96">
        <f>(V166-$V$106)/(D164-$D$104)</f>
        <v>0.57965765058242591</v>
      </c>
      <c r="AA166" s="95">
        <f t="shared" ref="AA166" si="75">AVERAGE(Z164:Z166)</f>
        <v>0.51347391541161569</v>
      </c>
      <c r="AB166" s="103">
        <f t="shared" ref="AB166" si="76">STDEV(Z164:Z166)/SQRT(3)</f>
        <v>3.449067849900625E-2</v>
      </c>
    </row>
    <row r="167" spans="2:34" x14ac:dyDescent="0.2">
      <c r="B167" s="58" t="s">
        <v>78</v>
      </c>
      <c r="C167" s="291">
        <v>0.53333333333333333</v>
      </c>
      <c r="D167" s="148">
        <f>8+53/60+13+D164</f>
        <v>192.88333333333333</v>
      </c>
      <c r="E167" s="80" t="s">
        <v>107</v>
      </c>
      <c r="F167" s="104">
        <v>4.3700000000000003E-2</v>
      </c>
      <c r="G167" s="139">
        <v>4.2200000000000001E-2</v>
      </c>
      <c r="H167" s="81">
        <f>0.303-F167</f>
        <v>0.25929999999999997</v>
      </c>
      <c r="I167" s="292">
        <f>0.3-F167</f>
        <v>0.25629999999999997</v>
      </c>
      <c r="J167" s="292">
        <f>0.219-G167</f>
        <v>0.17680000000000001</v>
      </c>
      <c r="K167" s="292">
        <f>0.2059-G167</f>
        <v>0.16370000000000001</v>
      </c>
      <c r="L167" s="292">
        <f t="shared" si="48"/>
        <v>2.4689789303079412E-2</v>
      </c>
      <c r="M167" s="292">
        <f t="shared" si="49"/>
        <v>2.5488087520259314E-2</v>
      </c>
      <c r="N167" s="292">
        <f t="shared" si="54"/>
        <v>2.5088938411669363E-2</v>
      </c>
      <c r="O167" s="292">
        <v>1.6719999999999999</v>
      </c>
      <c r="P167" s="292">
        <f t="shared" si="51"/>
        <v>2.0622448000000002</v>
      </c>
      <c r="Q167" s="294">
        <f>O167*0.125/1000</f>
        <v>2.0899999999999998E-4</v>
      </c>
      <c r="R167" s="295">
        <f t="shared" si="52"/>
        <v>60.021383759974555</v>
      </c>
      <c r="S167" s="296"/>
      <c r="T167" s="293"/>
      <c r="U167" s="293"/>
      <c r="V167" s="297">
        <f t="shared" si="53"/>
        <v>123.77878654781199</v>
      </c>
      <c r="W167" s="298"/>
      <c r="X167" s="297"/>
      <c r="Y167" s="297"/>
      <c r="Z167" s="297">
        <f t="shared" ref="Z167" si="77">(V167-$V$104)/(D167-$D$104)</f>
        <v>0.60446710942490212</v>
      </c>
      <c r="AA167" s="298"/>
      <c r="AB167" s="110"/>
    </row>
    <row r="168" spans="2:34" x14ac:dyDescent="0.2">
      <c r="B168" s="58"/>
      <c r="C168" s="293"/>
      <c r="D168" s="148"/>
      <c r="E168" s="80" t="s">
        <v>108</v>
      </c>
      <c r="F168" s="58"/>
      <c r="G168" s="79"/>
      <c r="H168" s="81">
        <f>0.306-F167</f>
        <v>0.26229999999999998</v>
      </c>
      <c r="I168" s="292">
        <f>0.309-F167</f>
        <v>0.26529999999999998</v>
      </c>
      <c r="J168" s="292">
        <f>0.1898-G167</f>
        <v>0.14760000000000001</v>
      </c>
      <c r="K168" s="292">
        <f>0.1967-G167</f>
        <v>0.15450000000000003</v>
      </c>
      <c r="L168" s="292">
        <f t="shared" si="48"/>
        <v>2.8039222042139381E-2</v>
      </c>
      <c r="M168" s="292">
        <f t="shared" si="49"/>
        <v>2.7848865478119929E-2</v>
      </c>
      <c r="N168" s="292">
        <f t="shared" si="54"/>
        <v>2.7944043760129655E-2</v>
      </c>
      <c r="O168" s="292">
        <v>1.6040000000000001</v>
      </c>
      <c r="P168" s="292">
        <f t="shared" si="51"/>
        <v>1.9783736000000003</v>
      </c>
      <c r="Q168" s="294">
        <f>O168*0.25/1000</f>
        <v>4.0100000000000004E-4</v>
      </c>
      <c r="R168" s="295">
        <f t="shared" si="52"/>
        <v>34.842947331832484</v>
      </c>
      <c r="S168" s="296"/>
      <c r="T168" s="293"/>
      <c r="U168" s="293"/>
      <c r="V168" s="297">
        <f t="shared" si="53"/>
        <v>68.932367147487838</v>
      </c>
      <c r="W168" s="298"/>
      <c r="X168" s="297"/>
      <c r="Y168" s="297"/>
      <c r="Z168" s="297">
        <f>(V168-$V$105)/(D167-$D$104)</f>
        <v>0.33477501659888231</v>
      </c>
      <c r="AA168" s="298"/>
      <c r="AB168" s="110"/>
    </row>
    <row r="169" spans="2:34" x14ac:dyDescent="0.2">
      <c r="B169" s="58"/>
      <c r="C169" s="293"/>
      <c r="D169" s="148"/>
      <c r="E169" s="90" t="s">
        <v>109</v>
      </c>
      <c r="F169" s="58"/>
      <c r="G169" s="79"/>
      <c r="H169" s="81">
        <f>0.301-F167</f>
        <v>0.25729999999999997</v>
      </c>
      <c r="I169" s="292">
        <f>0.3-F167</f>
        <v>0.25629999999999997</v>
      </c>
      <c r="J169" s="292">
        <f>0.1912-G167</f>
        <v>0.14900000000000002</v>
      </c>
      <c r="K169" s="292">
        <f>0.2169-G167</f>
        <v>0.17470000000000002</v>
      </c>
      <c r="L169" s="292">
        <f t="shared" si="48"/>
        <v>2.7091572123176651E-2</v>
      </c>
      <c r="M169" s="292">
        <f t="shared" si="49"/>
        <v>2.4409481361426254E-2</v>
      </c>
      <c r="N169" s="92">
        <f t="shared" si="54"/>
        <v>2.5750526742301452E-2</v>
      </c>
      <c r="O169" s="92">
        <v>1.764</v>
      </c>
      <c r="P169" s="92">
        <f t="shared" si="51"/>
        <v>2.1757176</v>
      </c>
      <c r="Q169" s="93">
        <f>O169*0.25/1000</f>
        <v>4.4099999999999999E-4</v>
      </c>
      <c r="R169" s="94">
        <f t="shared" si="52"/>
        <v>29.195608551362191</v>
      </c>
      <c r="S169" s="95">
        <f>AVERAGE(R167:R169)</f>
        <v>41.353313214389743</v>
      </c>
      <c r="T169" s="96">
        <f>STDEV(R167:R169)</f>
        <v>16.411756525325057</v>
      </c>
      <c r="U169" s="96">
        <f>T169/SQRT(3)</f>
        <v>9.475332047771019</v>
      </c>
      <c r="V169" s="96">
        <f t="shared" si="53"/>
        <v>63.521399367909225</v>
      </c>
      <c r="W169" s="95">
        <f t="shared" ref="W169" si="78">AVERAGE(V167:V169)</f>
        <v>85.410851021069675</v>
      </c>
      <c r="X169" s="96">
        <f t="shared" ref="X169" si="79">STDEV(V167:V169)</f>
        <v>33.337568905307172</v>
      </c>
      <c r="Y169" s="96">
        <f t="shared" ref="Y169" si="80">X169/SQRT(3)</f>
        <v>19.247454381606794</v>
      </c>
      <c r="Z169" s="96">
        <f>(V169-$V$106)/(D167-$D$104)</f>
        <v>0.30368762739405875</v>
      </c>
      <c r="AA169" s="95">
        <f t="shared" ref="AA169" si="81">AVERAGE(Z167:Z169)</f>
        <v>0.41430991780594773</v>
      </c>
      <c r="AB169" s="103">
        <f t="shared" ref="AB169" si="82">STDEV(Z167:Z169)/SQRT(3)</f>
        <v>9.550117727930349E-2</v>
      </c>
    </row>
    <row r="170" spans="2:34" x14ac:dyDescent="0.2">
      <c r="B170" s="99" t="s">
        <v>79</v>
      </c>
      <c r="C170" s="100">
        <v>0.52083333333333337</v>
      </c>
      <c r="D170" s="147">
        <f>10+43/60+13+D167</f>
        <v>216.6</v>
      </c>
      <c r="E170" s="80" t="s">
        <v>107</v>
      </c>
      <c r="F170" s="104">
        <v>3.1099999999999999E-2</v>
      </c>
      <c r="G170" s="139">
        <v>3.0200000000000001E-2</v>
      </c>
      <c r="H170" s="104">
        <f>0.2273-F170</f>
        <v>0.19620000000000001</v>
      </c>
      <c r="I170" s="105">
        <f>0.2008-F170</f>
        <v>0.16970000000000002</v>
      </c>
      <c r="J170" s="105">
        <f>0.1485-G170</f>
        <v>0.11829999999999999</v>
      </c>
      <c r="K170" s="105">
        <f>0.1266-G170</f>
        <v>9.6399999999999986E-2</v>
      </c>
      <c r="L170" s="292">
        <f t="shared" si="48"/>
        <v>2.019910858995138E-2</v>
      </c>
      <c r="M170" s="292">
        <f t="shared" si="49"/>
        <v>1.8051539708265809E-2</v>
      </c>
      <c r="N170" s="292">
        <f t="shared" si="54"/>
        <v>1.9125324149108593E-2</v>
      </c>
      <c r="O170" s="292">
        <v>1.827</v>
      </c>
      <c r="P170" s="292">
        <f t="shared" si="51"/>
        <v>2.2534217999999999</v>
      </c>
      <c r="Q170" s="294">
        <f>O170*0.125/1000</f>
        <v>2.2837500000000001E-4</v>
      </c>
      <c r="R170" s="295">
        <f t="shared" si="52"/>
        <v>41.872630868327512</v>
      </c>
      <c r="S170" s="296"/>
      <c r="T170" s="293"/>
      <c r="U170" s="293"/>
      <c r="V170" s="297">
        <f t="shared" si="53"/>
        <v>94.356699222042138</v>
      </c>
      <c r="W170" s="298"/>
      <c r="X170" s="297"/>
      <c r="Y170" s="297"/>
      <c r="Z170" s="297">
        <f t="shared" ref="Z170" si="83">(V170-$V$104)/(D170-$D$104)</f>
        <v>0.40244479977132974</v>
      </c>
      <c r="AA170" s="298"/>
      <c r="AB170" s="110"/>
    </row>
    <row r="171" spans="2:34" x14ac:dyDescent="0.2">
      <c r="B171" s="58"/>
      <c r="C171" s="293"/>
      <c r="D171" s="148"/>
      <c r="E171" s="80" t="s">
        <v>108</v>
      </c>
      <c r="F171" s="58"/>
      <c r="G171" s="79"/>
      <c r="H171" s="81">
        <f>0.1799-F170</f>
        <v>0.14880000000000002</v>
      </c>
      <c r="I171" s="292">
        <f>0.1862-F170</f>
        <v>0.15510000000000002</v>
      </c>
      <c r="J171" s="292">
        <f>0.1141-G170</f>
        <v>8.3899999999999988E-2</v>
      </c>
      <c r="K171" s="292">
        <f>0.1182-G170</f>
        <v>8.7999999999999995E-2</v>
      </c>
      <c r="L171" s="292">
        <f t="shared" si="48"/>
        <v>1.588987034035657E-2</v>
      </c>
      <c r="M171" s="292">
        <f t="shared" si="49"/>
        <v>1.6508914100486227E-2</v>
      </c>
      <c r="N171" s="292">
        <f t="shared" si="54"/>
        <v>1.6199392220421396E-2</v>
      </c>
      <c r="O171" s="292">
        <v>1.704</v>
      </c>
      <c r="P171" s="292">
        <f t="shared" si="51"/>
        <v>2.1017136000000001</v>
      </c>
      <c r="Q171" s="294">
        <f>O171*0.125/1000</f>
        <v>2.13E-4</v>
      </c>
      <c r="R171" s="295">
        <f t="shared" si="52"/>
        <v>38.026742301458675</v>
      </c>
      <c r="S171" s="296"/>
      <c r="T171" s="293"/>
      <c r="U171" s="293"/>
      <c r="V171" s="297">
        <f t="shared" si="53"/>
        <v>79.921321458671002</v>
      </c>
      <c r="W171" s="298"/>
      <c r="X171" s="297"/>
      <c r="Y171" s="297"/>
      <c r="Z171" s="297">
        <f>(V171-$V$105)/(D170-$D$104)</f>
        <v>0.34885261047782817</v>
      </c>
      <c r="AA171" s="298"/>
      <c r="AB171" s="110"/>
    </row>
    <row r="172" spans="2:34" x14ac:dyDescent="0.2">
      <c r="B172" s="58"/>
      <c r="C172" s="293"/>
      <c r="D172" s="148"/>
      <c r="E172" s="90" t="s">
        <v>109</v>
      </c>
      <c r="F172" s="58"/>
      <c r="G172" s="79"/>
      <c r="H172" s="81">
        <f>0.1695-F170</f>
        <v>0.13840000000000002</v>
      </c>
      <c r="I172" s="292">
        <f>0.1693-F170</f>
        <v>0.13820000000000002</v>
      </c>
      <c r="J172" s="292">
        <f>0.1089-G170</f>
        <v>7.8699999999999992E-2</v>
      </c>
      <c r="K172" s="292">
        <f>0.1075-G170</f>
        <v>7.7299999999999994E-2</v>
      </c>
      <c r="L172" s="292">
        <f t="shared" si="48"/>
        <v>1.4714181523500814E-2</v>
      </c>
      <c r="M172" s="292">
        <f t="shared" si="49"/>
        <v>1.4819043760129665E-2</v>
      </c>
      <c r="N172" s="92">
        <f t="shared" si="54"/>
        <v>1.4766612641815238E-2</v>
      </c>
      <c r="O172" s="92">
        <v>1.871</v>
      </c>
      <c r="P172" s="92">
        <f t="shared" si="51"/>
        <v>2.3076913999999999</v>
      </c>
      <c r="Q172" s="93">
        <f>O172*0.125/1000</f>
        <v>2.3387500000000001E-4</v>
      </c>
      <c r="R172" s="94">
        <f t="shared" si="52"/>
        <v>31.569455140171542</v>
      </c>
      <c r="S172" s="95">
        <f>AVERAGE(R170:R172)</f>
        <v>37.156276103319243</v>
      </c>
      <c r="T172" s="96">
        <f>STDEV(R170:R172)</f>
        <v>5.206451869833546</v>
      </c>
      <c r="U172" s="96">
        <f>T172/SQRT(3)</f>
        <v>3.0059463885712283</v>
      </c>
      <c r="V172" s="96">
        <f t="shared" si="53"/>
        <v>72.852560129659665</v>
      </c>
      <c r="W172" s="95">
        <f t="shared" ref="W172" si="84">AVERAGE(V170:V172)</f>
        <v>82.376860270124268</v>
      </c>
      <c r="X172" s="96">
        <f t="shared" ref="X172" si="85">STDEV(V170:V172)</f>
        <v>10.960349112462053</v>
      </c>
      <c r="Y172" s="96">
        <f t="shared" ref="Y172" si="86">X172/SQRT(3)</f>
        <v>6.3279605104922423</v>
      </c>
      <c r="Z172" s="96">
        <f>(V172-$V$106)/(D170-$D$104)</f>
        <v>0.31351543225119022</v>
      </c>
      <c r="AA172" s="95">
        <f t="shared" ref="AA172" si="87">AVERAGE(Z170:Z172)</f>
        <v>0.35493761416678266</v>
      </c>
      <c r="AB172" s="103">
        <f t="shared" ref="AB172" si="88">STDEV(Z170:Z172)/SQRT(3)</f>
        <v>2.5851360726945851E-2</v>
      </c>
    </row>
    <row r="173" spans="2:34" x14ac:dyDescent="0.2">
      <c r="B173" s="99" t="s">
        <v>80</v>
      </c>
      <c r="C173" s="100">
        <v>0.53472222222222221</v>
      </c>
      <c r="D173" s="147">
        <f>15/60+24+D170</f>
        <v>240.85</v>
      </c>
      <c r="E173" s="80" t="s">
        <v>107</v>
      </c>
      <c r="F173" s="104">
        <v>4.9200000000000001E-2</v>
      </c>
      <c r="G173" s="139">
        <v>4.8500000000000001E-2</v>
      </c>
      <c r="H173" s="104">
        <f>0.2242-F173</f>
        <v>0.17500000000000002</v>
      </c>
      <c r="I173" s="105">
        <f>0.2391-F173</f>
        <v>0.18990000000000001</v>
      </c>
      <c r="J173" s="105">
        <f>0.1536-G173</f>
        <v>0.10509999999999999</v>
      </c>
      <c r="K173" s="105">
        <f>0.1557-G173</f>
        <v>0.1072</v>
      </c>
      <c r="L173" s="292">
        <f t="shared" si="48"/>
        <v>1.8057455429497573E-2</v>
      </c>
      <c r="M173" s="292">
        <f t="shared" si="49"/>
        <v>2.0266450567260941E-2</v>
      </c>
      <c r="N173" s="292">
        <f t="shared" si="54"/>
        <v>1.9161952998379257E-2</v>
      </c>
      <c r="O173" s="292">
        <v>2.1739999999999999</v>
      </c>
      <c r="P173" s="292">
        <f t="shared" si="51"/>
        <v>2.6814116000000001</v>
      </c>
      <c r="Q173" s="294">
        <f t="shared" ref="Q173:Q178" si="89">P173*0.1/1000</f>
        <v>2.6814116000000007E-4</v>
      </c>
      <c r="R173" s="295">
        <f t="shared" si="52"/>
        <v>35.731092157539805</v>
      </c>
      <c r="S173" s="296"/>
      <c r="T173" s="293"/>
      <c r="U173" s="293"/>
      <c r="V173" s="297">
        <f t="shared" si="53"/>
        <v>95.809764991896273</v>
      </c>
      <c r="W173" s="298"/>
      <c r="X173" s="297"/>
      <c r="Y173" s="297"/>
      <c r="Z173" s="297">
        <f t="shared" ref="Z173" si="90">(V173-$V$104)/(D173-$D$104)</f>
        <v>0.3679576890194069</v>
      </c>
      <c r="AA173" s="298"/>
      <c r="AB173" s="110"/>
    </row>
    <row r="174" spans="2:34" x14ac:dyDescent="0.2">
      <c r="B174" s="58"/>
      <c r="C174" s="293"/>
      <c r="D174" s="148"/>
      <c r="E174" s="80" t="s">
        <v>108</v>
      </c>
      <c r="F174" s="58"/>
      <c r="G174" s="79"/>
      <c r="H174" s="81">
        <f>0.2026-F173</f>
        <v>0.15340000000000001</v>
      </c>
      <c r="I174" s="292">
        <f>0.2144-F173</f>
        <v>0.16520000000000001</v>
      </c>
      <c r="J174" s="292">
        <f>0.1431-G173</f>
        <v>9.4600000000000004E-2</v>
      </c>
      <c r="K174" s="292">
        <f>0.1367-G173</f>
        <v>8.8199999999999987E-2</v>
      </c>
      <c r="L174" s="292">
        <f t="shared" si="48"/>
        <v>1.5586223662884927E-2</v>
      </c>
      <c r="M174" s="292">
        <f t="shared" si="49"/>
        <v>1.8126256077795791E-2</v>
      </c>
      <c r="N174" s="292">
        <f t="shared" si="54"/>
        <v>1.6856239870340357E-2</v>
      </c>
      <c r="O174" s="292">
        <v>1.89</v>
      </c>
      <c r="P174" s="292">
        <f t="shared" si="51"/>
        <v>2.3311259999999998</v>
      </c>
      <c r="Q174" s="294">
        <f t="shared" si="89"/>
        <v>2.3311260000000002E-4</v>
      </c>
      <c r="R174" s="295">
        <f t="shared" si="52"/>
        <v>36.154716369557796</v>
      </c>
      <c r="S174" s="296"/>
      <c r="T174" s="293"/>
      <c r="U174" s="293"/>
      <c r="V174" s="297">
        <f t="shared" si="53"/>
        <v>84.281199351701787</v>
      </c>
      <c r="W174" s="298"/>
      <c r="X174" s="297"/>
      <c r="Y174" s="297"/>
      <c r="Z174" s="297">
        <f>(V174-$V$105)/(D173-$D$104)</f>
        <v>0.33183040615540116</v>
      </c>
      <c r="AA174" s="298"/>
      <c r="AB174" s="110"/>
    </row>
    <row r="175" spans="2:34" x14ac:dyDescent="0.2">
      <c r="B175" s="58"/>
      <c r="C175" s="293"/>
      <c r="D175" s="148"/>
      <c r="E175" s="90" t="s">
        <v>109</v>
      </c>
      <c r="F175" s="58"/>
      <c r="G175" s="79"/>
      <c r="H175" s="81">
        <f>0.2415-F173</f>
        <v>0.1923</v>
      </c>
      <c r="I175" s="292">
        <f>0.2824-F173</f>
        <v>0.23319999999999999</v>
      </c>
      <c r="J175" s="292">
        <f>0.1672-G173</f>
        <v>0.11869999999999999</v>
      </c>
      <c r="K175" s="292">
        <f>0.1938-G173</f>
        <v>0.14529999999999998</v>
      </c>
      <c r="L175" s="292">
        <f t="shared" si="48"/>
        <v>1.9527795786061591E-2</v>
      </c>
      <c r="M175" s="292">
        <f t="shared" si="49"/>
        <v>2.3548379254457054E-2</v>
      </c>
      <c r="N175" s="92">
        <f t="shared" si="54"/>
        <v>2.1538087520259323E-2</v>
      </c>
      <c r="O175" s="92">
        <v>1.994</v>
      </c>
      <c r="P175" s="92">
        <f t="shared" si="51"/>
        <v>2.4593996000000002</v>
      </c>
      <c r="Q175" s="93">
        <f t="shared" si="89"/>
        <v>2.4593996000000004E-4</v>
      </c>
      <c r="R175" s="94">
        <f t="shared" si="52"/>
        <v>43.787287597060924</v>
      </c>
      <c r="S175" s="95">
        <f>AVERAGE(R173:R175)</f>
        <v>38.55769870805284</v>
      </c>
      <c r="T175" s="96">
        <f>STDEV(R173:R175)</f>
        <v>4.5339071813701217</v>
      </c>
      <c r="U175" s="96">
        <f>T175/SQRT(3)</f>
        <v>2.6176525316448171</v>
      </c>
      <c r="V175" s="96">
        <f t="shared" si="53"/>
        <v>107.69043760129661</v>
      </c>
      <c r="W175" s="95">
        <f t="shared" ref="W175" si="91">AVERAGE(V173:V175)</f>
        <v>95.927133981631542</v>
      </c>
      <c r="X175" s="96">
        <f t="shared" ref="X175" si="92">STDEV(V173:V175)</f>
        <v>11.705060464020974</v>
      </c>
      <c r="Y175" s="96">
        <f t="shared" ref="Y175" si="93">X175/SQRT(3)</f>
        <v>6.7579198097833553</v>
      </c>
      <c r="Z175" s="96">
        <f>(V175-$V$106)/(D173-$D$104)</f>
        <v>0.42659464437303196</v>
      </c>
      <c r="AA175" s="95">
        <f t="shared" ref="AA175" si="94">AVERAGE(Z173:Z175)</f>
        <v>0.37546091318261338</v>
      </c>
      <c r="AB175" s="103">
        <f t="shared" ref="AB175" si="95">STDEV(Z173:Z175)/SQRT(3)</f>
        <v>2.7612128922356063E-2</v>
      </c>
    </row>
    <row r="176" spans="2:34" x14ac:dyDescent="0.2">
      <c r="B176" s="99" t="s">
        <v>81</v>
      </c>
      <c r="C176" s="100">
        <v>0.51388888888888895</v>
      </c>
      <c r="D176" s="147">
        <f>10+30/60+13+D173</f>
        <v>264.35000000000002</v>
      </c>
      <c r="E176" s="80" t="s">
        <v>107</v>
      </c>
      <c r="F176" s="104"/>
      <c r="G176" s="139"/>
      <c r="H176" s="104"/>
      <c r="I176" s="105"/>
      <c r="J176" s="105"/>
      <c r="K176" s="105"/>
      <c r="L176" s="292">
        <f t="shared" si="48"/>
        <v>0</v>
      </c>
      <c r="M176" s="292">
        <f t="shared" si="49"/>
        <v>0</v>
      </c>
      <c r="N176" s="292">
        <f t="shared" si="54"/>
        <v>0</v>
      </c>
      <c r="O176" s="292">
        <v>2.282</v>
      </c>
      <c r="P176" s="292">
        <f t="shared" si="51"/>
        <v>2.8146188000000003</v>
      </c>
      <c r="Q176" s="294">
        <f t="shared" si="89"/>
        <v>2.8146188000000006E-4</v>
      </c>
      <c r="R176" s="295">
        <f t="shared" si="52"/>
        <v>0</v>
      </c>
      <c r="S176" s="296"/>
      <c r="T176" s="293"/>
      <c r="U176" s="293"/>
      <c r="V176" s="297">
        <f t="shared" si="53"/>
        <v>0</v>
      </c>
      <c r="W176" s="298"/>
      <c r="X176" s="297"/>
      <c r="Y176" s="297"/>
      <c r="Z176" s="297">
        <f t="shared" ref="Z176" si="96">(V176-$V$104)/(D176-$D$104)</f>
        <v>-2.7188029474454787E-2</v>
      </c>
      <c r="AA176" s="298"/>
      <c r="AB176" s="110"/>
    </row>
    <row r="177" spans="2:28" x14ac:dyDescent="0.2">
      <c r="B177" s="58"/>
      <c r="C177" s="293"/>
      <c r="D177" s="148"/>
      <c r="E177" s="80" t="s">
        <v>108</v>
      </c>
      <c r="F177" s="58"/>
      <c r="G177" s="79"/>
      <c r="H177" s="81"/>
      <c r="I177" s="292"/>
      <c r="J177" s="292"/>
      <c r="K177" s="292"/>
      <c r="L177" s="292">
        <f t="shared" si="48"/>
        <v>0</v>
      </c>
      <c r="M177" s="292">
        <f t="shared" si="49"/>
        <v>0</v>
      </c>
      <c r="N177" s="292">
        <f t="shared" si="54"/>
        <v>0</v>
      </c>
      <c r="O177" s="292">
        <v>1.998</v>
      </c>
      <c r="P177" s="292">
        <f t="shared" si="51"/>
        <v>2.4643332</v>
      </c>
      <c r="Q177" s="294">
        <f t="shared" si="89"/>
        <v>2.4643332000000003E-4</v>
      </c>
      <c r="R177" s="295">
        <f t="shared" si="52"/>
        <v>0</v>
      </c>
      <c r="S177" s="296"/>
      <c r="T177" s="293"/>
      <c r="U177" s="293"/>
      <c r="V177" s="297">
        <f t="shared" si="53"/>
        <v>0</v>
      </c>
      <c r="W177" s="298"/>
      <c r="X177" s="297"/>
      <c r="Y177" s="297"/>
      <c r="Z177" s="297">
        <f>(V177-$V$105)/(D176-$D$104)</f>
        <v>-1.6492702966421104E-2</v>
      </c>
      <c r="AA177" s="298"/>
      <c r="AB177" s="110"/>
    </row>
    <row r="178" spans="2:28" x14ac:dyDescent="0.2">
      <c r="B178" s="58"/>
      <c r="C178" s="293"/>
      <c r="D178" s="148"/>
      <c r="E178" s="90" t="s">
        <v>109</v>
      </c>
      <c r="F178" s="58"/>
      <c r="G178" s="79"/>
      <c r="H178" s="81"/>
      <c r="I178" s="292"/>
      <c r="J178" s="292"/>
      <c r="K178" s="292"/>
      <c r="L178" s="292">
        <f t="shared" si="48"/>
        <v>0</v>
      </c>
      <c r="M178" s="292">
        <f t="shared" si="49"/>
        <v>0</v>
      </c>
      <c r="N178" s="92">
        <f t="shared" si="54"/>
        <v>0</v>
      </c>
      <c r="O178" s="92">
        <v>2.0179999999999998</v>
      </c>
      <c r="P178" s="92">
        <f t="shared" si="51"/>
        <v>2.4890011999999997</v>
      </c>
      <c r="Q178" s="93">
        <f t="shared" si="89"/>
        <v>2.4890011999999999E-4</v>
      </c>
      <c r="R178" s="94">
        <f t="shared" si="52"/>
        <v>0</v>
      </c>
      <c r="S178" s="95">
        <f>AVERAGE(R176:R178)</f>
        <v>0</v>
      </c>
      <c r="T178" s="96">
        <f>STDEV(R176:R178)</f>
        <v>0</v>
      </c>
      <c r="U178" s="96">
        <f>T178/SQRT(3)</f>
        <v>0</v>
      </c>
      <c r="V178" s="96">
        <f t="shared" si="53"/>
        <v>0</v>
      </c>
      <c r="W178" s="95">
        <f t="shared" ref="W178" si="97">AVERAGE(V176:V178)</f>
        <v>0</v>
      </c>
      <c r="X178" s="96">
        <f t="shared" ref="X178" si="98">STDEV(V176:V178)</f>
        <v>0</v>
      </c>
      <c r="Y178" s="96">
        <f t="shared" ref="Y178" si="99">X178/SQRT(3)</f>
        <v>0</v>
      </c>
      <c r="Z178" s="96">
        <f>(V178-$V$106)/(D176-$D$104)</f>
        <v>-1.8706705141107866E-2</v>
      </c>
      <c r="AA178" s="95">
        <f t="shared" ref="AA178" si="100">AVERAGE(Z176:Z178)</f>
        <v>-2.0795812527327918E-2</v>
      </c>
      <c r="AB178" s="103">
        <f t="shared" ref="AB178" si="101">STDEV(Z176:Z178)/SQRT(3)</f>
        <v>3.259385398697706E-3</v>
      </c>
    </row>
    <row r="179" spans="2:28" x14ac:dyDescent="0.2">
      <c r="B179" s="99" t="s">
        <v>82</v>
      </c>
      <c r="C179" s="100">
        <v>0.52430555555555558</v>
      </c>
      <c r="D179" s="147">
        <f>15/60+24+D176</f>
        <v>288.60000000000002</v>
      </c>
      <c r="E179" s="80" t="s">
        <v>107</v>
      </c>
      <c r="F179" s="162">
        <v>4.5900000000000003E-2</v>
      </c>
      <c r="G179" s="163">
        <v>4.4499999999999998E-2</v>
      </c>
      <c r="H179" s="162">
        <f>0.2313-F179</f>
        <v>0.18540000000000001</v>
      </c>
      <c r="I179" s="164">
        <f>0.232-F179</f>
        <v>0.18610000000000002</v>
      </c>
      <c r="J179" s="164">
        <f>0.1526-G179</f>
        <v>0.10810000000000002</v>
      </c>
      <c r="K179" s="164">
        <f>0.1538-G179</f>
        <v>0.10929999999999999</v>
      </c>
      <c r="L179" s="292">
        <f t="shared" si="48"/>
        <v>1.9448865478119935E-2</v>
      </c>
      <c r="M179" s="292">
        <f t="shared" si="49"/>
        <v>1.9444651539708271E-2</v>
      </c>
      <c r="N179" s="292">
        <f t="shared" si="54"/>
        <v>1.9446758508914103E-2</v>
      </c>
      <c r="O179" s="292">
        <v>2.3980000000000001</v>
      </c>
      <c r="P179" s="292">
        <f t="shared" si="51"/>
        <v>2.9576932000000005</v>
      </c>
      <c r="Q179" s="294">
        <f>P179*0.075/1000</f>
        <v>2.2182699000000003E-4</v>
      </c>
      <c r="R179" s="295">
        <f t="shared" si="52"/>
        <v>43.833165903107869</v>
      </c>
      <c r="S179" s="296"/>
      <c r="T179" s="293"/>
      <c r="U179" s="293"/>
      <c r="V179" s="297">
        <f t="shared" si="53"/>
        <v>129.64505672609403</v>
      </c>
      <c r="W179" s="298"/>
      <c r="X179" s="297"/>
      <c r="Y179" s="297"/>
      <c r="Z179" s="297">
        <f t="shared" ref="Z179" si="102">(V179-$V$104)/(D179-$D$104)</f>
        <v>0.42431705174817014</v>
      </c>
      <c r="AA179" s="298"/>
      <c r="AB179" s="110"/>
    </row>
    <row r="180" spans="2:28" x14ac:dyDescent="0.2">
      <c r="B180" s="58"/>
      <c r="C180" s="293"/>
      <c r="D180" s="148"/>
      <c r="E180" s="80" t="s">
        <v>108</v>
      </c>
      <c r="F180" s="165"/>
      <c r="G180" s="166"/>
      <c r="H180" s="167">
        <f>0.1749-F179</f>
        <v>0.129</v>
      </c>
      <c r="I180" s="300">
        <f>0.1784-F179</f>
        <v>0.13250000000000001</v>
      </c>
      <c r="J180" s="300">
        <f>0.113-G179</f>
        <v>6.8500000000000005E-2</v>
      </c>
      <c r="K180" s="300">
        <f>0.1148-G179</f>
        <v>7.0300000000000001E-2</v>
      </c>
      <c r="L180" s="292">
        <f t="shared" si="48"/>
        <v>1.4190842787682336E-2</v>
      </c>
      <c r="M180" s="292">
        <f t="shared" si="49"/>
        <v>1.4581604538087522E-2</v>
      </c>
      <c r="N180" s="292">
        <f t="shared" si="54"/>
        <v>1.4386223662884929E-2</v>
      </c>
      <c r="O180" s="292">
        <v>2.1539999999999999</v>
      </c>
      <c r="P180" s="292">
        <f t="shared" si="51"/>
        <v>2.6567436</v>
      </c>
      <c r="Q180" s="294">
        <f>P180*0.075/1000</f>
        <v>1.9925577E-4</v>
      </c>
      <c r="R180" s="295">
        <f t="shared" si="52"/>
        <v>36.099892271337815</v>
      </c>
      <c r="S180" s="296"/>
      <c r="T180" s="293"/>
      <c r="U180" s="293"/>
      <c r="V180" s="297">
        <f t="shared" si="53"/>
        <v>95.908157752566197</v>
      </c>
      <c r="W180" s="298"/>
      <c r="X180" s="297"/>
      <c r="Y180" s="297"/>
      <c r="Z180" s="297">
        <f>(V180-$V$105)/(D179-$D$104)</f>
        <v>0.31721521733677327</v>
      </c>
      <c r="AA180" s="298"/>
      <c r="AB180" s="110"/>
    </row>
    <row r="181" spans="2:28" x14ac:dyDescent="0.2">
      <c r="B181" s="58"/>
      <c r="C181" s="293"/>
      <c r="D181" s="148"/>
      <c r="E181" s="90" t="s">
        <v>109</v>
      </c>
      <c r="F181" s="165"/>
      <c r="G181" s="166"/>
      <c r="H181" s="167">
        <f>0.2628-F179</f>
        <v>0.21689999999999998</v>
      </c>
      <c r="I181" s="300">
        <f>0.2819-F179</f>
        <v>0.23599999999999999</v>
      </c>
      <c r="J181" s="300">
        <f>0.1802-G179</f>
        <v>0.13569999999999999</v>
      </c>
      <c r="K181" s="300">
        <f>0.1995-G179</f>
        <v>0.15500000000000003</v>
      </c>
      <c r="L181" s="292">
        <f t="shared" si="48"/>
        <v>2.1847893030794163E-2</v>
      </c>
      <c r="M181" s="292">
        <f t="shared" si="49"/>
        <v>2.3051053484602915E-2</v>
      </c>
      <c r="N181" s="92">
        <f t="shared" si="54"/>
        <v>2.2449473257698541E-2</v>
      </c>
      <c r="O181" s="92">
        <v>2.1579999999999999</v>
      </c>
      <c r="P181" s="92">
        <f t="shared" si="51"/>
        <v>2.6616772000000002</v>
      </c>
      <c r="Q181" s="93">
        <f>P181*0.075/1000</f>
        <v>1.9962579E-4</v>
      </c>
      <c r="R181" s="94">
        <f t="shared" si="52"/>
        <v>56.228890209272407</v>
      </c>
      <c r="S181" s="95">
        <f>AVERAGE(R179:R181)</f>
        <v>45.387316127906026</v>
      </c>
      <c r="T181" s="96">
        <f>STDEV(R179:R181)</f>
        <v>10.154096547072708</v>
      </c>
      <c r="U181" s="96">
        <f>T181/SQRT(3)</f>
        <v>5.8624703748298774</v>
      </c>
      <c r="V181" s="96">
        <f t="shared" si="53"/>
        <v>149.6631550513236</v>
      </c>
      <c r="W181" s="95">
        <f t="shared" ref="W181" si="103">AVERAGE(V179:V181)</f>
        <v>125.07212317666126</v>
      </c>
      <c r="X181" s="96">
        <f t="shared" ref="X181" si="104">STDEV(V179:V181)</f>
        <v>27.167696342954887</v>
      </c>
      <c r="Y181" s="96">
        <f t="shared" ref="Y181" si="105">X181/SQRT(3)</f>
        <v>15.685276796867017</v>
      </c>
      <c r="Z181" s="96">
        <f>(V181-$V$106)/(D179-$D$104)</f>
        <v>0.50144850154979803</v>
      </c>
      <c r="AA181" s="95">
        <f t="shared" ref="AA181" si="106">AVERAGE(Z179:Z181)</f>
        <v>0.41432692354491385</v>
      </c>
      <c r="AB181" s="103">
        <f t="shared" ref="AB181" si="107">STDEV(Z179:Z181)/SQRT(3)</f>
        <v>5.3417624273634057E-2</v>
      </c>
    </row>
    <row r="182" spans="2:28" x14ac:dyDescent="0.2">
      <c r="B182" s="99" t="s">
        <v>83</v>
      </c>
      <c r="C182" s="100">
        <v>0.53472222222222221</v>
      </c>
      <c r="D182" s="147">
        <f>15/60+24+D179</f>
        <v>312.85000000000002</v>
      </c>
      <c r="E182" s="80" t="s">
        <v>107</v>
      </c>
      <c r="F182" s="162">
        <f>(0.0555+0.0526)/2</f>
        <v>5.4050000000000001E-2</v>
      </c>
      <c r="G182" s="163">
        <f>(0.0536+0.0514)/2</f>
        <v>5.2500000000000005E-2</v>
      </c>
      <c r="H182" s="162">
        <f>0.2672-F182</f>
        <v>0.21315000000000001</v>
      </c>
      <c r="I182" s="164">
        <f>0.2429-F182</f>
        <v>0.18885000000000002</v>
      </c>
      <c r="J182" s="164">
        <f>0.1829-G182</f>
        <v>0.13040000000000002</v>
      </c>
      <c r="K182" s="164">
        <f>0.1608-G182</f>
        <v>0.10829999999999999</v>
      </c>
      <c r="L182" s="292">
        <f t="shared" si="48"/>
        <v>2.1759805510534844E-2</v>
      </c>
      <c r="M182" s="292">
        <f t="shared" si="49"/>
        <v>1.9988411669367913E-2</v>
      </c>
      <c r="N182" s="292">
        <f t="shared" si="54"/>
        <v>2.0874108589951378E-2</v>
      </c>
      <c r="O182" s="292">
        <v>2.5139999999999998</v>
      </c>
      <c r="P182" s="292">
        <f t="shared" si="51"/>
        <v>3.1007675999999997</v>
      </c>
      <c r="Q182" s="294">
        <f t="shared" ref="Q182:Q184" si="108">P182*0.075/1000</f>
        <v>2.3255756999999996E-4</v>
      </c>
      <c r="R182" s="295">
        <f t="shared" si="52"/>
        <v>44.879443378152303</v>
      </c>
      <c r="S182" s="296"/>
      <c r="T182" s="293"/>
      <c r="U182" s="293"/>
      <c r="V182" s="297">
        <f t="shared" si="53"/>
        <v>139.16072393300919</v>
      </c>
      <c r="W182" s="298"/>
      <c r="X182" s="297"/>
      <c r="Y182" s="297"/>
      <c r="Z182" s="297">
        <f t="shared" ref="Z182" si="109">(V182-$V$104)/(D182-$D$104)</f>
        <v>0.4218429545834651</v>
      </c>
      <c r="AA182" s="298"/>
      <c r="AB182" s="110"/>
    </row>
    <row r="183" spans="2:28" x14ac:dyDescent="0.2">
      <c r="B183" s="58"/>
      <c r="C183" s="293"/>
      <c r="D183" s="148"/>
      <c r="E183" s="80" t="s">
        <v>108</v>
      </c>
      <c r="F183" s="165"/>
      <c r="G183" s="166"/>
      <c r="H183" s="167">
        <f>0.2179-F182</f>
        <v>0.16385</v>
      </c>
      <c r="I183" s="300">
        <f>0.2175-F182</f>
        <v>0.16344999999999998</v>
      </c>
      <c r="J183" s="300">
        <f>0.1413-G182</f>
        <v>8.8800000000000004E-2</v>
      </c>
      <c r="K183" s="300">
        <f>0.1398-G182</f>
        <v>8.7300000000000003E-2</v>
      </c>
      <c r="L183" s="292">
        <f t="shared" si="48"/>
        <v>1.7848622366288494E-2</v>
      </c>
      <c r="M183" s="292">
        <f t="shared" si="49"/>
        <v>1.7930875202593191E-2</v>
      </c>
      <c r="N183" s="292">
        <f t="shared" si="54"/>
        <v>1.7889748784440843E-2</v>
      </c>
      <c r="O183" s="292">
        <v>2.2959999999999998</v>
      </c>
      <c r="P183" s="292">
        <f t="shared" si="51"/>
        <v>2.8318863999999997</v>
      </c>
      <c r="Q183" s="294">
        <f t="shared" si="108"/>
        <v>2.1239147999999996E-4</v>
      </c>
      <c r="R183" s="295">
        <f t="shared" si="52"/>
        <v>42.115033956260504</v>
      </c>
      <c r="S183" s="296"/>
      <c r="T183" s="293"/>
      <c r="U183" s="293"/>
      <c r="V183" s="297">
        <f t="shared" si="53"/>
        <v>119.26499189627231</v>
      </c>
      <c r="W183" s="298"/>
      <c r="X183" s="297"/>
      <c r="Y183" s="297"/>
      <c r="Z183" s="297">
        <f>(V183-$V$105)/(D182-$D$104)</f>
        <v>0.36728510745436749</v>
      </c>
      <c r="AA183" s="298"/>
      <c r="AB183" s="110"/>
    </row>
    <row r="184" spans="2:28" x14ac:dyDescent="0.2">
      <c r="B184" s="58"/>
      <c r="C184" s="293"/>
      <c r="D184" s="148"/>
      <c r="E184" s="90" t="s">
        <v>109</v>
      </c>
      <c r="F184" s="165"/>
      <c r="G184" s="166"/>
      <c r="H184" s="167">
        <f>0.2409-F182</f>
        <v>0.18685000000000002</v>
      </c>
      <c r="I184" s="300">
        <f>0.26-F182</f>
        <v>0.20595000000000002</v>
      </c>
      <c r="J184" s="300">
        <f>0.1529-G182</f>
        <v>0.1004</v>
      </c>
      <c r="K184" s="300">
        <f>0.1684-G182</f>
        <v>0.11589999999999999</v>
      </c>
      <c r="L184" s="292">
        <f t="shared" si="48"/>
        <v>2.04388978930308E-2</v>
      </c>
      <c r="M184" s="292">
        <f t="shared" si="49"/>
        <v>2.2014667747163701E-2</v>
      </c>
      <c r="N184" s="92">
        <f t="shared" si="54"/>
        <v>2.122678282009725E-2</v>
      </c>
      <c r="O184" s="92">
        <v>2.3159999999999998</v>
      </c>
      <c r="P184" s="92">
        <f t="shared" si="51"/>
        <v>2.8565543999999998</v>
      </c>
      <c r="Q184" s="93">
        <f t="shared" si="108"/>
        <v>2.1424157999999998E-4</v>
      </c>
      <c r="R184" s="94">
        <f t="shared" si="52"/>
        <v>49.53936304077213</v>
      </c>
      <c r="S184" s="95">
        <f>AVERAGE(R182:R184)</f>
        <v>45.511280125061639</v>
      </c>
      <c r="T184" s="96">
        <f>STDEV(R182:R184)</f>
        <v>3.7522764883254602</v>
      </c>
      <c r="U184" s="96">
        <f>T184/SQRT(3)</f>
        <v>2.1663778406086083</v>
      </c>
      <c r="V184" s="96">
        <f t="shared" si="53"/>
        <v>141.51188546731501</v>
      </c>
      <c r="W184" s="95">
        <f t="shared" ref="W184" si="110">AVERAGE(V182:V184)</f>
        <v>133.31253376553218</v>
      </c>
      <c r="X184" s="96">
        <f t="shared" ref="X184" si="111">STDEV(V182:V184)</f>
        <v>12.222195570623002</v>
      </c>
      <c r="Y184" s="96">
        <f t="shared" ref="Y184" si="112">X184/SQRT(3)</f>
        <v>7.0564879027874428</v>
      </c>
      <c r="Z184" s="96">
        <f>(V184-$V$106)/(D182-$D$104)</f>
        <v>0.43652474976270778</v>
      </c>
      <c r="AA184" s="95">
        <f t="shared" ref="AA184" si="113">AVERAGE(Z182:Z184)</f>
        <v>0.40855093726684677</v>
      </c>
      <c r="AB184" s="103">
        <f t="shared" ref="AB184" si="114">STDEV(Z182:Z184)/SQRT(3)</f>
        <v>2.1063715326010965E-2</v>
      </c>
    </row>
    <row r="185" spans="2:28" x14ac:dyDescent="0.2">
      <c r="B185" s="99" t="s">
        <v>84</v>
      </c>
      <c r="C185" s="100">
        <v>0.52777777777777779</v>
      </c>
      <c r="D185" s="155">
        <f>23+50/60+D182</f>
        <v>336.68333333333334</v>
      </c>
      <c r="E185" s="80" t="s">
        <v>107</v>
      </c>
      <c r="F185" s="162">
        <f>(0.0438+0.0304+0.0425)/3</f>
        <v>3.8899999999999997E-2</v>
      </c>
      <c r="G185" s="163">
        <f>(0.0434+0.0306+0.0415)/3</f>
        <v>3.85E-2</v>
      </c>
      <c r="H185" s="162">
        <f>0.3017-F185</f>
        <v>0.26280000000000003</v>
      </c>
      <c r="I185" s="164">
        <f>0.289-F185</f>
        <v>0.25009999999999999</v>
      </c>
      <c r="J185" s="164">
        <f>0.1715-G185</f>
        <v>0.13300000000000001</v>
      </c>
      <c r="K185" s="164">
        <f>0.1598-G185</f>
        <v>0.12129999999999999</v>
      </c>
      <c r="L185" s="292">
        <f t="shared" si="48"/>
        <v>2.9551863857374398E-2</v>
      </c>
      <c r="M185" s="292">
        <f t="shared" si="49"/>
        <v>2.8640761750405187E-2</v>
      </c>
      <c r="N185" s="292">
        <f t="shared" si="54"/>
        <v>2.9096312803889794E-2</v>
      </c>
      <c r="O185" s="292">
        <v>2.7240000000000002</v>
      </c>
      <c r="P185" s="292">
        <f t="shared" si="51"/>
        <v>3.3597816000000003</v>
      </c>
      <c r="Q185" s="294">
        <f>P185*0.075/1000</f>
        <v>2.5198362000000002E-4</v>
      </c>
      <c r="R185" s="295">
        <f t="shared" si="52"/>
        <v>57.734532117384838</v>
      </c>
      <c r="S185" s="296"/>
      <c r="T185" s="293"/>
      <c r="U185" s="293"/>
      <c r="V185" s="297">
        <f t="shared" si="53"/>
        <v>193.97541869259862</v>
      </c>
      <c r="W185" s="298"/>
      <c r="X185" s="297"/>
      <c r="Y185" s="297"/>
      <c r="Z185" s="297">
        <f t="shared" ref="Z185" si="115">(V185-$V$104)/(D185-$D$104)</f>
        <v>0.55478915826254094</v>
      </c>
      <c r="AA185" s="298"/>
      <c r="AB185" s="110"/>
    </row>
    <row r="186" spans="2:28" x14ac:dyDescent="0.2">
      <c r="B186" s="58"/>
      <c r="C186" s="293"/>
      <c r="D186" s="301"/>
      <c r="E186" s="80" t="s">
        <v>108</v>
      </c>
      <c r="F186" s="167"/>
      <c r="G186" s="168"/>
      <c r="H186" s="167">
        <f>0.2309-F185</f>
        <v>0.192</v>
      </c>
      <c r="I186" s="300">
        <f>0.2374-F185</f>
        <v>0.19850000000000001</v>
      </c>
      <c r="J186" s="300">
        <f>0.1393-G185</f>
        <v>0.1008</v>
      </c>
      <c r="K186" s="300">
        <f>0.1445-G185</f>
        <v>0.10599999999999998</v>
      </c>
      <c r="L186" s="292">
        <f t="shared" si="48"/>
        <v>2.1234359805510538E-2</v>
      </c>
      <c r="M186" s="292">
        <f t="shared" si="49"/>
        <v>2.1777957860615885E-2</v>
      </c>
      <c r="N186" s="292">
        <f t="shared" si="54"/>
        <v>2.1506158833063213E-2</v>
      </c>
      <c r="O186" s="292">
        <v>2.452</v>
      </c>
      <c r="P186" s="292">
        <f t="shared" si="51"/>
        <v>3.0242968000000001</v>
      </c>
      <c r="Q186" s="294">
        <f>P186*0.075/1000</f>
        <v>2.2682226E-4</v>
      </c>
      <c r="R186" s="295">
        <f t="shared" si="52"/>
        <v>47.40751377987155</v>
      </c>
      <c r="S186" s="296"/>
      <c r="T186" s="293"/>
      <c r="U186" s="293"/>
      <c r="V186" s="297">
        <f t="shared" si="53"/>
        <v>143.37439222042144</v>
      </c>
      <c r="W186" s="298"/>
      <c r="X186" s="297"/>
      <c r="Y186" s="297"/>
      <c r="Z186" s="297">
        <f>(V186-$V$105)/(D185-$D$104)</f>
        <v>0.41289405333770018</v>
      </c>
      <c r="AA186" s="298"/>
      <c r="AB186" s="110"/>
    </row>
    <row r="187" spans="2:28" x14ac:dyDescent="0.2">
      <c r="B187" s="58"/>
      <c r="C187" s="293"/>
      <c r="D187" s="301"/>
      <c r="E187" s="90" t="s">
        <v>109</v>
      </c>
      <c r="F187" s="167"/>
      <c r="G187" s="168"/>
      <c r="H187" s="167">
        <f>0.2967-F185</f>
        <v>0.25780000000000003</v>
      </c>
      <c r="I187" s="300">
        <f>0.2995-F185</f>
        <v>0.2606</v>
      </c>
      <c r="J187" s="300">
        <f>0.1767-G185</f>
        <v>0.13819999999999999</v>
      </c>
      <c r="K187" s="300">
        <f>0.1761-G185</f>
        <v>0.1376</v>
      </c>
      <c r="L187" s="292">
        <f t="shared" si="48"/>
        <v>2.8231604538087526E-2</v>
      </c>
      <c r="M187" s="292">
        <f t="shared" si="49"/>
        <v>2.8744246353322529E-2</v>
      </c>
      <c r="N187" s="92">
        <f t="shared" si="54"/>
        <v>2.8487925445705026E-2</v>
      </c>
      <c r="O187" s="92">
        <v>2.4580000000000002</v>
      </c>
      <c r="P187" s="92">
        <f t="shared" si="51"/>
        <v>3.0316972000000004</v>
      </c>
      <c r="Q187" s="93">
        <f>P187*0.075/1000</f>
        <v>2.2737729000000002E-4</v>
      </c>
      <c r="R187" s="94">
        <f t="shared" si="52"/>
        <v>62.644614696799806</v>
      </c>
      <c r="S187" s="95">
        <f>AVERAGE(R185:R187)</f>
        <v>55.928886864685403</v>
      </c>
      <c r="T187" s="96">
        <f>STDEV(R185:R187)</f>
        <v>7.7773759824320461</v>
      </c>
      <c r="U187" s="96">
        <f>T187/SQRT(3)</f>
        <v>4.4902701170460722</v>
      </c>
      <c r="V187" s="96">
        <f t="shared" si="53"/>
        <v>189.91950297136685</v>
      </c>
      <c r="W187" s="95">
        <f t="shared" ref="W187" si="116">AVERAGE(V185:V187)</f>
        <v>175.75643796146232</v>
      </c>
      <c r="X187" s="96">
        <f t="shared" ref="X187" si="117">STDEV(V185:V187)</f>
        <v>28.116903774519233</v>
      </c>
      <c r="Y187" s="96">
        <f t="shared" ref="Y187" si="118">X187/SQRT(3)</f>
        <v>16.233301962997484</v>
      </c>
      <c r="Z187" s="96">
        <f>(V187-$V$106)/(D185-$D$104)</f>
        <v>0.54940166962224146</v>
      </c>
      <c r="AA187" s="95">
        <f t="shared" ref="AA187" si="119">AVERAGE(Z185:Z187)</f>
        <v>0.50569496040749418</v>
      </c>
      <c r="AB187" s="103">
        <f t="shared" ref="AB187" si="120">STDEV(Z185:Z187)/SQRT(3)</f>
        <v>4.6426510110764145E-2</v>
      </c>
    </row>
    <row r="188" spans="2:28" x14ac:dyDescent="0.2">
      <c r="B188" s="99" t="s">
        <v>85</v>
      </c>
      <c r="C188" s="100">
        <v>0.51944444444444449</v>
      </c>
      <c r="D188" s="155">
        <f>10+48/60+13+D185</f>
        <v>360.48333333333335</v>
      </c>
      <c r="E188" s="80" t="s">
        <v>107</v>
      </c>
      <c r="F188" s="162"/>
      <c r="G188" s="163"/>
      <c r="H188" s="162"/>
      <c r="I188" s="164"/>
      <c r="J188" s="164"/>
      <c r="K188" s="164"/>
      <c r="L188" s="292">
        <f t="shared" si="48"/>
        <v>0</v>
      </c>
      <c r="M188" s="292">
        <f t="shared" si="49"/>
        <v>0</v>
      </c>
      <c r="N188" s="292">
        <f t="shared" si="54"/>
        <v>0</v>
      </c>
      <c r="O188" s="292">
        <v>2.8820000000000001</v>
      </c>
      <c r="P188" s="292">
        <f t="shared" si="51"/>
        <v>3.5546588000000003</v>
      </c>
      <c r="Q188" s="294">
        <f t="shared" ref="Q188:Q196" si="121">P188*0.05/1000</f>
        <v>1.7773294000000004E-4</v>
      </c>
      <c r="R188" s="295">
        <f t="shared" si="52"/>
        <v>0</v>
      </c>
      <c r="S188" s="296"/>
      <c r="T188" s="293"/>
      <c r="U188" s="293"/>
      <c r="V188" s="297">
        <f t="shared" si="53"/>
        <v>0</v>
      </c>
      <c r="W188" s="298"/>
      <c r="X188" s="297"/>
      <c r="Y188" s="297"/>
      <c r="Z188" s="297">
        <f t="shared" ref="Z188" si="122">(V188-$V$104)/(D188-$D$104)</f>
        <v>-1.9937553076625245E-2</v>
      </c>
      <c r="AA188" s="298"/>
      <c r="AB188" s="110"/>
    </row>
    <row r="189" spans="2:28" x14ac:dyDescent="0.2">
      <c r="B189" s="58"/>
      <c r="C189" s="293"/>
      <c r="D189" s="301"/>
      <c r="E189" s="80" t="s">
        <v>108</v>
      </c>
      <c r="F189" s="167"/>
      <c r="G189" s="168"/>
      <c r="H189" s="167"/>
      <c r="I189" s="300"/>
      <c r="J189" s="300"/>
      <c r="K189" s="300"/>
      <c r="L189" s="292">
        <f t="shared" si="48"/>
        <v>0</v>
      </c>
      <c r="M189" s="292">
        <f t="shared" si="49"/>
        <v>0</v>
      </c>
      <c r="N189" s="292">
        <f t="shared" si="54"/>
        <v>0</v>
      </c>
      <c r="O189" s="292">
        <v>2.62</v>
      </c>
      <c r="P189" s="292">
        <f t="shared" si="51"/>
        <v>3.2315080000000003</v>
      </c>
      <c r="Q189" s="294">
        <f t="shared" si="121"/>
        <v>1.6157540000000004E-4</v>
      </c>
      <c r="R189" s="295">
        <f t="shared" si="52"/>
        <v>0</v>
      </c>
      <c r="S189" s="296"/>
      <c r="T189" s="293"/>
      <c r="U189" s="293"/>
      <c r="V189" s="297">
        <f t="shared" si="53"/>
        <v>0</v>
      </c>
      <c r="W189" s="298"/>
      <c r="X189" s="297"/>
      <c r="Y189" s="297"/>
      <c r="Z189" s="297">
        <f>(V189-$V$105)/(D188-$D$104)</f>
        <v>-1.2094445501428876E-2</v>
      </c>
      <c r="AA189" s="298"/>
      <c r="AB189" s="110"/>
    </row>
    <row r="190" spans="2:28" x14ac:dyDescent="0.2">
      <c r="B190" s="58"/>
      <c r="C190" s="293"/>
      <c r="D190" s="301"/>
      <c r="E190" s="90" t="s">
        <v>109</v>
      </c>
      <c r="F190" s="167"/>
      <c r="G190" s="168"/>
      <c r="H190" s="167"/>
      <c r="I190" s="300"/>
      <c r="J190" s="300"/>
      <c r="K190" s="300"/>
      <c r="L190" s="292">
        <f t="shared" si="48"/>
        <v>0</v>
      </c>
      <c r="M190" s="292">
        <f t="shared" si="49"/>
        <v>0</v>
      </c>
      <c r="N190" s="92">
        <f t="shared" si="54"/>
        <v>0</v>
      </c>
      <c r="O190" s="92">
        <v>2.5939999999999999</v>
      </c>
      <c r="P190" s="92">
        <f t="shared" si="51"/>
        <v>3.1994395999999998</v>
      </c>
      <c r="Q190" s="93">
        <f t="shared" si="121"/>
        <v>1.5997198E-4</v>
      </c>
      <c r="R190" s="94">
        <f t="shared" si="52"/>
        <v>0</v>
      </c>
      <c r="S190" s="95">
        <f>AVERAGE(R188:R190)</f>
        <v>0</v>
      </c>
      <c r="T190" s="96">
        <f>STDEV(R188:R190)</f>
        <v>0</v>
      </c>
      <c r="U190" s="96">
        <f>T190/SQRT(3)</f>
        <v>0</v>
      </c>
      <c r="V190" s="96">
        <f t="shared" si="53"/>
        <v>0</v>
      </c>
      <c r="W190" s="95">
        <f t="shared" ref="W190" si="123">AVERAGE(V188:V190)</f>
        <v>0</v>
      </c>
      <c r="X190" s="96">
        <f t="shared" ref="X190" si="124">STDEV(V188:V190)</f>
        <v>0</v>
      </c>
      <c r="Y190" s="96">
        <f t="shared" ref="Y190" si="125">X190/SQRT(3)</f>
        <v>0</v>
      </c>
      <c r="Z190" s="96">
        <f>(V190-$V$106)/(D188-$D$104)</f>
        <v>-1.3718019799487349E-2</v>
      </c>
      <c r="AA190" s="95">
        <f t="shared" ref="AA190" si="126">AVERAGE(Z188:Z190)</f>
        <v>-1.5250006125847157E-2</v>
      </c>
      <c r="AB190" s="103">
        <f t="shared" ref="AB190" si="127">STDEV(Z188:Z190)/SQRT(3)</f>
        <v>2.3901757736716584E-3</v>
      </c>
    </row>
    <row r="191" spans="2:28" x14ac:dyDescent="0.2">
      <c r="B191" s="99" t="s">
        <v>86</v>
      </c>
      <c r="C191" s="100">
        <v>0.51597222222222217</v>
      </c>
      <c r="D191" s="155">
        <f>10+55/60+13+D188</f>
        <v>384.40000000000003</v>
      </c>
      <c r="E191" s="80" t="s">
        <v>107</v>
      </c>
      <c r="F191" s="162">
        <f>(0.0451+0.0398+0.0434)/3</f>
        <v>4.2766666666666668E-2</v>
      </c>
      <c r="G191" s="163">
        <f>(0.0445+0.0392+0.0428)/3</f>
        <v>4.2166666666666665E-2</v>
      </c>
      <c r="H191" s="162">
        <f>0.2013-F191</f>
        <v>0.15853333333333333</v>
      </c>
      <c r="I191" s="164">
        <f>0.2025-F191</f>
        <v>0.15973333333333334</v>
      </c>
      <c r="J191" s="164">
        <f>0.1287-G191</f>
        <v>8.6533333333333351E-2</v>
      </c>
      <c r="K191" s="164">
        <f>0.131-G191</f>
        <v>8.8833333333333347E-2</v>
      </c>
      <c r="L191" s="292">
        <f t="shared" si="48"/>
        <v>1.7209184224743383E-2</v>
      </c>
      <c r="M191" s="292">
        <f t="shared" si="49"/>
        <v>1.7178146947595892E-2</v>
      </c>
      <c r="N191" s="292">
        <f t="shared" si="54"/>
        <v>1.7193665586169637E-2</v>
      </c>
      <c r="O191" s="292">
        <v>2.9380000000000002</v>
      </c>
      <c r="P191" s="292">
        <f t="shared" si="51"/>
        <v>3.6237292000000005</v>
      </c>
      <c r="Q191" s="294">
        <f t="shared" si="121"/>
        <v>1.8118646000000004E-4</v>
      </c>
      <c r="R191" s="295">
        <f t="shared" si="52"/>
        <v>47.447435051630329</v>
      </c>
      <c r="S191" s="296"/>
      <c r="T191" s="293"/>
      <c r="U191" s="293"/>
      <c r="V191" s="297">
        <f t="shared" si="53"/>
        <v>171.93665586169635</v>
      </c>
      <c r="W191" s="298"/>
      <c r="X191" s="297"/>
      <c r="Y191" s="297"/>
      <c r="Z191" s="297">
        <f t="shared" ref="Z191" si="128">(V191-$V$104)/(D191-$D$104)</f>
        <v>0.42858871038013585</v>
      </c>
      <c r="AA191" s="298"/>
      <c r="AB191" s="110"/>
    </row>
    <row r="192" spans="2:28" x14ac:dyDescent="0.2">
      <c r="B192" s="58"/>
      <c r="C192" s="293"/>
      <c r="D192" s="301"/>
      <c r="E192" s="80" t="s">
        <v>108</v>
      </c>
      <c r="F192" s="167"/>
      <c r="G192" s="168"/>
      <c r="H192" s="167">
        <f>0.2112-F191</f>
        <v>0.16843333333333332</v>
      </c>
      <c r="I192" s="300">
        <f>0.2143-F191</f>
        <v>0.17153333333333332</v>
      </c>
      <c r="J192" s="300">
        <f>0.1382-G191</f>
        <v>9.6033333333333332E-2</v>
      </c>
      <c r="K192" s="300">
        <f>0.1397-G191</f>
        <v>9.7533333333333333E-2</v>
      </c>
      <c r="L192" s="292">
        <f t="shared" si="48"/>
        <v>1.7882198811453268E-2</v>
      </c>
      <c r="M192" s="292">
        <f t="shared" si="49"/>
        <v>1.8237547271745001E-2</v>
      </c>
      <c r="N192" s="292">
        <f t="shared" si="54"/>
        <v>1.8059873041599134E-2</v>
      </c>
      <c r="O192" s="292">
        <v>2.5379999999999998</v>
      </c>
      <c r="P192" s="292">
        <f t="shared" si="51"/>
        <v>3.1303692000000001</v>
      </c>
      <c r="Q192" s="294">
        <f t="shared" si="121"/>
        <v>1.5651846000000003E-4</v>
      </c>
      <c r="R192" s="295">
        <f t="shared" si="52"/>
        <v>57.692469762349859</v>
      </c>
      <c r="S192" s="296"/>
      <c r="T192" s="293"/>
      <c r="U192" s="293"/>
      <c r="V192" s="297">
        <f t="shared" si="53"/>
        <v>180.59873041599133</v>
      </c>
      <c r="W192" s="298"/>
      <c r="X192" s="297"/>
      <c r="Y192" s="297"/>
      <c r="Z192" s="297">
        <f>(V192-$V$105)/(D191-$D$104)</f>
        <v>0.45847784700004657</v>
      </c>
      <c r="AA192" s="298"/>
      <c r="AB192" s="110"/>
    </row>
    <row r="193" spans="1:28" x14ac:dyDescent="0.2">
      <c r="B193" s="58"/>
      <c r="C193" s="293"/>
      <c r="D193" s="301"/>
      <c r="E193" s="90" t="s">
        <v>109</v>
      </c>
      <c r="F193" s="167"/>
      <c r="G193" s="168"/>
      <c r="H193" s="167">
        <f>0.2383-F191</f>
        <v>0.19553333333333334</v>
      </c>
      <c r="I193" s="300">
        <f>0.2484-F191</f>
        <v>0.20563333333333333</v>
      </c>
      <c r="J193" s="300">
        <f>0.1618-G191</f>
        <v>0.11963333333333334</v>
      </c>
      <c r="K193" s="300">
        <f>0.1723-G191</f>
        <v>0.13013333333333335</v>
      </c>
      <c r="L193" s="292">
        <f t="shared" si="48"/>
        <v>1.9960318746623445E-2</v>
      </c>
      <c r="M193" s="292">
        <f t="shared" si="49"/>
        <v>2.0567693138843868E-2</v>
      </c>
      <c r="N193" s="92">
        <f t="shared" si="54"/>
        <v>2.0264005942733657E-2</v>
      </c>
      <c r="O193" s="92">
        <v>2.734</v>
      </c>
      <c r="P193" s="92">
        <f t="shared" si="51"/>
        <v>3.3721156000000003</v>
      </c>
      <c r="Q193" s="93">
        <f t="shared" si="121"/>
        <v>1.6860578000000003E-4</v>
      </c>
      <c r="R193" s="94">
        <f t="shared" si="52"/>
        <v>60.092856670553211</v>
      </c>
      <c r="S193" s="95">
        <f>AVERAGE(R191:R193)</f>
        <v>55.077587161511133</v>
      </c>
      <c r="T193" s="96">
        <f>STDEV(R191:R193)</f>
        <v>6.7160166946045754</v>
      </c>
      <c r="U193" s="96">
        <f>T193/SQRT(3)</f>
        <v>3.8774940465119725</v>
      </c>
      <c r="V193" s="96">
        <f t="shared" si="53"/>
        <v>202.64005942733655</v>
      </c>
      <c r="W193" s="95">
        <f t="shared" ref="W193" si="129">AVERAGE(V191:V193)</f>
        <v>185.05848190167475</v>
      </c>
      <c r="X193" s="96">
        <f t="shared" ref="X193" si="130">STDEV(V191:V193)</f>
        <v>15.830091127791508</v>
      </c>
      <c r="Y193" s="96">
        <f t="shared" ref="Y193" si="131">X193/SQRT(3)</f>
        <v>9.139507373926735</v>
      </c>
      <c r="Z193" s="96">
        <f>(V193-$V$106)/(D191-$D$104)</f>
        <v>0.51429485411884668</v>
      </c>
      <c r="AA193" s="95">
        <f t="shared" ref="AA193" si="132">AVERAGE(Z191:Z193)</f>
        <v>0.46712047049967637</v>
      </c>
      <c r="AB193" s="103">
        <f t="shared" ref="AB193" si="133">STDEV(Z191:Z193)/SQRT(3)</f>
        <v>2.511577840294427E-2</v>
      </c>
    </row>
    <row r="194" spans="1:28" x14ac:dyDescent="0.2">
      <c r="B194" s="99" t="s">
        <v>87</v>
      </c>
      <c r="C194" s="100">
        <v>0.53888888888888886</v>
      </c>
      <c r="D194" s="155">
        <f>33/60+24+D191</f>
        <v>408.95000000000005</v>
      </c>
      <c r="E194" s="80" t="s">
        <v>107</v>
      </c>
      <c r="F194" s="162">
        <v>4.4200000000000003E-2</v>
      </c>
      <c r="G194" s="163">
        <v>4.2500000000000003E-2</v>
      </c>
      <c r="H194" s="164">
        <f>0.2234-F194</f>
        <v>0.17919999999999997</v>
      </c>
      <c r="I194" s="164">
        <f>0.2117-F194</f>
        <v>0.16749999999999998</v>
      </c>
      <c r="J194" s="164">
        <f>0.1416-G194</f>
        <v>9.9099999999999994E-2</v>
      </c>
      <c r="K194" s="164">
        <f>0.131-G194</f>
        <v>8.8499999999999995E-2</v>
      </c>
      <c r="L194" s="292">
        <f t="shared" si="48"/>
        <v>1.9326499189627224E-2</v>
      </c>
      <c r="M194" s="292">
        <f t="shared" si="49"/>
        <v>1.8469611021069691E-2</v>
      </c>
      <c r="N194" s="292">
        <f t="shared" si="54"/>
        <v>1.8898055105348456E-2</v>
      </c>
      <c r="O194" s="292">
        <v>2.964</v>
      </c>
      <c r="P194" s="292">
        <f t="shared" si="51"/>
        <v>3.6557976000000001</v>
      </c>
      <c r="Q194" s="294">
        <f t="shared" si="121"/>
        <v>1.8278988000000002E-4</v>
      </c>
      <c r="R194" s="295">
        <f t="shared" si="52"/>
        <v>51.693384517098139</v>
      </c>
      <c r="S194" s="296"/>
      <c r="T194" s="293"/>
      <c r="U194" s="293"/>
      <c r="V194" s="297">
        <f t="shared" si="53"/>
        <v>188.98055105348453</v>
      </c>
      <c r="W194" s="298"/>
      <c r="X194" s="297"/>
      <c r="Y194" s="297"/>
      <c r="Z194" s="297">
        <f t="shared" ref="Z194" si="134">(V194-$V$104)/(D194-$D$104)</f>
        <v>0.44453697386456142</v>
      </c>
      <c r="AA194" s="298"/>
      <c r="AB194" s="110"/>
    </row>
    <row r="195" spans="1:28" x14ac:dyDescent="0.2">
      <c r="B195" s="58"/>
      <c r="C195" s="293"/>
      <c r="D195" s="301"/>
      <c r="E195" s="80" t="s">
        <v>108</v>
      </c>
      <c r="F195" s="167"/>
      <c r="G195" s="168"/>
      <c r="H195" s="300">
        <f>0.2773-F194</f>
        <v>0.23309999999999997</v>
      </c>
      <c r="I195" s="300">
        <f>0.2809-F194</f>
        <v>0.23669999999999997</v>
      </c>
      <c r="J195" s="300">
        <f>0.2019-G194</f>
        <v>0.15939999999999999</v>
      </c>
      <c r="K195" s="300">
        <f>0.2023-G194</f>
        <v>0.1598</v>
      </c>
      <c r="L195" s="292">
        <f t="shared" si="48"/>
        <v>2.2149594813614261E-2</v>
      </c>
      <c r="M195" s="292">
        <f t="shared" si="49"/>
        <v>2.2693841166936783E-2</v>
      </c>
      <c r="N195" s="292">
        <f t="shared" si="54"/>
        <v>2.2421717990275522E-2</v>
      </c>
      <c r="O195" s="292">
        <v>2.5739999999999998</v>
      </c>
      <c r="P195" s="292">
        <f t="shared" si="51"/>
        <v>3.1747716000000001</v>
      </c>
      <c r="Q195" s="294">
        <f t="shared" si="121"/>
        <v>1.5873858000000002E-4</v>
      </c>
      <c r="R195" s="295">
        <f t="shared" si="52"/>
        <v>70.624664748404328</v>
      </c>
      <c r="S195" s="296"/>
      <c r="T195" s="293"/>
      <c r="U195" s="293"/>
      <c r="V195" s="297">
        <f t="shared" si="53"/>
        <v>224.21717990275522</v>
      </c>
      <c r="W195" s="298"/>
      <c r="X195" s="297"/>
      <c r="Y195" s="297"/>
      <c r="Z195" s="297">
        <f>(V195-$V$105)/(D194-$D$104)</f>
        <v>0.5376142165878024</v>
      </c>
      <c r="AA195" s="298"/>
      <c r="AB195" s="110"/>
    </row>
    <row r="196" spans="1:28" ht="14" thickBot="1" x14ac:dyDescent="0.25">
      <c r="A196" s="120"/>
      <c r="B196" s="113"/>
      <c r="C196" s="159"/>
      <c r="D196" s="186"/>
      <c r="E196" s="121" t="s">
        <v>109</v>
      </c>
      <c r="F196" s="302"/>
      <c r="G196" s="303"/>
      <c r="H196" s="304">
        <f>0.236-F194</f>
        <v>0.19179999999999997</v>
      </c>
      <c r="I196" s="304">
        <f>0.276-F194</f>
        <v>0.23180000000000001</v>
      </c>
      <c r="J196" s="304">
        <f>0.155-G194</f>
        <v>0.11249999999999999</v>
      </c>
      <c r="K196" s="304">
        <f>0.1914-G194</f>
        <v>0.14889999999999998</v>
      </c>
      <c r="L196" s="114">
        <f t="shared" si="48"/>
        <v>2.005470016207455E-2</v>
      </c>
      <c r="M196" s="114">
        <f t="shared" si="49"/>
        <v>2.2968476499189632E-2</v>
      </c>
      <c r="N196" s="114">
        <f t="shared" si="54"/>
        <v>2.1511588330632089E-2</v>
      </c>
      <c r="O196" s="114">
        <v>2.7879999999999998</v>
      </c>
      <c r="P196" s="114">
        <f t="shared" si="51"/>
        <v>3.4387192</v>
      </c>
      <c r="Q196" s="115">
        <f t="shared" si="121"/>
        <v>1.7193596E-4</v>
      </c>
      <c r="R196" s="116">
        <f t="shared" si="52"/>
        <v>62.556978571068235</v>
      </c>
      <c r="S196" s="117">
        <f>AVERAGE(R194:R196)</f>
        <v>61.625009278856901</v>
      </c>
      <c r="T196" s="118">
        <f>STDEV(R194:R196)</f>
        <v>9.499987782638426</v>
      </c>
      <c r="U196" s="118">
        <f>T196/SQRT(3)</f>
        <v>5.4848205036044515</v>
      </c>
      <c r="V196" s="118">
        <f t="shared" si="53"/>
        <v>215.11588330632091</v>
      </c>
      <c r="W196" s="117">
        <f t="shared" ref="W196" si="135">AVERAGE(V194:V196)</f>
        <v>209.43787142085355</v>
      </c>
      <c r="X196" s="118">
        <f t="shared" ref="X196" si="136">STDEV(V194:V196)</f>
        <v>18.291661143645353</v>
      </c>
      <c r="Y196" s="118">
        <f t="shared" ref="Y196" si="137">X196/SQRT(3)</f>
        <v>10.560695485209063</v>
      </c>
      <c r="Z196" s="118">
        <f>(V196-$V$106)/(D194-$D$104)</f>
        <v>0.51392778041880183</v>
      </c>
      <c r="AA196" s="117">
        <f t="shared" ref="AA196" si="138">AVERAGE(Z194:Z196)</f>
        <v>0.49869299029038855</v>
      </c>
      <c r="AB196" s="119">
        <f t="shared" ref="AB196" si="139">STDEV(Z194:Z196)/SQRT(3)</f>
        <v>2.7927987163016706E-2</v>
      </c>
    </row>
  </sheetData>
  <mergeCells count="23">
    <mergeCell ref="H150:I150"/>
    <mergeCell ref="J150:K150"/>
    <mergeCell ref="L150:M150"/>
    <mergeCell ref="J151:K151"/>
    <mergeCell ref="L151:M151"/>
    <mergeCell ref="B149:AB149"/>
    <mergeCell ref="B101:AB101"/>
    <mergeCell ref="H102:I102"/>
    <mergeCell ref="J102:K102"/>
    <mergeCell ref="L102:M102"/>
    <mergeCell ref="J103:K103"/>
    <mergeCell ref="L103:M103"/>
    <mergeCell ref="H51:I51"/>
    <mergeCell ref="J51:K51"/>
    <mergeCell ref="L51:M51"/>
    <mergeCell ref="L52:M52"/>
    <mergeCell ref="B50:AB50"/>
    <mergeCell ref="L4:M4"/>
    <mergeCell ref="A1:AB1"/>
    <mergeCell ref="B2:AB2"/>
    <mergeCell ref="H3:I3"/>
    <mergeCell ref="J3:K3"/>
    <mergeCell ref="L3:M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A01B3-9774-4F40-AD75-9C0777E7A69D}">
  <dimension ref="A1:AQ193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85.6640625" style="56" customWidth="1"/>
    <col min="2" max="2" width="9.83203125" style="56" customWidth="1"/>
    <col min="3" max="3" width="9.5" style="56" customWidth="1"/>
    <col min="4" max="4" width="11.5" style="56" bestFit="1" customWidth="1"/>
    <col min="5" max="7" width="11.5" style="56" customWidth="1"/>
    <col min="8" max="8" width="9.83203125" style="56" customWidth="1"/>
    <col min="9" max="11" width="9.6640625" style="56" customWidth="1"/>
    <col min="12" max="15" width="9.1640625" style="56"/>
    <col min="16" max="16" width="12.1640625" style="56" customWidth="1"/>
    <col min="17" max="17" width="11.83203125" style="56" customWidth="1"/>
    <col min="18" max="18" width="11.6640625" style="56" bestFit="1" customWidth="1"/>
    <col min="19" max="19" width="9.1640625" style="56"/>
    <col min="20" max="21" width="9.5" style="56" bestFit="1" customWidth="1"/>
    <col min="22" max="25" width="9.5" style="56" customWidth="1"/>
    <col min="26" max="26" width="9.6640625" style="56" customWidth="1"/>
    <col min="27" max="27" width="9.5" style="56" customWidth="1"/>
    <col min="28" max="30" width="9.1640625" style="56"/>
    <col min="31" max="31" width="11.83203125" style="56" customWidth="1"/>
    <col min="32" max="16384" width="9.1640625" style="56"/>
  </cols>
  <sheetData>
    <row r="1" spans="1:34" ht="17" thickBot="1" x14ac:dyDescent="0.25">
      <c r="A1" s="227" t="s">
        <v>111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  <c r="Z1" s="228"/>
      <c r="AA1" s="228"/>
      <c r="AB1" s="229"/>
    </row>
    <row r="2" spans="1:34" ht="15" thickBot="1" x14ac:dyDescent="0.25">
      <c r="A2" s="57"/>
      <c r="B2" s="230" t="s">
        <v>70</v>
      </c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2"/>
    </row>
    <row r="3" spans="1:34" ht="47" customHeight="1" x14ac:dyDescent="0.2">
      <c r="A3" s="58"/>
      <c r="B3" s="59" t="s">
        <v>0</v>
      </c>
      <c r="C3" s="60" t="s">
        <v>1</v>
      </c>
      <c r="D3" s="61" t="s">
        <v>2</v>
      </c>
      <c r="E3" s="62"/>
      <c r="F3" s="60" t="s">
        <v>8</v>
      </c>
      <c r="G3" s="60" t="s">
        <v>9</v>
      </c>
      <c r="H3" s="233" t="s">
        <v>90</v>
      </c>
      <c r="I3" s="234"/>
      <c r="J3" s="235" t="s">
        <v>91</v>
      </c>
      <c r="K3" s="236"/>
      <c r="L3" s="237" t="s">
        <v>92</v>
      </c>
      <c r="M3" s="238"/>
      <c r="N3" s="63" t="s">
        <v>93</v>
      </c>
      <c r="O3" s="64" t="s">
        <v>94</v>
      </c>
      <c r="P3" s="63" t="s">
        <v>10</v>
      </c>
      <c r="Q3" s="63" t="s">
        <v>11</v>
      </c>
      <c r="R3" s="63" t="s">
        <v>95</v>
      </c>
      <c r="S3" s="63" t="s">
        <v>96</v>
      </c>
      <c r="T3" s="63" t="s">
        <v>97</v>
      </c>
      <c r="U3" s="65" t="s">
        <v>62</v>
      </c>
      <c r="V3" s="64" t="s">
        <v>98</v>
      </c>
      <c r="W3" s="63" t="s">
        <v>99</v>
      </c>
      <c r="X3" s="63" t="s">
        <v>97</v>
      </c>
      <c r="Y3" s="66" t="s">
        <v>62</v>
      </c>
      <c r="Z3" s="66" t="s">
        <v>100</v>
      </c>
      <c r="AA3" s="63" t="s">
        <v>101</v>
      </c>
      <c r="AB3" s="67" t="s">
        <v>62</v>
      </c>
    </row>
    <row r="4" spans="1:34" ht="37" customHeight="1" x14ac:dyDescent="0.2">
      <c r="A4" s="58"/>
      <c r="B4" s="68"/>
      <c r="C4" s="69"/>
      <c r="D4" s="70"/>
      <c r="E4" s="71"/>
      <c r="F4" s="69" t="s">
        <v>13</v>
      </c>
      <c r="G4" s="69" t="s">
        <v>13</v>
      </c>
      <c r="H4" s="72" t="s">
        <v>102</v>
      </c>
      <c r="I4" s="69" t="s">
        <v>103</v>
      </c>
      <c r="J4" s="70" t="s">
        <v>102</v>
      </c>
      <c r="K4" s="73" t="s">
        <v>103</v>
      </c>
      <c r="L4" s="225" t="s">
        <v>14</v>
      </c>
      <c r="M4" s="226"/>
      <c r="N4" s="74" t="s">
        <v>14</v>
      </c>
      <c r="O4" s="74" t="s">
        <v>13</v>
      </c>
      <c r="P4" s="74" t="s">
        <v>15</v>
      </c>
      <c r="Q4" s="74" t="s">
        <v>16</v>
      </c>
      <c r="R4" s="75" t="s">
        <v>104</v>
      </c>
      <c r="S4" s="75" t="s">
        <v>104</v>
      </c>
      <c r="T4" s="74"/>
      <c r="U4" s="70"/>
      <c r="V4" s="75" t="s">
        <v>105</v>
      </c>
      <c r="W4" s="75" t="s">
        <v>105</v>
      </c>
      <c r="X4" s="74"/>
      <c r="Y4" s="74"/>
      <c r="Z4" s="75" t="s">
        <v>106</v>
      </c>
      <c r="AA4" s="75" t="s">
        <v>106</v>
      </c>
      <c r="AB4" s="76"/>
      <c r="AD4" s="56" t="s">
        <v>2</v>
      </c>
      <c r="AE4" s="77" t="str">
        <f>S3</f>
        <v>Average specific CPC conc.</v>
      </c>
      <c r="AF4" s="56" t="s">
        <v>12</v>
      </c>
      <c r="AG4" s="77" t="str">
        <f>W3</f>
        <v>Average total CPC</v>
      </c>
      <c r="AH4" s="56" t="s">
        <v>12</v>
      </c>
    </row>
    <row r="5" spans="1:34" x14ac:dyDescent="0.2">
      <c r="A5" s="58"/>
      <c r="B5" s="58" t="s">
        <v>23</v>
      </c>
      <c r="C5" s="78">
        <v>0.48333333333333334</v>
      </c>
      <c r="D5" s="79">
        <v>0</v>
      </c>
      <c r="E5" s="80" t="s">
        <v>107</v>
      </c>
      <c r="F5" s="82">
        <f>(0.0345+0.0356)/2</f>
        <v>3.5049999999999998E-2</v>
      </c>
      <c r="G5" s="82">
        <f>(0.0344+0.0347)/2</f>
        <v>3.4549999999999997E-2</v>
      </c>
      <c r="H5" s="81">
        <f>0.1777-F5</f>
        <v>0.14265</v>
      </c>
      <c r="I5" s="82">
        <f>0.1741-F5</f>
        <v>0.13905000000000001</v>
      </c>
      <c r="J5" s="82">
        <f>0.143-G5</f>
        <v>0.10844999999999999</v>
      </c>
      <c r="K5" s="82">
        <f>0.1404-G5</f>
        <v>0.10585</v>
      </c>
      <c r="L5" s="82">
        <f>(H5-(0.605*J5))/6.17</f>
        <v>1.2485858995137765E-2</v>
      </c>
      <c r="M5" s="82">
        <f>(I5-(0.605*K5))/6.17</f>
        <v>1.215733387358185E-2</v>
      </c>
      <c r="N5" s="82">
        <f>AVERAGE(L5:M5)</f>
        <v>1.2321596434359807E-2</v>
      </c>
      <c r="O5" s="56">
        <f>'Growth curves UTEX #1926'!F5</f>
        <v>0.10199999999999999</v>
      </c>
      <c r="P5" s="82">
        <f>1.2596*O5</f>
        <v>0.12847919999999999</v>
      </c>
      <c r="Q5" s="83">
        <f>P5*1/1000</f>
        <v>1.2847919999999999E-4</v>
      </c>
      <c r="R5" s="84">
        <f>(N5*0.5)/Q5</f>
        <v>47.95171683182884</v>
      </c>
      <c r="S5" s="85"/>
      <c r="V5" s="86">
        <f>R5*P5</f>
        <v>6.1607982171799032</v>
      </c>
      <c r="W5" s="85"/>
      <c r="AA5" s="85"/>
      <c r="AB5" s="79"/>
      <c r="AD5" s="87">
        <f>D5</f>
        <v>0</v>
      </c>
      <c r="AE5" s="86">
        <f>S7</f>
        <v>43.880790311320091</v>
      </c>
      <c r="AF5" s="86">
        <f>U7</f>
        <v>3.4110099497934447</v>
      </c>
      <c r="AG5" s="86">
        <f>W7</f>
        <v>5.4385332252836305</v>
      </c>
      <c r="AH5" s="86">
        <f>Y7</f>
        <v>0.46132128946140999</v>
      </c>
    </row>
    <row r="6" spans="1:34" ht="15" customHeight="1" x14ac:dyDescent="0.2">
      <c r="A6" s="58"/>
      <c r="B6" s="58"/>
      <c r="D6" s="79"/>
      <c r="E6" s="80" t="s">
        <v>108</v>
      </c>
      <c r="H6" s="81">
        <f>0.1336-F5</f>
        <v>9.8549999999999999E-2</v>
      </c>
      <c r="I6" s="82">
        <f>0.1222-F5</f>
        <v>8.7150000000000005E-2</v>
      </c>
      <c r="J6" s="82">
        <f>0.1001-G5</f>
        <v>6.5549999999999997E-2</v>
      </c>
      <c r="K6" s="82">
        <f>0.0891-G5</f>
        <v>5.4550000000000001E-2</v>
      </c>
      <c r="L6" s="82">
        <f t="shared" ref="L6:L49" si="0">(H6-(0.605*J6))/6.17</f>
        <v>9.5449351701782821E-3</v>
      </c>
      <c r="M6" s="82">
        <f t="shared" ref="M6:M49" si="1">(I6-(0.605*K6))/6.17</f>
        <v>8.7758914100486245E-3</v>
      </c>
      <c r="N6" s="82">
        <f t="shared" ref="N6:N49" si="2">AVERAGE(L6:M6)</f>
        <v>9.1604132901134533E-3</v>
      </c>
      <c r="O6" s="82">
        <f>'Growth curves UTEX #1926'!G5</f>
        <v>9.8000000000000004E-2</v>
      </c>
      <c r="P6" s="82">
        <f t="shared" ref="P6:P49" si="3">1.2596*O6</f>
        <v>0.1234408</v>
      </c>
      <c r="Q6" s="83">
        <f>P6*1/1000</f>
        <v>1.234408E-4</v>
      </c>
      <c r="R6" s="84">
        <f t="shared" ref="R6:R49" si="4">(N6*0.5)/Q6</f>
        <v>37.10447959715691</v>
      </c>
      <c r="S6" s="85"/>
      <c r="V6" s="86">
        <f t="shared" ref="V6:V49" si="5">R6*P6</f>
        <v>4.5802066450567267</v>
      </c>
      <c r="W6" s="85"/>
      <c r="AA6" s="85"/>
      <c r="AB6" s="79"/>
      <c r="AD6" s="87">
        <f>D8</f>
        <v>22.516666666666666</v>
      </c>
      <c r="AE6" s="86">
        <f>S10</f>
        <v>18.230235517216261</v>
      </c>
      <c r="AF6" s="86">
        <f>U10</f>
        <v>0.8580583320613262</v>
      </c>
      <c r="AG6" s="86">
        <f>W10</f>
        <v>5.4029308481901692</v>
      </c>
      <c r="AH6" s="86">
        <f>Y10</f>
        <v>0.32879340059036066</v>
      </c>
    </row>
    <row r="7" spans="1:34" ht="15" customHeight="1" x14ac:dyDescent="0.2">
      <c r="A7" s="58"/>
      <c r="B7" s="88"/>
      <c r="C7" s="97"/>
      <c r="D7" s="89"/>
      <c r="E7" s="90" t="s">
        <v>109</v>
      </c>
      <c r="F7" s="88"/>
      <c r="G7" s="89"/>
      <c r="H7" s="91">
        <f>0.1512-F5</f>
        <v>0.11615</v>
      </c>
      <c r="I7" s="92">
        <f>0.158-F5</f>
        <v>0.12295</v>
      </c>
      <c r="J7" s="92">
        <f>0.1154-G5</f>
        <v>8.0850000000000005E-2</v>
      </c>
      <c r="K7" s="92">
        <f>0.1215-G5</f>
        <v>8.695E-2</v>
      </c>
      <c r="L7" s="82">
        <f t="shared" si="0"/>
        <v>1.0897204213938413E-2</v>
      </c>
      <c r="M7" s="82">
        <f t="shared" si="1"/>
        <v>1.1401175040518638E-2</v>
      </c>
      <c r="N7" s="92">
        <f t="shared" si="2"/>
        <v>1.1149189627228526E-2</v>
      </c>
      <c r="O7" s="97">
        <f>'Growth curves UTEX #1926'!H5</f>
        <v>9.5000000000000001E-2</v>
      </c>
      <c r="P7" s="92">
        <f t="shared" si="3"/>
        <v>0.119662</v>
      </c>
      <c r="Q7" s="93">
        <f>P7*1/1000</f>
        <v>1.1966200000000001E-4</v>
      </c>
      <c r="R7" s="94">
        <f t="shared" si="4"/>
        <v>46.586174504974537</v>
      </c>
      <c r="S7" s="95">
        <f>AVERAGE(R5:R7)</f>
        <v>43.880790311320091</v>
      </c>
      <c r="T7" s="96">
        <f>STDEV(R5:R7)</f>
        <v>5.9080425381652111</v>
      </c>
      <c r="U7" s="96">
        <f>T7/SQRT(3)</f>
        <v>3.4110099497934447</v>
      </c>
      <c r="V7" s="96">
        <f t="shared" si="5"/>
        <v>5.5745948136142633</v>
      </c>
      <c r="W7" s="95">
        <f>AVERAGE(V5:V7)</f>
        <v>5.4385332252836305</v>
      </c>
      <c r="X7" s="96">
        <f>STDEV(V5:V7)</f>
        <v>0.79903191196035095</v>
      </c>
      <c r="Y7" s="96">
        <f>X7/SQRT(3)</f>
        <v>0.46132128946140999</v>
      </c>
      <c r="Z7" s="97"/>
      <c r="AA7" s="98"/>
      <c r="AB7" s="89"/>
      <c r="AD7" s="87">
        <f>D11</f>
        <v>70.783333333333331</v>
      </c>
      <c r="AE7" s="86">
        <f>S13</f>
        <v>25.80157515214275</v>
      </c>
      <c r="AF7" s="86">
        <f>U13</f>
        <v>0.99533356067163359</v>
      </c>
      <c r="AG7" s="86">
        <f>W13</f>
        <v>18.281158833063209</v>
      </c>
      <c r="AH7" s="86">
        <f>Y13</f>
        <v>0.49005928421179157</v>
      </c>
    </row>
    <row r="8" spans="1:34" x14ac:dyDescent="0.2">
      <c r="A8" s="58"/>
      <c r="B8" s="58" t="s">
        <v>24</v>
      </c>
      <c r="C8" s="78">
        <v>0.42152777777777778</v>
      </c>
      <c r="D8" s="152">
        <f>10+31/60+12</f>
        <v>22.516666666666666</v>
      </c>
      <c r="E8" s="80" t="s">
        <v>107</v>
      </c>
      <c r="F8" s="82">
        <f>(0.0391+0.0385)/2</f>
        <v>3.8800000000000001E-2</v>
      </c>
      <c r="G8" s="82">
        <f>(0.0387+0.0381)/2</f>
        <v>3.8400000000000004E-2</v>
      </c>
      <c r="H8" s="81">
        <f>0.1335-F8</f>
        <v>9.4700000000000006E-2</v>
      </c>
      <c r="I8" s="82">
        <f>0.1279-F8</f>
        <v>8.9100000000000013E-2</v>
      </c>
      <c r="J8" s="82">
        <f>0.0943-G8</f>
        <v>5.5899999999999991E-2</v>
      </c>
      <c r="K8" s="82">
        <f>0.0881-G8</f>
        <v>4.9699999999999994E-2</v>
      </c>
      <c r="L8" s="82">
        <f t="shared" si="0"/>
        <v>9.8671799027552701E-3</v>
      </c>
      <c r="M8" s="82">
        <f t="shared" si="1"/>
        <v>9.5675040518638597E-3</v>
      </c>
      <c r="N8" s="82">
        <f t="shared" si="2"/>
        <v>9.717341977309564E-3</v>
      </c>
      <c r="O8" s="82">
        <f>'Growth curves UTEX #1926'!F9</f>
        <v>0.23100000000000001</v>
      </c>
      <c r="P8" s="82">
        <f t="shared" si="3"/>
        <v>0.29096760000000005</v>
      </c>
      <c r="Q8" s="83">
        <f>P8*1/1000</f>
        <v>2.9096760000000004E-4</v>
      </c>
      <c r="R8" s="84">
        <f t="shared" si="4"/>
        <v>16.6983230732727</v>
      </c>
      <c r="S8" s="102"/>
      <c r="T8" s="86"/>
      <c r="U8" s="86"/>
      <c r="V8" s="86">
        <f t="shared" si="5"/>
        <v>4.8586709886547821</v>
      </c>
      <c r="W8" s="102"/>
      <c r="X8" s="86"/>
      <c r="Y8" s="86"/>
      <c r="Z8" s="86">
        <f>(V8-$V$5)/(D8-$D$5)</f>
        <v>-5.782948461251463E-2</v>
      </c>
      <c r="AA8" s="102"/>
      <c r="AB8" s="79"/>
      <c r="AD8" s="87">
        <f>D14</f>
        <v>94.933333333333337</v>
      </c>
      <c r="AE8" s="86">
        <f>S16</f>
        <v>41.933031144173391</v>
      </c>
      <c r="AF8" s="86">
        <f>U16</f>
        <v>8.9373406721850674</v>
      </c>
      <c r="AG8" s="86">
        <f>W16</f>
        <v>40.759560399783901</v>
      </c>
      <c r="AH8" s="86">
        <f>Y16</f>
        <v>9.2555269578494563</v>
      </c>
    </row>
    <row r="9" spans="1:34" x14ac:dyDescent="0.2">
      <c r="A9" s="58"/>
      <c r="B9" s="58"/>
      <c r="D9" s="79"/>
      <c r="E9" s="80" t="s">
        <v>108</v>
      </c>
      <c r="F9" s="156"/>
      <c r="G9" s="156"/>
      <c r="H9" s="81">
        <f>0.1453-F8</f>
        <v>0.10650000000000001</v>
      </c>
      <c r="I9" s="82">
        <f>0.1404-F8</f>
        <v>0.1016</v>
      </c>
      <c r="J9" s="82">
        <f>0.1032-G8</f>
        <v>6.4799999999999996E-2</v>
      </c>
      <c r="K9" s="82">
        <f>0.0991-G8</f>
        <v>6.069999999999999E-2</v>
      </c>
      <c r="L9" s="82">
        <f t="shared" si="0"/>
        <v>1.0906969205834689E-2</v>
      </c>
      <c r="M9" s="82">
        <f t="shared" si="1"/>
        <v>1.051482982171799E-2</v>
      </c>
      <c r="N9" s="82">
        <f t="shared" si="2"/>
        <v>1.071089951377634E-2</v>
      </c>
      <c r="O9" s="82">
        <f>'Growth curves UTEX #1926'!G9</f>
        <v>0.23200000000000001</v>
      </c>
      <c r="P9" s="82">
        <f t="shared" si="3"/>
        <v>0.29222720000000002</v>
      </c>
      <c r="Q9" s="83">
        <f>P9*1/1000</f>
        <v>2.9222720000000001E-4</v>
      </c>
      <c r="R9" s="84">
        <f t="shared" si="4"/>
        <v>18.326321974436912</v>
      </c>
      <c r="S9" s="85"/>
      <c r="T9" s="86"/>
      <c r="U9" s="86"/>
      <c r="V9" s="86">
        <f t="shared" si="5"/>
        <v>5.3554497568881709</v>
      </c>
      <c r="W9" s="102"/>
      <c r="X9" s="86"/>
      <c r="Y9" s="86"/>
      <c r="Z9" s="86">
        <f>(V9-$V$6)/(D8-$D$5)</f>
        <v>3.4429745899249929E-2</v>
      </c>
      <c r="AA9" s="102"/>
      <c r="AB9" s="79"/>
      <c r="AD9" s="87">
        <f>D17</f>
        <v>120.41666666666667</v>
      </c>
      <c r="AE9" s="86">
        <f>S19</f>
        <v>40.969574446755033</v>
      </c>
      <c r="AF9" s="86">
        <f>U19</f>
        <v>1.9810096805530033</v>
      </c>
      <c r="AG9" s="86">
        <f>W19</f>
        <v>54.863473765532149</v>
      </c>
      <c r="AH9" s="86">
        <f>Y19</f>
        <v>3.3667621480188061</v>
      </c>
    </row>
    <row r="10" spans="1:34" x14ac:dyDescent="0.2">
      <c r="A10" s="58"/>
      <c r="B10" s="58"/>
      <c r="D10" s="79"/>
      <c r="E10" s="90" t="s">
        <v>109</v>
      </c>
      <c r="F10" s="156"/>
      <c r="G10" s="156"/>
      <c r="H10" s="81">
        <f>0.1571-F8</f>
        <v>0.11829999999999999</v>
      </c>
      <c r="I10" s="82">
        <f>0.1497-F8</f>
        <v>0.1109</v>
      </c>
      <c r="J10" s="82">
        <f>0.1079-G8</f>
        <v>6.9499999999999992E-2</v>
      </c>
      <c r="K10" s="82">
        <f>0.1032-G8</f>
        <v>6.4799999999999996E-2</v>
      </c>
      <c r="L10" s="82">
        <f t="shared" si="0"/>
        <v>1.2358589951377634E-2</v>
      </c>
      <c r="M10" s="82">
        <f t="shared" si="1"/>
        <v>1.1620097244732579E-2</v>
      </c>
      <c r="N10" s="92">
        <f t="shared" si="2"/>
        <v>1.1989343598055107E-2</v>
      </c>
      <c r="O10" s="92">
        <f>'Growth curves UTEX #1926'!H9</f>
        <v>0.24199999999999999</v>
      </c>
      <c r="P10" s="92">
        <f t="shared" si="3"/>
        <v>0.30482320000000002</v>
      </c>
      <c r="Q10" s="93">
        <f t="shared" ref="Q10" si="6">P10*1/1000</f>
        <v>3.0482320000000003E-4</v>
      </c>
      <c r="R10" s="94">
        <f t="shared" si="4"/>
        <v>19.666061503939179</v>
      </c>
      <c r="S10" s="95">
        <f>AVERAGE(R8:R10)</f>
        <v>18.230235517216261</v>
      </c>
      <c r="T10" s="96">
        <f>STDEV(R8:R10)</f>
        <v>1.4862006269880239</v>
      </c>
      <c r="U10" s="96">
        <f>T10/SQRT(3)</f>
        <v>0.8580583320613262</v>
      </c>
      <c r="V10" s="96">
        <f t="shared" si="5"/>
        <v>5.9946717990275538</v>
      </c>
      <c r="W10" s="95">
        <f>AVERAGE(V8:V10)</f>
        <v>5.4029308481901692</v>
      </c>
      <c r="X10" s="96">
        <f>STDEV(V8:V10)</f>
        <v>0.56948687501585149</v>
      </c>
      <c r="Y10" s="96">
        <f>X10/SQRT(3)</f>
        <v>0.32879340059036066</v>
      </c>
      <c r="Z10" s="96">
        <f>(V10-$V$7)/(D8-$D$5)</f>
        <v>1.8656268782233476E-2</v>
      </c>
      <c r="AA10" s="95">
        <f>AVERAGE(Z8:Z10)</f>
        <v>-1.5811566436770748E-3</v>
      </c>
      <c r="AB10" s="103">
        <f>STDEV(Z8:Z10)/SQRT(3)</f>
        <v>2.8490386943421785E-2</v>
      </c>
      <c r="AD10" s="87">
        <f>D20</f>
        <v>144.66666666666669</v>
      </c>
      <c r="AE10" s="86">
        <f>S22</f>
        <v>41.74578533309225</v>
      </c>
      <c r="AF10" s="86">
        <f>U22</f>
        <v>0.24027751765434138</v>
      </c>
      <c r="AG10" s="86">
        <f>W22</f>
        <v>70.803572263641271</v>
      </c>
      <c r="AH10" s="86">
        <f>Y22</f>
        <v>2.7969941198770329</v>
      </c>
    </row>
    <row r="11" spans="1:34" x14ac:dyDescent="0.2">
      <c r="A11" s="58"/>
      <c r="B11" s="99" t="s">
        <v>26</v>
      </c>
      <c r="C11" s="100">
        <v>0.43263888888888885</v>
      </c>
      <c r="D11" s="153">
        <f>16/60+48+D8</f>
        <v>70.783333333333331</v>
      </c>
      <c r="E11" s="80" t="s">
        <v>107</v>
      </c>
      <c r="F11" s="104">
        <v>3.3399999999999999E-2</v>
      </c>
      <c r="G11" s="139">
        <v>3.3300000000000003E-2</v>
      </c>
      <c r="H11" s="104">
        <f>0.2322-F11</f>
        <v>0.19879999999999998</v>
      </c>
      <c r="I11" s="105">
        <f>0.2284-F11</f>
        <v>0.19500000000000001</v>
      </c>
      <c r="J11" s="105">
        <f>0.1661-G11</f>
        <v>0.1328</v>
      </c>
      <c r="K11" s="105">
        <f>0.1631-G11</f>
        <v>0.1298</v>
      </c>
      <c r="L11" s="82">
        <f t="shared" si="0"/>
        <v>1.9198703403565637E-2</v>
      </c>
      <c r="M11" s="82">
        <f t="shared" si="1"/>
        <v>1.8876985413290113E-2</v>
      </c>
      <c r="N11" s="82">
        <f t="shared" si="2"/>
        <v>1.9037844408427873E-2</v>
      </c>
      <c r="O11" s="82">
        <f>'Growth curves UTEX #1926'!F13</f>
        <v>0.54400000000000004</v>
      </c>
      <c r="P11" s="82">
        <f t="shared" si="3"/>
        <v>0.68522240000000012</v>
      </c>
      <c r="Q11" s="106">
        <f>P11*0.5/1000</f>
        <v>3.4261120000000006E-4</v>
      </c>
      <c r="R11" s="84">
        <f t="shared" si="4"/>
        <v>27.783453092642432</v>
      </c>
      <c r="S11" s="102"/>
      <c r="T11" s="86"/>
      <c r="U11" s="86"/>
      <c r="V11" s="86">
        <f t="shared" si="5"/>
        <v>19.037844408427873</v>
      </c>
      <c r="W11" s="102"/>
      <c r="X11" s="86"/>
      <c r="Y11" s="86"/>
      <c r="Z11" s="86">
        <f t="shared" ref="Z11:Z47" si="7">(V11-$V$5)/(D11-$D$5)</f>
        <v>0.18192200882384701</v>
      </c>
      <c r="AA11" s="102"/>
      <c r="AB11" s="110"/>
      <c r="AD11" s="87">
        <f>D23</f>
        <v>166.70000000000002</v>
      </c>
      <c r="AE11" s="86">
        <f>S25</f>
        <v>43.283316777330477</v>
      </c>
      <c r="AF11" s="86">
        <f>U25</f>
        <v>0</v>
      </c>
      <c r="AG11" s="86">
        <f>W25</f>
        <v>84.505482009724489</v>
      </c>
      <c r="AH11" s="86">
        <f>Y25</f>
        <v>0</v>
      </c>
    </row>
    <row r="12" spans="1:34" x14ac:dyDescent="0.2">
      <c r="A12" s="58"/>
      <c r="B12" s="58"/>
      <c r="D12" s="79"/>
      <c r="E12" s="80" t="s">
        <v>108</v>
      </c>
      <c r="F12" s="157"/>
      <c r="G12" s="158"/>
      <c r="H12" s="81">
        <f>0.2147-F11</f>
        <v>0.18130000000000002</v>
      </c>
      <c r="I12" s="82">
        <f>0.2063-F11</f>
        <v>0.1729</v>
      </c>
      <c r="J12" s="82">
        <f>0.1526-G11</f>
        <v>0.11930000000000002</v>
      </c>
      <c r="K12" s="82">
        <f>0.1453-G11</f>
        <v>0.11200000000000002</v>
      </c>
      <c r="L12" s="82">
        <f t="shared" si="0"/>
        <v>1.7686142625607783E-2</v>
      </c>
      <c r="M12" s="82">
        <f t="shared" si="1"/>
        <v>1.704051863857374E-2</v>
      </c>
      <c r="N12" s="82">
        <f t="shared" si="2"/>
        <v>1.7363330632090761E-2</v>
      </c>
      <c r="O12" s="82">
        <f>'Growth curves UTEX #1926'!G13</f>
        <v>0.55200000000000005</v>
      </c>
      <c r="P12" s="82">
        <f t="shared" si="3"/>
        <v>0.69529920000000012</v>
      </c>
      <c r="Q12" s="83">
        <f>P12*0.5/1000</f>
        <v>3.4764960000000005E-4</v>
      </c>
      <c r="R12" s="84">
        <f t="shared" si="4"/>
        <v>24.972458809230268</v>
      </c>
      <c r="S12" s="85"/>
      <c r="T12" s="86"/>
      <c r="U12" s="86"/>
      <c r="V12" s="86">
        <f t="shared" si="5"/>
        <v>17.363330632090761</v>
      </c>
      <c r="W12" s="102"/>
      <c r="X12" s="86"/>
      <c r="Y12" s="86"/>
      <c r="Z12" s="86">
        <f>(V12-$V$6)/(D11-$D$5)</f>
        <v>0.18059511166047612</v>
      </c>
      <c r="AA12" s="102"/>
      <c r="AB12" s="110"/>
      <c r="AD12" s="87">
        <f>D26</f>
        <v>214.98333333333335</v>
      </c>
      <c r="AE12" s="86">
        <f>S28</f>
        <v>34.778859221289842</v>
      </c>
      <c r="AF12" s="86">
        <f>U28</f>
        <v>1.0335983683459908</v>
      </c>
      <c r="AG12" s="86">
        <f>W28</f>
        <v>85.691112911939513</v>
      </c>
      <c r="AH12" s="86">
        <f>Y28</f>
        <v>3.6766570636437201</v>
      </c>
    </row>
    <row r="13" spans="1:34" x14ac:dyDescent="0.2">
      <c r="A13" s="58"/>
      <c r="B13" s="58"/>
      <c r="D13" s="79"/>
      <c r="E13" s="90" t="s">
        <v>109</v>
      </c>
      <c r="F13" s="157"/>
      <c r="G13" s="158"/>
      <c r="H13" s="81">
        <f>0.2156-F11</f>
        <v>0.18220000000000003</v>
      </c>
      <c r="I13" s="82">
        <f>0.2218-F11</f>
        <v>0.18840000000000001</v>
      </c>
      <c r="J13" s="82">
        <f>0.1489-G11</f>
        <v>0.11560000000000001</v>
      </c>
      <c r="K13" s="82">
        <f>0.1541-G11</f>
        <v>0.12079999999999999</v>
      </c>
      <c r="L13" s="82">
        <f t="shared" si="0"/>
        <v>1.8194813614262565E-2</v>
      </c>
      <c r="M13" s="82">
        <f t="shared" si="1"/>
        <v>1.8689789303079421E-2</v>
      </c>
      <c r="N13" s="92">
        <f t="shared" si="2"/>
        <v>1.8442301458670991E-2</v>
      </c>
      <c r="O13" s="92">
        <f>'Growth curves UTEX #1926'!H13</f>
        <v>0.59399999999999997</v>
      </c>
      <c r="P13" s="92">
        <f t="shared" si="3"/>
        <v>0.74820240000000005</v>
      </c>
      <c r="Q13" s="93">
        <f>P13*0.5/1000</f>
        <v>3.7410120000000002E-4</v>
      </c>
      <c r="R13" s="94">
        <f t="shared" si="4"/>
        <v>24.648813554555545</v>
      </c>
      <c r="S13" s="95">
        <f>AVERAGE(R11:R13)</f>
        <v>25.80157515214275</v>
      </c>
      <c r="T13" s="96">
        <f>STDEV(R11:R13)</f>
        <v>1.723968297561709</v>
      </c>
      <c r="U13" s="96">
        <f>T13/SQRT(3)</f>
        <v>0.99533356067163359</v>
      </c>
      <c r="V13" s="96">
        <f t="shared" si="5"/>
        <v>18.44230145867099</v>
      </c>
      <c r="W13" s="95">
        <f>AVERAGE(V11:V13)</f>
        <v>18.281158833063209</v>
      </c>
      <c r="X13" s="96">
        <f>STDEV(V11:V13)</f>
        <v>0.8488075789756595</v>
      </c>
      <c r="Y13" s="96">
        <f>X13/SQRT(3)</f>
        <v>0.49005928421179157</v>
      </c>
      <c r="Z13" s="96">
        <f>(V13-$V$7)/(D11-$D$5)</f>
        <v>0.18179006326899072</v>
      </c>
      <c r="AA13" s="95">
        <f>AVERAGE(Z11:Z13)</f>
        <v>0.18143572791777129</v>
      </c>
      <c r="AB13" s="103">
        <f>STDEV(Z11:Z13)/SQRT(3)</f>
        <v>4.2203047930344296E-4</v>
      </c>
      <c r="AD13" s="87">
        <f>D29</f>
        <v>240.01666666666668</v>
      </c>
      <c r="AE13" s="86">
        <f>S31</f>
        <v>37.42543913252905</v>
      </c>
      <c r="AF13" s="86">
        <f>U31</f>
        <v>0.91902589283681335</v>
      </c>
      <c r="AG13" s="86">
        <f>W31</f>
        <v>107.26134521880067</v>
      </c>
      <c r="AH13" s="86">
        <f>Y31</f>
        <v>0.70705033018625107</v>
      </c>
    </row>
    <row r="14" spans="1:34" x14ac:dyDescent="0.2">
      <c r="A14" s="58"/>
      <c r="B14" s="99" t="s">
        <v>27</v>
      </c>
      <c r="C14" s="100">
        <v>0.43888888888888888</v>
      </c>
      <c r="D14" s="153">
        <f>9/60+24+D11</f>
        <v>94.933333333333337</v>
      </c>
      <c r="E14" s="80" t="s">
        <v>107</v>
      </c>
      <c r="F14" s="104">
        <f>(0.0445+0.044)/2</f>
        <v>4.4249999999999998E-2</v>
      </c>
      <c r="G14" s="139">
        <f>(0.0435+0.0427)/2</f>
        <v>4.3099999999999999E-2</v>
      </c>
      <c r="H14" s="104">
        <f>0.1666-F14</f>
        <v>0.12235</v>
      </c>
      <c r="I14" s="105">
        <f>0.1663-F14</f>
        <v>0.12205000000000001</v>
      </c>
      <c r="J14" s="105">
        <f>0.1198-G14</f>
        <v>7.6700000000000004E-2</v>
      </c>
      <c r="K14" s="105">
        <f>0.1195-G14</f>
        <v>7.6399999999999996E-2</v>
      </c>
      <c r="L14" s="82">
        <f t="shared" si="0"/>
        <v>1.2308995137763372E-2</v>
      </c>
      <c r="M14" s="82">
        <f t="shared" si="1"/>
        <v>1.2289789303079418E-2</v>
      </c>
      <c r="N14" s="82">
        <f t="shared" si="2"/>
        <v>1.2299392220421396E-2</v>
      </c>
      <c r="O14" s="82">
        <f>'Growth curves UTEX #1926'!F14</f>
        <v>0.76500000000000001</v>
      </c>
      <c r="P14" s="82">
        <f t="shared" si="3"/>
        <v>0.96359400000000006</v>
      </c>
      <c r="Q14" s="106">
        <f t="shared" ref="Q14:Q22" si="8">O14*0.25/1000</f>
        <v>1.9125000000000001E-4</v>
      </c>
      <c r="R14" s="84">
        <f t="shared" si="4"/>
        <v>32.155273778879462</v>
      </c>
      <c r="S14" s="102"/>
      <c r="T14" s="86"/>
      <c r="U14" s="86"/>
      <c r="V14" s="86">
        <f t="shared" si="5"/>
        <v>30.984628881685577</v>
      </c>
      <c r="W14" s="102"/>
      <c r="X14" s="86"/>
      <c r="Y14" s="86"/>
      <c r="Z14" s="86">
        <f t="shared" si="7"/>
        <v>0.26148698031431539</v>
      </c>
      <c r="AA14" s="102"/>
      <c r="AB14" s="110"/>
      <c r="AD14" s="87">
        <f>D32</f>
        <v>288.88333333333333</v>
      </c>
      <c r="AE14" s="86">
        <f>S34</f>
        <v>37.694955417711959</v>
      </c>
      <c r="AF14" s="86">
        <f>U34</f>
        <v>0</v>
      </c>
      <c r="AG14" s="86">
        <f>W34</f>
        <v>131.80605078336035</v>
      </c>
      <c r="AH14" s="86">
        <f>Y34</f>
        <v>0</v>
      </c>
    </row>
    <row r="15" spans="1:34" x14ac:dyDescent="0.2">
      <c r="A15" s="58"/>
      <c r="B15" s="58"/>
      <c r="D15" s="79"/>
      <c r="E15" s="80" t="s">
        <v>108</v>
      </c>
      <c r="F15" s="58"/>
      <c r="G15" s="79"/>
      <c r="H15" s="81">
        <f>0.1557-F14</f>
        <v>0.11145000000000001</v>
      </c>
      <c r="I15" s="82">
        <f>0.1827-F14</f>
        <v>0.13845000000000002</v>
      </c>
      <c r="J15" s="82">
        <f>0.1076-G14</f>
        <v>6.4500000000000002E-2</v>
      </c>
      <c r="K15" s="82">
        <f>0.1323-G14</f>
        <v>8.9200000000000002E-2</v>
      </c>
      <c r="L15" s="82">
        <f t="shared" si="0"/>
        <v>1.1738654781199353E-2</v>
      </c>
      <c r="M15" s="82">
        <f t="shared" si="1"/>
        <v>1.3692706645056729E-2</v>
      </c>
      <c r="N15" s="82">
        <f t="shared" si="2"/>
        <v>1.2715680713128041E-2</v>
      </c>
      <c r="O15" s="82">
        <f>'Growth curves UTEX #1926'!G14</f>
        <v>0.751</v>
      </c>
      <c r="P15" s="82">
        <f t="shared" si="3"/>
        <v>0.94595960000000001</v>
      </c>
      <c r="Q15" s="83">
        <f t="shared" si="8"/>
        <v>1.8775000000000001E-4</v>
      </c>
      <c r="R15" s="84">
        <f t="shared" si="4"/>
        <v>33.863330793949508</v>
      </c>
      <c r="S15" s="85"/>
      <c r="T15" s="86"/>
      <c r="U15" s="86"/>
      <c r="V15" s="86">
        <f t="shared" si="5"/>
        <v>32.033342852512156</v>
      </c>
      <c r="W15" s="102"/>
      <c r="X15" s="86"/>
      <c r="Y15" s="86"/>
      <c r="Z15" s="86">
        <f>(V15-$V$6)/(D14-$D$5)</f>
        <v>0.28918331679201648</v>
      </c>
      <c r="AA15" s="102"/>
      <c r="AB15" s="110"/>
      <c r="AD15" s="87">
        <f>D35</f>
        <v>312.91666666666669</v>
      </c>
      <c r="AE15" s="86">
        <f>S37</f>
        <v>43.085431068292273</v>
      </c>
      <c r="AF15" s="86">
        <f>U37</f>
        <v>3.2936221329414384</v>
      </c>
      <c r="AG15" s="86">
        <f>W37</f>
        <v>153.82649018548534</v>
      </c>
      <c r="AH15" s="86">
        <f>Y37</f>
        <v>11.825637033432793</v>
      </c>
    </row>
    <row r="16" spans="1:34" x14ac:dyDescent="0.2">
      <c r="A16" s="58"/>
      <c r="B16" s="58"/>
      <c r="D16" s="79"/>
      <c r="E16" s="90" t="s">
        <v>109</v>
      </c>
      <c r="F16" s="88"/>
      <c r="G16" s="89"/>
      <c r="H16" s="81">
        <f>0.3051-F14</f>
        <v>0.26084999999999997</v>
      </c>
      <c r="I16" s="82">
        <f>0.3034-F14</f>
        <v>0.25914999999999999</v>
      </c>
      <c r="J16" s="82">
        <f>0.2335-G14</f>
        <v>0.19040000000000001</v>
      </c>
      <c r="K16" s="82">
        <f>0.2324-G14</f>
        <v>0.1893</v>
      </c>
      <c r="L16" s="82">
        <f t="shared" si="0"/>
        <v>2.3607455429497562E-2</v>
      </c>
      <c r="M16" s="82">
        <f t="shared" si="1"/>
        <v>2.3439789303079418E-2</v>
      </c>
      <c r="N16" s="92">
        <f t="shared" si="2"/>
        <v>2.352362236628849E-2</v>
      </c>
      <c r="O16" s="92">
        <f>'Growth curves UTEX #1926'!H14</f>
        <v>0.78700000000000003</v>
      </c>
      <c r="P16" s="92">
        <f t="shared" si="3"/>
        <v>0.99130520000000011</v>
      </c>
      <c r="Q16" s="93">
        <f t="shared" si="8"/>
        <v>1.9675000000000001E-4</v>
      </c>
      <c r="R16" s="94">
        <f t="shared" si="4"/>
        <v>59.780488859691204</v>
      </c>
      <c r="S16" s="95">
        <f>AVERAGE(R14:R16)</f>
        <v>41.933031144173391</v>
      </c>
      <c r="T16" s="96">
        <f>STDEV(R14:R16)</f>
        <v>15.479928128776319</v>
      </c>
      <c r="U16" s="96">
        <f>T16/SQRT(3)</f>
        <v>8.9373406721850674</v>
      </c>
      <c r="V16" s="96">
        <f t="shared" si="5"/>
        <v>59.260709465153965</v>
      </c>
      <c r="W16" s="95">
        <f>AVERAGE(V14:V16)</f>
        <v>40.759560399783901</v>
      </c>
      <c r="X16" s="96">
        <f>STDEV(V14:V16)</f>
        <v>16.031042941818665</v>
      </c>
      <c r="Y16" s="96">
        <f>X16/SQRT(3)</f>
        <v>9.2555269578494563</v>
      </c>
      <c r="Z16" s="96">
        <f>(V16-$V$7)/(D14-$D$5)</f>
        <v>0.56551384815526373</v>
      </c>
      <c r="AA16" s="95">
        <f>AVERAGE(Z14:Z16)</f>
        <v>0.37206138175386522</v>
      </c>
      <c r="AB16" s="103">
        <f>STDEV(Z14:Z16)/SQRT(3)</f>
        <v>9.705610805295331E-2</v>
      </c>
      <c r="AD16" s="87">
        <f>D38</f>
        <v>336.16666666666669</v>
      </c>
      <c r="AE16" s="86">
        <f>S40</f>
        <v>49.351836079054237</v>
      </c>
      <c r="AF16" s="86">
        <f>U40</f>
        <v>6.0541929384952944</v>
      </c>
      <c r="AG16" s="86">
        <f>W40</f>
        <v>180.26012965964347</v>
      </c>
      <c r="AH16" s="86">
        <f>Y40</f>
        <v>13.206881059049799</v>
      </c>
    </row>
    <row r="17" spans="1:34" x14ac:dyDescent="0.2">
      <c r="A17" s="58"/>
      <c r="B17" s="99" t="s">
        <v>28</v>
      </c>
      <c r="C17" s="100">
        <v>0.50069444444444444</v>
      </c>
      <c r="D17" s="151">
        <f>1+29/60+24+D14</f>
        <v>120.41666666666667</v>
      </c>
      <c r="E17" s="80" t="s">
        <v>107</v>
      </c>
      <c r="F17" s="81">
        <f>(0.0498+0.0453)/2</f>
        <v>4.7549999999999995E-2</v>
      </c>
      <c r="G17" s="137">
        <f>(0.0497+0.044)/2</f>
        <v>4.6850000000000003E-2</v>
      </c>
      <c r="H17" s="104">
        <f>0.2783-F17</f>
        <v>0.23075000000000001</v>
      </c>
      <c r="I17" s="105">
        <f>0.2735-F17</f>
        <v>0.22595000000000004</v>
      </c>
      <c r="J17" s="105">
        <f>0.1865-G17</f>
        <v>0.13965</v>
      </c>
      <c r="K17" s="105">
        <f>0.1829-G17</f>
        <v>0.13605</v>
      </c>
      <c r="L17" s="82">
        <f t="shared" si="0"/>
        <v>2.3705307941653164E-2</v>
      </c>
      <c r="M17" s="82"/>
      <c r="N17" s="82">
        <f t="shared" si="2"/>
        <v>2.3705307941653164E-2</v>
      </c>
      <c r="O17" s="82">
        <f>'Growth curves UTEX #1926'!F15</f>
        <v>1.0649999999999999</v>
      </c>
      <c r="P17" s="82">
        <f t="shared" si="3"/>
        <v>1.3414740000000001</v>
      </c>
      <c r="Q17" s="106">
        <f t="shared" si="8"/>
        <v>2.6624999999999999E-4</v>
      </c>
      <c r="R17" s="84">
        <f t="shared" si="4"/>
        <v>44.517010219066975</v>
      </c>
      <c r="S17" s="85"/>
      <c r="V17" s="86">
        <f t="shared" si="5"/>
        <v>59.718411766612654</v>
      </c>
      <c r="W17" s="102"/>
      <c r="X17" s="86"/>
      <c r="Y17" s="86"/>
      <c r="Z17" s="86">
        <f t="shared" si="7"/>
        <v>0.44476910906103323</v>
      </c>
      <c r="AA17" s="102"/>
      <c r="AB17" s="110"/>
      <c r="AD17" s="87">
        <f>D41</f>
        <v>359.05</v>
      </c>
      <c r="AE17" s="86">
        <f>S43</f>
        <v>54.360526533788473</v>
      </c>
      <c r="AF17" s="86">
        <f>U43</f>
        <v>0</v>
      </c>
      <c r="AG17" s="86">
        <f>W43</f>
        <v>216.09927066450564</v>
      </c>
      <c r="AH17" s="86">
        <f>Y43</f>
        <v>0</v>
      </c>
    </row>
    <row r="18" spans="1:34" ht="15" customHeight="1" x14ac:dyDescent="0.2">
      <c r="A18" s="58"/>
      <c r="B18" s="58"/>
      <c r="D18" s="148"/>
      <c r="E18" s="80" t="s">
        <v>108</v>
      </c>
      <c r="F18" s="58"/>
      <c r="G18" s="79"/>
      <c r="H18" s="81">
        <f>0.2335-F17</f>
        <v>0.18595</v>
      </c>
      <c r="I18" s="82">
        <f>0.2271-F17</f>
        <v>0.17954999999999999</v>
      </c>
      <c r="J18" s="82">
        <f>0.1557-G17</f>
        <v>0.10885</v>
      </c>
      <c r="K18" s="82">
        <f>0.1503-G17</f>
        <v>0.10344999999999999</v>
      </c>
      <c r="L18" s="82">
        <f t="shared" si="0"/>
        <v>1.9464465153970826E-2</v>
      </c>
      <c r="M18" s="82">
        <f t="shared" si="1"/>
        <v>1.895668557536467E-2</v>
      </c>
      <c r="N18" s="82">
        <f t="shared" si="2"/>
        <v>1.9210575364667748E-2</v>
      </c>
      <c r="O18" s="82">
        <f>'Growth curves UTEX #1926'!G15</f>
        <v>1.02</v>
      </c>
      <c r="P18" s="82">
        <f t="shared" si="3"/>
        <v>1.2847920000000002</v>
      </c>
      <c r="Q18" s="83">
        <f t="shared" si="8"/>
        <v>2.5500000000000002E-4</v>
      </c>
      <c r="R18" s="84">
        <f t="shared" si="4"/>
        <v>37.667794832681857</v>
      </c>
      <c r="S18" s="85"/>
      <c r="V18" s="86">
        <f t="shared" si="5"/>
        <v>48.395281458670993</v>
      </c>
      <c r="W18" s="102"/>
      <c r="X18" s="86"/>
      <c r="Y18" s="86"/>
      <c r="Z18" s="86">
        <f>(V18-$V$6)/(D17-$D$5)</f>
        <v>0.36386221298503196</v>
      </c>
      <c r="AA18" s="102"/>
      <c r="AB18" s="110"/>
      <c r="AD18" s="87">
        <f>D44</f>
        <v>384.48333333333335</v>
      </c>
      <c r="AE18" s="86">
        <f>S46</f>
        <v>47.6404814401427</v>
      </c>
      <c r="AF18" s="86">
        <f>U46</f>
        <v>1.0424474938230834</v>
      </c>
      <c r="AG18" s="86">
        <f>W46</f>
        <v>183.31509994597513</v>
      </c>
      <c r="AH18" s="86">
        <f>Y46</f>
        <v>9.4533377044602265</v>
      </c>
    </row>
    <row r="19" spans="1:34" ht="15" customHeight="1" x14ac:dyDescent="0.2">
      <c r="A19" s="58"/>
      <c r="B19" s="88"/>
      <c r="C19" s="97"/>
      <c r="D19" s="149"/>
      <c r="E19" s="90" t="s">
        <v>109</v>
      </c>
      <c r="F19" s="58"/>
      <c r="G19" s="79"/>
      <c r="H19" s="91">
        <f>0.2546-F17</f>
        <v>0.20705000000000001</v>
      </c>
      <c r="I19" s="92">
        <f>0.2618-F17</f>
        <v>0.21425</v>
      </c>
      <c r="J19" s="92">
        <f>0.1635-G17</f>
        <v>0.11665</v>
      </c>
      <c r="K19" s="92">
        <f>0.1693-G17</f>
        <v>0.12245</v>
      </c>
      <c r="L19" s="82">
        <f t="shared" si="0"/>
        <v>2.2119408427876824E-2</v>
      </c>
      <c r="M19" s="82">
        <f t="shared" si="1"/>
        <v>2.2717625607779575E-2</v>
      </c>
      <c r="N19" s="92">
        <f t="shared" si="2"/>
        <v>2.24185170178282E-2</v>
      </c>
      <c r="O19" s="92">
        <f>'Growth curves UTEX #1926'!H15</f>
        <v>1.101</v>
      </c>
      <c r="P19" s="92">
        <f t="shared" si="3"/>
        <v>1.3868195999999999</v>
      </c>
      <c r="Q19" s="93">
        <f t="shared" si="8"/>
        <v>2.7525E-4</v>
      </c>
      <c r="R19" s="94">
        <f t="shared" si="4"/>
        <v>40.723918288516259</v>
      </c>
      <c r="S19" s="95">
        <f>AVERAGE(R17:R19)</f>
        <v>40.969574446755033</v>
      </c>
      <c r="T19" s="96">
        <f>STDEV(R17:R19)</f>
        <v>3.4312094170035929</v>
      </c>
      <c r="U19" s="96">
        <f>T19/SQRT(3)</f>
        <v>1.9810096805530033</v>
      </c>
      <c r="V19" s="96">
        <f t="shared" si="5"/>
        <v>56.476728071312799</v>
      </c>
      <c r="W19" s="95">
        <f>AVERAGE(V17:V19)</f>
        <v>54.863473765532149</v>
      </c>
      <c r="X19" s="96">
        <f>STDEV(V17:V19)</f>
        <v>5.8314030973683009</v>
      </c>
      <c r="Y19" s="96">
        <f>X19/SQRT(3)</f>
        <v>3.3667621480188061</v>
      </c>
      <c r="Z19" s="96">
        <f>(V19-$V$7)/(D17-$D$5)</f>
        <v>0.42271667757258297</v>
      </c>
      <c r="AA19" s="95">
        <f>AVERAGE(Z17:Z19)</f>
        <v>0.41044933320621607</v>
      </c>
      <c r="AB19" s="103">
        <f>STDEV(Z17:Z19)/SQRT(3)</f>
        <v>2.4147789833409136E-2</v>
      </c>
      <c r="AD19" s="87">
        <f>D47</f>
        <v>408.03333333333336</v>
      </c>
      <c r="AE19" s="86">
        <f>S49</f>
        <v>50.420054818137011</v>
      </c>
      <c r="AF19" s="86">
        <f>U49</f>
        <v>1.4883028049988178</v>
      </c>
      <c r="AG19" s="86">
        <f>W49</f>
        <v>197.76890869800104</v>
      </c>
      <c r="AH19" s="86">
        <f>Y49</f>
        <v>5.3616385895726966</v>
      </c>
    </row>
    <row r="20" spans="1:34" x14ac:dyDescent="0.2">
      <c r="A20" s="58"/>
      <c r="B20" s="58" t="s">
        <v>29</v>
      </c>
      <c r="C20" s="78">
        <v>0.51111111111111118</v>
      </c>
      <c r="D20" s="150">
        <f>15/60+24+D17</f>
        <v>144.66666666666669</v>
      </c>
      <c r="E20" s="80" t="s">
        <v>107</v>
      </c>
      <c r="F20" s="104">
        <v>4.3700000000000003E-2</v>
      </c>
      <c r="G20" s="139">
        <v>4.2200000000000001E-2</v>
      </c>
      <c r="H20" s="81">
        <f>0.3212-F20</f>
        <v>0.27749999999999997</v>
      </c>
      <c r="I20" s="82">
        <f>0.3203-F20</f>
        <v>0.27659999999999996</v>
      </c>
      <c r="J20" s="82">
        <f>0.2066-G20</f>
        <v>0.16439999999999999</v>
      </c>
      <c r="K20" s="82">
        <f>0.2073-G20</f>
        <v>0.16510000000000002</v>
      </c>
      <c r="L20" s="82">
        <f t="shared" si="0"/>
        <v>2.8855429497568877E-2</v>
      </c>
      <c r="M20" s="82">
        <f t="shared" si="1"/>
        <v>2.8640923824959471E-2</v>
      </c>
      <c r="N20" s="82">
        <f t="shared" si="2"/>
        <v>2.8748176661264176E-2</v>
      </c>
      <c r="O20" s="82">
        <f>'Growth curves UTEX #1926'!F16</f>
        <v>1.3759999999999999</v>
      </c>
      <c r="P20" s="82">
        <f t="shared" si="3"/>
        <v>1.7332095999999999</v>
      </c>
      <c r="Q20" s="83">
        <f t="shared" si="8"/>
        <v>3.4399999999999996E-4</v>
      </c>
      <c r="R20" s="84">
        <f t="shared" si="4"/>
        <v>41.785140496023516</v>
      </c>
      <c r="S20" s="85"/>
      <c r="V20" s="86">
        <f t="shared" si="5"/>
        <v>72.422406645056711</v>
      </c>
      <c r="W20" s="102"/>
      <c r="X20" s="86"/>
      <c r="Y20" s="86"/>
      <c r="Z20" s="86">
        <f t="shared" si="7"/>
        <v>0.45802955134477052</v>
      </c>
      <c r="AA20" s="102"/>
      <c r="AB20" s="110"/>
      <c r="AD20" s="87"/>
      <c r="AE20" s="86"/>
      <c r="AF20" s="86"/>
      <c r="AG20" s="86"/>
      <c r="AH20" s="86"/>
    </row>
    <row r="21" spans="1:34" x14ac:dyDescent="0.2">
      <c r="A21" s="58"/>
      <c r="B21" s="58"/>
      <c r="D21" s="79"/>
      <c r="E21" s="80" t="s">
        <v>108</v>
      </c>
      <c r="F21" s="58"/>
      <c r="G21" s="79"/>
      <c r="H21" s="81">
        <f>0.2912-F20</f>
        <v>0.2475</v>
      </c>
      <c r="I21" s="82">
        <f>0.2878-F20</f>
        <v>0.24409999999999998</v>
      </c>
      <c r="J21" s="82">
        <f>0.1857-G20</f>
        <v>0.14350000000000002</v>
      </c>
      <c r="K21" s="82">
        <f>0.1821-G20</f>
        <v>0.13990000000000002</v>
      </c>
      <c r="L21" s="82">
        <f t="shared" si="0"/>
        <v>2.6042544570502431E-2</v>
      </c>
      <c r="M21" s="82">
        <f t="shared" si="1"/>
        <v>2.5844489465153969E-2</v>
      </c>
      <c r="N21" s="82">
        <f t="shared" si="2"/>
        <v>2.59435170178282E-2</v>
      </c>
      <c r="O21" s="82">
        <f>'Growth curves UTEX #1926'!G16</f>
        <v>1.256</v>
      </c>
      <c r="P21" s="82">
        <f t="shared" si="3"/>
        <v>1.5820576000000002</v>
      </c>
      <c r="Q21" s="83">
        <f t="shared" si="8"/>
        <v>3.1399999999999999E-4</v>
      </c>
      <c r="R21" s="84">
        <f t="shared" si="4"/>
        <v>41.311332830936628</v>
      </c>
      <c r="S21" s="85"/>
      <c r="V21" s="86">
        <f t="shared" si="5"/>
        <v>65.356908071312816</v>
      </c>
      <c r="W21" s="102"/>
      <c r="X21" s="86"/>
      <c r="Y21" s="86"/>
      <c r="Z21" s="86">
        <f>(V21-$V$6)/(D20-$D$5)</f>
        <v>0.42011544764693143</v>
      </c>
      <c r="AA21" s="102"/>
      <c r="AB21" s="110"/>
    </row>
    <row r="22" spans="1:34" x14ac:dyDescent="0.2">
      <c r="A22" s="58"/>
      <c r="B22" s="58"/>
      <c r="D22" s="79"/>
      <c r="E22" s="90" t="s">
        <v>109</v>
      </c>
      <c r="F22" s="58"/>
      <c r="G22" s="79"/>
      <c r="H22" s="81">
        <f>0.3206-F20</f>
        <v>0.27689999999999998</v>
      </c>
      <c r="I22" s="82">
        <f>0.3244-F20</f>
        <v>0.28070000000000001</v>
      </c>
      <c r="J22" s="82">
        <f>0.2003-G20</f>
        <v>0.15810000000000002</v>
      </c>
      <c r="K22" s="82">
        <f>0.2015-G20</f>
        <v>0.1593</v>
      </c>
      <c r="L22" s="82">
        <f t="shared" si="0"/>
        <v>2.9375931928687187E-2</v>
      </c>
      <c r="M22" s="82">
        <f t="shared" si="1"/>
        <v>2.9874149108589956E-2</v>
      </c>
      <c r="N22" s="92">
        <f t="shared" si="2"/>
        <v>2.9625040518638571E-2</v>
      </c>
      <c r="O22" s="92">
        <f>'Growth curves UTEX #1926'!H16</f>
        <v>1.4059999999999999</v>
      </c>
      <c r="P22" s="92">
        <f t="shared" si="3"/>
        <v>1.7709976000000001</v>
      </c>
      <c r="Q22" s="93">
        <f t="shared" si="8"/>
        <v>3.5149999999999998E-4</v>
      </c>
      <c r="R22" s="94">
        <f t="shared" si="4"/>
        <v>42.140882672316607</v>
      </c>
      <c r="S22" s="95">
        <f>AVERAGE(R20:R22)</f>
        <v>41.74578533309225</v>
      </c>
      <c r="T22" s="96">
        <f>STDEV(R20:R22)</f>
        <v>0.41617286849384716</v>
      </c>
      <c r="U22" s="96">
        <f>T22/SQRT(3)</f>
        <v>0.24027751765434138</v>
      </c>
      <c r="V22" s="96">
        <f t="shared" si="5"/>
        <v>74.631402074554302</v>
      </c>
      <c r="W22" s="95">
        <f>AVERAGE(V20:V22)</f>
        <v>70.803572263641271</v>
      </c>
      <c r="X22" s="96">
        <f>STDEV(V20:V22)</f>
        <v>4.844535924098416</v>
      </c>
      <c r="Y22" s="96">
        <f>X22/SQRT(3)</f>
        <v>2.7969941198770329</v>
      </c>
      <c r="Z22" s="96">
        <f>(V22-$V$7)/(D20-$D$5)</f>
        <v>0.4773512022645624</v>
      </c>
      <c r="AA22" s="95">
        <f>AVERAGE(Z20:Z22)</f>
        <v>0.45183206708542145</v>
      </c>
      <c r="AB22" s="103">
        <f>STDEV(Z20:Z22)/SQRT(3)</f>
        <v>1.6810606870079341E-2</v>
      </c>
    </row>
    <row r="23" spans="1:34" x14ac:dyDescent="0.2">
      <c r="A23" s="58"/>
      <c r="B23" s="99" t="s">
        <v>30</v>
      </c>
      <c r="C23" s="100">
        <v>0.4291666666666667</v>
      </c>
      <c r="D23" s="151">
        <f>10+2/60+12+D20</f>
        <v>166.70000000000002</v>
      </c>
      <c r="E23" s="80" t="s">
        <v>107</v>
      </c>
      <c r="F23" s="104">
        <v>3.7900000000000003E-2</v>
      </c>
      <c r="G23" s="139">
        <v>3.7999999999999999E-2</v>
      </c>
      <c r="H23" s="104">
        <f>0.2048-F23</f>
        <v>0.16689999999999999</v>
      </c>
      <c r="I23" s="105">
        <f>0.2026-F23</f>
        <v>0.16470000000000001</v>
      </c>
      <c r="J23" s="105">
        <f>0.1424-G23</f>
        <v>0.10439999999999999</v>
      </c>
      <c r="K23" s="105">
        <f>0.1396-G23</f>
        <v>0.1016</v>
      </c>
      <c r="L23" s="82">
        <f t="shared" si="0"/>
        <v>1.6813290113452187E-2</v>
      </c>
      <c r="M23" s="82">
        <f t="shared" si="1"/>
        <v>1.6731280388978934E-2</v>
      </c>
      <c r="N23" s="82">
        <f t="shared" si="2"/>
        <v>1.677228525121556E-2</v>
      </c>
      <c r="O23" s="82">
        <f>'Growth curves UTEX #1926'!F17</f>
        <v>1.55</v>
      </c>
      <c r="P23" s="82">
        <f t="shared" si="3"/>
        <v>1.9523800000000002</v>
      </c>
      <c r="Q23" s="106">
        <f>O23*0.125/1000</f>
        <v>1.9374999999999999E-4</v>
      </c>
      <c r="R23" s="84">
        <f t="shared" si="4"/>
        <v>43.283316777330477</v>
      </c>
      <c r="S23" s="85"/>
      <c r="V23" s="86">
        <f t="shared" si="5"/>
        <v>84.505482009724489</v>
      </c>
      <c r="W23" s="102"/>
      <c r="X23" s="86"/>
      <c r="Y23" s="86"/>
      <c r="Z23" s="86">
        <f t="shared" si="7"/>
        <v>0.46997410793368072</v>
      </c>
      <c r="AA23" s="102"/>
      <c r="AB23" s="110"/>
      <c r="AC23" s="86"/>
    </row>
    <row r="24" spans="1:34" x14ac:dyDescent="0.2">
      <c r="A24" s="58"/>
      <c r="B24" s="58"/>
      <c r="D24" s="79"/>
      <c r="E24" s="80" t="s">
        <v>108</v>
      </c>
      <c r="F24" s="58"/>
      <c r="G24" s="79"/>
      <c r="H24" s="81"/>
      <c r="I24" s="82"/>
      <c r="J24" s="82"/>
      <c r="K24" s="82"/>
      <c r="L24" s="82">
        <f t="shared" si="0"/>
        <v>0</v>
      </c>
      <c r="M24" s="82">
        <f t="shared" si="1"/>
        <v>0</v>
      </c>
      <c r="N24" s="82">
        <f t="shared" si="2"/>
        <v>0</v>
      </c>
      <c r="O24" s="82">
        <f>'Growth curves UTEX #1926'!G17</f>
        <v>1.45</v>
      </c>
      <c r="P24" s="82">
        <f t="shared" si="3"/>
        <v>1.8264199999999999</v>
      </c>
      <c r="Q24" s="83">
        <f>O24*0.125/1000</f>
        <v>1.8124999999999999E-4</v>
      </c>
      <c r="R24" s="84"/>
      <c r="S24" s="85"/>
      <c r="V24" s="86"/>
      <c r="W24" s="102"/>
      <c r="X24" s="86"/>
      <c r="Y24" s="86"/>
      <c r="Z24" s="86">
        <f>(V24-$V$7)/(D23-$D$5)</f>
        <v>-3.3440880705544469E-2</v>
      </c>
      <c r="AA24" s="102"/>
      <c r="AB24" s="110"/>
      <c r="AC24" s="86"/>
    </row>
    <row r="25" spans="1:34" x14ac:dyDescent="0.2">
      <c r="A25" s="58"/>
      <c r="B25" s="58"/>
      <c r="D25" s="79"/>
      <c r="E25" s="90" t="s">
        <v>109</v>
      </c>
      <c r="F25" s="58"/>
      <c r="G25" s="79"/>
      <c r="H25" s="81"/>
      <c r="I25" s="82"/>
      <c r="J25" s="82"/>
      <c r="K25" s="82"/>
      <c r="L25" s="82">
        <f t="shared" si="0"/>
        <v>0</v>
      </c>
      <c r="M25" s="82">
        <f t="shared" si="1"/>
        <v>0</v>
      </c>
      <c r="N25" s="92">
        <f t="shared" si="2"/>
        <v>0</v>
      </c>
      <c r="O25" s="92">
        <f>'Growth curves UTEX #1926'!H17</f>
        <v>1.546</v>
      </c>
      <c r="P25" s="92">
        <f t="shared" si="3"/>
        <v>1.9473416000000001</v>
      </c>
      <c r="Q25" s="93">
        <f>O25*0.125/1000</f>
        <v>1.9325000000000001E-4</v>
      </c>
      <c r="R25" s="94"/>
      <c r="S25" s="95">
        <f>AVERAGE(R23:R25)</f>
        <v>43.283316777330477</v>
      </c>
      <c r="T25" s="96"/>
      <c r="U25" s="96"/>
      <c r="V25" s="96"/>
      <c r="W25" s="95">
        <f>AVERAGE(V23:V25)</f>
        <v>84.505482009724489</v>
      </c>
      <c r="X25" s="96"/>
      <c r="Y25" s="96"/>
      <c r="Z25" s="96">
        <f>(V25-$V$7)/(D23-$D$5)</f>
        <v>-3.3440880705544469E-2</v>
      </c>
      <c r="AA25" s="95">
        <f>AVERAGE(Z23:Z25)</f>
        <v>0.13436411550753061</v>
      </c>
      <c r="AB25" s="103">
        <f>STDEV(Z23:Z25)/SQRT(3)</f>
        <v>0.16780499621307504</v>
      </c>
    </row>
    <row r="26" spans="1:34" x14ac:dyDescent="0.2">
      <c r="A26" s="58"/>
      <c r="B26" s="99" t="s">
        <v>32</v>
      </c>
      <c r="C26" s="100">
        <v>0.44097222222222227</v>
      </c>
      <c r="D26" s="151">
        <f>17/60+48+D23</f>
        <v>214.98333333333335</v>
      </c>
      <c r="E26" s="80" t="s">
        <v>107</v>
      </c>
      <c r="F26" s="104">
        <v>3.1099999999999999E-2</v>
      </c>
      <c r="G26" s="139">
        <v>3.0200000000000001E-2</v>
      </c>
      <c r="H26" s="104">
        <f>0.1915-F26</f>
        <v>0.16040000000000001</v>
      </c>
      <c r="I26" s="105">
        <f>0.1913-F26</f>
        <v>0.16020000000000001</v>
      </c>
      <c r="J26" s="105">
        <f>0.1236-G26</f>
        <v>9.3399999999999997E-2</v>
      </c>
      <c r="K26" s="105">
        <f>0.125-G26</f>
        <v>9.4799999999999995E-2</v>
      </c>
      <c r="L26" s="82">
        <f t="shared" si="0"/>
        <v>1.6838411669367913E-2</v>
      </c>
      <c r="M26" s="82">
        <f t="shared" si="1"/>
        <v>1.6668719611021073E-2</v>
      </c>
      <c r="N26" s="82">
        <f t="shared" si="2"/>
        <v>1.6753565640194493E-2</v>
      </c>
      <c r="O26" s="82">
        <f>'Growth curves UTEX #1926'!F18</f>
        <v>2.024</v>
      </c>
      <c r="P26" s="82">
        <f t="shared" si="3"/>
        <v>2.5494304000000003</v>
      </c>
      <c r="Q26" s="106">
        <f t="shared" ref="Q26:Q31" si="9">P26*0.1/1000</f>
        <v>2.5494304000000005E-4</v>
      </c>
      <c r="R26" s="84">
        <f t="shared" si="4"/>
        <v>32.857468162681535</v>
      </c>
      <c r="S26" s="85"/>
      <c r="V26" s="86">
        <f t="shared" si="5"/>
        <v>83.76782820097246</v>
      </c>
      <c r="W26" s="102"/>
      <c r="X26" s="86"/>
      <c r="Y26" s="86"/>
      <c r="Z26" s="86">
        <f t="shared" si="7"/>
        <v>0.36099091394895366</v>
      </c>
      <c r="AA26" s="102"/>
      <c r="AB26" s="110"/>
    </row>
    <row r="27" spans="1:34" x14ac:dyDescent="0.2">
      <c r="A27" s="58"/>
      <c r="B27" s="58"/>
      <c r="D27" s="79"/>
      <c r="E27" s="80" t="s">
        <v>108</v>
      </c>
      <c r="F27" s="58"/>
      <c r="G27" s="79"/>
      <c r="H27" s="81">
        <f>0.1768-F26</f>
        <v>0.14570000000000002</v>
      </c>
      <c r="I27" s="82">
        <f>0.187-F26</f>
        <v>0.15590000000000001</v>
      </c>
      <c r="J27" s="82">
        <f>0.1125-G26</f>
        <v>8.2299999999999998E-2</v>
      </c>
      <c r="K27" s="82">
        <f>0.118-G26</f>
        <v>8.7799999999999989E-2</v>
      </c>
      <c r="L27" s="82">
        <f t="shared" si="0"/>
        <v>1.5544327390599681E-2</v>
      </c>
      <c r="M27" s="82">
        <f t="shared" si="1"/>
        <v>1.6658184764991899E-2</v>
      </c>
      <c r="N27" s="82">
        <f t="shared" si="2"/>
        <v>1.6101256077795792E-2</v>
      </c>
      <c r="O27" s="82">
        <f>'Growth curves UTEX #1926'!G18</f>
        <v>1.8220000000000001</v>
      </c>
      <c r="P27" s="82">
        <f t="shared" si="3"/>
        <v>2.2949912000000001</v>
      </c>
      <c r="Q27" s="83">
        <f t="shared" si="9"/>
        <v>2.2949912000000004E-4</v>
      </c>
      <c r="R27" s="84">
        <f t="shared" si="4"/>
        <v>35.079123784430607</v>
      </c>
      <c r="S27" s="85"/>
      <c r="V27" s="86">
        <f t="shared" si="5"/>
        <v>80.506280388978951</v>
      </c>
      <c r="W27" s="102"/>
      <c r="X27" s="86"/>
      <c r="Y27" s="86"/>
      <c r="Z27" s="86">
        <f>(V27-$V$6)/(D26-$D$5)</f>
        <v>0.35317190670868537</v>
      </c>
      <c r="AA27" s="102"/>
      <c r="AB27" s="110"/>
    </row>
    <row r="28" spans="1:34" x14ac:dyDescent="0.2">
      <c r="A28" s="58"/>
      <c r="B28" s="58"/>
      <c r="D28" s="79"/>
      <c r="E28" s="90" t="s">
        <v>109</v>
      </c>
      <c r="F28" s="58"/>
      <c r="G28" s="79"/>
      <c r="H28" s="81">
        <f>0.1909-F26</f>
        <v>0.1598</v>
      </c>
      <c r="I28" s="82">
        <f>0.2203-F26</f>
        <v>0.18920000000000001</v>
      </c>
      <c r="J28" s="82">
        <f>0.1173-G26</f>
        <v>8.7099999999999997E-2</v>
      </c>
      <c r="K28" s="82">
        <f>0.1414-G26</f>
        <v>0.11119999999999999</v>
      </c>
      <c r="L28" s="82">
        <f t="shared" si="0"/>
        <v>1.7358914100486223E-2</v>
      </c>
      <c r="M28" s="82">
        <f t="shared" si="1"/>
        <v>1.9760777957860617E-2</v>
      </c>
      <c r="N28" s="92">
        <f t="shared" si="2"/>
        <v>1.8559846029173419E-2</v>
      </c>
      <c r="O28" s="92">
        <f>'Growth curves UTEX #1926'!H18</f>
        <v>2.024</v>
      </c>
      <c r="P28" s="92">
        <f t="shared" si="3"/>
        <v>2.5494304000000003</v>
      </c>
      <c r="Q28" s="93">
        <f t="shared" si="9"/>
        <v>2.5494304000000005E-4</v>
      </c>
      <c r="R28" s="94">
        <f t="shared" si="4"/>
        <v>36.399985716757392</v>
      </c>
      <c r="S28" s="95">
        <f>AVERAGE(R26:R28)</f>
        <v>34.778859221289842</v>
      </c>
      <c r="T28" s="96">
        <f>STDEV(R26:R28)</f>
        <v>1.7902448885955473</v>
      </c>
      <c r="U28" s="96">
        <f>T28/SQRT(3)</f>
        <v>1.0335983683459908</v>
      </c>
      <c r="V28" s="96">
        <f t="shared" si="5"/>
        <v>92.799230145867099</v>
      </c>
      <c r="W28" s="95">
        <f>AVERAGE(V26:V28)</f>
        <v>85.691112911939513</v>
      </c>
      <c r="X28" s="96">
        <f>STDEV(V26:V28)</f>
        <v>6.3681568362379224</v>
      </c>
      <c r="Y28" s="96">
        <f>X28/SQRT(3)</f>
        <v>3.6766570636437201</v>
      </c>
      <c r="Z28" s="96">
        <f>(V28-$V$7)/(D26-$D$5)</f>
        <v>0.40572743002830991</v>
      </c>
      <c r="AA28" s="95">
        <f>AVERAGE(Z26:Z28)</f>
        <v>0.37329675022864967</v>
      </c>
      <c r="AB28" s="103">
        <f>STDEV(Z26:Z28)/SQRT(3)</f>
        <v>1.6371682490985376E-2</v>
      </c>
    </row>
    <row r="29" spans="1:34" x14ac:dyDescent="0.2">
      <c r="A29" s="58"/>
      <c r="B29" s="99" t="s">
        <v>33</v>
      </c>
      <c r="C29" s="100">
        <v>0.48402777777777778</v>
      </c>
      <c r="D29" s="147">
        <f>1+2/60+24+D26</f>
        <v>240.01666666666668</v>
      </c>
      <c r="E29" s="80" t="s">
        <v>107</v>
      </c>
      <c r="F29" s="104">
        <v>4.9200000000000001E-2</v>
      </c>
      <c r="G29" s="139">
        <v>4.8500000000000001E-2</v>
      </c>
      <c r="H29" s="104">
        <f>0.2569-F29</f>
        <v>0.20770000000000002</v>
      </c>
      <c r="I29" s="105">
        <f>0.249-F29</f>
        <v>0.19980000000000001</v>
      </c>
      <c r="J29" s="105">
        <f>0.1722-G29</f>
        <v>0.12369999999999999</v>
      </c>
      <c r="K29" s="105">
        <f>0.1659-G29</f>
        <v>0.11739999999999999</v>
      </c>
      <c r="L29" s="82">
        <f t="shared" si="0"/>
        <v>2.1533468395461917E-2</v>
      </c>
      <c r="M29" s="82">
        <f t="shared" si="1"/>
        <v>2.087082658022691E-2</v>
      </c>
      <c r="N29" s="82">
        <f t="shared" si="2"/>
        <v>2.1202147487844415E-2</v>
      </c>
      <c r="O29" s="82">
        <f>'Growth curves UTEX #1926'!F19</f>
        <v>2.3279999999999998</v>
      </c>
      <c r="P29" s="82">
        <f t="shared" si="3"/>
        <v>2.9323487999999998</v>
      </c>
      <c r="Q29" s="106">
        <f t="shared" si="9"/>
        <v>2.9323487999999997E-4</v>
      </c>
      <c r="R29" s="84">
        <f t="shared" si="4"/>
        <v>36.1521581058918</v>
      </c>
      <c r="S29" s="85"/>
      <c r="V29" s="86">
        <f t="shared" si="5"/>
        <v>106.01073743922208</v>
      </c>
      <c r="W29" s="102"/>
      <c r="X29" s="86"/>
      <c r="Y29" s="86"/>
      <c r="Z29" s="86">
        <f t="shared" si="7"/>
        <v>0.41601252366658775</v>
      </c>
      <c r="AA29" s="102"/>
      <c r="AB29" s="110"/>
    </row>
    <row r="30" spans="1:34" x14ac:dyDescent="0.2">
      <c r="A30" s="58"/>
      <c r="B30" s="58"/>
      <c r="D30" s="79"/>
      <c r="E30" s="80" t="s">
        <v>108</v>
      </c>
      <c r="F30" s="58"/>
      <c r="G30" s="79"/>
      <c r="H30" s="81">
        <f>0.248-F29</f>
        <v>0.1988</v>
      </c>
      <c r="I30" s="82">
        <f>0.2542-F29</f>
        <v>0.20499999999999999</v>
      </c>
      <c r="J30" s="82">
        <f>0.1583-G29</f>
        <v>0.10979999999999999</v>
      </c>
      <c r="K30" s="82">
        <f>0.1637-G29</f>
        <v>0.11520000000000001</v>
      </c>
      <c r="L30" s="82">
        <f t="shared" si="0"/>
        <v>2.1453970826580231E-2</v>
      </c>
      <c r="M30" s="82">
        <f t="shared" si="1"/>
        <v>2.1929335494327389E-2</v>
      </c>
      <c r="N30" s="82">
        <f t="shared" si="2"/>
        <v>2.1691653160453808E-2</v>
      </c>
      <c r="O30" s="82">
        <f>'Growth curves UTEX #1926'!G19</f>
        <v>2.1960000000000002</v>
      </c>
      <c r="P30" s="82">
        <f t="shared" si="3"/>
        <v>2.7660816000000001</v>
      </c>
      <c r="Q30" s="83">
        <f t="shared" si="9"/>
        <v>2.7660816000000003E-4</v>
      </c>
      <c r="R30" s="84">
        <f t="shared" si="4"/>
        <v>39.210074569842419</v>
      </c>
      <c r="S30" s="85"/>
      <c r="V30" s="86">
        <f t="shared" si="5"/>
        <v>108.45826580226904</v>
      </c>
      <c r="W30" s="102"/>
      <c r="X30" s="86"/>
      <c r="Y30" s="86"/>
      <c r="Z30" s="86">
        <f>(V30-$V$6)/(D29-$D$5)</f>
        <v>0.43279519126676885</v>
      </c>
      <c r="AA30" s="102"/>
      <c r="AB30" s="110"/>
    </row>
    <row r="31" spans="1:34" x14ac:dyDescent="0.2">
      <c r="A31" s="58"/>
      <c r="B31" s="58"/>
      <c r="D31" s="79"/>
      <c r="E31" s="90" t="s">
        <v>109</v>
      </c>
      <c r="F31" s="58"/>
      <c r="G31" s="79"/>
      <c r="H31" s="81">
        <f>0.2434-F29</f>
        <v>0.19420000000000001</v>
      </c>
      <c r="I31" s="82">
        <f>0.2489-F29</f>
        <v>0.19970000000000002</v>
      </c>
      <c r="J31" s="82">
        <f>0.153-G29</f>
        <v>0.1045</v>
      </c>
      <c r="K31" s="82">
        <f>0.1573-G29</f>
        <v>0.10879999999999999</v>
      </c>
      <c r="L31" s="82">
        <f t="shared" si="0"/>
        <v>2.1228119935170181E-2</v>
      </c>
      <c r="M31" s="82">
        <f t="shared" si="1"/>
        <v>2.1697893030794169E-2</v>
      </c>
      <c r="N31" s="92">
        <f t="shared" si="2"/>
        <v>2.1463006482982175E-2</v>
      </c>
      <c r="O31" s="92">
        <f>'Growth curves UTEX #1926'!H19</f>
        <v>2.3079999999999998</v>
      </c>
      <c r="P31" s="92">
        <f t="shared" si="3"/>
        <v>2.9071568000000001</v>
      </c>
      <c r="Q31" s="93">
        <f t="shared" si="9"/>
        <v>2.9071568000000003E-4</v>
      </c>
      <c r="R31" s="94">
        <f t="shared" si="4"/>
        <v>36.91408472185293</v>
      </c>
      <c r="S31" s="95">
        <f>AVERAGE(R29:R31)</f>
        <v>37.42543913252905</v>
      </c>
      <c r="T31" s="96">
        <f>STDEV(R29:R31)</f>
        <v>1.5917995398647109</v>
      </c>
      <c r="U31" s="96">
        <f>T31/SQRT(3)</f>
        <v>0.91902589283681335</v>
      </c>
      <c r="V31" s="96">
        <f t="shared" si="5"/>
        <v>107.31503241491086</v>
      </c>
      <c r="W31" s="95">
        <f>AVERAGE(V29:V31)</f>
        <v>107.26134521880067</v>
      </c>
      <c r="X31" s="96">
        <f>STDEV(V29:V31)</f>
        <v>1.2246470953909374</v>
      </c>
      <c r="Y31" s="96">
        <f>X31/SQRT(3)</f>
        <v>0.70705033018625107</v>
      </c>
      <c r="Z31" s="96">
        <f>(V31-$V$7)/(D29-$D$5)</f>
        <v>0.42388905326559234</v>
      </c>
      <c r="AA31" s="95">
        <f>AVERAGE(Z29:Z31)</f>
        <v>0.42423225606631632</v>
      </c>
      <c r="AB31" s="103">
        <f>STDEV(Z29:Z31)/SQRT(3)</f>
        <v>4.8477769498455232E-3</v>
      </c>
    </row>
    <row r="32" spans="1:34" x14ac:dyDescent="0.2">
      <c r="A32" s="58"/>
      <c r="B32" s="99" t="s">
        <v>34</v>
      </c>
      <c r="C32" s="100">
        <v>0.52013888888888882</v>
      </c>
      <c r="D32" s="147">
        <f>52/60+48+D29</f>
        <v>288.88333333333333</v>
      </c>
      <c r="E32" s="80" t="s">
        <v>107</v>
      </c>
      <c r="F32" s="104">
        <v>4.5900000000000003E-2</v>
      </c>
      <c r="G32" s="139">
        <v>4.4499999999999998E-2</v>
      </c>
      <c r="H32" s="104">
        <f>0.2354-F32</f>
        <v>0.1895</v>
      </c>
      <c r="I32" s="105">
        <f>0.2319-F32</f>
        <v>0.186</v>
      </c>
      <c r="J32" s="105">
        <f>0.1543-G32</f>
        <v>0.10979999999999999</v>
      </c>
      <c r="K32" s="105">
        <f>0.1521-G32</f>
        <v>0.10760000000000002</v>
      </c>
      <c r="L32" s="82">
        <f t="shared" si="0"/>
        <v>1.9946677471636955E-2</v>
      </c>
      <c r="M32" s="82">
        <f t="shared" si="1"/>
        <v>1.959513776337115E-2</v>
      </c>
      <c r="N32" s="82">
        <f t="shared" si="2"/>
        <v>1.9770907617504052E-2</v>
      </c>
      <c r="O32" s="82">
        <f>'Growth curves UTEX #1926'!F20</f>
        <v>2.7759999999999998</v>
      </c>
      <c r="P32" s="82">
        <f t="shared" si="3"/>
        <v>3.4966496</v>
      </c>
      <c r="Q32" s="106">
        <f>P32*0.075/1000</f>
        <v>2.6224871999999997E-4</v>
      </c>
      <c r="R32" s="84">
        <f t="shared" si="4"/>
        <v>37.694955417711959</v>
      </c>
      <c r="S32" s="85"/>
      <c r="V32" s="86">
        <f t="shared" si="5"/>
        <v>131.80605078336035</v>
      </c>
      <c r="W32" s="102"/>
      <c r="X32" s="86"/>
      <c r="Y32" s="86"/>
      <c r="Z32" s="86">
        <f t="shared" si="7"/>
        <v>0.43493423838751671</v>
      </c>
      <c r="AA32" s="102"/>
      <c r="AB32" s="110"/>
    </row>
    <row r="33" spans="1:28" x14ac:dyDescent="0.2">
      <c r="A33" s="58"/>
      <c r="B33" s="58"/>
      <c r="D33" s="79"/>
      <c r="E33" s="80" t="s">
        <v>108</v>
      </c>
      <c r="F33" s="58"/>
      <c r="G33" s="79"/>
      <c r="H33" s="81"/>
      <c r="I33" s="82"/>
      <c r="J33" s="82"/>
      <c r="K33" s="82"/>
      <c r="L33" s="82">
        <f t="shared" si="0"/>
        <v>0</v>
      </c>
      <c r="M33" s="82">
        <f t="shared" si="1"/>
        <v>0</v>
      </c>
      <c r="N33" s="82">
        <f t="shared" si="2"/>
        <v>0</v>
      </c>
      <c r="O33" s="82">
        <f>'Growth curves UTEX #1926'!G20</f>
        <v>2.556</v>
      </c>
      <c r="P33" s="82">
        <f t="shared" si="3"/>
        <v>3.2195376000000002</v>
      </c>
      <c r="Q33" s="83">
        <f>P33*0.075/1000</f>
        <v>2.4146532E-4</v>
      </c>
      <c r="R33" s="84"/>
      <c r="S33" s="85"/>
      <c r="V33" s="86"/>
      <c r="W33" s="102"/>
      <c r="X33" s="86"/>
      <c r="Y33" s="86"/>
      <c r="Z33" s="86">
        <f>(V33-$V$6)/(D32-$D$5)</f>
        <v>-1.5854866364934148E-2</v>
      </c>
      <c r="AA33" s="102"/>
      <c r="AB33" s="110"/>
    </row>
    <row r="34" spans="1:28" x14ac:dyDescent="0.2">
      <c r="A34" s="58"/>
      <c r="B34" s="58"/>
      <c r="D34" s="79"/>
      <c r="E34" s="90" t="s">
        <v>109</v>
      </c>
      <c r="F34" s="58"/>
      <c r="G34" s="79"/>
      <c r="H34" s="81"/>
      <c r="I34" s="82"/>
      <c r="J34" s="82"/>
      <c r="K34" s="82"/>
      <c r="L34" s="82">
        <f t="shared" si="0"/>
        <v>0</v>
      </c>
      <c r="M34" s="82">
        <f t="shared" si="1"/>
        <v>0</v>
      </c>
      <c r="N34" s="92">
        <f t="shared" si="2"/>
        <v>0</v>
      </c>
      <c r="O34" s="92">
        <f>'Growth curves UTEX #1926'!H20</f>
        <v>2.7480000000000002</v>
      </c>
      <c r="P34" s="92">
        <f t="shared" si="3"/>
        <v>3.4613808000000006</v>
      </c>
      <c r="Q34" s="93">
        <f>P34*0.075/1000</f>
        <v>2.5960356E-4</v>
      </c>
      <c r="R34" s="94"/>
      <c r="S34" s="95">
        <f>AVERAGE(R32:R34)</f>
        <v>37.694955417711959</v>
      </c>
      <c r="T34" s="96"/>
      <c r="U34" s="96"/>
      <c r="V34" s="96"/>
      <c r="W34" s="95">
        <f>AVERAGE(V32:V34)</f>
        <v>131.80605078336035</v>
      </c>
      <c r="X34" s="96"/>
      <c r="Y34" s="96"/>
      <c r="Z34" s="96">
        <f>(V34-$V$7)/(D32-$D$5)</f>
        <v>-1.9297045451846524E-2</v>
      </c>
      <c r="AA34" s="95">
        <f>AVERAGE(Z32:Z34)</f>
        <v>0.13326077552357868</v>
      </c>
      <c r="AB34" s="103">
        <f>STDEV(Z32:Z34)/SQRT(3)</f>
        <v>0.15084000441577874</v>
      </c>
    </row>
    <row r="35" spans="1:28" x14ac:dyDescent="0.2">
      <c r="A35" s="58"/>
      <c r="B35" s="99" t="s">
        <v>35</v>
      </c>
      <c r="C35" s="100">
        <v>0.52152777777777781</v>
      </c>
      <c r="D35" s="147">
        <f>2/60+24+D32</f>
        <v>312.91666666666669</v>
      </c>
      <c r="E35" s="80" t="s">
        <v>107</v>
      </c>
      <c r="F35" s="104">
        <f>(0.0555+0.0526)/2</f>
        <v>5.4050000000000001E-2</v>
      </c>
      <c r="G35" s="139">
        <f>(0.0536+0.0514)/2</f>
        <v>5.2500000000000005E-2</v>
      </c>
      <c r="H35" s="104">
        <f>0.3097-F35</f>
        <v>0.25564999999999999</v>
      </c>
      <c r="I35" s="105">
        <f>0.2963-F35</f>
        <v>0.24225000000000002</v>
      </c>
      <c r="J35" s="105">
        <f>0.1969-G35</f>
        <v>0.14439999999999997</v>
      </c>
      <c r="K35" s="105">
        <f>0.1883-G35</f>
        <v>0.13579999999999998</v>
      </c>
      <c r="L35" s="82">
        <f t="shared" si="0"/>
        <v>2.7275202593192868E-2</v>
      </c>
      <c r="M35" s="82">
        <f t="shared" si="1"/>
        <v>2.594667747163696E-2</v>
      </c>
      <c r="N35" s="82">
        <f t="shared" si="2"/>
        <v>2.6610940032414914E-2</v>
      </c>
      <c r="O35" s="82">
        <f>'Growth curves UTEX #1926'!F21</f>
        <v>2.8719999999999999</v>
      </c>
      <c r="P35" s="82">
        <f t="shared" si="3"/>
        <v>3.6175712</v>
      </c>
      <c r="Q35" s="106">
        <f t="shared" ref="Q35:Q37" si="10">P35*0.075/1000</f>
        <v>2.7131783999999998E-4</v>
      </c>
      <c r="R35" s="84">
        <f t="shared" si="4"/>
        <v>49.040159011318451</v>
      </c>
      <c r="S35" s="85"/>
      <c r="V35" s="86">
        <f t="shared" si="5"/>
        <v>177.40626688276609</v>
      </c>
      <c r="W35" s="102"/>
      <c r="X35" s="86"/>
      <c r="Y35" s="86"/>
      <c r="Z35" s="86">
        <f t="shared" si="7"/>
        <v>0.54725582529614758</v>
      </c>
      <c r="AA35" s="102"/>
      <c r="AB35" s="110"/>
    </row>
    <row r="36" spans="1:28" x14ac:dyDescent="0.2">
      <c r="A36" s="58"/>
      <c r="B36" s="58"/>
      <c r="D36" s="79"/>
      <c r="E36" s="80" t="s">
        <v>108</v>
      </c>
      <c r="F36" s="58"/>
      <c r="G36" s="79"/>
      <c r="H36" s="81">
        <f>0.2776-F35</f>
        <v>0.22355000000000003</v>
      </c>
      <c r="I36" s="82">
        <f>0.2421-F35</f>
        <v>0.18804999999999999</v>
      </c>
      <c r="J36" s="82">
        <f>0.189-G35</f>
        <v>0.13650000000000001</v>
      </c>
      <c r="K36" s="82">
        <f>0.1569-G35</f>
        <v>0.10440000000000001</v>
      </c>
      <c r="L36" s="82">
        <f t="shared" si="0"/>
        <v>2.2847244732576988E-2</v>
      </c>
      <c r="M36" s="82">
        <f t="shared" si="1"/>
        <v>2.0241166936790924E-2</v>
      </c>
      <c r="N36" s="82">
        <f t="shared" si="2"/>
        <v>2.1544205834683958E-2</v>
      </c>
      <c r="O36" s="82">
        <f>'Growth curves UTEX #1926'!G21</f>
        <v>2.68</v>
      </c>
      <c r="P36" s="82">
        <f t="shared" si="3"/>
        <v>3.3757280000000005</v>
      </c>
      <c r="Q36" s="83">
        <f t="shared" si="10"/>
        <v>2.5317960000000001E-4</v>
      </c>
      <c r="R36" s="84">
        <f t="shared" si="4"/>
        <v>42.547278364220411</v>
      </c>
      <c r="S36" s="85"/>
      <c r="V36" s="86">
        <f t="shared" si="5"/>
        <v>143.62803889789305</v>
      </c>
      <c r="W36" s="102"/>
      <c r="X36" s="86"/>
      <c r="Y36" s="86"/>
      <c r="Z36" s="86">
        <f>(V36-$V$6)/(D35-$D$5)</f>
        <v>0.44436058243249954</v>
      </c>
      <c r="AA36" s="102"/>
      <c r="AB36" s="110"/>
    </row>
    <row r="37" spans="1:28" x14ac:dyDescent="0.2">
      <c r="A37" s="58"/>
      <c r="B37" s="58"/>
      <c r="D37" s="79"/>
      <c r="E37" s="90" t="s">
        <v>109</v>
      </c>
      <c r="F37" s="58"/>
      <c r="G37" s="79"/>
      <c r="H37" s="81">
        <f>0.2479-F35</f>
        <v>0.19385000000000002</v>
      </c>
      <c r="I37" s="82">
        <f>0.2552-F35</f>
        <v>0.20115</v>
      </c>
      <c r="J37" s="82">
        <f>0.162-G35</f>
        <v>0.1095</v>
      </c>
      <c r="K37" s="82">
        <f>0.1662-G35</f>
        <v>0.11369999999999998</v>
      </c>
      <c r="L37" s="82">
        <f t="shared" si="0"/>
        <v>2.0681118314424637E-2</v>
      </c>
      <c r="M37" s="82">
        <f t="shared" si="1"/>
        <v>2.1452431118314429E-2</v>
      </c>
      <c r="N37" s="92">
        <f t="shared" si="2"/>
        <v>2.1066774716369533E-2</v>
      </c>
      <c r="O37" s="92">
        <f>'Growth curves UTEX #1926'!H21</f>
        <v>2.96</v>
      </c>
      <c r="P37" s="92">
        <f t="shared" si="3"/>
        <v>3.7284160000000002</v>
      </c>
      <c r="Q37" s="93">
        <f t="shared" si="10"/>
        <v>2.7963120000000003E-4</v>
      </c>
      <c r="R37" s="94">
        <f t="shared" si="4"/>
        <v>37.66885582933795</v>
      </c>
      <c r="S37" s="95">
        <f>AVERAGE(R35:R37)</f>
        <v>43.085431068292273</v>
      </c>
      <c r="T37" s="96">
        <f>STDEV(R35:R37)</f>
        <v>5.7047208751879461</v>
      </c>
      <c r="U37" s="96">
        <f>T37/SQRT(3)</f>
        <v>3.2936221329414384</v>
      </c>
      <c r="V37" s="96">
        <f t="shared" si="5"/>
        <v>140.44516477579688</v>
      </c>
      <c r="W37" s="95">
        <f>AVERAGE(V35:V37)</f>
        <v>153.82649018548534</v>
      </c>
      <c r="X37" s="96">
        <f>STDEV(V35:V37)</f>
        <v>20.482604173773691</v>
      </c>
      <c r="Y37" s="96">
        <f>X37/SQRT(3)</f>
        <v>11.825637033432793</v>
      </c>
      <c r="Z37" s="96">
        <f>(V37-$V$7)/(D35-$D$5)</f>
        <v>0.43101114235584326</v>
      </c>
      <c r="AA37" s="95">
        <f>AVERAGE(Z35:Z37)</f>
        <v>0.47420918336149676</v>
      </c>
      <c r="AB37" s="103">
        <f>STDEV(Z35:Z37)/SQRT(3)</f>
        <v>3.6726061641278229E-2</v>
      </c>
    </row>
    <row r="38" spans="1:28" x14ac:dyDescent="0.2">
      <c r="A38" s="58"/>
      <c r="B38" s="99" t="s">
        <v>36</v>
      </c>
      <c r="C38" s="100">
        <v>0.49027777777777781</v>
      </c>
      <c r="D38" s="154">
        <f>11+15/60+12+D35</f>
        <v>336.16666666666669</v>
      </c>
      <c r="E38" s="80" t="s">
        <v>107</v>
      </c>
      <c r="F38" s="104">
        <f>(0.0459+0.0491)/2</f>
        <v>4.7500000000000001E-2</v>
      </c>
      <c r="G38" s="139">
        <f>(0.0437+0.047)/2</f>
        <v>4.5350000000000001E-2</v>
      </c>
      <c r="H38" s="104">
        <f>0.2865-F38</f>
        <v>0.23899999999999999</v>
      </c>
      <c r="I38" s="105">
        <f>0.2765-F38</f>
        <v>0.22900000000000004</v>
      </c>
      <c r="J38" s="105">
        <f>0.184-G38</f>
        <v>0.13865</v>
      </c>
      <c r="K38" s="105">
        <f>0.1764-G38</f>
        <v>0.13105</v>
      </c>
      <c r="L38" s="82">
        <f t="shared" si="0"/>
        <v>2.514047811993517E-2</v>
      </c>
      <c r="M38" s="82">
        <f t="shared" si="1"/>
        <v>2.4264951377633716E-2</v>
      </c>
      <c r="N38" s="82">
        <f t="shared" si="2"/>
        <v>2.4702714748784445E-2</v>
      </c>
      <c r="O38" s="82">
        <f>'Growth curves UTEX #1926'!F22</f>
        <v>3.3479999999999999</v>
      </c>
      <c r="P38" s="82">
        <f t="shared" si="3"/>
        <v>4.2171408000000001</v>
      </c>
      <c r="Q38" s="106">
        <f>P38*0.075/1000</f>
        <v>3.1628556000000001E-4</v>
      </c>
      <c r="R38" s="84">
        <f t="shared" si="4"/>
        <v>39.051284460764577</v>
      </c>
      <c r="S38" s="85"/>
      <c r="V38" s="86">
        <f t="shared" si="5"/>
        <v>164.68476499189632</v>
      </c>
      <c r="W38" s="102"/>
      <c r="X38" s="86"/>
      <c r="Y38" s="86"/>
      <c r="Z38" s="86">
        <f t="shared" si="7"/>
        <v>0.47156360964219057</v>
      </c>
      <c r="AA38" s="102"/>
      <c r="AB38" s="110"/>
    </row>
    <row r="39" spans="1:28" x14ac:dyDescent="0.2">
      <c r="A39" s="58"/>
      <c r="B39" s="58"/>
      <c r="E39" s="80" t="s">
        <v>108</v>
      </c>
      <c r="F39" s="81"/>
      <c r="G39" s="137"/>
      <c r="H39" s="81">
        <f>0.3406-F38</f>
        <v>0.29310000000000003</v>
      </c>
      <c r="I39" s="82">
        <f>0.348-F38</f>
        <v>0.30049999999999999</v>
      </c>
      <c r="J39" s="82">
        <f>0.2169-G38</f>
        <v>0.17155000000000001</v>
      </c>
      <c r="K39" s="82">
        <f>0.2231-G38</f>
        <v>0.17774999999999999</v>
      </c>
      <c r="L39" s="82">
        <f t="shared" si="0"/>
        <v>3.0682698541329014E-2</v>
      </c>
      <c r="M39" s="82">
        <f t="shared" si="1"/>
        <v>3.1274108589951381E-2</v>
      </c>
      <c r="N39" s="82">
        <f t="shared" si="2"/>
        <v>3.0978403565640196E-2</v>
      </c>
      <c r="O39" s="82">
        <f>'Growth curves UTEX #1926'!G22</f>
        <v>2.7320000000000002</v>
      </c>
      <c r="P39" s="82">
        <f t="shared" si="3"/>
        <v>3.4412272000000006</v>
      </c>
      <c r="Q39" s="83">
        <f>P39*0.075/1000</f>
        <v>2.5809204000000002E-4</v>
      </c>
      <c r="R39" s="84">
        <f t="shared" si="4"/>
        <v>60.014256087944815</v>
      </c>
      <c r="S39" s="85"/>
      <c r="V39" s="86">
        <f t="shared" si="5"/>
        <v>206.52269043760134</v>
      </c>
      <c r="W39" s="102"/>
      <c r="X39" s="86"/>
      <c r="Y39" s="86"/>
      <c r="Z39" s="86">
        <f>(V39-$V$6)/(D38-$D$5)</f>
        <v>0.60072132015630519</v>
      </c>
      <c r="AA39" s="102"/>
      <c r="AB39" s="110"/>
    </row>
    <row r="40" spans="1:28" x14ac:dyDescent="0.2">
      <c r="A40" s="58"/>
      <c r="B40" s="58"/>
      <c r="E40" s="90" t="s">
        <v>109</v>
      </c>
      <c r="F40" s="81"/>
      <c r="G40" s="137"/>
      <c r="H40" s="81">
        <f>0.2825-F38</f>
        <v>0.23499999999999999</v>
      </c>
      <c r="I40" s="82">
        <f>0.291-F38</f>
        <v>0.24349999999999999</v>
      </c>
      <c r="J40" s="82">
        <f>0.1774-G38</f>
        <v>0.13205</v>
      </c>
      <c r="K40" s="82">
        <f>0.1854-G38</f>
        <v>0.14005000000000001</v>
      </c>
      <c r="L40" s="82">
        <f t="shared" si="0"/>
        <v>2.5139343598055103E-2</v>
      </c>
      <c r="M40" s="82">
        <f t="shared" si="1"/>
        <v>2.5732536466774713E-2</v>
      </c>
      <c r="N40" s="92">
        <f t="shared" si="2"/>
        <v>2.5435940032414908E-2</v>
      </c>
      <c r="O40" s="92">
        <f>'Growth curves UTEX #1926'!H22</f>
        <v>2.7480000000000002</v>
      </c>
      <c r="P40" s="92">
        <f t="shared" si="3"/>
        <v>3.4613808000000006</v>
      </c>
      <c r="Q40" s="93">
        <f>P40*0.075/1000</f>
        <v>2.5960356E-4</v>
      </c>
      <c r="R40" s="94">
        <f t="shared" si="4"/>
        <v>48.989967688453326</v>
      </c>
      <c r="S40" s="95">
        <f>AVERAGE(R38:R40)</f>
        <v>49.351836079054237</v>
      </c>
      <c r="T40" s="96">
        <f>STDEV(R38:R40)</f>
        <v>10.486169768298568</v>
      </c>
      <c r="U40" s="96">
        <f>T40/SQRT(3)</f>
        <v>6.0541929384952944</v>
      </c>
      <c r="V40" s="96">
        <f t="shared" si="5"/>
        <v>169.57293354943275</v>
      </c>
      <c r="W40" s="95">
        <f>AVERAGE(V38:V40)</f>
        <v>180.26012965964347</v>
      </c>
      <c r="X40" s="96">
        <f>STDEV(V38:V40)</f>
        <v>22.874989003793313</v>
      </c>
      <c r="Y40" s="96">
        <f>X40/SQRT(3)</f>
        <v>13.206881059049799</v>
      </c>
      <c r="Z40" s="96">
        <f>(V40-$V$7)/(D38-$D$5)</f>
        <v>0.48784830560977238</v>
      </c>
      <c r="AA40" s="95">
        <f>AVERAGE(Z38:Z40)</f>
        <v>0.52004441180275607</v>
      </c>
      <c r="AB40" s="103">
        <f>STDEV(Z38:Z40)/SQRT(3)</f>
        <v>4.0611453584772507E-2</v>
      </c>
    </row>
    <row r="41" spans="1:28" x14ac:dyDescent="0.2">
      <c r="A41" s="58"/>
      <c r="B41" s="99" t="s">
        <v>37</v>
      </c>
      <c r="C41" s="100">
        <v>0.44375000000000003</v>
      </c>
      <c r="D41" s="155">
        <f>10+53/60+12+D38</f>
        <v>359.05</v>
      </c>
      <c r="E41" s="80" t="s">
        <v>107</v>
      </c>
      <c r="F41" s="104">
        <f>(0.0422+0.0455)/2</f>
        <v>4.385E-2</v>
      </c>
      <c r="G41" s="139">
        <f>(0.0423+0.0455)/2</f>
        <v>4.3899999999999995E-2</v>
      </c>
      <c r="H41" s="104">
        <f>0.268-F41</f>
        <v>0.22415000000000002</v>
      </c>
      <c r="I41" s="105">
        <f>0.2453-F41</f>
        <v>0.20144999999999999</v>
      </c>
      <c r="J41" s="105">
        <f>0.184-G41</f>
        <v>0.1401</v>
      </c>
      <c r="K41" s="105">
        <f>0.1665-G41</f>
        <v>0.12260000000000001</v>
      </c>
      <c r="L41" s="82">
        <f t="shared" si="0"/>
        <v>2.2591491085899515E-2</v>
      </c>
      <c r="M41" s="82">
        <f t="shared" si="1"/>
        <v>2.0628363047001618E-2</v>
      </c>
      <c r="N41" s="82">
        <f t="shared" si="2"/>
        <v>2.1609927066450568E-2</v>
      </c>
      <c r="O41" s="82">
        <f>'Growth curves UTEX #1926'!F23</f>
        <v>3.1560000000000001</v>
      </c>
      <c r="P41" s="82">
        <f t="shared" si="3"/>
        <v>3.9752976000000002</v>
      </c>
      <c r="Q41" s="106">
        <f t="shared" ref="Q41:Q49" si="11">P41*0.05/1000</f>
        <v>1.9876488000000004E-4</v>
      </c>
      <c r="R41" s="84">
        <f t="shared" si="4"/>
        <v>54.360526533788473</v>
      </c>
      <c r="S41" s="85"/>
      <c r="V41" s="86">
        <f t="shared" si="5"/>
        <v>216.09927066450564</v>
      </c>
      <c r="W41" s="102"/>
      <c r="X41" s="86"/>
      <c r="Y41" s="86"/>
      <c r="Z41" s="86">
        <f t="shared" si="7"/>
        <v>0.5847053960376708</v>
      </c>
      <c r="AA41" s="102"/>
      <c r="AB41" s="110"/>
    </row>
    <row r="42" spans="1:28" x14ac:dyDescent="0.2">
      <c r="A42" s="58"/>
      <c r="B42" s="58"/>
      <c r="E42" s="80" t="s">
        <v>108</v>
      </c>
      <c r="F42" s="81"/>
      <c r="G42" s="137"/>
      <c r="H42" s="81"/>
      <c r="I42" s="82"/>
      <c r="J42" s="82"/>
      <c r="K42" s="82"/>
      <c r="L42" s="82">
        <f t="shared" si="0"/>
        <v>0</v>
      </c>
      <c r="M42" s="82">
        <f t="shared" si="1"/>
        <v>0</v>
      </c>
      <c r="N42" s="82">
        <f t="shared" si="2"/>
        <v>0</v>
      </c>
      <c r="O42" s="82">
        <f>'Growth curves UTEX #1926'!G23</f>
        <v>2.9279999999999999</v>
      </c>
      <c r="P42" s="82">
        <f t="shared" si="3"/>
        <v>3.6881088000000002</v>
      </c>
      <c r="Q42" s="83">
        <f t="shared" si="11"/>
        <v>1.8440544000000004E-4</v>
      </c>
      <c r="R42" s="84"/>
      <c r="S42" s="85"/>
      <c r="V42" s="86"/>
      <c r="W42" s="102"/>
      <c r="X42" s="86"/>
      <c r="Y42" s="86"/>
      <c r="Z42" s="86">
        <f>(V42-$V$6)/(D41-$D$5)</f>
        <v>-1.2756459114487471E-2</v>
      </c>
      <c r="AA42" s="102"/>
      <c r="AB42" s="110"/>
    </row>
    <row r="43" spans="1:28" x14ac:dyDescent="0.2">
      <c r="A43" s="58"/>
      <c r="B43" s="58"/>
      <c r="E43" s="90" t="s">
        <v>109</v>
      </c>
      <c r="F43" s="81"/>
      <c r="G43" s="137"/>
      <c r="H43" s="81"/>
      <c r="I43" s="82"/>
      <c r="J43" s="82"/>
      <c r="K43" s="82"/>
      <c r="L43" s="82">
        <f t="shared" si="0"/>
        <v>0</v>
      </c>
      <c r="M43" s="82">
        <f t="shared" si="1"/>
        <v>0</v>
      </c>
      <c r="N43" s="92">
        <f t="shared" si="2"/>
        <v>0</v>
      </c>
      <c r="O43" s="92">
        <f>'Growth curves UTEX #1926'!H23</f>
        <v>3.004</v>
      </c>
      <c r="P43" s="92">
        <f t="shared" si="3"/>
        <v>3.7838384</v>
      </c>
      <c r="Q43" s="93">
        <f t="shared" si="11"/>
        <v>1.8919192000000002E-4</v>
      </c>
      <c r="R43" s="94"/>
      <c r="S43" s="95">
        <f>AVERAGE(R41:R43)</f>
        <v>54.360526533788473</v>
      </c>
      <c r="T43" s="96"/>
      <c r="U43" s="96"/>
      <c r="V43" s="96"/>
      <c r="W43" s="95">
        <f>AVERAGE(V41:V43)</f>
        <v>216.09927066450564</v>
      </c>
      <c r="X43" s="96"/>
      <c r="Y43" s="96"/>
      <c r="Z43" s="96">
        <f>(V43-$V$7)/(D41-$D$5)</f>
        <v>-1.5525956868442454E-2</v>
      </c>
      <c r="AA43" s="95">
        <f>AVERAGE(Z41:Z43)</f>
        <v>0.18547432668491362</v>
      </c>
      <c r="AB43" s="103">
        <f>STDEV(Z41:Z43)/SQRT(3)</f>
        <v>0.19961713568884962</v>
      </c>
    </row>
    <row r="44" spans="1:28" x14ac:dyDescent="0.2">
      <c r="A44" s="58"/>
      <c r="B44" s="99" t="s">
        <v>38</v>
      </c>
      <c r="C44" s="100">
        <v>0.50347222222222221</v>
      </c>
      <c r="D44" s="154">
        <f>1+26/60+24+D41</f>
        <v>384.48333333333335</v>
      </c>
      <c r="E44" s="80" t="s">
        <v>107</v>
      </c>
      <c r="F44" s="104">
        <f>(0.0451+0.0398+0.0434)/3</f>
        <v>4.2766666666666668E-2</v>
      </c>
      <c r="G44" s="139">
        <f>(0.0445+0.0392+0.0428)/3</f>
        <v>4.2166666666666665E-2</v>
      </c>
      <c r="H44" s="104">
        <f>0.2527-F44</f>
        <v>0.20993333333333331</v>
      </c>
      <c r="I44" s="105">
        <f>0.2279-F44</f>
        <v>0.18513333333333332</v>
      </c>
      <c r="J44" s="105">
        <f>0.1742-G44</f>
        <v>0.13203333333333334</v>
      </c>
      <c r="K44" s="105">
        <f>0.1525-G44</f>
        <v>0.11033333333333334</v>
      </c>
      <c r="L44" s="82">
        <f t="shared" si="0"/>
        <v>2.1078309022150184E-2</v>
      </c>
      <c r="M44" s="82">
        <f t="shared" si="1"/>
        <v>1.9186655861696378E-2</v>
      </c>
      <c r="N44" s="82">
        <f t="shared" si="2"/>
        <v>2.0132482441923283E-2</v>
      </c>
      <c r="O44" s="82">
        <f>'Growth curves UTEX #1926'!F24</f>
        <v>3.38</v>
      </c>
      <c r="P44" s="82">
        <f t="shared" si="3"/>
        <v>4.2574480000000001</v>
      </c>
      <c r="Q44" s="106">
        <f t="shared" si="11"/>
        <v>2.1287240000000002E-4</v>
      </c>
      <c r="R44" s="84">
        <f t="shared" si="4"/>
        <v>47.287676659640425</v>
      </c>
      <c r="S44" s="85"/>
      <c r="V44" s="86">
        <f t="shared" si="5"/>
        <v>201.32482441923281</v>
      </c>
      <c r="W44" s="102"/>
      <c r="X44" s="86"/>
      <c r="Y44" s="86"/>
      <c r="Z44" s="86">
        <f t="shared" si="7"/>
        <v>0.5076007443809083</v>
      </c>
      <c r="AA44" s="102"/>
      <c r="AB44" s="110"/>
    </row>
    <row r="45" spans="1:28" x14ac:dyDescent="0.2">
      <c r="A45" s="58"/>
      <c r="B45" s="58"/>
      <c r="E45" s="80" t="s">
        <v>108</v>
      </c>
      <c r="F45" s="81"/>
      <c r="G45" s="137"/>
      <c r="H45" s="81">
        <f>0.2169-F44</f>
        <v>0.17413333333333333</v>
      </c>
      <c r="I45" s="82">
        <f>0.2252-F44</f>
        <v>0.18243333333333334</v>
      </c>
      <c r="J45" s="82">
        <f>0.1505-G44</f>
        <v>0.10833333333333334</v>
      </c>
      <c r="K45" s="82">
        <f>0.1575-G44</f>
        <v>0.11533333333333334</v>
      </c>
      <c r="L45" s="82">
        <f t="shared" si="0"/>
        <v>1.7599945975148568E-2</v>
      </c>
      <c r="M45" s="82">
        <f t="shared" si="1"/>
        <v>1.8258779038357646E-2</v>
      </c>
      <c r="N45" s="82">
        <f t="shared" si="2"/>
        <v>1.7929362506753109E-2</v>
      </c>
      <c r="O45" s="82">
        <f>'Growth curves UTEX #1926'!G24</f>
        <v>2.87</v>
      </c>
      <c r="P45" s="82">
        <f t="shared" si="3"/>
        <v>3.6150520000000004</v>
      </c>
      <c r="Q45" s="83">
        <f t="shared" si="11"/>
        <v>1.8075260000000005E-4</v>
      </c>
      <c r="R45" s="84">
        <f t="shared" si="4"/>
        <v>49.596416612411396</v>
      </c>
      <c r="S45" s="85"/>
      <c r="V45" s="86">
        <f t="shared" si="5"/>
        <v>179.29362506753105</v>
      </c>
      <c r="W45" s="102"/>
      <c r="X45" s="86"/>
      <c r="Y45" s="86"/>
      <c r="Z45" s="86">
        <f>(V45-$V$6)/(D44-$D$5)</f>
        <v>0.45441090230822573</v>
      </c>
      <c r="AA45" s="102"/>
      <c r="AB45" s="110"/>
    </row>
    <row r="46" spans="1:28" x14ac:dyDescent="0.2">
      <c r="A46" s="58"/>
      <c r="B46" s="58"/>
      <c r="E46" s="90" t="s">
        <v>109</v>
      </c>
      <c r="F46" s="81"/>
      <c r="G46" s="137"/>
      <c r="H46" s="81">
        <f>0.1991-F44</f>
        <v>0.15633333333333332</v>
      </c>
      <c r="I46" s="82">
        <f>0.2088-F44</f>
        <v>0.16603333333333334</v>
      </c>
      <c r="J46" s="82">
        <f>0.1323-G44</f>
        <v>9.0133333333333343E-2</v>
      </c>
      <c r="K46" s="82">
        <f>0.1395-G44</f>
        <v>9.7333333333333355E-2</v>
      </c>
      <c r="L46" s="82">
        <f t="shared" si="0"/>
        <v>1.6499621826039975E-2</v>
      </c>
      <c r="M46" s="82">
        <f t="shared" si="1"/>
        <v>1.736574824419233E-2</v>
      </c>
      <c r="N46" s="92">
        <f t="shared" si="2"/>
        <v>1.6932685035116152E-2</v>
      </c>
      <c r="O46" s="92">
        <f>'Growth curves UTEX #1926'!H24</f>
        <v>2.92</v>
      </c>
      <c r="P46" s="92">
        <f t="shared" si="3"/>
        <v>3.678032</v>
      </c>
      <c r="Q46" s="93">
        <f t="shared" si="11"/>
        <v>1.839016E-4</v>
      </c>
      <c r="R46" s="94">
        <f t="shared" si="4"/>
        <v>46.037351048376287</v>
      </c>
      <c r="S46" s="95">
        <f>AVERAGE(R44:R46)</f>
        <v>47.6404814401427</v>
      </c>
      <c r="T46" s="96">
        <f>STDEV(R44:R46)</f>
        <v>1.8055720235244237</v>
      </c>
      <c r="U46" s="96">
        <f>T46/SQRT(3)</f>
        <v>1.0424474938230834</v>
      </c>
      <c r="V46" s="96">
        <f t="shared" si="5"/>
        <v>169.32685035116154</v>
      </c>
      <c r="W46" s="95">
        <f>AVERAGE(V44:V46)</f>
        <v>183.31509994597513</v>
      </c>
      <c r="X46" s="96">
        <f>STDEV(V44:V46)</f>
        <v>16.373661205231652</v>
      </c>
      <c r="Y46" s="96">
        <f>X46/SQRT(3)</f>
        <v>9.4533377044602265</v>
      </c>
      <c r="Z46" s="96">
        <f>(V46-$V$7)/(D44-$D$5)</f>
        <v>0.42590209078212476</v>
      </c>
      <c r="AA46" s="95">
        <f>AVERAGE(Z44:Z46)</f>
        <v>0.46263791249041958</v>
      </c>
      <c r="AB46" s="103">
        <f>STDEV(Z44:Z46)/SQRT(3)</f>
        <v>2.3940414034062066E-2</v>
      </c>
    </row>
    <row r="47" spans="1:28" x14ac:dyDescent="0.2">
      <c r="A47" s="58"/>
      <c r="B47" s="99" t="s">
        <v>39</v>
      </c>
      <c r="C47" s="100">
        <v>0.48472222222222222</v>
      </c>
      <c r="D47" s="155">
        <f>11+33/60+12+D44</f>
        <v>408.03333333333336</v>
      </c>
      <c r="E47" s="80" t="s">
        <v>107</v>
      </c>
      <c r="F47" s="104">
        <v>4.4200000000000003E-2</v>
      </c>
      <c r="G47" s="139">
        <v>4.2500000000000003E-2</v>
      </c>
      <c r="H47" s="105">
        <f>0.2373-F47</f>
        <v>0.19309999999999999</v>
      </c>
      <c r="I47" s="105">
        <f>0.245-F47</f>
        <v>0.20079999999999998</v>
      </c>
      <c r="J47" s="105">
        <f>0.1569-G47</f>
        <v>0.1144</v>
      </c>
      <c r="K47" s="105">
        <f>0.1602-G47</f>
        <v>0.1177</v>
      </c>
      <c r="L47" s="82">
        <f t="shared" si="0"/>
        <v>2.0079092382495948E-2</v>
      </c>
      <c r="M47" s="82">
        <f t="shared" si="1"/>
        <v>2.1003484602917337E-2</v>
      </c>
      <c r="N47" s="82">
        <f t="shared" si="2"/>
        <v>2.0541288492706644E-2</v>
      </c>
      <c r="O47" s="82">
        <f>'Growth curves UTEX #1926'!F25</f>
        <v>3.0720000000000001</v>
      </c>
      <c r="P47" s="82">
        <f t="shared" si="3"/>
        <v>3.8694912000000001</v>
      </c>
      <c r="Q47" s="106">
        <f t="shared" si="11"/>
        <v>1.9347456000000002E-4</v>
      </c>
      <c r="R47" s="84">
        <f t="shared" si="4"/>
        <v>53.085244108338173</v>
      </c>
      <c r="S47" s="85"/>
      <c r="V47" s="86">
        <f t="shared" si="5"/>
        <v>205.41288492706641</v>
      </c>
      <c r="W47" s="102"/>
      <c r="X47" s="86"/>
      <c r="Y47" s="86"/>
      <c r="Z47" s="86">
        <f t="shared" si="7"/>
        <v>0.48832306194727509</v>
      </c>
      <c r="AA47" s="102"/>
      <c r="AB47" s="110"/>
    </row>
    <row r="48" spans="1:28" x14ac:dyDescent="0.2">
      <c r="A48" s="58"/>
      <c r="B48" s="58"/>
      <c r="E48" s="80" t="s">
        <v>108</v>
      </c>
      <c r="F48" s="81"/>
      <c r="G48" s="137"/>
      <c r="H48" s="82">
        <f>0.2132-F47</f>
        <v>0.16899999999999998</v>
      </c>
      <c r="I48" s="82">
        <f>0.2307-F47</f>
        <v>0.1865</v>
      </c>
      <c r="J48" s="82">
        <f>0.1388-G47</f>
        <v>9.6299999999999997E-2</v>
      </c>
      <c r="K48" s="82">
        <f>0.1515-G47</f>
        <v>0.10899999999999999</v>
      </c>
      <c r="L48" s="82">
        <f t="shared" si="0"/>
        <v>1.7947893030794165E-2</v>
      </c>
      <c r="M48" s="82">
        <f t="shared" si="1"/>
        <v>1.9538897893030795E-2</v>
      </c>
      <c r="N48" s="82">
        <f t="shared" si="2"/>
        <v>1.874339546191248E-2</v>
      </c>
      <c r="O48" s="82">
        <f>'Growth curves UTEX #1926'!G25</f>
        <v>3.1040000000000001</v>
      </c>
      <c r="P48" s="82">
        <f t="shared" si="3"/>
        <v>3.9097984000000001</v>
      </c>
      <c r="Q48" s="83">
        <f t="shared" si="11"/>
        <v>1.9548992000000001E-4</v>
      </c>
      <c r="R48" s="84">
        <f t="shared" si="4"/>
        <v>47.939544560436872</v>
      </c>
      <c r="S48" s="85"/>
      <c r="V48" s="86">
        <f t="shared" si="5"/>
        <v>187.43395461912479</v>
      </c>
      <c r="W48" s="102"/>
      <c r="X48" s="86"/>
      <c r="Y48" s="86"/>
      <c r="Z48" s="86">
        <f>(V48-$V$6)/(D47-$D$5)</f>
        <v>0.44813433863426527</v>
      </c>
      <c r="AA48" s="102"/>
      <c r="AB48" s="110"/>
    </row>
    <row r="49" spans="1:34" ht="14" thickBot="1" x14ac:dyDescent="0.25">
      <c r="A49" s="58"/>
      <c r="B49" s="58"/>
      <c r="E49" s="90" t="s">
        <v>109</v>
      </c>
      <c r="F49" s="81"/>
      <c r="G49" s="137"/>
      <c r="H49" s="82">
        <f>0.2209-F47</f>
        <v>0.17670000000000002</v>
      </c>
      <c r="I49" s="82">
        <f>0.2519-F47</f>
        <v>0.2077</v>
      </c>
      <c r="J49" s="82">
        <f>0.143-G47</f>
        <v>0.10049999999999998</v>
      </c>
      <c r="K49" s="82">
        <f>0.1685-G47</f>
        <v>0.126</v>
      </c>
      <c r="L49" s="82">
        <f t="shared" si="0"/>
        <v>1.8784035656401951E-2</v>
      </c>
      <c r="M49" s="82">
        <f t="shared" si="1"/>
        <v>2.1307941653160453E-2</v>
      </c>
      <c r="N49" s="92">
        <f t="shared" si="2"/>
        <v>2.0045988654781202E-2</v>
      </c>
      <c r="O49" s="92">
        <f>'Growth curves UTEX #1926'!H25</f>
        <v>3.1680000000000001</v>
      </c>
      <c r="P49" s="92">
        <f t="shared" si="3"/>
        <v>3.9904128000000005</v>
      </c>
      <c r="Q49" s="93">
        <f t="shared" si="11"/>
        <v>1.9952064000000003E-4</v>
      </c>
      <c r="R49" s="94">
        <f t="shared" si="4"/>
        <v>50.235375785636009</v>
      </c>
      <c r="S49" s="95">
        <f>AVERAGE(R47:R49)</f>
        <v>50.420054818137011</v>
      </c>
      <c r="T49" s="96">
        <f>STDEV(R47:R49)</f>
        <v>2.5778160753052277</v>
      </c>
      <c r="U49" s="96">
        <f>T49/SQRT(3)</f>
        <v>1.4883028049988178</v>
      </c>
      <c r="V49" s="96">
        <f t="shared" si="5"/>
        <v>200.459886547812</v>
      </c>
      <c r="W49" s="95">
        <f>AVERAGE(V47:V49)</f>
        <v>197.76890869800104</v>
      </c>
      <c r="X49" s="96">
        <f>STDEV(V47:V49)</f>
        <v>9.2866304489618443</v>
      </c>
      <c r="Y49" s="96">
        <f>X49/SQRT(3)</f>
        <v>5.3616385895726966</v>
      </c>
      <c r="Z49" s="96">
        <f>(V49-$V$7)/(D47-$D$5)</f>
        <v>0.47762100743615166</v>
      </c>
      <c r="AA49" s="95">
        <f>AVERAGE(Z47:Z49)</f>
        <v>0.47135946933923067</v>
      </c>
      <c r="AB49" s="103">
        <f>STDEV(Z47:Z49)/SQRT(3)</f>
        <v>1.201649581321179E-2</v>
      </c>
    </row>
    <row r="50" spans="1:34" ht="15" thickBot="1" x14ac:dyDescent="0.25">
      <c r="B50" s="239" t="s">
        <v>71</v>
      </c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  <c r="N50" s="240"/>
      <c r="O50" s="240"/>
      <c r="P50" s="240"/>
      <c r="Q50" s="240"/>
      <c r="R50" s="240"/>
      <c r="S50" s="240"/>
      <c r="T50" s="240"/>
      <c r="U50" s="240"/>
      <c r="V50" s="240"/>
      <c r="W50" s="240"/>
      <c r="X50" s="240"/>
      <c r="Y50" s="240"/>
      <c r="Z50" s="240"/>
      <c r="AA50" s="240"/>
      <c r="AB50" s="241"/>
    </row>
    <row r="51" spans="1:34" ht="45" customHeight="1" x14ac:dyDescent="0.2">
      <c r="B51" s="59" t="s">
        <v>0</v>
      </c>
      <c r="C51" s="60" t="s">
        <v>1</v>
      </c>
      <c r="D51" s="61" t="s">
        <v>2</v>
      </c>
      <c r="E51" s="62"/>
      <c r="F51" s="60" t="s">
        <v>8</v>
      </c>
      <c r="G51" s="60" t="s">
        <v>9</v>
      </c>
      <c r="H51" s="233" t="s">
        <v>90</v>
      </c>
      <c r="I51" s="234"/>
      <c r="J51" s="235" t="s">
        <v>91</v>
      </c>
      <c r="K51" s="236"/>
      <c r="L51" s="237" t="s">
        <v>92</v>
      </c>
      <c r="M51" s="238"/>
      <c r="N51" s="63" t="s">
        <v>93</v>
      </c>
      <c r="O51" s="64" t="s">
        <v>94</v>
      </c>
      <c r="P51" s="63" t="s">
        <v>10</v>
      </c>
      <c r="Q51" s="63" t="s">
        <v>11</v>
      </c>
      <c r="R51" s="63" t="s">
        <v>95</v>
      </c>
      <c r="S51" s="63" t="s">
        <v>96</v>
      </c>
      <c r="T51" s="63" t="s">
        <v>97</v>
      </c>
      <c r="U51" s="65" t="s">
        <v>62</v>
      </c>
      <c r="V51" s="64" t="s">
        <v>98</v>
      </c>
      <c r="W51" s="63" t="s">
        <v>99</v>
      </c>
      <c r="X51" s="63" t="s">
        <v>97</v>
      </c>
      <c r="Y51" s="66" t="s">
        <v>62</v>
      </c>
      <c r="Z51" s="66" t="s">
        <v>100</v>
      </c>
      <c r="AA51" s="63" t="s">
        <v>101</v>
      </c>
      <c r="AB51" s="67" t="s">
        <v>62</v>
      </c>
      <c r="AD51" s="56" t="s">
        <v>2</v>
      </c>
      <c r="AE51" s="77" t="str">
        <f>S51</f>
        <v>Average specific CPC conc.</v>
      </c>
      <c r="AF51" s="56" t="s">
        <v>12</v>
      </c>
      <c r="AG51" s="77" t="str">
        <f>W51</f>
        <v>Average total CPC</v>
      </c>
      <c r="AH51" s="56" t="s">
        <v>12</v>
      </c>
    </row>
    <row r="52" spans="1:34" ht="25" customHeight="1" x14ac:dyDescent="0.2">
      <c r="B52" s="68"/>
      <c r="C52" s="69"/>
      <c r="D52" s="70"/>
      <c r="E52" s="71"/>
      <c r="F52" s="69" t="s">
        <v>13</v>
      </c>
      <c r="G52" s="69" t="s">
        <v>13</v>
      </c>
      <c r="H52" s="72" t="s">
        <v>102</v>
      </c>
      <c r="I52" s="69" t="s">
        <v>103</v>
      </c>
      <c r="J52" s="70" t="s">
        <v>102</v>
      </c>
      <c r="K52" s="73" t="s">
        <v>103</v>
      </c>
      <c r="L52" s="225" t="s">
        <v>14</v>
      </c>
      <c r="M52" s="226"/>
      <c r="N52" s="74" t="s">
        <v>14</v>
      </c>
      <c r="O52" s="74" t="s">
        <v>13</v>
      </c>
      <c r="P52" s="74" t="s">
        <v>15</v>
      </c>
      <c r="Q52" s="74" t="s">
        <v>16</v>
      </c>
      <c r="R52" s="75" t="s">
        <v>104</v>
      </c>
      <c r="S52" s="75" t="s">
        <v>104</v>
      </c>
      <c r="T52" s="74"/>
      <c r="U52" s="70"/>
      <c r="V52" s="75" t="s">
        <v>105</v>
      </c>
      <c r="W52" s="75" t="s">
        <v>105</v>
      </c>
      <c r="X52" s="74"/>
      <c r="Y52" s="74"/>
      <c r="Z52" s="75" t="s">
        <v>106</v>
      </c>
      <c r="AA52" s="75" t="s">
        <v>106</v>
      </c>
      <c r="AB52" s="76"/>
      <c r="AD52" s="87">
        <f>D53</f>
        <v>0</v>
      </c>
      <c r="AE52" s="86">
        <f>S55</f>
        <v>49.636898255876154</v>
      </c>
      <c r="AF52" s="86">
        <f>U55</f>
        <v>7.6810198438637283</v>
      </c>
      <c r="AG52" s="86">
        <f>W55</f>
        <v>5.8587317666126424</v>
      </c>
      <c r="AH52" s="86">
        <f>Y55</f>
        <v>0.91658201171787024</v>
      </c>
    </row>
    <row r="53" spans="1:34" x14ac:dyDescent="0.2">
      <c r="B53" s="58" t="s">
        <v>23</v>
      </c>
      <c r="C53" s="78">
        <v>0.42222222222222222</v>
      </c>
      <c r="D53" s="79">
        <v>0</v>
      </c>
      <c r="E53" s="80" t="s">
        <v>107</v>
      </c>
      <c r="F53" s="82">
        <f>(0.0345+0.0356)/2</f>
        <v>3.5049999999999998E-2</v>
      </c>
      <c r="G53" s="82">
        <f>(0.0344+0.0347)/2</f>
        <v>3.4549999999999997E-2</v>
      </c>
      <c r="H53" s="81">
        <f>0.1331-F53</f>
        <v>9.8049999999999998E-2</v>
      </c>
      <c r="I53" s="82">
        <f>0.135-F53</f>
        <v>9.9950000000000011E-2</v>
      </c>
      <c r="J53" s="82">
        <f>0.0924-G53</f>
        <v>5.7849999999999999E-2</v>
      </c>
      <c r="K53" s="82">
        <f>0.0946-G53</f>
        <v>6.0050000000000006E-2</v>
      </c>
      <c r="L53" s="82">
        <f>(H53-(0.605*J53))/6.17</f>
        <v>1.0218922204213939E-2</v>
      </c>
      <c r="M53" s="82">
        <f>(I53-(0.605*K53))/6.17</f>
        <v>1.031114262560778E-2</v>
      </c>
      <c r="N53" s="82">
        <f>AVERAGE(L53:M53)</f>
        <v>1.0265032414910859E-2</v>
      </c>
      <c r="O53" s="56">
        <f>'Growth curves UTEX #1926'!F29</f>
        <v>9.2999999999999999E-2</v>
      </c>
      <c r="P53" s="82">
        <f>1.2596*O53</f>
        <v>0.11714280000000001</v>
      </c>
      <c r="Q53" s="83">
        <f>P53*1/1000</f>
        <v>1.171428E-4</v>
      </c>
      <c r="R53" s="84">
        <f>(N53*0.5)/Q53</f>
        <v>43.81418411934348</v>
      </c>
      <c r="S53" s="85"/>
      <c r="V53" s="86">
        <f>R53*P53</f>
        <v>5.1325162074554296</v>
      </c>
      <c r="W53" s="85"/>
      <c r="AA53" s="85"/>
      <c r="AB53" s="79"/>
      <c r="AD53" s="87">
        <f>D56</f>
        <v>23.383333333333333</v>
      </c>
      <c r="AE53" s="86">
        <f>S58</f>
        <v>21.049640054583879</v>
      </c>
      <c r="AF53" s="86">
        <f>U58</f>
        <v>1.1578682302317487</v>
      </c>
      <c r="AG53" s="86">
        <f>W58</f>
        <v>6.1640599675850893</v>
      </c>
      <c r="AH53" s="86">
        <f>Y58</f>
        <v>0.25194104128955191</v>
      </c>
    </row>
    <row r="54" spans="1:34" ht="15" customHeight="1" x14ac:dyDescent="0.2">
      <c r="B54" s="58"/>
      <c r="D54" s="79"/>
      <c r="E54" s="80" t="s">
        <v>108</v>
      </c>
      <c r="H54" s="81">
        <f>0.1939-F53</f>
        <v>0.15884999999999999</v>
      </c>
      <c r="I54" s="82">
        <f>0.2145-F53</f>
        <v>0.17945</v>
      </c>
      <c r="J54" s="82">
        <f>0.1464-G53</f>
        <v>0.11185</v>
      </c>
      <c r="K54" s="82">
        <f>0.1686-G53</f>
        <v>0.13405</v>
      </c>
      <c r="L54" s="82">
        <f t="shared" ref="L54:L100" si="12">(H54-(0.605*J54))/6.17</f>
        <v>1.4778079416531604E-2</v>
      </c>
      <c r="M54" s="82">
        <f t="shared" ref="M54:M100" si="13">(I54-(0.605*K54))/6.17</f>
        <v>1.5939991896272286E-2</v>
      </c>
      <c r="N54" s="82">
        <f t="shared" ref="N54:N100" si="14">AVERAGE(L54:M54)</f>
        <v>1.5359035656401945E-2</v>
      </c>
      <c r="O54" s="56">
        <f>'Growth curves UTEX #1926'!G29</f>
        <v>9.4E-2</v>
      </c>
      <c r="P54" s="82">
        <f t="shared" ref="P54:P100" si="15">1.2596*O54</f>
        <v>0.1184024</v>
      </c>
      <c r="Q54" s="83">
        <f>P54*1/1000</f>
        <v>1.1840240000000001E-4</v>
      </c>
      <c r="R54" s="84">
        <f t="shared" ref="R54:R100" si="16">(N54*0.5)/Q54</f>
        <v>64.859477748770061</v>
      </c>
      <c r="S54" s="85"/>
      <c r="V54" s="86">
        <f t="shared" ref="V54:V100" si="17">R54*P54</f>
        <v>7.6795178282009724</v>
      </c>
      <c r="W54" s="85"/>
      <c r="AA54" s="85"/>
      <c r="AB54" s="79"/>
      <c r="AD54" s="87">
        <f>D59</f>
        <v>71.599999999999994</v>
      </c>
      <c r="AE54" s="86">
        <f>S61</f>
        <v>28.405186276643917</v>
      </c>
      <c r="AF54" s="86">
        <f>U61</f>
        <v>1.7704765763090977</v>
      </c>
      <c r="AG54" s="86">
        <f>W61</f>
        <v>19.776526202052946</v>
      </c>
      <c r="AH54" s="86">
        <f>Y61</f>
        <v>1.457505452755296</v>
      </c>
    </row>
    <row r="55" spans="1:34" ht="15" customHeight="1" x14ac:dyDescent="0.2">
      <c r="B55" s="88"/>
      <c r="C55" s="97"/>
      <c r="D55" s="89"/>
      <c r="E55" s="90" t="s">
        <v>109</v>
      </c>
      <c r="F55" s="88"/>
      <c r="G55" s="89"/>
      <c r="H55" s="91">
        <f>0.127-F53</f>
        <v>9.1950000000000004E-2</v>
      </c>
      <c r="I55" s="92">
        <f>0.1285-F53</f>
        <v>9.3450000000000005E-2</v>
      </c>
      <c r="J55" s="92">
        <f>0.09-G53</f>
        <v>5.5449999999999999E-2</v>
      </c>
      <c r="K55" s="92">
        <f>0.0912-G53</f>
        <v>5.6650000000000006E-2</v>
      </c>
      <c r="L55" s="82">
        <f t="shared" si="12"/>
        <v>9.4655996758508925E-3</v>
      </c>
      <c r="M55" s="82">
        <f t="shared" si="13"/>
        <v>9.5910453808752023E-3</v>
      </c>
      <c r="N55" s="92">
        <f t="shared" si="14"/>
        <v>9.5283225283630466E-3</v>
      </c>
      <c r="O55" s="97">
        <f>'Growth curves UTEX #1926'!H29</f>
        <v>9.4E-2</v>
      </c>
      <c r="P55" s="92">
        <f t="shared" si="15"/>
        <v>0.1184024</v>
      </c>
      <c r="Q55" s="93">
        <f>P55*1/1000</f>
        <v>1.1840240000000001E-4</v>
      </c>
      <c r="R55" s="94">
        <f t="shared" si="16"/>
        <v>40.237032899514901</v>
      </c>
      <c r="S55" s="95">
        <f>AVERAGE(R53:R55)</f>
        <v>49.636898255876154</v>
      </c>
      <c r="T55" s="96">
        <f>STDEV(R53:R55)</f>
        <v>13.303916623516741</v>
      </c>
      <c r="U55" s="96">
        <f>T55/SQRT(3)</f>
        <v>7.6810198438637283</v>
      </c>
      <c r="V55" s="96">
        <f t="shared" si="17"/>
        <v>4.7641612641815234</v>
      </c>
      <c r="W55" s="95">
        <f>AVERAGE(V53:V55)</f>
        <v>5.8587317666126424</v>
      </c>
      <c r="X55" s="96">
        <f>STDEV(V53:V55)</f>
        <v>1.5875666135990432</v>
      </c>
      <c r="Y55" s="96">
        <f>X55/SQRT(3)</f>
        <v>0.91658201171787024</v>
      </c>
      <c r="Z55" s="97"/>
      <c r="AA55" s="98"/>
      <c r="AB55" s="89"/>
      <c r="AD55" s="87">
        <f>D62</f>
        <v>95.73333333333332</v>
      </c>
      <c r="AE55" s="86">
        <f>S64</f>
        <v>35.766868244347584</v>
      </c>
      <c r="AF55" s="86">
        <f>U64</f>
        <v>3.2305768363889555</v>
      </c>
      <c r="AG55" s="86">
        <f>W64</f>
        <v>31.77087514856834</v>
      </c>
      <c r="AH55" s="86">
        <f>Y64</f>
        <v>2.8304930810796218</v>
      </c>
    </row>
    <row r="56" spans="1:34" x14ac:dyDescent="0.2">
      <c r="B56" s="58" t="s">
        <v>24</v>
      </c>
      <c r="C56" s="78">
        <v>0.39652777777777781</v>
      </c>
      <c r="D56" s="152">
        <f>11+23/60+12</f>
        <v>23.383333333333333</v>
      </c>
      <c r="E56" s="80" t="s">
        <v>107</v>
      </c>
      <c r="F56" s="82">
        <f>(0.0391+0.0385)/2</f>
        <v>3.8800000000000001E-2</v>
      </c>
      <c r="G56" s="82">
        <f>(0.0387+0.0381)/2</f>
        <v>3.8400000000000004E-2</v>
      </c>
      <c r="H56" s="81">
        <f>0.143-F56</f>
        <v>0.10419999999999999</v>
      </c>
      <c r="I56" s="82">
        <f>0.1678-F56</f>
        <v>0.129</v>
      </c>
      <c r="J56" s="82">
        <f>0.1034-G56</f>
        <v>6.5000000000000002E-2</v>
      </c>
      <c r="K56" s="82">
        <f>0.126-G56</f>
        <v>8.7599999999999997E-2</v>
      </c>
      <c r="L56" s="82">
        <f t="shared" si="12"/>
        <v>1.0514586709886546E-2</v>
      </c>
      <c r="M56" s="82">
        <f t="shared" si="13"/>
        <v>1.2317990275526745E-2</v>
      </c>
      <c r="N56" s="82">
        <f t="shared" si="14"/>
        <v>1.1416288492706646E-2</v>
      </c>
      <c r="O56" s="82">
        <f>'Growth curves UTEX #1926'!F33</f>
        <v>0.219</v>
      </c>
      <c r="P56" s="82">
        <f t="shared" si="15"/>
        <v>0.2758524</v>
      </c>
      <c r="Q56" s="83">
        <f t="shared" ref="Q56:Q58" si="18">P56*1/1000</f>
        <v>2.7585240000000002E-4</v>
      </c>
      <c r="R56" s="84">
        <f t="shared" si="16"/>
        <v>20.692748173854291</v>
      </c>
      <c r="S56" s="102"/>
      <c r="T56" s="86"/>
      <c r="U56" s="86"/>
      <c r="V56" s="86">
        <f t="shared" si="17"/>
        <v>5.7081442463533234</v>
      </c>
      <c r="W56" s="102"/>
      <c r="X56" s="86"/>
      <c r="Y56" s="86"/>
      <c r="Z56" s="86">
        <f>(V56-$V$53)/(D56-$D$53)</f>
        <v>2.4617022333480849E-2</v>
      </c>
      <c r="AA56" s="102"/>
      <c r="AB56" s="79"/>
      <c r="AD56" s="87">
        <f>D65</f>
        <v>121.39999999999999</v>
      </c>
      <c r="AE56" s="86">
        <f>S67</f>
        <v>35.234532130183375</v>
      </c>
      <c r="AF56" s="86">
        <f>U67</f>
        <v>2.7157319101273947</v>
      </c>
      <c r="AG56" s="86">
        <f>W67</f>
        <v>42.800575137763381</v>
      </c>
      <c r="AH56" s="86">
        <f>Y67</f>
        <v>3.9081587396883832</v>
      </c>
    </row>
    <row r="57" spans="1:34" x14ac:dyDescent="0.2">
      <c r="B57" s="58"/>
      <c r="D57" s="79"/>
      <c r="E57" s="80" t="s">
        <v>108</v>
      </c>
      <c r="F57" s="156"/>
      <c r="G57" s="156"/>
      <c r="H57" s="81">
        <f>0.1728-F56</f>
        <v>0.13400000000000001</v>
      </c>
      <c r="I57" s="82">
        <f>0.1614-F56</f>
        <v>0.12259999999999999</v>
      </c>
      <c r="J57" s="82">
        <f>0.1204-G56</f>
        <v>8.199999999999999E-2</v>
      </c>
      <c r="K57" s="82">
        <f>0.1122-G56</f>
        <v>7.3799999999999991E-2</v>
      </c>
      <c r="L57" s="82">
        <f t="shared" si="12"/>
        <v>1.3677471636953003E-2</v>
      </c>
      <c r="M57" s="82">
        <f t="shared" si="13"/>
        <v>1.2633873581847649E-2</v>
      </c>
      <c r="N57" s="82">
        <f t="shared" si="14"/>
        <v>1.3155672609400326E-2</v>
      </c>
      <c r="O57" s="82">
        <f>'Growth curves UTEX #1926'!G33</f>
        <v>0.22500000000000001</v>
      </c>
      <c r="P57" s="82">
        <f t="shared" si="15"/>
        <v>0.28341</v>
      </c>
      <c r="Q57" s="83">
        <f t="shared" si="18"/>
        <v>2.8341E-4</v>
      </c>
      <c r="R57" s="84">
        <f t="shared" si="16"/>
        <v>23.20961259200509</v>
      </c>
      <c r="S57" s="85"/>
      <c r="T57" s="86"/>
      <c r="U57" s="86"/>
      <c r="V57" s="86">
        <f t="shared" si="17"/>
        <v>6.5778363047001625</v>
      </c>
      <c r="W57" s="102"/>
      <c r="X57" s="86"/>
      <c r="Y57" s="86"/>
      <c r="Z57" s="86">
        <f>(V57-$V$54)/(D56-$D$53)</f>
        <v>-4.7113963941588455E-2</v>
      </c>
      <c r="AA57" s="102"/>
      <c r="AB57" s="79"/>
      <c r="AD57" s="87">
        <f>D68</f>
        <v>145.54999999999998</v>
      </c>
      <c r="AE57" s="86">
        <f>S70</f>
        <v>44.723756296639692</v>
      </c>
      <c r="AF57" s="86">
        <f>U70</f>
        <v>3.77779125555988</v>
      </c>
      <c r="AG57" s="86">
        <f>W70</f>
        <v>71.103909627228518</v>
      </c>
      <c r="AH57" s="86">
        <f>Y70</f>
        <v>9.1475445114470268</v>
      </c>
    </row>
    <row r="58" spans="1:34" x14ac:dyDescent="0.2">
      <c r="B58" s="58"/>
      <c r="D58" s="79"/>
      <c r="E58" s="90" t="s">
        <v>109</v>
      </c>
      <c r="F58" s="156"/>
      <c r="G58" s="156"/>
      <c r="H58" s="81">
        <f>0.1666-F56</f>
        <v>0.1278</v>
      </c>
      <c r="I58" s="82">
        <f>0.1623-F56</f>
        <v>0.1235</v>
      </c>
      <c r="J58" s="82">
        <f>0.1215-G56</f>
        <v>8.3099999999999993E-2</v>
      </c>
      <c r="K58" s="82">
        <f>0.1175-G56</f>
        <v>7.909999999999999E-2</v>
      </c>
      <c r="L58" s="82">
        <f t="shared" si="12"/>
        <v>1.2564748784440843E-2</v>
      </c>
      <c r="M58" s="82">
        <f t="shared" si="13"/>
        <v>1.226004862236629E-2</v>
      </c>
      <c r="N58" s="92">
        <f t="shared" si="14"/>
        <v>1.2412398703403566E-2</v>
      </c>
      <c r="O58" s="92">
        <f>'Growth curves UTEX #1926'!H33</f>
        <v>0.25600000000000001</v>
      </c>
      <c r="P58" s="92">
        <f t="shared" si="15"/>
        <v>0.32245760000000001</v>
      </c>
      <c r="Q58" s="93">
        <f t="shared" si="18"/>
        <v>3.2245759999999999E-4</v>
      </c>
      <c r="R58" s="94">
        <f t="shared" si="16"/>
        <v>19.246559397892259</v>
      </c>
      <c r="S58" s="95">
        <f>AVERAGE(R56:R58)</f>
        <v>21.049640054583879</v>
      </c>
      <c r="T58" s="96">
        <f>STDEV(R56:R58)</f>
        <v>2.0054866032312471</v>
      </c>
      <c r="U58" s="96">
        <f>T58/SQRT(3)</f>
        <v>1.1578682302317487</v>
      </c>
      <c r="V58" s="96">
        <f t="shared" si="17"/>
        <v>6.2061993517017831</v>
      </c>
      <c r="W58" s="95">
        <f t="shared" ref="W58:W100" si="19">AVERAGE(V56:V58)</f>
        <v>6.1640599675850893</v>
      </c>
      <c r="X58" s="96">
        <f t="shared" ref="X58:X100" si="20">STDEV(V56:V58)</f>
        <v>0.43637468402531226</v>
      </c>
      <c r="Y58" s="96">
        <f t="shared" ref="Y58:Y100" si="21">X58/SQRT(3)</f>
        <v>0.25194104128955191</v>
      </c>
      <c r="Z58" s="96">
        <f>(V58-$V$55)/(D56-$D$53)</f>
        <v>6.1669483429234201E-2</v>
      </c>
      <c r="AA58" s="95">
        <f>AVERAGE(Z56:Z58)</f>
        <v>1.3057513940375532E-2</v>
      </c>
      <c r="AB58" s="103">
        <f>STDEV(Z56:Z58)/SQRT(3)</f>
        <v>3.1930530224159238E-2</v>
      </c>
      <c r="AD58" s="87">
        <f>D71</f>
        <v>167.6</v>
      </c>
      <c r="AE58" s="86">
        <f>S73</f>
        <v>36.393731850202499</v>
      </c>
      <c r="AF58" s="86">
        <f>U73</f>
        <v>1.0390259191181526</v>
      </c>
      <c r="AG58" s="86">
        <f>W73</f>
        <v>67.247601015667215</v>
      </c>
      <c r="AH58" s="86">
        <f>Y73</f>
        <v>1.6135551322233526</v>
      </c>
    </row>
    <row r="59" spans="1:34" x14ac:dyDescent="0.2">
      <c r="B59" s="99" t="s">
        <v>26</v>
      </c>
      <c r="C59" s="100">
        <v>0.4055555555555555</v>
      </c>
      <c r="D59" s="153">
        <v>71.599999999999994</v>
      </c>
      <c r="E59" s="80" t="s">
        <v>107</v>
      </c>
      <c r="F59" s="104">
        <v>3.3399999999999999E-2</v>
      </c>
      <c r="G59" s="139">
        <v>3.3300000000000003E-2</v>
      </c>
      <c r="H59" s="104">
        <f>0.2135-F59</f>
        <v>0.18009999999999998</v>
      </c>
      <c r="I59" s="105">
        <f>0.2141-F59</f>
        <v>0.18070000000000003</v>
      </c>
      <c r="J59" s="105">
        <f>0.1451-G59</f>
        <v>0.11180000000000001</v>
      </c>
      <c r="K59" s="105">
        <f>0.1453-G59</f>
        <v>0.11200000000000002</v>
      </c>
      <c r="L59" s="82">
        <f t="shared" si="12"/>
        <v>1.8227066450567257E-2</v>
      </c>
      <c r="M59" s="82">
        <f t="shared" si="13"/>
        <v>1.8304700162074555E-2</v>
      </c>
      <c r="N59" s="82">
        <f t="shared" si="14"/>
        <v>1.8265883306320906E-2</v>
      </c>
      <c r="O59" s="82">
        <f>'Growth curves UTEX #1926'!F37</f>
        <v>0.54800000000000004</v>
      </c>
      <c r="P59" s="82">
        <f t="shared" si="15"/>
        <v>0.69026080000000012</v>
      </c>
      <c r="Q59" s="83">
        <f>P59*0.5/1000</f>
        <v>3.4513040000000005E-4</v>
      </c>
      <c r="R59" s="84">
        <f t="shared" si="16"/>
        <v>26.46229266723665</v>
      </c>
      <c r="S59" s="102"/>
      <c r="T59" s="86"/>
      <c r="U59" s="86"/>
      <c r="V59" s="86">
        <f t="shared" si="17"/>
        <v>18.265883306320905</v>
      </c>
      <c r="W59" s="102"/>
      <c r="X59" s="86"/>
      <c r="Y59" s="86"/>
      <c r="Z59" s="86">
        <f t="shared" ref="Z59:Z98" si="22">(V59-$V$53)/(D59-$D$53)</f>
        <v>0.18342691478862397</v>
      </c>
      <c r="AA59" s="102"/>
      <c r="AB59" s="110"/>
      <c r="AD59" s="87">
        <f>D74</f>
        <v>189.23333333333332</v>
      </c>
      <c r="AE59" s="86">
        <f>S76</f>
        <v>40.330854395979053</v>
      </c>
      <c r="AF59" s="86">
        <f>U76</f>
        <v>3.0640799048184566</v>
      </c>
      <c r="AG59" s="86">
        <f>W76</f>
        <v>78.01782820097246</v>
      </c>
      <c r="AH59" s="86">
        <f>Y76</f>
        <v>8.4766201316065395</v>
      </c>
    </row>
    <row r="60" spans="1:34" x14ac:dyDescent="0.2">
      <c r="B60" s="58"/>
      <c r="D60" s="79"/>
      <c r="E60" s="80" t="s">
        <v>108</v>
      </c>
      <c r="F60" s="157"/>
      <c r="G60" s="158"/>
      <c r="H60" s="81">
        <f>0.2595-F59</f>
        <v>0.22610000000000002</v>
      </c>
      <c r="I60" s="82">
        <f>0.2633-F59</f>
        <v>0.22989999999999999</v>
      </c>
      <c r="J60" s="82">
        <f>0.1771-G59</f>
        <v>0.14380000000000001</v>
      </c>
      <c r="K60" s="82">
        <f>0.1804-G59</f>
        <v>0.14710000000000001</v>
      </c>
      <c r="L60" s="82">
        <f t="shared" si="12"/>
        <v>2.2544732576985419E-2</v>
      </c>
      <c r="M60" s="82">
        <f t="shared" si="13"/>
        <v>2.2837034035656401E-2</v>
      </c>
      <c r="N60" s="82">
        <f t="shared" si="14"/>
        <v>2.2690883306320908E-2</v>
      </c>
      <c r="O60" s="82">
        <f>'Growth curves UTEX #1926'!G37</f>
        <v>0.56399999999999995</v>
      </c>
      <c r="P60" s="82">
        <f t="shared" si="15"/>
        <v>0.7104144</v>
      </c>
      <c r="Q60" s="83">
        <f>P60*0.5/1000</f>
        <v>3.5520719999999998E-4</v>
      </c>
      <c r="R60" s="84">
        <f t="shared" si="16"/>
        <v>31.940348205668283</v>
      </c>
      <c r="S60" s="85"/>
      <c r="T60" s="86"/>
      <c r="U60" s="86"/>
      <c r="V60" s="86">
        <f t="shared" si="17"/>
        <v>22.690883306320909</v>
      </c>
      <c r="W60" s="102"/>
      <c r="X60" s="86"/>
      <c r="Y60" s="86"/>
      <c r="Z60" s="86">
        <f>(V60-$V$54)/(D59-$D$53)</f>
        <v>0.20965594243184271</v>
      </c>
      <c r="AA60" s="102"/>
      <c r="AB60" s="110"/>
      <c r="AD60" s="87">
        <f>D77</f>
        <v>216.35</v>
      </c>
      <c r="AE60" s="86">
        <f>S79</f>
        <v>36.536967979178037</v>
      </c>
      <c r="AF60" s="86">
        <f>U79</f>
        <v>3.5983943227781459</v>
      </c>
      <c r="AG60" s="86">
        <f>W79</f>
        <v>73.672879524581319</v>
      </c>
      <c r="AH60" s="86">
        <f>Y79</f>
        <v>8.9590468718779164</v>
      </c>
    </row>
    <row r="61" spans="1:34" x14ac:dyDescent="0.2">
      <c r="B61" s="58"/>
      <c r="D61" s="79"/>
      <c r="E61" s="90" t="s">
        <v>109</v>
      </c>
      <c r="F61" s="157"/>
      <c r="G61" s="158"/>
      <c r="H61" s="81">
        <f>0.2116-F59</f>
        <v>0.17820000000000003</v>
      </c>
      <c r="I61" s="82">
        <f>0.2319-F59</f>
        <v>0.19850000000000001</v>
      </c>
      <c r="J61" s="82">
        <f>0.1483-G59</f>
        <v>0.11499999999999999</v>
      </c>
      <c r="K61" s="82">
        <f>0.1662-G59</f>
        <v>0.13289999999999999</v>
      </c>
      <c r="L61" s="82">
        <f t="shared" si="12"/>
        <v>1.7605348460291739E-2</v>
      </c>
      <c r="M61" s="82">
        <f t="shared" si="13"/>
        <v>1.9140275526742304E-2</v>
      </c>
      <c r="N61" s="92">
        <f t="shared" si="14"/>
        <v>1.8372811993517021E-2</v>
      </c>
      <c r="O61" s="92">
        <f>'Growth curves UTEX #1926'!H37</f>
        <v>0.54400000000000004</v>
      </c>
      <c r="P61" s="92">
        <f t="shared" si="15"/>
        <v>0.68522240000000012</v>
      </c>
      <c r="Q61" s="93">
        <f>P61*0.5/1000</f>
        <v>3.4261120000000006E-4</v>
      </c>
      <c r="R61" s="94">
        <f t="shared" si="16"/>
        <v>26.812917957026826</v>
      </c>
      <c r="S61" s="95">
        <f>AVERAGE(R59:R61)</f>
        <v>28.405186276643917</v>
      </c>
      <c r="T61" s="96">
        <f>STDEV(R59:R61)</f>
        <v>3.0665553837779536</v>
      </c>
      <c r="U61" s="96">
        <f>T61/SQRT(3)</f>
        <v>1.7704765763090977</v>
      </c>
      <c r="V61" s="96">
        <f t="shared" si="17"/>
        <v>18.372811993517022</v>
      </c>
      <c r="W61" s="95">
        <f t="shared" si="19"/>
        <v>19.776526202052946</v>
      </c>
      <c r="X61" s="96">
        <f t="shared" si="20"/>
        <v>2.5244734964808524</v>
      </c>
      <c r="Y61" s="96">
        <f t="shared" si="21"/>
        <v>1.457505452755296</v>
      </c>
      <c r="Z61" s="96">
        <f>(V61-$V$55)/(D59-$D$53)</f>
        <v>0.19006495432032819</v>
      </c>
      <c r="AA61" s="95">
        <f t="shared" ref="AA61:AA100" si="23">AVERAGE(Z59:Z61)</f>
        <v>0.19438260384693162</v>
      </c>
      <c r="AB61" s="103">
        <f t="shared" ref="AB61:AB100" si="24">STDEV(Z59:Z61)/SQRT(3)</f>
        <v>7.87341615507774E-3</v>
      </c>
      <c r="AD61" s="87">
        <f>D80</f>
        <v>240.6</v>
      </c>
      <c r="AE61" s="86">
        <f>S82</f>
        <v>37.94709999537799</v>
      </c>
      <c r="AF61" s="86">
        <f>U82</f>
        <v>4.1924405651967351</v>
      </c>
      <c r="AG61" s="86">
        <f>W82</f>
        <v>76.268841166936795</v>
      </c>
      <c r="AH61" s="86">
        <f>Y82</f>
        <v>6.7166771903676414</v>
      </c>
    </row>
    <row r="62" spans="1:34" x14ac:dyDescent="0.2">
      <c r="B62" s="99" t="s">
        <v>27</v>
      </c>
      <c r="C62" s="100">
        <v>0.41111111111111115</v>
      </c>
      <c r="D62" s="153">
        <v>95.73333333333332</v>
      </c>
      <c r="E62" s="80" t="s">
        <v>107</v>
      </c>
      <c r="F62" s="104">
        <f>(0.0445+0.044)/2</f>
        <v>4.4249999999999998E-2</v>
      </c>
      <c r="G62" s="139">
        <f>(0.0435+0.0427)/2</f>
        <v>4.3099999999999999E-2</v>
      </c>
      <c r="H62" s="104">
        <f>0.1659-F62</f>
        <v>0.12164999999999999</v>
      </c>
      <c r="I62" s="105">
        <f>0.1668-F62</f>
        <v>0.12255000000000001</v>
      </c>
      <c r="J62" s="105">
        <f>0.1169-G62</f>
        <v>7.3800000000000004E-2</v>
      </c>
      <c r="K62" s="105">
        <f>0.1166-G62</f>
        <v>7.3499999999999996E-2</v>
      </c>
      <c r="L62" s="82">
        <f t="shared" si="12"/>
        <v>1.2479902755267421E-2</v>
      </c>
      <c r="M62" s="82">
        <f t="shared" si="13"/>
        <v>1.2655186385737441E-2</v>
      </c>
      <c r="N62" s="82">
        <f t="shared" si="14"/>
        <v>1.256754457050243E-2</v>
      </c>
      <c r="O62" s="82">
        <f>'Growth curves UTEX #1926'!F38</f>
        <v>0.71</v>
      </c>
      <c r="P62" s="82">
        <f t="shared" si="15"/>
        <v>0.894316</v>
      </c>
      <c r="Q62" s="83">
        <f t="shared" ref="Q62:Q70" si="25">O62*0.25/1000</f>
        <v>1.7749999999999998E-4</v>
      </c>
      <c r="R62" s="84">
        <f t="shared" si="16"/>
        <v>35.4015340014153</v>
      </c>
      <c r="S62" s="102"/>
      <c r="T62" s="86"/>
      <c r="U62" s="86"/>
      <c r="V62" s="86">
        <f t="shared" si="17"/>
        <v>31.660158282009725</v>
      </c>
      <c r="W62" s="102"/>
      <c r="X62" s="86"/>
      <c r="Y62" s="86"/>
      <c r="Z62" s="86">
        <f t="shared" si="22"/>
        <v>0.27709932529130532</v>
      </c>
      <c r="AA62" s="102"/>
      <c r="AB62" s="110"/>
      <c r="AD62" s="87">
        <f>D83</f>
        <v>289.68333333333334</v>
      </c>
      <c r="AE62" s="86">
        <f>S85</f>
        <v>40.366809276617168</v>
      </c>
      <c r="AF62" s="86">
        <f>U85</f>
        <v>2.2309017810231468</v>
      </c>
      <c r="AG62" s="86">
        <f>W85</f>
        <v>88.252476139023955</v>
      </c>
      <c r="AH62" s="86">
        <f>Y85</f>
        <v>4.6346049941391998</v>
      </c>
    </row>
    <row r="63" spans="1:34" x14ac:dyDescent="0.2">
      <c r="B63" s="58"/>
      <c r="D63" s="79"/>
      <c r="E63" s="80" t="s">
        <v>108</v>
      </c>
      <c r="F63" s="58"/>
      <c r="G63" s="79"/>
      <c r="H63" s="81">
        <f>0.2065-F62</f>
        <v>0.16225000000000001</v>
      </c>
      <c r="I63" s="82">
        <f>0.1748-F62</f>
        <v>0.13055</v>
      </c>
      <c r="J63" s="82">
        <f>0.1513-G62</f>
        <v>0.10819999999999999</v>
      </c>
      <c r="K63" s="82">
        <f>0.1215-G62</f>
        <v>7.8399999999999997E-2</v>
      </c>
      <c r="L63" s="82">
        <f t="shared" si="12"/>
        <v>1.5687034035656404E-2</v>
      </c>
      <c r="M63" s="82">
        <f t="shared" si="13"/>
        <v>1.3471312803889789E-2</v>
      </c>
      <c r="N63" s="82">
        <f t="shared" si="14"/>
        <v>1.4579173419773096E-2</v>
      </c>
      <c r="O63" s="82">
        <f>'Growth curves UTEX #1926'!G38</f>
        <v>0.70199999999999996</v>
      </c>
      <c r="P63" s="82">
        <f t="shared" si="15"/>
        <v>0.8842392</v>
      </c>
      <c r="Q63" s="83">
        <f t="shared" si="25"/>
        <v>1.7549999999999998E-4</v>
      </c>
      <c r="R63" s="84">
        <f t="shared" si="16"/>
        <v>41.536106609040161</v>
      </c>
      <c r="S63" s="85"/>
      <c r="T63" s="86"/>
      <c r="U63" s="86"/>
      <c r="V63" s="86">
        <f t="shared" si="17"/>
        <v>36.727853679092384</v>
      </c>
      <c r="W63" s="102"/>
      <c r="X63" s="86"/>
      <c r="Y63" s="86"/>
      <c r="Z63" s="86">
        <f>(V63-$V$54)/(D62-$D$53)</f>
        <v>0.30342969203577386</v>
      </c>
      <c r="AA63" s="102"/>
      <c r="AB63" s="110"/>
      <c r="AD63" s="87">
        <f>D86</f>
        <v>313.7166666666667</v>
      </c>
      <c r="AE63" s="86">
        <f>S88</f>
        <v>42.839521232013503</v>
      </c>
      <c r="AF63" s="86">
        <f>U88</f>
        <v>2.1724718510872916</v>
      </c>
      <c r="AG63" s="86">
        <f>W88</f>
        <v>95.674567801188559</v>
      </c>
      <c r="AH63" s="86">
        <f>Y88</f>
        <v>3.2009136890617254</v>
      </c>
    </row>
    <row r="64" spans="1:34" x14ac:dyDescent="0.2">
      <c r="B64" s="58"/>
      <c r="D64" s="79"/>
      <c r="E64" s="90" t="s">
        <v>109</v>
      </c>
      <c r="F64" s="88"/>
      <c r="G64" s="89"/>
      <c r="H64" s="91">
        <f>0.1494-F62</f>
        <v>0.10515000000000001</v>
      </c>
      <c r="I64" s="92">
        <f>0.15-F62</f>
        <v>0.10575</v>
      </c>
      <c r="J64" s="92">
        <f>0.1074-G62</f>
        <v>6.4299999999999996E-2</v>
      </c>
      <c r="K64" s="92">
        <f>0.1094-G62</f>
        <v>6.6299999999999998E-2</v>
      </c>
      <c r="L64" s="82">
        <f t="shared" si="12"/>
        <v>1.0737196110210699E-2</v>
      </c>
      <c r="M64" s="82">
        <f t="shared" si="13"/>
        <v>1.0638330632090763E-2</v>
      </c>
      <c r="N64" s="92">
        <f t="shared" si="14"/>
        <v>1.0687763371150731E-2</v>
      </c>
      <c r="O64" s="92">
        <f>'Growth curves UTEX #1926'!H38</f>
        <v>0.70399999999999996</v>
      </c>
      <c r="P64" s="92">
        <f t="shared" si="15"/>
        <v>0.88675839999999995</v>
      </c>
      <c r="Q64" s="93">
        <f t="shared" si="25"/>
        <v>1.76E-4</v>
      </c>
      <c r="R64" s="94">
        <f t="shared" si="16"/>
        <v>30.362964122587304</v>
      </c>
      <c r="S64" s="95">
        <f>AVERAGE(R62:R64)</f>
        <v>35.766868244347584</v>
      </c>
      <c r="T64" s="96">
        <f>STDEV(R62:R64)</f>
        <v>5.5955232183807988</v>
      </c>
      <c r="U64" s="96">
        <f>T64/SQRT(3)</f>
        <v>3.2305768363889555</v>
      </c>
      <c r="V64" s="96">
        <f t="shared" si="17"/>
        <v>26.924613484602919</v>
      </c>
      <c r="W64" s="95">
        <f t="shared" si="19"/>
        <v>31.77087514856834</v>
      </c>
      <c r="X64" s="96">
        <f t="shared" si="20"/>
        <v>4.9025578269020782</v>
      </c>
      <c r="Y64" s="96">
        <f t="shared" si="21"/>
        <v>2.8304930810796218</v>
      </c>
      <c r="Z64" s="96">
        <f>(V64-$V$55)/(D62-$D$53)</f>
        <v>0.23148104687069704</v>
      </c>
      <c r="AA64" s="95">
        <f t="shared" si="23"/>
        <v>0.27067002139925872</v>
      </c>
      <c r="AB64" s="103">
        <f t="shared" si="24"/>
        <v>2.1017087069610287E-2</v>
      </c>
      <c r="AD64" s="87">
        <f>D89</f>
        <v>336.95000000000005</v>
      </c>
      <c r="AE64" s="86">
        <f>S91</f>
        <v>50.735306357723317</v>
      </c>
      <c r="AF64" s="86">
        <f>U91</f>
        <v>3.6417799161523914</v>
      </c>
      <c r="AG64" s="86">
        <f>W91</f>
        <v>119.14559697460832</v>
      </c>
      <c r="AH64" s="86">
        <f>Y91</f>
        <v>6.8573622322420933</v>
      </c>
    </row>
    <row r="65" spans="2:34" x14ac:dyDescent="0.2">
      <c r="B65" s="99" t="s">
        <v>28</v>
      </c>
      <c r="C65" s="100">
        <v>0.48055555555555557</v>
      </c>
      <c r="D65" s="151">
        <v>121.39999999999999</v>
      </c>
      <c r="E65" s="80" t="s">
        <v>107</v>
      </c>
      <c r="F65" s="81">
        <f>(0.0498+0.0453)/2</f>
        <v>4.7549999999999995E-2</v>
      </c>
      <c r="G65" s="137">
        <f>(0.0497+0.044)/2</f>
        <v>4.6850000000000003E-2</v>
      </c>
      <c r="H65" s="81">
        <f>0.1818-F65</f>
        <v>0.13424999999999998</v>
      </c>
      <c r="I65" s="82">
        <f>0.1867-F65</f>
        <v>0.13915</v>
      </c>
      <c r="J65" s="82">
        <f>0.1208-G65</f>
        <v>7.3950000000000002E-2</v>
      </c>
      <c r="K65" s="82">
        <f>0.124-G65</f>
        <v>7.7149999999999996E-2</v>
      </c>
      <c r="L65" s="82">
        <f t="shared" si="12"/>
        <v>1.4507333873581845E-2</v>
      </c>
      <c r="M65" s="82">
        <f t="shared" si="13"/>
        <v>1.4987722852512157E-2</v>
      </c>
      <c r="N65" s="82">
        <f t="shared" si="14"/>
        <v>1.4747528363047002E-2</v>
      </c>
      <c r="O65" s="82">
        <f>'Growth curves UTEX #1926'!F39</f>
        <v>0.94099999999999995</v>
      </c>
      <c r="P65" s="82">
        <f t="shared" si="15"/>
        <v>1.1852836</v>
      </c>
      <c r="Q65" s="83">
        <f t="shared" si="25"/>
        <v>2.3525E-4</v>
      </c>
      <c r="R65" s="84">
        <f t="shared" si="16"/>
        <v>31.344374841757709</v>
      </c>
      <c r="S65" s="85"/>
      <c r="V65" s="86">
        <f t="shared" si="17"/>
        <v>37.15197345218801</v>
      </c>
      <c r="W65" s="102"/>
      <c r="X65" s="86"/>
      <c r="Y65" s="86"/>
      <c r="Z65" s="86">
        <f t="shared" si="22"/>
        <v>0.26375170712300311</v>
      </c>
      <c r="AA65" s="102"/>
      <c r="AB65" s="110"/>
      <c r="AD65" s="87">
        <f>D92</f>
        <v>359.76666666666671</v>
      </c>
      <c r="AE65" s="86">
        <f>S94</f>
        <v>55.659071751957129</v>
      </c>
      <c r="AF65" s="86">
        <f>U94</f>
        <v>2.2397786169453444</v>
      </c>
      <c r="AG65" s="86">
        <f>W94</f>
        <v>134.91585629389519</v>
      </c>
      <c r="AH65" s="86">
        <f>Y94</f>
        <v>8.1926012706336433</v>
      </c>
    </row>
    <row r="66" spans="2:34" ht="15" customHeight="1" x14ac:dyDescent="0.2">
      <c r="B66" s="58"/>
      <c r="D66" s="148"/>
      <c r="E66" s="80" t="s">
        <v>108</v>
      </c>
      <c r="F66" s="58"/>
      <c r="G66" s="79"/>
      <c r="H66" s="81">
        <f>0.2388-F65</f>
        <v>0.19125000000000003</v>
      </c>
      <c r="I66" s="82">
        <f>0.2447-F65</f>
        <v>0.19714999999999999</v>
      </c>
      <c r="J66" s="82">
        <f>0.1614-G65</f>
        <v>0.11454999999999999</v>
      </c>
      <c r="K66" s="82">
        <f>0.167-G65</f>
        <v>0.12015000000000001</v>
      </c>
      <c r="L66" s="82">
        <f t="shared" si="12"/>
        <v>1.9764546191247984E-2</v>
      </c>
      <c r="M66" s="82">
        <f t="shared" si="13"/>
        <v>2.0171677471636951E-2</v>
      </c>
      <c r="N66" s="82">
        <f t="shared" si="14"/>
        <v>1.9968111831442467E-2</v>
      </c>
      <c r="O66" s="82">
        <f>'Growth curves UTEX #1926'!G39</f>
        <v>0.98699999999999999</v>
      </c>
      <c r="P66" s="82">
        <f t="shared" si="15"/>
        <v>1.2432252000000001</v>
      </c>
      <c r="Q66" s="83">
        <f t="shared" si="25"/>
        <v>2.4675000000000001E-4</v>
      </c>
      <c r="R66" s="84">
        <f t="shared" si="16"/>
        <v>40.462232687826678</v>
      </c>
      <c r="S66" s="85"/>
      <c r="V66" s="86">
        <f t="shared" si="17"/>
        <v>50.303667325769865</v>
      </c>
      <c r="W66" s="102"/>
      <c r="X66" s="86"/>
      <c r="Y66" s="86"/>
      <c r="Z66" s="86">
        <f>(V66-$V$54)/(D65-$D$53)</f>
        <v>0.35110502057305515</v>
      </c>
      <c r="AA66" s="102"/>
      <c r="AB66" s="110"/>
      <c r="AD66" s="87">
        <f>D95</f>
        <v>385.23333333333335</v>
      </c>
      <c r="AE66" s="86">
        <f>S97</f>
        <v>55.475648209761111</v>
      </c>
      <c r="AF66" s="86">
        <f>U97</f>
        <v>5.3449792248772461</v>
      </c>
      <c r="AG66" s="86">
        <f>W97</f>
        <v>137.48878984332791</v>
      </c>
      <c r="AH66" s="86">
        <f>Y97</f>
        <v>12.399772149883376</v>
      </c>
    </row>
    <row r="67" spans="2:34" ht="15" customHeight="1" x14ac:dyDescent="0.2">
      <c r="B67" s="88"/>
      <c r="C67" s="97"/>
      <c r="D67" s="149"/>
      <c r="E67" s="90" t="s">
        <v>109</v>
      </c>
      <c r="F67" s="58"/>
      <c r="G67" s="79"/>
      <c r="H67" s="81">
        <f>0.1998-F65</f>
        <v>0.15225</v>
      </c>
      <c r="I67" s="82">
        <f>0.2012-F65</f>
        <v>0.15365000000000001</v>
      </c>
      <c r="J67" s="82">
        <f>0.1331-G65</f>
        <v>8.6249999999999993E-2</v>
      </c>
      <c r="K67" s="82">
        <f>0.1347-G65</f>
        <v>8.7849999999999984E-2</v>
      </c>
      <c r="L67" s="82">
        <f t="shared" si="12"/>
        <v>1.6218598055105352E-2</v>
      </c>
      <c r="M67" s="82">
        <f t="shared" si="13"/>
        <v>1.6288614262560782E-2</v>
      </c>
      <c r="N67" s="92">
        <f t="shared" si="14"/>
        <v>1.6253606158833069E-2</v>
      </c>
      <c r="O67" s="92">
        <f>'Growth curves UTEX #1926'!H39</f>
        <v>0.95899999999999996</v>
      </c>
      <c r="P67" s="92">
        <f t="shared" si="15"/>
        <v>1.2079564</v>
      </c>
      <c r="Q67" s="93">
        <f t="shared" si="25"/>
        <v>2.3975E-4</v>
      </c>
      <c r="R67" s="94">
        <f t="shared" si="16"/>
        <v>33.896988860965735</v>
      </c>
      <c r="S67" s="95">
        <f>AVERAGE(R65:R67)</f>
        <v>35.234532130183375</v>
      </c>
      <c r="T67" s="96">
        <f>STDEV(R65:R67)</f>
        <v>4.7037856480767237</v>
      </c>
      <c r="U67" s="96">
        <f>T67/SQRT(3)</f>
        <v>2.7157319101273947</v>
      </c>
      <c r="V67" s="96">
        <f t="shared" si="17"/>
        <v>40.946084635332269</v>
      </c>
      <c r="W67" s="95">
        <f t="shared" si="19"/>
        <v>42.800575137763381</v>
      </c>
      <c r="X67" s="96">
        <f t="shared" si="20"/>
        <v>6.7691295011846293</v>
      </c>
      <c r="Y67" s="96">
        <f t="shared" si="21"/>
        <v>3.9081587396883832</v>
      </c>
      <c r="Z67" s="96">
        <f>(V67-$V$55)/(D65-$D$53)</f>
        <v>0.29803890750536038</v>
      </c>
      <c r="AA67" s="95">
        <f t="shared" si="23"/>
        <v>0.30429854506713955</v>
      </c>
      <c r="AB67" s="103">
        <f t="shared" si="24"/>
        <v>2.5410218675953899E-2</v>
      </c>
      <c r="AD67" s="87">
        <f>D98</f>
        <v>408.78333333333336</v>
      </c>
      <c r="AE67" s="86">
        <f>S100</f>
        <v>52.505685657131529</v>
      </c>
      <c r="AF67" s="86">
        <f>U100</f>
        <v>3.2597378086222748</v>
      </c>
      <c r="AG67" s="86">
        <f>W100</f>
        <v>131.32036736898974</v>
      </c>
      <c r="AH67" s="86">
        <f>Y100</f>
        <v>9.265591299494826</v>
      </c>
    </row>
    <row r="68" spans="2:34" x14ac:dyDescent="0.2">
      <c r="B68" s="58" t="s">
        <v>29</v>
      </c>
      <c r="C68" s="78">
        <v>0.48680555555555555</v>
      </c>
      <c r="D68" s="150">
        <v>145.54999999999998</v>
      </c>
      <c r="E68" s="80" t="s">
        <v>107</v>
      </c>
      <c r="F68" s="104">
        <v>4.3700000000000003E-2</v>
      </c>
      <c r="G68" s="139">
        <v>4.2200000000000001E-2</v>
      </c>
      <c r="H68" s="104">
        <f>0.2858-F68</f>
        <v>0.24209999999999998</v>
      </c>
      <c r="I68" s="105">
        <f>0.2966-F68</f>
        <v>0.25289999999999996</v>
      </c>
      <c r="J68" s="105">
        <f>0.1843-G68</f>
        <v>0.1421</v>
      </c>
      <c r="K68" s="105">
        <f>0.1911-G68</f>
        <v>0.14889999999999998</v>
      </c>
      <c r="L68" s="82">
        <f t="shared" si="12"/>
        <v>2.5304619124797402E-2</v>
      </c>
      <c r="M68" s="82">
        <f t="shared" si="13"/>
        <v>2.6388249594813611E-2</v>
      </c>
      <c r="N68" s="82">
        <f t="shared" si="14"/>
        <v>2.5846434359805506E-2</v>
      </c>
      <c r="O68" s="82">
        <f>'Growth curves UTEX #1926'!F40</f>
        <v>1.238</v>
      </c>
      <c r="P68" s="82">
        <f t="shared" si="15"/>
        <v>1.5593848000000001</v>
      </c>
      <c r="Q68" s="83">
        <f t="shared" si="25"/>
        <v>3.0949999999999999E-4</v>
      </c>
      <c r="R68" s="84">
        <f t="shared" si="16"/>
        <v>41.755144361559786</v>
      </c>
      <c r="S68" s="85"/>
      <c r="V68" s="86">
        <f t="shared" si="17"/>
        <v>65.112337439222046</v>
      </c>
      <c r="W68" s="102"/>
      <c r="X68" s="86"/>
      <c r="Y68" s="86"/>
      <c r="Z68" s="86">
        <f t="shared" si="22"/>
        <v>0.41209083635703619</v>
      </c>
      <c r="AA68" s="102"/>
      <c r="AB68" s="110"/>
      <c r="AD68" s="87"/>
      <c r="AE68" s="86"/>
      <c r="AF68" s="86"/>
      <c r="AG68" s="86"/>
      <c r="AH68" s="86"/>
    </row>
    <row r="69" spans="2:34" x14ac:dyDescent="0.2">
      <c r="B69" s="58"/>
      <c r="D69" s="79"/>
      <c r="E69" s="80" t="s">
        <v>108</v>
      </c>
      <c r="F69" s="58"/>
      <c r="G69" s="79"/>
      <c r="H69" s="81">
        <f>0.3988-F68</f>
        <v>0.35509999999999997</v>
      </c>
      <c r="I69" s="82">
        <f>0.4058-F68</f>
        <v>0.36209999999999998</v>
      </c>
      <c r="J69" s="82">
        <f>0.2709-G68</f>
        <v>0.22869999999999996</v>
      </c>
      <c r="K69" s="82">
        <f>0.2778-G68</f>
        <v>0.23559999999999998</v>
      </c>
      <c r="L69" s="82">
        <f t="shared" si="12"/>
        <v>3.5127471636952998E-2</v>
      </c>
      <c r="M69" s="82">
        <f t="shared" si="13"/>
        <v>3.558541329011345E-2</v>
      </c>
      <c r="N69" s="82">
        <f t="shared" si="14"/>
        <v>3.5356442463533228E-2</v>
      </c>
      <c r="O69" s="82">
        <f>'Growth curves UTEX #1926'!G40</f>
        <v>1.3540000000000001</v>
      </c>
      <c r="P69" s="82">
        <f t="shared" si="15"/>
        <v>1.7054984000000002</v>
      </c>
      <c r="Q69" s="83">
        <f t="shared" si="25"/>
        <v>3.3850000000000004E-4</v>
      </c>
      <c r="R69" s="84">
        <f t="shared" si="16"/>
        <v>52.225173505957493</v>
      </c>
      <c r="S69" s="85"/>
      <c r="V69" s="86">
        <f t="shared" si="17"/>
        <v>89.069949854132901</v>
      </c>
      <c r="W69" s="102"/>
      <c r="X69" s="86"/>
      <c r="Y69" s="86"/>
      <c r="Z69" s="86">
        <f>(V69-$V$54)/(D68-$D$53)</f>
        <v>0.55919225026404629</v>
      </c>
      <c r="AA69" s="102"/>
      <c r="AB69" s="110"/>
    </row>
    <row r="70" spans="2:34" x14ac:dyDescent="0.2">
      <c r="B70" s="58"/>
      <c r="D70" s="79"/>
      <c r="E70" s="90" t="s">
        <v>109</v>
      </c>
      <c r="F70" s="58"/>
      <c r="G70" s="79"/>
      <c r="H70" s="81">
        <f>0.2612-F68</f>
        <v>0.21749999999999997</v>
      </c>
      <c r="I70" s="82">
        <f>0.2709-F68</f>
        <v>0.22719999999999996</v>
      </c>
      <c r="J70" s="82">
        <f>0.1663-G68</f>
        <v>0.1241</v>
      </c>
      <c r="K70" s="82">
        <f>0.1744-G68</f>
        <v>0.13219999999999998</v>
      </c>
      <c r="L70" s="82">
        <f t="shared" si="12"/>
        <v>2.3082576985413286E-2</v>
      </c>
      <c r="M70" s="82">
        <f t="shared" si="13"/>
        <v>2.3860453808752024E-2</v>
      </c>
      <c r="N70" s="92">
        <f t="shared" si="14"/>
        <v>2.3471515397082657E-2</v>
      </c>
      <c r="O70" s="92">
        <f>'Growth curves UTEX #1926'!H40</f>
        <v>1.1679999999999999</v>
      </c>
      <c r="P70" s="92">
        <f t="shared" si="15"/>
        <v>1.4712128</v>
      </c>
      <c r="Q70" s="93">
        <f t="shared" si="25"/>
        <v>2.92E-4</v>
      </c>
      <c r="R70" s="94">
        <f t="shared" si="16"/>
        <v>40.190951022401812</v>
      </c>
      <c r="S70" s="95">
        <f>AVERAGE(R68:R70)</f>
        <v>44.723756296639692</v>
      </c>
      <c r="T70" s="96">
        <f>STDEV(R68:R70)</f>
        <v>6.5433263950191325</v>
      </c>
      <c r="U70" s="96">
        <f>T70/SQRT(3)</f>
        <v>3.77779125555988</v>
      </c>
      <c r="V70" s="96">
        <f t="shared" si="17"/>
        <v>59.129441588330629</v>
      </c>
      <c r="W70" s="95">
        <f t="shared" si="19"/>
        <v>71.103909627228518</v>
      </c>
      <c r="X70" s="96">
        <f t="shared" si="20"/>
        <v>15.844011858324073</v>
      </c>
      <c r="Y70" s="96">
        <f t="shared" si="21"/>
        <v>9.1475445114470268</v>
      </c>
      <c r="Z70" s="96">
        <f>(V70-$V$55)/(D68-$D$53)</f>
        <v>0.37351618223393412</v>
      </c>
      <c r="AA70" s="95">
        <f t="shared" si="23"/>
        <v>0.44826642295167218</v>
      </c>
      <c r="AB70" s="103">
        <f t="shared" si="24"/>
        <v>5.6569736782370907E-2</v>
      </c>
      <c r="AD70" s="87"/>
      <c r="AE70" s="86"/>
      <c r="AF70" s="86"/>
      <c r="AG70" s="86"/>
      <c r="AH70" s="86"/>
    </row>
    <row r="71" spans="2:34" x14ac:dyDescent="0.2">
      <c r="B71" s="99" t="s">
        <v>30</v>
      </c>
      <c r="C71" s="100">
        <v>0.4055555555555555</v>
      </c>
      <c r="D71" s="151">
        <f>10+3/60+12+D68</f>
        <v>167.6</v>
      </c>
      <c r="E71" s="80" t="s">
        <v>107</v>
      </c>
      <c r="F71" s="104">
        <v>3.7900000000000003E-2</v>
      </c>
      <c r="G71" s="139">
        <v>3.7999999999999999E-2</v>
      </c>
      <c r="H71" s="104">
        <f>0.1547-F71</f>
        <v>0.1168</v>
      </c>
      <c r="I71" s="105">
        <f>0.1639-F71</f>
        <v>0.126</v>
      </c>
      <c r="J71" s="105">
        <f>0.1034-G71</f>
        <v>6.5400000000000014E-2</v>
      </c>
      <c r="K71" s="105">
        <f>0.1102-G71</f>
        <v>7.2200000000000014E-2</v>
      </c>
      <c r="L71" s="82">
        <f t="shared" si="12"/>
        <v>1.2517504051863857E-2</v>
      </c>
      <c r="M71" s="82">
        <f t="shared" si="13"/>
        <v>1.3341815235008105E-2</v>
      </c>
      <c r="N71" s="82">
        <f t="shared" si="14"/>
        <v>1.2929659643435981E-2</v>
      </c>
      <c r="O71" s="82">
        <f>'Growth curves UTEX #1926'!F41</f>
        <v>1.478</v>
      </c>
      <c r="P71" s="82">
        <f t="shared" si="15"/>
        <v>1.8616888</v>
      </c>
      <c r="Q71" s="83">
        <f>O71*0.125/1000</f>
        <v>1.8474999999999999E-4</v>
      </c>
      <c r="R71" s="84">
        <f t="shared" si="16"/>
        <v>34.992312972763145</v>
      </c>
      <c r="S71" s="85"/>
      <c r="V71" s="86">
        <f t="shared" si="17"/>
        <v>65.14479714748785</v>
      </c>
      <c r="W71" s="102"/>
      <c r="X71" s="86"/>
      <c r="Y71" s="86"/>
      <c r="Z71" s="86">
        <f t="shared" si="22"/>
        <v>0.35806850202883306</v>
      </c>
      <c r="AA71" s="102"/>
      <c r="AB71" s="110"/>
      <c r="AE71" s="86"/>
      <c r="AF71" s="86"/>
      <c r="AG71" s="86"/>
      <c r="AH71" s="86"/>
    </row>
    <row r="72" spans="2:34" x14ac:dyDescent="0.2">
      <c r="B72" s="58"/>
      <c r="D72" s="79"/>
      <c r="E72" s="80" t="s">
        <v>108</v>
      </c>
      <c r="F72" s="58"/>
      <c r="G72" s="79"/>
      <c r="H72" s="82">
        <f>0.1742-F71</f>
        <v>0.13629999999999998</v>
      </c>
      <c r="I72" s="82">
        <f>0.1673-F71</f>
        <v>0.12940000000000002</v>
      </c>
      <c r="J72" s="82">
        <f>0.1184-G71</f>
        <v>8.0399999999999999E-2</v>
      </c>
      <c r="K72" s="82">
        <f>0.1117-G71</f>
        <v>7.3699999999999988E-2</v>
      </c>
      <c r="L72" s="82">
        <f t="shared" si="12"/>
        <v>1.4207131280388977E-2</v>
      </c>
      <c r="M72" s="82">
        <f t="shared" si="13"/>
        <v>1.3745786061588335E-2</v>
      </c>
      <c r="N72" s="82">
        <f t="shared" si="14"/>
        <v>1.3976458670988656E-2</v>
      </c>
      <c r="O72" s="82">
        <f>'Growth curves UTEX #1926'!G41</f>
        <v>1.4550000000000001</v>
      </c>
      <c r="P72" s="82">
        <f t="shared" si="15"/>
        <v>1.8327180000000001</v>
      </c>
      <c r="Q72" s="83">
        <f>O72*0.125/1000</f>
        <v>1.8187500000000002E-4</v>
      </c>
      <c r="R72" s="84">
        <f t="shared" si="16"/>
        <v>38.423254078319324</v>
      </c>
      <c r="S72" s="85"/>
      <c r="V72" s="86">
        <f t="shared" si="17"/>
        <v>70.418989367909234</v>
      </c>
      <c r="W72" s="102"/>
      <c r="X72" s="86"/>
      <c r="Y72" s="86"/>
      <c r="Z72" s="86">
        <f>(V72-$V$54)/(D71-$D$53)</f>
        <v>0.37434052231329512</v>
      </c>
      <c r="AA72" s="102"/>
      <c r="AB72" s="110"/>
      <c r="AE72" s="86"/>
      <c r="AF72" s="86"/>
      <c r="AG72" s="86"/>
      <c r="AH72" s="86"/>
    </row>
    <row r="73" spans="2:34" x14ac:dyDescent="0.2">
      <c r="B73" s="58"/>
      <c r="D73" s="79"/>
      <c r="E73" s="90" t="s">
        <v>109</v>
      </c>
      <c r="F73" s="58"/>
      <c r="G73" s="79"/>
      <c r="H73" s="82">
        <f>0.1617-F71</f>
        <v>0.12380000000000001</v>
      </c>
      <c r="I73" s="82">
        <f>0.1627-F71</f>
        <v>0.12480000000000001</v>
      </c>
      <c r="J73" s="82">
        <f>0.1092-G71</f>
        <v>7.1200000000000013E-2</v>
      </c>
      <c r="K73" s="82">
        <f>0.1098-G71</f>
        <v>7.1800000000000003E-2</v>
      </c>
      <c r="L73" s="82">
        <f t="shared" si="12"/>
        <v>1.3083306320907616E-2</v>
      </c>
      <c r="M73" s="82">
        <f t="shared" si="13"/>
        <v>1.3186547811993519E-2</v>
      </c>
      <c r="N73" s="92">
        <f t="shared" si="14"/>
        <v>1.3134927066450568E-2</v>
      </c>
      <c r="O73" s="92">
        <f>'Growth curves UTEX #1926'!H41</f>
        <v>1.4690000000000001</v>
      </c>
      <c r="P73" s="92">
        <f t="shared" si="15"/>
        <v>1.8503524000000002</v>
      </c>
      <c r="Q73" s="93">
        <f>O73*0.125/1000</f>
        <v>1.83625E-4</v>
      </c>
      <c r="R73" s="94">
        <f t="shared" si="16"/>
        <v>35.765628499525029</v>
      </c>
      <c r="S73" s="95">
        <f>AVERAGE(R71:R73)</f>
        <v>36.393731850202499</v>
      </c>
      <c r="T73" s="96">
        <f>STDEV(R71:R73)</f>
        <v>1.7996456822935909</v>
      </c>
      <c r="U73" s="96">
        <f>T73/SQRT(3)</f>
        <v>1.0390259191181526</v>
      </c>
      <c r="V73" s="96">
        <f t="shared" si="17"/>
        <v>66.179016531604546</v>
      </c>
      <c r="W73" s="95">
        <f t="shared" si="19"/>
        <v>67.247601015667215</v>
      </c>
      <c r="X73" s="96">
        <f t="shared" si="20"/>
        <v>2.7947594698243643</v>
      </c>
      <c r="Y73" s="96">
        <f t="shared" si="21"/>
        <v>1.6135551322233526</v>
      </c>
      <c r="Z73" s="96">
        <f>(V73-$V$55)/(D71-$D$53)</f>
        <v>0.36643708393450491</v>
      </c>
      <c r="AA73" s="95">
        <f t="shared" si="23"/>
        <v>0.36628203609221099</v>
      </c>
      <c r="AB73" s="103">
        <f t="shared" si="24"/>
        <v>4.6979673231989814E-3</v>
      </c>
    </row>
    <row r="74" spans="2:34" x14ac:dyDescent="0.2">
      <c r="B74" s="99" t="s">
        <v>31</v>
      </c>
      <c r="C74" s="100">
        <v>0.30694444444444441</v>
      </c>
      <c r="D74" s="151">
        <f>9+38/60+12+D71</f>
        <v>189.23333333333332</v>
      </c>
      <c r="E74" s="80" t="s">
        <v>107</v>
      </c>
      <c r="F74" s="104">
        <v>3.9E-2</v>
      </c>
      <c r="G74" s="139">
        <v>3.8899999999999997E-2</v>
      </c>
      <c r="H74" s="104">
        <f>0.186-F74</f>
        <v>0.14699999999999999</v>
      </c>
      <c r="I74" s="105">
        <f>0.1862-F74</f>
        <v>0.1472</v>
      </c>
      <c r="J74" s="105">
        <f>0.1206-G74</f>
        <v>8.1699999999999995E-2</v>
      </c>
      <c r="K74" s="105">
        <f>0.1209-G74</f>
        <v>8.199999999999999E-2</v>
      </c>
      <c r="L74" s="82">
        <f t="shared" si="12"/>
        <v>1.5813857374392223E-2</v>
      </c>
      <c r="M74" s="82">
        <f t="shared" si="13"/>
        <v>1.5816855753646681E-2</v>
      </c>
      <c r="N74" s="82">
        <f t="shared" si="14"/>
        <v>1.5815356564019452E-2</v>
      </c>
      <c r="O74" s="82">
        <f>'Growth curves UTEX #1926'!F42</f>
        <v>1.43</v>
      </c>
      <c r="P74" s="82">
        <f t="shared" si="15"/>
        <v>1.8012280000000001</v>
      </c>
      <c r="Q74" s="83">
        <f>P74*0.125/1000</f>
        <v>2.251535E-4</v>
      </c>
      <c r="R74" s="84">
        <f t="shared" si="16"/>
        <v>35.1212762937717</v>
      </c>
      <c r="S74" s="85"/>
      <c r="V74" s="86">
        <f t="shared" si="17"/>
        <v>63.261426256077812</v>
      </c>
      <c r="W74" s="102"/>
      <c r="X74" s="86"/>
      <c r="Y74" s="86"/>
      <c r="Z74" s="86">
        <f t="shared" si="22"/>
        <v>0.30718113465891694</v>
      </c>
      <c r="AA74" s="102"/>
      <c r="AB74" s="110"/>
    </row>
    <row r="75" spans="2:34" x14ac:dyDescent="0.2">
      <c r="B75" s="58"/>
      <c r="D75" s="79"/>
      <c r="E75" s="80" t="s">
        <v>108</v>
      </c>
      <c r="F75" s="58"/>
      <c r="G75" s="79"/>
      <c r="H75" s="81">
        <f>0.2785-F74</f>
        <v>0.23950000000000002</v>
      </c>
      <c r="I75" s="82">
        <f>0.2443-F74</f>
        <v>0.20529999999999998</v>
      </c>
      <c r="J75" s="82">
        <f>0.1844-G74</f>
        <v>0.14550000000000002</v>
      </c>
      <c r="K75" s="82">
        <f>0.1563-G74</f>
        <v>0.1174</v>
      </c>
      <c r="L75" s="82">
        <f t="shared" si="12"/>
        <v>2.4549837925445708E-2</v>
      </c>
      <c r="M75" s="82">
        <f t="shared" si="13"/>
        <v>2.1762236628849269E-2</v>
      </c>
      <c r="N75" s="82">
        <f t="shared" si="14"/>
        <v>2.315603727714749E-2</v>
      </c>
      <c r="O75" s="82">
        <f>'Growth curves UTEX #1926'!G42</f>
        <v>1.6080000000000001</v>
      </c>
      <c r="P75" s="82">
        <f t="shared" si="15"/>
        <v>2.0254368</v>
      </c>
      <c r="Q75" s="83">
        <f>P75*0.125/1000</f>
        <v>2.5317960000000001E-4</v>
      </c>
      <c r="R75" s="84">
        <f t="shared" si="16"/>
        <v>45.730456318651839</v>
      </c>
      <c r="S75" s="85"/>
      <c r="V75" s="86">
        <f t="shared" si="17"/>
        <v>92.624149108589961</v>
      </c>
      <c r="W75" s="102"/>
      <c r="X75" s="86"/>
      <c r="Y75" s="86"/>
      <c r="Z75" s="86">
        <f>(V75-$V$54)/(D74-$D$53)</f>
        <v>0.44888831044771355</v>
      </c>
      <c r="AA75" s="102"/>
      <c r="AB75" s="110"/>
    </row>
    <row r="76" spans="2:34" x14ac:dyDescent="0.2">
      <c r="B76" s="58"/>
      <c r="D76" s="79"/>
      <c r="E76" s="90" t="s">
        <v>109</v>
      </c>
      <c r="F76" s="58"/>
      <c r="G76" s="79"/>
      <c r="H76" s="81">
        <f>0.2189-F74</f>
        <v>0.1799</v>
      </c>
      <c r="I76" s="82">
        <f>0.2227-F74</f>
        <v>0.1837</v>
      </c>
      <c r="J76" s="82">
        <f>0.1403-G74</f>
        <v>0.10140000000000002</v>
      </c>
      <c r="K76" s="82">
        <f>0.1399-G74</f>
        <v>0.10100000000000001</v>
      </c>
      <c r="L76" s="82">
        <f t="shared" si="12"/>
        <v>1.9214424635332253E-2</v>
      </c>
      <c r="M76" s="82">
        <f t="shared" si="13"/>
        <v>1.9869529983792548E-2</v>
      </c>
      <c r="N76" s="92">
        <f t="shared" si="14"/>
        <v>1.9541977309562399E-2</v>
      </c>
      <c r="O76" s="92">
        <f>'Growth curves UTEX #1926'!H42</f>
        <v>1.546</v>
      </c>
      <c r="P76" s="92">
        <f t="shared" si="15"/>
        <v>1.9473416000000001</v>
      </c>
      <c r="Q76" s="93">
        <f>P76*0.125/1000</f>
        <v>2.4341770000000003E-4</v>
      </c>
      <c r="R76" s="94">
        <f t="shared" si="16"/>
        <v>40.140830575513604</v>
      </c>
      <c r="S76" s="95">
        <f>AVERAGE(R74:R76)</f>
        <v>40.330854395979053</v>
      </c>
      <c r="T76" s="96">
        <f>STDEV(R74:R76)</f>
        <v>5.3071420735963759</v>
      </c>
      <c r="U76" s="96">
        <f>T76/SQRT(3)</f>
        <v>3.0640799048184566</v>
      </c>
      <c r="V76" s="96">
        <f t="shared" si="17"/>
        <v>78.167909238249592</v>
      </c>
      <c r="W76" s="95">
        <f t="shared" si="19"/>
        <v>78.01782820097246</v>
      </c>
      <c r="X76" s="96">
        <f t="shared" si="20"/>
        <v>14.681936744403709</v>
      </c>
      <c r="Y76" s="96">
        <f t="shared" si="21"/>
        <v>8.4766201316065395</v>
      </c>
      <c r="Z76" s="96">
        <f>(V76-$V$55)/(D74-$D$53)</f>
        <v>0.38790072912137435</v>
      </c>
      <c r="AA76" s="95">
        <f t="shared" si="23"/>
        <v>0.38132339140933497</v>
      </c>
      <c r="AB76" s="103">
        <f t="shared" si="24"/>
        <v>4.1039318326221895E-2</v>
      </c>
    </row>
    <row r="77" spans="2:34" x14ac:dyDescent="0.2">
      <c r="B77" s="99" t="s">
        <v>32</v>
      </c>
      <c r="C77" s="100">
        <v>0.4368055555555555</v>
      </c>
      <c r="D77" s="147">
        <f>3+7/60+24+D74</f>
        <v>216.35</v>
      </c>
      <c r="E77" s="80" t="s">
        <v>107</v>
      </c>
      <c r="F77" s="104">
        <v>3.1099999999999999E-2</v>
      </c>
      <c r="G77" s="139">
        <v>3.0200000000000001E-2</v>
      </c>
      <c r="H77" s="104">
        <f>0.1469-F77</f>
        <v>0.1158</v>
      </c>
      <c r="I77" s="105">
        <f>0.1235-F77</f>
        <v>9.2399999999999996E-2</v>
      </c>
      <c r="J77" s="105">
        <f>0.0945-G77</f>
        <v>6.4299999999999996E-2</v>
      </c>
      <c r="K77" s="105">
        <f>0.0728-G77</f>
        <v>4.2599999999999999E-2</v>
      </c>
      <c r="L77" s="82">
        <f t="shared" si="12"/>
        <v>1.2463290113452189E-2</v>
      </c>
      <c r="M77" s="82">
        <f t="shared" si="13"/>
        <v>1.0798541329011344E-2</v>
      </c>
      <c r="N77" s="82">
        <f t="shared" si="14"/>
        <v>1.1630915721231767E-2</v>
      </c>
      <c r="O77" s="82">
        <f>'Growth curves UTEX #1926'!F43</f>
        <v>1.506</v>
      </c>
      <c r="P77" s="82">
        <f t="shared" si="15"/>
        <v>1.8969576000000001</v>
      </c>
      <c r="Q77" s="83">
        <f>P77*0.1/1000</f>
        <v>1.8969576000000003E-4</v>
      </c>
      <c r="R77" s="84">
        <f t="shared" si="16"/>
        <v>30.656762494933375</v>
      </c>
      <c r="S77" s="85"/>
      <c r="V77" s="86">
        <f t="shared" si="17"/>
        <v>58.154578606158829</v>
      </c>
      <c r="W77" s="102"/>
      <c r="X77" s="86"/>
      <c r="Y77" s="86"/>
      <c r="Z77" s="86">
        <f t="shared" si="22"/>
        <v>0.24507539819137231</v>
      </c>
      <c r="AA77" s="102"/>
      <c r="AB77" s="110"/>
    </row>
    <row r="78" spans="2:34" x14ac:dyDescent="0.2">
      <c r="B78" s="58"/>
      <c r="D78" s="79"/>
      <c r="E78" s="80" t="s">
        <v>108</v>
      </c>
      <c r="F78" s="58"/>
      <c r="G78" s="79"/>
      <c r="H78" s="81">
        <f>0.2142-F77</f>
        <v>0.18310000000000001</v>
      </c>
      <c r="I78" s="82">
        <f>0.2109-F77</f>
        <v>0.17980000000000002</v>
      </c>
      <c r="J78" s="82">
        <f>0.1512-G77</f>
        <v>0.121</v>
      </c>
      <c r="K78" s="82">
        <f>0.1452-G77</f>
        <v>0.11499999999999999</v>
      </c>
      <c r="L78" s="82">
        <f t="shared" si="12"/>
        <v>1.7811183144246356E-2</v>
      </c>
      <c r="M78" s="82">
        <f t="shared" si="13"/>
        <v>1.78646677471637E-2</v>
      </c>
      <c r="N78" s="82">
        <f t="shared" si="14"/>
        <v>1.7837925445705026E-2</v>
      </c>
      <c r="O78" s="82">
        <f>'Growth curves UTEX #1926'!G43</f>
        <v>1.6439999999999999</v>
      </c>
      <c r="P78" s="82">
        <f t="shared" si="15"/>
        <v>2.0707824000000001</v>
      </c>
      <c r="Q78" s="83">
        <f>P78*0.1/1000</f>
        <v>2.0707824000000002E-4</v>
      </c>
      <c r="R78" s="84">
        <f t="shared" si="16"/>
        <v>43.070497039440319</v>
      </c>
      <c r="S78" s="85"/>
      <c r="V78" s="86">
        <f t="shared" si="17"/>
        <v>89.189627228525126</v>
      </c>
      <c r="W78" s="102"/>
      <c r="X78" s="86"/>
      <c r="Y78" s="86"/>
      <c r="Z78" s="86">
        <f>(V78-$V$54)/(D77-$D$53)</f>
        <v>0.37675114120787684</v>
      </c>
      <c r="AA78" s="102"/>
      <c r="AB78" s="110"/>
    </row>
    <row r="79" spans="2:34" x14ac:dyDescent="0.2">
      <c r="B79" s="58"/>
      <c r="D79" s="79"/>
      <c r="E79" s="90" t="s">
        <v>109</v>
      </c>
      <c r="F79" s="58"/>
      <c r="G79" s="79"/>
      <c r="H79" s="81">
        <f>0.1636-F77</f>
        <v>0.13250000000000001</v>
      </c>
      <c r="I79" s="82">
        <f>0.1762-F77</f>
        <v>0.14510000000000001</v>
      </c>
      <c r="J79" s="82">
        <f>0.1046-G77</f>
        <v>7.4399999999999994E-2</v>
      </c>
      <c r="K79" s="82">
        <f>0.1141-G77</f>
        <v>8.3899999999999988E-2</v>
      </c>
      <c r="L79" s="82">
        <f t="shared" si="12"/>
        <v>1.4179578606158835E-2</v>
      </c>
      <c r="M79" s="82">
        <f t="shared" si="13"/>
        <v>1.5290194489465158E-2</v>
      </c>
      <c r="N79" s="92">
        <f t="shared" si="14"/>
        <v>1.4734886547811996E-2</v>
      </c>
      <c r="O79" s="92">
        <f>'Growth curves UTEX #1926'!H43</f>
        <v>1.63</v>
      </c>
      <c r="P79" s="92">
        <f t="shared" si="15"/>
        <v>2.0531479999999998</v>
      </c>
      <c r="Q79" s="93">
        <f>P79*0.1/1000</f>
        <v>2.0531479999999998E-4</v>
      </c>
      <c r="R79" s="94">
        <f t="shared" si="16"/>
        <v>35.88364440316041</v>
      </c>
      <c r="S79" s="95">
        <f>AVERAGE(R77:R79)</f>
        <v>36.536967979178037</v>
      </c>
      <c r="T79" s="96">
        <f>STDEV(R77:R79)</f>
        <v>6.2326017927191506</v>
      </c>
      <c r="U79" s="96">
        <f>T79/SQRT(3)</f>
        <v>3.5983943227781459</v>
      </c>
      <c r="V79" s="96">
        <f t="shared" si="17"/>
        <v>73.674432739059981</v>
      </c>
      <c r="W79" s="95">
        <f t="shared" si="19"/>
        <v>73.672879524581319</v>
      </c>
      <c r="X79" s="96">
        <f t="shared" si="20"/>
        <v>15.517524369483569</v>
      </c>
      <c r="Y79" s="96">
        <f t="shared" si="21"/>
        <v>8.9590468718779164</v>
      </c>
      <c r="Z79" s="96">
        <f>(V79-$V$55)/(D77-$D$53)</f>
        <v>0.3185129256985369</v>
      </c>
      <c r="AA79" s="95">
        <f t="shared" si="23"/>
        <v>0.3134464883659287</v>
      </c>
      <c r="AB79" s="103">
        <f t="shared" si="24"/>
        <v>3.8095830546885562E-2</v>
      </c>
    </row>
    <row r="80" spans="2:34" x14ac:dyDescent="0.2">
      <c r="B80" s="99" t="s">
        <v>33</v>
      </c>
      <c r="C80" s="100">
        <v>0.44722222222222219</v>
      </c>
      <c r="D80" s="147">
        <f>15/60+24+D77</f>
        <v>240.6</v>
      </c>
      <c r="E80" s="80" t="s">
        <v>107</v>
      </c>
      <c r="F80" s="104">
        <v>4.9200000000000001E-2</v>
      </c>
      <c r="G80" s="139">
        <v>4.8500000000000001E-2</v>
      </c>
      <c r="H80" s="104">
        <f>0.1811-F80</f>
        <v>0.13190000000000002</v>
      </c>
      <c r="I80" s="105">
        <f>0.1806-F80</f>
        <v>0.13140000000000002</v>
      </c>
      <c r="J80" s="105">
        <f>0.1208-G80</f>
        <v>7.2300000000000003E-2</v>
      </c>
      <c r="K80" s="105">
        <f>0.1182-G80</f>
        <v>6.9699999999999998E-2</v>
      </c>
      <c r="L80" s="82">
        <f t="shared" si="12"/>
        <v>1.4288249594813616E-2</v>
      </c>
      <c r="M80" s="82">
        <f t="shared" si="13"/>
        <v>1.4462155591572127E-2</v>
      </c>
      <c r="N80" s="82">
        <f t="shared" si="14"/>
        <v>1.4375202593192872E-2</v>
      </c>
      <c r="O80" s="82">
        <f>'Growth curves UTEX #1926'!F44</f>
        <v>1.506</v>
      </c>
      <c r="P80" s="82">
        <f t="shared" si="15"/>
        <v>1.8969576000000001</v>
      </c>
      <c r="Q80" s="83">
        <f t="shared" ref="Q80:Q82" si="26">P80*0.1/1000</f>
        <v>1.8969576000000003E-4</v>
      </c>
      <c r="R80" s="84">
        <f t="shared" si="16"/>
        <v>37.890152613829819</v>
      </c>
      <c r="S80" s="85"/>
      <c r="V80" s="86">
        <f t="shared" si="17"/>
        <v>71.87601296596435</v>
      </c>
      <c r="W80" s="102"/>
      <c r="X80" s="86"/>
      <c r="Y80" s="86"/>
      <c r="Z80" s="86">
        <f t="shared" si="22"/>
        <v>0.27740439218000384</v>
      </c>
      <c r="AA80" s="102"/>
      <c r="AB80" s="110"/>
    </row>
    <row r="81" spans="2:28" x14ac:dyDescent="0.2">
      <c r="B81" s="58"/>
      <c r="D81" s="79"/>
      <c r="E81" s="80" t="s">
        <v>108</v>
      </c>
      <c r="F81" s="58"/>
      <c r="G81" s="79"/>
      <c r="H81" s="81">
        <f>0.1737-F80</f>
        <v>0.1245</v>
      </c>
      <c r="I81" s="82">
        <f>0.1712-F80</f>
        <v>0.122</v>
      </c>
      <c r="J81" s="82">
        <f>0.1148-G80</f>
        <v>6.6299999999999998E-2</v>
      </c>
      <c r="K81" s="82">
        <f>0.1144-G80</f>
        <v>6.59E-2</v>
      </c>
      <c r="L81" s="82">
        <f t="shared" si="12"/>
        <v>1.3677228525121557E-2</v>
      </c>
      <c r="M81" s="82">
        <f t="shared" si="13"/>
        <v>1.3311264181523501E-2</v>
      </c>
      <c r="N81" s="82">
        <f t="shared" si="14"/>
        <v>1.3494246353322529E-2</v>
      </c>
      <c r="O81" s="82">
        <f>'Growth curves UTEX #1926'!G44</f>
        <v>1.744</v>
      </c>
      <c r="P81" s="82">
        <f t="shared" si="15"/>
        <v>2.1967424000000002</v>
      </c>
      <c r="Q81" s="83">
        <f t="shared" si="26"/>
        <v>2.1967424000000001E-4</v>
      </c>
      <c r="R81" s="84">
        <f t="shared" si="16"/>
        <v>30.714221096935461</v>
      </c>
      <c r="S81" s="85"/>
      <c r="V81" s="86">
        <f t="shared" si="17"/>
        <v>67.471231766612647</v>
      </c>
      <c r="W81" s="102"/>
      <c r="X81" s="86"/>
      <c r="Y81" s="86"/>
      <c r="Z81" s="86">
        <f>(V81-$V$54)/(D80-$D$53)</f>
        <v>0.24851086424942509</v>
      </c>
      <c r="AA81" s="102"/>
      <c r="AB81" s="110"/>
    </row>
    <row r="82" spans="2:28" x14ac:dyDescent="0.2">
      <c r="B82" s="58"/>
      <c r="D82" s="79"/>
      <c r="E82" s="90" t="s">
        <v>109</v>
      </c>
      <c r="F82" s="58"/>
      <c r="G82" s="79"/>
      <c r="H82" s="81">
        <f>0.2153-F80</f>
        <v>0.1661</v>
      </c>
      <c r="I82" s="82">
        <f>0.2339-F80</f>
        <v>0.1847</v>
      </c>
      <c r="J82" s="82">
        <f>0.1463-G80</f>
        <v>9.7800000000000012E-2</v>
      </c>
      <c r="K82" s="82">
        <f>0.1656-G80</f>
        <v>0.1171</v>
      </c>
      <c r="L82" s="82">
        <f t="shared" si="12"/>
        <v>1.7330794165316046E-2</v>
      </c>
      <c r="M82" s="82">
        <f t="shared" si="13"/>
        <v>1.845291734197731E-2</v>
      </c>
      <c r="N82" s="92">
        <f t="shared" si="14"/>
        <v>1.7891855753646678E-2</v>
      </c>
      <c r="O82" s="92">
        <f>'Growth curves UTEX #1926'!H44</f>
        <v>1.57</v>
      </c>
      <c r="P82" s="92">
        <f t="shared" si="15"/>
        <v>1.9775720000000001</v>
      </c>
      <c r="Q82" s="93">
        <f t="shared" si="26"/>
        <v>1.9775720000000002E-4</v>
      </c>
      <c r="R82" s="94">
        <f t="shared" si="16"/>
        <v>45.236926275368674</v>
      </c>
      <c r="S82" s="95">
        <f>AVERAGE(R80:R82)</f>
        <v>37.94709999537799</v>
      </c>
      <c r="T82" s="96">
        <f>STDEV(R80:R82)</f>
        <v>7.2615200666335245</v>
      </c>
      <c r="U82" s="96">
        <f>T82/SQRT(3)</f>
        <v>4.1924405651967351</v>
      </c>
      <c r="V82" s="96">
        <f t="shared" si="17"/>
        <v>89.459278768233389</v>
      </c>
      <c r="W82" s="95">
        <f t="shared" si="19"/>
        <v>76.268841166936795</v>
      </c>
      <c r="X82" s="96">
        <f t="shared" si="20"/>
        <v>11.633626151755731</v>
      </c>
      <c r="Y82" s="96">
        <f t="shared" si="21"/>
        <v>6.7166771903676414</v>
      </c>
      <c r="Z82" s="96">
        <f>(V82-$V$55)/(D80-$D$53)</f>
        <v>0.35201628222797948</v>
      </c>
      <c r="AA82" s="95">
        <f t="shared" si="23"/>
        <v>0.29264384621913614</v>
      </c>
      <c r="AB82" s="103">
        <f t="shared" si="24"/>
        <v>3.0835713100704685E-2</v>
      </c>
    </row>
    <row r="83" spans="2:28" x14ac:dyDescent="0.2">
      <c r="B83" s="99" t="s">
        <v>34</v>
      </c>
      <c r="C83" s="100">
        <v>0.49236111111111108</v>
      </c>
      <c r="D83" s="147">
        <f>1+5/60+48+D80</f>
        <v>289.68333333333334</v>
      </c>
      <c r="E83" s="80" t="s">
        <v>107</v>
      </c>
      <c r="F83" s="104">
        <v>4.5900000000000003E-2</v>
      </c>
      <c r="G83" s="139">
        <v>4.4499999999999998E-2</v>
      </c>
      <c r="H83" s="104">
        <f>0.1473-F83</f>
        <v>0.10139999999999999</v>
      </c>
      <c r="I83" s="105">
        <f>0.1574-F83</f>
        <v>0.11150000000000002</v>
      </c>
      <c r="J83" s="105">
        <f>0.0952-G83</f>
        <v>5.0700000000000009E-2</v>
      </c>
      <c r="K83" s="105">
        <f>0.103-G83</f>
        <v>5.8499999999999996E-2</v>
      </c>
      <c r="L83" s="82">
        <f t="shared" si="12"/>
        <v>1.1462965964343595E-2</v>
      </c>
      <c r="M83" s="82">
        <f t="shared" si="13"/>
        <v>1.2335089141004866E-2</v>
      </c>
      <c r="N83" s="82">
        <f t="shared" si="14"/>
        <v>1.1899027552674231E-2</v>
      </c>
      <c r="O83" s="82">
        <f>'Growth curves UTEX #1926'!F45</f>
        <v>1.754</v>
      </c>
      <c r="P83" s="82">
        <f t="shared" si="15"/>
        <v>2.2093384</v>
      </c>
      <c r="Q83" s="83">
        <f t="shared" ref="Q83:Q85" si="27">P83*0.075/1000</f>
        <v>1.6570038000000002E-4</v>
      </c>
      <c r="R83" s="84">
        <f t="shared" si="16"/>
        <v>35.905251251307419</v>
      </c>
      <c r="S83" s="85"/>
      <c r="V83" s="86">
        <f t="shared" si="17"/>
        <v>79.326850351161539</v>
      </c>
      <c r="W83" s="102"/>
      <c r="X83" s="86"/>
      <c r="Y83" s="86"/>
      <c r="Z83" s="86">
        <f t="shared" si="22"/>
        <v>0.2561222052023685</v>
      </c>
      <c r="AA83" s="102"/>
      <c r="AB83" s="110"/>
    </row>
    <row r="84" spans="2:28" x14ac:dyDescent="0.2">
      <c r="B84" s="58"/>
      <c r="D84" s="79"/>
      <c r="E84" s="80" t="s">
        <v>108</v>
      </c>
      <c r="F84" s="58"/>
      <c r="G84" s="79"/>
      <c r="H84" s="81">
        <f>0.1879-F83</f>
        <v>0.14200000000000002</v>
      </c>
      <c r="I84" s="82">
        <f>0.171-F83</f>
        <v>0.12510000000000002</v>
      </c>
      <c r="J84" s="82">
        <f>0.1285-G83</f>
        <v>8.4000000000000005E-2</v>
      </c>
      <c r="K84" s="82">
        <f>0.1117-G83</f>
        <v>6.7199999999999996E-2</v>
      </c>
      <c r="L84" s="82">
        <f t="shared" si="12"/>
        <v>1.4777957860615885E-2</v>
      </c>
      <c r="M84" s="82">
        <f t="shared" si="13"/>
        <v>1.368622366288493E-2</v>
      </c>
      <c r="N84" s="82">
        <f t="shared" si="14"/>
        <v>1.4232090761750409E-2</v>
      </c>
      <c r="O84" s="82">
        <f>'Growth curves UTEX #1926'!G45</f>
        <v>1.77</v>
      </c>
      <c r="P84" s="82">
        <f t="shared" si="15"/>
        <v>2.229492</v>
      </c>
      <c r="Q84" s="83">
        <f t="shared" si="27"/>
        <v>1.6721189999999999E-4</v>
      </c>
      <c r="R84" s="84">
        <f t="shared" si="16"/>
        <v>42.557051148125254</v>
      </c>
      <c r="S84" s="85"/>
      <c r="V84" s="86">
        <f t="shared" si="17"/>
        <v>94.880605078336075</v>
      </c>
      <c r="W84" s="102"/>
      <c r="X84" s="86"/>
      <c r="Y84" s="86"/>
      <c r="Z84" s="86">
        <f>(V84-$V$54)/(D83-$D$53)</f>
        <v>0.30102210661113321</v>
      </c>
      <c r="AA84" s="102"/>
      <c r="AB84" s="110"/>
    </row>
    <row r="85" spans="2:28" x14ac:dyDescent="0.2">
      <c r="B85" s="58"/>
      <c r="D85" s="79"/>
      <c r="E85" s="90" t="s">
        <v>109</v>
      </c>
      <c r="F85" s="58"/>
      <c r="G85" s="79"/>
      <c r="H85" s="81">
        <f>0.1709-F83</f>
        <v>0.125</v>
      </c>
      <c r="I85" s="82">
        <f>0.1795-F83</f>
        <v>0.1336</v>
      </c>
      <c r="J85" s="82">
        <f>0.1148-G83</f>
        <v>7.0300000000000001E-2</v>
      </c>
      <c r="K85" s="82">
        <f>0.1246-G83</f>
        <v>8.0100000000000005E-2</v>
      </c>
      <c r="L85" s="82">
        <f t="shared" si="12"/>
        <v>1.3366045380875203E-2</v>
      </c>
      <c r="M85" s="82">
        <f t="shared" si="13"/>
        <v>1.3798946515397082E-2</v>
      </c>
      <c r="N85" s="92">
        <f t="shared" si="14"/>
        <v>1.3582495948136142E-2</v>
      </c>
      <c r="O85" s="92">
        <f>'Growth curves UTEX #1926'!H45</f>
        <v>1.6859999999999999</v>
      </c>
      <c r="P85" s="92">
        <f t="shared" si="15"/>
        <v>2.1236856</v>
      </c>
      <c r="Q85" s="93">
        <f t="shared" si="27"/>
        <v>1.5927642E-4</v>
      </c>
      <c r="R85" s="94">
        <f t="shared" si="16"/>
        <v>42.638125430418839</v>
      </c>
      <c r="S85" s="95">
        <f>AVERAGE(R83:R85)</f>
        <v>40.366809276617168</v>
      </c>
      <c r="T85" s="96">
        <f>STDEV(R83:R85)</f>
        <v>3.8640352314279878</v>
      </c>
      <c r="U85" s="96">
        <f>T85/SQRT(3)</f>
        <v>2.2309017810231468</v>
      </c>
      <c r="V85" s="96">
        <f t="shared" si="17"/>
        <v>90.549972987574293</v>
      </c>
      <c r="W85" s="95">
        <f t="shared" si="19"/>
        <v>88.252476139023955</v>
      </c>
      <c r="X85" s="96">
        <f t="shared" si="20"/>
        <v>8.0273713228615531</v>
      </c>
      <c r="Y85" s="96">
        <f t="shared" si="21"/>
        <v>4.6346049941391998</v>
      </c>
      <c r="Z85" s="96">
        <f>(V85-$V$55)/(D83-$D$53)</f>
        <v>0.29613651132866731</v>
      </c>
      <c r="AA85" s="95">
        <f t="shared" si="23"/>
        <v>0.28442694104738969</v>
      </c>
      <c r="AB85" s="103">
        <f t="shared" si="24"/>
        <v>1.4222468301462688E-2</v>
      </c>
    </row>
    <row r="86" spans="2:28" x14ac:dyDescent="0.2">
      <c r="B86" s="99" t="s">
        <v>35</v>
      </c>
      <c r="C86" s="100">
        <v>0.49374999999999997</v>
      </c>
      <c r="D86" s="154">
        <f>2/60+24+D83</f>
        <v>313.7166666666667</v>
      </c>
      <c r="E86" s="80" t="s">
        <v>107</v>
      </c>
      <c r="F86" s="104">
        <f>(0.0555+0.0526)/2</f>
        <v>5.4050000000000001E-2</v>
      </c>
      <c r="G86" s="139">
        <f>(0.0536+0.0514)/2</f>
        <v>5.2500000000000005E-2</v>
      </c>
      <c r="H86" s="104">
        <f>0.2387-F86</f>
        <v>0.18464999999999998</v>
      </c>
      <c r="I86" s="105">
        <f>0.2129-F86</f>
        <v>0.15884999999999999</v>
      </c>
      <c r="J86" s="105">
        <f>0.1583-G86</f>
        <v>0.10579999999999999</v>
      </c>
      <c r="K86" s="105">
        <f>0.1346-G86</f>
        <v>8.2099999999999992E-2</v>
      </c>
      <c r="L86" s="82">
        <f t="shared" si="12"/>
        <v>1.9552836304700161E-2</v>
      </c>
      <c r="M86" s="82">
        <f t="shared" si="13"/>
        <v>1.76952188006483E-2</v>
      </c>
      <c r="N86" s="82">
        <f t="shared" si="14"/>
        <v>1.8624027552674231E-2</v>
      </c>
      <c r="O86" s="82">
        <f>'Growth curves UTEX #1926'!F46</f>
        <v>1.7</v>
      </c>
      <c r="P86" s="82">
        <f t="shared" si="15"/>
        <v>2.1413199999999999</v>
      </c>
      <c r="Q86" s="83">
        <f t="shared" ref="Q86:Q91" si="28">P86*0.1/1000</f>
        <v>2.1413199999999999E-4</v>
      </c>
      <c r="R86" s="84">
        <f t="shared" si="16"/>
        <v>43.487259150136907</v>
      </c>
      <c r="S86" s="85"/>
      <c r="V86" s="86">
        <f t="shared" si="17"/>
        <v>93.120137763371162</v>
      </c>
      <c r="W86" s="102"/>
      <c r="X86" s="86"/>
      <c r="Y86" s="86"/>
      <c r="Z86" s="86">
        <f t="shared" si="22"/>
        <v>0.28046843188412812</v>
      </c>
      <c r="AA86" s="102"/>
      <c r="AB86" s="110"/>
    </row>
    <row r="87" spans="2:28" x14ac:dyDescent="0.2">
      <c r="B87" s="58"/>
      <c r="E87" s="80" t="s">
        <v>108</v>
      </c>
      <c r="F87" s="58"/>
      <c r="G87" s="79"/>
      <c r="H87" s="81">
        <f>0.2278-F86</f>
        <v>0.17375000000000002</v>
      </c>
      <c r="I87" s="82">
        <f>0.2195-F86</f>
        <v>0.16544999999999999</v>
      </c>
      <c r="J87" s="82">
        <f>0.1519-G86</f>
        <v>9.9400000000000002E-2</v>
      </c>
      <c r="K87" s="82">
        <f>0.139-G86</f>
        <v>8.6500000000000007E-2</v>
      </c>
      <c r="L87" s="82">
        <f t="shared" si="12"/>
        <v>1.8413776337115075E-2</v>
      </c>
      <c r="M87" s="82">
        <f t="shared" si="13"/>
        <v>1.8333468395461908E-2</v>
      </c>
      <c r="N87" s="82">
        <f t="shared" si="14"/>
        <v>1.8373622366288492E-2</v>
      </c>
      <c r="O87" s="82">
        <f>'Growth curves UTEX #1926'!G46</f>
        <v>1.88</v>
      </c>
      <c r="P87" s="82">
        <f t="shared" si="15"/>
        <v>2.3680479999999999</v>
      </c>
      <c r="Q87" s="83">
        <f t="shared" si="28"/>
        <v>2.3680480000000002E-4</v>
      </c>
      <c r="R87" s="84">
        <f t="shared" si="16"/>
        <v>38.794868951745258</v>
      </c>
      <c r="S87" s="85"/>
      <c r="V87" s="86">
        <f t="shared" si="17"/>
        <v>91.868111831442448</v>
      </c>
      <c r="W87" s="102"/>
      <c r="X87" s="86"/>
      <c r="Y87" s="86"/>
      <c r="Z87" s="86">
        <f>(V87-$V$54)/(D86-$D$53)</f>
        <v>0.26835869097351583</v>
      </c>
      <c r="AA87" s="102"/>
      <c r="AB87" s="110"/>
    </row>
    <row r="88" spans="2:28" x14ac:dyDescent="0.2">
      <c r="B88" s="58"/>
      <c r="E88" s="90" t="s">
        <v>109</v>
      </c>
      <c r="F88" s="58"/>
      <c r="G88" s="79"/>
      <c r="H88" s="81">
        <f>0.2326-F86</f>
        <v>0.17854999999999999</v>
      </c>
      <c r="I88" s="82">
        <f>0.2479-F86</f>
        <v>0.19385000000000002</v>
      </c>
      <c r="J88" s="82">
        <f>0.1472-G86</f>
        <v>9.4699999999999993E-2</v>
      </c>
      <c r="K88" s="82">
        <f>0.1571-G86</f>
        <v>0.10459999999999998</v>
      </c>
      <c r="L88" s="82">
        <f t="shared" si="12"/>
        <v>1.9652593192868717E-2</v>
      </c>
      <c r="M88" s="82">
        <f t="shared" si="13"/>
        <v>2.1161588330632097E-2</v>
      </c>
      <c r="N88" s="92">
        <f t="shared" si="14"/>
        <v>2.0407090761750409E-2</v>
      </c>
      <c r="O88" s="92">
        <f>'Growth curves UTEX #1926'!H46</f>
        <v>1.752</v>
      </c>
      <c r="P88" s="92">
        <f t="shared" si="15"/>
        <v>2.2068192</v>
      </c>
      <c r="Q88" s="93">
        <f t="shared" si="28"/>
        <v>2.2068192000000001E-4</v>
      </c>
      <c r="R88" s="94">
        <f t="shared" si="16"/>
        <v>46.236435594158344</v>
      </c>
      <c r="S88" s="95">
        <f>AVERAGE(R86:R88)</f>
        <v>42.839521232013503</v>
      </c>
      <c r="T88" s="96">
        <f>STDEV(R86:R88)</f>
        <v>3.7628316240963966</v>
      </c>
      <c r="U88" s="96">
        <f>T88/SQRT(3)</f>
        <v>2.1724718510872916</v>
      </c>
      <c r="V88" s="96">
        <f t="shared" si="17"/>
        <v>102.03545380875204</v>
      </c>
      <c r="W88" s="95">
        <f t="shared" si="19"/>
        <v>95.674567801188559</v>
      </c>
      <c r="X88" s="96">
        <f t="shared" si="20"/>
        <v>5.5441451400976351</v>
      </c>
      <c r="Y88" s="96">
        <f t="shared" si="21"/>
        <v>3.2009136890617254</v>
      </c>
      <c r="Z88" s="96">
        <f>(V88-$V$55)/(D86-$D$53)</f>
        <v>0.31006096545047179</v>
      </c>
      <c r="AA88" s="95">
        <f t="shared" si="23"/>
        <v>0.2862960294360386</v>
      </c>
      <c r="AB88" s="103">
        <f t="shared" si="24"/>
        <v>1.2386021611183549E-2</v>
      </c>
    </row>
    <row r="89" spans="2:28" x14ac:dyDescent="0.2">
      <c r="B89" s="99" t="s">
        <v>36</v>
      </c>
      <c r="C89" s="100">
        <v>0.46180555555555558</v>
      </c>
      <c r="D89" s="155">
        <f>11+14/60+12+D86</f>
        <v>336.95000000000005</v>
      </c>
      <c r="E89" s="80" t="s">
        <v>107</v>
      </c>
      <c r="F89" s="104">
        <f>(0.0459+0.0491)/2</f>
        <v>4.7500000000000001E-2</v>
      </c>
      <c r="G89" s="139">
        <f>(0.0437+0.047)/2</f>
        <v>4.5350000000000001E-2</v>
      </c>
      <c r="H89" s="104">
        <f>0.2911-F89</f>
        <v>0.24360000000000004</v>
      </c>
      <c r="I89" s="105">
        <f>0.2886-F89</f>
        <v>0.24110000000000004</v>
      </c>
      <c r="J89" s="105">
        <f>0.1768-G89</f>
        <v>0.13145000000000001</v>
      </c>
      <c r="K89" s="105">
        <f>0.1731-G89</f>
        <v>0.12775</v>
      </c>
      <c r="L89" s="82">
        <f t="shared" si="12"/>
        <v>2.6592017828200979E-2</v>
      </c>
      <c r="M89" s="82">
        <f t="shared" si="13"/>
        <v>2.6549635332252838E-2</v>
      </c>
      <c r="N89" s="82">
        <f t="shared" si="14"/>
        <v>2.6570826580226907E-2</v>
      </c>
      <c r="O89" s="82">
        <f>'Growth curves UTEX #1926'!F47</f>
        <v>1.8180000000000001</v>
      </c>
      <c r="P89" s="82">
        <f t="shared" si="15"/>
        <v>2.2899528</v>
      </c>
      <c r="Q89" s="83">
        <f t="shared" si="28"/>
        <v>2.2899528000000003E-4</v>
      </c>
      <c r="R89" s="84">
        <f t="shared" si="16"/>
        <v>58.016100987380405</v>
      </c>
      <c r="S89" s="85"/>
      <c r="V89" s="86">
        <f t="shared" si="17"/>
        <v>132.85413290113453</v>
      </c>
      <c r="W89" s="102"/>
      <c r="X89" s="86"/>
      <c r="Y89" s="86"/>
      <c r="Z89" s="86">
        <f t="shared" si="22"/>
        <v>0.37905213442255259</v>
      </c>
      <c r="AA89" s="102"/>
      <c r="AB89" s="110"/>
    </row>
    <row r="90" spans="2:28" x14ac:dyDescent="0.2">
      <c r="B90" s="58"/>
      <c r="E90" s="80" t="s">
        <v>108</v>
      </c>
      <c r="F90" s="81"/>
      <c r="G90" s="137"/>
      <c r="H90" s="81">
        <f>0.2626-F89</f>
        <v>0.21510000000000001</v>
      </c>
      <c r="I90" s="82">
        <f>0.2489-F89</f>
        <v>0.20140000000000002</v>
      </c>
      <c r="J90" s="82">
        <f>0.1673-G89</f>
        <v>0.12195</v>
      </c>
      <c r="K90" s="82">
        <f>0.1523-G89</f>
        <v>0.10694999999999999</v>
      </c>
      <c r="L90" s="82">
        <f t="shared" si="12"/>
        <v>2.2904416531604539E-2</v>
      </c>
      <c r="M90" s="82">
        <f t="shared" si="13"/>
        <v>2.2154821717990283E-2</v>
      </c>
      <c r="N90" s="82">
        <f t="shared" si="14"/>
        <v>2.2529619124797409E-2</v>
      </c>
      <c r="O90" s="82">
        <f>'Growth curves UTEX #1926'!G47</f>
        <v>1.9059999999999999</v>
      </c>
      <c r="P90" s="82">
        <f t="shared" si="15"/>
        <v>2.4007976000000002</v>
      </c>
      <c r="Q90" s="83">
        <f t="shared" si="28"/>
        <v>2.4007976000000003E-4</v>
      </c>
      <c r="R90" s="84">
        <f t="shared" si="16"/>
        <v>46.921113060087627</v>
      </c>
      <c r="S90" s="85"/>
      <c r="V90" s="86">
        <f t="shared" si="17"/>
        <v>112.64809562398705</v>
      </c>
      <c r="W90" s="102"/>
      <c r="X90" s="86"/>
      <c r="Y90" s="86"/>
      <c r="Z90" s="86">
        <f>(V90-$V$54)/(D89-$D$53)</f>
        <v>0.31152567976194112</v>
      </c>
      <c r="AA90" s="102"/>
      <c r="AB90" s="110"/>
    </row>
    <row r="91" spans="2:28" x14ac:dyDescent="0.2">
      <c r="B91" s="58"/>
      <c r="E91" s="90" t="s">
        <v>109</v>
      </c>
      <c r="F91" s="81"/>
      <c r="G91" s="137"/>
      <c r="H91" s="81">
        <f>0.2475-F89</f>
        <v>0.2</v>
      </c>
      <c r="I91" s="82">
        <f>0.2551-F89</f>
        <v>0.20760000000000001</v>
      </c>
      <c r="J91" s="82">
        <f>0.1504-G89</f>
        <v>0.10505</v>
      </c>
      <c r="K91" s="82">
        <f>0.1574-G89</f>
        <v>0.11205000000000001</v>
      </c>
      <c r="L91" s="82">
        <f t="shared" si="12"/>
        <v>2.2114222042139385E-2</v>
      </c>
      <c r="M91" s="82">
        <f t="shared" si="13"/>
        <v>2.2659602917341978E-2</v>
      </c>
      <c r="N91" s="92">
        <f t="shared" si="14"/>
        <v>2.238691247974068E-2</v>
      </c>
      <c r="O91" s="92">
        <f>'Growth curves UTEX #1926'!H47</f>
        <v>1.88</v>
      </c>
      <c r="P91" s="92">
        <f t="shared" si="15"/>
        <v>2.3680479999999999</v>
      </c>
      <c r="Q91" s="93">
        <f t="shared" si="28"/>
        <v>2.3680480000000002E-4</v>
      </c>
      <c r="R91" s="94">
        <f t="shared" si="16"/>
        <v>47.268705025701927</v>
      </c>
      <c r="S91" s="95">
        <f>AVERAGE(R89:R91)</f>
        <v>50.735306357723317</v>
      </c>
      <c r="T91" s="96">
        <f>STDEV(R89:R91)</f>
        <v>6.3077478447598674</v>
      </c>
      <c r="U91" s="96">
        <f>T91/SQRT(3)</f>
        <v>3.6417799161523914</v>
      </c>
      <c r="V91" s="96">
        <f t="shared" si="17"/>
        <v>111.93456239870339</v>
      </c>
      <c r="W91" s="95">
        <f t="shared" si="19"/>
        <v>119.14559697460832</v>
      </c>
      <c r="X91" s="96">
        <f t="shared" si="20"/>
        <v>11.877299792147236</v>
      </c>
      <c r="Y91" s="96">
        <f t="shared" si="21"/>
        <v>6.8573622322420933</v>
      </c>
      <c r="Z91" s="96">
        <f>(V91-$V$55)/(D89-$D$53)</f>
        <v>0.31806024969438151</v>
      </c>
      <c r="AA91" s="95">
        <f t="shared" si="23"/>
        <v>0.33621268795962506</v>
      </c>
      <c r="AB91" s="103">
        <f t="shared" si="24"/>
        <v>2.1502626048834229E-2</v>
      </c>
    </row>
    <row r="92" spans="2:28" x14ac:dyDescent="0.2">
      <c r="B92" s="99" t="s">
        <v>37</v>
      </c>
      <c r="C92" s="100">
        <v>0.41250000000000003</v>
      </c>
      <c r="D92" s="154">
        <f>10+49/60+12+D89</f>
        <v>359.76666666666671</v>
      </c>
      <c r="E92" s="80" t="s">
        <v>107</v>
      </c>
      <c r="F92" s="104">
        <f>(0.0422+0.0455)/2</f>
        <v>4.385E-2</v>
      </c>
      <c r="G92" s="139">
        <f>(0.0423+0.0455)/2</f>
        <v>4.3899999999999995E-2</v>
      </c>
      <c r="H92" s="104">
        <f>0.1484-F92</f>
        <v>0.10455</v>
      </c>
      <c r="I92" s="105">
        <f>0.1523-F92</f>
        <v>0.10844999999999999</v>
      </c>
      <c r="J92" s="105">
        <f>0.095-G92</f>
        <v>5.1100000000000007E-2</v>
      </c>
      <c r="K92" s="105">
        <f>0.0981-G92</f>
        <v>5.4200000000000012E-2</v>
      </c>
      <c r="L92" s="82">
        <f t="shared" si="12"/>
        <v>1.1934278768233388E-2</v>
      </c>
      <c r="M92" s="82">
        <f t="shared" si="13"/>
        <v>1.2262398703403562E-2</v>
      </c>
      <c r="N92" s="82">
        <f t="shared" si="14"/>
        <v>1.2098338735818476E-2</v>
      </c>
      <c r="O92" s="82">
        <f>'Growth curves UTEX #1926'!F48</f>
        <v>1.8640000000000001</v>
      </c>
      <c r="P92" s="82">
        <f t="shared" si="15"/>
        <v>2.3478944000000004</v>
      </c>
      <c r="Q92" s="83">
        <f t="shared" ref="Q92:Q100" si="29">P92*0.05/1000</f>
        <v>1.1739472000000002E-4</v>
      </c>
      <c r="R92" s="84">
        <f t="shared" si="16"/>
        <v>51.528461994791904</v>
      </c>
      <c r="S92" s="85"/>
      <c r="V92" s="86">
        <f t="shared" si="17"/>
        <v>120.98338735818476</v>
      </c>
      <c r="W92" s="102"/>
      <c r="X92" s="86"/>
      <c r="Y92" s="86"/>
      <c r="Z92" s="86">
        <f t="shared" si="22"/>
        <v>0.32201668993994992</v>
      </c>
      <c r="AA92" s="102"/>
      <c r="AB92" s="110"/>
    </row>
    <row r="93" spans="2:28" x14ac:dyDescent="0.2">
      <c r="B93" s="58"/>
      <c r="E93" s="80" t="s">
        <v>108</v>
      </c>
      <c r="F93" s="81"/>
      <c r="G93" s="137"/>
      <c r="H93" s="81">
        <f>0.2207-F92</f>
        <v>0.17685000000000001</v>
      </c>
      <c r="I93" s="82">
        <f>0.1798-F92</f>
        <v>0.13594999999999999</v>
      </c>
      <c r="J93" s="82">
        <f>0.169-G92</f>
        <v>0.12510000000000002</v>
      </c>
      <c r="K93" s="82">
        <f>0.1312-G92</f>
        <v>8.7300000000000016E-2</v>
      </c>
      <c r="L93" s="82">
        <f t="shared" si="12"/>
        <v>1.6396191247974069E-2</v>
      </c>
      <c r="M93" s="82">
        <f t="shared" si="13"/>
        <v>1.3473824959481358E-2</v>
      </c>
      <c r="N93" s="82">
        <f t="shared" si="14"/>
        <v>1.4935008103727714E-2</v>
      </c>
      <c r="O93" s="82">
        <f>'Growth curves UTEX #1926'!G48</f>
        <v>2.0019999999999998</v>
      </c>
      <c r="P93" s="82">
        <f t="shared" si="15"/>
        <v>2.5217191999999997</v>
      </c>
      <c r="Q93" s="83">
        <f t="shared" si="29"/>
        <v>1.2608596E-4</v>
      </c>
      <c r="R93" s="84">
        <f t="shared" si="16"/>
        <v>59.225500221149581</v>
      </c>
      <c r="S93" s="85"/>
      <c r="V93" s="86">
        <f t="shared" si="17"/>
        <v>149.35008103727714</v>
      </c>
      <c r="W93" s="102"/>
      <c r="X93" s="86"/>
      <c r="Y93" s="86"/>
      <c r="Z93" s="86">
        <f>(V93-$V$54)/(D92-$D$53)</f>
        <v>0.39378457298918601</v>
      </c>
      <c r="AA93" s="102"/>
      <c r="AB93" s="110"/>
    </row>
    <row r="94" spans="2:28" x14ac:dyDescent="0.2">
      <c r="B94" s="58"/>
      <c r="E94" s="90" t="s">
        <v>109</v>
      </c>
      <c r="F94" s="81"/>
      <c r="G94" s="137"/>
      <c r="H94" s="81">
        <f>0.1679-F92</f>
        <v>0.12404999999999999</v>
      </c>
      <c r="I94" s="82">
        <f>0.1671-F92</f>
        <v>0.12325</v>
      </c>
      <c r="J94" s="82">
        <f>0.1124-G92</f>
        <v>6.8500000000000005E-2</v>
      </c>
      <c r="K94" s="82">
        <f>0.11-G92</f>
        <v>6.6100000000000006E-2</v>
      </c>
      <c r="L94" s="82">
        <f t="shared" si="12"/>
        <v>1.3388573743922204E-2</v>
      </c>
      <c r="M94" s="82">
        <f t="shared" si="13"/>
        <v>1.3494246353322527E-2</v>
      </c>
      <c r="N94" s="92">
        <f t="shared" si="14"/>
        <v>1.3441410048622366E-2</v>
      </c>
      <c r="O94" s="92">
        <f>'Growth curves UTEX #1926'!H48</f>
        <v>1.8979999999999999</v>
      </c>
      <c r="P94" s="92">
        <f t="shared" si="15"/>
        <v>2.3907208</v>
      </c>
      <c r="Q94" s="93">
        <f t="shared" si="29"/>
        <v>1.1953604E-4</v>
      </c>
      <c r="R94" s="94">
        <f t="shared" si="16"/>
        <v>56.223253039929901</v>
      </c>
      <c r="S94" s="95">
        <f>AVERAGE(R92:R94)</f>
        <v>55.659071751957129</v>
      </c>
      <c r="T94" s="96">
        <f>STDEV(R92:R94)</f>
        <v>3.8794103622556864</v>
      </c>
      <c r="U94" s="96">
        <f>T94/SQRT(3)</f>
        <v>2.2397786169453444</v>
      </c>
      <c r="V94" s="96">
        <f t="shared" si="17"/>
        <v>134.41410048622365</v>
      </c>
      <c r="W94" s="95">
        <f t="shared" si="19"/>
        <v>134.91585629389519</v>
      </c>
      <c r="X94" s="96">
        <f t="shared" si="20"/>
        <v>14.190001646890812</v>
      </c>
      <c r="Y94" s="96">
        <f t="shared" si="21"/>
        <v>8.1926012706336433</v>
      </c>
      <c r="Z94" s="96">
        <f>(V94-$V$55)/(D92-$D$53)</f>
        <v>0.36037229469667964</v>
      </c>
      <c r="AA94" s="95">
        <f t="shared" si="23"/>
        <v>0.35872451920860521</v>
      </c>
      <c r="AB94" s="103">
        <f t="shared" si="24"/>
        <v>2.0733978814066953E-2</v>
      </c>
    </row>
    <row r="95" spans="2:28" x14ac:dyDescent="0.2">
      <c r="B95" s="99" t="s">
        <v>38</v>
      </c>
      <c r="C95" s="100">
        <v>0.47361111111111115</v>
      </c>
      <c r="D95" s="155">
        <f>1+28/60+24+D92</f>
        <v>385.23333333333335</v>
      </c>
      <c r="E95" s="80" t="s">
        <v>107</v>
      </c>
      <c r="F95" s="104">
        <f>(0.0451+0.0398+0.0434)/3</f>
        <v>4.2766666666666668E-2</v>
      </c>
      <c r="G95" s="139">
        <f>(0.0445+0.0392+0.0428)/3</f>
        <v>4.2166666666666665E-2</v>
      </c>
      <c r="H95" s="105">
        <f>0.1854-F95</f>
        <v>0.14263333333333333</v>
      </c>
      <c r="I95" s="105">
        <f>0.217-F95</f>
        <v>0.17423333333333332</v>
      </c>
      <c r="J95" s="105">
        <f>0.1249-G95</f>
        <v>8.2733333333333325E-2</v>
      </c>
      <c r="K95" s="105">
        <f>0.1545-G95</f>
        <v>0.11233333333333334</v>
      </c>
      <c r="L95" s="82">
        <f t="shared" si="12"/>
        <v>1.5004808211777418E-2</v>
      </c>
      <c r="M95" s="82">
        <f t="shared" si="13"/>
        <v>1.7223933009184223E-2</v>
      </c>
      <c r="N95" s="82">
        <f t="shared" si="14"/>
        <v>1.6114370610480822E-2</v>
      </c>
      <c r="O95" s="82">
        <f>'Growth curves UTEX #1926'!F49</f>
        <v>1.952</v>
      </c>
      <c r="P95" s="82">
        <f t="shared" si="15"/>
        <v>2.4587392000000001</v>
      </c>
      <c r="Q95" s="83">
        <f t="shared" si="29"/>
        <v>1.2293696000000002E-4</v>
      </c>
      <c r="R95" s="84">
        <f t="shared" si="16"/>
        <v>65.539161739808833</v>
      </c>
      <c r="S95" s="85"/>
      <c r="V95" s="86">
        <f t="shared" si="17"/>
        <v>161.14370610480819</v>
      </c>
      <c r="W95" s="102"/>
      <c r="X95" s="86"/>
      <c r="Y95" s="86"/>
      <c r="Z95" s="86">
        <f t="shared" si="22"/>
        <v>0.40497842839150144</v>
      </c>
      <c r="AA95" s="102"/>
      <c r="AB95" s="110"/>
    </row>
    <row r="96" spans="2:28" x14ac:dyDescent="0.2">
      <c r="B96" s="58"/>
      <c r="E96" s="80" t="s">
        <v>108</v>
      </c>
      <c r="F96" s="81"/>
      <c r="G96" s="137"/>
      <c r="H96" s="82">
        <f>0.1657-F95</f>
        <v>0.12293333333333331</v>
      </c>
      <c r="I96" s="82">
        <f>0.1443-F95</f>
        <v>0.10153333333333334</v>
      </c>
      <c r="J96" s="82">
        <f>0.117-G95</f>
        <v>7.4833333333333335E-2</v>
      </c>
      <c r="K96" s="82">
        <f>0.0952-G95</f>
        <v>5.3033333333333342E-2</v>
      </c>
      <c r="L96" s="82">
        <f t="shared" si="12"/>
        <v>1.2586574824419229E-2</v>
      </c>
      <c r="M96" s="82">
        <f t="shared" si="13"/>
        <v>1.1255780659103189E-2</v>
      </c>
      <c r="N96" s="82">
        <f t="shared" si="14"/>
        <v>1.192117774176121E-2</v>
      </c>
      <c r="O96" s="82">
        <f>'Growth curves UTEX #1926'!G49</f>
        <v>2</v>
      </c>
      <c r="P96" s="82">
        <f t="shared" si="15"/>
        <v>2.5192000000000001</v>
      </c>
      <c r="Q96" s="83">
        <f t="shared" si="29"/>
        <v>1.2596000000000002E-4</v>
      </c>
      <c r="R96" s="84">
        <f t="shared" si="16"/>
        <v>47.32128350969041</v>
      </c>
      <c r="S96" s="85"/>
      <c r="V96" s="86">
        <f t="shared" si="17"/>
        <v>119.21177741761208</v>
      </c>
      <c r="W96" s="102"/>
      <c r="X96" s="86"/>
      <c r="Y96" s="86"/>
      <c r="Z96" s="86">
        <f>(V96-$V$54)/(D95-$D$53)</f>
        <v>0.28951871486392083</v>
      </c>
      <c r="AA96" s="102"/>
      <c r="AB96" s="110"/>
    </row>
    <row r="97" spans="2:34" x14ac:dyDescent="0.2">
      <c r="B97" s="58"/>
      <c r="E97" s="90" t="s">
        <v>109</v>
      </c>
      <c r="F97" s="81"/>
      <c r="G97" s="137"/>
      <c r="H97" s="82">
        <f>0.1724-F95</f>
        <v>0.12963333333333332</v>
      </c>
      <c r="I97" s="82">
        <f>0.1756-F95</f>
        <v>0.13283333333333333</v>
      </c>
      <c r="J97" s="82">
        <f>0.1233-G95</f>
        <v>8.1133333333333335E-2</v>
      </c>
      <c r="K97" s="82">
        <f>0.1254-G95</f>
        <v>8.3233333333333354E-2</v>
      </c>
      <c r="L97" s="82">
        <f t="shared" si="12"/>
        <v>1.3054727174500269E-2</v>
      </c>
      <c r="M97" s="82">
        <f t="shared" si="13"/>
        <v>1.3367450027012425E-2</v>
      </c>
      <c r="N97" s="92">
        <f t="shared" si="14"/>
        <v>1.3211088600756347E-2</v>
      </c>
      <c r="O97" s="92">
        <f>'Growth curves UTEX #1926'!H49</f>
        <v>1.958</v>
      </c>
      <c r="P97" s="92">
        <f t="shared" si="15"/>
        <v>2.4662967999999998</v>
      </c>
      <c r="Q97" s="93">
        <f t="shared" si="29"/>
        <v>1.2331484E-4</v>
      </c>
      <c r="R97" s="94">
        <f t="shared" si="16"/>
        <v>53.566499379784084</v>
      </c>
      <c r="S97" s="95">
        <f>AVERAGE(R95:R97)</f>
        <v>55.475648209761111</v>
      </c>
      <c r="T97" s="96">
        <f>STDEV(R95:R97)</f>
        <v>9.2577755828875059</v>
      </c>
      <c r="U97" s="96">
        <f>T97/SQRT(3)</f>
        <v>5.3449792248772461</v>
      </c>
      <c r="V97" s="96">
        <f t="shared" si="17"/>
        <v>132.11088600756347</v>
      </c>
      <c r="W97" s="95">
        <f t="shared" si="19"/>
        <v>137.48878984332791</v>
      </c>
      <c r="X97" s="96">
        <f t="shared" si="20"/>
        <v>21.477035365875572</v>
      </c>
      <c r="Y97" s="96">
        <f t="shared" si="21"/>
        <v>12.399772149883376</v>
      </c>
      <c r="Z97" s="96">
        <f>(V97-$V$55)/(D95-$D$53)</f>
        <v>0.33057036794163347</v>
      </c>
      <c r="AA97" s="95">
        <f t="shared" si="23"/>
        <v>0.34168917039901858</v>
      </c>
      <c r="AB97" s="103">
        <f t="shared" si="24"/>
        <v>3.3790813288192556E-2</v>
      </c>
    </row>
    <row r="98" spans="2:34" x14ac:dyDescent="0.2">
      <c r="B98" s="99" t="s">
        <v>39</v>
      </c>
      <c r="C98" s="100">
        <v>0.4548611111111111</v>
      </c>
      <c r="D98" s="147">
        <f>11+33/60+12+D95</f>
        <v>408.78333333333336</v>
      </c>
      <c r="E98" s="80" t="s">
        <v>107</v>
      </c>
      <c r="F98" s="104">
        <v>4.4200000000000003E-2</v>
      </c>
      <c r="G98" s="139">
        <v>4.2500000000000003E-2</v>
      </c>
      <c r="H98" s="105">
        <f>0.1751-F98</f>
        <v>0.13090000000000002</v>
      </c>
      <c r="I98" s="105">
        <f>0.1812-F98</f>
        <v>0.13700000000000001</v>
      </c>
      <c r="J98" s="105">
        <f>0.1124-G98</f>
        <v>6.989999999999999E-2</v>
      </c>
      <c r="K98" s="105">
        <f>0.1171-G98</f>
        <v>7.46E-2</v>
      </c>
      <c r="L98" s="82">
        <f t="shared" si="12"/>
        <v>1.4361507293354947E-2</v>
      </c>
      <c r="M98" s="82">
        <f t="shared" si="13"/>
        <v>1.4889303079416532E-2</v>
      </c>
      <c r="N98" s="82">
        <f t="shared" si="14"/>
        <v>1.4625405186385739E-2</v>
      </c>
      <c r="O98" s="82">
        <f>'Growth curves UTEX #1926'!F50</f>
        <v>1.98</v>
      </c>
      <c r="P98" s="82">
        <f t="shared" si="15"/>
        <v>2.494008</v>
      </c>
      <c r="Q98" s="83">
        <f t="shared" si="29"/>
        <v>1.247004E-4</v>
      </c>
      <c r="R98" s="84">
        <f t="shared" si="16"/>
        <v>58.642174308926592</v>
      </c>
      <c r="S98" s="85"/>
      <c r="V98" s="86">
        <f t="shared" si="17"/>
        <v>146.2540518638574</v>
      </c>
      <c r="W98" s="102"/>
      <c r="X98" s="86"/>
      <c r="Y98" s="86"/>
      <c r="Z98" s="86">
        <f t="shared" si="22"/>
        <v>0.34522331061214651</v>
      </c>
      <c r="AA98" s="102"/>
      <c r="AB98" s="110"/>
    </row>
    <row r="99" spans="2:34" x14ac:dyDescent="0.2">
      <c r="B99" s="58"/>
      <c r="E99" s="80" t="s">
        <v>108</v>
      </c>
      <c r="F99" s="81"/>
      <c r="G99" s="137"/>
      <c r="H99" s="82">
        <f>0.1523-F98</f>
        <v>0.10809999999999999</v>
      </c>
      <c r="I99" s="82">
        <f>0.1414-F98</f>
        <v>9.7199999999999995E-2</v>
      </c>
      <c r="J99" s="82">
        <f>0.1004-G98</f>
        <v>5.79E-2</v>
      </c>
      <c r="K99" s="82">
        <f>0.0907-G98</f>
        <v>4.82E-2</v>
      </c>
      <c r="L99" s="82">
        <f t="shared" si="12"/>
        <v>1.1842868719611018E-2</v>
      </c>
      <c r="M99" s="82">
        <f t="shared" si="13"/>
        <v>1.1027390599675849E-2</v>
      </c>
      <c r="N99" s="82">
        <f t="shared" si="14"/>
        <v>1.1435129659643432E-2</v>
      </c>
      <c r="O99" s="82">
        <f>'Growth curves UTEX #1926'!G50</f>
        <v>1.91</v>
      </c>
      <c r="P99" s="82">
        <f t="shared" si="15"/>
        <v>2.4058359999999999</v>
      </c>
      <c r="Q99" s="83">
        <f t="shared" si="29"/>
        <v>1.2029180000000001E-4</v>
      </c>
      <c r="R99" s="84">
        <f t="shared" si="16"/>
        <v>47.530794533141211</v>
      </c>
      <c r="S99" s="85"/>
      <c r="V99" s="86">
        <f t="shared" si="17"/>
        <v>114.35129659643431</v>
      </c>
      <c r="W99" s="102"/>
      <c r="X99" s="86"/>
      <c r="Y99" s="86"/>
      <c r="Z99" s="86">
        <f>(V99-$V$54)/(D98-$D$53)</f>
        <v>0.26094943230293144</v>
      </c>
      <c r="AA99" s="102"/>
      <c r="AB99" s="110"/>
    </row>
    <row r="100" spans="2:34" ht="14" thickBot="1" x14ac:dyDescent="0.25">
      <c r="B100" s="58"/>
      <c r="E100" s="90" t="s">
        <v>109</v>
      </c>
      <c r="F100" s="81"/>
      <c r="G100" s="137"/>
      <c r="H100" s="82">
        <f>0.1598-F98</f>
        <v>0.11559999999999999</v>
      </c>
      <c r="I100" s="82">
        <f>0.1971-F98</f>
        <v>0.15289999999999998</v>
      </c>
      <c r="J100" s="82">
        <f>0.1104-G98</f>
        <v>6.7899999999999988E-2</v>
      </c>
      <c r="K100" s="82">
        <f>0.1464-G98</f>
        <v>0.10389999999999999</v>
      </c>
      <c r="L100" s="82">
        <f t="shared" si="12"/>
        <v>1.2077876823338737E-2</v>
      </c>
      <c r="M100" s="82">
        <f t="shared" si="13"/>
        <v>1.4593273905996755E-2</v>
      </c>
      <c r="N100" s="92">
        <f t="shared" si="14"/>
        <v>1.3335575364667746E-2</v>
      </c>
      <c r="O100" s="92">
        <f>'Growth curves UTEX #1926'!H50</f>
        <v>2.0619999999999998</v>
      </c>
      <c r="P100" s="92">
        <f t="shared" si="15"/>
        <v>2.5972952</v>
      </c>
      <c r="Q100" s="93">
        <f t="shared" si="29"/>
        <v>1.2986475999999999E-4</v>
      </c>
      <c r="R100" s="94">
        <f t="shared" si="16"/>
        <v>51.344088129326799</v>
      </c>
      <c r="S100" s="95">
        <f>AVERAGE(R98:R100)</f>
        <v>52.505685657131529</v>
      </c>
      <c r="T100" s="96">
        <f>STDEV(R98:R100)</f>
        <v>5.6460315038870128</v>
      </c>
      <c r="U100" s="96">
        <f>T100/SQRT(3)</f>
        <v>3.2597378086222748</v>
      </c>
      <c r="V100" s="96">
        <f t="shared" si="17"/>
        <v>133.35575364667747</v>
      </c>
      <c r="W100" s="95">
        <f t="shared" si="19"/>
        <v>131.32036736898974</v>
      </c>
      <c r="X100" s="96">
        <f t="shared" si="20"/>
        <v>16.048474892893175</v>
      </c>
      <c r="Y100" s="96">
        <f t="shared" si="21"/>
        <v>9.265591299494826</v>
      </c>
      <c r="Z100" s="96">
        <f>(V100-$V$55)/(D98-$D$53)</f>
        <v>0.31457151477758211</v>
      </c>
      <c r="AA100" s="95">
        <f t="shared" si="23"/>
        <v>0.30691475256422002</v>
      </c>
      <c r="AB100" s="103">
        <f t="shared" si="24"/>
        <v>2.4627160798686255E-2</v>
      </c>
    </row>
    <row r="101" spans="2:34" ht="15" thickBot="1" x14ac:dyDescent="0.25">
      <c r="B101" s="239" t="s">
        <v>72</v>
      </c>
      <c r="C101" s="240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0"/>
      <c r="Z101" s="240"/>
      <c r="AA101" s="240"/>
      <c r="AB101" s="241"/>
    </row>
    <row r="102" spans="2:34" ht="45" customHeight="1" x14ac:dyDescent="0.2">
      <c r="B102" s="59" t="s">
        <v>0</v>
      </c>
      <c r="C102" s="60" t="s">
        <v>1</v>
      </c>
      <c r="D102" s="61" t="s">
        <v>2</v>
      </c>
      <c r="E102" s="62"/>
      <c r="F102" s="60" t="s">
        <v>8</v>
      </c>
      <c r="G102" s="60" t="s">
        <v>9</v>
      </c>
      <c r="H102" s="233" t="s">
        <v>90</v>
      </c>
      <c r="I102" s="234"/>
      <c r="J102" s="235" t="s">
        <v>91</v>
      </c>
      <c r="K102" s="236"/>
      <c r="L102" s="237" t="s">
        <v>92</v>
      </c>
      <c r="M102" s="238"/>
      <c r="N102" s="63" t="s">
        <v>93</v>
      </c>
      <c r="O102" s="64" t="s">
        <v>94</v>
      </c>
      <c r="P102" s="63" t="s">
        <v>10</v>
      </c>
      <c r="Q102" s="63" t="s">
        <v>11</v>
      </c>
      <c r="R102" s="63" t="s">
        <v>95</v>
      </c>
      <c r="S102" s="63" t="s">
        <v>96</v>
      </c>
      <c r="T102" s="63" t="s">
        <v>97</v>
      </c>
      <c r="U102" s="65" t="s">
        <v>62</v>
      </c>
      <c r="V102" s="64" t="s">
        <v>98</v>
      </c>
      <c r="W102" s="63" t="s">
        <v>99</v>
      </c>
      <c r="X102" s="63" t="s">
        <v>97</v>
      </c>
      <c r="Y102" s="66" t="s">
        <v>62</v>
      </c>
      <c r="Z102" s="66" t="s">
        <v>100</v>
      </c>
      <c r="AA102" s="63" t="s">
        <v>101</v>
      </c>
      <c r="AB102" s="67" t="s">
        <v>62</v>
      </c>
      <c r="AD102" s="56" t="s">
        <v>2</v>
      </c>
      <c r="AE102" s="77" t="str">
        <f>S102</f>
        <v>Average specific CPC conc.</v>
      </c>
      <c r="AF102" s="56" t="s">
        <v>12</v>
      </c>
      <c r="AG102" s="77" t="str">
        <f>W102</f>
        <v>Average total CPC</v>
      </c>
      <c r="AH102" s="56" t="s">
        <v>12</v>
      </c>
    </row>
    <row r="103" spans="2:34" ht="31" customHeight="1" x14ac:dyDescent="0.2">
      <c r="B103" s="68"/>
      <c r="C103" s="69"/>
      <c r="D103" s="70"/>
      <c r="E103" s="71"/>
      <c r="F103" s="69" t="s">
        <v>13</v>
      </c>
      <c r="G103" s="69" t="s">
        <v>13</v>
      </c>
      <c r="H103" s="72" t="s">
        <v>102</v>
      </c>
      <c r="I103" s="69" t="s">
        <v>103</v>
      </c>
      <c r="J103" s="70" t="s">
        <v>102</v>
      </c>
      <c r="K103" s="73" t="s">
        <v>103</v>
      </c>
      <c r="L103" s="225" t="s">
        <v>14</v>
      </c>
      <c r="M103" s="226"/>
      <c r="N103" s="74" t="s">
        <v>14</v>
      </c>
      <c r="O103" s="74" t="s">
        <v>13</v>
      </c>
      <c r="P103" s="74" t="s">
        <v>15</v>
      </c>
      <c r="Q103" s="74" t="s">
        <v>16</v>
      </c>
      <c r="R103" s="75" t="s">
        <v>104</v>
      </c>
      <c r="S103" s="75" t="s">
        <v>104</v>
      </c>
      <c r="T103" s="74"/>
      <c r="U103" s="70"/>
      <c r="V103" s="75" t="s">
        <v>105</v>
      </c>
      <c r="W103" s="75" t="s">
        <v>105</v>
      </c>
      <c r="X103" s="74"/>
      <c r="Y103" s="74"/>
      <c r="Z103" s="75" t="s">
        <v>106</v>
      </c>
      <c r="AA103" s="75" t="s">
        <v>106</v>
      </c>
      <c r="AB103" s="76"/>
      <c r="AD103" s="87">
        <f>D104</f>
        <v>0</v>
      </c>
      <c r="AE103" s="86">
        <f>S106</f>
        <v>40.348403211355084</v>
      </c>
      <c r="AF103" s="86">
        <f>U106</f>
        <v>2.0963034711364981</v>
      </c>
      <c r="AG103" s="86">
        <f>W106</f>
        <v>5.1123919502971367</v>
      </c>
      <c r="AH103" s="86">
        <f>Y106</f>
        <v>0.25033425078172078</v>
      </c>
    </row>
    <row r="104" spans="2:34" x14ac:dyDescent="0.2">
      <c r="B104" s="58" t="s">
        <v>23</v>
      </c>
      <c r="C104" s="78">
        <v>0.45208333333333334</v>
      </c>
      <c r="D104" s="79">
        <v>0</v>
      </c>
      <c r="E104" s="80" t="s">
        <v>107</v>
      </c>
      <c r="F104" s="82">
        <f>(0.0345+0.0356)/2</f>
        <v>3.5049999999999998E-2</v>
      </c>
      <c r="G104" s="82">
        <f>(0.0344+0.0347)/2</f>
        <v>3.4549999999999997E-2</v>
      </c>
      <c r="H104" s="81">
        <f>0.1376-F104</f>
        <v>0.10255</v>
      </c>
      <c r="I104" s="82">
        <f>0.1415-F104</f>
        <v>0.10644999999999999</v>
      </c>
      <c r="J104" s="82">
        <f>0.1023-G104</f>
        <v>6.7750000000000005E-2</v>
      </c>
      <c r="K104" s="82">
        <f>0.1062-G104</f>
        <v>7.1650000000000005E-2</v>
      </c>
      <c r="L104" s="82">
        <f>(H104-(0.605*J104))/6.17</f>
        <v>9.9775121555915718E-3</v>
      </c>
      <c r="M104" s="82">
        <f>(I104-(0.605*K104))/6.17</f>
        <v>1.0227188006482979E-2</v>
      </c>
      <c r="N104" s="82">
        <f>AVERAGE(L104:M104)</f>
        <v>1.0102350081037275E-2</v>
      </c>
      <c r="O104" s="56">
        <f>'Growth curves UTEX #1926'!F54</f>
        <v>9.7000000000000003E-2</v>
      </c>
      <c r="P104" s="82">
        <f>1.2596*O104</f>
        <v>0.1221812</v>
      </c>
      <c r="Q104" s="83">
        <f>P104*1/1000</f>
        <v>1.221812E-4</v>
      </c>
      <c r="R104" s="84">
        <f>(N104*0.5)/Q104</f>
        <v>41.341671554368737</v>
      </c>
      <c r="S104" s="85"/>
      <c r="V104" s="86">
        <f>R104*P104</f>
        <v>5.051175040518638</v>
      </c>
      <c r="W104" s="85"/>
      <c r="AA104" s="85"/>
      <c r="AB104" s="79"/>
      <c r="AD104" s="87">
        <f>D107</f>
        <v>22.966666666666669</v>
      </c>
      <c r="AE104" s="86">
        <f>S109</f>
        <v>20.21595400074315</v>
      </c>
      <c r="AF104" s="86">
        <f>U109</f>
        <v>0.48113068262907294</v>
      </c>
      <c r="AG104" s="86">
        <f>W109</f>
        <v>5.6803957320367386</v>
      </c>
      <c r="AH104" s="86">
        <f>Y109</f>
        <v>7.8831036151947725E-2</v>
      </c>
    </row>
    <row r="105" spans="2:34" ht="15" customHeight="1" x14ac:dyDescent="0.2">
      <c r="B105" s="58"/>
      <c r="D105" s="79"/>
      <c r="E105" s="80" t="s">
        <v>108</v>
      </c>
      <c r="H105" s="81">
        <f>0.1615-F104</f>
        <v>0.12645000000000001</v>
      </c>
      <c r="I105" s="82">
        <f>0.1369-F104</f>
        <v>0.10185</v>
      </c>
      <c r="J105" s="82">
        <f>0.1223-G104</f>
        <v>8.7750000000000009E-2</v>
      </c>
      <c r="K105" s="82">
        <f>0.0968-G104</f>
        <v>6.225E-2</v>
      </c>
      <c r="L105" s="82">
        <f t="shared" ref="L105:L147" si="30">(H105-(0.605*J105))/6.17</f>
        <v>1.1889991896272286E-2</v>
      </c>
      <c r="M105" s="82">
        <f t="shared" ref="M105:M147" si="31">(I105-(0.605*K105))/6.17</f>
        <v>1.0403363047001618E-2</v>
      </c>
      <c r="N105" s="82">
        <f t="shared" ref="N105:N148" si="32">AVERAGE(L105:M105)</f>
        <v>1.1146677471636952E-2</v>
      </c>
      <c r="O105" s="82">
        <f>'Growth curves UTEX #1926'!G54</f>
        <v>0.10199999999999999</v>
      </c>
      <c r="P105" s="82">
        <f t="shared" ref="P105:P148" si="33">1.2596*O105</f>
        <v>0.12847919999999999</v>
      </c>
      <c r="Q105" s="83">
        <f>P105*1/1000</f>
        <v>1.2847919999999999E-4</v>
      </c>
      <c r="R105" s="84">
        <f t="shared" ref="R105:R148" si="34">(N105*0.5)/Q105</f>
        <v>43.379307590788834</v>
      </c>
      <c r="S105" s="85"/>
      <c r="V105" s="86">
        <f t="shared" ref="V105:V148" si="35">R105*P105</f>
        <v>5.5733387358184761</v>
      </c>
      <c r="W105" s="85"/>
      <c r="AA105" s="85"/>
      <c r="AB105" s="79"/>
      <c r="AD105" s="87">
        <f>D110</f>
        <v>71.5</v>
      </c>
      <c r="AE105" s="86">
        <f>S112</f>
        <v>25.460530800231282</v>
      </c>
      <c r="AF105" s="86">
        <f>U112</f>
        <v>1.1921951270833102</v>
      </c>
      <c r="AG105" s="86">
        <f>W112</f>
        <v>17.799135602377092</v>
      </c>
      <c r="AH105" s="86">
        <f>Y112</f>
        <v>1.1007670664149525</v>
      </c>
    </row>
    <row r="106" spans="2:34" ht="15" customHeight="1" x14ac:dyDescent="0.2">
      <c r="B106" s="88"/>
      <c r="C106" s="97"/>
      <c r="D106" s="89"/>
      <c r="E106" s="90" t="s">
        <v>109</v>
      </c>
      <c r="F106" s="88"/>
      <c r="G106" s="89"/>
      <c r="H106" s="91">
        <f>0.1299-F104</f>
        <v>9.484999999999999E-2</v>
      </c>
      <c r="I106" s="92">
        <f>0.1305-F104</f>
        <v>9.5450000000000007E-2</v>
      </c>
      <c r="J106" s="92">
        <f>0.0952-G104</f>
        <v>6.0650000000000009E-2</v>
      </c>
      <c r="K106" s="92">
        <f>0.0962-G104</f>
        <v>6.1649999999999996E-2</v>
      </c>
      <c r="L106" s="82">
        <f t="shared" si="30"/>
        <v>9.4257293354943258E-3</v>
      </c>
      <c r="M106" s="82">
        <f t="shared" si="31"/>
        <v>9.4249189627228537E-3</v>
      </c>
      <c r="N106" s="92">
        <f t="shared" si="32"/>
        <v>9.4253241491085889E-3</v>
      </c>
      <c r="O106" s="97">
        <f>'Growth curves UTEX #1926'!H54</f>
        <v>0.10299999999999999</v>
      </c>
      <c r="P106" s="92">
        <f t="shared" si="33"/>
        <v>0.12973879999999999</v>
      </c>
      <c r="Q106" s="93">
        <f>P106*1/1000</f>
        <v>1.2973879999999999E-4</v>
      </c>
      <c r="R106" s="94">
        <f t="shared" si="34"/>
        <v>36.324230488907673</v>
      </c>
      <c r="S106" s="95">
        <f>AVERAGE(R104:R106)</f>
        <v>40.348403211355084</v>
      </c>
      <c r="T106" s="96">
        <f>STDEV(R104:R106)</f>
        <v>3.6309041200914116</v>
      </c>
      <c r="U106" s="96">
        <f>T106/SQRT(3)</f>
        <v>2.0963034711364981</v>
      </c>
      <c r="V106" s="96">
        <f t="shared" si="35"/>
        <v>4.7126620745542942</v>
      </c>
      <c r="W106" s="95">
        <f>AVERAGE(V104:V106)</f>
        <v>5.1123919502971367</v>
      </c>
      <c r="X106" s="96">
        <f>STDEV(V104:V106)</f>
        <v>0.43359164122862931</v>
      </c>
      <c r="Y106" s="96">
        <f>X106/SQRT(3)</f>
        <v>0.25033425078172078</v>
      </c>
      <c r="Z106" s="97"/>
      <c r="AA106" s="98"/>
      <c r="AB106" s="89"/>
      <c r="AD106" s="87">
        <f>D113</f>
        <v>95.383333333333326</v>
      </c>
      <c r="AE106" s="86">
        <f>S115</f>
        <v>39.159497858244556</v>
      </c>
      <c r="AF106" s="86">
        <f>U115</f>
        <v>1.8872348492299746</v>
      </c>
      <c r="AG106" s="86">
        <f>W115</f>
        <v>35.785535418692604</v>
      </c>
      <c r="AH106" s="86">
        <f>Y115</f>
        <v>0.90437136570505505</v>
      </c>
    </row>
    <row r="107" spans="2:34" x14ac:dyDescent="0.2">
      <c r="B107" s="58" t="s">
        <v>24</v>
      </c>
      <c r="C107" s="78">
        <v>0.40902777777777777</v>
      </c>
      <c r="D107" s="152">
        <f>10+58/60+12</f>
        <v>22.966666666666669</v>
      </c>
      <c r="E107" s="80" t="s">
        <v>107</v>
      </c>
      <c r="F107" s="82">
        <f>(0.0391+0.0385)/2</f>
        <v>3.8800000000000001E-2</v>
      </c>
      <c r="G107" s="82">
        <f>(0.0387+0.0381)/2</f>
        <v>3.8400000000000004E-2</v>
      </c>
      <c r="H107" s="81">
        <f>0.1453-F107</f>
        <v>0.10650000000000001</v>
      </c>
      <c r="I107" s="82">
        <f>0.1572-F107</f>
        <v>0.11840000000000001</v>
      </c>
      <c r="J107" s="82">
        <f>0.1002-G107</f>
        <v>6.1799999999999994E-2</v>
      </c>
      <c r="K107" s="82">
        <f>0.1102-G107</f>
        <v>7.1800000000000003E-2</v>
      </c>
      <c r="L107" s="82">
        <f t="shared" si="30"/>
        <v>1.1201134521880067E-2</v>
      </c>
      <c r="M107" s="82">
        <f t="shared" si="31"/>
        <v>1.2149270664505673E-2</v>
      </c>
      <c r="N107" s="82">
        <f t="shared" si="32"/>
        <v>1.1675202593192869E-2</v>
      </c>
      <c r="O107" s="82">
        <f>'Growth curves UTEX #1926'!F58</f>
        <v>0.22900000000000001</v>
      </c>
      <c r="P107" s="82">
        <f t="shared" si="33"/>
        <v>0.28844840000000005</v>
      </c>
      <c r="Q107" s="83">
        <f t="shared" ref="Q107:Q109" si="36">P107*1/1000</f>
        <v>2.8844840000000004E-4</v>
      </c>
      <c r="R107" s="84">
        <f t="shared" si="34"/>
        <v>20.237939598889902</v>
      </c>
      <c r="S107" s="102"/>
      <c r="T107" s="86"/>
      <c r="U107" s="86"/>
      <c r="V107" s="86">
        <f t="shared" si="35"/>
        <v>5.8376012965964348</v>
      </c>
      <c r="W107" s="102"/>
      <c r="X107" s="86"/>
      <c r="Y107" s="86"/>
      <c r="Z107" s="86">
        <f>(V107-$V$104)/(D107-$D$104)</f>
        <v>3.4242072107886649E-2</v>
      </c>
      <c r="AA107" s="102"/>
      <c r="AB107" s="79"/>
      <c r="AD107" s="87">
        <f>D116</f>
        <v>120.93333333333332</v>
      </c>
      <c r="AE107" s="86">
        <f>S118</f>
        <v>42.843419168997258</v>
      </c>
      <c r="AF107" s="86">
        <f>U118</f>
        <v>0.6125493508587555</v>
      </c>
      <c r="AG107" s="86">
        <f>W118</f>
        <v>53.290845132360893</v>
      </c>
      <c r="AH107" s="86">
        <f>Y118</f>
        <v>0.77786942269589776</v>
      </c>
    </row>
    <row r="108" spans="2:34" x14ac:dyDescent="0.2">
      <c r="B108" s="58"/>
      <c r="D108" s="79"/>
      <c r="E108" s="80" t="s">
        <v>108</v>
      </c>
      <c r="F108" s="156"/>
      <c r="G108" s="156"/>
      <c r="H108" s="81">
        <f>0.1649-F107</f>
        <v>0.12609999999999999</v>
      </c>
      <c r="I108" s="82">
        <f>0.1383-F107</f>
        <v>9.9500000000000005E-2</v>
      </c>
      <c r="J108" s="82">
        <f>0.1241-G107</f>
        <v>8.5699999999999998E-2</v>
      </c>
      <c r="K108" s="82">
        <f>0.0975-G107</f>
        <v>5.91E-2</v>
      </c>
      <c r="L108" s="82">
        <f t="shared" si="30"/>
        <v>1.2034278768233387E-2</v>
      </c>
      <c r="M108" s="82">
        <f t="shared" si="31"/>
        <v>1.033136142625608E-2</v>
      </c>
      <c r="N108" s="82">
        <f t="shared" si="32"/>
        <v>1.1182820097244733E-2</v>
      </c>
      <c r="O108" s="82">
        <f>'Growth curves UTEX #1926'!G58</f>
        <v>0.21099999999999999</v>
      </c>
      <c r="P108" s="82">
        <f t="shared" si="33"/>
        <v>0.2657756</v>
      </c>
      <c r="Q108" s="83">
        <f t="shared" si="36"/>
        <v>2.6577559999999998E-4</v>
      </c>
      <c r="R108" s="84">
        <f t="shared" si="34"/>
        <v>21.038086448200538</v>
      </c>
      <c r="S108" s="85"/>
      <c r="T108" s="86"/>
      <c r="U108" s="86"/>
      <c r="V108" s="86">
        <f t="shared" si="35"/>
        <v>5.5914100486223672</v>
      </c>
      <c r="W108" s="102"/>
      <c r="X108" s="86"/>
      <c r="Y108" s="86"/>
      <c r="Z108" s="86">
        <f>(V108-$V$105)/(D107-$D$104)</f>
        <v>7.8684961410266385E-4</v>
      </c>
      <c r="AA108" s="102"/>
      <c r="AB108" s="79"/>
      <c r="AD108" s="87">
        <f>D119</f>
        <v>145.11666666666665</v>
      </c>
      <c r="AE108" s="86">
        <f>S121</f>
        <v>43.763485917832604</v>
      </c>
      <c r="AF108" s="86">
        <f>U121</f>
        <v>3.5310146415756609</v>
      </c>
      <c r="AG108" s="86">
        <f>W121</f>
        <v>70.074827995678007</v>
      </c>
      <c r="AH108" s="86">
        <f>Y121</f>
        <v>3.5407769969433351</v>
      </c>
    </row>
    <row r="109" spans="2:34" x14ac:dyDescent="0.2">
      <c r="B109" s="58"/>
      <c r="D109" s="79"/>
      <c r="E109" s="90" t="s">
        <v>109</v>
      </c>
      <c r="F109" s="156"/>
      <c r="G109" s="156"/>
      <c r="H109" s="81">
        <f>0.1458-F107</f>
        <v>0.10700000000000001</v>
      </c>
      <c r="I109" s="82">
        <f>0.1443-F107</f>
        <v>0.10550000000000001</v>
      </c>
      <c r="J109" s="82">
        <f>0.0996-G107</f>
        <v>6.1199999999999991E-2</v>
      </c>
      <c r="K109" s="82">
        <f>0.0995-G107</f>
        <v>6.1100000000000002E-2</v>
      </c>
      <c r="L109" s="82">
        <f t="shared" si="30"/>
        <v>1.1341004862236631E-2</v>
      </c>
      <c r="M109" s="82">
        <f t="shared" si="31"/>
        <v>1.1107698541329014E-2</v>
      </c>
      <c r="N109" s="92">
        <f t="shared" si="32"/>
        <v>1.1224351701782823E-2</v>
      </c>
      <c r="O109" s="92">
        <f>'Growth curves UTEX #1926'!H58</f>
        <v>0.23</v>
      </c>
      <c r="P109" s="92">
        <f t="shared" si="33"/>
        <v>0.28970800000000002</v>
      </c>
      <c r="Q109" s="93">
        <f t="shared" si="36"/>
        <v>2.8970800000000001E-4</v>
      </c>
      <c r="R109" s="94">
        <f t="shared" si="34"/>
        <v>19.371835955139005</v>
      </c>
      <c r="S109" s="95">
        <f>AVERAGE(R107:R109)</f>
        <v>20.21595400074315</v>
      </c>
      <c r="T109" s="96">
        <f>STDEV(R107:R109)</f>
        <v>0.83334278739385093</v>
      </c>
      <c r="U109" s="96">
        <f>T109/SQRT(3)</f>
        <v>0.48113068262907294</v>
      </c>
      <c r="V109" s="96">
        <f t="shared" si="35"/>
        <v>5.6121758508914112</v>
      </c>
      <c r="W109" s="95">
        <f t="shared" ref="W109:W148" si="37">AVERAGE(V107:V109)</f>
        <v>5.6803957320367386</v>
      </c>
      <c r="X109" s="96">
        <f t="shared" ref="X109:X148" si="38">STDEV(V107:V109)</f>
        <v>0.1365393598284724</v>
      </c>
      <c r="Y109" s="96">
        <f t="shared" ref="Y109:Y148" si="39">X109/SQRT(3)</f>
        <v>7.8831036151947725E-2</v>
      </c>
      <c r="Z109" s="96">
        <f>(V109-$V$106)/(D107-$D$104)</f>
        <v>3.9166057024838184E-2</v>
      </c>
      <c r="AA109" s="95">
        <f>AVERAGE(Z107:Z109)</f>
        <v>2.4731659582275831E-2</v>
      </c>
      <c r="AB109" s="103">
        <f>STDEV(Z107:Z109)/SQRT(3)</f>
        <v>1.2056489955960585E-2</v>
      </c>
      <c r="AD109" s="87">
        <f>D122</f>
        <v>167.18333333333331</v>
      </c>
      <c r="AE109" s="86">
        <f>S124</f>
        <v>41.338724109463463</v>
      </c>
      <c r="AF109" s="86">
        <f>U124</f>
        <v>2.5749722970709623</v>
      </c>
      <c r="AG109" s="86">
        <f>W124</f>
        <v>81.728305586169654</v>
      </c>
      <c r="AH109" s="86">
        <f>Y124</f>
        <v>6.6899337029816532</v>
      </c>
    </row>
    <row r="110" spans="2:34" x14ac:dyDescent="0.2">
      <c r="B110" s="99" t="s">
        <v>26</v>
      </c>
      <c r="C110" s="100">
        <v>0.43124999999999997</v>
      </c>
      <c r="D110" s="153">
        <f>32/60+48+D107</f>
        <v>71.5</v>
      </c>
      <c r="E110" s="80" t="s">
        <v>107</v>
      </c>
      <c r="F110" s="104">
        <v>3.3399999999999999E-2</v>
      </c>
      <c r="G110" s="139">
        <v>3.3300000000000003E-2</v>
      </c>
      <c r="H110" s="104">
        <f>0.2379-F110</f>
        <v>0.20450000000000002</v>
      </c>
      <c r="I110" s="105">
        <f>0.2326-F110</f>
        <v>0.19919999999999999</v>
      </c>
      <c r="J110" s="105">
        <f>0.1662-G110</f>
        <v>0.13289999999999999</v>
      </c>
      <c r="K110" s="105">
        <f>0.1618-G110</f>
        <v>0.1285</v>
      </c>
      <c r="L110" s="82">
        <f t="shared" si="30"/>
        <v>2.0112722852512161E-2</v>
      </c>
      <c r="M110" s="82">
        <f t="shared" si="31"/>
        <v>1.9685170178282006E-2</v>
      </c>
      <c r="N110" s="82">
        <f t="shared" si="32"/>
        <v>1.9898946515397083E-2</v>
      </c>
      <c r="O110" s="82">
        <f>'Growth curves UTEX #1926'!F62</f>
        <v>0.57399999999999995</v>
      </c>
      <c r="P110" s="82">
        <f t="shared" si="33"/>
        <v>0.72301039999999994</v>
      </c>
      <c r="Q110" s="83">
        <f>P110*0.5/1000</f>
        <v>3.6150519999999999E-4</v>
      </c>
      <c r="R110" s="84">
        <f t="shared" si="34"/>
        <v>27.522351705310303</v>
      </c>
      <c r="S110" s="102"/>
      <c r="T110" s="86"/>
      <c r="U110" s="86"/>
      <c r="V110" s="86">
        <f t="shared" si="35"/>
        <v>19.898946515397082</v>
      </c>
      <c r="W110" s="102"/>
      <c r="X110" s="86"/>
      <c r="Y110" s="86"/>
      <c r="Z110" s="86">
        <f t="shared" ref="Z110:Z146" si="40">(V110-$V$104)/(D110-$D$104)</f>
        <v>0.20766113950878942</v>
      </c>
      <c r="AA110" s="102"/>
      <c r="AB110" s="110"/>
      <c r="AD110" s="87">
        <f>D125</f>
        <v>215.68333333333331</v>
      </c>
      <c r="AE110" s="86">
        <f>S127</f>
        <v>37.579981126195541</v>
      </c>
      <c r="AF110" s="86">
        <f>U127</f>
        <v>1.5913178515372666</v>
      </c>
      <c r="AG110" s="86">
        <f>W127</f>
        <v>91.523568341437056</v>
      </c>
      <c r="AH110" s="86">
        <f>Y127</f>
        <v>3.7499019862508822</v>
      </c>
    </row>
    <row r="111" spans="2:34" x14ac:dyDescent="0.2">
      <c r="B111" s="58"/>
      <c r="D111" s="79"/>
      <c r="E111" s="80" t="s">
        <v>108</v>
      </c>
      <c r="F111" s="157"/>
      <c r="G111" s="158"/>
      <c r="H111" s="81">
        <f>0.2155-F110</f>
        <v>0.18209999999999998</v>
      </c>
      <c r="I111" s="82">
        <f>0.2085-F110</f>
        <v>0.17509999999999998</v>
      </c>
      <c r="J111" s="82">
        <f>0.154-G110</f>
        <v>0.1207</v>
      </c>
      <c r="K111" s="82">
        <f>0.1497-G110</f>
        <v>0.1164</v>
      </c>
      <c r="L111" s="82">
        <f t="shared" si="30"/>
        <v>1.7678525121555912E-2</v>
      </c>
      <c r="M111" s="82">
        <f t="shared" si="31"/>
        <v>1.6965640194489463E-2</v>
      </c>
      <c r="N111" s="82">
        <f t="shared" si="32"/>
        <v>1.7322082658022687E-2</v>
      </c>
      <c r="O111" s="82">
        <f>'Growth curves UTEX #1926'!G62</f>
        <v>0.54</v>
      </c>
      <c r="P111" s="82">
        <f t="shared" si="33"/>
        <v>0.68018400000000012</v>
      </c>
      <c r="Q111" s="83">
        <f>P111*0.5/1000</f>
        <v>3.4009200000000006E-4</v>
      </c>
      <c r="R111" s="84">
        <f t="shared" si="34"/>
        <v>25.466759962043628</v>
      </c>
      <c r="S111" s="85"/>
      <c r="T111" s="86"/>
      <c r="U111" s="86"/>
      <c r="V111" s="86">
        <f t="shared" si="35"/>
        <v>17.322082658022687</v>
      </c>
      <c r="W111" s="102"/>
      <c r="X111" s="86"/>
      <c r="Y111" s="86"/>
      <c r="Z111" s="86">
        <f>(V111-$V$105)/(D110-$D$104)</f>
        <v>0.16431809681404491</v>
      </c>
      <c r="AA111" s="102"/>
      <c r="AB111" s="110"/>
      <c r="AD111" s="87">
        <f>D128</f>
        <v>240.24999999999997</v>
      </c>
      <c r="AE111" s="86">
        <f>S130</f>
        <v>36.637795767009777</v>
      </c>
      <c r="AF111" s="86">
        <f>U130</f>
        <v>1.1824250088059083</v>
      </c>
      <c r="AG111" s="86">
        <f>W130</f>
        <v>105.28146947595896</v>
      </c>
      <c r="AH111" s="86">
        <f>Y130</f>
        <v>0.48394006011147356</v>
      </c>
    </row>
    <row r="112" spans="2:34" x14ac:dyDescent="0.2">
      <c r="B112" s="58"/>
      <c r="D112" s="79"/>
      <c r="E112" s="90" t="s">
        <v>109</v>
      </c>
      <c r="F112" s="157"/>
      <c r="G112" s="158"/>
      <c r="H112" s="81">
        <f>0.196-F110</f>
        <v>0.16260000000000002</v>
      </c>
      <c r="I112" s="82">
        <f>0.1991-F110</f>
        <v>0.16570000000000001</v>
      </c>
      <c r="J112" s="82">
        <f>0.1381-G110</f>
        <v>0.1048</v>
      </c>
      <c r="K112" s="82">
        <f>0.1412-G110</f>
        <v>0.1079</v>
      </c>
      <c r="L112" s="82">
        <f t="shared" si="30"/>
        <v>1.6077147487844411E-2</v>
      </c>
      <c r="M112" s="82">
        <f t="shared" si="31"/>
        <v>1.6275607779578611E-2</v>
      </c>
      <c r="N112" s="92">
        <f t="shared" si="32"/>
        <v>1.6176377633711513E-2</v>
      </c>
      <c r="O112" s="92">
        <f>'Growth curves UTEX #1926'!H62</f>
        <v>0.54900000000000004</v>
      </c>
      <c r="P112" s="92">
        <f t="shared" si="33"/>
        <v>0.69152040000000004</v>
      </c>
      <c r="Q112" s="93">
        <f>P112*0.5/1000</f>
        <v>3.4576020000000004E-4</v>
      </c>
      <c r="R112" s="94">
        <f t="shared" si="34"/>
        <v>23.392480733339916</v>
      </c>
      <c r="S112" s="95">
        <f>AVERAGE(R110:R112)</f>
        <v>25.460530800231282</v>
      </c>
      <c r="T112" s="96">
        <f>STDEV(R110:R112)</f>
        <v>2.0649425326443276</v>
      </c>
      <c r="U112" s="96">
        <f>T112/SQRT(3)</f>
        <v>1.1921951270833102</v>
      </c>
      <c r="V112" s="96">
        <f t="shared" si="35"/>
        <v>16.176377633711514</v>
      </c>
      <c r="W112" s="95">
        <f t="shared" si="37"/>
        <v>17.799135602377092</v>
      </c>
      <c r="X112" s="96">
        <f t="shared" si="38"/>
        <v>1.9065844863292425</v>
      </c>
      <c r="Y112" s="96">
        <f t="shared" si="39"/>
        <v>1.1007670664149525</v>
      </c>
      <c r="Z112" s="96">
        <f>(V112-$V$106)/(D110-$D$104)</f>
        <v>0.160331686142059</v>
      </c>
      <c r="AA112" s="95">
        <f t="shared" ref="AA112:AA148" si="41">AVERAGE(Z110:Z112)</f>
        <v>0.17743697415496448</v>
      </c>
      <c r="AB112" s="103">
        <f t="shared" ref="AB112:AB148" si="42">STDEV(Z110:Z112)/SQRT(3)</f>
        <v>1.515583491610774E-2</v>
      </c>
      <c r="AD112" s="87">
        <f>D131</f>
        <v>289.31666666666666</v>
      </c>
      <c r="AE112" s="86">
        <f>S133</f>
        <v>31.416991643794091</v>
      </c>
      <c r="AF112" s="86">
        <f>U133</f>
        <v>8.4796806708332948</v>
      </c>
      <c r="AG112" s="86">
        <f>W133</f>
        <v>109.39609220241312</v>
      </c>
      <c r="AH112" s="86">
        <f>Y133</f>
        <v>31.116802178341594</v>
      </c>
    </row>
    <row r="113" spans="2:34" x14ac:dyDescent="0.2">
      <c r="B113" s="99" t="s">
        <v>27</v>
      </c>
      <c r="C113" s="100">
        <v>0.42638888888888887</v>
      </c>
      <c r="D113" s="153">
        <f>11+53/60+12+D110</f>
        <v>95.383333333333326</v>
      </c>
      <c r="E113" s="80" t="s">
        <v>107</v>
      </c>
      <c r="F113" s="104">
        <f>(0.0445+0.044)/2</f>
        <v>4.4249999999999998E-2</v>
      </c>
      <c r="G113" s="139">
        <f>(0.0435+0.0427)/2</f>
        <v>4.3099999999999999E-2</v>
      </c>
      <c r="H113" s="104">
        <f>0.1941-F113</f>
        <v>0.14984999999999998</v>
      </c>
      <c r="I113" s="105">
        <f>0.1938-F113</f>
        <v>0.14955000000000002</v>
      </c>
      <c r="J113" s="105">
        <f>0.139-G113</f>
        <v>9.5900000000000013E-2</v>
      </c>
      <c r="K113" s="105">
        <f>0.1377-G113</f>
        <v>9.459999999999999E-2</v>
      </c>
      <c r="L113" s="82">
        <f t="shared" si="30"/>
        <v>1.4883387358184763E-2</v>
      </c>
      <c r="M113" s="82">
        <f t="shared" si="31"/>
        <v>1.4962236628849275E-2</v>
      </c>
      <c r="N113" s="82">
        <f t="shared" si="32"/>
        <v>1.492281199351702E-2</v>
      </c>
      <c r="O113" s="82">
        <f>'Growth curves UTEX #1926'!F63</f>
        <v>0.71199999999999997</v>
      </c>
      <c r="P113" s="82">
        <f t="shared" si="33"/>
        <v>0.89683519999999994</v>
      </c>
      <c r="Q113" s="83">
        <f t="shared" ref="Q113:Q121" si="43">O113*0.25/1000</f>
        <v>1.7799999999999999E-4</v>
      </c>
      <c r="R113" s="84">
        <f t="shared" si="34"/>
        <v>41.918011217744443</v>
      </c>
      <c r="S113" s="102"/>
      <c r="T113" s="86"/>
      <c r="U113" s="86"/>
      <c r="V113" s="86">
        <f t="shared" si="35"/>
        <v>37.59354797406808</v>
      </c>
      <c r="W113" s="102"/>
      <c r="X113" s="86"/>
      <c r="Y113" s="86"/>
      <c r="Z113" s="86">
        <f t="shared" si="40"/>
        <v>0.34117462449990682</v>
      </c>
      <c r="AA113" s="102"/>
      <c r="AB113" s="110"/>
      <c r="AD113" s="87">
        <f>D134</f>
        <v>313.33333333333331</v>
      </c>
      <c r="AE113" s="86">
        <f>S136</f>
        <v>35.109943544509804</v>
      </c>
      <c r="AF113" s="86">
        <f>U136</f>
        <v>0.88836021799170051</v>
      </c>
      <c r="AG113" s="86">
        <f>W136</f>
        <v>119.06555015307039</v>
      </c>
      <c r="AH113" s="86">
        <f>Y136</f>
        <v>2.270154547543854</v>
      </c>
    </row>
    <row r="114" spans="2:34" x14ac:dyDescent="0.2">
      <c r="B114" s="58"/>
      <c r="D114" s="79"/>
      <c r="E114" s="80" t="s">
        <v>108</v>
      </c>
      <c r="F114" s="58"/>
      <c r="G114" s="79"/>
      <c r="H114" s="81">
        <f>0.1888-F113</f>
        <v>0.14455000000000001</v>
      </c>
      <c r="I114" s="82">
        <f>0.1844-F113</f>
        <v>0.14015</v>
      </c>
      <c r="J114" s="82">
        <f>0.1392-G113</f>
        <v>9.6099999999999991E-2</v>
      </c>
      <c r="K114" s="82">
        <f>0.1348-G113</f>
        <v>9.1700000000000004E-2</v>
      </c>
      <c r="L114" s="82">
        <f t="shared" si="30"/>
        <v>1.4004781199351706E-2</v>
      </c>
      <c r="M114" s="82">
        <f t="shared" si="31"/>
        <v>1.3723095623987033E-2</v>
      </c>
      <c r="N114" s="82">
        <f t="shared" si="32"/>
        <v>1.386393841166937E-2</v>
      </c>
      <c r="O114" s="82">
        <f>'Growth curves UTEX #1926'!G63</f>
        <v>0.69299999999999995</v>
      </c>
      <c r="P114" s="82">
        <f t="shared" si="33"/>
        <v>0.87290279999999998</v>
      </c>
      <c r="Q114" s="83">
        <f t="shared" si="43"/>
        <v>1.7324999999999998E-4</v>
      </c>
      <c r="R114" s="84">
        <f t="shared" si="34"/>
        <v>40.011366267444075</v>
      </c>
      <c r="S114" s="85"/>
      <c r="T114" s="86"/>
      <c r="U114" s="86"/>
      <c r="V114" s="86">
        <f t="shared" si="35"/>
        <v>34.926033646677482</v>
      </c>
      <c r="W114" s="102"/>
      <c r="X114" s="86"/>
      <c r="Y114" s="86"/>
      <c r="Z114" s="86">
        <f>(V114-$V$105)/(D113-$D$104)</f>
        <v>0.30773400221064834</v>
      </c>
      <c r="AA114" s="102"/>
      <c r="AB114" s="110"/>
      <c r="AD114" s="87">
        <f>D137</f>
        <v>336.56666666666666</v>
      </c>
      <c r="AE114" s="86">
        <f>S139</f>
        <v>36.78433310286276</v>
      </c>
      <c r="AF114" s="86">
        <f>U139</f>
        <v>1.2404745927524132</v>
      </c>
      <c r="AG114" s="86">
        <f>W139</f>
        <v>124.01557716549615</v>
      </c>
      <c r="AH114" s="86">
        <f>Y139</f>
        <v>3.4730378482715136</v>
      </c>
    </row>
    <row r="115" spans="2:34" x14ac:dyDescent="0.2">
      <c r="B115" s="58"/>
      <c r="D115" s="79"/>
      <c r="E115" s="90" t="s">
        <v>109</v>
      </c>
      <c r="F115" s="88"/>
      <c r="G115" s="89"/>
      <c r="H115" s="81">
        <f>0.1788-F113</f>
        <v>0.13455</v>
      </c>
      <c r="I115" s="82">
        <f>0.1838-F113</f>
        <v>0.13955000000000001</v>
      </c>
      <c r="J115" s="82">
        <f>0.1271-G113</f>
        <v>8.3999999999999991E-2</v>
      </c>
      <c r="K115" s="82">
        <f>0.1301-G113</f>
        <v>8.6999999999999994E-2</v>
      </c>
      <c r="L115" s="82">
        <f t="shared" si="30"/>
        <v>1.3570502431118316E-2</v>
      </c>
      <c r="M115" s="82">
        <f t="shared" si="31"/>
        <v>1.4086709886547815E-2</v>
      </c>
      <c r="N115" s="92">
        <f t="shared" si="32"/>
        <v>1.3828606158833065E-2</v>
      </c>
      <c r="O115" s="92">
        <f>'Growth curves UTEX #1926'!H63</f>
        <v>0.77800000000000002</v>
      </c>
      <c r="P115" s="92">
        <f t="shared" si="33"/>
        <v>0.97996880000000008</v>
      </c>
      <c r="Q115" s="93">
        <f t="shared" si="43"/>
        <v>1.9450000000000001E-4</v>
      </c>
      <c r="R115" s="94">
        <f t="shared" si="34"/>
        <v>35.549116089545151</v>
      </c>
      <c r="S115" s="95">
        <f>AVERAGE(R113:R115)</f>
        <v>39.159497858244556</v>
      </c>
      <c r="T115" s="96">
        <f>STDEV(R113:R115)</f>
        <v>3.268786644680906</v>
      </c>
      <c r="U115" s="96">
        <f>T115/SQRT(3)</f>
        <v>1.8872348492299746</v>
      </c>
      <c r="V115" s="96">
        <f t="shared" si="35"/>
        <v>34.837024635332256</v>
      </c>
      <c r="W115" s="95">
        <f t="shared" si="37"/>
        <v>35.785535418692604</v>
      </c>
      <c r="X115" s="96">
        <f t="shared" si="38"/>
        <v>1.566417154311609</v>
      </c>
      <c r="Y115" s="96">
        <f t="shared" si="39"/>
        <v>0.90437136570505505</v>
      </c>
      <c r="Z115" s="96">
        <f>(V115-$V$106)/(D113-$D$104)</f>
        <v>0.3158241750212612</v>
      </c>
      <c r="AA115" s="95">
        <f t="shared" si="41"/>
        <v>0.32157760057727214</v>
      </c>
      <c r="AB115" s="103">
        <f t="shared" si="42"/>
        <v>1.0072987540854544E-2</v>
      </c>
      <c r="AD115" s="87">
        <f>D140</f>
        <v>359.45</v>
      </c>
      <c r="AE115" s="86">
        <f>S142</f>
        <v>41.159257438407757</v>
      </c>
      <c r="AF115" s="86">
        <f>U142</f>
        <v>0</v>
      </c>
      <c r="AG115" s="86">
        <f>W142</f>
        <v>146.40802269043758</v>
      </c>
      <c r="AH115" s="86">
        <f>Y142</f>
        <v>0</v>
      </c>
    </row>
    <row r="116" spans="2:34" x14ac:dyDescent="0.2">
      <c r="B116" s="99" t="s">
        <v>28</v>
      </c>
      <c r="C116" s="100">
        <v>0.4909722222222222</v>
      </c>
      <c r="D116" s="151">
        <f>1+33/60+24+D113</f>
        <v>120.93333333333332</v>
      </c>
      <c r="E116" s="80" t="s">
        <v>107</v>
      </c>
      <c r="F116" s="81">
        <f>(0.0498+0.0453)/2</f>
        <v>4.7549999999999995E-2</v>
      </c>
      <c r="G116" s="137">
        <f>(0.0497+0.044)/2</f>
        <v>4.6850000000000003E-2</v>
      </c>
      <c r="H116" s="104">
        <f>0.2577-F116</f>
        <v>0.21015</v>
      </c>
      <c r="I116" s="105">
        <f>0.2554-F116</f>
        <v>0.20785000000000003</v>
      </c>
      <c r="J116" s="105">
        <f>0.1712-G116</f>
        <v>0.12434999999999999</v>
      </c>
      <c r="K116" s="105">
        <f>0.1695-G116</f>
        <v>0.12265000000000001</v>
      </c>
      <c r="L116" s="82">
        <f t="shared" si="30"/>
        <v>2.1866815235008108E-2</v>
      </c>
      <c r="M116" s="82">
        <f t="shared" si="31"/>
        <v>2.1660737439222047E-2</v>
      </c>
      <c r="N116" s="82">
        <f t="shared" si="32"/>
        <v>2.1763776337115077E-2</v>
      </c>
      <c r="O116" s="82">
        <f>'Growth curves UTEX #1926'!F64</f>
        <v>0.996</v>
      </c>
      <c r="P116" s="82">
        <f t="shared" si="33"/>
        <v>1.2545615999999999</v>
      </c>
      <c r="Q116" s="83">
        <f t="shared" si="43"/>
        <v>2.4899999999999998E-4</v>
      </c>
      <c r="R116" s="84">
        <f t="shared" si="34"/>
        <v>43.702362122721041</v>
      </c>
      <c r="S116" s="85"/>
      <c r="V116" s="86">
        <f t="shared" si="35"/>
        <v>54.827305348460307</v>
      </c>
      <c r="W116" s="102"/>
      <c r="X116" s="86"/>
      <c r="Y116" s="86"/>
      <c r="Z116" s="86">
        <f t="shared" si="40"/>
        <v>0.41159975447581321</v>
      </c>
      <c r="AA116" s="102"/>
      <c r="AB116" s="110"/>
      <c r="AD116" s="87">
        <f>D143</f>
        <v>384.9</v>
      </c>
      <c r="AE116" s="86">
        <f>S145</f>
        <v>47.066496055153856</v>
      </c>
      <c r="AF116" s="86">
        <f>U145</f>
        <v>4.5588427714836186</v>
      </c>
      <c r="AG116" s="86">
        <f>W145</f>
        <v>161.58076715289033</v>
      </c>
      <c r="AH116" s="86">
        <f>Y145</f>
        <v>18.832590695401311</v>
      </c>
    </row>
    <row r="117" spans="2:34" ht="15" customHeight="1" x14ac:dyDescent="0.2">
      <c r="B117" s="58"/>
      <c r="D117" s="148"/>
      <c r="E117" s="80" t="s">
        <v>108</v>
      </c>
      <c r="F117" s="58"/>
      <c r="G117" s="79"/>
      <c r="H117" s="81">
        <f>0.2547-F116</f>
        <v>0.20715</v>
      </c>
      <c r="I117" s="82">
        <f>0.2491-F116</f>
        <v>0.20155000000000001</v>
      </c>
      <c r="J117" s="82">
        <f>0.1763-G116</f>
        <v>0.12945000000000001</v>
      </c>
      <c r="K117" s="82">
        <f>0.1694-G116</f>
        <v>0.12254999999999999</v>
      </c>
      <c r="L117" s="82">
        <f t="shared" si="30"/>
        <v>2.088051053484603E-2</v>
      </c>
      <c r="M117" s="82">
        <f t="shared" si="31"/>
        <v>2.0649473257698545E-2</v>
      </c>
      <c r="N117" s="82">
        <f t="shared" si="32"/>
        <v>2.0764991896272289E-2</v>
      </c>
      <c r="O117" s="82">
        <f>'Growth curves UTEX #1926'!G64</f>
        <v>0.96199999999999997</v>
      </c>
      <c r="P117" s="82">
        <f t="shared" si="33"/>
        <v>1.2117351999999999</v>
      </c>
      <c r="Q117" s="83">
        <f t="shared" si="43"/>
        <v>2.4049999999999999E-4</v>
      </c>
      <c r="R117" s="84">
        <f t="shared" si="34"/>
        <v>43.170461322811413</v>
      </c>
      <c r="S117" s="85"/>
      <c r="V117" s="86">
        <f t="shared" si="35"/>
        <v>52.311167585089144</v>
      </c>
      <c r="W117" s="102"/>
      <c r="X117" s="86"/>
      <c r="Y117" s="86"/>
      <c r="Z117" s="86">
        <f>(V117-$V$105)/(D116-$D$104)</f>
        <v>0.3864759827668468</v>
      </c>
      <c r="AA117" s="102"/>
      <c r="AB117" s="110"/>
      <c r="AD117" s="87">
        <f>D146</f>
        <v>408.43333333333328</v>
      </c>
      <c r="AE117" s="86">
        <f>S148</f>
        <v>42.18047436653351</v>
      </c>
      <c r="AF117" s="86">
        <f>U148</f>
        <v>0.96794486833008564</v>
      </c>
      <c r="AG117" s="86">
        <f>W148</f>
        <v>147.62385197190704</v>
      </c>
      <c r="AH117" s="86">
        <f>Y148</f>
        <v>5.9098434159159705</v>
      </c>
    </row>
    <row r="118" spans="2:34" ht="15" customHeight="1" x14ac:dyDescent="0.2">
      <c r="B118" s="88"/>
      <c r="C118" s="97"/>
      <c r="D118" s="149"/>
      <c r="E118" s="90" t="s">
        <v>109</v>
      </c>
      <c r="F118" s="58"/>
      <c r="G118" s="79"/>
      <c r="H118" s="91">
        <f>0.2451-F116</f>
        <v>0.19755</v>
      </c>
      <c r="I118" s="92">
        <f>0.2497-F116</f>
        <v>0.20215</v>
      </c>
      <c r="J118" s="92">
        <f>0.1625-G116</f>
        <v>0.11565</v>
      </c>
      <c r="K118" s="92">
        <f>0.1649-G116</f>
        <v>0.11804999999999999</v>
      </c>
      <c r="L118" s="82">
        <f t="shared" si="30"/>
        <v>2.0677755267423013E-2</v>
      </c>
      <c r="M118" s="82">
        <f t="shared" si="31"/>
        <v>2.1187965964343598E-2</v>
      </c>
      <c r="N118" s="92">
        <f t="shared" si="32"/>
        <v>2.0932860615883307E-2</v>
      </c>
      <c r="O118" s="92">
        <f>'Growth curves UTEX #1926'!H64</f>
        <v>1.0049999999999999</v>
      </c>
      <c r="P118" s="92">
        <f t="shared" si="33"/>
        <v>1.265898</v>
      </c>
      <c r="Q118" s="93">
        <f t="shared" si="43"/>
        <v>2.5124999999999995E-4</v>
      </c>
      <c r="R118" s="94">
        <f t="shared" si="34"/>
        <v>41.657434061459327</v>
      </c>
      <c r="S118" s="95">
        <f>AVERAGE(R116:R118)</f>
        <v>42.843419168997258</v>
      </c>
      <c r="T118" s="96">
        <f>STDEV(R116:R118)</f>
        <v>1.060966597830699</v>
      </c>
      <c r="U118" s="96">
        <f>T118/SQRT(3)</f>
        <v>0.6125493508587555</v>
      </c>
      <c r="V118" s="96">
        <f t="shared" si="35"/>
        <v>52.734062463533235</v>
      </c>
      <c r="W118" s="95">
        <f t="shared" si="37"/>
        <v>53.290845132360893</v>
      </c>
      <c r="X118" s="96">
        <f t="shared" si="38"/>
        <v>1.3473093617635661</v>
      </c>
      <c r="Y118" s="96">
        <f t="shared" si="39"/>
        <v>0.77786942269589776</v>
      </c>
      <c r="Z118" s="96">
        <f>(V118-$V$106)/(D116-$D$104)</f>
        <v>0.39708985988681594</v>
      </c>
      <c r="AA118" s="95">
        <f t="shared" si="41"/>
        <v>0.39838853237649197</v>
      </c>
      <c r="AB118" s="103">
        <f t="shared" si="42"/>
        <v>7.2816181557317367E-3</v>
      </c>
      <c r="AD118" s="87"/>
      <c r="AE118" s="86"/>
      <c r="AF118" s="86"/>
      <c r="AG118" s="86"/>
      <c r="AH118" s="86"/>
    </row>
    <row r="119" spans="2:34" x14ac:dyDescent="0.2">
      <c r="B119" s="58" t="s">
        <v>29</v>
      </c>
      <c r="C119" s="78">
        <v>0.49861111111111112</v>
      </c>
      <c r="D119" s="150">
        <f>11/60+24+D116</f>
        <v>145.11666666666665</v>
      </c>
      <c r="E119" s="80" t="s">
        <v>107</v>
      </c>
      <c r="F119" s="104">
        <v>4.3700000000000003E-2</v>
      </c>
      <c r="G119" s="139">
        <v>4.2200000000000001E-2</v>
      </c>
      <c r="H119" s="81">
        <f>0.3226-F119</f>
        <v>0.27889999999999998</v>
      </c>
      <c r="I119" s="82">
        <f>0.3232-F119</f>
        <v>0.27949999999999997</v>
      </c>
      <c r="J119" s="82">
        <f>0.2018-G119</f>
        <v>0.15960000000000002</v>
      </c>
      <c r="K119" s="82">
        <f>0.2021-G119</f>
        <v>0.15989999999999999</v>
      </c>
      <c r="L119" s="82">
        <f t="shared" si="30"/>
        <v>2.9552998379254455E-2</v>
      </c>
      <c r="M119" s="82">
        <f t="shared" si="31"/>
        <v>2.9620826580226904E-2</v>
      </c>
      <c r="N119" s="82">
        <f t="shared" si="32"/>
        <v>2.9586912479740678E-2</v>
      </c>
      <c r="O119" s="82">
        <f>'Growth curves UTEX #1926'!F65</f>
        <v>1.23</v>
      </c>
      <c r="P119" s="82">
        <f t="shared" si="33"/>
        <v>1.5493080000000001</v>
      </c>
      <c r="Q119" s="83">
        <f t="shared" si="43"/>
        <v>3.0749999999999999E-4</v>
      </c>
      <c r="R119" s="84">
        <f t="shared" si="34"/>
        <v>48.10880078006614</v>
      </c>
      <c r="S119" s="85"/>
      <c r="V119" s="86">
        <f t="shared" si="35"/>
        <v>74.535349918962723</v>
      </c>
      <c r="W119" s="102"/>
      <c r="X119" s="86"/>
      <c r="Y119" s="86"/>
      <c r="Z119" s="86">
        <f t="shared" si="40"/>
        <v>0.47881595184410763</v>
      </c>
      <c r="AA119" s="102"/>
      <c r="AB119" s="110"/>
      <c r="AD119" s="87"/>
      <c r="AE119" s="86"/>
      <c r="AF119" s="86"/>
      <c r="AG119" s="86"/>
      <c r="AH119" s="86"/>
    </row>
    <row r="120" spans="2:34" x14ac:dyDescent="0.2">
      <c r="B120" s="58"/>
      <c r="D120" s="79"/>
      <c r="E120" s="80" t="s">
        <v>108</v>
      </c>
      <c r="F120" s="58"/>
      <c r="G120" s="79"/>
      <c r="H120" s="81">
        <f>0.3292-F119</f>
        <v>0.28549999999999998</v>
      </c>
      <c r="I120" s="82">
        <f>0.3388-F119</f>
        <v>0.29509999999999997</v>
      </c>
      <c r="J120" s="82">
        <f>0.2238-G119</f>
        <v>0.18159999999999998</v>
      </c>
      <c r="K120" s="82">
        <f>0.2324-G119</f>
        <v>0.19019999999999998</v>
      </c>
      <c r="L120" s="82">
        <f t="shared" si="30"/>
        <v>2.8465478119935168E-2</v>
      </c>
      <c r="M120" s="82">
        <f t="shared" si="31"/>
        <v>2.9178119935170176E-2</v>
      </c>
      <c r="N120" s="82">
        <f t="shared" si="32"/>
        <v>2.8821799027552671E-2</v>
      </c>
      <c r="O120" s="82">
        <f>'Growth curves UTEX #1926'!G65</f>
        <v>1.242</v>
      </c>
      <c r="P120" s="82">
        <f t="shared" si="33"/>
        <v>1.5644232</v>
      </c>
      <c r="Q120" s="83">
        <f t="shared" si="43"/>
        <v>3.1050000000000001E-4</v>
      </c>
      <c r="R120" s="84">
        <f t="shared" si="34"/>
        <v>46.411914698152444</v>
      </c>
      <c r="S120" s="85"/>
      <c r="V120" s="86">
        <f t="shared" si="35"/>
        <v>72.607876110210682</v>
      </c>
      <c r="W120" s="102"/>
      <c r="X120" s="86"/>
      <c r="Y120" s="86"/>
      <c r="Z120" s="86">
        <f>(V120-$V$105)/(D119-$D$104)</f>
        <v>0.46193548207919288</v>
      </c>
      <c r="AA120" s="102"/>
      <c r="AB120" s="110"/>
      <c r="AD120" s="87"/>
      <c r="AE120" s="86"/>
      <c r="AF120" s="86"/>
      <c r="AG120" s="86"/>
      <c r="AH120" s="86"/>
    </row>
    <row r="121" spans="2:34" x14ac:dyDescent="0.2">
      <c r="B121" s="58"/>
      <c r="D121" s="79"/>
      <c r="E121" s="90" t="s">
        <v>109</v>
      </c>
      <c r="F121" s="58"/>
      <c r="G121" s="79"/>
      <c r="H121" s="81">
        <f>0.2835-F119</f>
        <v>0.23979999999999996</v>
      </c>
      <c r="I121" s="82">
        <f>0.2852-F119</f>
        <v>0.24149999999999999</v>
      </c>
      <c r="J121" s="82">
        <f>0.1837-G119</f>
        <v>0.14150000000000001</v>
      </c>
      <c r="K121" s="82">
        <f>0.1855-G119</f>
        <v>0.14329999999999998</v>
      </c>
      <c r="L121" s="82">
        <f t="shared" si="30"/>
        <v>2.4990680713128034E-2</v>
      </c>
      <c r="M121" s="82">
        <f t="shared" si="31"/>
        <v>2.5089708265802271E-2</v>
      </c>
      <c r="N121" s="92">
        <f t="shared" si="32"/>
        <v>2.5040194489465151E-2</v>
      </c>
      <c r="O121" s="92">
        <f>'Growth curves UTEX #1926'!H65</f>
        <v>1.3620000000000001</v>
      </c>
      <c r="P121" s="92">
        <f t="shared" si="33"/>
        <v>1.7155752000000002</v>
      </c>
      <c r="Q121" s="93">
        <f t="shared" si="43"/>
        <v>3.4050000000000004E-4</v>
      </c>
      <c r="R121" s="94">
        <f t="shared" si="34"/>
        <v>36.769742275279221</v>
      </c>
      <c r="S121" s="95">
        <f>AVERAGE(R119:R121)</f>
        <v>43.763485917832604</v>
      </c>
      <c r="T121" s="96">
        <f>STDEV(R119:R121)</f>
        <v>6.1158967614786528</v>
      </c>
      <c r="U121" s="96">
        <f>T121/SQRT(3)</f>
        <v>3.5310146415756609</v>
      </c>
      <c r="V121" s="96">
        <f t="shared" si="35"/>
        <v>63.081257957860608</v>
      </c>
      <c r="W121" s="95">
        <f t="shared" si="37"/>
        <v>70.074827995678007</v>
      </c>
      <c r="X121" s="96">
        <f t="shared" si="38"/>
        <v>6.1328056569770073</v>
      </c>
      <c r="Y121" s="96">
        <f t="shared" si="39"/>
        <v>3.5407769969433351</v>
      </c>
      <c r="Z121" s="96">
        <f>(V121-$V$106)/(D119-$D$104)</f>
        <v>0.40221841656120122</v>
      </c>
      <c r="AA121" s="95">
        <f t="shared" si="41"/>
        <v>0.44765661682816726</v>
      </c>
      <c r="AB121" s="103">
        <f t="shared" si="42"/>
        <v>2.3235820747979714E-2</v>
      </c>
    </row>
    <row r="122" spans="2:34" x14ac:dyDescent="0.2">
      <c r="B122" s="99" t="s">
        <v>30</v>
      </c>
      <c r="C122" s="100">
        <v>0.41805555555555557</v>
      </c>
      <c r="D122" s="151">
        <f>10+4/60+12+D119</f>
        <v>167.18333333333331</v>
      </c>
      <c r="E122" s="80" t="s">
        <v>107</v>
      </c>
      <c r="F122" s="104">
        <v>3.7900000000000003E-2</v>
      </c>
      <c r="G122" s="139">
        <v>3.7999999999999999E-2</v>
      </c>
      <c r="H122" s="104">
        <f>0.2127-F122</f>
        <v>0.17480000000000001</v>
      </c>
      <c r="I122" s="105">
        <f>0.2109-F122</f>
        <v>0.17299999999999999</v>
      </c>
      <c r="J122" s="105">
        <f>0.1406-G122</f>
        <v>0.1026</v>
      </c>
      <c r="K122" s="105">
        <f>0.1408-G122</f>
        <v>0.1028</v>
      </c>
      <c r="L122" s="82">
        <f t="shared" si="30"/>
        <v>1.827017828200973E-2</v>
      </c>
      <c r="M122" s="82">
        <f t="shared" si="31"/>
        <v>1.7958833063209074E-2</v>
      </c>
      <c r="N122" s="82">
        <f t="shared" si="32"/>
        <v>1.8114505672609402E-2</v>
      </c>
      <c r="O122" s="82">
        <f>'Growth curves UTEX #1926'!F66</f>
        <v>1.6459999999999999</v>
      </c>
      <c r="P122" s="82">
        <f t="shared" si="33"/>
        <v>2.0733016000000002</v>
      </c>
      <c r="Q122" s="83">
        <f>O122*0.125/1000</f>
        <v>2.0574999999999999E-4</v>
      </c>
      <c r="R122" s="84">
        <f t="shared" si="34"/>
        <v>44.020669921286519</v>
      </c>
      <c r="S122" s="85"/>
      <c r="V122" s="86">
        <f t="shared" si="35"/>
        <v>91.268125380875219</v>
      </c>
      <c r="W122" s="102"/>
      <c r="X122" s="86"/>
      <c r="Y122" s="86"/>
      <c r="Z122" s="86">
        <f t="shared" si="40"/>
        <v>0.51570302267185675</v>
      </c>
      <c r="AA122" s="102"/>
      <c r="AB122" s="110"/>
      <c r="AE122" s="86"/>
      <c r="AF122" s="86"/>
      <c r="AG122" s="86"/>
      <c r="AH122" s="86"/>
    </row>
    <row r="123" spans="2:34" x14ac:dyDescent="0.2">
      <c r="B123" s="58"/>
      <c r="D123" s="79"/>
      <c r="E123" s="80" t="s">
        <v>108</v>
      </c>
      <c r="F123" s="58"/>
      <c r="G123" s="79"/>
      <c r="H123" s="81">
        <f>0.1658-F122</f>
        <v>0.12790000000000001</v>
      </c>
      <c r="I123" s="82">
        <f>0.1818-F122</f>
        <v>0.14389999999999997</v>
      </c>
      <c r="J123" s="82">
        <f>0.1158-G122</f>
        <v>7.7800000000000008E-2</v>
      </c>
      <c r="K123" s="82">
        <f>0.1308-G122</f>
        <v>9.2799999999999994E-2</v>
      </c>
      <c r="L123" s="82">
        <f t="shared" si="30"/>
        <v>1.3100648298217183E-2</v>
      </c>
      <c r="M123" s="82">
        <f t="shared" si="31"/>
        <v>1.4223014586709883E-2</v>
      </c>
      <c r="N123" s="82">
        <f t="shared" si="32"/>
        <v>1.3661831442463534E-2</v>
      </c>
      <c r="O123" s="82">
        <f>'Growth curves UTEX #1926'!G66</f>
        <v>1.51</v>
      </c>
      <c r="P123" s="82">
        <f t="shared" si="33"/>
        <v>1.901996</v>
      </c>
      <c r="Q123" s="83">
        <f>O123*0.125/1000</f>
        <v>1.8875000000000001E-4</v>
      </c>
      <c r="R123" s="84">
        <f t="shared" si="34"/>
        <v>36.190281966790813</v>
      </c>
      <c r="S123" s="85"/>
      <c r="V123" s="86">
        <f t="shared" si="35"/>
        <v>68.833771539708266</v>
      </c>
      <c r="W123" s="102"/>
      <c r="X123" s="86"/>
      <c r="Y123" s="86"/>
      <c r="Z123" s="86">
        <f>(V123-$V$105)/(D122-$D$104)</f>
        <v>0.37838958909713766</v>
      </c>
      <c r="AA123" s="102"/>
      <c r="AB123" s="110"/>
      <c r="AE123" s="86"/>
      <c r="AF123" s="86"/>
      <c r="AG123" s="86"/>
      <c r="AH123" s="86"/>
    </row>
    <row r="124" spans="2:34" x14ac:dyDescent="0.2">
      <c r="B124" s="58"/>
      <c r="D124" s="79"/>
      <c r="E124" s="90" t="s">
        <v>109</v>
      </c>
      <c r="F124" s="58"/>
      <c r="G124" s="79"/>
      <c r="H124" s="81">
        <f>0.2008-F122</f>
        <v>0.16289999999999999</v>
      </c>
      <c r="I124" s="82">
        <f>0.2111-F122</f>
        <v>0.17320000000000002</v>
      </c>
      <c r="J124" s="82">
        <f>0.1388-G122</f>
        <v>0.1008</v>
      </c>
      <c r="K124" s="82">
        <f>0.1483-G122</f>
        <v>0.11029999999999998</v>
      </c>
      <c r="L124" s="82">
        <f t="shared" si="30"/>
        <v>1.651799027552674E-2</v>
      </c>
      <c r="M124" s="82">
        <f t="shared" si="31"/>
        <v>1.7255834683954627E-2</v>
      </c>
      <c r="N124" s="92">
        <f t="shared" si="32"/>
        <v>1.6886912479740682E-2</v>
      </c>
      <c r="O124" s="92">
        <f>'Growth curves UTEX #1926'!H66</f>
        <v>1.542</v>
      </c>
      <c r="P124" s="92">
        <f t="shared" si="33"/>
        <v>1.9423032000000002</v>
      </c>
      <c r="Q124" s="93">
        <f>O124*0.125/1000</f>
        <v>1.9275E-4</v>
      </c>
      <c r="R124" s="94">
        <f t="shared" si="34"/>
        <v>43.80522044031305</v>
      </c>
      <c r="S124" s="95">
        <f>AVERAGE(R122:R124)</f>
        <v>41.338724109463463</v>
      </c>
      <c r="T124" s="96">
        <f>STDEV(R122:R124)</f>
        <v>4.4599828466092468</v>
      </c>
      <c r="U124" s="96">
        <f>T124/SQRT(3)</f>
        <v>2.5749722970709623</v>
      </c>
      <c r="V124" s="96">
        <f t="shared" si="35"/>
        <v>85.083019837925463</v>
      </c>
      <c r="W124" s="95">
        <f t="shared" si="37"/>
        <v>81.728305586169654</v>
      </c>
      <c r="X124" s="96">
        <f t="shared" si="38"/>
        <v>11.587305072831622</v>
      </c>
      <c r="Y124" s="96">
        <f t="shared" si="39"/>
        <v>6.6899337029816532</v>
      </c>
      <c r="Z124" s="96">
        <f>(V124-$V$106)/(D122-$D$104)</f>
        <v>0.4807318777591737</v>
      </c>
      <c r="AA124" s="95">
        <f t="shared" si="41"/>
        <v>0.45827482984272266</v>
      </c>
      <c r="AB124" s="103">
        <f t="shared" si="42"/>
        <v>4.1198640798214968E-2</v>
      </c>
    </row>
    <row r="125" spans="2:34" x14ac:dyDescent="0.2">
      <c r="B125" s="99" t="s">
        <v>32</v>
      </c>
      <c r="C125" s="100">
        <v>0.43888888888888888</v>
      </c>
      <c r="D125" s="151">
        <f>30/60+48+D122</f>
        <v>215.68333333333331</v>
      </c>
      <c r="E125" s="80" t="s">
        <v>107</v>
      </c>
      <c r="F125" s="104">
        <v>3.1099999999999999E-2</v>
      </c>
      <c r="G125" s="139">
        <v>3.0200000000000001E-2</v>
      </c>
      <c r="H125" s="104">
        <f>0.236-F125</f>
        <v>0.2049</v>
      </c>
      <c r="I125" s="105">
        <f>0.2027-F125</f>
        <v>0.1716</v>
      </c>
      <c r="J125" s="105">
        <f>0.1607-G125</f>
        <v>0.1305</v>
      </c>
      <c r="K125" s="105">
        <f>0.1293-G125</f>
        <v>9.9099999999999994E-2</v>
      </c>
      <c r="L125" s="82">
        <f t="shared" si="30"/>
        <v>2.0412884927066451E-2</v>
      </c>
      <c r="M125" s="82">
        <f t="shared" si="31"/>
        <v>1.8094732576985413E-2</v>
      </c>
      <c r="N125" s="82">
        <f t="shared" si="32"/>
        <v>1.9253808752025932E-2</v>
      </c>
      <c r="O125" s="82">
        <f>'Growth curves UTEX #1926'!F67</f>
        <v>1.97</v>
      </c>
      <c r="P125" s="82">
        <f t="shared" si="33"/>
        <v>2.4814120000000002</v>
      </c>
      <c r="Q125" s="83">
        <f t="shared" ref="Q125:Q130" si="44">P125*0.1/1000</f>
        <v>2.4814120000000002E-4</v>
      </c>
      <c r="R125" s="84">
        <f t="shared" si="34"/>
        <v>38.796074074006917</v>
      </c>
      <c r="S125" s="85"/>
      <c r="V125" s="86">
        <f t="shared" si="35"/>
        <v>96.269043760129662</v>
      </c>
      <c r="W125" s="102"/>
      <c r="X125" s="86"/>
      <c r="Y125" s="86"/>
      <c r="Z125" s="86">
        <f t="shared" si="40"/>
        <v>0.42292497667696943</v>
      </c>
      <c r="AA125" s="102"/>
      <c r="AB125" s="110"/>
    </row>
    <row r="126" spans="2:34" x14ac:dyDescent="0.2">
      <c r="B126" s="58"/>
      <c r="D126" s="79"/>
      <c r="E126" s="80" t="s">
        <v>108</v>
      </c>
      <c r="F126" s="58"/>
      <c r="G126" s="79"/>
      <c r="H126" s="81">
        <f>0.223-F125</f>
        <v>0.19190000000000002</v>
      </c>
      <c r="I126" s="82">
        <f>0.2051-F125</f>
        <v>0.17400000000000002</v>
      </c>
      <c r="J126" s="82">
        <f>0.1487-G125</f>
        <v>0.11849999999999999</v>
      </c>
      <c r="K126" s="82">
        <f>0.1323-G125</f>
        <v>0.1021</v>
      </c>
      <c r="L126" s="82">
        <f t="shared" si="30"/>
        <v>1.9482576985413294E-2</v>
      </c>
      <c r="M126" s="82">
        <f t="shared" si="31"/>
        <v>1.8189546191247977E-2</v>
      </c>
      <c r="N126" s="82">
        <f t="shared" si="32"/>
        <v>1.8836061588330635E-2</v>
      </c>
      <c r="O126" s="82">
        <f>'Growth curves UTEX #1926'!G67</f>
        <v>1.8919999999999999</v>
      </c>
      <c r="P126" s="82">
        <f t="shared" si="33"/>
        <v>2.3831631999999998</v>
      </c>
      <c r="Q126" s="83">
        <f t="shared" si="44"/>
        <v>2.3831632E-4</v>
      </c>
      <c r="R126" s="84">
        <f t="shared" si="34"/>
        <v>39.519034173426803</v>
      </c>
      <c r="S126" s="85"/>
      <c r="V126" s="86">
        <f t="shared" si="35"/>
        <v>94.180307941653169</v>
      </c>
      <c r="W126" s="102"/>
      <c r="X126" s="86"/>
      <c r="Y126" s="86"/>
      <c r="Z126" s="86">
        <f>(V126-$V$105)/(D125-$D$104)</f>
        <v>0.41081973204157962</v>
      </c>
      <c r="AA126" s="102"/>
      <c r="AB126" s="110"/>
    </row>
    <row r="127" spans="2:34" x14ac:dyDescent="0.2">
      <c r="B127" s="58"/>
      <c r="D127" s="79"/>
      <c r="E127" s="90" t="s">
        <v>109</v>
      </c>
      <c r="F127" s="58"/>
      <c r="G127" s="79"/>
      <c r="H127" s="81">
        <f>0.1928-F125</f>
        <v>0.16170000000000001</v>
      </c>
      <c r="I127" s="82">
        <f>0.1942-F125</f>
        <v>0.16310000000000002</v>
      </c>
      <c r="J127" s="82">
        <f>0.1281-G125</f>
        <v>9.7899999999999987E-2</v>
      </c>
      <c r="K127" s="82">
        <f>0.126-G125</f>
        <v>9.5799999999999996E-2</v>
      </c>
      <c r="L127" s="82">
        <f t="shared" si="30"/>
        <v>1.6607860615883308E-2</v>
      </c>
      <c r="M127" s="82">
        <f t="shared" si="31"/>
        <v>1.7040680713128042E-2</v>
      </c>
      <c r="N127" s="92">
        <f t="shared" si="32"/>
        <v>1.6824270664505675E-2</v>
      </c>
      <c r="O127" s="92">
        <f>'Growth curves UTEX #1926'!H67</f>
        <v>1.94</v>
      </c>
      <c r="P127" s="92">
        <f t="shared" si="33"/>
        <v>2.4436240000000002</v>
      </c>
      <c r="Q127" s="93">
        <f t="shared" si="44"/>
        <v>2.4436240000000006E-4</v>
      </c>
      <c r="R127" s="94">
        <f t="shared" si="34"/>
        <v>34.424835131152889</v>
      </c>
      <c r="S127" s="95">
        <f>AVERAGE(R125:R127)</f>
        <v>37.579981126195541</v>
      </c>
      <c r="T127" s="96">
        <f>STDEV(R125:R127)</f>
        <v>2.7562433698538933</v>
      </c>
      <c r="U127" s="96">
        <f>T127/SQRT(3)</f>
        <v>1.5913178515372666</v>
      </c>
      <c r="V127" s="96">
        <f t="shared" si="35"/>
        <v>84.12135332252835</v>
      </c>
      <c r="W127" s="95">
        <f t="shared" si="37"/>
        <v>91.523568341437056</v>
      </c>
      <c r="X127" s="96">
        <f t="shared" si="38"/>
        <v>6.4950207635899773</v>
      </c>
      <c r="Y127" s="96">
        <f t="shared" si="39"/>
        <v>3.7499019862508822</v>
      </c>
      <c r="Z127" s="96">
        <f>(V127-$V$106)/(D125-$D$104)</f>
        <v>0.36817258904863953</v>
      </c>
      <c r="AA127" s="95">
        <f t="shared" si="41"/>
        <v>0.40063909925572955</v>
      </c>
      <c r="AB127" s="103">
        <f t="shared" si="42"/>
        <v>1.6605119197514239E-2</v>
      </c>
    </row>
    <row r="128" spans="2:34" x14ac:dyDescent="0.2">
      <c r="B128" s="99" t="s">
        <v>33</v>
      </c>
      <c r="C128" s="100">
        <v>0.46249999999999997</v>
      </c>
      <c r="D128" s="147">
        <f>34/60+24+D125</f>
        <v>240.24999999999997</v>
      </c>
      <c r="E128" s="80" t="s">
        <v>107</v>
      </c>
      <c r="F128" s="104">
        <v>4.9200000000000001E-2</v>
      </c>
      <c r="G128" s="139">
        <v>4.8500000000000001E-2</v>
      </c>
      <c r="H128" s="104">
        <f>0.2454-F128</f>
        <v>0.19620000000000001</v>
      </c>
      <c r="I128" s="105">
        <f>0.2433-F128</f>
        <v>0.19409999999999999</v>
      </c>
      <c r="J128" s="105">
        <f>0.1575-G128</f>
        <v>0.109</v>
      </c>
      <c r="K128" s="105">
        <f>0.1575-G128</f>
        <v>0.109</v>
      </c>
      <c r="L128" s="82">
        <f t="shared" si="30"/>
        <v>2.1111021069692062E-2</v>
      </c>
      <c r="M128" s="82">
        <f t="shared" si="31"/>
        <v>2.0770664505672609E-2</v>
      </c>
      <c r="N128" s="82">
        <f t="shared" si="32"/>
        <v>2.0940842787682337E-2</v>
      </c>
      <c r="O128" s="82">
        <f>'Growth curves UTEX #1926'!F68</f>
        <v>2.3239999999999998</v>
      </c>
      <c r="P128" s="82">
        <f t="shared" si="33"/>
        <v>2.9273104000000001</v>
      </c>
      <c r="Q128" s="83">
        <f t="shared" si="44"/>
        <v>2.9273104000000002E-4</v>
      </c>
      <c r="R128" s="84">
        <f t="shared" si="34"/>
        <v>35.768059970139035</v>
      </c>
      <c r="S128" s="85"/>
      <c r="V128" s="86">
        <f t="shared" si="35"/>
        <v>104.70421393841168</v>
      </c>
      <c r="W128" s="102"/>
      <c r="X128" s="86"/>
      <c r="Y128" s="86"/>
      <c r="Z128" s="86">
        <f t="shared" si="40"/>
        <v>0.41478892361245806</v>
      </c>
      <c r="AA128" s="102"/>
      <c r="AB128" s="110"/>
    </row>
    <row r="129" spans="2:28" x14ac:dyDescent="0.2">
      <c r="B129" s="58"/>
      <c r="D129" s="79"/>
      <c r="E129" s="80" t="s">
        <v>108</v>
      </c>
      <c r="F129" s="58"/>
      <c r="G129" s="79"/>
      <c r="H129" s="81">
        <f>0.2466-F128</f>
        <v>0.19740000000000002</v>
      </c>
      <c r="I129" s="82">
        <f>0.2583-F128</f>
        <v>0.20909999999999998</v>
      </c>
      <c r="J129" s="82">
        <f>0.1614-G128</f>
        <v>0.11289999999999999</v>
      </c>
      <c r="K129" s="82">
        <f>0.1741-G128</f>
        <v>0.12559999999999999</v>
      </c>
      <c r="L129" s="82">
        <f t="shared" si="30"/>
        <v>2.0923095623987038E-2</v>
      </c>
      <c r="M129" s="82">
        <f t="shared" si="31"/>
        <v>2.1574068071312805E-2</v>
      </c>
      <c r="N129" s="82">
        <f t="shared" si="32"/>
        <v>2.1248581847649922E-2</v>
      </c>
      <c r="O129" s="82">
        <f>'Growth curves UTEX #1926'!G68</f>
        <v>2.1640000000000001</v>
      </c>
      <c r="P129" s="82">
        <f t="shared" si="33"/>
        <v>2.7257744000000002</v>
      </c>
      <c r="Q129" s="83">
        <f t="shared" si="44"/>
        <v>2.7257744000000001E-4</v>
      </c>
      <c r="R129" s="84">
        <f t="shared" si="34"/>
        <v>38.977146912176444</v>
      </c>
      <c r="S129" s="85"/>
      <c r="V129" s="86">
        <f t="shared" si="35"/>
        <v>106.24290923824961</v>
      </c>
      <c r="W129" s="102"/>
      <c r="X129" s="86"/>
      <c r="Y129" s="86"/>
      <c r="Z129" s="86">
        <f>(V129-$V$105)/(D128-$D$104)</f>
        <v>0.41902006452624824</v>
      </c>
      <c r="AA129" s="102"/>
      <c r="AB129" s="110"/>
    </row>
    <row r="130" spans="2:28" x14ac:dyDescent="0.2">
      <c r="B130" s="58"/>
      <c r="D130" s="79"/>
      <c r="E130" s="90" t="s">
        <v>109</v>
      </c>
      <c r="F130" s="58"/>
      <c r="G130" s="79"/>
      <c r="H130" s="81">
        <f>0.2396-F128</f>
        <v>0.19040000000000001</v>
      </c>
      <c r="I130" s="82">
        <f>0.25-F128</f>
        <v>0.20080000000000001</v>
      </c>
      <c r="J130" s="82">
        <f>0.1542-G128</f>
        <v>0.1057</v>
      </c>
      <c r="K130" s="82">
        <f>0.1615-G128</f>
        <v>0.113</v>
      </c>
      <c r="L130" s="82">
        <f t="shared" si="30"/>
        <v>2.0494570502431118E-2</v>
      </c>
      <c r="M130" s="82">
        <f t="shared" si="31"/>
        <v>2.1464343598055109E-2</v>
      </c>
      <c r="N130" s="92">
        <f t="shared" si="32"/>
        <v>2.0979457050243115E-2</v>
      </c>
      <c r="O130" s="92">
        <f>'Growth curves UTEX #1926'!H68</f>
        <v>2.3679999999999999</v>
      </c>
      <c r="P130" s="92">
        <f t="shared" si="33"/>
        <v>2.9827328</v>
      </c>
      <c r="Q130" s="93">
        <f t="shared" si="44"/>
        <v>2.9827328000000001E-4</v>
      </c>
      <c r="R130" s="94">
        <f t="shared" si="34"/>
        <v>35.16818041871386</v>
      </c>
      <c r="S130" s="95">
        <f>AVERAGE(R128:R130)</f>
        <v>36.637795767009777</v>
      </c>
      <c r="T130" s="96">
        <f>STDEV(R128:R130)</f>
        <v>2.04802019139191</v>
      </c>
      <c r="U130" s="96">
        <f>T130/SQRT(3)</f>
        <v>1.1824250088059083</v>
      </c>
      <c r="V130" s="96">
        <f t="shared" si="35"/>
        <v>104.89728525121556</v>
      </c>
      <c r="W130" s="95">
        <f t="shared" si="37"/>
        <v>105.28146947595896</v>
      </c>
      <c r="X130" s="96">
        <f t="shared" si="38"/>
        <v>0.83820877193100873</v>
      </c>
      <c r="Y130" s="96">
        <f t="shared" si="39"/>
        <v>0.48394006011147356</v>
      </c>
      <c r="Z130" s="96">
        <f>(V130-$V$106)/(D128-$D$104)</f>
        <v>0.41700155328475041</v>
      </c>
      <c r="AA130" s="95">
        <f t="shared" si="41"/>
        <v>0.41693684714115226</v>
      </c>
      <c r="AB130" s="103">
        <f t="shared" si="42"/>
        <v>1.2218535812242813E-3</v>
      </c>
    </row>
    <row r="131" spans="2:28" x14ac:dyDescent="0.2">
      <c r="B131" s="99" t="s">
        <v>34</v>
      </c>
      <c r="C131" s="100">
        <v>0.50694444444444442</v>
      </c>
      <c r="D131" s="147">
        <f>1+4/60+48+D128</f>
        <v>289.31666666666666</v>
      </c>
      <c r="E131" s="80" t="s">
        <v>107</v>
      </c>
      <c r="F131" s="104">
        <v>4.5900000000000003E-2</v>
      </c>
      <c r="G131" s="139">
        <v>4.4499999999999998E-2</v>
      </c>
      <c r="H131" s="104">
        <f>0.2273-F131</f>
        <v>0.18140000000000001</v>
      </c>
      <c r="I131" s="105">
        <f>0.2298-F131</f>
        <v>0.18390000000000001</v>
      </c>
      <c r="J131" s="105">
        <f>0.1421-G131</f>
        <v>9.7600000000000006E-2</v>
      </c>
      <c r="K131" s="105">
        <f>0.1448-G131</f>
        <v>0.10030000000000001</v>
      </c>
      <c r="L131" s="82">
        <f t="shared" si="30"/>
        <v>1.9830145867098865E-2</v>
      </c>
      <c r="M131" s="82">
        <f t="shared" si="31"/>
        <v>1.9970583468395465E-2</v>
      </c>
      <c r="N131" s="82">
        <f t="shared" si="32"/>
        <v>1.9900364667747167E-2</v>
      </c>
      <c r="O131" s="82">
        <f>'Growth curves UTEX #1926'!F69</f>
        <v>2.8239999999999998</v>
      </c>
      <c r="P131" s="82">
        <f t="shared" si="33"/>
        <v>3.5571104</v>
      </c>
      <c r="Q131" s="83">
        <f>P131*0.075/1000</f>
        <v>2.6678328E-4</v>
      </c>
      <c r="R131" s="84">
        <f t="shared" si="34"/>
        <v>37.29687382910047</v>
      </c>
      <c r="S131" s="85"/>
      <c r="V131" s="86">
        <f t="shared" si="35"/>
        <v>132.66909778498109</v>
      </c>
      <c r="W131" s="102"/>
      <c r="X131" s="86"/>
      <c r="Y131" s="86"/>
      <c r="Z131" s="86">
        <f t="shared" si="40"/>
        <v>0.44110117890821748</v>
      </c>
      <c r="AA131" s="102"/>
      <c r="AB131" s="110"/>
    </row>
    <row r="132" spans="2:28" x14ac:dyDescent="0.2">
      <c r="B132" s="58"/>
      <c r="D132" s="79"/>
      <c r="E132" s="80" t="s">
        <v>108</v>
      </c>
      <c r="F132" s="58"/>
      <c r="G132" s="79"/>
      <c r="H132" s="81"/>
      <c r="I132" s="82">
        <f>0.1791-F131</f>
        <v>0.13320000000000001</v>
      </c>
      <c r="J132" s="82"/>
      <c r="K132" s="82">
        <f>0.1185-G131</f>
        <v>7.3999999999999996E-2</v>
      </c>
      <c r="L132" s="82">
        <f t="shared" si="30"/>
        <v>0</v>
      </c>
      <c r="M132" s="82">
        <f t="shared" si="31"/>
        <v>1.4332252836304701E-2</v>
      </c>
      <c r="N132" s="82">
        <f t="shared" si="32"/>
        <v>7.1661264181523505E-3</v>
      </c>
      <c r="O132" s="82">
        <f>'Growth curves UTEX #1926'!G69</f>
        <v>2.58</v>
      </c>
      <c r="P132" s="82">
        <f t="shared" si="33"/>
        <v>3.2497680000000004</v>
      </c>
      <c r="Q132" s="83">
        <f>P132*0.075/1000</f>
        <v>2.4373260000000002E-4</v>
      </c>
      <c r="R132" s="84">
        <f t="shared" si="34"/>
        <v>14.700795909435895</v>
      </c>
      <c r="S132" s="85"/>
      <c r="V132" s="86">
        <f t="shared" si="35"/>
        <v>47.774176121015678</v>
      </c>
      <c r="W132" s="102"/>
      <c r="X132" s="86"/>
      <c r="Y132" s="86"/>
      <c r="Z132" s="86">
        <f>(V132-$V$105)/(D131-$D$104)</f>
        <v>0.14586383104509662</v>
      </c>
      <c r="AA132" s="102"/>
      <c r="AB132" s="110"/>
    </row>
    <row r="133" spans="2:28" x14ac:dyDescent="0.2">
      <c r="B133" s="58"/>
      <c r="D133" s="79"/>
      <c r="E133" s="90" t="s">
        <v>109</v>
      </c>
      <c r="F133" s="58"/>
      <c r="G133" s="79"/>
      <c r="H133" s="81">
        <f>0.2581-F131</f>
        <v>0.2122</v>
      </c>
      <c r="I133" s="82">
        <f>0.2577-F131</f>
        <v>0.21179999999999999</v>
      </c>
      <c r="J133" s="82">
        <f>0.1692-G131</f>
        <v>0.12469999999999999</v>
      </c>
      <c r="K133" s="82">
        <f>0.1686-G131</f>
        <v>0.1241</v>
      </c>
      <c r="L133" s="82">
        <f t="shared" si="30"/>
        <v>2.2164748784440844E-2</v>
      </c>
      <c r="M133" s="82">
        <f t="shared" si="31"/>
        <v>2.2158752025931927E-2</v>
      </c>
      <c r="N133" s="92">
        <f t="shared" si="32"/>
        <v>2.2161750405186385E-2</v>
      </c>
      <c r="O133" s="92">
        <f>'Growth curves UTEX #1926'!H69</f>
        <v>2.7759999999999998</v>
      </c>
      <c r="P133" s="92">
        <f t="shared" si="33"/>
        <v>3.4966496</v>
      </c>
      <c r="Q133" s="93">
        <f>P133*0.075/1000</f>
        <v>2.6224871999999997E-4</v>
      </c>
      <c r="R133" s="94">
        <f t="shared" si="34"/>
        <v>42.253305192845914</v>
      </c>
      <c r="S133" s="95">
        <f>AVERAGE(R131:R133)</f>
        <v>31.416991643794091</v>
      </c>
      <c r="T133" s="96">
        <f>STDEV(R131:R133)</f>
        <v>14.687237753843007</v>
      </c>
      <c r="U133" s="96">
        <f>T133/SQRT(3)</f>
        <v>8.4796806708332948</v>
      </c>
      <c r="V133" s="96">
        <f t="shared" si="35"/>
        <v>147.74500270124258</v>
      </c>
      <c r="W133" s="95">
        <f t="shared" si="37"/>
        <v>109.39609220241312</v>
      </c>
      <c r="X133" s="96">
        <f t="shared" si="38"/>
        <v>53.895882341957552</v>
      </c>
      <c r="Y133" s="96">
        <f t="shared" si="39"/>
        <v>31.116802178341594</v>
      </c>
      <c r="Z133" s="96">
        <f>(V133-$V$106)/(D131-$D$104)</f>
        <v>0.49437988579994802</v>
      </c>
      <c r="AA133" s="95">
        <f t="shared" si="41"/>
        <v>0.36044829858442068</v>
      </c>
      <c r="AB133" s="103">
        <f t="shared" si="42"/>
        <v>0.10838899918636449</v>
      </c>
    </row>
    <row r="134" spans="2:28" x14ac:dyDescent="0.2">
      <c r="B134" s="99" t="s">
        <v>35</v>
      </c>
      <c r="C134" s="100">
        <v>0.50763888888888886</v>
      </c>
      <c r="D134" s="147">
        <f>1/60+24+D131</f>
        <v>313.33333333333331</v>
      </c>
      <c r="E134" s="80" t="s">
        <v>107</v>
      </c>
      <c r="F134" s="104">
        <f>(0.0555+0.0526)/2</f>
        <v>5.4050000000000001E-2</v>
      </c>
      <c r="G134" s="139">
        <f>(0.0536+0.0514)/2</f>
        <v>5.2500000000000005E-2</v>
      </c>
      <c r="H134" s="104">
        <f>0.229-F134</f>
        <v>0.17494999999999999</v>
      </c>
      <c r="I134" s="105">
        <f>0.2166-F134</f>
        <v>0.16254999999999997</v>
      </c>
      <c r="J134" s="105">
        <f>0.1469-G134</f>
        <v>9.4399999999999998E-2</v>
      </c>
      <c r="K134" s="105">
        <f>0.138-G134</f>
        <v>8.5500000000000007E-2</v>
      </c>
      <c r="L134" s="82">
        <f t="shared" si="30"/>
        <v>1.9098541329011346E-2</v>
      </c>
      <c r="M134" s="82">
        <f t="shared" si="31"/>
        <v>1.7961507293354939E-2</v>
      </c>
      <c r="N134" s="82">
        <f t="shared" si="32"/>
        <v>1.8530024311183141E-2</v>
      </c>
      <c r="O134" s="82">
        <f>'Growth curves UTEX #1926'!F70</f>
        <v>2.7839999999999998</v>
      </c>
      <c r="P134" s="82">
        <f t="shared" si="33"/>
        <v>3.5067263999999998</v>
      </c>
      <c r="Q134" s="83">
        <f t="shared" ref="Q134:Q136" si="45">P134*0.075/1000</f>
        <v>2.6300447999999998E-4</v>
      </c>
      <c r="R134" s="84">
        <f t="shared" si="34"/>
        <v>35.227583026690539</v>
      </c>
      <c r="S134" s="85"/>
      <c r="V134" s="86">
        <f t="shared" si="35"/>
        <v>123.53349540788761</v>
      </c>
      <c r="W134" s="102"/>
      <c r="X134" s="86"/>
      <c r="Y134" s="86"/>
      <c r="Z134" s="86">
        <f t="shared" si="40"/>
        <v>0.37813506500224142</v>
      </c>
      <c r="AA134" s="102"/>
      <c r="AB134" s="110"/>
    </row>
    <row r="135" spans="2:28" x14ac:dyDescent="0.2">
      <c r="B135" s="58"/>
      <c r="D135" s="79"/>
      <c r="E135" s="80" t="s">
        <v>108</v>
      </c>
      <c r="F135" s="58"/>
      <c r="G135" s="79"/>
      <c r="H135" s="81">
        <f>0.2075-F134</f>
        <v>0.15344999999999998</v>
      </c>
      <c r="I135" s="82">
        <f>0.2195-F134</f>
        <v>0.16544999999999999</v>
      </c>
      <c r="J135" s="82">
        <f>0.1355-G134</f>
        <v>8.3000000000000004E-2</v>
      </c>
      <c r="K135" s="82">
        <f>0.1413-G134</f>
        <v>8.8800000000000004E-2</v>
      </c>
      <c r="L135" s="82">
        <f t="shared" si="30"/>
        <v>1.6731766612641811E-2</v>
      </c>
      <c r="M135" s="82">
        <f t="shared" si="31"/>
        <v>1.8107941653160452E-2</v>
      </c>
      <c r="N135" s="82">
        <f t="shared" si="32"/>
        <v>1.7419854132901133E-2</v>
      </c>
      <c r="O135" s="82">
        <f>'Growth curves UTEX #1926'!G70</f>
        <v>2.52</v>
      </c>
      <c r="P135" s="82">
        <f t="shared" si="33"/>
        <v>3.1741920000000001</v>
      </c>
      <c r="Q135" s="83">
        <f t="shared" si="45"/>
        <v>2.3806440000000002E-4</v>
      </c>
      <c r="R135" s="84">
        <f t="shared" si="34"/>
        <v>36.586432353810842</v>
      </c>
      <c r="S135" s="85"/>
      <c r="V135" s="86">
        <f t="shared" si="35"/>
        <v>116.13236088600755</v>
      </c>
      <c r="W135" s="102"/>
      <c r="X135" s="86"/>
      <c r="Y135" s="86"/>
      <c r="Z135" s="86">
        <f>(V135-$V$105)/(D134-$D$104)</f>
        <v>0.35284794303251832</v>
      </c>
      <c r="AA135" s="102"/>
      <c r="AB135" s="110"/>
    </row>
    <row r="136" spans="2:28" x14ac:dyDescent="0.2">
      <c r="B136" s="58"/>
      <c r="D136" s="79"/>
      <c r="E136" s="90" t="s">
        <v>109</v>
      </c>
      <c r="F136" s="58"/>
      <c r="G136" s="79"/>
      <c r="H136" s="81">
        <f>0.2129-F134</f>
        <v>0.15884999999999999</v>
      </c>
      <c r="I136" s="82">
        <f>0.2205-F134</f>
        <v>0.16644999999999999</v>
      </c>
      <c r="J136" s="82">
        <f>0.1389-G134</f>
        <v>8.6399999999999991E-2</v>
      </c>
      <c r="K136" s="82">
        <f>0.1442-G134</f>
        <v>9.169999999999999E-2</v>
      </c>
      <c r="L136" s="82">
        <f t="shared" si="30"/>
        <v>1.7273581847649919E-2</v>
      </c>
      <c r="M136" s="82">
        <f t="shared" si="31"/>
        <v>1.7985656401944897E-2</v>
      </c>
      <c r="N136" s="92">
        <f t="shared" si="32"/>
        <v>1.7629619124797408E-2</v>
      </c>
      <c r="O136" s="92">
        <f>'Growth curves UTEX #1926'!H70</f>
        <v>2.7839999999999998</v>
      </c>
      <c r="P136" s="92">
        <f t="shared" si="33"/>
        <v>3.5067263999999998</v>
      </c>
      <c r="Q136" s="93">
        <f t="shared" si="45"/>
        <v>2.6300447999999998E-4</v>
      </c>
      <c r="R136" s="94">
        <f t="shared" si="34"/>
        <v>33.515815253028023</v>
      </c>
      <c r="S136" s="95">
        <f>AVERAGE(R134:R136)</f>
        <v>35.109943544509804</v>
      </c>
      <c r="T136" s="96">
        <f>STDEV(R134:R136)</f>
        <v>1.5386850329845887</v>
      </c>
      <c r="U136" s="96">
        <f>T136/SQRT(3)</f>
        <v>0.88836021799170051</v>
      </c>
      <c r="V136" s="96">
        <f t="shared" si="35"/>
        <v>117.53079416531604</v>
      </c>
      <c r="W136" s="95">
        <f t="shared" si="37"/>
        <v>119.06555015307039</v>
      </c>
      <c r="X136" s="96">
        <f t="shared" si="38"/>
        <v>3.9320230173794917</v>
      </c>
      <c r="Y136" s="96">
        <f t="shared" si="39"/>
        <v>2.270154547543854</v>
      </c>
      <c r="Z136" s="96">
        <f>(V136-$V$106)/(D134-$D$104)</f>
        <v>0.36005786837477155</v>
      </c>
      <c r="AA136" s="95">
        <f t="shared" si="41"/>
        <v>0.36368029213651037</v>
      </c>
      <c r="AB136" s="103">
        <f t="shared" si="42"/>
        <v>7.5211058541972634E-3</v>
      </c>
    </row>
    <row r="137" spans="2:28" x14ac:dyDescent="0.2">
      <c r="B137" s="99" t="s">
        <v>36</v>
      </c>
      <c r="C137" s="100">
        <v>0.47569444444444442</v>
      </c>
      <c r="D137" s="154">
        <f>11+14/60+12+D134</f>
        <v>336.56666666666666</v>
      </c>
      <c r="E137" s="80" t="s">
        <v>107</v>
      </c>
      <c r="F137" s="104">
        <f>(0.0459+0.0491)/2</f>
        <v>4.7500000000000001E-2</v>
      </c>
      <c r="G137" s="139">
        <f>(0.0437+0.047)/2</f>
        <v>4.5350000000000001E-2</v>
      </c>
      <c r="H137" s="104">
        <f>0.2202-F137</f>
        <v>0.17270000000000002</v>
      </c>
      <c r="I137" s="105">
        <f>0.2135-F137</f>
        <v>0.16599999999999998</v>
      </c>
      <c r="J137" s="105">
        <f>0.1415-G137</f>
        <v>9.6149999999999985E-2</v>
      </c>
      <c r="K137" s="105">
        <f>0.1378-G137</f>
        <v>9.2450000000000004E-2</v>
      </c>
      <c r="L137" s="82">
        <f t="shared" si="30"/>
        <v>1.856227714748785E-2</v>
      </c>
      <c r="M137" s="82">
        <f t="shared" si="31"/>
        <v>1.7839181523500808E-2</v>
      </c>
      <c r="N137" s="82">
        <f t="shared" si="32"/>
        <v>1.8200729335494329E-2</v>
      </c>
      <c r="O137" s="82">
        <f>'Growth curves UTEX #1926'!F71</f>
        <v>2.8039999999999998</v>
      </c>
      <c r="P137" s="82">
        <f t="shared" si="33"/>
        <v>3.5319183999999999</v>
      </c>
      <c r="Q137" s="83">
        <f>P137*0.075/1000</f>
        <v>2.6489387999999999E-4</v>
      </c>
      <c r="R137" s="84">
        <f t="shared" si="34"/>
        <v>34.354756205568677</v>
      </c>
      <c r="S137" s="85"/>
      <c r="V137" s="86">
        <f t="shared" si="35"/>
        <v>121.3381955699622</v>
      </c>
      <c r="W137" s="102"/>
      <c r="X137" s="86"/>
      <c r="Y137" s="86"/>
      <c r="Z137" s="86">
        <f t="shared" si="40"/>
        <v>0.34550961829090887</v>
      </c>
      <c r="AA137" s="102"/>
      <c r="AB137" s="110"/>
    </row>
    <row r="138" spans="2:28" x14ac:dyDescent="0.2">
      <c r="B138" s="58"/>
      <c r="E138" s="80" t="s">
        <v>108</v>
      </c>
      <c r="F138" s="81"/>
      <c r="G138" s="137"/>
      <c r="H138" s="81">
        <f>0.2141-F137</f>
        <v>0.16660000000000003</v>
      </c>
      <c r="I138" s="82">
        <f>0.2144-F137</f>
        <v>0.16689999999999999</v>
      </c>
      <c r="J138" s="82">
        <f>0.1374-G137</f>
        <v>9.2049999999999993E-2</v>
      </c>
      <c r="K138" s="82">
        <f>0.138-G137</f>
        <v>9.265000000000001E-2</v>
      </c>
      <c r="L138" s="82">
        <f t="shared" si="30"/>
        <v>1.7975648298217184E-2</v>
      </c>
      <c r="M138" s="82">
        <f t="shared" si="31"/>
        <v>1.7965437601296597E-2</v>
      </c>
      <c r="N138" s="82">
        <f t="shared" si="32"/>
        <v>1.797054294975689E-2</v>
      </c>
      <c r="O138" s="82">
        <f>'Growth curves UTEX #1926'!G71</f>
        <v>2.532</v>
      </c>
      <c r="P138" s="82">
        <f t="shared" si="33"/>
        <v>3.1893072</v>
      </c>
      <c r="Q138" s="83">
        <f>P138*0.075/1000</f>
        <v>2.3919804000000001E-4</v>
      </c>
      <c r="R138" s="84">
        <f t="shared" si="34"/>
        <v>37.564151758427641</v>
      </c>
      <c r="S138" s="85"/>
      <c r="V138" s="86">
        <f t="shared" si="35"/>
        <v>119.80361966504594</v>
      </c>
      <c r="W138" s="102"/>
      <c r="X138" s="86"/>
      <c r="Y138" s="86"/>
      <c r="Z138" s="86">
        <f>(V138-$V$105)/(D137-$D$104)</f>
        <v>0.33939867563403225</v>
      </c>
      <c r="AA138" s="102"/>
      <c r="AB138" s="110"/>
    </row>
    <row r="139" spans="2:28" x14ac:dyDescent="0.2">
      <c r="B139" s="58"/>
      <c r="E139" s="90" t="s">
        <v>109</v>
      </c>
      <c r="F139" s="81"/>
      <c r="G139" s="137"/>
      <c r="H139" s="81">
        <f>0.2269-F137</f>
        <v>0.1794</v>
      </c>
      <c r="I139" s="82">
        <f>0.2308-F137</f>
        <v>0.18330000000000002</v>
      </c>
      <c r="J139" s="82">
        <f>0.1427-G137</f>
        <v>9.7349999999999992E-2</v>
      </c>
      <c r="K139" s="82">
        <f>0.147-G137</f>
        <v>0.10164999999999999</v>
      </c>
      <c r="L139" s="82">
        <f t="shared" si="30"/>
        <v>1.953051053484603E-2</v>
      </c>
      <c r="M139" s="82">
        <f t="shared" si="31"/>
        <v>1.9740964343598059E-2</v>
      </c>
      <c r="N139" s="92">
        <f t="shared" si="32"/>
        <v>1.9635737439222044E-2</v>
      </c>
      <c r="O139" s="92">
        <f>'Growth curves UTEX #1926'!H71</f>
        <v>2.7040000000000002</v>
      </c>
      <c r="P139" s="92">
        <f t="shared" si="33"/>
        <v>3.4059584000000003</v>
      </c>
      <c r="Q139" s="93">
        <f>P139*0.075/1000</f>
        <v>2.5544688E-4</v>
      </c>
      <c r="R139" s="94">
        <f t="shared" si="34"/>
        <v>38.434091344591963</v>
      </c>
      <c r="S139" s="95">
        <f>AVERAGE(R137:R139)</f>
        <v>36.78433310286276</v>
      </c>
      <c r="T139" s="96">
        <f>STDEV(R137:R139)</f>
        <v>2.1485650201454916</v>
      </c>
      <c r="U139" s="96">
        <f>T139/SQRT(3)</f>
        <v>1.2404745927524132</v>
      </c>
      <c r="V139" s="96">
        <f t="shared" si="35"/>
        <v>130.90491626148031</v>
      </c>
      <c r="W139" s="95">
        <f t="shared" si="37"/>
        <v>124.01557716549615</v>
      </c>
      <c r="X139" s="96">
        <f t="shared" si="38"/>
        <v>6.0154780098159506</v>
      </c>
      <c r="Y139" s="96">
        <f t="shared" si="39"/>
        <v>3.4730378482715136</v>
      </c>
      <c r="Z139" s="96">
        <f>(V139-$V$106)/(D137-$D$104)</f>
        <v>0.37493984605405373</v>
      </c>
      <c r="AA139" s="95">
        <f t="shared" si="41"/>
        <v>0.3532827133263316</v>
      </c>
      <c r="AB139" s="103">
        <f t="shared" si="42"/>
        <v>1.0971317962890598E-2</v>
      </c>
    </row>
    <row r="140" spans="2:28" x14ac:dyDescent="0.2">
      <c r="B140" s="99" t="s">
        <v>37</v>
      </c>
      <c r="C140" s="100">
        <v>0.4291666666666667</v>
      </c>
      <c r="D140" s="155">
        <f>10+53/60+12+D137</f>
        <v>359.45</v>
      </c>
      <c r="E140" s="80" t="s">
        <v>107</v>
      </c>
      <c r="F140" s="104">
        <f>(0.0422+0.0455)/2</f>
        <v>4.385E-2</v>
      </c>
      <c r="G140" s="139">
        <f>(0.0423+0.0455)/2</f>
        <v>4.3899999999999995E-2</v>
      </c>
      <c r="H140" s="104">
        <f>0.1824-F140</f>
        <v>0.13855000000000001</v>
      </c>
      <c r="I140" s="105">
        <f>0.1746-F140</f>
        <v>0.13075000000000001</v>
      </c>
      <c r="J140" s="105">
        <f>0.1199-G140</f>
        <v>7.6000000000000012E-2</v>
      </c>
      <c r="K140" s="105">
        <f>0.1144-G140</f>
        <v>7.0500000000000007E-2</v>
      </c>
      <c r="L140" s="82">
        <f t="shared" si="30"/>
        <v>1.50032414910859E-2</v>
      </c>
      <c r="M140" s="82">
        <f t="shared" si="31"/>
        <v>1.427836304700162E-2</v>
      </c>
      <c r="N140" s="82">
        <f t="shared" si="32"/>
        <v>1.4640802269043761E-2</v>
      </c>
      <c r="O140" s="82">
        <f>'Growth curves UTEX #1926'!F72</f>
        <v>2.8239999999999998</v>
      </c>
      <c r="P140" s="82">
        <f t="shared" si="33"/>
        <v>3.5571104</v>
      </c>
      <c r="Q140" s="83">
        <f t="shared" ref="Q140:Q148" si="46">P140*0.05/1000</f>
        <v>1.7785552000000002E-4</v>
      </c>
      <c r="R140" s="84">
        <f t="shared" si="34"/>
        <v>41.159257438407757</v>
      </c>
      <c r="S140" s="85"/>
      <c r="V140" s="86">
        <f t="shared" si="35"/>
        <v>146.40802269043758</v>
      </c>
      <c r="W140" s="102"/>
      <c r="X140" s="86"/>
      <c r="Y140" s="86"/>
      <c r="Z140" s="86">
        <f t="shared" si="40"/>
        <v>0.39325872207516743</v>
      </c>
      <c r="AA140" s="102"/>
      <c r="AB140" s="110"/>
    </row>
    <row r="141" spans="2:28" x14ac:dyDescent="0.2">
      <c r="B141" s="58"/>
      <c r="E141" s="80" t="s">
        <v>108</v>
      </c>
      <c r="F141" s="81"/>
      <c r="G141" s="137"/>
      <c r="H141" s="81"/>
      <c r="I141" s="82"/>
      <c r="J141" s="82"/>
      <c r="K141" s="82"/>
      <c r="L141" s="82">
        <f t="shared" si="30"/>
        <v>0</v>
      </c>
      <c r="M141" s="82">
        <f t="shared" si="31"/>
        <v>0</v>
      </c>
      <c r="N141" s="82">
        <f t="shared" si="32"/>
        <v>0</v>
      </c>
      <c r="O141" s="82">
        <f>'Growth curves UTEX #1926'!G72</f>
        <v>2.4620000000000002</v>
      </c>
      <c r="P141" s="82">
        <f t="shared" si="33"/>
        <v>3.1011352000000003</v>
      </c>
      <c r="Q141" s="83">
        <f t="shared" si="46"/>
        <v>1.5505676000000001E-4</v>
      </c>
      <c r="R141" s="84"/>
      <c r="S141" s="85"/>
      <c r="V141" s="86"/>
      <c r="W141" s="102"/>
      <c r="X141" s="86"/>
      <c r="Y141" s="86"/>
      <c r="Z141" s="86">
        <f>(V141-$V$105)/(D140-$D$104)</f>
        <v>-1.5505184965415152E-2</v>
      </c>
      <c r="AA141" s="102"/>
      <c r="AB141" s="110"/>
    </row>
    <row r="142" spans="2:28" x14ac:dyDescent="0.2">
      <c r="B142" s="58"/>
      <c r="E142" s="90" t="s">
        <v>109</v>
      </c>
      <c r="F142" s="81"/>
      <c r="G142" s="137"/>
      <c r="H142" s="81"/>
      <c r="I142" s="82"/>
      <c r="J142" s="82"/>
      <c r="K142" s="82"/>
      <c r="L142" s="82">
        <f t="shared" si="30"/>
        <v>0</v>
      </c>
      <c r="M142" s="82">
        <f t="shared" si="31"/>
        <v>0</v>
      </c>
      <c r="N142" s="92">
        <f t="shared" si="32"/>
        <v>0</v>
      </c>
      <c r="O142" s="92">
        <f>'Growth curves UTEX #1926'!H72</f>
        <v>2.7080000000000002</v>
      </c>
      <c r="P142" s="92">
        <f t="shared" si="33"/>
        <v>3.4109968000000004</v>
      </c>
      <c r="Q142" s="93">
        <f t="shared" si="46"/>
        <v>1.7054984000000004E-4</v>
      </c>
      <c r="R142" s="94"/>
      <c r="S142" s="95">
        <f>AVERAGE(R140:R142)</f>
        <v>41.159257438407757</v>
      </c>
      <c r="T142" s="96"/>
      <c r="U142" s="96"/>
      <c r="V142" s="96"/>
      <c r="W142" s="95">
        <f t="shared" si="37"/>
        <v>146.40802269043758</v>
      </c>
      <c r="X142" s="96"/>
      <c r="Y142" s="96"/>
      <c r="Z142" s="96">
        <f>(V142-$V$106)/(D140-$D$104)</f>
        <v>-1.3110758310068979E-2</v>
      </c>
      <c r="AA142" s="95">
        <f t="shared" si="41"/>
        <v>0.12154759293322777</v>
      </c>
      <c r="AB142" s="103">
        <f t="shared" si="42"/>
        <v>0.13585732294634545</v>
      </c>
    </row>
    <row r="143" spans="2:28" x14ac:dyDescent="0.2">
      <c r="B143" s="99" t="s">
        <v>38</v>
      </c>
      <c r="C143" s="100">
        <v>0.48958333333333331</v>
      </c>
      <c r="D143" s="154">
        <f>1+27/60+24+D140</f>
        <v>384.9</v>
      </c>
      <c r="E143" s="80" t="s">
        <v>107</v>
      </c>
      <c r="F143" s="104">
        <f>(0.0451+0.0398+0.0434)/3</f>
        <v>4.2766666666666668E-2</v>
      </c>
      <c r="G143" s="139">
        <f>(0.0445+0.0392+0.0428)/3</f>
        <v>4.2166666666666665E-2</v>
      </c>
      <c r="H143" s="104">
        <f>0.2518-F143</f>
        <v>0.20903333333333335</v>
      </c>
      <c r="I143" s="105">
        <f>0.2363-F143</f>
        <v>0.19353333333333333</v>
      </c>
      <c r="J143" s="105">
        <f>0.1913-G143</f>
        <v>0.14913333333333334</v>
      </c>
      <c r="K143" s="105">
        <f>0.178-G143</f>
        <v>0.13583333333333333</v>
      </c>
      <c r="L143" s="82">
        <f t="shared" si="30"/>
        <v>1.9255699621826043E-2</v>
      </c>
      <c r="M143" s="82">
        <f t="shared" si="31"/>
        <v>1.8047676931388441E-2</v>
      </c>
      <c r="N143" s="82">
        <f t="shared" si="32"/>
        <v>1.8651688276607244E-2</v>
      </c>
      <c r="O143" s="82">
        <f>'Growth curves UTEX #1926'!F73</f>
        <v>2.754</v>
      </c>
      <c r="P143" s="82">
        <f t="shared" si="33"/>
        <v>3.4689384000000003</v>
      </c>
      <c r="Q143" s="83">
        <f t="shared" si="46"/>
        <v>1.7344692000000004E-4</v>
      </c>
      <c r="R143" s="84">
        <f t="shared" si="34"/>
        <v>53.767712556115839</v>
      </c>
      <c r="S143" s="85"/>
      <c r="V143" s="86">
        <f t="shared" si="35"/>
        <v>186.5168827660724</v>
      </c>
      <c r="W143" s="102"/>
      <c r="X143" s="86"/>
      <c r="Y143" s="86"/>
      <c r="Z143" s="86">
        <f t="shared" si="40"/>
        <v>0.47146195823734416</v>
      </c>
      <c r="AA143" s="102"/>
      <c r="AB143" s="110"/>
    </row>
    <row r="144" spans="2:28" x14ac:dyDescent="0.2">
      <c r="B144" s="58"/>
      <c r="E144" s="80" t="s">
        <v>108</v>
      </c>
      <c r="F144" s="81"/>
      <c r="G144" s="137"/>
      <c r="H144" s="81">
        <f>0.1589-F143</f>
        <v>0.11613333333333334</v>
      </c>
      <c r="I144" s="82">
        <f>0.1614-F143</f>
        <v>0.11863333333333331</v>
      </c>
      <c r="J144" s="82">
        <f>0.1081-G143</f>
        <v>6.5933333333333344E-2</v>
      </c>
      <c r="K144" s="82">
        <f>0.11-G143</f>
        <v>6.7833333333333329E-2</v>
      </c>
      <c r="L144" s="82">
        <f t="shared" si="30"/>
        <v>1.2357158292814694E-2</v>
      </c>
      <c r="M144" s="82">
        <f t="shared" si="31"/>
        <v>1.2576039978390059E-2</v>
      </c>
      <c r="N144" s="82">
        <f t="shared" si="32"/>
        <v>1.2466599135602377E-2</v>
      </c>
      <c r="O144" s="82">
        <f>'Growth curves UTEX #1926'!G73</f>
        <v>2.58</v>
      </c>
      <c r="P144" s="82">
        <f t="shared" si="33"/>
        <v>3.2497680000000004</v>
      </c>
      <c r="Q144" s="83">
        <f t="shared" si="46"/>
        <v>1.6248840000000002E-4</v>
      </c>
      <c r="R144" s="84">
        <f t="shared" si="34"/>
        <v>38.361504992363685</v>
      </c>
      <c r="S144" s="85"/>
      <c r="V144" s="86">
        <f t="shared" si="35"/>
        <v>124.66599135602377</v>
      </c>
      <c r="W144" s="102"/>
      <c r="X144" s="86"/>
      <c r="Y144" s="86"/>
      <c r="Z144" s="86">
        <f>(V144-$V$105)/(D143-$D$104)</f>
        <v>0.30941193198286643</v>
      </c>
      <c r="AA144" s="102"/>
      <c r="AB144" s="110"/>
    </row>
    <row r="145" spans="2:43" x14ac:dyDescent="0.2">
      <c r="B145" s="58"/>
      <c r="E145" s="90" t="s">
        <v>109</v>
      </c>
      <c r="F145" s="81"/>
      <c r="G145" s="137"/>
      <c r="H145" s="81">
        <f>0.2035-F143</f>
        <v>0.16073333333333331</v>
      </c>
      <c r="I145" s="82">
        <f>0.2141-F143</f>
        <v>0.17133333333333334</v>
      </c>
      <c r="J145" s="82">
        <f>0.1358-G143</f>
        <v>9.3633333333333346E-2</v>
      </c>
      <c r="K145" s="82">
        <f>0.1434-G143</f>
        <v>0.10123333333333334</v>
      </c>
      <c r="L145" s="82">
        <f t="shared" si="30"/>
        <v>1.6869556996218258E-2</v>
      </c>
      <c r="M145" s="82">
        <f t="shared" si="31"/>
        <v>1.7842328471096704E-2</v>
      </c>
      <c r="N145" s="92">
        <f t="shared" si="32"/>
        <v>1.7355942733657481E-2</v>
      </c>
      <c r="O145" s="92">
        <f>'Growth curves UTEX #1926'!H73</f>
        <v>2.8079999999999998</v>
      </c>
      <c r="P145" s="92">
        <f t="shared" si="33"/>
        <v>3.5369568</v>
      </c>
      <c r="Q145" s="93">
        <f t="shared" si="46"/>
        <v>1.7684784E-4</v>
      </c>
      <c r="R145" s="94">
        <f t="shared" si="34"/>
        <v>49.070270616982036</v>
      </c>
      <c r="S145" s="95">
        <f>AVERAGE(R143:R145)</f>
        <v>47.066496055153856</v>
      </c>
      <c r="T145" s="96">
        <f>STDEV(R143:R145)</f>
        <v>7.8961473039277399</v>
      </c>
      <c r="U145" s="96">
        <f>T145/SQRT(3)</f>
        <v>4.5588427714836186</v>
      </c>
      <c r="V145" s="96">
        <f t="shared" si="35"/>
        <v>173.5594273365748</v>
      </c>
      <c r="W145" s="95">
        <f t="shared" si="37"/>
        <v>161.58076715289033</v>
      </c>
      <c r="X145" s="96">
        <f t="shared" si="38"/>
        <v>32.619003922583964</v>
      </c>
      <c r="Y145" s="96">
        <f t="shared" si="39"/>
        <v>18.832590695401311</v>
      </c>
      <c r="Z145" s="96">
        <f>(V145-$V$106)/(D143-$D$104)</f>
        <v>0.43867696872439732</v>
      </c>
      <c r="AA145" s="95">
        <f t="shared" si="41"/>
        <v>0.40651695298153595</v>
      </c>
      <c r="AB145" s="103">
        <f t="shared" si="42"/>
        <v>4.9466327643846411E-2</v>
      </c>
    </row>
    <row r="146" spans="2:43" x14ac:dyDescent="0.2">
      <c r="B146" s="99" t="s">
        <v>39</v>
      </c>
      <c r="C146" s="100">
        <v>0.47013888888888888</v>
      </c>
      <c r="D146" s="155">
        <f>11+32/60+12+D143</f>
        <v>408.43333333333328</v>
      </c>
      <c r="E146" s="80" t="s">
        <v>107</v>
      </c>
      <c r="F146" s="104">
        <v>4.4200000000000003E-2</v>
      </c>
      <c r="G146" s="139">
        <v>4.2500000000000003E-2</v>
      </c>
      <c r="H146" s="105">
        <f>0.1883-F146</f>
        <v>0.14410000000000001</v>
      </c>
      <c r="I146" s="105">
        <f>0.1824-F146</f>
        <v>0.13819999999999999</v>
      </c>
      <c r="J146" s="105">
        <f>0.1298-G146</f>
        <v>8.7299999999999989E-2</v>
      </c>
      <c r="K146" s="105">
        <f>0.1262-G146</f>
        <v>8.3699999999999997E-2</v>
      </c>
      <c r="L146" s="82">
        <f t="shared" si="30"/>
        <v>1.4794732576985416E-2</v>
      </c>
      <c r="M146" s="82">
        <f t="shared" si="31"/>
        <v>1.4191491085899512E-2</v>
      </c>
      <c r="N146" s="82">
        <f t="shared" si="32"/>
        <v>1.4493111831442463E-2</v>
      </c>
      <c r="O146" s="82">
        <f>'Growth curves UTEX #1926'!F74</f>
        <v>2.702</v>
      </c>
      <c r="P146" s="82">
        <f t="shared" si="33"/>
        <v>3.4034392000000002</v>
      </c>
      <c r="Q146" s="83">
        <f t="shared" si="46"/>
        <v>1.7017196000000001E-4</v>
      </c>
      <c r="R146" s="84">
        <f t="shared" si="34"/>
        <v>42.583724814130548</v>
      </c>
      <c r="S146" s="85"/>
      <c r="V146" s="86">
        <f t="shared" si="35"/>
        <v>144.93111831442462</v>
      </c>
      <c r="W146" s="102"/>
      <c r="X146" s="86"/>
      <c r="Y146" s="86"/>
      <c r="Z146" s="86">
        <f t="shared" si="40"/>
        <v>0.34247925391472944</v>
      </c>
      <c r="AA146" s="102"/>
      <c r="AB146" s="110"/>
    </row>
    <row r="147" spans="2:43" x14ac:dyDescent="0.2">
      <c r="B147" s="58"/>
      <c r="E147" s="80" t="s">
        <v>108</v>
      </c>
      <c r="F147" s="81"/>
      <c r="G147" s="137"/>
      <c r="H147" s="82">
        <f>0.1725-F146</f>
        <v>0.12829999999999997</v>
      </c>
      <c r="I147" s="82">
        <f>0.1806-F146</f>
        <v>0.13640000000000002</v>
      </c>
      <c r="J147" s="82">
        <f>0.1169-G146</f>
        <v>7.4399999999999994E-2</v>
      </c>
      <c r="K147" s="82">
        <f>0.1221-G146</f>
        <v>7.9600000000000004E-2</v>
      </c>
      <c r="L147" s="82">
        <f t="shared" si="30"/>
        <v>1.3498865478119931E-2</v>
      </c>
      <c r="M147" s="82">
        <f t="shared" si="31"/>
        <v>1.4301782820097248E-2</v>
      </c>
      <c r="N147" s="82">
        <f t="shared" si="32"/>
        <v>1.3900324149108589E-2</v>
      </c>
      <c r="O147" s="82">
        <f>'Growth curves UTEX #1926'!G74</f>
        <v>2.5299999999999998</v>
      </c>
      <c r="P147" s="82">
        <f t="shared" si="33"/>
        <v>3.186788</v>
      </c>
      <c r="Q147" s="83">
        <f t="shared" si="46"/>
        <v>1.5933940000000001E-4</v>
      </c>
      <c r="R147" s="84">
        <f t="shared" si="34"/>
        <v>43.618603274232825</v>
      </c>
      <c r="S147" s="85"/>
      <c r="V147" s="86">
        <f t="shared" si="35"/>
        <v>139.00324149108587</v>
      </c>
      <c r="W147" s="102"/>
      <c r="X147" s="86"/>
      <c r="Y147" s="86"/>
      <c r="Z147" s="86">
        <f>(V147-$V$105)/(D146-$D$104)</f>
        <v>0.32668710378340182</v>
      </c>
      <c r="AA147" s="102"/>
      <c r="AB147" s="110"/>
    </row>
    <row r="148" spans="2:43" ht="14" thickBot="1" x14ac:dyDescent="0.25">
      <c r="B148" s="58"/>
      <c r="E148" s="90" t="s">
        <v>109</v>
      </c>
      <c r="F148" s="81"/>
      <c r="G148" s="137"/>
      <c r="H148" s="82">
        <f>0.1857-F146</f>
        <v>0.14150000000000001</v>
      </c>
      <c r="I148" s="82">
        <f>0.2067-F146</f>
        <v>0.16249999999999998</v>
      </c>
      <c r="J148" s="82">
        <f>0.1235-G146</f>
        <v>8.0999999999999989E-2</v>
      </c>
      <c r="K148" s="82">
        <f>0.1398-G146</f>
        <v>9.7299999999999998E-2</v>
      </c>
      <c r="L148" s="82">
        <f>(H148-(0.605*J148))/6.17</f>
        <v>1.4991085899513781E-2</v>
      </c>
      <c r="M148" s="82">
        <f>(I148-(0.605*K148))/6.17</f>
        <v>1.6796353322528362E-2</v>
      </c>
      <c r="N148" s="92">
        <f t="shared" si="32"/>
        <v>1.5893719611021071E-2</v>
      </c>
      <c r="O148" s="92">
        <f>'Growth curves UTEX #1926'!H74</f>
        <v>3.1280000000000001</v>
      </c>
      <c r="P148" s="92">
        <f t="shared" si="33"/>
        <v>3.9400288000000003</v>
      </c>
      <c r="Q148" s="93">
        <f t="shared" si="46"/>
        <v>1.9700144000000004E-4</v>
      </c>
      <c r="R148" s="94">
        <f t="shared" si="34"/>
        <v>40.339095011237148</v>
      </c>
      <c r="S148" s="95">
        <f>AVERAGE(R146:R148)</f>
        <v>42.18047436653351</v>
      </c>
      <c r="T148" s="96">
        <f>STDEV(R146:R148)</f>
        <v>1.6765296908732754</v>
      </c>
      <c r="U148" s="96">
        <f>T148/SQRT(3)</f>
        <v>0.96794486833008564</v>
      </c>
      <c r="V148" s="96">
        <f t="shared" si="35"/>
        <v>158.93719611021069</v>
      </c>
      <c r="W148" s="95">
        <f t="shared" si="37"/>
        <v>147.62385197190704</v>
      </c>
      <c r="X148" s="96">
        <f t="shared" si="38"/>
        <v>10.236149061142868</v>
      </c>
      <c r="Y148" s="96">
        <f t="shared" si="39"/>
        <v>5.9098434159159705</v>
      </c>
      <c r="Z148" s="96">
        <f>(V148-$V$106)/(D146-$D$104)</f>
        <v>0.37760026288008591</v>
      </c>
      <c r="AA148" s="95">
        <f t="shared" si="41"/>
        <v>0.34892220685940573</v>
      </c>
      <c r="AB148" s="103">
        <f t="shared" si="42"/>
        <v>1.5046275001768724E-2</v>
      </c>
    </row>
    <row r="149" spans="2:43" ht="15" thickBot="1" x14ac:dyDescent="0.25">
      <c r="B149" s="239" t="s">
        <v>73</v>
      </c>
      <c r="C149" s="240"/>
      <c r="D149" s="240"/>
      <c r="E149" s="240"/>
      <c r="F149" s="240"/>
      <c r="G149" s="240"/>
      <c r="H149" s="240"/>
      <c r="I149" s="240"/>
      <c r="J149" s="240"/>
      <c r="K149" s="240"/>
      <c r="L149" s="240"/>
      <c r="M149" s="240"/>
      <c r="N149" s="240"/>
      <c r="O149" s="240"/>
      <c r="P149" s="240"/>
      <c r="Q149" s="240"/>
      <c r="R149" s="240"/>
      <c r="S149" s="240"/>
      <c r="T149" s="240"/>
      <c r="U149" s="240"/>
      <c r="V149" s="240"/>
      <c r="W149" s="240"/>
      <c r="X149" s="240"/>
      <c r="Y149" s="240"/>
      <c r="Z149" s="240"/>
      <c r="AA149" s="240"/>
      <c r="AB149" s="241"/>
    </row>
    <row r="150" spans="2:43" ht="56" x14ac:dyDescent="0.2">
      <c r="B150" s="59" t="s">
        <v>0</v>
      </c>
      <c r="C150" s="60" t="s">
        <v>1</v>
      </c>
      <c r="D150" s="61" t="s">
        <v>2</v>
      </c>
      <c r="E150" s="62"/>
      <c r="F150" s="60" t="s">
        <v>8</v>
      </c>
      <c r="G150" s="60" t="s">
        <v>9</v>
      </c>
      <c r="H150" s="233" t="s">
        <v>90</v>
      </c>
      <c r="I150" s="234"/>
      <c r="J150" s="235" t="s">
        <v>91</v>
      </c>
      <c r="K150" s="236"/>
      <c r="L150" s="237" t="s">
        <v>92</v>
      </c>
      <c r="M150" s="238"/>
      <c r="N150" s="63" t="s">
        <v>93</v>
      </c>
      <c r="O150" s="64" t="s">
        <v>94</v>
      </c>
      <c r="P150" s="63" t="s">
        <v>10</v>
      </c>
      <c r="Q150" s="63" t="s">
        <v>11</v>
      </c>
      <c r="R150" s="63" t="s">
        <v>95</v>
      </c>
      <c r="S150" s="63" t="s">
        <v>96</v>
      </c>
      <c r="T150" s="63" t="s">
        <v>97</v>
      </c>
      <c r="U150" s="65" t="s">
        <v>62</v>
      </c>
      <c r="V150" s="64" t="s">
        <v>98</v>
      </c>
      <c r="W150" s="63" t="s">
        <v>99</v>
      </c>
      <c r="X150" s="63" t="s">
        <v>97</v>
      </c>
      <c r="Y150" s="66" t="s">
        <v>62</v>
      </c>
      <c r="Z150" s="66" t="s">
        <v>100</v>
      </c>
      <c r="AA150" s="63" t="s">
        <v>101</v>
      </c>
      <c r="AB150" s="67" t="s">
        <v>62</v>
      </c>
      <c r="AD150" s="56" t="s">
        <v>2</v>
      </c>
      <c r="AE150" s="77" t="str">
        <f>S150</f>
        <v>Average specific CPC conc.</v>
      </c>
      <c r="AF150" s="56" t="s">
        <v>12</v>
      </c>
      <c r="AG150" s="77" t="str">
        <f>W150</f>
        <v>Average total CPC</v>
      </c>
      <c r="AH150" s="56" t="s">
        <v>12</v>
      </c>
      <c r="AK150" s="56" t="s">
        <v>1</v>
      </c>
      <c r="AL150" s="56" t="s">
        <v>118</v>
      </c>
      <c r="AO150" s="56">
        <v>23.633333333333333</v>
      </c>
      <c r="AP150" s="56">
        <v>28.128132200604512</v>
      </c>
      <c r="AQ150" s="56">
        <v>1.1335224561581083</v>
      </c>
    </row>
    <row r="151" spans="2:43" ht="28" x14ac:dyDescent="0.2">
      <c r="B151" s="68"/>
      <c r="C151" s="69"/>
      <c r="D151" s="70"/>
      <c r="E151" s="71"/>
      <c r="F151" s="69" t="s">
        <v>13</v>
      </c>
      <c r="G151" s="69" t="s">
        <v>13</v>
      </c>
      <c r="H151" s="72" t="s">
        <v>102</v>
      </c>
      <c r="I151" s="69" t="s">
        <v>103</v>
      </c>
      <c r="J151" s="70" t="s">
        <v>102</v>
      </c>
      <c r="K151" s="73" t="s">
        <v>103</v>
      </c>
      <c r="L151" s="225" t="s">
        <v>14</v>
      </c>
      <c r="M151" s="226"/>
      <c r="N151" s="74" t="s">
        <v>14</v>
      </c>
      <c r="O151" s="74" t="s">
        <v>13</v>
      </c>
      <c r="P151" s="74" t="s">
        <v>15</v>
      </c>
      <c r="Q151" s="74" t="s">
        <v>16</v>
      </c>
      <c r="R151" s="75" t="s">
        <v>104</v>
      </c>
      <c r="S151" s="75" t="s">
        <v>104</v>
      </c>
      <c r="T151" s="74"/>
      <c r="U151" s="70"/>
      <c r="V151" s="75" t="s">
        <v>105</v>
      </c>
      <c r="W151" s="75" t="s">
        <v>105</v>
      </c>
      <c r="X151" s="74"/>
      <c r="Y151" s="74"/>
      <c r="Z151" s="75" t="s">
        <v>106</v>
      </c>
      <c r="AA151" s="75" t="s">
        <v>106</v>
      </c>
      <c r="AB151" s="76"/>
      <c r="AD151" s="87">
        <f>D152</f>
        <v>0</v>
      </c>
      <c r="AE151" s="86">
        <f>S154</f>
        <v>40.445237386621876</v>
      </c>
      <c r="AF151" s="86">
        <f>U154</f>
        <v>3.0868024439549733</v>
      </c>
      <c r="AG151" s="86">
        <f>W154</f>
        <v>5.4385332252836314</v>
      </c>
      <c r="AH151" s="86">
        <f>Y154</f>
        <v>0.46132128946140233</v>
      </c>
      <c r="AK151" s="56">
        <v>0</v>
      </c>
      <c r="AL151" s="56">
        <v>7.3105056179775296</v>
      </c>
      <c r="AM151" s="56">
        <v>0.69854841892639574</v>
      </c>
      <c r="AO151" s="56">
        <v>119.18333333333334</v>
      </c>
      <c r="AP151" s="56">
        <v>41.901021616099008</v>
      </c>
      <c r="AQ151" s="56">
        <v>1.9995011699140344</v>
      </c>
    </row>
    <row r="152" spans="2:43" x14ac:dyDescent="0.2">
      <c r="B152" s="58" t="s">
        <v>88</v>
      </c>
      <c r="C152" s="78">
        <v>0.49652777777777773</v>
      </c>
      <c r="D152" s="79">
        <v>0</v>
      </c>
      <c r="E152" s="80" t="s">
        <v>107</v>
      </c>
      <c r="F152" s="82">
        <f>(0.0345+0.0356)/2</f>
        <v>3.5049999999999998E-2</v>
      </c>
      <c r="G152" s="82">
        <f>(0.0344+0.0347)/2</f>
        <v>3.4549999999999997E-2</v>
      </c>
      <c r="H152" s="81">
        <f>0.1777-F152</f>
        <v>0.14265</v>
      </c>
      <c r="I152" s="82">
        <f>0.1741-F152</f>
        <v>0.13905000000000001</v>
      </c>
      <c r="J152" s="82">
        <f>0.143-G152</f>
        <v>0.10844999999999999</v>
      </c>
      <c r="K152" s="82">
        <f>0.1404-G152</f>
        <v>0.10585</v>
      </c>
      <c r="L152" s="292">
        <f>(H152-(0.605*J152))/6.17</f>
        <v>1.2485858995137765E-2</v>
      </c>
      <c r="M152" s="292">
        <f>(I152-(0.605*K152))/6.17</f>
        <v>1.215733387358185E-2</v>
      </c>
      <c r="N152" s="82">
        <f>AVERAGE(L152:M152)</f>
        <v>1.2321596434359807E-2</v>
      </c>
      <c r="O152" s="56">
        <v>0.111</v>
      </c>
      <c r="P152" s="82">
        <f>1.2596*O152</f>
        <v>0.13981560000000001</v>
      </c>
      <c r="Q152" s="83">
        <f>P152*1/1000</f>
        <v>1.3981560000000002E-4</v>
      </c>
      <c r="R152" s="84">
        <f>(N152*0.5)/Q152</f>
        <v>44.063739791410278</v>
      </c>
      <c r="S152" s="85"/>
      <c r="V152" s="86">
        <f>R152*P152</f>
        <v>6.1607982171799032</v>
      </c>
      <c r="W152" s="85"/>
      <c r="AA152" s="85"/>
      <c r="AB152" s="79"/>
      <c r="AD152" s="87">
        <f>D155</f>
        <v>23.633333333333333</v>
      </c>
      <c r="AE152" s="86">
        <f>S157</f>
        <v>21.816460651785658</v>
      </c>
      <c r="AF152" s="86">
        <f>U157</f>
        <v>0.87961504304764504</v>
      </c>
      <c r="AG152" s="86">
        <f>W157</f>
        <v>5.1801998919502976</v>
      </c>
      <c r="AH152" s="86">
        <f>Y157</f>
        <v>0.11033370922101871</v>
      </c>
      <c r="AK152" s="56">
        <v>23.633333333333333</v>
      </c>
      <c r="AL152" s="56">
        <v>6.679612983770288</v>
      </c>
      <c r="AM152" s="56">
        <v>0.16003109968364113</v>
      </c>
      <c r="AO152" s="56">
        <v>142.46666666666667</v>
      </c>
      <c r="AP152" s="56">
        <v>55.267697418489682</v>
      </c>
      <c r="AQ152" s="56">
        <v>1.5776205272293335</v>
      </c>
    </row>
    <row r="153" spans="2:43" x14ac:dyDescent="0.2">
      <c r="B153" s="58"/>
      <c r="D153" s="79"/>
      <c r="E153" s="80" t="s">
        <v>108</v>
      </c>
      <c r="H153" s="81">
        <f>0.1336-F152</f>
        <v>9.8549999999999999E-2</v>
      </c>
      <c r="I153" s="82">
        <f>0.1222-F152</f>
        <v>8.7150000000000005E-2</v>
      </c>
      <c r="J153" s="82">
        <f>0.1001-G152</f>
        <v>6.5549999999999997E-2</v>
      </c>
      <c r="K153" s="82">
        <f>0.0891-G152</f>
        <v>5.4550000000000001E-2</v>
      </c>
      <c r="L153" s="292">
        <f t="shared" ref="L153:L193" si="47">(H153-(0.605*J153))/6.17</f>
        <v>9.5449351701782821E-3</v>
      </c>
      <c r="M153" s="292">
        <f t="shared" ref="M153:M193" si="48">(I153-(0.605*K153))/6.17</f>
        <v>8.7758914100486245E-3</v>
      </c>
      <c r="N153" s="82">
        <f t="shared" ref="N153:N193" si="49">AVERAGE(L153:M153)</f>
        <v>9.1604132901134533E-3</v>
      </c>
      <c r="O153" s="82">
        <v>0.106</v>
      </c>
      <c r="P153" s="82">
        <f t="shared" ref="P153:P193" si="50">1.2596*O153</f>
        <v>0.13351760000000001</v>
      </c>
      <c r="Q153" s="83">
        <f>P153*1/1000</f>
        <v>1.335176E-4</v>
      </c>
      <c r="R153" s="84">
        <f t="shared" ref="R153:R193" si="51">(N153*0.5)/Q153</f>
        <v>34.304141514352615</v>
      </c>
      <c r="S153" s="85"/>
      <c r="V153" s="86">
        <f t="shared" ref="V153:V193" si="52">R153*P153</f>
        <v>4.5802066450567276</v>
      </c>
      <c r="W153" s="85"/>
      <c r="AA153" s="85"/>
      <c r="AB153" s="79"/>
      <c r="AD153" s="87">
        <f>D158</f>
        <v>119.18333333333334</v>
      </c>
      <c r="AE153" s="86">
        <f>S160</f>
        <v>32.420265786247292</v>
      </c>
      <c r="AF153" s="86">
        <f>U160</f>
        <v>1.4789312836476294</v>
      </c>
      <c r="AG153" s="86">
        <f>W160</f>
        <v>43.414613722312275</v>
      </c>
      <c r="AH153" s="86">
        <f>Y160</f>
        <v>2.5726218153795424</v>
      </c>
      <c r="AK153" s="56">
        <v>119.18333333333334</v>
      </c>
      <c r="AL153" s="56">
        <v>56.10827715355807</v>
      </c>
      <c r="AM153" s="56">
        <v>3.3967882253482271</v>
      </c>
      <c r="AO153" s="56">
        <v>171</v>
      </c>
      <c r="AP153" s="56">
        <v>64.171376952297052</v>
      </c>
      <c r="AQ153" s="56">
        <v>5.12267647157159</v>
      </c>
    </row>
    <row r="154" spans="2:43" x14ac:dyDescent="0.2">
      <c r="B154" s="88"/>
      <c r="C154" s="97"/>
      <c r="D154" s="89"/>
      <c r="E154" s="90" t="s">
        <v>109</v>
      </c>
      <c r="F154" s="88"/>
      <c r="G154" s="89"/>
      <c r="H154" s="91">
        <f>0.1512-F152</f>
        <v>0.11615</v>
      </c>
      <c r="I154" s="92">
        <f>0.158-F152</f>
        <v>0.12295</v>
      </c>
      <c r="J154" s="92">
        <f>0.1154-G152</f>
        <v>8.0850000000000005E-2</v>
      </c>
      <c r="K154" s="92">
        <f>0.1215-G152</f>
        <v>8.695E-2</v>
      </c>
      <c r="L154" s="292">
        <f t="shared" si="47"/>
        <v>1.0897204213938413E-2</v>
      </c>
      <c r="M154" s="292">
        <f t="shared" si="48"/>
        <v>1.1401175040518638E-2</v>
      </c>
      <c r="N154" s="92">
        <f t="shared" si="49"/>
        <v>1.1149189627228526E-2</v>
      </c>
      <c r="O154" s="97">
        <v>0.10299999999999999</v>
      </c>
      <c r="P154" s="92">
        <f t="shared" si="50"/>
        <v>0.12973879999999999</v>
      </c>
      <c r="Q154" s="93">
        <f>P154*1/1000</f>
        <v>1.2973879999999999E-4</v>
      </c>
      <c r="R154" s="94">
        <f t="shared" si="51"/>
        <v>42.967830854102736</v>
      </c>
      <c r="S154" s="95">
        <f>AVERAGE(R152:R154)</f>
        <v>40.445237386621876</v>
      </c>
      <c r="T154" s="96">
        <f>STDEV(R152:R154)</f>
        <v>5.3464986658577951</v>
      </c>
      <c r="U154" s="96">
        <f>T154/SQRT(3)</f>
        <v>3.0868024439549733</v>
      </c>
      <c r="V154" s="96">
        <f t="shared" si="52"/>
        <v>5.5745948136142633</v>
      </c>
      <c r="W154" s="95">
        <f>AVERAGE(V152:V154)</f>
        <v>5.4385332252836314</v>
      </c>
      <c r="X154" s="96">
        <f>STDEV(V152:V154)</f>
        <v>0.79903191196033763</v>
      </c>
      <c r="Y154" s="96">
        <f>X154/SQRT(3)</f>
        <v>0.46132128946140233</v>
      </c>
      <c r="Z154" s="97"/>
      <c r="AA154" s="98"/>
      <c r="AB154" s="89"/>
      <c r="AD154" s="87">
        <f>D161</f>
        <v>142.46666666666667</v>
      </c>
      <c r="AE154" s="86">
        <f>S163</f>
        <v>42.821356611099304</v>
      </c>
      <c r="AF154" s="86">
        <f>U163</f>
        <v>1.2804460979090817</v>
      </c>
      <c r="AG154" s="86">
        <f>W163</f>
        <v>70.803572263641271</v>
      </c>
      <c r="AH154" s="86">
        <f>Y163</f>
        <v>2.7969941198770294</v>
      </c>
      <c r="AK154" s="56">
        <v>142.46666666666667</v>
      </c>
      <c r="AL154" s="56">
        <v>91.390804799001259</v>
      </c>
      <c r="AM154" s="56">
        <v>3.6142704476218337</v>
      </c>
      <c r="AO154" s="56">
        <v>192.88333333333333</v>
      </c>
      <c r="AP154" s="56">
        <v>63.149727298653502</v>
      </c>
      <c r="AQ154" s="56">
        <v>1.5617394846577182</v>
      </c>
    </row>
    <row r="155" spans="2:43" x14ac:dyDescent="0.2">
      <c r="B155" s="58" t="s">
        <v>74</v>
      </c>
      <c r="C155" s="78">
        <v>0.48125000000000001</v>
      </c>
      <c r="D155" s="152">
        <f>38/60+11+12</f>
        <v>23.633333333333333</v>
      </c>
      <c r="E155" s="80" t="s">
        <v>107</v>
      </c>
      <c r="F155" s="82">
        <f>(0.0454+0.0428+0.0497)/3</f>
        <v>4.5966666666666663E-2</v>
      </c>
      <c r="G155" s="82">
        <f>(0.0439+0.0423+0.0481)/3</f>
        <v>4.476666666666667E-2</v>
      </c>
      <c r="H155" s="81">
        <f>0.1352-F155</f>
        <v>8.9233333333333331E-2</v>
      </c>
      <c r="I155" s="82">
        <f>0.149-F155</f>
        <v>0.10303333333333334</v>
      </c>
      <c r="J155" s="82">
        <f>0.0941-G155</f>
        <v>4.9333333333333333E-2</v>
      </c>
      <c r="K155" s="82">
        <f>0.104-G155</f>
        <v>5.9233333333333325E-2</v>
      </c>
      <c r="L155" s="292">
        <f t="shared" si="47"/>
        <v>9.6250675310642891E-3</v>
      </c>
      <c r="M155" s="292">
        <f t="shared" si="48"/>
        <v>1.0890950837385198E-2</v>
      </c>
      <c r="N155" s="82">
        <f t="shared" si="49"/>
        <v>1.0258009184224743E-2</v>
      </c>
      <c r="O155" s="82">
        <v>0.17499999999999999</v>
      </c>
      <c r="P155" s="82">
        <f t="shared" si="50"/>
        <v>0.22042999999999999</v>
      </c>
      <c r="Q155" s="83">
        <f t="shared" ref="Q155:Q157" si="53">P155*1/1000</f>
        <v>2.2042999999999997E-4</v>
      </c>
      <c r="R155" s="84">
        <f t="shared" si="51"/>
        <v>23.26817852430419</v>
      </c>
      <c r="S155" s="102"/>
      <c r="T155" s="86"/>
      <c r="U155" s="86"/>
      <c r="V155" s="86">
        <f t="shared" si="52"/>
        <v>5.1290045921123726</v>
      </c>
      <c r="W155" s="102"/>
      <c r="X155" s="86"/>
      <c r="Y155" s="86"/>
      <c r="Z155" s="86">
        <f>(V155-$V$104)/(D155-$D$104)</f>
        <v>3.293210927802593E-3</v>
      </c>
      <c r="AA155" s="102"/>
      <c r="AB155" s="79"/>
      <c r="AD155" s="87">
        <f>D164</f>
        <v>171</v>
      </c>
      <c r="AE155" s="86">
        <f>S166</f>
        <v>49.645687765093442</v>
      </c>
      <c r="AF155" s="86">
        <f>U166</f>
        <v>3.7939325401966966</v>
      </c>
      <c r="AG155" s="86">
        <f>W166</f>
        <v>91.76502431118314</v>
      </c>
      <c r="AH155" s="86">
        <f>Y166</f>
        <v>6.1462993155384513</v>
      </c>
      <c r="AK155" s="56">
        <v>171</v>
      </c>
      <c r="AL155" s="56">
        <v>118.59424918851437</v>
      </c>
      <c r="AM155" s="56">
        <v>8.2409306271130145</v>
      </c>
      <c r="AO155" s="56">
        <v>216.6</v>
      </c>
      <c r="AP155" s="56">
        <v>55.5214786746687</v>
      </c>
      <c r="AQ155" s="56">
        <v>2.1453435060181669</v>
      </c>
    </row>
    <row r="156" spans="2:43" x14ac:dyDescent="0.2">
      <c r="B156" s="58"/>
      <c r="D156" s="79"/>
      <c r="E156" s="80" t="s">
        <v>108</v>
      </c>
      <c r="F156" s="156"/>
      <c r="G156" s="156"/>
      <c r="H156" s="81">
        <f>0.157-F155</f>
        <v>0.11103333333333334</v>
      </c>
      <c r="I156" s="82">
        <f>0.143-F155</f>
        <v>9.7033333333333333E-2</v>
      </c>
      <c r="J156" s="82">
        <f>0.1126-G155</f>
        <v>6.7833333333333329E-2</v>
      </c>
      <c r="K156" s="82">
        <f>0.1009-G155</f>
        <v>5.6133333333333334E-2</v>
      </c>
      <c r="L156" s="292">
        <f t="shared" si="47"/>
        <v>1.1344273365748248E-2</v>
      </c>
      <c r="M156" s="292">
        <f t="shared" si="48"/>
        <v>1.0222474338195569E-2</v>
      </c>
      <c r="N156" s="82">
        <f t="shared" si="49"/>
        <v>1.0783373851971909E-2</v>
      </c>
      <c r="O156" s="82">
        <v>0.19500000000000001</v>
      </c>
      <c r="P156" s="82">
        <f t="shared" si="50"/>
        <v>0.24562200000000001</v>
      </c>
      <c r="Q156" s="83">
        <f t="shared" si="53"/>
        <v>2.4562200000000003E-4</v>
      </c>
      <c r="R156" s="84">
        <f t="shared" si="51"/>
        <v>21.951156354015332</v>
      </c>
      <c r="S156" s="85"/>
      <c r="T156" s="86"/>
      <c r="U156" s="86"/>
      <c r="V156" s="86">
        <f t="shared" si="52"/>
        <v>5.3916869259859537</v>
      </c>
      <c r="W156" s="102"/>
      <c r="X156" s="86"/>
      <c r="Y156" s="86"/>
      <c r="Z156" s="86">
        <f>(V156-$V$105)/(D155-$D$104)</f>
        <v>-7.6862542947470688E-3</v>
      </c>
      <c r="AA156" s="102"/>
      <c r="AB156" s="79"/>
      <c r="AD156" s="87">
        <f>D167</f>
        <v>192.88333333333333</v>
      </c>
      <c r="AE156" s="86">
        <f>S169</f>
        <v>37.73892522626916</v>
      </c>
      <c r="AF156" s="86">
        <f>U169</f>
        <v>0</v>
      </c>
      <c r="AG156" s="86">
        <f>W169</f>
        <v>80.05054016207454</v>
      </c>
      <c r="AH156" s="86">
        <f>Y169</f>
        <v>0</v>
      </c>
      <c r="AK156" s="56">
        <v>192.88333333333333</v>
      </c>
      <c r="AL156" s="56">
        <v>104.71499827215979</v>
      </c>
      <c r="AM156" s="56">
        <v>4.7494734650887134</v>
      </c>
      <c r="AO156" s="56">
        <v>240.85</v>
      </c>
      <c r="AP156" s="56">
        <v>56.486199999999997</v>
      </c>
      <c r="AQ156" s="56" t="e">
        <v>#DIV/0!</v>
      </c>
    </row>
    <row r="157" spans="2:43" x14ac:dyDescent="0.2">
      <c r="B157" s="58"/>
      <c r="D157" s="79"/>
      <c r="E157" s="90" t="s">
        <v>109</v>
      </c>
      <c r="F157" s="156"/>
      <c r="G157" s="156"/>
      <c r="H157" s="81">
        <f>0.1419-F155</f>
        <v>9.5933333333333343E-2</v>
      </c>
      <c r="I157" s="82">
        <f>0.1387-F155</f>
        <v>9.2733333333333334E-2</v>
      </c>
      <c r="J157" s="82">
        <f>0.0996-G155</f>
        <v>5.4833333333333324E-2</v>
      </c>
      <c r="K157" s="82">
        <f>0.097-G155</f>
        <v>5.2233333333333333E-2</v>
      </c>
      <c r="L157" s="292">
        <f t="shared" si="47"/>
        <v>1.0171663965424097E-2</v>
      </c>
      <c r="M157" s="292">
        <f t="shared" si="48"/>
        <v>9.9079686655861691E-3</v>
      </c>
      <c r="N157" s="92">
        <f t="shared" si="49"/>
        <v>1.0039816315505132E-2</v>
      </c>
      <c r="O157" s="92">
        <v>0.19700000000000001</v>
      </c>
      <c r="P157" s="92">
        <f t="shared" si="50"/>
        <v>0.24814120000000003</v>
      </c>
      <c r="Q157" s="93">
        <f t="shared" si="53"/>
        <v>2.4814120000000002E-4</v>
      </c>
      <c r="R157" s="94">
        <f t="shared" si="51"/>
        <v>20.230047077037451</v>
      </c>
      <c r="S157" s="95">
        <f>AVERAGE(R155:R157)</f>
        <v>21.816460651785658</v>
      </c>
      <c r="T157" s="96">
        <f>STDEV(R155:R157)</f>
        <v>1.5235379456604063</v>
      </c>
      <c r="U157" s="96">
        <f>T157/SQRT(3)</f>
        <v>0.87961504304764504</v>
      </c>
      <c r="V157" s="96">
        <f t="shared" si="52"/>
        <v>5.0199081577525666</v>
      </c>
      <c r="W157" s="95">
        <f t="shared" ref="W157" si="54">AVERAGE(V155:V157)</f>
        <v>5.1801998919502976</v>
      </c>
      <c r="X157" s="96">
        <f t="shared" ref="X157" si="55">STDEV(V155:V157)</f>
        <v>0.19110359015833511</v>
      </c>
      <c r="Y157" s="96">
        <f t="shared" ref="Y157" si="56">X157/SQRT(3)</f>
        <v>0.11033370922101871</v>
      </c>
      <c r="Z157" s="96">
        <f>(V157-$V$106)/(D155-$D$104)</f>
        <v>1.3000539486527747E-2</v>
      </c>
      <c r="AA157" s="95">
        <f>AVERAGE(Z155:Z157)</f>
        <v>2.8691653731944236E-3</v>
      </c>
      <c r="AB157" s="103">
        <f>STDEV(Z155:Z157)/SQRT(3)</f>
        <v>5.9755256452615341E-3</v>
      </c>
      <c r="AD157" s="87">
        <f>D170</f>
        <v>216.6</v>
      </c>
      <c r="AE157" s="86">
        <f>S172</f>
        <v>48.973931947981193</v>
      </c>
      <c r="AF157" s="86">
        <f>U172</f>
        <v>0.50558504163231444</v>
      </c>
      <c r="AG157" s="86">
        <f>W172</f>
        <v>113.82456038897897</v>
      </c>
      <c r="AH157" s="86">
        <f>Y172</f>
        <v>0.71248047672209136</v>
      </c>
      <c r="AK157" s="56">
        <v>216.6</v>
      </c>
      <c r="AL157" s="56">
        <v>110.48327025786307</v>
      </c>
      <c r="AM157" s="56">
        <v>5.2978584212088107</v>
      </c>
      <c r="AO157" s="56">
        <v>264.35000000000002</v>
      </c>
      <c r="AP157" s="56">
        <v>55.489229999999999</v>
      </c>
      <c r="AQ157" s="56">
        <v>4.9337651474675557</v>
      </c>
    </row>
    <row r="158" spans="2:43" x14ac:dyDescent="0.2">
      <c r="B158" s="99" t="s">
        <v>75</v>
      </c>
      <c r="C158" s="100">
        <v>0.46249999999999997</v>
      </c>
      <c r="D158" s="153">
        <f>11+33/60+12+72+D155</f>
        <v>119.18333333333334</v>
      </c>
      <c r="E158" s="80" t="s">
        <v>107</v>
      </c>
      <c r="F158" s="104">
        <f>(0.0498+0.0453)/2</f>
        <v>4.7549999999999995E-2</v>
      </c>
      <c r="G158" s="139">
        <f>(0.0497+0.044)/2</f>
        <v>4.6850000000000003E-2</v>
      </c>
      <c r="H158" s="104">
        <f>0.2783-F158</f>
        <v>0.23075000000000001</v>
      </c>
      <c r="I158" s="105">
        <f>0.2735-F158</f>
        <v>0.22595000000000004</v>
      </c>
      <c r="J158" s="105">
        <f>0.1865-G158</f>
        <v>0.13965</v>
      </c>
      <c r="K158" s="105">
        <f>0.1829-G158</f>
        <v>0.13605</v>
      </c>
      <c r="L158" s="292">
        <f t="shared" si="47"/>
        <v>2.3705307941653164E-2</v>
      </c>
      <c r="M158" s="292">
        <f t="shared" si="48"/>
        <v>2.3280348460291742E-2</v>
      </c>
      <c r="N158" s="82">
        <f t="shared" si="49"/>
        <v>2.3492828200972454E-2</v>
      </c>
      <c r="O158" s="82">
        <v>1.0649999999999999</v>
      </c>
      <c r="P158" s="82">
        <f t="shared" si="50"/>
        <v>1.3414740000000001</v>
      </c>
      <c r="Q158" s="83">
        <f>P158*0.25/1000</f>
        <v>3.3536850000000001E-4</v>
      </c>
      <c r="R158" s="84">
        <f t="shared" si="51"/>
        <v>35.025394753789421</v>
      </c>
      <c r="S158" s="102"/>
      <c r="T158" s="86"/>
      <c r="U158" s="86"/>
      <c r="V158" s="86">
        <f t="shared" si="52"/>
        <v>46.985656401944908</v>
      </c>
      <c r="W158" s="102"/>
      <c r="X158" s="86"/>
      <c r="Y158" s="86"/>
      <c r="Z158" s="86">
        <f t="shared" ref="Z158" si="57">(V158-$V$104)/(D158-$D$104)</f>
        <v>0.3518485361048212</v>
      </c>
      <c r="AA158" s="102"/>
      <c r="AB158" s="110"/>
      <c r="AD158" s="87">
        <f>D173</f>
        <v>240.85</v>
      </c>
      <c r="AE158" s="86">
        <f>S175</f>
        <v>39.390668763440701</v>
      </c>
      <c r="AF158" s="86">
        <f>U175</f>
        <v>0</v>
      </c>
      <c r="AG158" s="86">
        <f>W175</f>
        <v>98.141410048622348</v>
      </c>
      <c r="AH158" s="86">
        <f>Y175</f>
        <v>0</v>
      </c>
      <c r="AK158" s="56">
        <v>240.85</v>
      </c>
      <c r="AL158" s="56">
        <v>126.23801498127339</v>
      </c>
      <c r="AM158" s="56" t="e">
        <v>#DIV/0!</v>
      </c>
      <c r="AO158" s="56">
        <v>288.60000000000002</v>
      </c>
      <c r="AP158" s="56">
        <v>57.097884551265501</v>
      </c>
      <c r="AQ158" s="56">
        <v>5.7069966440110393</v>
      </c>
    </row>
    <row r="159" spans="2:43" x14ac:dyDescent="0.2">
      <c r="B159" s="58"/>
      <c r="D159" s="79"/>
      <c r="E159" s="80" t="s">
        <v>108</v>
      </c>
      <c r="F159" s="58"/>
      <c r="G159" s="79"/>
      <c r="H159" s="81">
        <f>0.2335-F158</f>
        <v>0.18595</v>
      </c>
      <c r="I159" s="82">
        <f>0.2271-F158</f>
        <v>0.17954999999999999</v>
      </c>
      <c r="J159" s="82">
        <f>0.1557-G158</f>
        <v>0.10885</v>
      </c>
      <c r="K159" s="82">
        <f>0.1503-G158</f>
        <v>0.10344999999999999</v>
      </c>
      <c r="L159" s="292">
        <f t="shared" si="47"/>
        <v>1.9464465153970826E-2</v>
      </c>
      <c r="M159" s="292">
        <f t="shared" si="48"/>
        <v>1.895668557536467E-2</v>
      </c>
      <c r="N159" s="82">
        <f t="shared" si="49"/>
        <v>1.9210575364667748E-2</v>
      </c>
      <c r="O159" s="82">
        <v>1.02</v>
      </c>
      <c r="P159" s="82">
        <f t="shared" si="50"/>
        <v>1.2847920000000002</v>
      </c>
      <c r="Q159" s="83">
        <f>P159*0.25/1000</f>
        <v>3.2119800000000002E-4</v>
      </c>
      <c r="R159" s="84">
        <f t="shared" si="51"/>
        <v>29.904568777930976</v>
      </c>
      <c r="S159" s="85"/>
      <c r="T159" s="86"/>
      <c r="U159" s="86"/>
      <c r="V159" s="86">
        <f t="shared" si="52"/>
        <v>38.421150729335501</v>
      </c>
      <c r="W159" s="102"/>
      <c r="X159" s="86"/>
      <c r="Y159" s="86"/>
      <c r="Z159" s="86">
        <f>(V159-$V$105)/(D158-$D$104)</f>
        <v>0.27560742827730689</v>
      </c>
      <c r="AA159" s="102"/>
      <c r="AB159" s="110"/>
      <c r="AD159" s="87">
        <f>D176</f>
        <v>264.35000000000002</v>
      </c>
      <c r="AE159" s="86">
        <f>S178</f>
        <v>35.543317114071662</v>
      </c>
      <c r="AF159" s="86">
        <f>U178</f>
        <v>1.9676258236455086</v>
      </c>
      <c r="AG159" s="86">
        <f>W178</f>
        <v>116.98503511615343</v>
      </c>
      <c r="AH159" s="86">
        <f>Y178</f>
        <v>6.3513661584253196</v>
      </c>
      <c r="AI159" s="86"/>
      <c r="AK159" s="56">
        <v>264.35000000000002</v>
      </c>
      <c r="AL159" s="56">
        <v>145.26580000000001</v>
      </c>
      <c r="AM159" s="56">
        <v>9.3561345014270891</v>
      </c>
      <c r="AO159" s="56">
        <v>312.85000000000002</v>
      </c>
      <c r="AP159" s="56">
        <v>65.620627162520194</v>
      </c>
      <c r="AQ159" s="56">
        <v>3.1212722909261728</v>
      </c>
    </row>
    <row r="160" spans="2:43" x14ac:dyDescent="0.2">
      <c r="B160" s="58"/>
      <c r="D160" s="79"/>
      <c r="E160" s="90" t="s">
        <v>109</v>
      </c>
      <c r="F160" s="58"/>
      <c r="G160" s="79"/>
      <c r="H160" s="91">
        <f>0.2546-F158</f>
        <v>0.20705000000000001</v>
      </c>
      <c r="I160" s="92">
        <f>0.2618-F158</f>
        <v>0.21425</v>
      </c>
      <c r="J160" s="92">
        <f>0.1635-G158</f>
        <v>0.11665</v>
      </c>
      <c r="K160" s="92">
        <f>0.1693-G158</f>
        <v>0.12245</v>
      </c>
      <c r="L160" s="292">
        <f t="shared" si="47"/>
        <v>2.2119408427876824E-2</v>
      </c>
      <c r="M160" s="292">
        <f t="shared" si="48"/>
        <v>2.2717625607779575E-2</v>
      </c>
      <c r="N160" s="92">
        <f t="shared" si="49"/>
        <v>2.24185170178282E-2</v>
      </c>
      <c r="O160" s="92">
        <v>1.101</v>
      </c>
      <c r="P160" s="92">
        <f t="shared" si="50"/>
        <v>1.3868195999999999</v>
      </c>
      <c r="Q160" s="93">
        <f>P160*0.25/1000</f>
        <v>3.4670489999999996E-4</v>
      </c>
      <c r="R160" s="94">
        <f t="shared" si="51"/>
        <v>32.330833827021486</v>
      </c>
      <c r="S160" s="95">
        <f>AVERAGE(R158:R160)</f>
        <v>32.420265786247292</v>
      </c>
      <c r="T160" s="96">
        <f>STDEV(R158:R160)</f>
        <v>2.5615841241807527</v>
      </c>
      <c r="U160" s="96">
        <f>T160/SQRT(3)</f>
        <v>1.4789312836476294</v>
      </c>
      <c r="V160" s="96">
        <f t="shared" si="52"/>
        <v>44.837034035656401</v>
      </c>
      <c r="W160" s="95">
        <f t="shared" ref="W160" si="58">AVERAGE(V158:V160)</f>
        <v>43.414613722312275</v>
      </c>
      <c r="X160" s="96">
        <f t="shared" ref="X160" si="59">STDEV(V158:V160)</f>
        <v>4.4559116928974474</v>
      </c>
      <c r="Y160" s="96">
        <f t="shared" ref="Y160" si="60">X160/SQRT(3)</f>
        <v>2.5726218153795424</v>
      </c>
      <c r="Z160" s="96">
        <f>(V160-$V$106)/(D158-$D$104)</f>
        <v>0.33666093101190409</v>
      </c>
      <c r="AA160" s="95">
        <f t="shared" ref="AA160" si="61">AVERAGE(Z158:Z160)</f>
        <v>0.32137229846467735</v>
      </c>
      <c r="AB160" s="103">
        <f t="shared" ref="AB160" si="62">STDEV(Z158:Z160)/SQRT(3)</f>
        <v>2.3298664801262612E-2</v>
      </c>
      <c r="AD160" s="87">
        <f>D179</f>
        <v>288.60000000000002</v>
      </c>
      <c r="AE160" s="86">
        <f>S181</f>
        <v>38.051344087115787</v>
      </c>
      <c r="AF160" s="86">
        <f>U181</f>
        <v>0</v>
      </c>
      <c r="AG160" s="86">
        <f>W181</f>
        <v>131.80605078336038</v>
      </c>
      <c r="AH160" s="86">
        <f>Y181</f>
        <v>0</v>
      </c>
      <c r="AK160" s="56">
        <v>288.60000000000002</v>
      </c>
      <c r="AL160" s="56">
        <v>180.070162297129</v>
      </c>
      <c r="AM160" s="56">
        <v>6.4583540525633358</v>
      </c>
      <c r="AO160" s="56">
        <v>336.68333333333334</v>
      </c>
      <c r="AP160" s="56">
        <v>65.334515952493206</v>
      </c>
      <c r="AQ160" s="56">
        <v>2.727277910800745</v>
      </c>
    </row>
    <row r="161" spans="2:43" x14ac:dyDescent="0.2">
      <c r="B161" s="99" t="s">
        <v>76</v>
      </c>
      <c r="C161" s="100">
        <v>0.43263888888888885</v>
      </c>
      <c r="D161" s="153">
        <f>11+17/60+12+D158</f>
        <v>142.46666666666667</v>
      </c>
      <c r="E161" s="80" t="s">
        <v>107</v>
      </c>
      <c r="F161" s="104">
        <v>4.3700000000000003E-2</v>
      </c>
      <c r="G161" s="139">
        <v>4.2200000000000001E-2</v>
      </c>
      <c r="H161" s="81">
        <f>0.3212-F161</f>
        <v>0.27749999999999997</v>
      </c>
      <c r="I161" s="82">
        <f>0.3203-F161</f>
        <v>0.27659999999999996</v>
      </c>
      <c r="J161" s="82">
        <f>0.2066-G161</f>
        <v>0.16439999999999999</v>
      </c>
      <c r="K161" s="82">
        <f>0.2073-G161</f>
        <v>0.16510000000000002</v>
      </c>
      <c r="L161" s="292">
        <f t="shared" si="47"/>
        <v>2.8855429497568877E-2</v>
      </c>
      <c r="M161" s="292">
        <f t="shared" si="48"/>
        <v>2.8640923824959471E-2</v>
      </c>
      <c r="N161" s="82">
        <f t="shared" si="49"/>
        <v>2.8748176661264176E-2</v>
      </c>
      <c r="O161" s="82">
        <v>1.3759999999999999</v>
      </c>
      <c r="P161" s="82">
        <f t="shared" si="50"/>
        <v>1.7332095999999999</v>
      </c>
      <c r="Q161" s="83">
        <f>O161*0.25/1000</f>
        <v>3.4399999999999996E-4</v>
      </c>
      <c r="R161" s="84">
        <f t="shared" si="51"/>
        <v>41.785140496023516</v>
      </c>
      <c r="S161" s="102"/>
      <c r="T161" s="86"/>
      <c r="U161" s="86"/>
      <c r="V161" s="86">
        <f t="shared" si="52"/>
        <v>72.422406645056711</v>
      </c>
      <c r="W161" s="102"/>
      <c r="X161" s="86"/>
      <c r="Y161" s="86"/>
      <c r="Z161" s="86">
        <f t="shared" ref="Z161" si="63">(V161-$V$104)/(D161-$D$104)</f>
        <v>0.47289119048576089</v>
      </c>
      <c r="AA161" s="102"/>
      <c r="AB161" s="110"/>
      <c r="AD161" s="87">
        <f>D182</f>
        <v>312.85000000000002</v>
      </c>
      <c r="AE161" s="86">
        <f>S184</f>
        <v>40.875123284002932</v>
      </c>
      <c r="AF161" s="86">
        <f>U184</f>
        <v>2.990922579249617</v>
      </c>
      <c r="AG161" s="86">
        <f>W184</f>
        <v>153.82649018548534</v>
      </c>
      <c r="AH161" s="86">
        <f>Y184</f>
        <v>11.825637033432793</v>
      </c>
      <c r="AK161" s="56">
        <v>312.85000000000002</v>
      </c>
      <c r="AL161" s="56">
        <v>188.02367873491499</v>
      </c>
      <c r="AM161" s="56">
        <v>3.9543120218256229</v>
      </c>
      <c r="AO161" s="56">
        <v>360.48333333333335</v>
      </c>
      <c r="AP161" s="56">
        <v>66.215800000000002</v>
      </c>
      <c r="AQ161" s="56">
        <v>4.6088115052563197</v>
      </c>
    </row>
    <row r="162" spans="2:43" x14ac:dyDescent="0.2">
      <c r="B162" s="58"/>
      <c r="D162" s="79"/>
      <c r="E162" s="80" t="s">
        <v>108</v>
      </c>
      <c r="F162" s="58"/>
      <c r="G162" s="79"/>
      <c r="H162" s="81">
        <f>0.2912-F161</f>
        <v>0.2475</v>
      </c>
      <c r="I162" s="82">
        <f>0.2878-F161</f>
        <v>0.24409999999999998</v>
      </c>
      <c r="J162" s="82">
        <f>0.1857-G161</f>
        <v>0.14350000000000002</v>
      </c>
      <c r="K162" s="82">
        <f>0.1821-G161</f>
        <v>0.13990000000000002</v>
      </c>
      <c r="L162" s="292">
        <f t="shared" si="47"/>
        <v>2.6042544570502431E-2</v>
      </c>
      <c r="M162" s="292">
        <f t="shared" si="48"/>
        <v>2.5844489465153969E-2</v>
      </c>
      <c r="N162" s="82">
        <f t="shared" si="49"/>
        <v>2.59435170178282E-2</v>
      </c>
      <c r="O162" s="82">
        <v>1.256</v>
      </c>
      <c r="P162" s="82">
        <f t="shared" si="50"/>
        <v>1.5820576000000002</v>
      </c>
      <c r="Q162" s="83">
        <f>O162*0.25/1000</f>
        <v>3.1399999999999999E-4</v>
      </c>
      <c r="R162" s="84">
        <f t="shared" si="51"/>
        <v>41.311332830936628</v>
      </c>
      <c r="S162" s="85"/>
      <c r="T162" s="86"/>
      <c r="U162" s="86"/>
      <c r="V162" s="86">
        <f t="shared" si="52"/>
        <v>65.356908071312816</v>
      </c>
      <c r="W162" s="102"/>
      <c r="X162" s="86"/>
      <c r="Y162" s="86"/>
      <c r="Z162" s="86">
        <f>(V162-$V$105)/(D161-$D$104)</f>
        <v>0.41963197942555691</v>
      </c>
      <c r="AA162" s="102"/>
      <c r="AB162" s="110"/>
      <c r="AD162" s="87">
        <f>D185</f>
        <v>336.68333333333334</v>
      </c>
      <c r="AE162" s="86">
        <f>S187</f>
        <v>41.894981613019723</v>
      </c>
      <c r="AF162" s="86">
        <f>U187</f>
        <v>4.9938975549271118</v>
      </c>
      <c r="AG162" s="86">
        <f>W187</f>
        <v>163.82973167657124</v>
      </c>
      <c r="AH162" s="86">
        <f>Y187</f>
        <v>18.900308244173878</v>
      </c>
      <c r="AK162" s="56">
        <v>336.68333333333334</v>
      </c>
      <c r="AL162" s="56">
        <v>208.5568456096546</v>
      </c>
      <c r="AM162" s="56">
        <v>8.6711996279702284</v>
      </c>
      <c r="AO162" s="56">
        <v>384.40000000000003</v>
      </c>
      <c r="AP162" s="56">
        <v>62.254910000000002</v>
      </c>
      <c r="AQ162" s="56">
        <v>3.9616938165993361</v>
      </c>
    </row>
    <row r="163" spans="2:43" x14ac:dyDescent="0.2">
      <c r="B163" s="58"/>
      <c r="D163" s="79"/>
      <c r="E163" s="90" t="s">
        <v>109</v>
      </c>
      <c r="F163" s="58"/>
      <c r="G163" s="79"/>
      <c r="H163" s="81">
        <f>0.3206-F161</f>
        <v>0.27689999999999998</v>
      </c>
      <c r="I163" s="82">
        <f>0.3244-F161</f>
        <v>0.28070000000000001</v>
      </c>
      <c r="J163" s="82">
        <f>0.2003-G161</f>
        <v>0.15810000000000002</v>
      </c>
      <c r="K163" s="82">
        <f>0.2015-G161</f>
        <v>0.1593</v>
      </c>
      <c r="L163" s="292">
        <f t="shared" si="47"/>
        <v>2.9375931928687187E-2</v>
      </c>
      <c r="M163" s="292">
        <f t="shared" si="48"/>
        <v>2.9874149108589956E-2</v>
      </c>
      <c r="N163" s="92">
        <f t="shared" si="49"/>
        <v>2.9625040518638571E-2</v>
      </c>
      <c r="O163" s="92">
        <v>1.306</v>
      </c>
      <c r="P163" s="92">
        <f t="shared" si="50"/>
        <v>1.6450376000000002</v>
      </c>
      <c r="Q163" s="93">
        <f>O163*0.25/1000</f>
        <v>3.2650000000000002E-4</v>
      </c>
      <c r="R163" s="94">
        <f t="shared" si="51"/>
        <v>45.367596506337776</v>
      </c>
      <c r="S163" s="95">
        <f>AVERAGE(R161:R163)</f>
        <v>42.821356611099304</v>
      </c>
      <c r="T163" s="96">
        <f>STDEV(R161:R163)</f>
        <v>2.2177976979318426</v>
      </c>
      <c r="U163" s="96">
        <f>T163/SQRT(3)</f>
        <v>1.2804460979090817</v>
      </c>
      <c r="V163" s="96">
        <f t="shared" si="52"/>
        <v>74.631402074554288</v>
      </c>
      <c r="W163" s="95">
        <f t="shared" ref="W163" si="64">AVERAGE(V161:V163)</f>
        <v>70.803572263641271</v>
      </c>
      <c r="X163" s="96">
        <f t="shared" ref="X163" si="65">STDEV(V161:V163)</f>
        <v>4.8445359240984098</v>
      </c>
      <c r="Y163" s="96">
        <f t="shared" ref="Y163" si="66">X163/SQRT(3)</f>
        <v>2.7969941198770294</v>
      </c>
      <c r="Z163" s="96">
        <f>(V163-$V$106)/(D161-$D$104)</f>
        <v>0.49077262517547965</v>
      </c>
      <c r="AA163" s="95">
        <f t="shared" ref="AA163" si="67">AVERAGE(Z161:Z163)</f>
        <v>0.4610985983622658</v>
      </c>
      <c r="AB163" s="103">
        <f t="shared" ref="AB163" si="68">STDEV(Z161:Z163)/SQRT(3)</f>
        <v>2.1366225615616956E-2</v>
      </c>
      <c r="AD163" s="87">
        <f>D188</f>
        <v>384.4</v>
      </c>
      <c r="AE163" s="86">
        <f>S190</f>
        <v>48.286417504267966</v>
      </c>
      <c r="AF163" s="86">
        <f>U190</f>
        <v>2.5458919975521961</v>
      </c>
      <c r="AG163" s="86">
        <f>W190</f>
        <v>183.31509994597513</v>
      </c>
      <c r="AH163" s="86">
        <f>Y190</f>
        <v>9.4533377044602318</v>
      </c>
      <c r="AK163" s="56">
        <v>360.48333333333335</v>
      </c>
      <c r="AL163" s="56">
        <v>232.26779999999999</v>
      </c>
      <c r="AM163" s="56">
        <v>13.315607299664695</v>
      </c>
      <c r="AO163" s="56">
        <v>408.95000000000005</v>
      </c>
      <c r="AP163" s="56">
        <v>64.246690000000001</v>
      </c>
      <c r="AQ163" s="56">
        <v>7.1639535592036729</v>
      </c>
    </row>
    <row r="164" spans="2:43" x14ac:dyDescent="0.2">
      <c r="B164" s="161" t="s">
        <v>77</v>
      </c>
      <c r="C164" s="100">
        <v>0.62152777777777779</v>
      </c>
      <c r="D164" s="151">
        <f>4+32/60+24+D161</f>
        <v>171</v>
      </c>
      <c r="E164" s="80" t="s">
        <v>107</v>
      </c>
      <c r="F164" s="104">
        <f>(0.0462+0.0426+0.0532)/3</f>
        <v>4.7333333333333331E-2</v>
      </c>
      <c r="G164" s="139">
        <f>(0.0446+0.0409+0.0512)/3</f>
        <v>4.5566666666666665E-2</v>
      </c>
      <c r="H164" s="104">
        <f>0.2329-F164</f>
        <v>0.18556666666666666</v>
      </c>
      <c r="I164" s="105">
        <f>0.2471-F164</f>
        <v>0.19976666666666665</v>
      </c>
      <c r="J164" s="105">
        <f>0.1568-G164</f>
        <v>0.11123333333333332</v>
      </c>
      <c r="K164" s="105">
        <f>0.17-G164</f>
        <v>0.12443333333333334</v>
      </c>
      <c r="L164" s="292">
        <f t="shared" si="47"/>
        <v>1.9168638573743922E-2</v>
      </c>
      <c r="M164" s="292">
        <f t="shared" si="48"/>
        <v>2.0175769854132899E-2</v>
      </c>
      <c r="N164" s="82">
        <f t="shared" si="49"/>
        <v>1.9672204213938411E-2</v>
      </c>
      <c r="O164" s="82">
        <v>1.4119999999999999</v>
      </c>
      <c r="P164" s="82">
        <f t="shared" si="50"/>
        <v>1.7785552</v>
      </c>
      <c r="Q164" s="83">
        <f>O164*0.125/1000</f>
        <v>1.7649999999999998E-4</v>
      </c>
      <c r="R164" s="84">
        <f t="shared" si="51"/>
        <v>55.728623835519585</v>
      </c>
      <c r="S164" s="85"/>
      <c r="V164" s="86">
        <f t="shared" si="52"/>
        <v>99.116433711507298</v>
      </c>
      <c r="W164" s="102"/>
      <c r="X164" s="86"/>
      <c r="Y164" s="86"/>
      <c r="Z164" s="86">
        <f t="shared" ref="Z164" si="69">(V164-$V$104)/(D164-$D$104)</f>
        <v>0.55008923199408566</v>
      </c>
      <c r="AA164" s="102"/>
      <c r="AB164" s="110"/>
      <c r="AD164" s="87">
        <f>D191</f>
        <v>408.95</v>
      </c>
      <c r="AE164" s="86">
        <f>S193</f>
        <v>52.050800262939561</v>
      </c>
      <c r="AF164" s="86">
        <f>U193</f>
        <v>1.4723422086963822</v>
      </c>
      <c r="AG164" s="86">
        <f>W193</f>
        <v>197.76890869800107</v>
      </c>
      <c r="AH164" s="86">
        <f>Y193</f>
        <v>5.3616385895727037</v>
      </c>
      <c r="AK164" s="56">
        <v>384.40000000000003</v>
      </c>
      <c r="AL164" s="56">
        <v>231.26497000000001</v>
      </c>
      <c r="AM164" s="56">
        <v>16.636203837293962</v>
      </c>
      <c r="AO164" s="56">
        <v>431.45000000000005</v>
      </c>
      <c r="AP164" s="56">
        <v>67.264589999999998</v>
      </c>
      <c r="AQ164" s="56">
        <v>7.6789389513696538</v>
      </c>
    </row>
    <row r="165" spans="2:43" x14ac:dyDescent="0.2">
      <c r="B165" s="58"/>
      <c r="D165" s="148"/>
      <c r="E165" s="80" t="s">
        <v>108</v>
      </c>
      <c r="F165" s="58"/>
      <c r="G165" s="79"/>
      <c r="H165" s="81">
        <f>0.2027-F164</f>
        <v>0.15536666666666665</v>
      </c>
      <c r="I165" s="82">
        <f>0.1888-F164</f>
        <v>0.14146666666666666</v>
      </c>
      <c r="J165" s="82">
        <f>0.1364-G164</f>
        <v>9.0833333333333321E-2</v>
      </c>
      <c r="K165" s="82">
        <f>0.1233-G164</f>
        <v>7.7733333333333349E-2</v>
      </c>
      <c r="L165" s="292">
        <f t="shared" si="47"/>
        <v>1.6274311183144246E-2</v>
      </c>
      <c r="M165" s="292">
        <f t="shared" si="48"/>
        <v>1.5305996758508911E-2</v>
      </c>
      <c r="N165" s="82">
        <f t="shared" si="49"/>
        <v>1.579015397082658E-2</v>
      </c>
      <c r="O165" s="82">
        <v>1.48</v>
      </c>
      <c r="P165" s="82">
        <f t="shared" si="50"/>
        <v>1.8642080000000001</v>
      </c>
      <c r="Q165" s="83">
        <f>O165*0.125/1000</f>
        <v>1.85E-4</v>
      </c>
      <c r="R165" s="84">
        <f t="shared" si="51"/>
        <v>42.676091813044813</v>
      </c>
      <c r="S165" s="85"/>
      <c r="V165" s="86">
        <f t="shared" si="52"/>
        <v>79.55711176661265</v>
      </c>
      <c r="W165" s="102"/>
      <c r="X165" s="86"/>
      <c r="Y165" s="86"/>
      <c r="Z165" s="86">
        <f>(V165-$V$105)/(D164-$D$104)</f>
        <v>0.43265364345493668</v>
      </c>
      <c r="AA165" s="102"/>
      <c r="AB165" s="110"/>
      <c r="AK165" s="56">
        <v>408.95000000000005</v>
      </c>
      <c r="AL165" s="56">
        <v>239.34567000000001</v>
      </c>
      <c r="AM165" s="56">
        <v>12.388887658030894</v>
      </c>
    </row>
    <row r="166" spans="2:43" x14ac:dyDescent="0.2">
      <c r="B166" s="88"/>
      <c r="C166" s="97"/>
      <c r="D166" s="149"/>
      <c r="E166" s="90" t="s">
        <v>109</v>
      </c>
      <c r="F166" s="58"/>
      <c r="G166" s="79"/>
      <c r="H166" s="91">
        <f>0.2244-F164</f>
        <v>0.17706666666666665</v>
      </c>
      <c r="I166" s="92">
        <f>0.2314-F164</f>
        <v>0.18406666666666666</v>
      </c>
      <c r="J166" s="92">
        <f>0.1456-G164</f>
        <v>0.10003333333333334</v>
      </c>
      <c r="K166" s="92">
        <f>0.1513-G164</f>
        <v>0.10573333333333332</v>
      </c>
      <c r="L166" s="292">
        <f t="shared" si="47"/>
        <v>1.8889222042139383E-2</v>
      </c>
      <c r="M166" s="292">
        <f t="shared" si="48"/>
        <v>1.9464829821717988E-2</v>
      </c>
      <c r="N166" s="92">
        <f t="shared" si="49"/>
        <v>1.9177025931928687E-2</v>
      </c>
      <c r="O166" s="92">
        <v>1.518</v>
      </c>
      <c r="P166" s="92">
        <f t="shared" si="50"/>
        <v>1.9120728</v>
      </c>
      <c r="Q166" s="93">
        <f>O166*0.125/1000</f>
        <v>1.8975E-4</v>
      </c>
      <c r="R166" s="94">
        <f t="shared" si="51"/>
        <v>50.532347646715905</v>
      </c>
      <c r="S166" s="95">
        <f>AVERAGE(R164:R166)</f>
        <v>49.645687765093442</v>
      </c>
      <c r="T166" s="96">
        <f>STDEV(R164:R166)</f>
        <v>6.5712839201095301</v>
      </c>
      <c r="U166" s="96">
        <f>T166/SQRT(3)</f>
        <v>3.7939325401966966</v>
      </c>
      <c r="V166" s="96">
        <f t="shared" si="52"/>
        <v>96.621527455429487</v>
      </c>
      <c r="W166" s="95">
        <f t="shared" ref="W166" si="70">AVERAGE(V164:V166)</f>
        <v>91.76502431118314</v>
      </c>
      <c r="X166" s="96">
        <f t="shared" ref="X166" si="71">STDEV(V164:V166)</f>
        <v>10.645702693038412</v>
      </c>
      <c r="Y166" s="96">
        <f t="shared" ref="Y166" si="72">X166/SQRT(3)</f>
        <v>6.1462993155384513</v>
      </c>
      <c r="Z166" s="96">
        <f>(V166-$V$106)/(D164-$D$104)</f>
        <v>0.53747874491739878</v>
      </c>
      <c r="AA166" s="95">
        <f t="shared" ref="AA166" si="73">AVERAGE(Z164:Z166)</f>
        <v>0.50674054012214043</v>
      </c>
      <c r="AB166" s="103">
        <f t="shared" ref="AB166" si="74">STDEV(Z164:Z166)/SQRT(3)</f>
        <v>3.7221890017436983E-2</v>
      </c>
    </row>
    <row r="167" spans="2:43" x14ac:dyDescent="0.2">
      <c r="B167" s="58" t="s">
        <v>78</v>
      </c>
      <c r="C167" s="78">
        <v>0.53333333333333333</v>
      </c>
      <c r="D167" s="150">
        <f>8+53/60+13+D164</f>
        <v>192.88333333333333</v>
      </c>
      <c r="E167" s="80" t="s">
        <v>107</v>
      </c>
      <c r="F167" s="104">
        <v>4.3700000000000003E-2</v>
      </c>
      <c r="G167" s="139">
        <v>4.2200000000000001E-2</v>
      </c>
      <c r="H167" s="104">
        <f>0.1915-F167</f>
        <v>0.14779999999999999</v>
      </c>
      <c r="I167" s="105">
        <f>0.1913-F167</f>
        <v>0.14760000000000001</v>
      </c>
      <c r="J167" s="105">
        <f>0.1236-G167</f>
        <v>8.14E-2</v>
      </c>
      <c r="K167" s="105">
        <f>0.125-G167</f>
        <v>8.2799999999999999E-2</v>
      </c>
      <c r="L167" s="292">
        <f t="shared" si="47"/>
        <v>1.5972933549432737E-2</v>
      </c>
      <c r="M167" s="292">
        <f t="shared" si="48"/>
        <v>1.58032414910859E-2</v>
      </c>
      <c r="N167" s="82">
        <f t="shared" si="49"/>
        <v>1.5888087520259317E-2</v>
      </c>
      <c r="O167" s="82">
        <v>1.6839999999999999</v>
      </c>
      <c r="P167" s="82">
        <f t="shared" si="50"/>
        <v>2.1211663999999999</v>
      </c>
      <c r="Q167" s="83">
        <f>O167*0.125/1000</f>
        <v>2.1049999999999999E-4</v>
      </c>
      <c r="R167" s="84">
        <f t="shared" si="51"/>
        <v>37.73892522626916</v>
      </c>
      <c r="S167" s="85"/>
      <c r="V167" s="86">
        <f t="shared" si="52"/>
        <v>80.05054016207454</v>
      </c>
      <c r="W167" s="102"/>
      <c r="X167" s="86"/>
      <c r="Y167" s="86"/>
      <c r="Z167" s="86">
        <f t="shared" ref="Z167" si="75">(V167-$V$104)/(D167-$D$104)</f>
        <v>0.38883279247328728</v>
      </c>
      <c r="AA167" s="102"/>
      <c r="AB167" s="110"/>
    </row>
    <row r="168" spans="2:43" x14ac:dyDescent="0.2">
      <c r="B168" s="58"/>
      <c r="D168" s="79"/>
      <c r="E168" s="80" t="s">
        <v>108</v>
      </c>
      <c r="F168" s="58"/>
      <c r="G168" s="79"/>
      <c r="H168" s="81">
        <f>0.1768-F167</f>
        <v>0.1331</v>
      </c>
      <c r="I168" s="82">
        <f>0.187-F167</f>
        <v>0.14329999999999998</v>
      </c>
      <c r="J168" s="82">
        <f>0.1125-G167</f>
        <v>7.0300000000000001E-2</v>
      </c>
      <c r="K168" s="82">
        <f>0.118-G167</f>
        <v>7.5799999999999992E-2</v>
      </c>
      <c r="L168" s="292">
        <f t="shared" si="47"/>
        <v>1.4678849270664505E-2</v>
      </c>
      <c r="M168" s="292">
        <f t="shared" si="48"/>
        <v>1.5792706645056723E-2</v>
      </c>
      <c r="N168" s="82">
        <f t="shared" si="49"/>
        <v>1.5235777957860614E-2</v>
      </c>
      <c r="O168" s="82">
        <v>1.6539999999999999</v>
      </c>
      <c r="P168" s="82">
        <f t="shared" si="50"/>
        <v>2.0833784</v>
      </c>
      <c r="Q168" s="83">
        <f>O168*0.25/1000</f>
        <v>4.1349999999999997E-4</v>
      </c>
      <c r="R168" s="84"/>
      <c r="S168" s="85"/>
      <c r="V168" s="86"/>
      <c r="W168" s="102"/>
      <c r="X168" s="86"/>
      <c r="Y168" s="86"/>
      <c r="Z168" s="86">
        <f>(V168-$V$105)/(D167-$D$104)</f>
        <v>-2.8894869450367976E-2</v>
      </c>
      <c r="AA168" s="102"/>
      <c r="AB168" s="110"/>
    </row>
    <row r="169" spans="2:43" x14ac:dyDescent="0.2">
      <c r="B169" s="58"/>
      <c r="D169" s="79"/>
      <c r="E169" s="90" t="s">
        <v>109</v>
      </c>
      <c r="F169" s="58"/>
      <c r="G169" s="79"/>
      <c r="H169" s="81">
        <f>0.1909-F167</f>
        <v>0.1472</v>
      </c>
      <c r="I169" s="82">
        <f>0.2203-F167</f>
        <v>0.17659999999999998</v>
      </c>
      <c r="J169" s="82">
        <f>0.1173-G167</f>
        <v>7.51E-2</v>
      </c>
      <c r="K169" s="82">
        <f>0.1414-G167</f>
        <v>9.9199999999999997E-2</v>
      </c>
      <c r="L169" s="292">
        <f t="shared" si="47"/>
        <v>1.6493435980551054E-2</v>
      </c>
      <c r="M169" s="292">
        <f t="shared" si="48"/>
        <v>1.8895299837925445E-2</v>
      </c>
      <c r="N169" s="92">
        <f t="shared" si="49"/>
        <v>1.769436790923825E-2</v>
      </c>
      <c r="O169" s="92">
        <v>1.732</v>
      </c>
      <c r="P169" s="92">
        <f t="shared" si="50"/>
        <v>2.1816271999999999</v>
      </c>
      <c r="Q169" s="93">
        <f>O169*0.25/1000</f>
        <v>4.3300000000000001E-4</v>
      </c>
      <c r="R169" s="94"/>
      <c r="S169" s="95">
        <f>AVERAGE(R167:R169)</f>
        <v>37.73892522626916</v>
      </c>
      <c r="T169" s="96"/>
      <c r="U169" s="96"/>
      <c r="V169" s="96"/>
      <c r="W169" s="95">
        <f>AVERAGE(V167:V169)</f>
        <v>80.05054016207454</v>
      </c>
      <c r="X169" s="96"/>
      <c r="Y169" s="96"/>
      <c r="Z169" s="96">
        <f>(V169-$V$106)/(D167-$D$104)</f>
        <v>-2.443270754975008E-2</v>
      </c>
      <c r="AA169" s="95">
        <f t="shared" ref="AA169" si="76">AVERAGE(Z167:Z169)</f>
        <v>0.11183507182438975</v>
      </c>
      <c r="AB169" s="103">
        <f t="shared" ref="AB169" si="77">STDEV(Z167:Z169)/SQRT(3)</f>
        <v>0.13850485028296586</v>
      </c>
    </row>
    <row r="170" spans="2:43" x14ac:dyDescent="0.2">
      <c r="B170" s="99" t="s">
        <v>79</v>
      </c>
      <c r="C170" s="100">
        <v>0.52083333333333337</v>
      </c>
      <c r="D170" s="151">
        <f>10+43/60+13+D167</f>
        <v>216.6</v>
      </c>
      <c r="E170" s="80" t="s">
        <v>107</v>
      </c>
      <c r="F170" s="104">
        <v>3.1099999999999999E-2</v>
      </c>
      <c r="G170" s="139">
        <v>3.0200000000000001E-2</v>
      </c>
      <c r="H170" s="104">
        <f>0.2569-F170</f>
        <v>0.22580000000000003</v>
      </c>
      <c r="I170" s="105">
        <f>0.249-F170</f>
        <v>0.21790000000000001</v>
      </c>
      <c r="J170" s="105">
        <f>0.1722-G170</f>
        <v>0.14199999999999999</v>
      </c>
      <c r="K170" s="105">
        <f>0.1659-G170</f>
        <v>0.13569999999999999</v>
      </c>
      <c r="L170" s="292">
        <f t="shared" si="47"/>
        <v>2.2672609400324156E-2</v>
      </c>
      <c r="M170" s="292">
        <f t="shared" si="48"/>
        <v>2.2009967585089146E-2</v>
      </c>
      <c r="N170" s="82">
        <f t="shared" si="49"/>
        <v>2.2341288492706651E-2</v>
      </c>
      <c r="O170" s="82">
        <v>1.8580000000000001</v>
      </c>
      <c r="P170" s="82">
        <f t="shared" si="50"/>
        <v>2.3403368000000002</v>
      </c>
      <c r="Q170" s="83">
        <f>O170*0.125/1000</f>
        <v>2.3225000000000001E-4</v>
      </c>
      <c r="R170" s="84">
        <f t="shared" si="51"/>
        <v>48.097499446085358</v>
      </c>
      <c r="S170" s="85"/>
      <c r="V170" s="86">
        <f t="shared" si="52"/>
        <v>112.5643479416532</v>
      </c>
      <c r="W170" s="102"/>
      <c r="X170" s="86"/>
      <c r="Y170" s="86"/>
      <c r="Z170" s="86">
        <f t="shared" ref="Z170" si="78">(V170-$V$104)/(D170-$D$104)</f>
        <v>0.49636737258141533</v>
      </c>
      <c r="AA170" s="102"/>
      <c r="AB170" s="110"/>
    </row>
    <row r="171" spans="2:43" x14ac:dyDescent="0.2">
      <c r="B171" s="58"/>
      <c r="D171" s="79"/>
      <c r="E171" s="80" t="s">
        <v>108</v>
      </c>
      <c r="F171" s="58"/>
      <c r="G171" s="79"/>
      <c r="H171" s="81">
        <f>0.248-F170</f>
        <v>0.21690000000000001</v>
      </c>
      <c r="I171" s="82">
        <f>0.2542-F170</f>
        <v>0.22309999999999999</v>
      </c>
      <c r="J171" s="82">
        <f>0.1583-G170</f>
        <v>0.12809999999999999</v>
      </c>
      <c r="K171" s="82">
        <f>0.1637-G170</f>
        <v>0.13350000000000001</v>
      </c>
      <c r="L171" s="292">
        <f t="shared" si="47"/>
        <v>2.2593111831442466E-2</v>
      </c>
      <c r="M171" s="292">
        <f t="shared" si="48"/>
        <v>2.3068476499189625E-2</v>
      </c>
      <c r="N171" s="82">
        <f t="shared" si="49"/>
        <v>2.2830794165316047E-2</v>
      </c>
      <c r="O171" s="82">
        <v>1.8320000000000001</v>
      </c>
      <c r="P171" s="82">
        <f t="shared" si="50"/>
        <v>2.3075872000000004</v>
      </c>
      <c r="Q171" s="83">
        <f>O171*0.125/1000</f>
        <v>2.2900000000000001E-4</v>
      </c>
      <c r="R171" s="84">
        <f t="shared" si="51"/>
        <v>49.848895557458619</v>
      </c>
      <c r="S171" s="85"/>
      <c r="V171" s="86">
        <f t="shared" si="52"/>
        <v>115.03067332252839</v>
      </c>
      <c r="W171" s="102"/>
      <c r="X171" s="86"/>
      <c r="Y171" s="86"/>
      <c r="Z171" s="86">
        <f>(V171-$V$105)/(D170-$D$104)</f>
        <v>0.50534318830429326</v>
      </c>
      <c r="AA171" s="102"/>
      <c r="AB171" s="110"/>
    </row>
    <row r="172" spans="2:43" x14ac:dyDescent="0.2">
      <c r="B172" s="58"/>
      <c r="D172" s="79"/>
      <c r="E172" s="90" t="s">
        <v>109</v>
      </c>
      <c r="F172" s="58"/>
      <c r="G172" s="79"/>
      <c r="H172" s="81">
        <f>0.2434-F170</f>
        <v>0.21230000000000002</v>
      </c>
      <c r="I172" s="82">
        <f>0.2489-F170</f>
        <v>0.21780000000000002</v>
      </c>
      <c r="J172" s="82">
        <f>0.153-G170</f>
        <v>0.12279999999999999</v>
      </c>
      <c r="K172" s="82">
        <f>0.1573-G170</f>
        <v>0.12709999999999999</v>
      </c>
      <c r="L172" s="292">
        <f t="shared" si="47"/>
        <v>2.2367260940032416E-2</v>
      </c>
      <c r="M172" s="292">
        <f t="shared" si="48"/>
        <v>2.2837034035656411E-2</v>
      </c>
      <c r="N172" s="92">
        <f t="shared" si="49"/>
        <v>2.2602147487844414E-2</v>
      </c>
      <c r="O172" s="92">
        <v>1.8460000000000001</v>
      </c>
      <c r="P172" s="92">
        <f t="shared" si="50"/>
        <v>2.3252216000000003</v>
      </c>
      <c r="Q172" s="93">
        <f>O172*0.125/1000</f>
        <v>2.3075E-4</v>
      </c>
      <c r="R172" s="94">
        <f t="shared" si="51"/>
        <v>48.975400840399594</v>
      </c>
      <c r="S172" s="95">
        <f>AVERAGE(R170:R172)</f>
        <v>48.973931947981193</v>
      </c>
      <c r="T172" s="96">
        <f>STDEV(R170:R172)</f>
        <v>0.87569897965399468</v>
      </c>
      <c r="U172" s="96">
        <f>T172/SQRT(3)</f>
        <v>0.50558504163231444</v>
      </c>
      <c r="V172" s="96">
        <f t="shared" si="52"/>
        <v>113.8786599027553</v>
      </c>
      <c r="W172" s="95">
        <f t="shared" ref="W172" si="79">AVERAGE(V170:V172)</f>
        <v>113.82456038897897</v>
      </c>
      <c r="X172" s="96">
        <f t="shared" ref="X172" si="80">STDEV(V170:V172)</f>
        <v>1.234052385083557</v>
      </c>
      <c r="Y172" s="96">
        <f t="shared" ref="Y172" si="81">X172/SQRT(3)</f>
        <v>0.71248047672209136</v>
      </c>
      <c r="Z172" s="96">
        <f>(V172-$V$106)/(D170-$D$104)</f>
        <v>0.50399814325115888</v>
      </c>
      <c r="AA172" s="95">
        <f t="shared" ref="AA172" si="82">AVERAGE(Z170:Z172)</f>
        <v>0.50190290137895588</v>
      </c>
      <c r="AB172" s="103">
        <f t="shared" ref="AB172" si="83">STDEV(Z170:Z172)/SQRT(3)</f>
        <v>2.7948670719755981E-3</v>
      </c>
    </row>
    <row r="173" spans="2:43" x14ac:dyDescent="0.2">
      <c r="B173" s="99" t="s">
        <v>80</v>
      </c>
      <c r="C173" s="100">
        <v>0.53472222222222221</v>
      </c>
      <c r="D173" s="151">
        <f>15/60+24+D170</f>
        <v>240.85</v>
      </c>
      <c r="E173" s="80" t="s">
        <v>107</v>
      </c>
      <c r="F173" s="104">
        <v>4.9200000000000001E-2</v>
      </c>
      <c r="G173" s="139">
        <v>4.8500000000000001E-2</v>
      </c>
      <c r="H173" s="104">
        <f>0.2354-F173</f>
        <v>0.1862</v>
      </c>
      <c r="I173" s="105">
        <f>0.2319-F173</f>
        <v>0.1827</v>
      </c>
      <c r="J173" s="105">
        <f>0.1543-G173</f>
        <v>0.10579999999999999</v>
      </c>
      <c r="K173" s="105">
        <f>0.1521-G173</f>
        <v>0.10360000000000001</v>
      </c>
      <c r="L173" s="292">
        <f t="shared" si="47"/>
        <v>1.9804051863857378E-2</v>
      </c>
      <c r="M173" s="292">
        <f t="shared" si="48"/>
        <v>1.9452512155591569E-2</v>
      </c>
      <c r="N173" s="82">
        <f t="shared" si="49"/>
        <v>1.9628282009724475E-2</v>
      </c>
      <c r="O173" s="82">
        <v>1.978</v>
      </c>
      <c r="P173" s="82">
        <f t="shared" si="50"/>
        <v>2.4914887999999999</v>
      </c>
      <c r="Q173" s="83">
        <f>P173*0.1/1000</f>
        <v>2.4914888000000004E-4</v>
      </c>
      <c r="R173" s="84">
        <f t="shared" si="51"/>
        <v>39.390668763440701</v>
      </c>
      <c r="S173" s="85"/>
      <c r="V173" s="86">
        <f t="shared" si="52"/>
        <v>98.141410048622348</v>
      </c>
      <c r="W173" s="102"/>
      <c r="X173" s="86"/>
      <c r="Y173" s="86"/>
      <c r="Z173" s="86">
        <f t="shared" ref="Z173" si="84">(V173-$V$104)/(D173-$D$104)</f>
        <v>0.3865070998883276</v>
      </c>
      <c r="AA173" s="102"/>
      <c r="AB173" s="110"/>
    </row>
    <row r="174" spans="2:43" x14ac:dyDescent="0.2">
      <c r="B174" s="58"/>
      <c r="D174" s="79"/>
      <c r="E174" s="80" t="s">
        <v>108</v>
      </c>
      <c r="F174" s="58"/>
      <c r="G174" s="79"/>
      <c r="H174" s="81"/>
      <c r="I174" s="82"/>
      <c r="J174" s="82"/>
      <c r="K174" s="82"/>
      <c r="L174" s="292">
        <f t="shared" si="47"/>
        <v>0</v>
      </c>
      <c r="M174" s="292">
        <f t="shared" si="48"/>
        <v>0</v>
      </c>
      <c r="N174" s="82">
        <f t="shared" si="49"/>
        <v>0</v>
      </c>
      <c r="O174" s="82">
        <v>1.98</v>
      </c>
      <c r="P174" s="82">
        <f t="shared" si="50"/>
        <v>2.494008</v>
      </c>
      <c r="Q174" s="83">
        <f>P174*0.1/1000</f>
        <v>2.4940079999999999E-4</v>
      </c>
      <c r="R174" s="84"/>
      <c r="S174" s="85"/>
      <c r="V174" s="86"/>
      <c r="W174" s="102"/>
      <c r="X174" s="86"/>
      <c r="Y174" s="86"/>
      <c r="Z174" s="86">
        <f>(V174-$V$105)/(D173-$D$104)</f>
        <v>-2.314028954045454E-2</v>
      </c>
      <c r="AA174" s="102"/>
      <c r="AB174" s="110"/>
    </row>
    <row r="175" spans="2:43" x14ac:dyDescent="0.2">
      <c r="B175" s="58"/>
      <c r="D175" s="79"/>
      <c r="E175" s="90" t="s">
        <v>109</v>
      </c>
      <c r="F175" s="58"/>
      <c r="G175" s="79"/>
      <c r="H175" s="81"/>
      <c r="I175" s="82"/>
      <c r="J175" s="82"/>
      <c r="K175" s="82"/>
      <c r="L175" s="292">
        <f t="shared" si="47"/>
        <v>0</v>
      </c>
      <c r="M175" s="292">
        <f t="shared" si="48"/>
        <v>0</v>
      </c>
      <c r="N175" s="92">
        <f t="shared" si="49"/>
        <v>0</v>
      </c>
      <c r="O175" s="92">
        <v>2.0219999999999998</v>
      </c>
      <c r="P175" s="92">
        <f t="shared" si="50"/>
        <v>2.5469111999999998</v>
      </c>
      <c r="Q175" s="93">
        <f>P175*0.1/1000</f>
        <v>2.5469111999999999E-4</v>
      </c>
      <c r="R175" s="94"/>
      <c r="S175" s="95">
        <f>AVERAGE(R173:R175)</f>
        <v>39.390668763440701</v>
      </c>
      <c r="T175" s="96"/>
      <c r="U175" s="96"/>
      <c r="V175" s="96"/>
      <c r="W175" s="95">
        <f t="shared" ref="W175" si="85">AVERAGE(V173:V175)</f>
        <v>98.141410048622348</v>
      </c>
      <c r="X175" s="96"/>
      <c r="Y175" s="96"/>
      <c r="Z175" s="96">
        <f>(V175-$V$106)/(D173-$D$104)</f>
        <v>-1.9566792919054575E-2</v>
      </c>
      <c r="AA175" s="95">
        <f t="shared" ref="AA175" si="86">AVERAGE(Z173:Z175)</f>
        <v>0.11460000580960616</v>
      </c>
      <c r="AB175" s="103">
        <f t="shared" ref="AB175" si="87">STDEV(Z173:Z175)/SQRT(3)</f>
        <v>0.13595746065991474</v>
      </c>
    </row>
    <row r="176" spans="2:43" x14ac:dyDescent="0.2">
      <c r="B176" s="99" t="s">
        <v>81</v>
      </c>
      <c r="C176" s="100">
        <v>0.51388888888888895</v>
      </c>
      <c r="D176" s="147">
        <f>10+30/60+13+D173</f>
        <v>264.35000000000002</v>
      </c>
      <c r="E176" s="80" t="s">
        <v>107</v>
      </c>
      <c r="F176" s="104">
        <v>4.3700000000000003E-2</v>
      </c>
      <c r="G176" s="139">
        <v>4.2200000000000001E-2</v>
      </c>
      <c r="H176" s="104">
        <f>0.2254-F176</f>
        <v>0.18169999999999997</v>
      </c>
      <c r="I176" s="105">
        <f>0.21257-F176</f>
        <v>0.16887000000000002</v>
      </c>
      <c r="J176" s="105">
        <f>0.17432-G176</f>
        <v>0.13212000000000002</v>
      </c>
      <c r="K176" s="105">
        <f>0.16743-G176</f>
        <v>0.12523000000000001</v>
      </c>
      <c r="L176" s="292">
        <f t="shared" si="47"/>
        <v>1.6493905996758505E-2</v>
      </c>
      <c r="M176" s="292">
        <f t="shared" si="48"/>
        <v>1.5090089141004865E-2</v>
      </c>
      <c r="N176" s="82">
        <f t="shared" si="49"/>
        <v>1.5791997568881687E-2</v>
      </c>
      <c r="O176" s="82">
        <v>2.6</v>
      </c>
      <c r="P176" s="82">
        <f t="shared" si="50"/>
        <v>3.2749600000000001</v>
      </c>
      <c r="Q176" s="83">
        <f t="shared" ref="Q176:Q181" si="88">P176*0.075/1000</f>
        <v>2.4562200000000003E-4</v>
      </c>
      <c r="R176" s="84">
        <f t="shared" si="51"/>
        <v>32.146952571190049</v>
      </c>
      <c r="S176" s="85"/>
      <c r="V176" s="86">
        <f t="shared" si="52"/>
        <v>105.27998379254457</v>
      </c>
      <c r="W176" s="102"/>
      <c r="X176" s="86"/>
      <c r="Y176" s="86"/>
      <c r="Z176" s="86">
        <f t="shared" ref="Z176" si="89">(V176-$V$104)/(D176-$D$104)</f>
        <v>0.37915191508237533</v>
      </c>
      <c r="AA176" s="102"/>
      <c r="AB176" s="110"/>
    </row>
    <row r="177" spans="2:28" x14ac:dyDescent="0.2">
      <c r="B177" s="58"/>
      <c r="D177" s="79"/>
      <c r="E177" s="80" t="s">
        <v>108</v>
      </c>
      <c r="F177" s="58"/>
      <c r="G177" s="79"/>
      <c r="H177" s="104">
        <f>0.2454-F176</f>
        <v>0.20169999999999999</v>
      </c>
      <c r="I177" s="105">
        <f>0.26257-F176</f>
        <v>0.21887000000000001</v>
      </c>
      <c r="J177" s="105">
        <f>0.19532-G176</f>
        <v>0.15311999999999998</v>
      </c>
      <c r="K177" s="105">
        <f>0.19534-G176</f>
        <v>0.15314</v>
      </c>
      <c r="L177" s="292">
        <f t="shared" si="47"/>
        <v>1.7676239870340359E-2</v>
      </c>
      <c r="M177" s="292">
        <f t="shared" si="48"/>
        <v>2.045709886547812E-2</v>
      </c>
      <c r="N177" s="82">
        <f t="shared" si="49"/>
        <v>1.9066669367909239E-2</v>
      </c>
      <c r="O177" s="82">
        <v>2.59</v>
      </c>
      <c r="P177" s="82">
        <f t="shared" si="50"/>
        <v>3.2623639999999998</v>
      </c>
      <c r="Q177" s="83">
        <f t="shared" si="88"/>
        <v>2.446773E-4</v>
      </c>
      <c r="R177" s="84">
        <f t="shared" si="51"/>
        <v>38.962889830624334</v>
      </c>
      <c r="S177" s="85"/>
      <c r="V177" s="86">
        <f t="shared" si="52"/>
        <v>127.11112911939492</v>
      </c>
      <c r="W177" s="102"/>
      <c r="X177" s="86"/>
      <c r="Y177" s="86"/>
      <c r="Z177" s="86">
        <f>(V177-$V$105)/(D176-$D$104)</f>
        <v>0.4597608866411062</v>
      </c>
      <c r="AA177" s="102"/>
      <c r="AB177" s="110"/>
    </row>
    <row r="178" spans="2:28" x14ac:dyDescent="0.2">
      <c r="B178" s="58"/>
      <c r="D178" s="79"/>
      <c r="E178" s="90" t="s">
        <v>109</v>
      </c>
      <c r="F178" s="58"/>
      <c r="G178" s="79"/>
      <c r="H178" s="104">
        <f>0.2194-F176</f>
        <v>0.17570000000000002</v>
      </c>
      <c r="I178" s="105">
        <f>0.26437-F176</f>
        <v>0.22066999999999998</v>
      </c>
      <c r="J178" s="105">
        <f>0.18882-G176</f>
        <v>0.14661999999999997</v>
      </c>
      <c r="K178" s="105">
        <f>0.18799-G176</f>
        <v>0.14578999999999998</v>
      </c>
      <c r="L178" s="292">
        <f t="shared" si="47"/>
        <v>1.4099659643435987E-2</v>
      </c>
      <c r="M178" s="292">
        <f t="shared" si="48"/>
        <v>2.1469538087520255E-2</v>
      </c>
      <c r="N178" s="92">
        <f t="shared" si="49"/>
        <v>1.7784598865478122E-2</v>
      </c>
      <c r="O178" s="92">
        <v>2.65</v>
      </c>
      <c r="P178" s="92">
        <f t="shared" si="50"/>
        <v>3.3379400000000001</v>
      </c>
      <c r="Q178" s="93">
        <f t="shared" si="88"/>
        <v>2.5034550000000002E-4</v>
      </c>
      <c r="R178" s="94">
        <f t="shared" si="51"/>
        <v>35.520108940400604</v>
      </c>
      <c r="S178" s="95">
        <f>AVERAGE(R176:R178)</f>
        <v>35.543317114071662</v>
      </c>
      <c r="T178" s="96">
        <f>STDEV(R176:R178)</f>
        <v>3.4080278968385804</v>
      </c>
      <c r="U178" s="96">
        <f>T178/SQRT(3)</f>
        <v>1.9676258236455086</v>
      </c>
      <c r="V178" s="96">
        <f t="shared" si="52"/>
        <v>118.56399243652079</v>
      </c>
      <c r="W178" s="95">
        <f t="shared" ref="W178" si="90">AVERAGE(V176:V178)</f>
        <v>116.98503511615343</v>
      </c>
      <c r="X178" s="96">
        <f t="shared" ref="X178" si="91">STDEV(V176:V178)</f>
        <v>11.000888883866212</v>
      </c>
      <c r="Y178" s="96">
        <f t="shared" ref="Y178" si="92">X178/SQRT(3)</f>
        <v>6.3513661584253196</v>
      </c>
      <c r="Z178" s="96">
        <f>(V178-$V$106)/(D176-$D$104)</f>
        <v>0.43068405659907882</v>
      </c>
      <c r="AA178" s="95">
        <f t="shared" ref="AA178" si="93">AVERAGE(Z176:Z178)</f>
        <v>0.42319895277418679</v>
      </c>
      <c r="AB178" s="103">
        <f t="shared" ref="AB178" si="94">STDEV(Z176:Z178)/SQRT(3)</f>
        <v>2.3568847082474011E-2</v>
      </c>
    </row>
    <row r="179" spans="2:28" x14ac:dyDescent="0.2">
      <c r="B179" s="99" t="s">
        <v>82</v>
      </c>
      <c r="C179" s="100">
        <v>0.52430555555555558</v>
      </c>
      <c r="D179" s="147">
        <f>15/60+24+D176</f>
        <v>288.60000000000002</v>
      </c>
      <c r="E179" s="80" t="s">
        <v>107</v>
      </c>
      <c r="F179" s="104">
        <v>4.5900000000000003E-2</v>
      </c>
      <c r="G179" s="139">
        <v>4.4499999999999998E-2</v>
      </c>
      <c r="H179" s="104">
        <f>0.2354-F179</f>
        <v>0.1895</v>
      </c>
      <c r="I179" s="105">
        <f>0.2319-F179</f>
        <v>0.186</v>
      </c>
      <c r="J179" s="105">
        <f>0.1543-G179</f>
        <v>0.10979999999999999</v>
      </c>
      <c r="K179" s="105">
        <f>0.1521-G179</f>
        <v>0.10760000000000002</v>
      </c>
      <c r="L179" s="292">
        <f t="shared" si="47"/>
        <v>1.9946677471636955E-2</v>
      </c>
      <c r="M179" s="292">
        <f t="shared" si="48"/>
        <v>1.959513776337115E-2</v>
      </c>
      <c r="N179" s="82">
        <f t="shared" si="49"/>
        <v>1.9770907617504052E-2</v>
      </c>
      <c r="O179" s="82">
        <v>2.75</v>
      </c>
      <c r="P179" s="82">
        <f t="shared" si="50"/>
        <v>3.4639000000000002</v>
      </c>
      <c r="Q179" s="83">
        <f t="shared" si="88"/>
        <v>2.5979249999999996E-4</v>
      </c>
      <c r="R179" s="84">
        <f t="shared" si="51"/>
        <v>38.051344087115787</v>
      </c>
      <c r="S179" s="85"/>
      <c r="V179" s="86">
        <f t="shared" si="52"/>
        <v>131.80605078336038</v>
      </c>
      <c r="W179" s="102"/>
      <c r="X179" s="86"/>
      <c r="Y179" s="86"/>
      <c r="Z179" s="86">
        <f t="shared" ref="Z179" si="95">(V179-$V$104)/(D179-$D$104)</f>
        <v>0.43920608365503022</v>
      </c>
      <c r="AA179" s="102"/>
      <c r="AB179" s="110"/>
    </row>
    <row r="180" spans="2:28" x14ac:dyDescent="0.2">
      <c r="B180" s="58"/>
      <c r="D180" s="79"/>
      <c r="E180" s="80" t="s">
        <v>108</v>
      </c>
      <c r="F180" s="58"/>
      <c r="G180" s="79"/>
      <c r="H180" s="81"/>
      <c r="I180" s="82"/>
      <c r="J180" s="82"/>
      <c r="K180" s="82"/>
      <c r="L180" s="292">
        <f t="shared" si="47"/>
        <v>0</v>
      </c>
      <c r="M180" s="292">
        <f t="shared" si="48"/>
        <v>0</v>
      </c>
      <c r="N180" s="82">
        <f t="shared" si="49"/>
        <v>0</v>
      </c>
      <c r="O180" s="82">
        <v>2.84</v>
      </c>
      <c r="P180" s="82">
        <f t="shared" si="50"/>
        <v>3.577264</v>
      </c>
      <c r="Q180" s="83">
        <f t="shared" si="88"/>
        <v>2.6829479999999998E-4</v>
      </c>
      <c r="R180" s="84"/>
      <c r="S180" s="85"/>
      <c r="V180" s="86"/>
      <c r="W180" s="102"/>
      <c r="X180" s="86"/>
      <c r="Y180" s="86"/>
      <c r="Z180" s="86">
        <f>(V180-$V$105)/(D179-$D$104)</f>
        <v>-1.9311638031249051E-2</v>
      </c>
      <c r="AA180" s="102"/>
      <c r="AB180" s="110"/>
    </row>
    <row r="181" spans="2:28" x14ac:dyDescent="0.2">
      <c r="B181" s="58"/>
      <c r="D181" s="79"/>
      <c r="E181" s="90" t="s">
        <v>109</v>
      </c>
      <c r="F181" s="58"/>
      <c r="G181" s="79"/>
      <c r="H181" s="81"/>
      <c r="I181" s="82"/>
      <c r="J181" s="82"/>
      <c r="K181" s="82"/>
      <c r="L181" s="292">
        <f t="shared" si="47"/>
        <v>0</v>
      </c>
      <c r="M181" s="292">
        <f t="shared" si="48"/>
        <v>0</v>
      </c>
      <c r="N181" s="92">
        <f t="shared" si="49"/>
        <v>0</v>
      </c>
      <c r="O181" s="92">
        <v>2.79</v>
      </c>
      <c r="P181" s="92">
        <f t="shared" si="50"/>
        <v>3.5142840000000004</v>
      </c>
      <c r="Q181" s="93">
        <f t="shared" si="88"/>
        <v>2.6357129999999998E-4</v>
      </c>
      <c r="R181" s="94"/>
      <c r="S181" s="95">
        <f>AVERAGE(R179:R181)</f>
        <v>38.051344087115787</v>
      </c>
      <c r="T181" s="96"/>
      <c r="U181" s="96"/>
      <c r="V181" s="96"/>
      <c r="W181" s="95">
        <f t="shared" ref="W181" si="96">AVERAGE(V179:V181)</f>
        <v>131.80605078336038</v>
      </c>
      <c r="X181" s="96"/>
      <c r="Y181" s="96"/>
      <c r="Z181" s="96">
        <f>(V181-$V$106)/(D179-$D$104)</f>
        <v>-1.6329390417721044E-2</v>
      </c>
      <c r="AA181" s="95">
        <f t="shared" ref="AA181" si="97">AVERAGE(Z179:Z181)</f>
        <v>0.13452168506868672</v>
      </c>
      <c r="AB181" s="103">
        <f t="shared" ref="AB181" si="98">STDEV(Z179:Z181)/SQRT(3)</f>
        <v>0.15234463179104635</v>
      </c>
    </row>
    <row r="182" spans="2:28" x14ac:dyDescent="0.2">
      <c r="B182" s="99" t="s">
        <v>83</v>
      </c>
      <c r="C182" s="100">
        <v>0.53472222222222221</v>
      </c>
      <c r="D182" s="147">
        <f>15/60+24+D179</f>
        <v>312.85000000000002</v>
      </c>
      <c r="E182" s="80" t="s">
        <v>107</v>
      </c>
      <c r="F182" s="104">
        <f>(0.0555+0.0526)/2</f>
        <v>5.4050000000000001E-2</v>
      </c>
      <c r="G182" s="139">
        <f>(0.0536+0.0514)/2</f>
        <v>5.2500000000000005E-2</v>
      </c>
      <c r="H182" s="104">
        <f>0.3097-F182</f>
        <v>0.25564999999999999</v>
      </c>
      <c r="I182" s="105">
        <f>0.2963-F182</f>
        <v>0.24225000000000002</v>
      </c>
      <c r="J182" s="105">
        <f>0.1969-G182</f>
        <v>0.14439999999999997</v>
      </c>
      <c r="K182" s="105">
        <f>0.1883-G182</f>
        <v>0.13579999999999998</v>
      </c>
      <c r="L182" s="292">
        <f t="shared" si="47"/>
        <v>2.7275202593192868E-2</v>
      </c>
      <c r="M182" s="292">
        <f t="shared" si="48"/>
        <v>2.594667747163696E-2</v>
      </c>
      <c r="N182" s="82">
        <f t="shared" si="49"/>
        <v>2.6610940032414914E-2</v>
      </c>
      <c r="O182" s="82">
        <v>3.01</v>
      </c>
      <c r="P182" s="82">
        <f t="shared" si="50"/>
        <v>3.7913959999999998</v>
      </c>
      <c r="Q182" s="83">
        <f t="shared" ref="Q182:Q184" si="99">P182*0.075/1000</f>
        <v>2.8435469999999998E-4</v>
      </c>
      <c r="R182" s="84">
        <f t="shared" si="51"/>
        <v>46.791806206148372</v>
      </c>
      <c r="S182" s="85"/>
      <c r="V182" s="86">
        <f t="shared" si="52"/>
        <v>177.40626688276609</v>
      </c>
      <c r="W182" s="102"/>
      <c r="X182" s="86"/>
      <c r="Y182" s="86"/>
      <c r="Z182" s="86">
        <f t="shared" ref="Z182" si="100">(V182-$V$104)/(D182-$D$104)</f>
        <v>0.55091926431915439</v>
      </c>
      <c r="AA182" s="102"/>
      <c r="AB182" s="110"/>
    </row>
    <row r="183" spans="2:28" x14ac:dyDescent="0.2">
      <c r="B183" s="58"/>
      <c r="D183" s="79"/>
      <c r="E183" s="80" t="s">
        <v>108</v>
      </c>
      <c r="F183" s="58"/>
      <c r="G183" s="79"/>
      <c r="H183" s="81">
        <f>0.2776-F182</f>
        <v>0.22355000000000003</v>
      </c>
      <c r="I183" s="82">
        <f>0.2421-F182</f>
        <v>0.18804999999999999</v>
      </c>
      <c r="J183" s="82">
        <f>0.189-G182</f>
        <v>0.13650000000000001</v>
      </c>
      <c r="K183" s="82">
        <f>0.1569-G182</f>
        <v>0.10440000000000001</v>
      </c>
      <c r="L183" s="292">
        <f t="shared" si="47"/>
        <v>2.2847244732576988E-2</v>
      </c>
      <c r="M183" s="292">
        <f t="shared" si="48"/>
        <v>2.0241166936790924E-2</v>
      </c>
      <c r="N183" s="82">
        <f t="shared" si="49"/>
        <v>2.1544205834683958E-2</v>
      </c>
      <c r="O183" s="82">
        <v>2.948</v>
      </c>
      <c r="P183" s="82">
        <f t="shared" si="50"/>
        <v>3.7133008000000003</v>
      </c>
      <c r="Q183" s="83">
        <f t="shared" si="99"/>
        <v>2.7849756000000004E-4</v>
      </c>
      <c r="R183" s="84">
        <f t="shared" si="51"/>
        <v>38.679343967473102</v>
      </c>
      <c r="S183" s="85"/>
      <c r="V183" s="86">
        <f t="shared" si="52"/>
        <v>143.62803889789305</v>
      </c>
      <c r="W183" s="102"/>
      <c r="X183" s="86"/>
      <c r="Y183" s="86"/>
      <c r="Z183" s="86">
        <f>(V183-$V$105)/(D182-$D$104)</f>
        <v>0.44128080601590075</v>
      </c>
      <c r="AA183" s="102"/>
      <c r="AB183" s="110"/>
    </row>
    <row r="184" spans="2:28" x14ac:dyDescent="0.2">
      <c r="B184" s="58"/>
      <c r="D184" s="79"/>
      <c r="E184" s="90" t="s">
        <v>109</v>
      </c>
      <c r="F184" s="58"/>
      <c r="G184" s="79"/>
      <c r="H184" s="81">
        <f>0.2479-F182</f>
        <v>0.19385000000000002</v>
      </c>
      <c r="I184" s="82">
        <f>0.2552-F182</f>
        <v>0.20115</v>
      </c>
      <c r="J184" s="82">
        <f>0.162-G182</f>
        <v>0.1095</v>
      </c>
      <c r="K184" s="82">
        <f>0.1662-G182</f>
        <v>0.11369999999999998</v>
      </c>
      <c r="L184" s="292">
        <f t="shared" si="47"/>
        <v>2.0681118314424637E-2</v>
      </c>
      <c r="M184" s="292">
        <f t="shared" si="48"/>
        <v>2.1452431118314429E-2</v>
      </c>
      <c r="N184" s="92">
        <f t="shared" si="49"/>
        <v>2.1066774716369533E-2</v>
      </c>
      <c r="O184" s="92">
        <v>3.0009999999999999</v>
      </c>
      <c r="P184" s="92">
        <f t="shared" si="50"/>
        <v>3.7800596</v>
      </c>
      <c r="Q184" s="93">
        <f t="shared" si="99"/>
        <v>2.8350447000000003E-4</v>
      </c>
      <c r="R184" s="94">
        <f t="shared" si="51"/>
        <v>37.154219678387314</v>
      </c>
      <c r="S184" s="95">
        <f>AVERAGE(R182:R184)</f>
        <v>40.875123284002932</v>
      </c>
      <c r="T184" s="96">
        <f>STDEV(R182:R184)</f>
        <v>5.1804298687652883</v>
      </c>
      <c r="U184" s="96">
        <f>T184/SQRT(3)</f>
        <v>2.990922579249617</v>
      </c>
      <c r="V184" s="96">
        <f t="shared" si="52"/>
        <v>140.44516477579688</v>
      </c>
      <c r="W184" s="95">
        <f t="shared" ref="W184" si="101">AVERAGE(V182:V184)</f>
        <v>153.82649018548534</v>
      </c>
      <c r="X184" s="96">
        <f t="shared" ref="X184" si="102">STDEV(V182:V184)</f>
        <v>20.482604173773691</v>
      </c>
      <c r="Y184" s="96">
        <f t="shared" ref="Y184" si="103">X184/SQRT(3)</f>
        <v>11.825637033432793</v>
      </c>
      <c r="Z184" s="96">
        <f>(V184-$V$106)/(D182-$D$104)</f>
        <v>0.43385808758588007</v>
      </c>
      <c r="AA184" s="95">
        <f t="shared" ref="AA184" si="104">AVERAGE(Z182:Z184)</f>
        <v>0.47535271930697842</v>
      </c>
      <c r="AB184" s="103">
        <f t="shared" ref="AB184" si="105">STDEV(Z182:Z184)/SQRT(3)</f>
        <v>3.7843983366055073E-2</v>
      </c>
    </row>
    <row r="185" spans="2:28" x14ac:dyDescent="0.2">
      <c r="B185" s="99" t="s">
        <v>84</v>
      </c>
      <c r="C185" s="100">
        <v>0.52777777777777779</v>
      </c>
      <c r="D185" s="154">
        <f>23+50/60+D182</f>
        <v>336.68333333333334</v>
      </c>
      <c r="E185" s="80" t="s">
        <v>107</v>
      </c>
      <c r="F185" s="104">
        <f>(0.0438+0.0304+0.0425)/3</f>
        <v>3.8899999999999997E-2</v>
      </c>
      <c r="G185" s="139">
        <f>(0.0434+0.0306+0.0415)/3</f>
        <v>3.85E-2</v>
      </c>
      <c r="H185" s="104">
        <f>0.2082-F185</f>
        <v>0.16930000000000001</v>
      </c>
      <c r="I185" s="105">
        <f>0.2083-F185</f>
        <v>0.16940000000000002</v>
      </c>
      <c r="J185" s="105">
        <f>0.1256-G185</f>
        <v>8.7099999999999983E-2</v>
      </c>
      <c r="K185" s="105">
        <f>0.1229-G185</f>
        <v>8.4400000000000003E-2</v>
      </c>
      <c r="L185" s="292">
        <f t="shared" si="47"/>
        <v>1.8898622366288496E-2</v>
      </c>
      <c r="M185" s="292">
        <f t="shared" si="48"/>
        <v>1.9179578606158838E-2</v>
      </c>
      <c r="N185" s="82">
        <f t="shared" si="49"/>
        <v>1.9039100486223669E-2</v>
      </c>
      <c r="O185" s="82">
        <v>3.14</v>
      </c>
      <c r="P185" s="82">
        <f t="shared" si="50"/>
        <v>3.9551440000000002</v>
      </c>
      <c r="Q185" s="83">
        <f>P185*0.075/1000</f>
        <v>2.9663580000000001E-4</v>
      </c>
      <c r="R185" s="84">
        <f t="shared" si="51"/>
        <v>32.091710586219982</v>
      </c>
      <c r="S185" s="85"/>
      <c r="V185" s="86">
        <f t="shared" si="52"/>
        <v>126.92733657482445</v>
      </c>
      <c r="W185" s="102"/>
      <c r="X185" s="86"/>
      <c r="Y185" s="86"/>
      <c r="Z185" s="86">
        <f t="shared" ref="Z185" si="106">(V185-$V$104)/(D185-$D$104)</f>
        <v>0.36199048027614217</v>
      </c>
      <c r="AA185" s="102"/>
      <c r="AB185" s="110"/>
    </row>
    <row r="186" spans="2:28" x14ac:dyDescent="0.2">
      <c r="B186" s="58"/>
      <c r="E186" s="80" t="s">
        <v>108</v>
      </c>
      <c r="F186" s="81"/>
      <c r="G186" s="137"/>
      <c r="H186" s="81">
        <f>0.2765-F185</f>
        <v>0.23760000000000003</v>
      </c>
      <c r="I186" s="82">
        <f>0.2888-F185</f>
        <v>0.24990000000000001</v>
      </c>
      <c r="J186" s="82">
        <f>0.1687-G185</f>
        <v>0.13019999999999998</v>
      </c>
      <c r="K186" s="82">
        <f>0.1781-G185</f>
        <v>0.1396</v>
      </c>
      <c r="L186" s="292">
        <f t="shared" si="47"/>
        <v>2.5742139384116701E-2</v>
      </c>
      <c r="M186" s="292">
        <f t="shared" si="48"/>
        <v>2.6813938411669368E-2</v>
      </c>
      <c r="N186" s="82">
        <f t="shared" si="49"/>
        <v>2.6278038897893034E-2</v>
      </c>
      <c r="O186" s="82">
        <v>3.081</v>
      </c>
      <c r="P186" s="82">
        <f t="shared" si="50"/>
        <v>3.8808275999999999</v>
      </c>
      <c r="Q186" s="83">
        <f>P186*0.075/1000</f>
        <v>2.9106207000000002E-4</v>
      </c>
      <c r="R186" s="84">
        <f t="shared" si="51"/>
        <v>45.141640918538499</v>
      </c>
      <c r="S186" s="85"/>
      <c r="V186" s="86">
        <f t="shared" si="52"/>
        <v>175.18692598595356</v>
      </c>
      <c r="W186" s="102"/>
      <c r="X186" s="86"/>
      <c r="Y186" s="86"/>
      <c r="Z186" s="86">
        <f>(V186-$V$105)/(D185-$D$104)</f>
        <v>0.50377779491154417</v>
      </c>
      <c r="AA186" s="102"/>
      <c r="AB186" s="110"/>
    </row>
    <row r="187" spans="2:28" x14ac:dyDescent="0.2">
      <c r="B187" s="58"/>
      <c r="E187" s="90" t="s">
        <v>109</v>
      </c>
      <c r="F187" s="81"/>
      <c r="G187" s="137"/>
      <c r="H187" s="81">
        <f>0.288-F185</f>
        <v>0.24909999999999999</v>
      </c>
      <c r="I187" s="82">
        <f>0.3009-F185</f>
        <v>0.26200000000000001</v>
      </c>
      <c r="J187" s="82">
        <f>0.1668-G185</f>
        <v>0.1283</v>
      </c>
      <c r="K187" s="82">
        <f>0.1756-G185</f>
        <v>0.1371</v>
      </c>
      <c r="L187" s="292">
        <f t="shared" si="47"/>
        <v>2.7792301458670985E-2</v>
      </c>
      <c r="M187" s="292">
        <f t="shared" si="48"/>
        <v>2.9020178282009725E-2</v>
      </c>
      <c r="N187" s="92">
        <f t="shared" si="49"/>
        <v>2.8406239870340355E-2</v>
      </c>
      <c r="O187" s="92">
        <v>3.1030000000000002</v>
      </c>
      <c r="P187" s="92">
        <f t="shared" si="50"/>
        <v>3.9085388000000005</v>
      </c>
      <c r="Q187" s="93">
        <f>P187*0.075/1000</f>
        <v>2.9314041000000004E-4</v>
      </c>
      <c r="R187" s="94">
        <f t="shared" si="51"/>
        <v>48.451593334300703</v>
      </c>
      <c r="S187" s="95">
        <f>AVERAGE(R185:R187)</f>
        <v>41.894981613019723</v>
      </c>
      <c r="T187" s="96">
        <f>STDEV(R185:R187)</f>
        <v>8.6496842929277449</v>
      </c>
      <c r="U187" s="96">
        <f>T187/SQRT(3)</f>
        <v>4.9938975549271118</v>
      </c>
      <c r="V187" s="96">
        <f t="shared" si="52"/>
        <v>189.3749324689357</v>
      </c>
      <c r="W187" s="95">
        <f t="shared" ref="W187" si="107">AVERAGE(V185:V187)</f>
        <v>163.82973167657124</v>
      </c>
      <c r="X187" s="96">
        <f t="shared" ref="X187" si="108">STDEV(V185:V187)</f>
        <v>32.736294157622076</v>
      </c>
      <c r="Y187" s="96">
        <f t="shared" ref="Y187" si="109">X187/SQRT(3)</f>
        <v>18.900308244173878</v>
      </c>
      <c r="Z187" s="96">
        <f>(V187-$V$106)/(D185-$D$104)</f>
        <v>0.54847464104068533</v>
      </c>
      <c r="AA187" s="95">
        <f t="shared" ref="AA187" si="110">AVERAGE(Z185:Z187)</f>
        <v>0.47141430540945722</v>
      </c>
      <c r="AB187" s="103">
        <f t="shared" ref="AB187" si="111">STDEV(Z185:Z187)/SQRT(3)</f>
        <v>5.6212786634293382E-2</v>
      </c>
    </row>
    <row r="188" spans="2:28" x14ac:dyDescent="0.2">
      <c r="B188" s="99" t="s">
        <v>86</v>
      </c>
      <c r="C188" s="100">
        <v>0.51597222222222217</v>
      </c>
      <c r="D188" s="154">
        <f>10+55/60+13+10+48/60+13+D185</f>
        <v>384.4</v>
      </c>
      <c r="E188" s="80" t="s">
        <v>107</v>
      </c>
      <c r="F188" s="104">
        <f>(0.0451+0.0398+0.0434)/3</f>
        <v>4.2766666666666668E-2</v>
      </c>
      <c r="G188" s="139">
        <f>(0.0445+0.0392+0.0428)/3</f>
        <v>4.2166666666666665E-2</v>
      </c>
      <c r="H188" s="104">
        <f>0.2527-F188</f>
        <v>0.20993333333333331</v>
      </c>
      <c r="I188" s="105">
        <f>0.2279-F188</f>
        <v>0.18513333333333332</v>
      </c>
      <c r="J188" s="105">
        <f>0.1742-G188</f>
        <v>0.13203333333333334</v>
      </c>
      <c r="K188" s="105">
        <f>0.1525-G188</f>
        <v>0.11033333333333334</v>
      </c>
      <c r="L188" s="292">
        <f t="shared" si="47"/>
        <v>2.1078309022150184E-2</v>
      </c>
      <c r="M188" s="292">
        <f t="shared" si="48"/>
        <v>1.9186655861696378E-2</v>
      </c>
      <c r="N188" s="82">
        <f t="shared" si="49"/>
        <v>2.0132482441923283E-2</v>
      </c>
      <c r="O188" s="82">
        <f>'Growth curves UTEX #1926'!F96</f>
        <v>3.0070000000000001</v>
      </c>
      <c r="P188" s="82">
        <f t="shared" si="50"/>
        <v>3.7876172000000001</v>
      </c>
      <c r="Q188" s="83">
        <f t="shared" ref="Q188:Q193" si="112">P188*0.05/1000</f>
        <v>1.8938086000000001E-4</v>
      </c>
      <c r="R188" s="84">
        <f t="shared" si="51"/>
        <v>53.153424379642381</v>
      </c>
      <c r="S188" s="85"/>
      <c r="V188" s="86">
        <f t="shared" si="52"/>
        <v>201.32482441923281</v>
      </c>
      <c r="W188" s="102"/>
      <c r="X188" s="86"/>
      <c r="Y188" s="86"/>
      <c r="Z188" s="86">
        <f t="shared" ref="Z188" si="113">(V188-$V$104)/(D188-$D$104)</f>
        <v>0.51059742294150412</v>
      </c>
      <c r="AA188" s="102"/>
      <c r="AB188" s="110"/>
    </row>
    <row r="189" spans="2:28" x14ac:dyDescent="0.2">
      <c r="B189" s="58"/>
      <c r="E189" s="80" t="s">
        <v>108</v>
      </c>
      <c r="F189" s="81"/>
      <c r="G189" s="137"/>
      <c r="H189" s="81">
        <f>0.2169-F188</f>
        <v>0.17413333333333333</v>
      </c>
      <c r="I189" s="82">
        <f>0.2252-F188</f>
        <v>0.18243333333333334</v>
      </c>
      <c r="J189" s="82">
        <f>0.1505-G188</f>
        <v>0.10833333333333334</v>
      </c>
      <c r="K189" s="82">
        <f>0.1575-G188</f>
        <v>0.11533333333333334</v>
      </c>
      <c r="L189" s="292">
        <f t="shared" si="47"/>
        <v>1.7599945975148568E-2</v>
      </c>
      <c r="M189" s="292">
        <f t="shared" si="48"/>
        <v>1.8258779038357646E-2</v>
      </c>
      <c r="N189" s="82">
        <f t="shared" si="49"/>
        <v>1.7929362506753109E-2</v>
      </c>
      <c r="O189" s="82">
        <f>'Growth curves UTEX #1926'!G96</f>
        <v>3.0190000000000001</v>
      </c>
      <c r="P189" s="82">
        <f t="shared" si="50"/>
        <v>3.8027324000000005</v>
      </c>
      <c r="Q189" s="83">
        <f t="shared" si="112"/>
        <v>1.9013662000000003E-4</v>
      </c>
      <c r="R189" s="84">
        <f t="shared" si="51"/>
        <v>47.148630565624622</v>
      </c>
      <c r="S189" s="85"/>
      <c r="V189" s="86">
        <f t="shared" si="52"/>
        <v>179.29362506753111</v>
      </c>
      <c r="W189" s="102"/>
      <c r="X189" s="86"/>
      <c r="Y189" s="86"/>
      <c r="Z189" s="86">
        <f>(V189-$V$105)/(D188-$D$104)</f>
        <v>0.45192582292328992</v>
      </c>
      <c r="AA189" s="102"/>
      <c r="AB189" s="110"/>
    </row>
    <row r="190" spans="2:28" x14ac:dyDescent="0.2">
      <c r="B190" s="58"/>
      <c r="E190" s="90" t="s">
        <v>109</v>
      </c>
      <c r="F190" s="81"/>
      <c r="G190" s="137"/>
      <c r="H190" s="81">
        <f>0.1991-F188</f>
        <v>0.15633333333333332</v>
      </c>
      <c r="I190" s="82">
        <f>0.2088-F188</f>
        <v>0.16603333333333334</v>
      </c>
      <c r="J190" s="82">
        <f>0.1323-G188</f>
        <v>9.0133333333333343E-2</v>
      </c>
      <c r="K190" s="82">
        <f>0.1395-G188</f>
        <v>9.7333333333333355E-2</v>
      </c>
      <c r="L190" s="292">
        <f t="shared" si="47"/>
        <v>1.6499621826039975E-2</v>
      </c>
      <c r="M190" s="292">
        <f t="shared" si="48"/>
        <v>1.736574824419233E-2</v>
      </c>
      <c r="N190" s="92">
        <f t="shared" si="49"/>
        <v>1.6932685035116152E-2</v>
      </c>
      <c r="O190" s="92">
        <f>'Growth curves UTEX #1926'!H96</f>
        <v>3.0169999999999999</v>
      </c>
      <c r="P190" s="92">
        <f t="shared" si="50"/>
        <v>3.8002132</v>
      </c>
      <c r="Q190" s="93">
        <f t="shared" si="112"/>
        <v>1.9001066E-4</v>
      </c>
      <c r="R190" s="94">
        <f t="shared" si="51"/>
        <v>44.557197567536875</v>
      </c>
      <c r="S190" s="95">
        <f>AVERAGE(R188:R190)</f>
        <v>48.286417504267966</v>
      </c>
      <c r="T190" s="96">
        <f>STDEV(R188:R190)</f>
        <v>4.4096142903434234</v>
      </c>
      <c r="U190" s="96">
        <f>T190/SQRT(3)</f>
        <v>2.5458919975521961</v>
      </c>
      <c r="V190" s="96">
        <f t="shared" si="52"/>
        <v>169.32685035116151</v>
      </c>
      <c r="W190" s="95">
        <f t="shared" ref="W190" si="114">AVERAGE(V188:V190)</f>
        <v>183.31509994597513</v>
      </c>
      <c r="X190" s="96">
        <f t="shared" ref="X190" si="115">STDEV(V188:V190)</f>
        <v>16.373661205231659</v>
      </c>
      <c r="Y190" s="96">
        <f t="shared" ref="Y190" si="116">X190/SQRT(3)</f>
        <v>9.4533377044602318</v>
      </c>
      <c r="Z190" s="96">
        <f>(V190-$V$106)/(D188-$D$104)</f>
        <v>0.42823670207233933</v>
      </c>
      <c r="AA190" s="95">
        <f t="shared" ref="AA190" si="117">AVERAGE(Z188:Z190)</f>
        <v>0.46358664931237775</v>
      </c>
      <c r="AB190" s="103">
        <f t="shared" ref="AB190" si="118">STDEV(Z188:Z190)/SQRT(3)</f>
        <v>2.4479945803177038E-2</v>
      </c>
    </row>
    <row r="191" spans="2:28" x14ac:dyDescent="0.2">
      <c r="B191" s="99" t="s">
        <v>87</v>
      </c>
      <c r="C191" s="100">
        <v>0.53888888888888886</v>
      </c>
      <c r="D191" s="155">
        <f>33/60+24+D188</f>
        <v>408.95</v>
      </c>
      <c r="E191" s="80" t="s">
        <v>107</v>
      </c>
      <c r="F191" s="104">
        <v>4.4200000000000003E-2</v>
      </c>
      <c r="G191" s="139">
        <v>4.2500000000000003E-2</v>
      </c>
      <c r="H191" s="105">
        <f>0.2373-F191</f>
        <v>0.19309999999999999</v>
      </c>
      <c r="I191" s="105">
        <f>0.245-F191</f>
        <v>0.20079999999999998</v>
      </c>
      <c r="J191" s="105">
        <f>0.1569-G191</f>
        <v>0.1144</v>
      </c>
      <c r="K191" s="105">
        <f>0.1602-G191</f>
        <v>0.1177</v>
      </c>
      <c r="L191" s="292">
        <f t="shared" si="47"/>
        <v>2.0079092382495948E-2</v>
      </c>
      <c r="M191" s="292">
        <f t="shared" si="48"/>
        <v>2.1003484602917337E-2</v>
      </c>
      <c r="N191" s="82">
        <f t="shared" si="49"/>
        <v>2.0541288492706644E-2</v>
      </c>
      <c r="O191" s="82">
        <f>'Growth curves UTEX #1926'!F97</f>
        <v>3.01</v>
      </c>
      <c r="P191" s="82">
        <f t="shared" si="50"/>
        <v>3.7913959999999998</v>
      </c>
      <c r="Q191" s="83">
        <f t="shared" si="112"/>
        <v>1.895698E-4</v>
      </c>
      <c r="R191" s="84">
        <f t="shared" si="51"/>
        <v>54.178694319207608</v>
      </c>
      <c r="S191" s="85"/>
      <c r="V191" s="86">
        <f t="shared" si="52"/>
        <v>205.41288492706644</v>
      </c>
      <c r="W191" s="102"/>
      <c r="X191" s="86"/>
      <c r="Y191" s="86"/>
      <c r="Z191" s="86">
        <f t="shared" ref="Z191" si="119">(V191-$V$104)/(D191-$D$104)</f>
        <v>0.48994182635174915</v>
      </c>
      <c r="AA191" s="102"/>
      <c r="AB191" s="110"/>
    </row>
    <row r="192" spans="2:28" x14ac:dyDescent="0.2">
      <c r="B192" s="58"/>
      <c r="E192" s="80" t="s">
        <v>108</v>
      </c>
      <c r="F192" s="81"/>
      <c r="G192" s="137"/>
      <c r="H192" s="82">
        <f>0.2132-F191</f>
        <v>0.16899999999999998</v>
      </c>
      <c r="I192" s="82">
        <f>0.2307-F191</f>
        <v>0.1865</v>
      </c>
      <c r="J192" s="82">
        <f>0.1388-G191</f>
        <v>9.6299999999999997E-2</v>
      </c>
      <c r="K192" s="82">
        <f>0.1515-G191</f>
        <v>0.10899999999999999</v>
      </c>
      <c r="L192" s="292">
        <f t="shared" si="47"/>
        <v>1.7947893030794165E-2</v>
      </c>
      <c r="M192" s="292">
        <f t="shared" si="48"/>
        <v>1.9538897893030795E-2</v>
      </c>
      <c r="N192" s="82">
        <f t="shared" si="49"/>
        <v>1.874339546191248E-2</v>
      </c>
      <c r="O192" s="82">
        <f>'Growth curves UTEX #1926'!G97</f>
        <v>3.0230000000000001</v>
      </c>
      <c r="P192" s="82">
        <f t="shared" si="50"/>
        <v>3.8077708000000001</v>
      </c>
      <c r="Q192" s="83">
        <f t="shared" si="112"/>
        <v>1.9038854000000003E-4</v>
      </c>
      <c r="R192" s="84">
        <f t="shared" si="51"/>
        <v>49.224064279059228</v>
      </c>
      <c r="S192" s="85"/>
      <c r="V192" s="86">
        <f t="shared" si="52"/>
        <v>187.43395461912479</v>
      </c>
      <c r="W192" s="102"/>
      <c r="X192" s="86"/>
      <c r="Y192" s="86"/>
      <c r="Z192" s="86">
        <f>(V192-$V$105)/(D191-$D$104)</f>
        <v>0.44470134706762759</v>
      </c>
      <c r="AA192" s="102"/>
      <c r="AB192" s="110"/>
    </row>
    <row r="193" spans="1:28" ht="14" thickBot="1" x14ac:dyDescent="0.25">
      <c r="A193" s="120"/>
      <c r="B193" s="113"/>
      <c r="C193" s="159"/>
      <c r="D193" s="159"/>
      <c r="E193" s="121" t="s">
        <v>109</v>
      </c>
      <c r="F193" s="143"/>
      <c r="G193" s="145"/>
      <c r="H193" s="114">
        <f>0.2209-F191</f>
        <v>0.17670000000000002</v>
      </c>
      <c r="I193" s="114">
        <f>0.2519-F191</f>
        <v>0.2077</v>
      </c>
      <c r="J193" s="114">
        <f>0.143-G191</f>
        <v>0.10049999999999998</v>
      </c>
      <c r="K193" s="114">
        <f>0.1685-G191</f>
        <v>0.126</v>
      </c>
      <c r="L193" s="114">
        <f t="shared" si="47"/>
        <v>1.8784035656401951E-2</v>
      </c>
      <c r="M193" s="114">
        <f t="shared" si="48"/>
        <v>2.1307941653160453E-2</v>
      </c>
      <c r="N193" s="114">
        <f t="shared" si="49"/>
        <v>2.0045988654781202E-2</v>
      </c>
      <c r="O193" s="114">
        <f>'Growth curves UTEX #1926'!H97</f>
        <v>3.0169999999999999</v>
      </c>
      <c r="P193" s="114">
        <f t="shared" si="50"/>
        <v>3.8002132</v>
      </c>
      <c r="Q193" s="115">
        <f t="shared" si="112"/>
        <v>1.9001066E-4</v>
      </c>
      <c r="R193" s="116">
        <f t="shared" si="51"/>
        <v>52.749642190551839</v>
      </c>
      <c r="S193" s="117">
        <f>AVERAGE(R191:R193)</f>
        <v>52.050800262939561</v>
      </c>
      <c r="T193" s="118">
        <f>STDEV(R191:R193)</f>
        <v>2.550171511590313</v>
      </c>
      <c r="U193" s="118">
        <f>T193/SQRT(3)</f>
        <v>1.4723422086963822</v>
      </c>
      <c r="V193" s="118">
        <f t="shared" si="52"/>
        <v>200.459886547812</v>
      </c>
      <c r="W193" s="117">
        <f t="shared" ref="W193" si="120">AVERAGE(V191:V193)</f>
        <v>197.76890869800107</v>
      </c>
      <c r="X193" s="118">
        <f t="shared" ref="X193" si="121">STDEV(V191:V193)</f>
        <v>9.2866304489618567</v>
      </c>
      <c r="Y193" s="118">
        <f t="shared" ref="Y193" si="122">X193/SQRT(3)</f>
        <v>5.3616385895727037</v>
      </c>
      <c r="Z193" s="118">
        <f>(V193-$V$106)/(D191-$D$104)</f>
        <v>0.47865808649775698</v>
      </c>
      <c r="AA193" s="117">
        <f t="shared" ref="AA193" si="123">AVERAGE(Z191:Z193)</f>
        <v>0.47110041997237789</v>
      </c>
      <c r="AB193" s="119">
        <f t="shared" ref="AB193" si="124">STDEV(Z191:Z193)/SQRT(3)</f>
        <v>1.3595513769204466E-2</v>
      </c>
    </row>
  </sheetData>
  <mergeCells count="21">
    <mergeCell ref="B149:AB149"/>
    <mergeCell ref="H150:I150"/>
    <mergeCell ref="J150:K150"/>
    <mergeCell ref="L150:M150"/>
    <mergeCell ref="L151:M151"/>
    <mergeCell ref="B101:AB101"/>
    <mergeCell ref="H102:I102"/>
    <mergeCell ref="J102:K102"/>
    <mergeCell ref="L102:M102"/>
    <mergeCell ref="L103:M103"/>
    <mergeCell ref="H51:I51"/>
    <mergeCell ref="J51:K51"/>
    <mergeCell ref="L51:M51"/>
    <mergeCell ref="L52:M52"/>
    <mergeCell ref="B50:AB50"/>
    <mergeCell ref="L4:M4"/>
    <mergeCell ref="A1:AB1"/>
    <mergeCell ref="B2:AB2"/>
    <mergeCell ref="H3:I3"/>
    <mergeCell ref="J3:K3"/>
    <mergeCell ref="L3:M3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88F59-7335-DC4E-B3E5-CCB73AC35B82}">
  <dimension ref="A1:AC592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5" customWidth="1"/>
    <col min="2" max="2" width="10.33203125" style="5" bestFit="1" customWidth="1"/>
    <col min="3" max="7" width="9.1640625" style="5"/>
    <col min="8" max="8" width="8.83203125" style="5" customWidth="1"/>
    <col min="9" max="10" width="9.1640625" style="5"/>
    <col min="11" max="14" width="9.6640625" style="5" bestFit="1" customWidth="1"/>
    <col min="15" max="15" width="12.1640625" style="5" customWidth="1"/>
    <col min="16" max="16" width="12.5" style="5" bestFit="1" customWidth="1"/>
    <col min="17" max="18" width="13.6640625" style="5" customWidth="1"/>
    <col min="19" max="19" width="14.5" style="5" customWidth="1"/>
    <col min="20" max="21" width="10.5" style="5" bestFit="1" customWidth="1"/>
    <col min="22" max="23" width="9.1640625" style="5"/>
    <col min="24" max="24" width="12.6640625" style="5" customWidth="1"/>
    <col min="25" max="16384" width="9.1640625" style="5"/>
  </cols>
  <sheetData>
    <row r="1" spans="1:29" ht="17" thickBot="1" x14ac:dyDescent="0.2">
      <c r="A1" s="246" t="s">
        <v>112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8"/>
    </row>
    <row r="2" spans="1:29" ht="16" customHeight="1" thickBot="1" x14ac:dyDescent="0.2">
      <c r="A2" s="122"/>
      <c r="B2" s="249" t="s">
        <v>70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1"/>
      <c r="Z2" s="252"/>
      <c r="AA2" s="252"/>
    </row>
    <row r="3" spans="1:29" ht="37" customHeight="1" x14ac:dyDescent="0.15">
      <c r="A3" s="46"/>
      <c r="B3" s="124" t="s">
        <v>0</v>
      </c>
      <c r="C3" s="66" t="s">
        <v>1</v>
      </c>
      <c r="D3" s="66" t="s">
        <v>2</v>
      </c>
      <c r="E3" s="125" t="s">
        <v>17</v>
      </c>
      <c r="F3" s="126"/>
      <c r="G3" s="126" t="s">
        <v>18</v>
      </c>
      <c r="H3" s="253" t="s">
        <v>130</v>
      </c>
      <c r="I3" s="254"/>
      <c r="J3" s="254"/>
      <c r="K3" s="255" t="s">
        <v>113</v>
      </c>
      <c r="L3" s="255"/>
      <c r="M3" s="255"/>
      <c r="N3" s="66" t="s">
        <v>19</v>
      </c>
      <c r="O3" s="66" t="s">
        <v>20</v>
      </c>
      <c r="P3" s="66" t="s">
        <v>20</v>
      </c>
      <c r="Q3" s="66" t="s">
        <v>114</v>
      </c>
      <c r="R3" s="125" t="s">
        <v>114</v>
      </c>
      <c r="S3" s="66" t="s">
        <v>115</v>
      </c>
      <c r="T3" s="66" t="s">
        <v>97</v>
      </c>
      <c r="U3" s="127" t="s">
        <v>62</v>
      </c>
      <c r="W3" s="56" t="str">
        <f>D3</f>
        <v>Hours</v>
      </c>
      <c r="X3" s="77" t="str">
        <f>S3</f>
        <v>Average NO3 concentration</v>
      </c>
      <c r="Y3" s="77" t="str">
        <f>U3</f>
        <v>Standard error</v>
      </c>
      <c r="Z3" s="56"/>
      <c r="AA3" s="128"/>
      <c r="AB3" s="128"/>
      <c r="AC3" s="128"/>
    </row>
    <row r="4" spans="1:29" ht="15" customHeight="1" x14ac:dyDescent="0.15">
      <c r="A4" s="46"/>
      <c r="B4" s="129"/>
      <c r="C4" s="130"/>
      <c r="D4" s="131"/>
      <c r="E4" s="131"/>
      <c r="F4" s="132"/>
      <c r="G4" s="132"/>
      <c r="H4" s="187" t="s">
        <v>102</v>
      </c>
      <c r="I4" s="187" t="s">
        <v>103</v>
      </c>
      <c r="J4" s="188" t="s">
        <v>131</v>
      </c>
      <c r="K4" s="242" t="s">
        <v>21</v>
      </c>
      <c r="L4" s="225"/>
      <c r="M4" s="226"/>
      <c r="N4" s="74" t="s">
        <v>21</v>
      </c>
      <c r="O4" s="74" t="s">
        <v>15</v>
      </c>
      <c r="P4" s="74" t="s">
        <v>22</v>
      </c>
      <c r="Q4" s="74" t="s">
        <v>22</v>
      </c>
      <c r="R4" s="70" t="s">
        <v>15</v>
      </c>
      <c r="S4" s="74" t="s">
        <v>15</v>
      </c>
      <c r="T4" s="74"/>
      <c r="U4" s="76"/>
      <c r="W4" s="87">
        <v>0</v>
      </c>
      <c r="X4" s="82">
        <f>S7</f>
        <v>1.5645272888888888</v>
      </c>
      <c r="Y4" s="82">
        <f>U7</f>
        <v>2.1627387104774302E-2</v>
      </c>
      <c r="Z4" s="82"/>
      <c r="AA4" s="128"/>
      <c r="AB4" s="128"/>
      <c r="AC4" s="128"/>
    </row>
    <row r="5" spans="1:29" x14ac:dyDescent="0.15">
      <c r="A5" s="46"/>
      <c r="B5" s="260" t="s">
        <v>23</v>
      </c>
      <c r="C5" s="258">
        <v>0.48333333333333334</v>
      </c>
      <c r="D5" s="256">
        <v>0</v>
      </c>
      <c r="E5" s="244">
        <v>1</v>
      </c>
      <c r="F5" s="80" t="s">
        <v>107</v>
      </c>
      <c r="G5" s="269">
        <v>7.3333333333333348E-2</v>
      </c>
      <c r="H5" s="81">
        <f>0.789-G5</f>
        <v>0.71566666666666667</v>
      </c>
      <c r="I5" s="82">
        <f>0.833-G5</f>
        <v>0.7596666666666666</v>
      </c>
      <c r="J5" s="82">
        <f>0.833-G5</f>
        <v>0.7596666666666666</v>
      </c>
      <c r="K5" s="82">
        <f>4.816*H5</f>
        <v>3.4466506666666668</v>
      </c>
      <c r="L5" s="82">
        <f t="shared" ref="L5:M7" si="0">4.816*I5</f>
        <v>3.6585546666666664</v>
      </c>
      <c r="M5" s="82">
        <f t="shared" si="0"/>
        <v>3.6585546666666664</v>
      </c>
      <c r="N5" s="82">
        <f>AVERAGE(K5:M5)</f>
        <v>3.58792</v>
      </c>
      <c r="O5" s="82">
        <f>N5/10</f>
        <v>0.358792</v>
      </c>
      <c r="P5" s="82">
        <f>O5/14</f>
        <v>2.5628000000000001E-2</v>
      </c>
      <c r="Q5" s="82">
        <f>P5</f>
        <v>2.5628000000000001E-2</v>
      </c>
      <c r="R5" s="82">
        <f>Q5*62</f>
        <v>1.5889360000000001</v>
      </c>
      <c r="S5" s="134"/>
      <c r="T5" s="56"/>
      <c r="U5" s="79"/>
      <c r="W5" s="87">
        <f>D8</f>
        <v>47.5</v>
      </c>
      <c r="X5" s="82">
        <f>S10</f>
        <v>1.5292755158730156</v>
      </c>
      <c r="Y5" s="82">
        <f>U10</f>
        <v>2.9551110832630879E-2</v>
      </c>
      <c r="Z5" s="82"/>
      <c r="AA5" s="135"/>
      <c r="AB5" s="135"/>
      <c r="AC5" s="135"/>
    </row>
    <row r="6" spans="1:29" x14ac:dyDescent="0.15">
      <c r="A6" s="46"/>
      <c r="B6" s="260"/>
      <c r="C6" s="258"/>
      <c r="D6" s="256"/>
      <c r="E6" s="244"/>
      <c r="F6" s="80" t="s">
        <v>108</v>
      </c>
      <c r="G6" s="269"/>
      <c r="H6" s="81">
        <f>0.764-G5</f>
        <v>0.69066666666666665</v>
      </c>
      <c r="I6" s="82">
        <f>0.795-G5</f>
        <v>0.72166666666666668</v>
      </c>
      <c r="J6" s="82">
        <f>0.801-G5</f>
        <v>0.72766666666666668</v>
      </c>
      <c r="K6" s="82">
        <f t="shared" ref="K6:K7" si="1">4.816*H6</f>
        <v>3.3262506666666667</v>
      </c>
      <c r="L6" s="82">
        <f t="shared" si="0"/>
        <v>3.4755466666666668</v>
      </c>
      <c r="M6" s="82">
        <f t="shared" si="0"/>
        <v>3.5044426666666668</v>
      </c>
      <c r="N6" s="82">
        <f t="shared" ref="N6:N7" si="2">AVERAGE(K6:M6)</f>
        <v>3.435413333333333</v>
      </c>
      <c r="O6" s="82">
        <f t="shared" ref="O6:O7" si="3">N6/10</f>
        <v>0.34354133333333331</v>
      </c>
      <c r="P6" s="82">
        <f t="shared" ref="P6:P28" si="4">O6/14</f>
        <v>2.4538666666666663E-2</v>
      </c>
      <c r="Q6" s="82">
        <f t="shared" ref="Q6:Q28" si="5">P6</f>
        <v>2.4538666666666663E-2</v>
      </c>
      <c r="R6" s="82">
        <f t="shared" ref="R6:R28" si="6">Q6*62</f>
        <v>1.521397333333333</v>
      </c>
      <c r="S6" s="134"/>
      <c r="T6" s="56"/>
      <c r="U6" s="79"/>
      <c r="W6" s="87">
        <f>D11</f>
        <v>94.933333333333337</v>
      </c>
      <c r="X6" s="82">
        <f>S13</f>
        <v>1.2553373467724869</v>
      </c>
      <c r="Y6" s="82">
        <f>U13</f>
        <v>1.2448939325542724E-2</v>
      </c>
      <c r="Z6" s="82"/>
      <c r="AA6" s="135"/>
      <c r="AB6" s="135"/>
      <c r="AC6" s="135"/>
    </row>
    <row r="7" spans="1:29" x14ac:dyDescent="0.15">
      <c r="A7" s="46"/>
      <c r="B7" s="260"/>
      <c r="C7" s="258"/>
      <c r="D7" s="256"/>
      <c r="E7" s="244"/>
      <c r="F7" s="80" t="s">
        <v>109</v>
      </c>
      <c r="G7" s="269"/>
      <c r="H7" s="81">
        <f>0.786-G5</f>
        <v>0.71266666666666667</v>
      </c>
      <c r="I7" s="82">
        <f>0.799-G5</f>
        <v>0.72566666666666668</v>
      </c>
      <c r="J7" s="82">
        <f>0.862-G5</f>
        <v>0.78866666666666663</v>
      </c>
      <c r="K7" s="82">
        <f t="shared" si="1"/>
        <v>3.4322026666666665</v>
      </c>
      <c r="L7" s="82">
        <f t="shared" si="0"/>
        <v>3.4948106666666665</v>
      </c>
      <c r="M7" s="82">
        <f t="shared" si="0"/>
        <v>3.7982186666666662</v>
      </c>
      <c r="N7" s="82">
        <f t="shared" si="2"/>
        <v>3.5750773333333328</v>
      </c>
      <c r="O7" s="82">
        <f t="shared" si="3"/>
        <v>0.3575077333333333</v>
      </c>
      <c r="P7" s="82">
        <f t="shared" si="4"/>
        <v>2.5536266666666665E-2</v>
      </c>
      <c r="Q7" s="82">
        <f t="shared" si="5"/>
        <v>2.5536266666666665E-2</v>
      </c>
      <c r="R7" s="82">
        <f t="shared" si="6"/>
        <v>1.5832485333333333</v>
      </c>
      <c r="S7" s="136">
        <f>AVERAGE(R5:R7)</f>
        <v>1.5645272888888888</v>
      </c>
      <c r="T7" s="82">
        <f>STDEV(R5:R7)</f>
        <v>3.7459733300429052E-2</v>
      </c>
      <c r="U7" s="137">
        <f>T7/SQRT(3)</f>
        <v>2.1627387104774302E-2</v>
      </c>
      <c r="W7" s="87">
        <f>D14</f>
        <v>144.66666666666669</v>
      </c>
      <c r="X7" s="82">
        <f>S16</f>
        <v>1.1396882219047617</v>
      </c>
      <c r="Y7" s="82">
        <f>U16</f>
        <v>2.8506011694293718E-2</v>
      </c>
      <c r="Z7" s="82"/>
      <c r="AA7" s="135"/>
      <c r="AB7" s="135"/>
      <c r="AC7" s="135"/>
    </row>
    <row r="8" spans="1:29" x14ac:dyDescent="0.15">
      <c r="A8" s="46"/>
      <c r="B8" s="262" t="s">
        <v>25</v>
      </c>
      <c r="C8" s="266">
        <v>0.46249999999999997</v>
      </c>
      <c r="D8" s="264">
        <f>11+30/60+12+24</f>
        <v>47.5</v>
      </c>
      <c r="E8" s="243">
        <v>3</v>
      </c>
      <c r="F8" s="133" t="s">
        <v>107</v>
      </c>
      <c r="G8" s="271">
        <v>7.5999999999999998E-2</v>
      </c>
      <c r="H8" s="104">
        <f>0.766-G8</f>
        <v>0.69000000000000006</v>
      </c>
      <c r="I8" s="105">
        <f>0.758-G8</f>
        <v>0.68200000000000005</v>
      </c>
      <c r="J8" s="105">
        <f>0.723-G8</f>
        <v>0.64700000000000002</v>
      </c>
      <c r="K8" s="105">
        <f>4.975*H8</f>
        <v>3.43275</v>
      </c>
      <c r="L8" s="105">
        <f t="shared" ref="L8:M10" si="7">4.975*I8</f>
        <v>3.3929499999999999</v>
      </c>
      <c r="M8" s="105">
        <f t="shared" si="7"/>
        <v>3.2188249999999998</v>
      </c>
      <c r="N8" s="105">
        <f>AVERAGE(K8:M8)</f>
        <v>3.3481749999999999</v>
      </c>
      <c r="O8" s="105">
        <f>N8/10</f>
        <v>0.33481749999999999</v>
      </c>
      <c r="P8" s="105">
        <f t="shared" si="4"/>
        <v>2.3915535714285712E-2</v>
      </c>
      <c r="Q8" s="105">
        <f t="shared" si="5"/>
        <v>2.3915535714285712E-2</v>
      </c>
      <c r="R8" s="105">
        <f t="shared" si="6"/>
        <v>1.4827632142857141</v>
      </c>
      <c r="S8" s="138"/>
      <c r="T8" s="105"/>
      <c r="U8" s="139"/>
      <c r="W8" s="87">
        <f>D17</f>
        <v>240.01666666666668</v>
      </c>
      <c r="X8" s="82">
        <f>S19</f>
        <v>0.822146236825397</v>
      </c>
      <c r="Y8" s="82">
        <f>U19</f>
        <v>3.4127024638665467E-2</v>
      </c>
      <c r="Z8" s="82"/>
      <c r="AA8" s="135"/>
      <c r="AB8" s="135"/>
      <c r="AC8" s="135"/>
    </row>
    <row r="9" spans="1:29" ht="15" customHeight="1" x14ac:dyDescent="0.15">
      <c r="A9" s="46"/>
      <c r="B9" s="260"/>
      <c r="C9" s="258"/>
      <c r="D9" s="256"/>
      <c r="E9" s="244"/>
      <c r="F9" s="80" t="s">
        <v>108</v>
      </c>
      <c r="G9" s="269"/>
      <c r="H9" s="81">
        <f>0.79-G8</f>
        <v>0.71400000000000008</v>
      </c>
      <c r="I9" s="82">
        <f>0.799-G8</f>
        <v>0.72300000000000009</v>
      </c>
      <c r="J9" s="82">
        <f>0.796-G8</f>
        <v>0.72000000000000008</v>
      </c>
      <c r="K9" s="105">
        <f t="shared" ref="K9:K10" si="8">4.975*H9</f>
        <v>3.5521500000000001</v>
      </c>
      <c r="L9" s="105">
        <f t="shared" si="7"/>
        <v>3.5969250000000001</v>
      </c>
      <c r="M9" s="105">
        <f t="shared" si="7"/>
        <v>3.5820000000000003</v>
      </c>
      <c r="N9" s="82">
        <f t="shared" ref="N9:N10" si="9">AVERAGE(K9:M9)</f>
        <v>3.5770250000000003</v>
      </c>
      <c r="O9" s="82">
        <f t="shared" ref="O9:O10" si="10">N9/10</f>
        <v>0.35770250000000003</v>
      </c>
      <c r="P9" s="82">
        <f t="shared" si="4"/>
        <v>2.5550178571428574E-2</v>
      </c>
      <c r="Q9" s="82">
        <f t="shared" si="5"/>
        <v>2.5550178571428574E-2</v>
      </c>
      <c r="R9" s="82">
        <f t="shared" si="6"/>
        <v>1.5841110714285715</v>
      </c>
      <c r="S9" s="136"/>
      <c r="T9" s="82"/>
      <c r="U9" s="137"/>
      <c r="W9" s="87">
        <f>D20</f>
        <v>288.88333333333333</v>
      </c>
      <c r="X9" s="82">
        <f>S22</f>
        <v>0.68293212325396835</v>
      </c>
      <c r="Y9" s="82">
        <f>U22</f>
        <v>2.5047182263419673E-2</v>
      </c>
      <c r="Z9" s="82"/>
      <c r="AA9" s="135"/>
      <c r="AB9" s="135"/>
      <c r="AC9" s="135"/>
    </row>
    <row r="10" spans="1:29" ht="15" customHeight="1" x14ac:dyDescent="0.15">
      <c r="A10" s="46"/>
      <c r="B10" s="263"/>
      <c r="C10" s="267"/>
      <c r="D10" s="265"/>
      <c r="E10" s="245"/>
      <c r="F10" s="90" t="s">
        <v>109</v>
      </c>
      <c r="G10" s="272"/>
      <c r="H10" s="91">
        <f>0.749-G8</f>
        <v>0.67300000000000004</v>
      </c>
      <c r="I10" s="92">
        <f>0.776-G8</f>
        <v>0.70000000000000007</v>
      </c>
      <c r="J10" s="92">
        <f>0.774-G8</f>
        <v>0.69800000000000006</v>
      </c>
      <c r="K10" s="185">
        <f t="shared" si="8"/>
        <v>3.3481749999999999</v>
      </c>
      <c r="L10" s="185">
        <f t="shared" si="7"/>
        <v>3.4824999999999999</v>
      </c>
      <c r="M10" s="185">
        <f t="shared" si="7"/>
        <v>3.47255</v>
      </c>
      <c r="N10" s="92">
        <f t="shared" si="9"/>
        <v>3.4344083333333333</v>
      </c>
      <c r="O10" s="92">
        <f t="shared" si="10"/>
        <v>0.34344083333333331</v>
      </c>
      <c r="P10" s="92">
        <f t="shared" si="4"/>
        <v>2.4531488095238092E-2</v>
      </c>
      <c r="Q10" s="92">
        <f t="shared" si="5"/>
        <v>2.4531488095238092E-2</v>
      </c>
      <c r="R10" s="92">
        <f t="shared" si="6"/>
        <v>1.5209522619047617</v>
      </c>
      <c r="S10" s="140">
        <f>AVERAGE(R8:R10)</f>
        <v>1.5292755158730156</v>
      </c>
      <c r="T10" s="92">
        <f>STDEV(R8:R10)</f>
        <v>5.1184025382215712E-2</v>
      </c>
      <c r="U10" s="141">
        <f>T10/SQRT(3)</f>
        <v>2.9551110832630879E-2</v>
      </c>
      <c r="W10" s="87">
        <f>D23</f>
        <v>336.16666666666663</v>
      </c>
      <c r="X10" s="82">
        <f>S25</f>
        <v>0.53191344341269842</v>
      </c>
      <c r="Y10" s="82">
        <f>U25</f>
        <v>2.6222570879855075E-2</v>
      </c>
      <c r="Z10" s="82"/>
      <c r="AA10" s="135"/>
      <c r="AB10" s="135"/>
      <c r="AC10" s="135"/>
    </row>
    <row r="11" spans="1:29" x14ac:dyDescent="0.15">
      <c r="A11" s="46"/>
      <c r="B11" s="260" t="s">
        <v>27</v>
      </c>
      <c r="C11" s="258">
        <v>0.43888888888888888</v>
      </c>
      <c r="D11" s="256">
        <f>11+26/60+12+24+D8</f>
        <v>94.933333333333337</v>
      </c>
      <c r="E11" s="244">
        <v>5</v>
      </c>
      <c r="F11" s="80" t="s">
        <v>107</v>
      </c>
      <c r="G11" s="269">
        <v>6.9500000000000006E-2</v>
      </c>
      <c r="H11" s="81">
        <f>0.907-G11</f>
        <v>0.83750000000000002</v>
      </c>
      <c r="I11" s="82">
        <f>0.912-G11</f>
        <v>0.84250000000000003</v>
      </c>
      <c r="J11" s="82">
        <f>0.878-G11</f>
        <v>0.8085</v>
      </c>
      <c r="K11" s="82">
        <f>5.0662*H11</f>
        <v>4.2429425000000007</v>
      </c>
      <c r="L11" s="82">
        <f t="shared" ref="L11:M13" si="11">5.0662*I11</f>
        <v>4.2682735000000003</v>
      </c>
      <c r="M11" s="82">
        <f t="shared" si="11"/>
        <v>4.0960226999999998</v>
      </c>
      <c r="N11" s="82">
        <f>AVERAGE(K11:M11)</f>
        <v>4.2024128999999997</v>
      </c>
      <c r="O11" s="82">
        <f>N11/15</f>
        <v>0.28016085999999996</v>
      </c>
      <c r="P11" s="82">
        <f t="shared" si="4"/>
        <v>2.0011489999999996E-2</v>
      </c>
      <c r="Q11" s="82">
        <f t="shared" si="5"/>
        <v>2.0011489999999996E-2</v>
      </c>
      <c r="R11" s="82">
        <f t="shared" si="6"/>
        <v>1.2407123799999997</v>
      </c>
      <c r="S11" s="136"/>
      <c r="T11" s="82"/>
      <c r="U11" s="137"/>
      <c r="W11" s="87">
        <f>D26</f>
        <v>384.48333333333329</v>
      </c>
      <c r="X11" s="82">
        <f>S28</f>
        <v>0.40784411904761902</v>
      </c>
      <c r="Y11" s="82">
        <f>U28</f>
        <v>4.7216409950260156E-2</v>
      </c>
      <c r="Z11" s="82"/>
      <c r="AA11" s="135"/>
      <c r="AB11" s="135"/>
      <c r="AC11" s="135"/>
    </row>
    <row r="12" spans="1:29" ht="15" customHeight="1" x14ac:dyDescent="0.15">
      <c r="A12" s="46"/>
      <c r="B12" s="260"/>
      <c r="C12" s="258"/>
      <c r="D12" s="256"/>
      <c r="E12" s="244"/>
      <c r="F12" s="80" t="s">
        <v>108</v>
      </c>
      <c r="G12" s="269"/>
      <c r="H12" s="81">
        <f>0.919-G11</f>
        <v>0.84950000000000003</v>
      </c>
      <c r="I12" s="82">
        <f>0.926-G11</f>
        <v>0.85650000000000004</v>
      </c>
      <c r="J12" s="82">
        <f>0.931-G11</f>
        <v>0.86150000000000004</v>
      </c>
      <c r="K12" s="82">
        <f t="shared" ref="K12:K13" si="12">5.0662*H12</f>
        <v>4.3037369000000005</v>
      </c>
      <c r="L12" s="82">
        <f t="shared" si="11"/>
        <v>4.3392003000000008</v>
      </c>
      <c r="M12" s="82">
        <f t="shared" si="11"/>
        <v>4.3645313000000003</v>
      </c>
      <c r="N12" s="82">
        <f t="shared" ref="N12:N28" si="13">AVERAGE(K12:M12)</f>
        <v>4.3358228333333342</v>
      </c>
      <c r="O12" s="82">
        <f t="shared" ref="O12:O13" si="14">N12/15</f>
        <v>0.2890548555555556</v>
      </c>
      <c r="P12" s="82">
        <f t="shared" si="4"/>
        <v>2.0646775396825402E-2</v>
      </c>
      <c r="Q12" s="82">
        <f t="shared" si="5"/>
        <v>2.0646775396825402E-2</v>
      </c>
      <c r="R12" s="82">
        <f t="shared" si="6"/>
        <v>1.280100074603175</v>
      </c>
      <c r="S12" s="136"/>
      <c r="T12" s="82"/>
      <c r="U12" s="137"/>
      <c r="W12" s="87"/>
      <c r="X12" s="82"/>
      <c r="Y12" s="82"/>
      <c r="Z12" s="82"/>
      <c r="AA12" s="135"/>
      <c r="AB12" s="135"/>
      <c r="AC12" s="135"/>
    </row>
    <row r="13" spans="1:29" ht="15" customHeight="1" x14ac:dyDescent="0.15">
      <c r="A13" s="46"/>
      <c r="B13" s="260"/>
      <c r="C13" s="258"/>
      <c r="D13" s="256"/>
      <c r="E13" s="244"/>
      <c r="F13" s="80" t="s">
        <v>109</v>
      </c>
      <c r="G13" s="269"/>
      <c r="H13" s="81">
        <f>0.877-G11</f>
        <v>0.8075</v>
      </c>
      <c r="I13" s="82">
        <f>0.888-G11</f>
        <v>0.81850000000000001</v>
      </c>
      <c r="J13" s="82">
        <f>0.941-G11</f>
        <v>0.87149999999999994</v>
      </c>
      <c r="K13" s="82">
        <f t="shared" si="12"/>
        <v>4.0909564999999999</v>
      </c>
      <c r="L13" s="82">
        <f t="shared" si="11"/>
        <v>4.1466847000000007</v>
      </c>
      <c r="M13" s="82">
        <f t="shared" si="11"/>
        <v>4.4151933000000003</v>
      </c>
      <c r="N13" s="82">
        <f t="shared" si="13"/>
        <v>4.2176115000000003</v>
      </c>
      <c r="O13" s="82">
        <f t="shared" si="14"/>
        <v>0.28117410000000004</v>
      </c>
      <c r="P13" s="82">
        <f t="shared" si="4"/>
        <v>2.0083864285714289E-2</v>
      </c>
      <c r="Q13" s="82">
        <f t="shared" si="5"/>
        <v>2.0083864285714289E-2</v>
      </c>
      <c r="R13" s="82">
        <f t="shared" si="6"/>
        <v>1.2451995857142859</v>
      </c>
      <c r="S13" s="136">
        <f>AVERAGE(R11:R13)</f>
        <v>1.2553373467724869</v>
      </c>
      <c r="T13" s="82">
        <f>STDEV(R11:R13)</f>
        <v>2.1562195412182229E-2</v>
      </c>
      <c r="U13" s="137">
        <f>T13/SQRT(3)</f>
        <v>1.2448939325542724E-2</v>
      </c>
      <c r="Z13" s="82"/>
      <c r="AA13" s="135"/>
      <c r="AB13" s="135"/>
      <c r="AC13" s="135"/>
    </row>
    <row r="14" spans="1:29" x14ac:dyDescent="0.15">
      <c r="A14" s="46"/>
      <c r="B14" s="262" t="s">
        <v>29</v>
      </c>
      <c r="C14" s="266">
        <v>0.51111111111111118</v>
      </c>
      <c r="D14" s="264">
        <f>1+44/60+48+D11</f>
        <v>144.66666666666669</v>
      </c>
      <c r="E14" s="243">
        <v>7</v>
      </c>
      <c r="F14" s="133" t="s">
        <v>107</v>
      </c>
      <c r="G14" s="271">
        <v>6.8000000000000005E-2</v>
      </c>
      <c r="H14" s="104">
        <f>0.817-G14</f>
        <v>0.74899999999999989</v>
      </c>
      <c r="I14" s="105">
        <f>0.808-G14</f>
        <v>0.74</v>
      </c>
      <c r="J14" s="105">
        <f>0.784-G14</f>
        <v>0.71599999999999997</v>
      </c>
      <c r="K14" s="105">
        <f>5.0329*H14</f>
        <v>3.7696420999999991</v>
      </c>
      <c r="L14" s="105">
        <f t="shared" ref="L14:M16" si="15">5.0329*I14</f>
        <v>3.7243459999999997</v>
      </c>
      <c r="M14" s="105">
        <f t="shared" si="15"/>
        <v>3.6035563999999995</v>
      </c>
      <c r="N14" s="105">
        <f t="shared" si="13"/>
        <v>3.6991814999999995</v>
      </c>
      <c r="O14" s="105">
        <f>N14/15</f>
        <v>0.24661209999999997</v>
      </c>
      <c r="P14" s="105">
        <f t="shared" si="4"/>
        <v>1.761515E-2</v>
      </c>
      <c r="Q14" s="105">
        <f t="shared" si="5"/>
        <v>1.761515E-2</v>
      </c>
      <c r="R14" s="105">
        <f t="shared" si="6"/>
        <v>1.0921392999999999</v>
      </c>
      <c r="S14" s="142"/>
      <c r="T14" s="112"/>
      <c r="U14" s="101"/>
      <c r="Z14" s="82"/>
      <c r="AA14" s="82"/>
    </row>
    <row r="15" spans="1:29" x14ac:dyDescent="0.15">
      <c r="B15" s="260"/>
      <c r="C15" s="258"/>
      <c r="D15" s="256"/>
      <c r="E15" s="244"/>
      <c r="F15" s="80" t="s">
        <v>108</v>
      </c>
      <c r="G15" s="269"/>
      <c r="H15" s="81">
        <f>0.851-G14</f>
        <v>0.78299999999999992</v>
      </c>
      <c r="I15" s="82">
        <f>0.878-G14</f>
        <v>0.81</v>
      </c>
      <c r="J15" s="82">
        <f>0.879-G14</f>
        <v>0.81099999999999994</v>
      </c>
      <c r="K15" s="105">
        <f t="shared" ref="K15:K16" si="16">5.0329*H15</f>
        <v>3.9407606999999993</v>
      </c>
      <c r="L15" s="105">
        <f t="shared" si="15"/>
        <v>4.0766489999999997</v>
      </c>
      <c r="M15" s="105">
        <f t="shared" si="15"/>
        <v>4.0816818999999995</v>
      </c>
      <c r="N15" s="82">
        <f t="shared" si="13"/>
        <v>4.0330305333333323</v>
      </c>
      <c r="O15" s="82">
        <f t="shared" ref="O15:O16" si="17">N15/15</f>
        <v>0.26886870222222214</v>
      </c>
      <c r="P15" s="82">
        <f t="shared" si="4"/>
        <v>1.9204907301587297E-2</v>
      </c>
      <c r="Q15" s="82">
        <f t="shared" si="5"/>
        <v>1.9204907301587297E-2</v>
      </c>
      <c r="R15" s="82">
        <f t="shared" si="6"/>
        <v>1.1907042526984124</v>
      </c>
      <c r="S15" s="134"/>
      <c r="T15" s="56"/>
      <c r="U15" s="79"/>
      <c r="Z15" s="82"/>
      <c r="AA15" s="82"/>
    </row>
    <row r="16" spans="1:29" x14ac:dyDescent="0.15">
      <c r="B16" s="263"/>
      <c r="C16" s="267"/>
      <c r="D16" s="265"/>
      <c r="E16" s="245"/>
      <c r="F16" s="90" t="s">
        <v>109</v>
      </c>
      <c r="G16" s="272"/>
      <c r="H16" s="91">
        <f>0.814-G14</f>
        <v>0.746</v>
      </c>
      <c r="I16" s="92">
        <f>0.848-G14</f>
        <v>0.78</v>
      </c>
      <c r="J16" s="92">
        <f>0.836-G14</f>
        <v>0.76800000000000002</v>
      </c>
      <c r="K16" s="185">
        <f t="shared" si="16"/>
        <v>3.7545433999999998</v>
      </c>
      <c r="L16" s="185">
        <f t="shared" si="15"/>
        <v>3.925662</v>
      </c>
      <c r="M16" s="185">
        <f t="shared" si="15"/>
        <v>3.8652671999999999</v>
      </c>
      <c r="N16" s="92">
        <f t="shared" si="13"/>
        <v>3.8484908666666668</v>
      </c>
      <c r="O16" s="92">
        <f t="shared" si="17"/>
        <v>0.2565660577777778</v>
      </c>
      <c r="P16" s="92">
        <f t="shared" si="4"/>
        <v>1.8326146984126986E-2</v>
      </c>
      <c r="Q16" s="92">
        <f t="shared" si="5"/>
        <v>1.8326146984126986E-2</v>
      </c>
      <c r="R16" s="92">
        <f t="shared" si="6"/>
        <v>1.1362211130158733</v>
      </c>
      <c r="S16" s="140">
        <f>AVERAGE(R14:R16)</f>
        <v>1.1396882219047617</v>
      </c>
      <c r="T16" s="92">
        <f>STDEV(R14:R16)</f>
        <v>4.9373860575669289E-2</v>
      </c>
      <c r="U16" s="141">
        <f>T16/SQRT(3)</f>
        <v>2.8506011694293718E-2</v>
      </c>
      <c r="Z16" s="82"/>
      <c r="AA16" s="82"/>
    </row>
    <row r="17" spans="2:29" x14ac:dyDescent="0.15">
      <c r="B17" s="260" t="s">
        <v>33</v>
      </c>
      <c r="C17" s="258">
        <v>0.48402777777777778</v>
      </c>
      <c r="D17" s="256">
        <f>11+21/60+12+24+48+D14</f>
        <v>240.01666666666668</v>
      </c>
      <c r="E17" s="244">
        <v>11</v>
      </c>
      <c r="F17" s="80" t="s">
        <v>107</v>
      </c>
      <c r="G17" s="273">
        <v>7.0000000000000007E-2</v>
      </c>
      <c r="H17" s="81">
        <f>0.79-G17</f>
        <v>0.72</v>
      </c>
      <c r="I17" s="82">
        <f>0.785-G17</f>
        <v>0.71500000000000008</v>
      </c>
      <c r="J17" s="82">
        <f>0.757-G17</f>
        <v>0.68700000000000006</v>
      </c>
      <c r="K17" s="82">
        <f>5.1752*H17</f>
        <v>3.7261440000000001</v>
      </c>
      <c r="L17" s="82">
        <f t="shared" ref="L17:M19" si="18">5.1752*I17</f>
        <v>3.7002680000000008</v>
      </c>
      <c r="M17" s="82">
        <f t="shared" si="18"/>
        <v>3.5553624000000004</v>
      </c>
      <c r="N17" s="82">
        <f t="shared" si="13"/>
        <v>3.6605914666666668</v>
      </c>
      <c r="O17" s="82">
        <f>N17/20</f>
        <v>0.18302957333333333</v>
      </c>
      <c r="P17" s="82">
        <f t="shared" si="4"/>
        <v>1.3073540952380952E-2</v>
      </c>
      <c r="Q17" s="82">
        <f t="shared" si="5"/>
        <v>1.3073540952380952E-2</v>
      </c>
      <c r="R17" s="82">
        <f t="shared" si="6"/>
        <v>0.81055953904761902</v>
      </c>
      <c r="S17" s="134"/>
      <c r="T17" s="56"/>
      <c r="U17" s="79"/>
      <c r="Z17" s="82"/>
      <c r="AA17" s="82"/>
    </row>
    <row r="18" spans="2:29" x14ac:dyDescent="0.15">
      <c r="B18" s="260"/>
      <c r="C18" s="258"/>
      <c r="D18" s="256"/>
      <c r="E18" s="244"/>
      <c r="F18" s="80" t="s">
        <v>108</v>
      </c>
      <c r="G18" s="273"/>
      <c r="H18" s="81">
        <f>0.822-G17</f>
        <v>0.752</v>
      </c>
      <c r="I18" s="82">
        <f>0.836-G17</f>
        <v>0.76600000000000001</v>
      </c>
      <c r="J18" s="82">
        <f>0.872-G17</f>
        <v>0.80200000000000005</v>
      </c>
      <c r="K18" s="105">
        <f t="shared" ref="K18:K19" si="19">5.1752*H18</f>
        <v>3.8917504000000003</v>
      </c>
      <c r="L18" s="105">
        <f t="shared" si="18"/>
        <v>3.9642032000000005</v>
      </c>
      <c r="M18" s="105">
        <f t="shared" si="18"/>
        <v>4.1505104000000008</v>
      </c>
      <c r="N18" s="82">
        <f t="shared" si="13"/>
        <v>4.0021546666666667</v>
      </c>
      <c r="O18" s="82">
        <f t="shared" ref="O18:O22" si="20">N18/20</f>
        <v>0.20010773333333334</v>
      </c>
      <c r="P18" s="82">
        <f t="shared" si="4"/>
        <v>1.4293409523809525E-2</v>
      </c>
      <c r="Q18" s="82">
        <f t="shared" si="5"/>
        <v>1.4293409523809525E-2</v>
      </c>
      <c r="R18" s="82">
        <f t="shared" si="6"/>
        <v>0.88619139047619055</v>
      </c>
      <c r="S18" s="134"/>
      <c r="T18" s="56"/>
      <c r="U18" s="79"/>
      <c r="Z18" s="82"/>
      <c r="AA18" s="82"/>
    </row>
    <row r="19" spans="2:29" x14ac:dyDescent="0.15">
      <c r="B19" s="260"/>
      <c r="C19" s="258"/>
      <c r="D19" s="256"/>
      <c r="E19" s="244"/>
      <c r="F19" s="80" t="s">
        <v>109</v>
      </c>
      <c r="G19" s="273"/>
      <c r="H19" s="81">
        <f>0.728-G17</f>
        <v>0.65799999999999992</v>
      </c>
      <c r="I19" s="82">
        <f>0.75-G17</f>
        <v>0.67999999999999994</v>
      </c>
      <c r="J19" s="82">
        <f>0.747-G17</f>
        <v>0.67700000000000005</v>
      </c>
      <c r="K19" s="105">
        <f t="shared" si="19"/>
        <v>3.4052815999999999</v>
      </c>
      <c r="L19" s="105">
        <f t="shared" si="18"/>
        <v>3.519136</v>
      </c>
      <c r="M19" s="105">
        <f t="shared" si="18"/>
        <v>3.5036104000000003</v>
      </c>
      <c r="N19" s="82">
        <f t="shared" si="13"/>
        <v>3.4760093333333337</v>
      </c>
      <c r="O19" s="82">
        <f t="shared" si="20"/>
        <v>0.17380046666666668</v>
      </c>
      <c r="P19" s="82">
        <f t="shared" si="4"/>
        <v>1.2414319047619049E-2</v>
      </c>
      <c r="Q19" s="82">
        <f t="shared" si="5"/>
        <v>1.2414319047619049E-2</v>
      </c>
      <c r="R19" s="82">
        <f t="shared" si="6"/>
        <v>0.76968778095238111</v>
      </c>
      <c r="S19" s="136">
        <f>AVERAGE(R17:R19)</f>
        <v>0.822146236825397</v>
      </c>
      <c r="T19" s="82">
        <f>STDEV(R17:R19)</f>
        <v>5.9109740585323485E-2</v>
      </c>
      <c r="U19" s="137">
        <f>T19/SQRT(3)</f>
        <v>3.4127024638665467E-2</v>
      </c>
      <c r="Z19" s="82"/>
      <c r="AA19" s="82"/>
    </row>
    <row r="20" spans="2:29" x14ac:dyDescent="0.15">
      <c r="B20" s="262" t="s">
        <v>34</v>
      </c>
      <c r="C20" s="266">
        <v>0.52013888888888882</v>
      </c>
      <c r="D20" s="264">
        <f>52/60+48+D17</f>
        <v>288.88333333333333</v>
      </c>
      <c r="E20" s="243">
        <v>13</v>
      </c>
      <c r="F20" s="133" t="s">
        <v>107</v>
      </c>
      <c r="G20" s="271">
        <v>7.3999999999999996E-2</v>
      </c>
      <c r="H20" s="104">
        <f>0.65-G20</f>
        <v>0.57600000000000007</v>
      </c>
      <c r="I20" s="105">
        <f>0.692-G20</f>
        <v>0.61799999999999999</v>
      </c>
      <c r="J20" s="105">
        <f>0.677-G20</f>
        <v>0.60300000000000009</v>
      </c>
      <c r="K20" s="105">
        <f>5.3597*H20</f>
        <v>3.0871872000000002</v>
      </c>
      <c r="L20" s="105">
        <f t="shared" ref="L20:M22" si="21">5.3597*I20</f>
        <v>3.3122946</v>
      </c>
      <c r="M20" s="105">
        <f t="shared" si="21"/>
        <v>3.2318991000000006</v>
      </c>
      <c r="N20" s="105">
        <f t="shared" si="13"/>
        <v>3.2104602999999998</v>
      </c>
      <c r="O20" s="105">
        <f t="shared" si="20"/>
        <v>0.16052301499999999</v>
      </c>
      <c r="P20" s="105">
        <f t="shared" si="4"/>
        <v>1.1465929642857142E-2</v>
      </c>
      <c r="Q20" s="105">
        <f t="shared" si="5"/>
        <v>1.1465929642857142E-2</v>
      </c>
      <c r="R20" s="105">
        <f t="shared" si="6"/>
        <v>0.71088763785714282</v>
      </c>
      <c r="S20" s="138"/>
      <c r="T20" s="105"/>
      <c r="U20" s="139"/>
      <c r="Z20" s="82"/>
      <c r="AA20" s="82"/>
    </row>
    <row r="21" spans="2:29" x14ac:dyDescent="0.15">
      <c r="B21" s="260"/>
      <c r="C21" s="258"/>
      <c r="D21" s="256"/>
      <c r="E21" s="244"/>
      <c r="F21" s="80" t="s">
        <v>108</v>
      </c>
      <c r="G21" s="269"/>
      <c r="H21" s="81">
        <f>0.656-G20</f>
        <v>0.58200000000000007</v>
      </c>
      <c r="I21" s="82">
        <f>0.655-G20</f>
        <v>0.58100000000000007</v>
      </c>
      <c r="J21" s="82">
        <f>0.693-G20</f>
        <v>0.61899999999999999</v>
      </c>
      <c r="K21" s="105">
        <f t="shared" ref="K21:K22" si="22">5.3597*H21</f>
        <v>3.1193454000000003</v>
      </c>
      <c r="L21" s="105">
        <f t="shared" si="21"/>
        <v>3.1139857000000006</v>
      </c>
      <c r="M21" s="105">
        <f t="shared" si="21"/>
        <v>3.3176543000000001</v>
      </c>
      <c r="N21" s="82">
        <f t="shared" si="13"/>
        <v>3.1836618000000008</v>
      </c>
      <c r="O21" s="82">
        <f t="shared" si="20"/>
        <v>0.15918309000000003</v>
      </c>
      <c r="P21" s="82">
        <f t="shared" si="4"/>
        <v>1.1370220714285716E-2</v>
      </c>
      <c r="Q21" s="82">
        <f t="shared" si="5"/>
        <v>1.1370220714285716E-2</v>
      </c>
      <c r="R21" s="82">
        <f t="shared" si="6"/>
        <v>0.70495368428571437</v>
      </c>
      <c r="S21" s="136"/>
      <c r="T21" s="82"/>
      <c r="U21" s="137"/>
      <c r="Z21" s="82"/>
      <c r="AA21" s="82"/>
    </row>
    <row r="22" spans="2:29" x14ac:dyDescent="0.15">
      <c r="B22" s="263"/>
      <c r="C22" s="267"/>
      <c r="D22" s="265"/>
      <c r="E22" s="245"/>
      <c r="F22" s="90" t="s">
        <v>109</v>
      </c>
      <c r="G22" s="272"/>
      <c r="H22" s="91">
        <f>0.595-G20</f>
        <v>0.52100000000000002</v>
      </c>
      <c r="I22" s="92">
        <f>0.584-G20</f>
        <v>0.51</v>
      </c>
      <c r="J22" s="92">
        <f>0.643-G20</f>
        <v>0.56900000000000006</v>
      </c>
      <c r="K22" s="185">
        <f t="shared" si="22"/>
        <v>2.7924037000000004</v>
      </c>
      <c r="L22" s="185">
        <f t="shared" si="21"/>
        <v>2.733447</v>
      </c>
      <c r="M22" s="185">
        <f t="shared" si="21"/>
        <v>3.0496693000000006</v>
      </c>
      <c r="N22" s="92">
        <f t="shared" si="13"/>
        <v>2.858506666666667</v>
      </c>
      <c r="O22" s="92">
        <f t="shared" si="20"/>
        <v>0.14292533333333335</v>
      </c>
      <c r="P22" s="92">
        <f t="shared" si="4"/>
        <v>1.0208952380952383E-2</v>
      </c>
      <c r="Q22" s="92">
        <f t="shared" si="5"/>
        <v>1.0208952380952383E-2</v>
      </c>
      <c r="R22" s="92">
        <f t="shared" si="6"/>
        <v>0.63295504761904775</v>
      </c>
      <c r="S22" s="140">
        <f>AVERAGE(R20:R22)</f>
        <v>0.68293212325396835</v>
      </c>
      <c r="T22" s="92">
        <f>STDEV(R20:R22)</f>
        <v>4.3382992266680902E-2</v>
      </c>
      <c r="U22" s="141">
        <f>T22/SQRT(3)</f>
        <v>2.5047182263419673E-2</v>
      </c>
      <c r="Z22" s="82"/>
      <c r="AA22" s="82"/>
    </row>
    <row r="23" spans="2:29" x14ac:dyDescent="0.15">
      <c r="B23" s="262" t="s">
        <v>36</v>
      </c>
      <c r="C23" s="266">
        <v>0.49027777777777781</v>
      </c>
      <c r="D23" s="264">
        <f>11+17/60+12+24+D20</f>
        <v>336.16666666666663</v>
      </c>
      <c r="E23" s="243">
        <v>15</v>
      </c>
      <c r="F23" s="133" t="s">
        <v>107</v>
      </c>
      <c r="G23" s="271">
        <v>8.5666666666666669E-2</v>
      </c>
      <c r="H23" s="104">
        <f>0.527-G23</f>
        <v>0.44133333333333336</v>
      </c>
      <c r="I23" s="105">
        <f>0.534-G23</f>
        <v>0.44833333333333336</v>
      </c>
      <c r="J23" s="105">
        <f>0.508-G23</f>
        <v>0.42233333333333334</v>
      </c>
      <c r="K23" s="105">
        <f>5.2847*H23</f>
        <v>2.3323142666666667</v>
      </c>
      <c r="L23" s="105">
        <f t="shared" ref="L23:M25" si="23">5.2847*I23</f>
        <v>2.3693071666666667</v>
      </c>
      <c r="M23" s="105">
        <f t="shared" si="23"/>
        <v>2.2319049666666668</v>
      </c>
      <c r="N23" s="105">
        <f t="shared" si="13"/>
        <v>2.3111754666666666</v>
      </c>
      <c r="O23" s="105">
        <f>N23/20</f>
        <v>0.11555877333333334</v>
      </c>
      <c r="P23" s="105">
        <f t="shared" si="4"/>
        <v>8.254198095238096E-3</v>
      </c>
      <c r="Q23" s="105">
        <f t="shared" si="5"/>
        <v>8.254198095238096E-3</v>
      </c>
      <c r="R23" s="105">
        <f t="shared" si="6"/>
        <v>0.51176028190476197</v>
      </c>
      <c r="S23" s="138"/>
      <c r="T23" s="105"/>
      <c r="U23" s="139"/>
      <c r="Z23" s="82"/>
      <c r="AA23" s="82"/>
    </row>
    <row r="24" spans="2:29" x14ac:dyDescent="0.15">
      <c r="B24" s="260"/>
      <c r="C24" s="258"/>
      <c r="D24" s="256"/>
      <c r="E24" s="244"/>
      <c r="F24" s="80" t="s">
        <v>108</v>
      </c>
      <c r="G24" s="269"/>
      <c r="H24" s="81">
        <f>0.577-G23</f>
        <v>0.49133333333333329</v>
      </c>
      <c r="I24" s="82">
        <f>0.594-G23</f>
        <v>0.5083333333333333</v>
      </c>
      <c r="J24" s="82">
        <f>0.583-G23</f>
        <v>0.49733333333333329</v>
      </c>
      <c r="K24" s="105">
        <f t="shared" ref="K24:K25" si="24">5.2847*H24</f>
        <v>2.5965492666666665</v>
      </c>
      <c r="L24" s="105">
        <f t="shared" si="23"/>
        <v>2.6863891666666664</v>
      </c>
      <c r="M24" s="105">
        <f t="shared" si="23"/>
        <v>2.6282574666666663</v>
      </c>
      <c r="N24" s="82">
        <f t="shared" si="13"/>
        <v>2.6370652999999997</v>
      </c>
      <c r="O24" s="82">
        <f t="shared" ref="O24:O25" si="25">N24/20</f>
        <v>0.131853265</v>
      </c>
      <c r="P24" s="82">
        <f t="shared" si="4"/>
        <v>9.4180903571428574E-3</v>
      </c>
      <c r="Q24" s="82">
        <f t="shared" si="5"/>
        <v>9.4180903571428574E-3</v>
      </c>
      <c r="R24" s="82">
        <f t="shared" si="6"/>
        <v>0.58392160214285715</v>
      </c>
      <c r="S24" s="136"/>
      <c r="T24" s="82"/>
      <c r="U24" s="137"/>
      <c r="Z24" s="82"/>
      <c r="AA24" s="82"/>
    </row>
    <row r="25" spans="2:29" x14ac:dyDescent="0.15">
      <c r="B25" s="263"/>
      <c r="C25" s="267"/>
      <c r="D25" s="265"/>
      <c r="E25" s="245"/>
      <c r="F25" s="90" t="s">
        <v>109</v>
      </c>
      <c r="G25" s="272"/>
      <c r="H25" s="91">
        <f>0.508-G23</f>
        <v>0.42233333333333334</v>
      </c>
      <c r="I25" s="92">
        <f>0.493-G23</f>
        <v>0.40733333333333333</v>
      </c>
      <c r="J25" s="92">
        <f>0.538-G23</f>
        <v>0.45233333333333337</v>
      </c>
      <c r="K25" s="185">
        <f t="shared" si="24"/>
        <v>2.2319049666666668</v>
      </c>
      <c r="L25" s="185">
        <f t="shared" si="23"/>
        <v>2.1526344666666666</v>
      </c>
      <c r="M25" s="185">
        <f t="shared" si="23"/>
        <v>2.3904459666666669</v>
      </c>
      <c r="N25" s="92">
        <f t="shared" si="13"/>
        <v>2.2583284666666668</v>
      </c>
      <c r="O25" s="92">
        <f t="shared" si="25"/>
        <v>0.11291642333333334</v>
      </c>
      <c r="P25" s="92">
        <f t="shared" si="4"/>
        <v>8.0654588095238101E-3</v>
      </c>
      <c r="Q25" s="92">
        <f t="shared" si="5"/>
        <v>8.0654588095238101E-3</v>
      </c>
      <c r="R25" s="92">
        <f t="shared" si="6"/>
        <v>0.50005844619047624</v>
      </c>
      <c r="S25" s="140">
        <f>AVERAGE(R23:R25)</f>
        <v>0.53191344341269842</v>
      </c>
      <c r="T25" s="92">
        <f>STDEV(R23:R25)</f>
        <v>4.5418825068985105E-2</v>
      </c>
      <c r="U25" s="141">
        <f>T25/SQRT(3)</f>
        <v>2.6222570879855075E-2</v>
      </c>
    </row>
    <row r="26" spans="2:29" x14ac:dyDescent="0.15">
      <c r="B26" s="260" t="s">
        <v>38</v>
      </c>
      <c r="C26" s="258">
        <v>0.50347222222222221</v>
      </c>
      <c r="D26" s="256">
        <f>19/60+48+D23</f>
        <v>384.48333333333329</v>
      </c>
      <c r="E26" s="244">
        <v>17</v>
      </c>
      <c r="F26" s="80" t="s">
        <v>107</v>
      </c>
      <c r="G26" s="269">
        <v>8.2666666666666666E-2</v>
      </c>
      <c r="H26" s="81">
        <f>0.37-G26</f>
        <v>0.28733333333333333</v>
      </c>
      <c r="I26" s="82">
        <f>0.38-G26</f>
        <v>0.29733333333333334</v>
      </c>
      <c r="J26" s="82">
        <f>0.377-G26</f>
        <v>0.29433333333333334</v>
      </c>
      <c r="K26" s="82">
        <f>5.2525*H26</f>
        <v>1.5092183333333333</v>
      </c>
      <c r="L26" s="82">
        <f t="shared" ref="L26:M28" si="26">5.2525*I26</f>
        <v>1.5617433333333335</v>
      </c>
      <c r="M26" s="82">
        <f t="shared" si="26"/>
        <v>1.5459858333333334</v>
      </c>
      <c r="N26" s="82">
        <f t="shared" si="13"/>
        <v>1.5389825000000001</v>
      </c>
      <c r="O26" s="82">
        <f>N26/20</f>
        <v>7.6949125000000007E-2</v>
      </c>
      <c r="P26" s="82">
        <f t="shared" si="4"/>
        <v>5.4963660714285722E-3</v>
      </c>
      <c r="Q26" s="82">
        <f t="shared" si="5"/>
        <v>5.4963660714285722E-3</v>
      </c>
      <c r="R26" s="82">
        <f t="shared" si="6"/>
        <v>0.3407746964285715</v>
      </c>
      <c r="S26" s="134"/>
      <c r="T26" s="56"/>
      <c r="U26" s="79"/>
    </row>
    <row r="27" spans="2:29" x14ac:dyDescent="0.15">
      <c r="B27" s="260"/>
      <c r="C27" s="258"/>
      <c r="D27" s="256"/>
      <c r="E27" s="244"/>
      <c r="F27" s="80" t="s">
        <v>108</v>
      </c>
      <c r="G27" s="269"/>
      <c r="H27" s="81">
        <f>0.513-G26</f>
        <v>0.43033333333333335</v>
      </c>
      <c r="I27" s="82">
        <f>0.512-G26</f>
        <v>0.42933333333333334</v>
      </c>
      <c r="J27" s="82">
        <f>0.51-G26</f>
        <v>0.42733333333333334</v>
      </c>
      <c r="K27" s="105">
        <f t="shared" ref="K27:K28" si="27">5.2525*H27</f>
        <v>2.2603258333333334</v>
      </c>
      <c r="L27" s="105">
        <f t="shared" si="26"/>
        <v>2.2550733333333337</v>
      </c>
      <c r="M27" s="105">
        <f t="shared" si="26"/>
        <v>2.2445683333333335</v>
      </c>
      <c r="N27" s="82">
        <f t="shared" si="13"/>
        <v>2.2533224999999999</v>
      </c>
      <c r="O27" s="82">
        <f t="shared" ref="O27:O28" si="28">N27/20</f>
        <v>0.11266612499999999</v>
      </c>
      <c r="P27" s="82">
        <f t="shared" si="4"/>
        <v>8.0475803571428573E-3</v>
      </c>
      <c r="Q27" s="82">
        <f t="shared" si="5"/>
        <v>8.0475803571428573E-3</v>
      </c>
      <c r="R27" s="82">
        <f t="shared" si="6"/>
        <v>0.49894998214285713</v>
      </c>
      <c r="S27" s="134"/>
      <c r="T27" s="56"/>
      <c r="U27" s="79"/>
    </row>
    <row r="28" spans="2:29" ht="14" thickBot="1" x14ac:dyDescent="0.2">
      <c r="B28" s="261"/>
      <c r="C28" s="259"/>
      <c r="D28" s="257"/>
      <c r="E28" s="268"/>
      <c r="F28" s="80" t="s">
        <v>109</v>
      </c>
      <c r="G28" s="270"/>
      <c r="H28" s="81">
        <f>0.405-G26</f>
        <v>0.32233333333333336</v>
      </c>
      <c r="I28" s="82">
        <f>0.393-G26</f>
        <v>0.31033333333333335</v>
      </c>
      <c r="J28" s="82">
        <f>0.44-G26</f>
        <v>0.35733333333333334</v>
      </c>
      <c r="K28" s="105">
        <f t="shared" si="27"/>
        <v>1.6930558333333336</v>
      </c>
      <c r="L28" s="105">
        <f t="shared" si="26"/>
        <v>1.6300258333333335</v>
      </c>
      <c r="M28" s="105">
        <f t="shared" si="26"/>
        <v>1.8768933333333335</v>
      </c>
      <c r="N28" s="82">
        <f t="shared" si="13"/>
        <v>1.733325</v>
      </c>
      <c r="O28" s="82">
        <f t="shared" si="28"/>
        <v>8.666625E-2</v>
      </c>
      <c r="P28" s="82">
        <f t="shared" si="4"/>
        <v>6.1904464285714288E-3</v>
      </c>
      <c r="Q28" s="82">
        <f t="shared" si="5"/>
        <v>6.1904464285714288E-3</v>
      </c>
      <c r="R28" s="82">
        <f t="shared" si="6"/>
        <v>0.38380767857142861</v>
      </c>
      <c r="S28" s="140">
        <f>AVERAGE(R26:R28)</f>
        <v>0.40784411904761902</v>
      </c>
      <c r="T28" s="82">
        <f>STDEV(R26:R28)</f>
        <v>8.1781220984851272E-2</v>
      </c>
      <c r="U28" s="137">
        <f>T28/SQRT(3)</f>
        <v>4.7216409950260156E-2</v>
      </c>
    </row>
    <row r="29" spans="2:29" ht="17" thickBot="1" x14ac:dyDescent="0.2">
      <c r="B29" s="249" t="s">
        <v>71</v>
      </c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51"/>
    </row>
    <row r="30" spans="2:29" ht="30" x14ac:dyDescent="0.15">
      <c r="B30" s="124" t="s">
        <v>0</v>
      </c>
      <c r="C30" s="66" t="s">
        <v>1</v>
      </c>
      <c r="D30" s="66" t="s">
        <v>2</v>
      </c>
      <c r="E30" s="125" t="s">
        <v>17</v>
      </c>
      <c r="F30" s="126"/>
      <c r="G30" s="126" t="s">
        <v>18</v>
      </c>
      <c r="H30" s="253" t="s">
        <v>130</v>
      </c>
      <c r="I30" s="254"/>
      <c r="J30" s="254"/>
      <c r="K30" s="255" t="s">
        <v>116</v>
      </c>
      <c r="L30" s="255"/>
      <c r="M30" s="255"/>
      <c r="N30" s="66" t="s">
        <v>19</v>
      </c>
      <c r="O30" s="66" t="s">
        <v>20</v>
      </c>
      <c r="P30" s="66" t="s">
        <v>20</v>
      </c>
      <c r="Q30" s="66" t="s">
        <v>114</v>
      </c>
      <c r="R30" s="125" t="s">
        <v>114</v>
      </c>
      <c r="S30" s="66" t="s">
        <v>115</v>
      </c>
      <c r="T30" s="66" t="s">
        <v>97</v>
      </c>
      <c r="U30" s="127" t="s">
        <v>62</v>
      </c>
      <c r="W30" s="56" t="s">
        <v>2</v>
      </c>
      <c r="X30" s="77" t="str">
        <f>S30</f>
        <v>Average NO3 concentration</v>
      </c>
      <c r="Y30" s="77" t="str">
        <f>U30</f>
        <v>Standard error</v>
      </c>
      <c r="Z30" s="56"/>
      <c r="AA30" s="56"/>
    </row>
    <row r="31" spans="2:29" ht="14" x14ac:dyDescent="0.15">
      <c r="B31" s="129"/>
      <c r="C31" s="130"/>
      <c r="D31" s="131"/>
      <c r="E31" s="131"/>
      <c r="F31" s="132"/>
      <c r="G31" s="132"/>
      <c r="H31" s="189" t="s">
        <v>102</v>
      </c>
      <c r="I31" s="189" t="s">
        <v>103</v>
      </c>
      <c r="J31" s="189" t="s">
        <v>131</v>
      </c>
      <c r="K31" s="74"/>
      <c r="L31" s="74"/>
      <c r="M31" s="74"/>
      <c r="N31" s="74" t="s">
        <v>21</v>
      </c>
      <c r="O31" s="74" t="s">
        <v>15</v>
      </c>
      <c r="P31" s="74" t="s">
        <v>22</v>
      </c>
      <c r="Q31" s="74" t="s">
        <v>22</v>
      </c>
      <c r="R31" s="70" t="s">
        <v>15</v>
      </c>
      <c r="S31" s="74" t="s">
        <v>15</v>
      </c>
      <c r="T31" s="74"/>
      <c r="U31" s="76"/>
      <c r="W31" s="87">
        <v>0</v>
      </c>
      <c r="X31" s="82">
        <f>S34</f>
        <v>1.6097900444444442</v>
      </c>
      <c r="Y31" s="82">
        <f>U34</f>
        <v>3.6501501796264768E-2</v>
      </c>
      <c r="Z31" s="82"/>
      <c r="AA31" s="128"/>
      <c r="AB31" s="128"/>
      <c r="AC31" s="128"/>
    </row>
    <row r="32" spans="2:29" x14ac:dyDescent="0.15">
      <c r="B32" s="279" t="s">
        <v>23</v>
      </c>
      <c r="C32" s="274">
        <v>0.42222222222222222</v>
      </c>
      <c r="D32" s="256">
        <v>0</v>
      </c>
      <c r="E32" s="244">
        <v>1</v>
      </c>
      <c r="F32" s="80" t="s">
        <v>107</v>
      </c>
      <c r="G32" s="269">
        <v>7.3333333333333348E-2</v>
      </c>
      <c r="H32" s="81">
        <f>0.811-G32</f>
        <v>0.73766666666666669</v>
      </c>
      <c r="I32" s="82">
        <f>0.81-G32</f>
        <v>0.73666666666666669</v>
      </c>
      <c r="J32" s="82">
        <f>0.845-G32</f>
        <v>0.77166666666666661</v>
      </c>
      <c r="K32" s="82">
        <f>4.816*H32</f>
        <v>3.5526026666666666</v>
      </c>
      <c r="L32" s="82">
        <f t="shared" ref="L32:M34" si="29">4.816*I32</f>
        <v>3.5477866666666666</v>
      </c>
      <c r="M32" s="82">
        <f t="shared" si="29"/>
        <v>3.7163466666666665</v>
      </c>
      <c r="N32" s="82">
        <f>AVERAGE(K32:M32)</f>
        <v>3.6055786666666663</v>
      </c>
      <c r="O32" s="82">
        <f>N32/10</f>
        <v>0.36055786666666662</v>
      </c>
      <c r="P32" s="82">
        <f>O32/14</f>
        <v>2.5754133333333328E-2</v>
      </c>
      <c r="Q32" s="82">
        <f>P32</f>
        <v>2.5754133333333328E-2</v>
      </c>
      <c r="R32" s="82">
        <f>Q32*62</f>
        <v>1.5967562666666664</v>
      </c>
      <c r="S32" s="134"/>
      <c r="T32" s="56"/>
      <c r="U32" s="79"/>
      <c r="W32" s="87">
        <f>D35</f>
        <v>48.216666666666669</v>
      </c>
      <c r="X32" s="82">
        <f>S37</f>
        <v>1.5633029365079369</v>
      </c>
      <c r="Y32" s="82">
        <f>U37</f>
        <v>1.4932896825396929E-2</v>
      </c>
      <c r="Z32" s="82"/>
      <c r="AA32" s="135"/>
      <c r="AB32" s="135"/>
      <c r="AC32" s="135"/>
    </row>
    <row r="33" spans="2:29" x14ac:dyDescent="0.15">
      <c r="B33" s="279"/>
      <c r="C33" s="274"/>
      <c r="D33" s="256"/>
      <c r="E33" s="244"/>
      <c r="F33" s="80" t="s">
        <v>108</v>
      </c>
      <c r="G33" s="269"/>
      <c r="H33" s="81">
        <f>0.756-G32</f>
        <v>0.68266666666666664</v>
      </c>
      <c r="I33" s="82">
        <f>0.808-G32</f>
        <v>0.73466666666666669</v>
      </c>
      <c r="J33" s="82">
        <f>0.842-G32</f>
        <v>0.76866666666666661</v>
      </c>
      <c r="K33" s="82">
        <f t="shared" ref="K33:K34" si="30">4.816*H33</f>
        <v>3.2877226666666663</v>
      </c>
      <c r="L33" s="82">
        <f t="shared" si="29"/>
        <v>3.5381546666666668</v>
      </c>
      <c r="M33" s="82">
        <f t="shared" si="29"/>
        <v>3.7018986666666662</v>
      </c>
      <c r="N33" s="82">
        <f t="shared" ref="N33:N34" si="31">AVERAGE(K33:M33)</f>
        <v>3.5092586666666663</v>
      </c>
      <c r="O33" s="82">
        <f t="shared" ref="O33:O34" si="32">N33/10</f>
        <v>0.35092586666666664</v>
      </c>
      <c r="P33" s="82">
        <f t="shared" ref="P33:P55" si="33">O33/14</f>
        <v>2.5066133333333331E-2</v>
      </c>
      <c r="Q33" s="82">
        <f t="shared" ref="Q33:Q55" si="34">P33</f>
        <v>2.5066133333333331E-2</v>
      </c>
      <c r="R33" s="82">
        <f t="shared" ref="R33:R55" si="35">Q33*62</f>
        <v>1.5541002666666666</v>
      </c>
      <c r="S33" s="134"/>
      <c r="T33" s="56"/>
      <c r="U33" s="79"/>
      <c r="W33" s="87">
        <f>D38</f>
        <v>95.733333333333334</v>
      </c>
      <c r="X33" s="82">
        <f>S40</f>
        <v>1.3482391243386243</v>
      </c>
      <c r="Y33" s="82">
        <f>U40</f>
        <v>2.608909441259431E-2</v>
      </c>
      <c r="Z33" s="82"/>
      <c r="AA33" s="135"/>
      <c r="AB33" s="135"/>
      <c r="AC33" s="135"/>
    </row>
    <row r="34" spans="2:29" x14ac:dyDescent="0.15">
      <c r="B34" s="279"/>
      <c r="C34" s="274"/>
      <c r="D34" s="256"/>
      <c r="E34" s="244"/>
      <c r="F34" s="80" t="s">
        <v>109</v>
      </c>
      <c r="G34" s="269"/>
      <c r="H34" s="81">
        <f>0.846-G32</f>
        <v>0.77266666666666661</v>
      </c>
      <c r="I34" s="82">
        <f>0.871-G32</f>
        <v>0.79766666666666663</v>
      </c>
      <c r="J34" s="82">
        <f>0.864-G32</f>
        <v>0.79066666666666663</v>
      </c>
      <c r="K34" s="82">
        <f t="shared" si="30"/>
        <v>3.7211626666666664</v>
      </c>
      <c r="L34" s="82">
        <f t="shared" si="29"/>
        <v>3.8415626666666665</v>
      </c>
      <c r="M34" s="82">
        <f t="shared" si="29"/>
        <v>3.8078506666666665</v>
      </c>
      <c r="N34" s="82">
        <f t="shared" si="31"/>
        <v>3.7901919999999998</v>
      </c>
      <c r="O34" s="82">
        <f t="shared" si="32"/>
        <v>0.3790192</v>
      </c>
      <c r="P34" s="82">
        <f t="shared" si="33"/>
        <v>2.7072800000000001E-2</v>
      </c>
      <c r="Q34" s="82">
        <f t="shared" si="34"/>
        <v>2.7072800000000001E-2</v>
      </c>
      <c r="R34" s="82">
        <f t="shared" si="35"/>
        <v>1.6785136000000001</v>
      </c>
      <c r="S34" s="136">
        <f>AVERAGE(R32:R34)</f>
        <v>1.6097900444444442</v>
      </c>
      <c r="T34" s="82">
        <f>STDEV(R32:R34)</f>
        <v>6.3222455663697219E-2</v>
      </c>
      <c r="U34" s="137">
        <f>T34/SQRT(3)</f>
        <v>3.6501501796264768E-2</v>
      </c>
      <c r="W34" s="87">
        <f>D41</f>
        <v>145.55000000000001</v>
      </c>
      <c r="X34" s="82">
        <f>S43</f>
        <v>1.2705623652910052</v>
      </c>
      <c r="Y34" s="82">
        <f>U43</f>
        <v>3.8963200845658533E-2</v>
      </c>
      <c r="Z34" s="82"/>
      <c r="AA34" s="135"/>
      <c r="AB34" s="135"/>
      <c r="AC34" s="135"/>
    </row>
    <row r="35" spans="2:29" x14ac:dyDescent="0.15">
      <c r="B35" s="278" t="s">
        <v>25</v>
      </c>
      <c r="C35" s="276">
        <v>0.43124999999999997</v>
      </c>
      <c r="D35" s="264">
        <v>48.216666666666669</v>
      </c>
      <c r="E35" s="243">
        <v>3</v>
      </c>
      <c r="F35" s="133" t="s">
        <v>107</v>
      </c>
      <c r="G35" s="271">
        <v>7.5999999999999998E-2</v>
      </c>
      <c r="H35" s="104">
        <f>0.807-G35</f>
        <v>0.73100000000000009</v>
      </c>
      <c r="I35" s="105">
        <f>0.793-G35</f>
        <v>0.71700000000000008</v>
      </c>
      <c r="J35" s="105">
        <f>0.777-G35</f>
        <v>0.70100000000000007</v>
      </c>
      <c r="K35" s="105">
        <f>4.975*H35</f>
        <v>3.6367250000000002</v>
      </c>
      <c r="L35" s="105">
        <f t="shared" ref="L35:M37" si="36">4.975*I35</f>
        <v>3.567075</v>
      </c>
      <c r="M35" s="105">
        <f t="shared" si="36"/>
        <v>3.4874749999999999</v>
      </c>
      <c r="N35" s="105">
        <f>AVERAGE(K35:M35)</f>
        <v>3.5637583333333338</v>
      </c>
      <c r="O35" s="105">
        <f>N35/10</f>
        <v>0.35637583333333339</v>
      </c>
      <c r="P35" s="105">
        <f t="shared" si="33"/>
        <v>2.5455416666666671E-2</v>
      </c>
      <c r="Q35" s="105">
        <f t="shared" si="34"/>
        <v>2.5455416666666671E-2</v>
      </c>
      <c r="R35" s="105">
        <f t="shared" si="35"/>
        <v>1.5782358333333337</v>
      </c>
      <c r="S35" s="138"/>
      <c r="T35" s="105"/>
      <c r="U35" s="139"/>
      <c r="W35" s="87">
        <f>D44</f>
        <v>240.60000000000002</v>
      </c>
      <c r="X35" s="82">
        <f>S46</f>
        <v>1.0799820939682538</v>
      </c>
      <c r="Y35" s="82">
        <f>U46</f>
        <v>1.6177963874375357E-2</v>
      </c>
      <c r="Z35" s="82"/>
      <c r="AA35" s="135"/>
      <c r="AB35" s="135"/>
      <c r="AC35" s="135"/>
    </row>
    <row r="36" spans="2:29" ht="15" customHeight="1" x14ac:dyDescent="0.15">
      <c r="B36" s="279"/>
      <c r="C36" s="274"/>
      <c r="D36" s="256"/>
      <c r="E36" s="244"/>
      <c r="F36" s="80" t="s">
        <v>108</v>
      </c>
      <c r="G36" s="269"/>
      <c r="H36" s="81">
        <f>0.754-G35</f>
        <v>0.67800000000000005</v>
      </c>
      <c r="I36" s="82">
        <f>0.774-G35</f>
        <v>0.69800000000000006</v>
      </c>
      <c r="J36" s="82">
        <f>0.788-G35</f>
        <v>0.71200000000000008</v>
      </c>
      <c r="K36" s="105">
        <f t="shared" ref="K36:K37" si="37">4.975*H36</f>
        <v>3.3730500000000001</v>
      </c>
      <c r="L36" s="105">
        <f t="shared" si="36"/>
        <v>3.47255</v>
      </c>
      <c r="M36" s="105">
        <f t="shared" si="36"/>
        <v>3.5422000000000002</v>
      </c>
      <c r="N36" s="82">
        <f t="shared" ref="N36:N37" si="38">AVERAGE(K36:M36)</f>
        <v>3.4626000000000001</v>
      </c>
      <c r="O36" s="82">
        <f t="shared" ref="O36:O37" si="39">N36/10</f>
        <v>0.34626000000000001</v>
      </c>
      <c r="P36" s="82">
        <f t="shared" si="33"/>
        <v>2.4732857142857143E-2</v>
      </c>
      <c r="Q36" s="82">
        <f t="shared" si="34"/>
        <v>2.4732857142857143E-2</v>
      </c>
      <c r="R36" s="82">
        <f t="shared" si="35"/>
        <v>1.5334371428571429</v>
      </c>
      <c r="S36" s="136"/>
      <c r="T36" s="82"/>
      <c r="U36" s="137"/>
      <c r="W36" s="87">
        <f>D47</f>
        <v>289.68333333333334</v>
      </c>
      <c r="X36" s="82">
        <f>S49</f>
        <v>0.96499271634920636</v>
      </c>
      <c r="Y36" s="82">
        <f>U49</f>
        <v>4.6152972222222215E-3</v>
      </c>
      <c r="Z36" s="82"/>
      <c r="AA36" s="135"/>
      <c r="AB36" s="135"/>
      <c r="AC36" s="135"/>
    </row>
    <row r="37" spans="2:29" ht="15" customHeight="1" x14ac:dyDescent="0.15">
      <c r="B37" s="280"/>
      <c r="C37" s="277"/>
      <c r="D37" s="265"/>
      <c r="E37" s="245"/>
      <c r="F37" s="90" t="s">
        <v>109</v>
      </c>
      <c r="G37" s="272"/>
      <c r="H37" s="91">
        <f>0.775-G35</f>
        <v>0.69900000000000007</v>
      </c>
      <c r="I37" s="92">
        <f>0.803-G35</f>
        <v>0.72700000000000009</v>
      </c>
      <c r="J37" s="92">
        <f>0.799-G35</f>
        <v>0.72300000000000009</v>
      </c>
      <c r="K37" s="185">
        <f t="shared" si="37"/>
        <v>3.477525</v>
      </c>
      <c r="L37" s="185">
        <f t="shared" si="36"/>
        <v>3.6168250000000004</v>
      </c>
      <c r="M37" s="185">
        <f t="shared" si="36"/>
        <v>3.5969250000000001</v>
      </c>
      <c r="N37" s="92">
        <f t="shared" si="38"/>
        <v>3.5637583333333338</v>
      </c>
      <c r="O37" s="92">
        <f t="shared" si="39"/>
        <v>0.35637583333333339</v>
      </c>
      <c r="P37" s="92">
        <f t="shared" si="33"/>
        <v>2.5455416666666671E-2</v>
      </c>
      <c r="Q37" s="92">
        <f t="shared" si="34"/>
        <v>2.5455416666666671E-2</v>
      </c>
      <c r="R37" s="92">
        <f t="shared" si="35"/>
        <v>1.5782358333333337</v>
      </c>
      <c r="S37" s="140">
        <f>AVERAGE(R35:R37)</f>
        <v>1.5633029365079369</v>
      </c>
      <c r="T37" s="92">
        <f>STDEV(R35:R37)</f>
        <v>2.5864536005771474E-2</v>
      </c>
      <c r="U37" s="141">
        <f>T37/SQRT(3)</f>
        <v>1.4932896825396929E-2</v>
      </c>
      <c r="W37" s="87">
        <f>D50</f>
        <v>336.95</v>
      </c>
      <c r="X37" s="82">
        <f>S52</f>
        <v>0.89246000380952395</v>
      </c>
      <c r="Y37" s="82">
        <f>U52</f>
        <v>3.2807678587673007E-2</v>
      </c>
      <c r="Z37" s="82"/>
      <c r="AA37" s="135"/>
      <c r="AB37" s="135"/>
      <c r="AC37" s="135"/>
    </row>
    <row r="38" spans="2:29" x14ac:dyDescent="0.15">
      <c r="B38" s="260" t="s">
        <v>27</v>
      </c>
      <c r="C38" s="274">
        <v>0.41111111111111115</v>
      </c>
      <c r="D38" s="256">
        <v>95.733333333333334</v>
      </c>
      <c r="E38" s="244">
        <v>5</v>
      </c>
      <c r="F38" s="80" t="s">
        <v>107</v>
      </c>
      <c r="G38" s="269">
        <v>6.9500000000000006E-2</v>
      </c>
      <c r="H38" s="81">
        <f>0.94-G38</f>
        <v>0.87049999999999994</v>
      </c>
      <c r="I38" s="82">
        <f>0.943-G38</f>
        <v>0.87349999999999994</v>
      </c>
      <c r="J38" s="82">
        <f>0.942-G38</f>
        <v>0.87249999999999994</v>
      </c>
      <c r="K38" s="82">
        <f>5.0662*H38</f>
        <v>4.4101270999999995</v>
      </c>
      <c r="L38" s="82">
        <f t="shared" ref="L38:M40" si="40">5.0662*I38</f>
        <v>4.4253257000000001</v>
      </c>
      <c r="M38" s="82">
        <f t="shared" si="40"/>
        <v>4.4202595000000002</v>
      </c>
      <c r="N38" s="82">
        <f>AVERAGE(K38:M38)</f>
        <v>4.418570766666666</v>
      </c>
      <c r="O38" s="82">
        <f>N38/15</f>
        <v>0.29457138444444442</v>
      </c>
      <c r="P38" s="82">
        <f t="shared" si="33"/>
        <v>2.1040813174603174E-2</v>
      </c>
      <c r="Q38" s="82">
        <f t="shared" si="34"/>
        <v>2.1040813174603174E-2</v>
      </c>
      <c r="R38" s="82">
        <f t="shared" si="35"/>
        <v>1.3045304168253968</v>
      </c>
      <c r="S38" s="136"/>
      <c r="T38" s="82"/>
      <c r="U38" s="137"/>
      <c r="W38" s="87">
        <f>D53</f>
        <v>385.23333333333335</v>
      </c>
      <c r="X38" s="82">
        <f>S55</f>
        <v>0.8255095793650794</v>
      </c>
      <c r="Y38" s="82">
        <f>U55</f>
        <v>1.2309280411240065E-2</v>
      </c>
      <c r="Z38" s="82"/>
      <c r="AA38" s="135"/>
      <c r="AB38" s="135"/>
      <c r="AC38" s="135"/>
    </row>
    <row r="39" spans="2:29" ht="15" customHeight="1" x14ac:dyDescent="0.15">
      <c r="B39" s="260"/>
      <c r="C39" s="274"/>
      <c r="D39" s="256"/>
      <c r="E39" s="244"/>
      <c r="F39" s="80" t="s">
        <v>108</v>
      </c>
      <c r="G39" s="269"/>
      <c r="H39" s="81">
        <f>0.96-G38</f>
        <v>0.89049999999999996</v>
      </c>
      <c r="I39" s="82">
        <f>0.97-G38</f>
        <v>0.90049999999999997</v>
      </c>
      <c r="J39" s="82">
        <f>0.977-G38</f>
        <v>0.90749999999999997</v>
      </c>
      <c r="K39" s="82">
        <f t="shared" ref="K39:K40" si="41">5.0662*H39</f>
        <v>4.5114511000000004</v>
      </c>
      <c r="L39" s="82">
        <f t="shared" si="40"/>
        <v>4.5621131000000004</v>
      </c>
      <c r="M39" s="82">
        <f t="shared" si="40"/>
        <v>4.5975764999999997</v>
      </c>
      <c r="N39" s="82">
        <f t="shared" ref="N39:N55" si="42">AVERAGE(K39:M39)</f>
        <v>4.5570468999999996</v>
      </c>
      <c r="O39" s="82">
        <f t="shared" ref="O39:O40" si="43">N39/15</f>
        <v>0.30380312666666665</v>
      </c>
      <c r="P39" s="82">
        <f t="shared" si="33"/>
        <v>2.1700223333333331E-2</v>
      </c>
      <c r="Q39" s="82">
        <f t="shared" si="34"/>
        <v>2.1700223333333331E-2</v>
      </c>
      <c r="R39" s="82">
        <f t="shared" si="35"/>
        <v>1.3454138466666665</v>
      </c>
      <c r="S39" s="136"/>
      <c r="T39" s="82"/>
      <c r="U39" s="137"/>
      <c r="W39" s="87"/>
      <c r="X39" s="82"/>
      <c r="Y39" s="82"/>
      <c r="Z39" s="82"/>
      <c r="AA39" s="135"/>
      <c r="AB39" s="135"/>
      <c r="AC39" s="135"/>
    </row>
    <row r="40" spans="2:29" ht="15" customHeight="1" x14ac:dyDescent="0.15">
      <c r="B40" s="260"/>
      <c r="C40" s="274"/>
      <c r="D40" s="256"/>
      <c r="E40" s="244"/>
      <c r="F40" s="80" t="s">
        <v>109</v>
      </c>
      <c r="G40" s="269"/>
      <c r="H40" s="81">
        <f>0.97-G38</f>
        <v>0.90049999999999997</v>
      </c>
      <c r="I40" s="82">
        <f>1.027-G38</f>
        <v>0.95749999999999991</v>
      </c>
      <c r="J40" s="82">
        <f>1.009-G38</f>
        <v>0.93949999999999989</v>
      </c>
      <c r="K40" s="82">
        <f t="shared" si="41"/>
        <v>4.5621131000000004</v>
      </c>
      <c r="L40" s="82">
        <f t="shared" si="40"/>
        <v>4.8508864999999997</v>
      </c>
      <c r="M40" s="82">
        <f t="shared" si="40"/>
        <v>4.7596948999999995</v>
      </c>
      <c r="N40" s="82">
        <f t="shared" si="42"/>
        <v>4.7242314999999993</v>
      </c>
      <c r="O40" s="82">
        <f t="shared" si="43"/>
        <v>0.3149487666666666</v>
      </c>
      <c r="P40" s="82">
        <f t="shared" si="33"/>
        <v>2.2496340476190473E-2</v>
      </c>
      <c r="Q40" s="82">
        <f t="shared" si="34"/>
        <v>2.2496340476190473E-2</v>
      </c>
      <c r="R40" s="82">
        <f t="shared" si="35"/>
        <v>1.3947731095238094</v>
      </c>
      <c r="S40" s="136">
        <f>AVERAGE(R38:R40)</f>
        <v>1.3482391243386243</v>
      </c>
      <c r="T40" s="82">
        <f>STDEV(R38:R40)</f>
        <v>4.5187637046074654E-2</v>
      </c>
      <c r="U40" s="137">
        <f>T40/SQRT(3)</f>
        <v>2.608909441259431E-2</v>
      </c>
      <c r="W40" s="87"/>
      <c r="X40" s="82"/>
      <c r="Y40" s="82"/>
      <c r="Z40" s="82"/>
      <c r="AA40" s="135"/>
      <c r="AB40" s="135"/>
      <c r="AC40" s="135"/>
    </row>
    <row r="41" spans="2:29" x14ac:dyDescent="0.15">
      <c r="B41" s="278" t="s">
        <v>40</v>
      </c>
      <c r="C41" s="276">
        <v>0.48680555555555555</v>
      </c>
      <c r="D41" s="264">
        <v>145.55000000000001</v>
      </c>
      <c r="E41" s="243">
        <v>7</v>
      </c>
      <c r="F41" s="133" t="s">
        <v>107</v>
      </c>
      <c r="G41" s="271">
        <v>6.8000000000000005E-2</v>
      </c>
      <c r="H41" s="104">
        <f>0.908-G41</f>
        <v>0.84000000000000008</v>
      </c>
      <c r="I41" s="105">
        <f>0.882-G41</f>
        <v>0.81400000000000006</v>
      </c>
      <c r="J41" s="105">
        <f>0.877-G41</f>
        <v>0.80899999999999994</v>
      </c>
      <c r="K41" s="105">
        <f>5.0327*H41</f>
        <v>4.2274680000000009</v>
      </c>
      <c r="L41" s="105">
        <f t="shared" ref="L41:M43" si="44">5.0327*I41</f>
        <v>4.0966178000000006</v>
      </c>
      <c r="M41" s="105">
        <f t="shared" si="44"/>
        <v>4.0714543000000001</v>
      </c>
      <c r="N41" s="105">
        <f t="shared" si="42"/>
        <v>4.1318467000000005</v>
      </c>
      <c r="O41" s="105">
        <f>N41/15</f>
        <v>0.27545644666666669</v>
      </c>
      <c r="P41" s="105">
        <f t="shared" si="33"/>
        <v>1.9675460476190478E-2</v>
      </c>
      <c r="Q41" s="105">
        <f t="shared" si="34"/>
        <v>1.9675460476190478E-2</v>
      </c>
      <c r="R41" s="105">
        <f t="shared" si="35"/>
        <v>1.2198785495238096</v>
      </c>
      <c r="S41" s="142"/>
      <c r="T41" s="112"/>
      <c r="U41" s="101"/>
    </row>
    <row r="42" spans="2:29" x14ac:dyDescent="0.15">
      <c r="B42" s="279"/>
      <c r="C42" s="274"/>
      <c r="D42" s="256"/>
      <c r="E42" s="244"/>
      <c r="F42" s="80" t="s">
        <v>108</v>
      </c>
      <c r="G42" s="269"/>
      <c r="H42" s="81">
        <f>0.898-G41</f>
        <v>0.83000000000000007</v>
      </c>
      <c r="I42" s="82">
        <f>0.907-G41</f>
        <v>0.83899999999999997</v>
      </c>
      <c r="J42" s="82">
        <f>0.912-G41</f>
        <v>0.84400000000000008</v>
      </c>
      <c r="K42" s="105">
        <f t="shared" ref="K42:K43" si="45">5.0327*H42</f>
        <v>4.1771410000000007</v>
      </c>
      <c r="L42" s="105">
        <f t="shared" si="44"/>
        <v>4.2224352999999999</v>
      </c>
      <c r="M42" s="105">
        <f t="shared" si="44"/>
        <v>4.2475988000000005</v>
      </c>
      <c r="N42" s="82">
        <f t="shared" si="42"/>
        <v>4.2157250333333334</v>
      </c>
      <c r="O42" s="82">
        <f t="shared" ref="O42:O43" si="46">N42/15</f>
        <v>0.28104833555555558</v>
      </c>
      <c r="P42" s="82">
        <f t="shared" si="33"/>
        <v>2.0074881111111113E-2</v>
      </c>
      <c r="Q42" s="82">
        <f t="shared" si="34"/>
        <v>2.0074881111111113E-2</v>
      </c>
      <c r="R42" s="82">
        <f t="shared" si="35"/>
        <v>1.244642628888889</v>
      </c>
      <c r="S42" s="134"/>
      <c r="T42" s="56"/>
      <c r="U42" s="79"/>
      <c r="W42" s="135"/>
      <c r="X42" s="135"/>
      <c r="Y42" s="135"/>
    </row>
    <row r="43" spans="2:29" x14ac:dyDescent="0.15">
      <c r="B43" s="280"/>
      <c r="C43" s="277"/>
      <c r="D43" s="265"/>
      <c r="E43" s="245"/>
      <c r="F43" s="90" t="s">
        <v>109</v>
      </c>
      <c r="G43" s="272"/>
      <c r="H43" s="91">
        <f>0.978-G41</f>
        <v>0.90999999999999992</v>
      </c>
      <c r="I43" s="92">
        <f>0.979-G41</f>
        <v>0.91100000000000003</v>
      </c>
      <c r="J43" s="92">
        <f>0.967-G41</f>
        <v>0.89900000000000002</v>
      </c>
      <c r="K43" s="185">
        <f t="shared" si="45"/>
        <v>4.5797569999999999</v>
      </c>
      <c r="L43" s="185">
        <f t="shared" si="44"/>
        <v>4.5847897</v>
      </c>
      <c r="M43" s="185">
        <f t="shared" si="44"/>
        <v>4.5243973000000004</v>
      </c>
      <c r="N43" s="92">
        <f t="shared" si="42"/>
        <v>4.5629813333333331</v>
      </c>
      <c r="O43" s="92">
        <f t="shared" si="46"/>
        <v>0.30419875555555553</v>
      </c>
      <c r="P43" s="92">
        <f t="shared" si="33"/>
        <v>2.1728482539682539E-2</v>
      </c>
      <c r="Q43" s="92">
        <f t="shared" si="34"/>
        <v>2.1728482539682539E-2</v>
      </c>
      <c r="R43" s="92">
        <f t="shared" si="35"/>
        <v>1.3471659174603174</v>
      </c>
      <c r="S43" s="140">
        <f>AVERAGE(R41:R43)</f>
        <v>1.2705623652910052</v>
      </c>
      <c r="T43" s="92">
        <f>STDEV(R41:R43)</f>
        <v>6.7486243490191222E-2</v>
      </c>
      <c r="U43" s="141">
        <f>T43/SQRT(3)</f>
        <v>3.8963200845658533E-2</v>
      </c>
    </row>
    <row r="44" spans="2:29" x14ac:dyDescent="0.15">
      <c r="B44" s="260" t="s">
        <v>33</v>
      </c>
      <c r="C44" s="274">
        <v>0.44722222222222219</v>
      </c>
      <c r="D44" s="256">
        <v>240.60000000000002</v>
      </c>
      <c r="E44" s="244">
        <v>11</v>
      </c>
      <c r="F44" s="80" t="s">
        <v>107</v>
      </c>
      <c r="G44" s="269">
        <v>7.0000000000000007E-2</v>
      </c>
      <c r="H44" s="81">
        <f>0.99-G44</f>
        <v>0.91999999999999993</v>
      </c>
      <c r="I44" s="82">
        <f>1.015-G44</f>
        <v>0.94499999999999984</v>
      </c>
      <c r="J44" s="82">
        <f>1.007-G44</f>
        <v>0.93699999999999983</v>
      </c>
      <c r="K44" s="82">
        <f>5.1752*H44</f>
        <v>4.7611840000000001</v>
      </c>
      <c r="L44" s="82">
        <f t="shared" ref="L44:M46" si="47">5.1752*I44</f>
        <v>4.8905639999999995</v>
      </c>
      <c r="M44" s="82">
        <f t="shared" si="47"/>
        <v>4.8491623999999991</v>
      </c>
      <c r="N44" s="82">
        <f t="shared" si="42"/>
        <v>4.8336367999999998</v>
      </c>
      <c r="O44" s="82">
        <f>N44/20</f>
        <v>0.24168183999999998</v>
      </c>
      <c r="P44" s="82">
        <f t="shared" si="33"/>
        <v>1.7262988571428571E-2</v>
      </c>
      <c r="Q44" s="82">
        <f t="shared" si="34"/>
        <v>1.7262988571428571E-2</v>
      </c>
      <c r="R44" s="82">
        <f t="shared" si="35"/>
        <v>1.0703052914285713</v>
      </c>
      <c r="S44" s="134"/>
      <c r="T44" s="56"/>
      <c r="U44" s="79"/>
    </row>
    <row r="45" spans="2:29" x14ac:dyDescent="0.15">
      <c r="B45" s="260"/>
      <c r="C45" s="274"/>
      <c r="D45" s="256"/>
      <c r="E45" s="244"/>
      <c r="F45" s="80" t="s">
        <v>108</v>
      </c>
      <c r="G45" s="269"/>
      <c r="H45" s="81">
        <f>0.978-G44</f>
        <v>0.90799999999999992</v>
      </c>
      <c r="I45" s="82">
        <f>1.009-G44</f>
        <v>0.93899999999999983</v>
      </c>
      <c r="J45" s="82">
        <f>0.993-G44</f>
        <v>0.92300000000000004</v>
      </c>
      <c r="K45" s="105">
        <f t="shared" ref="K45:K46" si="48">5.1752*H45</f>
        <v>4.6990815999999995</v>
      </c>
      <c r="L45" s="105">
        <f t="shared" si="47"/>
        <v>4.8595127999999992</v>
      </c>
      <c r="M45" s="105">
        <f t="shared" si="47"/>
        <v>4.7767096000000002</v>
      </c>
      <c r="N45" s="82">
        <f t="shared" si="42"/>
        <v>4.7784346666666666</v>
      </c>
      <c r="O45" s="82">
        <f t="shared" ref="O45:O46" si="49">N45/20</f>
        <v>0.23892173333333333</v>
      </c>
      <c r="P45" s="82">
        <f t="shared" si="33"/>
        <v>1.7065838095238095E-2</v>
      </c>
      <c r="Q45" s="82">
        <f t="shared" si="34"/>
        <v>1.7065838095238095E-2</v>
      </c>
      <c r="R45" s="82">
        <f t="shared" si="35"/>
        <v>1.0580819619047619</v>
      </c>
      <c r="S45" s="134"/>
      <c r="T45" s="56"/>
      <c r="U45" s="79"/>
    </row>
    <row r="46" spans="2:29" x14ac:dyDescent="0.15">
      <c r="B46" s="260"/>
      <c r="C46" s="274"/>
      <c r="D46" s="256"/>
      <c r="E46" s="244"/>
      <c r="F46" s="80" t="s">
        <v>109</v>
      </c>
      <c r="G46" s="269"/>
      <c r="H46" s="81">
        <f>1.033-G44</f>
        <v>0.96299999999999986</v>
      </c>
      <c r="I46" s="82">
        <f>1.039-G44</f>
        <v>0.96899999999999986</v>
      </c>
      <c r="J46" s="82">
        <f>1.048-G44</f>
        <v>0.97799999999999998</v>
      </c>
      <c r="K46" s="105">
        <f t="shared" si="48"/>
        <v>4.9837175999999994</v>
      </c>
      <c r="L46" s="105">
        <f t="shared" si="47"/>
        <v>5.0147687999999997</v>
      </c>
      <c r="M46" s="105">
        <f t="shared" si="47"/>
        <v>5.0613456000000001</v>
      </c>
      <c r="N46" s="82">
        <f t="shared" si="42"/>
        <v>5.0199439999999997</v>
      </c>
      <c r="O46" s="82">
        <f t="shared" si="49"/>
        <v>0.25099719999999998</v>
      </c>
      <c r="P46" s="82">
        <f t="shared" si="33"/>
        <v>1.7928371428571427E-2</v>
      </c>
      <c r="Q46" s="82">
        <f t="shared" si="34"/>
        <v>1.7928371428571427E-2</v>
      </c>
      <c r="R46" s="82">
        <f t="shared" si="35"/>
        <v>1.1115590285714285</v>
      </c>
      <c r="S46" s="136">
        <f>AVERAGE(R44:R46)</f>
        <v>1.0799820939682538</v>
      </c>
      <c r="T46" s="82">
        <f>STDEV(R44:R46)</f>
        <v>2.8021055393431957E-2</v>
      </c>
      <c r="U46" s="137">
        <f>T46/SQRT(3)</f>
        <v>1.6177963874375357E-2</v>
      </c>
    </row>
    <row r="47" spans="2:29" x14ac:dyDescent="0.15">
      <c r="B47" s="262" t="s">
        <v>34</v>
      </c>
      <c r="C47" s="276">
        <v>0.49236111111111108</v>
      </c>
      <c r="D47" s="264">
        <v>289.68333333333334</v>
      </c>
      <c r="E47" s="243">
        <v>13</v>
      </c>
      <c r="F47" s="133" t="s">
        <v>107</v>
      </c>
      <c r="G47" s="271">
        <v>7.3999999999999996E-2</v>
      </c>
      <c r="H47" s="104">
        <f>0.884-G47</f>
        <v>0.81</v>
      </c>
      <c r="I47" s="105">
        <f>0.895-G47</f>
        <v>0.82100000000000006</v>
      </c>
      <c r="J47" s="105">
        <f>0.904-G47</f>
        <v>0.83000000000000007</v>
      </c>
      <c r="K47" s="105">
        <f>5.3597*H47</f>
        <v>4.3413570000000004</v>
      </c>
      <c r="L47" s="105">
        <f t="shared" ref="L47:M49" si="50">5.3597*I47</f>
        <v>4.4003137000000008</v>
      </c>
      <c r="M47" s="105">
        <f t="shared" si="50"/>
        <v>4.4485510000000001</v>
      </c>
      <c r="N47" s="105">
        <f t="shared" si="42"/>
        <v>4.3967405666666668</v>
      </c>
      <c r="O47" s="105">
        <f>N47/20</f>
        <v>0.21983702833333335</v>
      </c>
      <c r="P47" s="105">
        <f t="shared" si="33"/>
        <v>1.5702644880952382E-2</v>
      </c>
      <c r="Q47" s="105">
        <f t="shared" si="34"/>
        <v>1.5702644880952382E-2</v>
      </c>
      <c r="R47" s="105">
        <f t="shared" si="35"/>
        <v>0.97356398261904764</v>
      </c>
      <c r="S47" s="138"/>
      <c r="T47" s="105"/>
      <c r="U47" s="139"/>
    </row>
    <row r="48" spans="2:29" x14ac:dyDescent="0.15">
      <c r="B48" s="260"/>
      <c r="C48" s="274"/>
      <c r="D48" s="256"/>
      <c r="E48" s="244"/>
      <c r="F48" s="80" t="s">
        <v>108</v>
      </c>
      <c r="G48" s="269"/>
      <c r="H48" s="81">
        <f>0.868-G47</f>
        <v>0.79400000000000004</v>
      </c>
      <c r="I48" s="82">
        <f>0.894-G47</f>
        <v>0.82000000000000006</v>
      </c>
      <c r="J48" s="82">
        <f>0.881-G47</f>
        <v>0.80700000000000005</v>
      </c>
      <c r="K48" s="105">
        <f t="shared" ref="K48:K49" si="51">5.3597*H48</f>
        <v>4.2556018</v>
      </c>
      <c r="L48" s="105">
        <f t="shared" si="50"/>
        <v>4.3949540000000002</v>
      </c>
      <c r="M48" s="105">
        <f t="shared" si="50"/>
        <v>4.3252779000000006</v>
      </c>
      <c r="N48" s="82">
        <f t="shared" si="42"/>
        <v>4.3252778999999997</v>
      </c>
      <c r="O48" s="82">
        <f t="shared" ref="O48:O49" si="52">N48/20</f>
        <v>0.21626389499999998</v>
      </c>
      <c r="P48" s="82">
        <f t="shared" si="33"/>
        <v>1.5447421071428571E-2</v>
      </c>
      <c r="Q48" s="82">
        <f t="shared" si="34"/>
        <v>1.5447421071428571E-2</v>
      </c>
      <c r="R48" s="82">
        <f t="shared" si="35"/>
        <v>0.95774010642857144</v>
      </c>
      <c r="S48" s="136"/>
      <c r="T48" s="82"/>
      <c r="U48" s="137"/>
    </row>
    <row r="49" spans="2:29" x14ac:dyDescent="0.15">
      <c r="B49" s="263"/>
      <c r="C49" s="277"/>
      <c r="D49" s="265"/>
      <c r="E49" s="245"/>
      <c r="F49" s="90" t="s">
        <v>109</v>
      </c>
      <c r="G49" s="272"/>
      <c r="H49" s="91">
        <f>0.899-G47</f>
        <v>0.82500000000000007</v>
      </c>
      <c r="I49" s="92">
        <f>0.882-G47</f>
        <v>0.80800000000000005</v>
      </c>
      <c r="J49" s="92">
        <f>0.877-G47</f>
        <v>0.80300000000000005</v>
      </c>
      <c r="K49" s="185">
        <f t="shared" si="51"/>
        <v>4.4217525000000002</v>
      </c>
      <c r="L49" s="185">
        <f t="shared" si="50"/>
        <v>4.3306376000000002</v>
      </c>
      <c r="M49" s="185">
        <f t="shared" si="50"/>
        <v>4.3038391000000003</v>
      </c>
      <c r="N49" s="92">
        <f t="shared" si="42"/>
        <v>4.3520764000000005</v>
      </c>
      <c r="O49" s="92">
        <f t="shared" si="52"/>
        <v>0.21760382000000003</v>
      </c>
      <c r="P49" s="92">
        <f t="shared" si="33"/>
        <v>1.5543130000000002E-2</v>
      </c>
      <c r="Q49" s="92">
        <f t="shared" si="34"/>
        <v>1.5543130000000002E-2</v>
      </c>
      <c r="R49" s="92">
        <f t="shared" si="35"/>
        <v>0.96367406000000011</v>
      </c>
      <c r="S49" s="140">
        <f>AVERAGE(R47:R49)</f>
        <v>0.96499271634920636</v>
      </c>
      <c r="T49" s="92">
        <f>STDEV(R47:R49)</f>
        <v>7.9939292809203949E-3</v>
      </c>
      <c r="U49" s="141">
        <f>T49/SQRT(3)</f>
        <v>4.6152972222222215E-3</v>
      </c>
    </row>
    <row r="50" spans="2:29" x14ac:dyDescent="0.15">
      <c r="B50" s="262" t="s">
        <v>36</v>
      </c>
      <c r="C50" s="276">
        <v>0.46180555555555558</v>
      </c>
      <c r="D50" s="264">
        <v>336.95</v>
      </c>
      <c r="E50" s="243">
        <v>15</v>
      </c>
      <c r="F50" s="133" t="s">
        <v>107</v>
      </c>
      <c r="G50" s="271">
        <v>8.5666666666666669E-2</v>
      </c>
      <c r="H50" s="104">
        <f>0.803-G50</f>
        <v>0.71733333333333338</v>
      </c>
      <c r="I50" s="105">
        <f>0.796-G50</f>
        <v>0.71033333333333337</v>
      </c>
      <c r="J50" s="105">
        <f>0.788-G50</f>
        <v>0.70233333333333337</v>
      </c>
      <c r="K50" s="105">
        <f>5.2847*H50</f>
        <v>3.7908914666666669</v>
      </c>
      <c r="L50" s="105">
        <f t="shared" ref="L50:M52" si="53">5.2847*I50</f>
        <v>3.7538985666666669</v>
      </c>
      <c r="M50" s="105">
        <f t="shared" si="53"/>
        <v>3.7116209666666666</v>
      </c>
      <c r="N50" s="105">
        <f t="shared" si="42"/>
        <v>3.7521369999999998</v>
      </c>
      <c r="O50" s="105">
        <f>N50/20</f>
        <v>0.18760684999999999</v>
      </c>
      <c r="P50" s="105">
        <f t="shared" si="33"/>
        <v>1.3400489285714285E-2</v>
      </c>
      <c r="Q50" s="105">
        <f t="shared" si="34"/>
        <v>1.3400489285714285E-2</v>
      </c>
      <c r="R50" s="105">
        <f t="shared" si="35"/>
        <v>0.83083033571428566</v>
      </c>
      <c r="S50" s="138"/>
      <c r="T50" s="105"/>
      <c r="U50" s="139"/>
    </row>
    <row r="51" spans="2:29" x14ac:dyDescent="0.15">
      <c r="B51" s="260"/>
      <c r="C51" s="274"/>
      <c r="D51" s="256"/>
      <c r="E51" s="244"/>
      <c r="F51" s="80" t="s">
        <v>108</v>
      </c>
      <c r="G51" s="269"/>
      <c r="H51" s="81">
        <f>0.84-G50</f>
        <v>0.7543333333333333</v>
      </c>
      <c r="I51" s="82">
        <f>0.829-G50</f>
        <v>0.74333333333333329</v>
      </c>
      <c r="J51" s="82">
        <f>0.905-G50</f>
        <v>0.81933333333333336</v>
      </c>
      <c r="K51" s="105">
        <f t="shared" ref="K51:K52" si="54">5.2847*H51</f>
        <v>3.9864253666666665</v>
      </c>
      <c r="L51" s="105">
        <f t="shared" si="53"/>
        <v>3.9282936666666664</v>
      </c>
      <c r="M51" s="105">
        <f t="shared" si="53"/>
        <v>4.3299308666666665</v>
      </c>
      <c r="N51" s="82">
        <f t="shared" si="42"/>
        <v>4.0815499666666666</v>
      </c>
      <c r="O51" s="82">
        <f t="shared" ref="O51:O52" si="55">N51/20</f>
        <v>0.20407749833333333</v>
      </c>
      <c r="P51" s="82">
        <f t="shared" si="33"/>
        <v>1.4576964166666666E-2</v>
      </c>
      <c r="Q51" s="82">
        <f t="shared" si="34"/>
        <v>1.4576964166666666E-2</v>
      </c>
      <c r="R51" s="82">
        <f t="shared" si="35"/>
        <v>0.90377177833333333</v>
      </c>
      <c r="S51" s="136"/>
      <c r="T51" s="82"/>
      <c r="U51" s="137"/>
    </row>
    <row r="52" spans="2:29" x14ac:dyDescent="0.15">
      <c r="B52" s="263"/>
      <c r="C52" s="277"/>
      <c r="D52" s="265"/>
      <c r="E52" s="245"/>
      <c r="F52" s="90" t="s">
        <v>109</v>
      </c>
      <c r="G52" s="272"/>
      <c r="H52" s="91">
        <f>0.88-G50</f>
        <v>0.79433333333333334</v>
      </c>
      <c r="I52" s="92">
        <f>0.895-G50</f>
        <v>0.80933333333333335</v>
      </c>
      <c r="J52" s="92">
        <f>0.899-G50</f>
        <v>0.81333333333333335</v>
      </c>
      <c r="K52" s="185">
        <f t="shared" si="54"/>
        <v>4.1978133666666668</v>
      </c>
      <c r="L52" s="185">
        <f t="shared" si="53"/>
        <v>4.2770838666666666</v>
      </c>
      <c r="M52" s="185">
        <f t="shared" si="53"/>
        <v>4.2982226666666667</v>
      </c>
      <c r="N52" s="92">
        <f t="shared" si="42"/>
        <v>4.257706633333334</v>
      </c>
      <c r="O52" s="92">
        <f t="shared" si="55"/>
        <v>0.21288533166666671</v>
      </c>
      <c r="P52" s="92">
        <f t="shared" si="33"/>
        <v>1.5206095119047622E-2</v>
      </c>
      <c r="Q52" s="92">
        <f t="shared" si="34"/>
        <v>1.5206095119047622E-2</v>
      </c>
      <c r="R52" s="92">
        <f t="shared" si="35"/>
        <v>0.94277789738095252</v>
      </c>
      <c r="S52" s="140">
        <f>AVERAGE(R50:R52)</f>
        <v>0.89246000380952395</v>
      </c>
      <c r="T52" s="92">
        <f>STDEV(R50:R52)</f>
        <v>5.6824566192239197E-2</v>
      </c>
      <c r="U52" s="141">
        <f>T52/SQRT(3)</f>
        <v>3.2807678587673007E-2</v>
      </c>
    </row>
    <row r="53" spans="2:29" x14ac:dyDescent="0.15">
      <c r="B53" s="260" t="s">
        <v>38</v>
      </c>
      <c r="C53" s="274">
        <v>0.47361111111111115</v>
      </c>
      <c r="D53" s="256">
        <v>385.23333333333335</v>
      </c>
      <c r="E53" s="244">
        <v>17</v>
      </c>
      <c r="F53" s="80" t="s">
        <v>107</v>
      </c>
      <c r="G53" s="269">
        <v>8.2666666666666666E-2</v>
      </c>
      <c r="H53" s="81">
        <f>0.802-G53</f>
        <v>0.71933333333333338</v>
      </c>
      <c r="I53" s="82">
        <f>0.761-G53</f>
        <v>0.67833333333333334</v>
      </c>
      <c r="J53" s="82">
        <f>0.752-G53</f>
        <v>0.66933333333333334</v>
      </c>
      <c r="K53" s="82">
        <f>5.2525*H53</f>
        <v>3.7782983333333338</v>
      </c>
      <c r="L53" s="82">
        <f t="shared" ref="L53:M55" si="56">5.2525*I53</f>
        <v>3.5629458333333335</v>
      </c>
      <c r="M53" s="82">
        <f t="shared" si="56"/>
        <v>3.5156733333333334</v>
      </c>
      <c r="N53" s="82">
        <f t="shared" si="42"/>
        <v>3.6189725000000004</v>
      </c>
      <c r="O53" s="82">
        <f>N53/20</f>
        <v>0.18094862500000003</v>
      </c>
      <c r="P53" s="82">
        <f t="shared" si="33"/>
        <v>1.2924901785714288E-2</v>
      </c>
      <c r="Q53" s="82">
        <f t="shared" si="34"/>
        <v>1.2924901785714288E-2</v>
      </c>
      <c r="R53" s="82">
        <f t="shared" si="35"/>
        <v>0.8013439107142859</v>
      </c>
      <c r="S53" s="134"/>
      <c r="T53" s="56"/>
      <c r="U53" s="79"/>
    </row>
    <row r="54" spans="2:29" x14ac:dyDescent="0.15">
      <c r="B54" s="260"/>
      <c r="C54" s="274"/>
      <c r="D54" s="256"/>
      <c r="E54" s="244"/>
      <c r="F54" s="80" t="s">
        <v>108</v>
      </c>
      <c r="G54" s="269"/>
      <c r="H54" s="81">
        <f>0.79-G53</f>
        <v>0.70733333333333337</v>
      </c>
      <c r="I54" s="82">
        <f>0.779-G53</f>
        <v>0.69633333333333336</v>
      </c>
      <c r="J54" s="82">
        <f>0.829-G53</f>
        <v>0.74633333333333329</v>
      </c>
      <c r="K54" s="105">
        <f t="shared" ref="K54:K55" si="57">5.2525*H54</f>
        <v>3.7152683333333338</v>
      </c>
      <c r="L54" s="105">
        <f t="shared" si="56"/>
        <v>3.6574908333333336</v>
      </c>
      <c r="M54" s="105">
        <f t="shared" si="56"/>
        <v>3.9201158333333335</v>
      </c>
      <c r="N54" s="82">
        <f t="shared" si="42"/>
        <v>3.7642916666666668</v>
      </c>
      <c r="O54" s="105">
        <f t="shared" ref="O54:O55" si="58">N54/20</f>
        <v>0.18821458333333335</v>
      </c>
      <c r="P54" s="82">
        <f t="shared" si="33"/>
        <v>1.344389880952381E-2</v>
      </c>
      <c r="Q54" s="82">
        <f t="shared" si="34"/>
        <v>1.344389880952381E-2</v>
      </c>
      <c r="R54" s="82">
        <f t="shared" si="35"/>
        <v>0.83352172619047626</v>
      </c>
      <c r="S54" s="134"/>
      <c r="T54" s="56"/>
      <c r="U54" s="79"/>
    </row>
    <row r="55" spans="2:29" ht="14" thickBot="1" x14ac:dyDescent="0.2">
      <c r="B55" s="261"/>
      <c r="C55" s="275"/>
      <c r="D55" s="257"/>
      <c r="E55" s="268"/>
      <c r="F55" s="80" t="s">
        <v>109</v>
      </c>
      <c r="G55" s="270"/>
      <c r="H55" s="81">
        <f>0.792-G53</f>
        <v>0.70933333333333337</v>
      </c>
      <c r="I55" s="82">
        <f>0.806-G53</f>
        <v>0.72333333333333338</v>
      </c>
      <c r="J55" s="82">
        <f>0.821-G53</f>
        <v>0.73833333333333329</v>
      </c>
      <c r="K55" s="105">
        <f t="shared" si="57"/>
        <v>3.7257733333333336</v>
      </c>
      <c r="L55" s="105">
        <f t="shared" si="56"/>
        <v>3.7993083333333337</v>
      </c>
      <c r="M55" s="105">
        <f t="shared" si="56"/>
        <v>3.8780958333333335</v>
      </c>
      <c r="N55" s="82">
        <f t="shared" si="42"/>
        <v>3.8010591666666667</v>
      </c>
      <c r="O55" s="105">
        <f t="shared" si="58"/>
        <v>0.19005295833333333</v>
      </c>
      <c r="P55" s="82">
        <f t="shared" si="33"/>
        <v>1.357521130952381E-2</v>
      </c>
      <c r="Q55" s="82">
        <f t="shared" si="34"/>
        <v>1.357521130952381E-2</v>
      </c>
      <c r="R55" s="82">
        <f t="shared" si="35"/>
        <v>0.84166310119047616</v>
      </c>
      <c r="S55" s="140">
        <f>AVERAGE(R53:R55)</f>
        <v>0.8255095793650794</v>
      </c>
      <c r="T55" s="82">
        <f>STDEV(R53:R55)</f>
        <v>2.1320299076880114E-2</v>
      </c>
      <c r="U55" s="137">
        <f>T55/SQRT(3)</f>
        <v>1.2309280411240065E-2</v>
      </c>
    </row>
    <row r="56" spans="2:29" ht="17" thickBot="1" x14ac:dyDescent="0.2">
      <c r="B56" s="249" t="s">
        <v>72</v>
      </c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1"/>
    </row>
    <row r="57" spans="2:29" ht="30" x14ac:dyDescent="0.15">
      <c r="B57" s="124" t="s">
        <v>0</v>
      </c>
      <c r="C57" s="66" t="s">
        <v>1</v>
      </c>
      <c r="D57" s="66" t="s">
        <v>2</v>
      </c>
      <c r="E57" s="125" t="s">
        <v>17</v>
      </c>
      <c r="F57" s="126"/>
      <c r="G57" s="126" t="s">
        <v>18</v>
      </c>
      <c r="H57" s="253" t="s">
        <v>130</v>
      </c>
      <c r="I57" s="254"/>
      <c r="J57" s="254"/>
      <c r="K57" s="255" t="s">
        <v>116</v>
      </c>
      <c r="L57" s="255"/>
      <c r="M57" s="255"/>
      <c r="N57" s="66" t="s">
        <v>19</v>
      </c>
      <c r="O57" s="66" t="s">
        <v>20</v>
      </c>
      <c r="P57" s="66" t="s">
        <v>20</v>
      </c>
      <c r="Q57" s="66" t="s">
        <v>114</v>
      </c>
      <c r="R57" s="125" t="s">
        <v>114</v>
      </c>
      <c r="S57" s="66" t="s">
        <v>115</v>
      </c>
      <c r="T57" s="66" t="s">
        <v>97</v>
      </c>
      <c r="U57" s="127" t="s">
        <v>62</v>
      </c>
      <c r="W57" s="56" t="s">
        <v>2</v>
      </c>
      <c r="X57" s="77" t="str">
        <f>S57</f>
        <v>Average NO3 concentration</v>
      </c>
      <c r="Y57" s="77" t="str">
        <f>U57</f>
        <v>Standard error</v>
      </c>
      <c r="Z57" s="56"/>
      <c r="AA57" s="128"/>
      <c r="AB57" s="128"/>
      <c r="AC57" s="128"/>
    </row>
    <row r="58" spans="2:29" ht="14" x14ac:dyDescent="0.15">
      <c r="B58" s="129"/>
      <c r="C58" s="130"/>
      <c r="D58" s="131"/>
      <c r="E58" s="131"/>
      <c r="F58" s="132"/>
      <c r="G58" s="132"/>
      <c r="H58" s="189" t="s">
        <v>102</v>
      </c>
      <c r="I58" s="189" t="s">
        <v>103</v>
      </c>
      <c r="J58" s="189" t="s">
        <v>131</v>
      </c>
      <c r="K58" s="74"/>
      <c r="L58" s="74"/>
      <c r="M58" s="74"/>
      <c r="N58" s="74" t="s">
        <v>21</v>
      </c>
      <c r="O58" s="74" t="s">
        <v>15</v>
      </c>
      <c r="P58" s="74" t="s">
        <v>22</v>
      </c>
      <c r="Q58" s="74" t="s">
        <v>22</v>
      </c>
      <c r="R58" s="70" t="s">
        <v>15</v>
      </c>
      <c r="S58" s="74" t="s">
        <v>15</v>
      </c>
      <c r="T58" s="74"/>
      <c r="U58" s="76"/>
      <c r="W58" s="87">
        <v>0</v>
      </c>
      <c r="X58" s="82">
        <f>S61</f>
        <v>1.5825375999999998</v>
      </c>
      <c r="Y58" s="82">
        <f>U61</f>
        <v>1.3507733333333214E-2</v>
      </c>
      <c r="Z58" s="82"/>
      <c r="AA58" s="128"/>
      <c r="AB58" s="128"/>
      <c r="AC58" s="128"/>
    </row>
    <row r="59" spans="2:29" x14ac:dyDescent="0.15">
      <c r="B59" s="260" t="s">
        <v>23</v>
      </c>
      <c r="C59" s="258">
        <v>0.45208333333333334</v>
      </c>
      <c r="D59" s="256">
        <v>0</v>
      </c>
      <c r="E59" s="244">
        <v>1</v>
      </c>
      <c r="F59" s="80" t="s">
        <v>107</v>
      </c>
      <c r="G59" s="269">
        <v>7.3333333333333348E-2</v>
      </c>
      <c r="H59" s="81">
        <f>0.757-G59</f>
        <v>0.68366666666666664</v>
      </c>
      <c r="I59" s="82">
        <f>0.772-G59</f>
        <v>0.69866666666666666</v>
      </c>
      <c r="J59" s="82">
        <f>0.823-G59</f>
        <v>0.74966666666666659</v>
      </c>
      <c r="K59" s="82">
        <f>4.816*H59</f>
        <v>3.2925386666666663</v>
      </c>
      <c r="L59" s="82">
        <f t="shared" ref="L59:M61" si="59">4.816*I59</f>
        <v>3.3647786666666666</v>
      </c>
      <c r="M59" s="82">
        <f t="shared" si="59"/>
        <v>3.6103946666666662</v>
      </c>
      <c r="N59" s="82">
        <f>AVERAGE(K59:M59)</f>
        <v>3.4225706666666667</v>
      </c>
      <c r="O59" s="82">
        <f>N59/10</f>
        <v>0.34225706666666667</v>
      </c>
      <c r="P59" s="82">
        <f>O59/14</f>
        <v>2.4446933333333334E-2</v>
      </c>
      <c r="Q59" s="82">
        <f>P59</f>
        <v>2.4446933333333334E-2</v>
      </c>
      <c r="R59" s="82">
        <f>Q59*62</f>
        <v>1.5157098666666666</v>
      </c>
      <c r="S59" s="134"/>
      <c r="T59" s="56"/>
      <c r="U59" s="79"/>
      <c r="W59" s="87">
        <f>D62</f>
        <v>47.766666666666666</v>
      </c>
      <c r="X59" s="82">
        <f>S64</f>
        <v>1.581418253968254</v>
      </c>
      <c r="Y59" s="82">
        <f>U64</f>
        <v>4.6270090420471345E-2</v>
      </c>
      <c r="Z59" s="82"/>
      <c r="AA59" s="135"/>
      <c r="AB59" s="135"/>
      <c r="AC59" s="135"/>
    </row>
    <row r="60" spans="2:29" x14ac:dyDescent="0.15">
      <c r="B60" s="260"/>
      <c r="C60" s="258"/>
      <c r="D60" s="256"/>
      <c r="E60" s="244"/>
      <c r="F60" s="80" t="s">
        <v>108</v>
      </c>
      <c r="G60" s="269"/>
      <c r="H60" s="81">
        <f>0.809-G59</f>
        <v>0.73566666666666669</v>
      </c>
      <c r="I60" s="82">
        <f>0.834-G59</f>
        <v>0.7606666666666666</v>
      </c>
      <c r="J60" s="82">
        <f>0.822-G59</f>
        <v>0.74866666666666659</v>
      </c>
      <c r="K60" s="82">
        <f t="shared" ref="K60:K61" si="60">4.816*H60</f>
        <v>3.5429706666666667</v>
      </c>
      <c r="L60" s="82">
        <f t="shared" si="59"/>
        <v>3.6633706666666663</v>
      </c>
      <c r="M60" s="82">
        <f t="shared" si="59"/>
        <v>3.6055786666666663</v>
      </c>
      <c r="N60" s="82">
        <f t="shared" ref="N60:N61" si="61">AVERAGE(K60:M60)</f>
        <v>3.6039733333333328</v>
      </c>
      <c r="O60" s="82">
        <f t="shared" ref="O60:O61" si="62">N60/10</f>
        <v>0.36039733333333329</v>
      </c>
      <c r="P60" s="82">
        <f t="shared" ref="P60:P82" si="63">O60/14</f>
        <v>2.5742666666666664E-2</v>
      </c>
      <c r="Q60" s="82">
        <f t="shared" ref="Q60:Q82" si="64">P60</f>
        <v>2.5742666666666664E-2</v>
      </c>
      <c r="R60" s="82">
        <f t="shared" ref="R60:R82" si="65">Q60*62</f>
        <v>1.5960453333333331</v>
      </c>
      <c r="S60" s="134"/>
      <c r="T60" s="56"/>
      <c r="U60" s="79"/>
      <c r="W60" s="87">
        <f>D65</f>
        <v>95.383333333333326</v>
      </c>
      <c r="X60" s="82">
        <f>S67</f>
        <v>1.2845872803174603</v>
      </c>
      <c r="Y60" s="82">
        <f>U67</f>
        <v>1.4510259379718556E-2</v>
      </c>
      <c r="Z60" s="82"/>
      <c r="AA60" s="135"/>
      <c r="AB60" s="135"/>
      <c r="AC60" s="135"/>
    </row>
    <row r="61" spans="2:29" x14ac:dyDescent="0.15">
      <c r="B61" s="260"/>
      <c r="C61" s="258"/>
      <c r="D61" s="256"/>
      <c r="E61" s="244"/>
      <c r="F61" s="80" t="s">
        <v>109</v>
      </c>
      <c r="G61" s="269"/>
      <c r="H61" s="81">
        <f>0.778-G59</f>
        <v>0.70466666666666666</v>
      </c>
      <c r="I61" s="82">
        <f>0.802-G59</f>
        <v>0.72866666666666668</v>
      </c>
      <c r="J61" s="82">
        <f>0.847-G59</f>
        <v>0.77366666666666661</v>
      </c>
      <c r="K61" s="82">
        <f t="shared" si="60"/>
        <v>3.3936746666666666</v>
      </c>
      <c r="L61" s="82">
        <f t="shared" si="59"/>
        <v>3.5092586666666667</v>
      </c>
      <c r="M61" s="82">
        <f t="shared" si="59"/>
        <v>3.7259786666666663</v>
      </c>
      <c r="N61" s="82">
        <f t="shared" si="61"/>
        <v>3.5429706666666667</v>
      </c>
      <c r="O61" s="82">
        <f t="shared" si="62"/>
        <v>0.35429706666666666</v>
      </c>
      <c r="P61" s="82">
        <f t="shared" si="63"/>
        <v>2.5306933333333333E-2</v>
      </c>
      <c r="Q61" s="82">
        <f t="shared" si="64"/>
        <v>2.5306933333333333E-2</v>
      </c>
      <c r="R61" s="82">
        <f t="shared" si="65"/>
        <v>1.5690298666666667</v>
      </c>
      <c r="S61" s="136">
        <f>AVERAGE(R60:R61)</f>
        <v>1.5825375999999998</v>
      </c>
      <c r="T61" s="82">
        <f>STDEV(R60:R61)</f>
        <v>1.9102819676918969E-2</v>
      </c>
      <c r="U61" s="137">
        <f>T61/SQRT(2)</f>
        <v>1.3507733333333214E-2</v>
      </c>
      <c r="W61" s="87">
        <f>D68</f>
        <v>145.11666666666667</v>
      </c>
      <c r="X61" s="82">
        <f>S70</f>
        <v>1.1429448096296293</v>
      </c>
      <c r="Y61" s="82">
        <f>U70</f>
        <v>1.237983823533899E-2</v>
      </c>
      <c r="Z61" s="82"/>
      <c r="AA61" s="135"/>
      <c r="AB61" s="135"/>
      <c r="AC61" s="135"/>
    </row>
    <row r="62" spans="2:29" x14ac:dyDescent="0.15">
      <c r="B62" s="262" t="s">
        <v>25</v>
      </c>
      <c r="C62" s="266">
        <v>0.44236111111111115</v>
      </c>
      <c r="D62" s="264">
        <f>11+46/60+12+24</f>
        <v>47.766666666666666</v>
      </c>
      <c r="E62" s="243">
        <v>3</v>
      </c>
      <c r="F62" s="133" t="s">
        <v>107</v>
      </c>
      <c r="G62" s="271">
        <v>7.5999999999999998E-2</v>
      </c>
      <c r="H62" s="104">
        <f>0.741-G62</f>
        <v>0.66500000000000004</v>
      </c>
      <c r="I62" s="105">
        <f>0.752-G62</f>
        <v>0.67600000000000005</v>
      </c>
      <c r="J62" s="105">
        <f>0.77-G62</f>
        <v>0.69400000000000006</v>
      </c>
      <c r="K62" s="105">
        <f>4.975*H62</f>
        <v>3.3083749999999998</v>
      </c>
      <c r="L62" s="105">
        <f t="shared" ref="L62:M64" si="66">4.975*I62</f>
        <v>3.3631000000000002</v>
      </c>
      <c r="M62" s="105">
        <f t="shared" si="66"/>
        <v>3.4526500000000002</v>
      </c>
      <c r="N62" s="105">
        <f>AVERAGE(K62:M62)</f>
        <v>3.374708333333333</v>
      </c>
      <c r="O62" s="105">
        <f>N62/10</f>
        <v>0.33747083333333328</v>
      </c>
      <c r="P62" s="105">
        <f t="shared" si="63"/>
        <v>2.4105059523809518E-2</v>
      </c>
      <c r="Q62" s="105">
        <f t="shared" si="64"/>
        <v>2.4105059523809518E-2</v>
      </c>
      <c r="R62" s="105">
        <f t="shared" si="65"/>
        <v>1.4945136904761902</v>
      </c>
      <c r="S62" s="138"/>
      <c r="T62" s="105"/>
      <c r="U62" s="139"/>
      <c r="W62" s="87">
        <f>D71</f>
        <v>240.25</v>
      </c>
      <c r="X62" s="82">
        <f>S73</f>
        <v>0.82800324888888899</v>
      </c>
      <c r="Y62" s="82">
        <f>U73</f>
        <v>9.3266007590920349E-3</v>
      </c>
      <c r="Z62" s="82"/>
      <c r="AA62" s="135"/>
      <c r="AB62" s="135"/>
      <c r="AC62" s="135"/>
    </row>
    <row r="63" spans="2:29" ht="15" customHeight="1" x14ac:dyDescent="0.15">
      <c r="B63" s="260"/>
      <c r="C63" s="258"/>
      <c r="D63" s="256"/>
      <c r="E63" s="244"/>
      <c r="F63" s="80" t="s">
        <v>108</v>
      </c>
      <c r="G63" s="269"/>
      <c r="H63" s="81">
        <f>0.79-G62</f>
        <v>0.71400000000000008</v>
      </c>
      <c r="I63" s="82">
        <f>0.757-G62</f>
        <v>0.68100000000000005</v>
      </c>
      <c r="J63" s="82">
        <f>0.78</f>
        <v>0.78</v>
      </c>
      <c r="K63" s="105">
        <f t="shared" ref="K63:K64" si="67">4.975*H63</f>
        <v>3.5521500000000001</v>
      </c>
      <c r="L63" s="105">
        <f t="shared" si="66"/>
        <v>3.387975</v>
      </c>
      <c r="M63" s="105">
        <f t="shared" si="66"/>
        <v>3.8805000000000001</v>
      </c>
      <c r="N63" s="82">
        <f t="shared" ref="N63:N64" si="68">AVERAGE(K63:M63)</f>
        <v>3.6068750000000001</v>
      </c>
      <c r="O63" s="82">
        <f t="shared" ref="O63:O64" si="69">N63/10</f>
        <v>0.36068749999999999</v>
      </c>
      <c r="P63" s="82">
        <f t="shared" si="63"/>
        <v>2.5763392857142856E-2</v>
      </c>
      <c r="Q63" s="82">
        <f t="shared" si="64"/>
        <v>2.5763392857142856E-2</v>
      </c>
      <c r="R63" s="82">
        <f t="shared" si="65"/>
        <v>1.597330357142857</v>
      </c>
      <c r="S63" s="136"/>
      <c r="T63" s="82"/>
      <c r="U63" s="137"/>
      <c r="W63" s="87">
        <f>D74</f>
        <v>289.31666666666666</v>
      </c>
      <c r="X63" s="82">
        <f>S76</f>
        <v>0.67805309476190478</v>
      </c>
      <c r="Y63" s="82">
        <f>U76</f>
        <v>3.0525114388558282E-2</v>
      </c>
      <c r="Z63" s="82"/>
      <c r="AA63" s="135"/>
      <c r="AB63" s="135"/>
      <c r="AC63" s="135"/>
    </row>
    <row r="64" spans="2:29" ht="15" customHeight="1" x14ac:dyDescent="0.15">
      <c r="B64" s="263"/>
      <c r="C64" s="267"/>
      <c r="D64" s="265"/>
      <c r="E64" s="245"/>
      <c r="F64" s="90" t="s">
        <v>109</v>
      </c>
      <c r="G64" s="272"/>
      <c r="H64" s="91">
        <f>0.816-G62</f>
        <v>0.74</v>
      </c>
      <c r="I64" s="92">
        <f>0.796-G62</f>
        <v>0.72000000000000008</v>
      </c>
      <c r="J64" s="92">
        <f>0.79</f>
        <v>0.79</v>
      </c>
      <c r="K64" s="185">
        <f t="shared" si="67"/>
        <v>3.6814999999999998</v>
      </c>
      <c r="L64" s="185">
        <f t="shared" si="66"/>
        <v>3.5820000000000003</v>
      </c>
      <c r="M64" s="185">
        <f t="shared" si="66"/>
        <v>3.93025</v>
      </c>
      <c r="N64" s="92">
        <f t="shared" si="68"/>
        <v>3.7312500000000006</v>
      </c>
      <c r="O64" s="92">
        <f t="shared" si="69"/>
        <v>0.37312500000000004</v>
      </c>
      <c r="P64" s="92">
        <f t="shared" si="63"/>
        <v>2.6651785714285718E-2</v>
      </c>
      <c r="Q64" s="92">
        <f t="shared" si="64"/>
        <v>2.6651785714285718E-2</v>
      </c>
      <c r="R64" s="92">
        <f t="shared" si="65"/>
        <v>1.6524107142857145</v>
      </c>
      <c r="S64" s="140">
        <f>AVERAGE(R62:R64)</f>
        <v>1.581418253968254</v>
      </c>
      <c r="T64" s="92">
        <f>STDEV(R62:R64)</f>
        <v>8.0142147479062356E-2</v>
      </c>
      <c r="U64" s="141">
        <f>T64/SQRT(3)</f>
        <v>4.6270090420471345E-2</v>
      </c>
      <c r="W64" s="87">
        <f>D77</f>
        <v>336.56666666666666</v>
      </c>
      <c r="X64" s="82">
        <f>S79</f>
        <v>0.61863704809523812</v>
      </c>
      <c r="Y64" s="82">
        <f>U79</f>
        <v>2.6413028387109874E-2</v>
      </c>
      <c r="Z64" s="82"/>
      <c r="AA64" s="135"/>
      <c r="AB64" s="135"/>
      <c r="AC64" s="135"/>
    </row>
    <row r="65" spans="2:29" x14ac:dyDescent="0.15">
      <c r="B65" s="260" t="s">
        <v>27</v>
      </c>
      <c r="C65" s="258">
        <v>0.42638888888888887</v>
      </c>
      <c r="D65" s="256">
        <f>11+37/60+12+24+D62</f>
        <v>95.383333333333326</v>
      </c>
      <c r="E65" s="244">
        <v>5</v>
      </c>
      <c r="F65" s="80" t="s">
        <v>107</v>
      </c>
      <c r="G65" s="269">
        <v>6.9500000000000006E-2</v>
      </c>
      <c r="H65" s="81">
        <f>0.932-G65</f>
        <v>0.86250000000000004</v>
      </c>
      <c r="I65" s="82">
        <f>0.949-G65</f>
        <v>0.87949999999999995</v>
      </c>
      <c r="J65" s="82">
        <f>0.959-G65</f>
        <v>0.88949999999999996</v>
      </c>
      <c r="K65" s="82">
        <f>5.0662*H65</f>
        <v>4.3695975000000002</v>
      </c>
      <c r="L65" s="82">
        <f t="shared" ref="L65:M67" si="70">5.0662*I65</f>
        <v>4.4557228999999996</v>
      </c>
      <c r="M65" s="82">
        <f t="shared" si="70"/>
        <v>4.5063848999999996</v>
      </c>
      <c r="N65" s="82">
        <f>AVERAGE(K65:M65)</f>
        <v>4.4439017666666665</v>
      </c>
      <c r="O65" s="82">
        <f>N65/15</f>
        <v>0.29626011777777778</v>
      </c>
      <c r="P65" s="82">
        <f t="shared" si="63"/>
        <v>2.1161436984126984E-2</v>
      </c>
      <c r="Q65" s="82">
        <f t="shared" si="64"/>
        <v>2.1161436984126984E-2</v>
      </c>
      <c r="R65" s="82">
        <f t="shared" si="65"/>
        <v>1.312009093015873</v>
      </c>
      <c r="S65" s="136"/>
      <c r="T65" s="82"/>
      <c r="U65" s="137"/>
      <c r="W65" s="87">
        <f>D80</f>
        <v>384.9</v>
      </c>
      <c r="X65" s="82">
        <f>S82</f>
        <v>0.50980514880952388</v>
      </c>
      <c r="Y65" s="82">
        <f>U82</f>
        <v>2.6648905141800818E-2</v>
      </c>
      <c r="Z65" s="82"/>
      <c r="AA65" s="135"/>
      <c r="AB65" s="135"/>
      <c r="AC65" s="135"/>
    </row>
    <row r="66" spans="2:29" ht="15" customHeight="1" x14ac:dyDescent="0.15">
      <c r="B66" s="260"/>
      <c r="C66" s="258"/>
      <c r="D66" s="256"/>
      <c r="E66" s="244"/>
      <c r="F66" s="80" t="s">
        <v>108</v>
      </c>
      <c r="G66" s="269"/>
      <c r="H66" s="81">
        <f>0.909-G65</f>
        <v>0.83950000000000002</v>
      </c>
      <c r="I66" s="82">
        <f>0.923-G65</f>
        <v>0.85350000000000004</v>
      </c>
      <c r="J66" s="82">
        <f>0.909-G65</f>
        <v>0.83950000000000002</v>
      </c>
      <c r="K66" s="82">
        <f t="shared" ref="K66:K67" si="71">5.0662*H66</f>
        <v>4.2530749000000005</v>
      </c>
      <c r="L66" s="82">
        <f t="shared" si="70"/>
        <v>4.3240017000000002</v>
      </c>
      <c r="M66" s="82">
        <f t="shared" si="70"/>
        <v>4.2530749000000005</v>
      </c>
      <c r="N66" s="82">
        <f t="shared" ref="N66:N82" si="72">AVERAGE(K66:M66)</f>
        <v>4.2767171666666677</v>
      </c>
      <c r="O66" s="82">
        <f t="shared" ref="O66:O67" si="73">N66/15</f>
        <v>0.28511447777777782</v>
      </c>
      <c r="P66" s="82">
        <f t="shared" si="63"/>
        <v>2.0365319841269845E-2</v>
      </c>
      <c r="Q66" s="82">
        <f t="shared" si="64"/>
        <v>2.0365319841269845E-2</v>
      </c>
      <c r="R66" s="82">
        <f t="shared" si="65"/>
        <v>1.2626498301587303</v>
      </c>
      <c r="S66" s="136"/>
      <c r="T66" s="82"/>
      <c r="U66" s="137"/>
      <c r="W66" s="87"/>
      <c r="X66" s="82"/>
      <c r="Y66" s="82"/>
      <c r="Z66" s="82"/>
      <c r="AA66" s="135"/>
      <c r="AB66" s="135"/>
      <c r="AC66" s="135"/>
    </row>
    <row r="67" spans="2:29" ht="15" customHeight="1" x14ac:dyDescent="0.15">
      <c r="B67" s="260"/>
      <c r="C67" s="258"/>
      <c r="D67" s="256"/>
      <c r="E67" s="244"/>
      <c r="F67" s="80" t="s">
        <v>109</v>
      </c>
      <c r="G67" s="269"/>
      <c r="H67" s="81">
        <f>0.927-G65</f>
        <v>0.85750000000000004</v>
      </c>
      <c r="I67" s="82">
        <f>0.923-G65</f>
        <v>0.85350000000000004</v>
      </c>
      <c r="J67" s="82">
        <f>0.924-G65</f>
        <v>0.85450000000000004</v>
      </c>
      <c r="K67" s="82">
        <f t="shared" si="71"/>
        <v>4.3442665000000007</v>
      </c>
      <c r="L67" s="82">
        <f t="shared" si="70"/>
        <v>4.3240017000000002</v>
      </c>
      <c r="M67" s="82">
        <f t="shared" si="70"/>
        <v>4.3290679000000001</v>
      </c>
      <c r="N67" s="82">
        <f t="shared" si="72"/>
        <v>4.3324453666666667</v>
      </c>
      <c r="O67" s="82">
        <f t="shared" si="73"/>
        <v>0.28882969111111112</v>
      </c>
      <c r="P67" s="82">
        <f t="shared" si="63"/>
        <v>2.0630692222222222E-2</v>
      </c>
      <c r="Q67" s="82">
        <f t="shared" si="64"/>
        <v>2.0630692222222222E-2</v>
      </c>
      <c r="R67" s="82">
        <f t="shared" si="65"/>
        <v>1.2791029177777777</v>
      </c>
      <c r="S67" s="136">
        <f>AVERAGE(R65:R67)</f>
        <v>1.2845872803174603</v>
      </c>
      <c r="T67" s="82">
        <f>STDEV(R65:R67)</f>
        <v>2.5132506476675399E-2</v>
      </c>
      <c r="U67" s="137">
        <f>T67/SQRT(3)</f>
        <v>1.4510259379718556E-2</v>
      </c>
      <c r="W67" s="87"/>
      <c r="X67" s="82"/>
      <c r="Y67" s="82"/>
      <c r="Z67" s="82"/>
      <c r="AA67" s="135"/>
      <c r="AB67" s="135"/>
      <c r="AC67" s="135"/>
    </row>
    <row r="68" spans="2:29" x14ac:dyDescent="0.15">
      <c r="B68" s="262" t="s">
        <v>29</v>
      </c>
      <c r="C68" s="266">
        <v>0.49861111111111112</v>
      </c>
      <c r="D68" s="264">
        <f>1+44/60+48+D65</f>
        <v>145.11666666666667</v>
      </c>
      <c r="E68" s="243">
        <v>7</v>
      </c>
      <c r="F68" s="133" t="s">
        <v>107</v>
      </c>
      <c r="G68" s="271">
        <v>6.8000000000000005E-2</v>
      </c>
      <c r="H68" s="104">
        <f>0.852-G68</f>
        <v>0.78400000000000003</v>
      </c>
      <c r="I68" s="105">
        <f>0.859-G68</f>
        <v>0.79099999999999993</v>
      </c>
      <c r="J68" s="105">
        <f>0.85-G68</f>
        <v>0.78200000000000003</v>
      </c>
      <c r="K68" s="105">
        <f>5.0327*H68</f>
        <v>3.9456368000000004</v>
      </c>
      <c r="L68" s="105">
        <f t="shared" ref="L68:M70" si="74">5.0327*I68</f>
        <v>3.9808656999999998</v>
      </c>
      <c r="M68" s="105">
        <f t="shared" si="74"/>
        <v>3.9355714000000002</v>
      </c>
      <c r="N68" s="105">
        <f t="shared" si="72"/>
        <v>3.9540246333333333</v>
      </c>
      <c r="O68" s="105">
        <f>N68/15</f>
        <v>0.26360164222222221</v>
      </c>
      <c r="P68" s="105">
        <f t="shared" si="63"/>
        <v>1.8828688730158728E-2</v>
      </c>
      <c r="Q68" s="105">
        <f t="shared" si="64"/>
        <v>1.8828688730158728E-2</v>
      </c>
      <c r="R68" s="105">
        <f t="shared" si="65"/>
        <v>1.1673787012698411</v>
      </c>
      <c r="S68" s="142"/>
      <c r="T68" s="112"/>
      <c r="U68" s="101"/>
      <c r="W68" s="56"/>
      <c r="X68" s="82"/>
      <c r="Y68" s="82"/>
      <c r="Z68" s="82"/>
      <c r="AA68" s="82"/>
    </row>
    <row r="69" spans="2:29" x14ac:dyDescent="0.15">
      <c r="B69" s="260"/>
      <c r="C69" s="258"/>
      <c r="D69" s="256"/>
      <c r="E69" s="244"/>
      <c r="F69" s="80" t="s">
        <v>108</v>
      </c>
      <c r="G69" s="269"/>
      <c r="H69" s="81">
        <f>0.837-G68</f>
        <v>0.76899999999999991</v>
      </c>
      <c r="I69" s="82">
        <f>0.821-G68</f>
        <v>0.75299999999999989</v>
      </c>
      <c r="J69" s="82">
        <f>0.836-G68</f>
        <v>0.76800000000000002</v>
      </c>
      <c r="K69" s="105">
        <f t="shared" ref="K69:K70" si="75">5.0327*H69</f>
        <v>3.8701462999999996</v>
      </c>
      <c r="L69" s="105">
        <f t="shared" si="74"/>
        <v>3.7896230999999996</v>
      </c>
      <c r="M69" s="105">
        <f t="shared" si="74"/>
        <v>3.8651136000000004</v>
      </c>
      <c r="N69" s="82">
        <f t="shared" si="72"/>
        <v>3.8416276666666662</v>
      </c>
      <c r="O69" s="82">
        <f t="shared" ref="O69:O70" si="76">N69/15</f>
        <v>0.2561085111111111</v>
      </c>
      <c r="P69" s="82">
        <f t="shared" si="63"/>
        <v>1.8293465079365079E-2</v>
      </c>
      <c r="Q69" s="82">
        <f t="shared" si="64"/>
        <v>1.8293465079365079E-2</v>
      </c>
      <c r="R69" s="82">
        <f t="shared" si="65"/>
        <v>1.1341948349206348</v>
      </c>
      <c r="S69" s="134"/>
      <c r="T69" s="56"/>
      <c r="U69" s="79"/>
      <c r="W69" s="135"/>
      <c r="X69" s="135"/>
      <c r="Y69" s="135"/>
      <c r="Z69" s="82"/>
      <c r="AA69" s="82"/>
    </row>
    <row r="70" spans="2:29" x14ac:dyDescent="0.15">
      <c r="B70" s="263"/>
      <c r="C70" s="267"/>
      <c r="D70" s="265"/>
      <c r="E70" s="245"/>
      <c r="F70" s="90" t="s">
        <v>109</v>
      </c>
      <c r="G70" s="272"/>
      <c r="H70" s="91">
        <f>0.845-G68</f>
        <v>0.77699999999999991</v>
      </c>
      <c r="I70" s="92">
        <f>0.825-G68</f>
        <v>0.7569999999999999</v>
      </c>
      <c r="J70" s="92">
        <f>0.81-G68</f>
        <v>0.74199999999999999</v>
      </c>
      <c r="K70" s="185">
        <f t="shared" si="75"/>
        <v>3.9104078999999996</v>
      </c>
      <c r="L70" s="185">
        <f t="shared" si="74"/>
        <v>3.8097538999999996</v>
      </c>
      <c r="M70" s="185">
        <f t="shared" si="74"/>
        <v>3.7342634000000001</v>
      </c>
      <c r="N70" s="92">
        <f t="shared" si="72"/>
        <v>3.818141733333333</v>
      </c>
      <c r="O70" s="92">
        <f t="shared" si="76"/>
        <v>0.25454278222222221</v>
      </c>
      <c r="P70" s="92">
        <f t="shared" si="63"/>
        <v>1.8181627301587299E-2</v>
      </c>
      <c r="Q70" s="92">
        <f t="shared" si="64"/>
        <v>1.8181627301587299E-2</v>
      </c>
      <c r="R70" s="92">
        <f t="shared" si="65"/>
        <v>1.1272608926984125</v>
      </c>
      <c r="S70" s="140">
        <f>AVERAGE(R68:R70)</f>
        <v>1.1429448096296293</v>
      </c>
      <c r="T70" s="92">
        <f>STDEV(R68:R70)</f>
        <v>2.1442508813090962E-2</v>
      </c>
      <c r="U70" s="141">
        <f>T70/SQRT(3)</f>
        <v>1.237983823533899E-2</v>
      </c>
      <c r="Z70" s="82"/>
      <c r="AA70" s="82"/>
    </row>
    <row r="71" spans="2:29" x14ac:dyDescent="0.15">
      <c r="B71" s="260" t="s">
        <v>33</v>
      </c>
      <c r="C71" s="258">
        <v>0.46249999999999997</v>
      </c>
      <c r="D71" s="256">
        <f>11+8/60+12+48+24+D68</f>
        <v>240.25</v>
      </c>
      <c r="E71" s="244">
        <v>11</v>
      </c>
      <c r="F71" s="80" t="s">
        <v>107</v>
      </c>
      <c r="G71" s="273">
        <v>7.0000000000000007E-2</v>
      </c>
      <c r="H71" s="81">
        <f>0.777-G71</f>
        <v>0.70700000000000007</v>
      </c>
      <c r="I71" s="82">
        <f>0.806-G71</f>
        <v>0.73599999999999999</v>
      </c>
      <c r="J71" s="82">
        <f>0.811-G71</f>
        <v>0.7410000000000001</v>
      </c>
      <c r="K71" s="82">
        <f>5.1752*H71</f>
        <v>3.6588664000000004</v>
      </c>
      <c r="L71" s="82">
        <f t="shared" ref="L71:M73" si="77">5.1752*I71</f>
        <v>3.8089472</v>
      </c>
      <c r="M71" s="82">
        <f t="shared" si="77"/>
        <v>3.8348232000000007</v>
      </c>
      <c r="N71" s="82">
        <f t="shared" si="72"/>
        <v>3.7675456000000005</v>
      </c>
      <c r="O71" s="82">
        <f>N71/20</f>
        <v>0.18837728000000004</v>
      </c>
      <c r="P71" s="82">
        <f t="shared" si="63"/>
        <v>1.3455520000000002E-2</v>
      </c>
      <c r="Q71" s="82">
        <f t="shared" si="64"/>
        <v>1.3455520000000002E-2</v>
      </c>
      <c r="R71" s="82">
        <f t="shared" si="65"/>
        <v>0.83424224000000013</v>
      </c>
      <c r="S71" s="134"/>
      <c r="T71" s="56"/>
      <c r="U71" s="79"/>
      <c r="Z71" s="82"/>
      <c r="AA71" s="82"/>
    </row>
    <row r="72" spans="2:29" x14ac:dyDescent="0.15">
      <c r="B72" s="260"/>
      <c r="C72" s="258"/>
      <c r="D72" s="256"/>
      <c r="E72" s="244"/>
      <c r="F72" s="80" t="s">
        <v>108</v>
      </c>
      <c r="G72" s="273"/>
      <c r="H72" s="81">
        <f>0.77-G71</f>
        <v>0.7</v>
      </c>
      <c r="I72" s="82">
        <f>0.822-G71</f>
        <v>0.752</v>
      </c>
      <c r="J72" s="82">
        <f>0.809-G71</f>
        <v>0.7390000000000001</v>
      </c>
      <c r="K72" s="105">
        <f t="shared" ref="K72:K73" si="78">5.1752*H72</f>
        <v>3.6226400000000001</v>
      </c>
      <c r="L72" s="105">
        <f t="shared" si="77"/>
        <v>3.8917504000000003</v>
      </c>
      <c r="M72" s="105">
        <f t="shared" si="77"/>
        <v>3.8244728000000006</v>
      </c>
      <c r="N72" s="82">
        <f t="shared" si="72"/>
        <v>3.779621066666667</v>
      </c>
      <c r="O72" s="82">
        <f t="shared" ref="O72:O73" si="79">N72/20</f>
        <v>0.18898105333333334</v>
      </c>
      <c r="P72" s="82">
        <f t="shared" si="63"/>
        <v>1.3498646666666668E-2</v>
      </c>
      <c r="Q72" s="82">
        <f t="shared" si="64"/>
        <v>1.3498646666666668E-2</v>
      </c>
      <c r="R72" s="82">
        <f t="shared" si="65"/>
        <v>0.83691609333333339</v>
      </c>
      <c r="S72" s="134"/>
      <c r="T72" s="56"/>
      <c r="U72" s="79"/>
      <c r="Z72" s="82"/>
      <c r="AA72" s="82"/>
    </row>
    <row r="73" spans="2:29" x14ac:dyDescent="0.15">
      <c r="B73" s="260"/>
      <c r="C73" s="258"/>
      <c r="D73" s="256"/>
      <c r="E73" s="244"/>
      <c r="F73" s="80" t="s">
        <v>109</v>
      </c>
      <c r="G73" s="273"/>
      <c r="H73" s="81">
        <f>0.754-G71</f>
        <v>0.68399999999999994</v>
      </c>
      <c r="I73" s="82">
        <f>0.785-G71</f>
        <v>0.71500000000000008</v>
      </c>
      <c r="J73" s="82">
        <f>0.799-G71</f>
        <v>0.72900000000000009</v>
      </c>
      <c r="K73" s="105">
        <f t="shared" si="78"/>
        <v>3.5398367999999998</v>
      </c>
      <c r="L73" s="105">
        <f t="shared" si="77"/>
        <v>3.7002680000000008</v>
      </c>
      <c r="M73" s="105">
        <f t="shared" si="77"/>
        <v>3.7727208000000005</v>
      </c>
      <c r="N73" s="82">
        <f t="shared" si="72"/>
        <v>3.6709418666666669</v>
      </c>
      <c r="O73" s="82">
        <f t="shared" si="79"/>
        <v>0.18354709333333336</v>
      </c>
      <c r="P73" s="82">
        <f t="shared" si="63"/>
        <v>1.3110506666666669E-2</v>
      </c>
      <c r="Q73" s="82">
        <f t="shared" si="64"/>
        <v>1.3110506666666669E-2</v>
      </c>
      <c r="R73" s="82">
        <f t="shared" si="65"/>
        <v>0.81285141333333344</v>
      </c>
      <c r="S73" s="136">
        <f>AVERAGE(R71:R73)</f>
        <v>0.82800324888888899</v>
      </c>
      <c r="T73" s="82">
        <f>STDEV(R71:R73)</f>
        <v>1.3189805284347161E-2</v>
      </c>
      <c r="U73" s="137">
        <f>T73/SQRT(2)</f>
        <v>9.3266007590920349E-3</v>
      </c>
      <c r="Z73" s="82"/>
      <c r="AA73" s="82"/>
    </row>
    <row r="74" spans="2:29" x14ac:dyDescent="0.15">
      <c r="B74" s="262" t="s">
        <v>34</v>
      </c>
      <c r="C74" s="266">
        <v>0.50694444444444442</v>
      </c>
      <c r="D74" s="264">
        <f>1+4/60+48+D71</f>
        <v>289.31666666666666</v>
      </c>
      <c r="E74" s="243">
        <v>13</v>
      </c>
      <c r="F74" s="133" t="s">
        <v>107</v>
      </c>
      <c r="G74" s="271">
        <v>7.3999999999999996E-2</v>
      </c>
      <c r="H74" s="104">
        <f>0.65-G74</f>
        <v>0.57600000000000007</v>
      </c>
      <c r="I74" s="105">
        <f>0.659-G74</f>
        <v>0.58500000000000008</v>
      </c>
      <c r="J74" s="105">
        <f>0.691-G74</f>
        <v>0.61699999999999999</v>
      </c>
      <c r="K74" s="105">
        <f>5.3597*H74</f>
        <v>3.0871872000000002</v>
      </c>
      <c r="L74" s="105">
        <f t="shared" ref="L74:M76" si="80">5.3597*I74</f>
        <v>3.1354245000000005</v>
      </c>
      <c r="M74" s="105">
        <f t="shared" si="80"/>
        <v>3.3069348999999999</v>
      </c>
      <c r="N74" s="105">
        <f t="shared" si="72"/>
        <v>3.1765155333333333</v>
      </c>
      <c r="O74" s="105">
        <f>N74/20</f>
        <v>0.15882577666666667</v>
      </c>
      <c r="P74" s="105">
        <f t="shared" si="63"/>
        <v>1.1344698333333333E-2</v>
      </c>
      <c r="Q74" s="105">
        <f t="shared" si="64"/>
        <v>1.1344698333333333E-2</v>
      </c>
      <c r="R74" s="105">
        <f t="shared" si="65"/>
        <v>0.70337129666666665</v>
      </c>
      <c r="S74" s="138"/>
      <c r="T74" s="105"/>
      <c r="U74" s="139"/>
      <c r="Z74" s="82"/>
      <c r="AA74" s="82"/>
    </row>
    <row r="75" spans="2:29" x14ac:dyDescent="0.15">
      <c r="B75" s="260"/>
      <c r="C75" s="258"/>
      <c r="D75" s="256"/>
      <c r="E75" s="244"/>
      <c r="F75" s="80" t="s">
        <v>108</v>
      </c>
      <c r="G75" s="269"/>
      <c r="H75" s="81">
        <f>0.654-G74</f>
        <v>0.58000000000000007</v>
      </c>
      <c r="I75" s="82">
        <f>0.672-G74</f>
        <v>0.59800000000000009</v>
      </c>
      <c r="J75" s="82">
        <f>0.672-G74</f>
        <v>0.59800000000000009</v>
      </c>
      <c r="K75" s="105">
        <f t="shared" ref="K75:K76" si="81">5.3597*H75</f>
        <v>3.1086260000000006</v>
      </c>
      <c r="L75" s="105">
        <f t="shared" si="80"/>
        <v>3.2051006000000006</v>
      </c>
      <c r="M75" s="105">
        <f t="shared" si="80"/>
        <v>3.2051006000000006</v>
      </c>
      <c r="N75" s="82">
        <f t="shared" si="72"/>
        <v>3.1729424000000002</v>
      </c>
      <c r="O75" s="105">
        <f t="shared" ref="O75:O76" si="82">N75/20</f>
        <v>0.15864712</v>
      </c>
      <c r="P75" s="82">
        <f t="shared" si="63"/>
        <v>1.1331937142857143E-2</v>
      </c>
      <c r="Q75" s="82">
        <f t="shared" si="64"/>
        <v>1.1331937142857143E-2</v>
      </c>
      <c r="R75" s="82">
        <f t="shared" si="65"/>
        <v>0.7025801028571429</v>
      </c>
      <c r="S75" s="136"/>
      <c r="T75" s="82"/>
      <c r="U75" s="137"/>
      <c r="Z75" s="82"/>
      <c r="AA75" s="82"/>
    </row>
    <row r="76" spans="2:29" x14ac:dyDescent="0.15">
      <c r="B76" s="263"/>
      <c r="C76" s="267"/>
      <c r="D76" s="265"/>
      <c r="E76" s="245"/>
      <c r="F76" s="90" t="s">
        <v>109</v>
      </c>
      <c r="G76" s="272"/>
      <c r="H76" s="91">
        <f>0.599-G74</f>
        <v>0.52500000000000002</v>
      </c>
      <c r="I76" s="92">
        <f>0.598-G74</f>
        <v>0.52400000000000002</v>
      </c>
      <c r="J76" s="92">
        <f>0.613-G74</f>
        <v>0.53900000000000003</v>
      </c>
      <c r="K76" s="185">
        <f t="shared" si="81"/>
        <v>2.8138425000000002</v>
      </c>
      <c r="L76" s="185">
        <f t="shared" si="80"/>
        <v>2.8084828000000002</v>
      </c>
      <c r="M76" s="185">
        <f t="shared" si="80"/>
        <v>2.8888783000000005</v>
      </c>
      <c r="N76" s="92">
        <f t="shared" si="72"/>
        <v>2.8370678666666667</v>
      </c>
      <c r="O76" s="185">
        <f t="shared" si="82"/>
        <v>0.14185339333333333</v>
      </c>
      <c r="P76" s="92">
        <f t="shared" si="63"/>
        <v>1.0132385238095237E-2</v>
      </c>
      <c r="Q76" s="92">
        <f t="shared" si="64"/>
        <v>1.0132385238095237E-2</v>
      </c>
      <c r="R76" s="92">
        <f t="shared" si="65"/>
        <v>0.6282078847619047</v>
      </c>
      <c r="S76" s="140">
        <f>AVERAGE(R74:R76)</f>
        <v>0.67805309476190478</v>
      </c>
      <c r="T76" s="92">
        <f>STDEV(R74:R76)</f>
        <v>4.316903076128923E-2</v>
      </c>
      <c r="U76" s="141">
        <f>T76/SQRT(2)</f>
        <v>3.0525114388558282E-2</v>
      </c>
      <c r="Z76" s="82"/>
      <c r="AA76" s="82"/>
    </row>
    <row r="77" spans="2:29" x14ac:dyDescent="0.15">
      <c r="B77" s="262" t="s">
        <v>36</v>
      </c>
      <c r="C77" s="266">
        <v>0.47569444444444442</v>
      </c>
      <c r="D77" s="264">
        <f>11+15/60+12+24+D74</f>
        <v>336.56666666666666</v>
      </c>
      <c r="E77" s="243">
        <v>15</v>
      </c>
      <c r="F77" s="133" t="s">
        <v>107</v>
      </c>
      <c r="G77" s="271">
        <v>8.5666666666666669E-2</v>
      </c>
      <c r="H77" s="104">
        <f>0.652-G77</f>
        <v>0.56633333333333336</v>
      </c>
      <c r="I77" s="105">
        <f>0.656-G77</f>
        <v>0.57033333333333336</v>
      </c>
      <c r="J77" s="105">
        <f>0.669-G77</f>
        <v>0.58333333333333337</v>
      </c>
      <c r="K77" s="105">
        <f>5.2847*H77</f>
        <v>2.9929017666666669</v>
      </c>
      <c r="L77" s="105">
        <f t="shared" ref="L77:M79" si="83">5.2847*I77</f>
        <v>3.014040566666667</v>
      </c>
      <c r="M77" s="105">
        <f t="shared" si="83"/>
        <v>3.0827416666666667</v>
      </c>
      <c r="N77" s="105">
        <f t="shared" si="72"/>
        <v>3.0298946666666668</v>
      </c>
      <c r="O77" s="105">
        <f>N77/20</f>
        <v>0.15149473333333335</v>
      </c>
      <c r="P77" s="105">
        <f t="shared" si="63"/>
        <v>1.0821052380952382E-2</v>
      </c>
      <c r="Q77" s="105">
        <f t="shared" si="64"/>
        <v>1.0821052380952382E-2</v>
      </c>
      <c r="R77" s="105">
        <f t="shared" si="65"/>
        <v>0.67090524761904768</v>
      </c>
      <c r="S77" s="138"/>
      <c r="T77" s="105"/>
      <c r="U77" s="139"/>
      <c r="Z77" s="82"/>
      <c r="AA77" s="82"/>
    </row>
    <row r="78" spans="2:29" x14ac:dyDescent="0.15">
      <c r="B78" s="260"/>
      <c r="C78" s="258"/>
      <c r="D78" s="256"/>
      <c r="E78" s="244"/>
      <c r="F78" s="80" t="s">
        <v>108</v>
      </c>
      <c r="G78" s="269"/>
      <c r="H78" s="81">
        <f>0.598-G77</f>
        <v>0.51233333333333331</v>
      </c>
      <c r="I78" s="82">
        <f>0.591-G77</f>
        <v>0.5053333333333333</v>
      </c>
      <c r="J78" s="82">
        <f>0.604-G77</f>
        <v>0.51833333333333331</v>
      </c>
      <c r="K78" s="105">
        <f t="shared" ref="K78:K79" si="84">5.2847*H78</f>
        <v>2.7075279666666665</v>
      </c>
      <c r="L78" s="105">
        <f t="shared" si="83"/>
        <v>2.6705350666666665</v>
      </c>
      <c r="M78" s="105">
        <f t="shared" si="83"/>
        <v>2.7392361666666667</v>
      </c>
      <c r="N78" s="82">
        <f t="shared" si="72"/>
        <v>2.7057663999999999</v>
      </c>
      <c r="O78" s="105">
        <f t="shared" ref="O78:O79" si="85">N78/20</f>
        <v>0.13528831999999999</v>
      </c>
      <c r="P78" s="82">
        <f t="shared" si="63"/>
        <v>9.6634514285714283E-3</v>
      </c>
      <c r="Q78" s="82">
        <f t="shared" si="64"/>
        <v>9.6634514285714283E-3</v>
      </c>
      <c r="R78" s="82">
        <f t="shared" si="65"/>
        <v>0.59913398857142852</v>
      </c>
      <c r="S78" s="136"/>
      <c r="T78" s="82"/>
      <c r="U78" s="137"/>
      <c r="Z78" s="82"/>
      <c r="AA78" s="82"/>
    </row>
    <row r="79" spans="2:29" x14ac:dyDescent="0.15">
      <c r="B79" s="263"/>
      <c r="C79" s="267"/>
      <c r="D79" s="265"/>
      <c r="E79" s="245"/>
      <c r="F79" s="90" t="s">
        <v>109</v>
      </c>
      <c r="G79" s="272"/>
      <c r="H79" s="91">
        <f>0.592-G77</f>
        <v>0.5063333333333333</v>
      </c>
      <c r="I79" s="92">
        <f>0.573-G77</f>
        <v>0.48733333333333329</v>
      </c>
      <c r="J79" s="92">
        <f>0.594-G77</f>
        <v>0.5083333333333333</v>
      </c>
      <c r="K79" s="185">
        <f t="shared" si="84"/>
        <v>2.6758197666666663</v>
      </c>
      <c r="L79" s="185">
        <f t="shared" si="83"/>
        <v>2.5754104666666664</v>
      </c>
      <c r="M79" s="185">
        <f t="shared" si="83"/>
        <v>2.6863891666666664</v>
      </c>
      <c r="N79" s="92">
        <f t="shared" si="72"/>
        <v>2.6458731333333332</v>
      </c>
      <c r="O79" s="185">
        <f t="shared" si="85"/>
        <v>0.13229365666666665</v>
      </c>
      <c r="P79" s="92">
        <f t="shared" si="63"/>
        <v>9.4495469047619039E-3</v>
      </c>
      <c r="Q79" s="92">
        <f t="shared" si="64"/>
        <v>9.4495469047619039E-3</v>
      </c>
      <c r="R79" s="92">
        <f t="shared" si="65"/>
        <v>0.58587190809523804</v>
      </c>
      <c r="S79" s="140">
        <f>AVERAGE(R77:R79)</f>
        <v>0.61863704809523812</v>
      </c>
      <c r="T79" s="92">
        <f>STDEV(R77:R79)</f>
        <v>4.5748707148233335E-2</v>
      </c>
      <c r="U79" s="141">
        <f>T79/SQRT(3)</f>
        <v>2.6413028387109874E-2</v>
      </c>
    </row>
    <row r="80" spans="2:29" x14ac:dyDescent="0.15">
      <c r="B80" s="260" t="s">
        <v>38</v>
      </c>
      <c r="C80" s="258">
        <v>0.48958333333333331</v>
      </c>
      <c r="D80" s="256">
        <f>20/60+48+D77</f>
        <v>384.9</v>
      </c>
      <c r="E80" s="244">
        <v>17</v>
      </c>
      <c r="F80" s="80" t="s">
        <v>107</v>
      </c>
      <c r="G80" s="269">
        <v>8.2666666666666666E-2</v>
      </c>
      <c r="H80" s="81">
        <f>0.566-G80</f>
        <v>0.48333333333333328</v>
      </c>
      <c r="I80" s="82">
        <f>0.571-G80</f>
        <v>0.48833333333333329</v>
      </c>
      <c r="J80" s="82">
        <f>0.561-G80</f>
        <v>0.47833333333333339</v>
      </c>
      <c r="K80" s="82">
        <f>5.2525*H80</f>
        <v>2.5387083333333331</v>
      </c>
      <c r="L80" s="82">
        <f t="shared" ref="L80:M82" si="86">5.2525*I80</f>
        <v>2.5649708333333332</v>
      </c>
      <c r="M80" s="82">
        <f t="shared" si="86"/>
        <v>2.5124458333333339</v>
      </c>
      <c r="N80" s="82">
        <f t="shared" si="72"/>
        <v>2.5387083333333336</v>
      </c>
      <c r="O80" s="82">
        <f>N80/20</f>
        <v>0.12693541666666669</v>
      </c>
      <c r="P80" s="82">
        <f t="shared" si="63"/>
        <v>9.0668154761904783E-3</v>
      </c>
      <c r="Q80" s="82">
        <f t="shared" si="64"/>
        <v>9.0668154761904783E-3</v>
      </c>
      <c r="R80" s="82">
        <f t="shared" si="65"/>
        <v>0.56214255952380965</v>
      </c>
      <c r="S80" s="134"/>
      <c r="T80" s="56"/>
      <c r="U80" s="79"/>
    </row>
    <row r="81" spans="2:25" x14ac:dyDescent="0.15">
      <c r="B81" s="260"/>
      <c r="C81" s="258"/>
      <c r="D81" s="256"/>
      <c r="E81" s="244"/>
      <c r="F81" s="80" t="s">
        <v>108</v>
      </c>
      <c r="G81" s="269"/>
      <c r="H81" s="81">
        <f>0.496-G80</f>
        <v>0.41333333333333333</v>
      </c>
      <c r="I81" s="82">
        <f>0.521-G80</f>
        <v>0.43833333333333335</v>
      </c>
      <c r="J81" s="82">
        <f>0.501-G80</f>
        <v>0.41833333333333333</v>
      </c>
      <c r="K81" s="105">
        <f t="shared" ref="K81:K82" si="87">5.2525*H81</f>
        <v>2.1710333333333334</v>
      </c>
      <c r="L81" s="105">
        <f t="shared" si="86"/>
        <v>2.3023458333333338</v>
      </c>
      <c r="M81" s="105">
        <f t="shared" si="86"/>
        <v>2.1972958333333334</v>
      </c>
      <c r="N81" s="82">
        <f t="shared" si="72"/>
        <v>2.2235583333333335</v>
      </c>
      <c r="O81" s="105">
        <f t="shared" ref="O81:O82" si="88">N81/20</f>
        <v>0.11117791666666668</v>
      </c>
      <c r="P81" s="82">
        <f t="shared" si="63"/>
        <v>7.9412797619047622E-3</v>
      </c>
      <c r="Q81" s="82">
        <f t="shared" si="64"/>
        <v>7.9412797619047622E-3</v>
      </c>
      <c r="R81" s="82">
        <f t="shared" si="65"/>
        <v>0.49235934523809527</v>
      </c>
      <c r="S81" s="134"/>
      <c r="T81" s="56"/>
      <c r="U81" s="79"/>
    </row>
    <row r="82" spans="2:25" ht="14" thickBot="1" x14ac:dyDescent="0.2">
      <c r="B82" s="261"/>
      <c r="C82" s="259"/>
      <c r="D82" s="257"/>
      <c r="E82" s="268"/>
      <c r="F82" s="80" t="s">
        <v>109</v>
      </c>
      <c r="G82" s="270"/>
      <c r="H82" s="81">
        <f>0.494-G80</f>
        <v>0.41133333333333333</v>
      </c>
      <c r="I82" s="82">
        <f>0.485-G80</f>
        <v>0.40233333333333332</v>
      </c>
      <c r="J82" s="82">
        <f>0.494-G80</f>
        <v>0.41133333333333333</v>
      </c>
      <c r="K82" s="105">
        <f t="shared" si="87"/>
        <v>2.1605283333333336</v>
      </c>
      <c r="L82" s="105">
        <f t="shared" si="86"/>
        <v>2.1132558333333336</v>
      </c>
      <c r="M82" s="105">
        <f t="shared" si="86"/>
        <v>2.1605283333333336</v>
      </c>
      <c r="N82" s="82">
        <f t="shared" si="72"/>
        <v>2.1447708333333337</v>
      </c>
      <c r="O82" s="105">
        <f t="shared" si="88"/>
        <v>0.10723854166666669</v>
      </c>
      <c r="P82" s="82">
        <f t="shared" si="63"/>
        <v>7.6598958333333345E-3</v>
      </c>
      <c r="Q82" s="82">
        <f t="shared" si="64"/>
        <v>7.6598958333333345E-3</v>
      </c>
      <c r="R82" s="82">
        <f t="shared" si="65"/>
        <v>0.47491354166666672</v>
      </c>
      <c r="S82" s="140">
        <f>AVERAGE(R80:R82)</f>
        <v>0.50980514880952388</v>
      </c>
      <c r="T82" s="82">
        <f>STDEV(R80:R82)</f>
        <v>4.6157257671682508E-2</v>
      </c>
      <c r="U82" s="137">
        <f>T82/SQRT(3)</f>
        <v>2.6648905141800818E-2</v>
      </c>
    </row>
    <row r="83" spans="2:25" ht="17" thickBot="1" x14ac:dyDescent="0.2">
      <c r="B83" s="249" t="s">
        <v>73</v>
      </c>
      <c r="C83" s="250"/>
      <c r="D83" s="250"/>
      <c r="E83" s="250"/>
      <c r="F83" s="250"/>
      <c r="G83" s="250"/>
      <c r="H83" s="250"/>
      <c r="I83" s="250"/>
      <c r="J83" s="250"/>
      <c r="K83" s="250"/>
      <c r="L83" s="250"/>
      <c r="M83" s="250"/>
      <c r="N83" s="250"/>
      <c r="O83" s="250"/>
      <c r="P83" s="250"/>
      <c r="Q83" s="250"/>
      <c r="R83" s="250"/>
      <c r="S83" s="250"/>
      <c r="T83" s="250"/>
      <c r="U83" s="251"/>
    </row>
    <row r="84" spans="2:25" ht="30" x14ac:dyDescent="0.15">
      <c r="B84" s="124" t="s">
        <v>0</v>
      </c>
      <c r="C84" s="66" t="s">
        <v>1</v>
      </c>
      <c r="D84" s="66" t="s">
        <v>2</v>
      </c>
      <c r="E84" s="125" t="s">
        <v>17</v>
      </c>
      <c r="F84" s="126"/>
      <c r="G84" s="126" t="s">
        <v>18</v>
      </c>
      <c r="H84" s="253" t="s">
        <v>130</v>
      </c>
      <c r="I84" s="254"/>
      <c r="J84" s="254"/>
      <c r="K84" s="255" t="s">
        <v>116</v>
      </c>
      <c r="L84" s="255"/>
      <c r="M84" s="255"/>
      <c r="N84" s="66" t="s">
        <v>19</v>
      </c>
      <c r="O84" s="66" t="s">
        <v>20</v>
      </c>
      <c r="P84" s="66" t="s">
        <v>20</v>
      </c>
      <c r="Q84" s="66" t="s">
        <v>114</v>
      </c>
      <c r="R84" s="125" t="s">
        <v>114</v>
      </c>
      <c r="S84" s="66" t="s">
        <v>115</v>
      </c>
      <c r="T84" s="66" t="s">
        <v>97</v>
      </c>
      <c r="U84" s="127" t="s">
        <v>62</v>
      </c>
      <c r="W84" s="56" t="s">
        <v>2</v>
      </c>
      <c r="X84" s="77" t="str">
        <f>S84</f>
        <v>Average NO3 concentration</v>
      </c>
      <c r="Y84" s="77" t="str">
        <f>U84</f>
        <v>Standard error</v>
      </c>
    </row>
    <row r="85" spans="2:25" x14ac:dyDescent="0.15">
      <c r="B85" s="129"/>
      <c r="C85" s="130"/>
      <c r="D85" s="131"/>
      <c r="E85" s="131"/>
      <c r="F85" s="132"/>
      <c r="G85" s="132"/>
      <c r="H85" s="189" t="s">
        <v>102</v>
      </c>
      <c r="I85" s="189" t="s">
        <v>103</v>
      </c>
      <c r="J85" s="189" t="s">
        <v>131</v>
      </c>
      <c r="K85" s="74"/>
      <c r="L85" s="74"/>
      <c r="M85" s="74"/>
      <c r="N85" s="74" t="s">
        <v>21</v>
      </c>
      <c r="O85" s="74" t="s">
        <v>15</v>
      </c>
      <c r="P85" s="74" t="s">
        <v>22</v>
      </c>
      <c r="Q85" s="74" t="s">
        <v>22</v>
      </c>
      <c r="R85" s="70" t="s">
        <v>15</v>
      </c>
      <c r="S85" s="74" t="s">
        <v>15</v>
      </c>
      <c r="T85" s="74"/>
      <c r="U85" s="76"/>
      <c r="W85" s="87">
        <v>0</v>
      </c>
      <c r="X85" s="82">
        <f>S88</f>
        <v>1.5726820445714287</v>
      </c>
      <c r="Y85" s="82">
        <f>U88</f>
        <v>2.5017975329529697E-2</v>
      </c>
    </row>
    <row r="86" spans="2:25" x14ac:dyDescent="0.15">
      <c r="B86" s="260" t="s">
        <v>23</v>
      </c>
      <c r="C86" s="258">
        <v>0.45208333333333334</v>
      </c>
      <c r="D86" s="256">
        <v>0</v>
      </c>
      <c r="E86" s="244">
        <v>1</v>
      </c>
      <c r="F86" s="80" t="s">
        <v>107</v>
      </c>
      <c r="G86" s="269">
        <v>7.3333333333333348E-2</v>
      </c>
      <c r="H86" s="182">
        <f>1.245-G86</f>
        <v>1.1716666666666669</v>
      </c>
      <c r="I86" s="183">
        <f>1.242-G86</f>
        <v>1.1686666666666667</v>
      </c>
      <c r="J86" s="183">
        <f>1.1932-G86</f>
        <v>1.1198666666666668</v>
      </c>
      <c r="K86" s="82">
        <f>3.0288*H86</f>
        <v>3.5487440000000006</v>
      </c>
      <c r="L86" s="82">
        <f t="shared" ref="L86:L88" si="89">3.0288*I86</f>
        <v>3.5396576</v>
      </c>
      <c r="M86" s="82">
        <f t="shared" ref="M86:M88" si="90">3.0288*J86</f>
        <v>3.3918521600000004</v>
      </c>
      <c r="N86" s="82">
        <f>AVERAGE(K86:M86)</f>
        <v>3.4934179200000006</v>
      </c>
      <c r="O86" s="82">
        <f>N86/10</f>
        <v>0.34934179200000004</v>
      </c>
      <c r="P86" s="82">
        <f>O86/14</f>
        <v>2.4952985142857147E-2</v>
      </c>
      <c r="Q86" s="82">
        <f>P86</f>
        <v>2.4952985142857147E-2</v>
      </c>
      <c r="R86" s="82">
        <f>Q86*62</f>
        <v>1.5470850788571431</v>
      </c>
      <c r="S86" s="134"/>
      <c r="T86" s="56"/>
      <c r="U86" s="79"/>
      <c r="W86" s="87">
        <f>D89</f>
        <v>47.766666666666666</v>
      </c>
      <c r="X86" s="82">
        <f>S91</f>
        <v>1.5774871661111109</v>
      </c>
      <c r="Y86" s="82">
        <f>U91</f>
        <v>2.334599883278117E-2</v>
      </c>
    </row>
    <row r="87" spans="2:25" x14ac:dyDescent="0.15">
      <c r="B87" s="260"/>
      <c r="C87" s="258"/>
      <c r="D87" s="256"/>
      <c r="E87" s="244"/>
      <c r="F87" s="80" t="s">
        <v>108</v>
      </c>
      <c r="G87" s="269"/>
      <c r="H87" s="81">
        <f>1.1875-G86</f>
        <v>1.1141666666666667</v>
      </c>
      <c r="I87" s="82">
        <f>1.09865-G86</f>
        <v>1.0253166666666667</v>
      </c>
      <c r="J87" s="82">
        <f>1.5632-G86</f>
        <v>1.4898666666666667</v>
      </c>
      <c r="K87" s="82">
        <f t="shared" ref="K87:K88" si="91">3.0288*H87</f>
        <v>3.3745880000000001</v>
      </c>
      <c r="L87" s="82">
        <f t="shared" si="89"/>
        <v>3.10547912</v>
      </c>
      <c r="M87" s="82">
        <f t="shared" si="90"/>
        <v>4.5125081600000003</v>
      </c>
      <c r="N87" s="82">
        <f>AVERAGE(K87:M87)</f>
        <v>3.66419176</v>
      </c>
      <c r="O87" s="82">
        <f t="shared" ref="O87:O88" si="92">N87/10</f>
        <v>0.36641917600000001</v>
      </c>
      <c r="P87" s="82">
        <f t="shared" ref="P87:P109" si="93">O87/14</f>
        <v>2.6172798285714286E-2</v>
      </c>
      <c r="Q87" s="82">
        <f t="shared" ref="Q87:Q109" si="94">P87</f>
        <v>2.6172798285714286E-2</v>
      </c>
      <c r="R87" s="82">
        <f t="shared" ref="R87:R109" si="95">Q87*62</f>
        <v>1.6227134937142857</v>
      </c>
      <c r="S87" s="134"/>
      <c r="T87" s="56"/>
      <c r="U87" s="79"/>
      <c r="W87" s="87">
        <f>D92</f>
        <v>95.383333333333326</v>
      </c>
      <c r="X87" s="82">
        <f>S94</f>
        <v>1.2745629677777777</v>
      </c>
      <c r="Y87" s="82">
        <f>U94</f>
        <v>3.4731374252074954E-2</v>
      </c>
    </row>
    <row r="88" spans="2:25" x14ac:dyDescent="0.15">
      <c r="B88" s="260"/>
      <c r="C88" s="258"/>
      <c r="D88" s="256"/>
      <c r="E88" s="244"/>
      <c r="F88" s="80" t="s">
        <v>109</v>
      </c>
      <c r="G88" s="269"/>
      <c r="H88" s="81">
        <f>1.2743-G86</f>
        <v>1.2009666666666667</v>
      </c>
      <c r="I88" s="82">
        <f>1.1975-G86</f>
        <v>1.1241666666666668</v>
      </c>
      <c r="J88" s="82">
        <f>1.211-G86</f>
        <v>1.1376666666666668</v>
      </c>
      <c r="K88" s="82">
        <f t="shared" si="91"/>
        <v>3.6374878400000004</v>
      </c>
      <c r="L88" s="82">
        <f t="shared" si="89"/>
        <v>3.4048760000000002</v>
      </c>
      <c r="M88" s="82">
        <f t="shared" si="90"/>
        <v>3.4457648000000005</v>
      </c>
      <c r="N88" s="82">
        <f>AVERAGE(K88:M88)</f>
        <v>3.4960428800000005</v>
      </c>
      <c r="O88" s="82">
        <f t="shared" si="92"/>
        <v>0.34960428800000004</v>
      </c>
      <c r="P88" s="82">
        <f t="shared" si="93"/>
        <v>2.4971734857142859E-2</v>
      </c>
      <c r="Q88" s="82">
        <f t="shared" si="94"/>
        <v>2.4971734857142859E-2</v>
      </c>
      <c r="R88" s="82">
        <f t="shared" si="95"/>
        <v>1.5482475611428572</v>
      </c>
      <c r="S88" s="136">
        <f>AVERAGE(R86:R88)</f>
        <v>1.5726820445714287</v>
      </c>
      <c r="T88" s="82">
        <f>STDEV(R86:R88)</f>
        <v>4.3332404373250158E-2</v>
      </c>
      <c r="U88" s="137">
        <f>T88/SQRT(3)</f>
        <v>2.5017975329529697E-2</v>
      </c>
      <c r="W88" s="87">
        <f>D95</f>
        <v>145.11666666666667</v>
      </c>
      <c r="X88" s="82">
        <f>S97</f>
        <v>1.1325806501587301</v>
      </c>
      <c r="Y88" s="82">
        <f>U97</f>
        <v>8.8802365472396682E-3</v>
      </c>
    </row>
    <row r="89" spans="2:25" x14ac:dyDescent="0.15">
      <c r="B89" s="262" t="s">
        <v>25</v>
      </c>
      <c r="C89" s="266">
        <v>0.44236111111111115</v>
      </c>
      <c r="D89" s="264">
        <f>11+46/60+12+24</f>
        <v>47.766666666666666</v>
      </c>
      <c r="E89" s="243">
        <v>3</v>
      </c>
      <c r="F89" s="133" t="s">
        <v>107</v>
      </c>
      <c r="G89" s="271">
        <v>7.5999999999999998E-2</v>
      </c>
      <c r="H89" s="104">
        <f>1.0543-G89</f>
        <v>0.97830000000000006</v>
      </c>
      <c r="I89" s="105">
        <f>1.432-G89</f>
        <v>1.3559999999999999</v>
      </c>
      <c r="J89" s="105">
        <f>1.392-G89</f>
        <v>1.3159999999999998</v>
      </c>
      <c r="K89" s="105">
        <f>3.0065*H89</f>
        <v>2.9412589499999999</v>
      </c>
      <c r="L89" s="105">
        <f t="shared" ref="L89:L91" si="96">3.0065*I89</f>
        <v>4.0768139999999997</v>
      </c>
      <c r="M89" s="105">
        <f t="shared" ref="M89:M91" si="97">3.0065*J89</f>
        <v>3.9565539999999992</v>
      </c>
      <c r="N89" s="105">
        <f t="shared" ref="N89:N109" si="98">AVERAGE(K89:M89)</f>
        <v>3.6582089833333331</v>
      </c>
      <c r="O89" s="105">
        <f>N89/10</f>
        <v>0.36582089833333331</v>
      </c>
      <c r="P89" s="105">
        <f t="shared" si="93"/>
        <v>2.6130064166666665E-2</v>
      </c>
      <c r="Q89" s="105">
        <f t="shared" si="94"/>
        <v>2.6130064166666665E-2</v>
      </c>
      <c r="R89" s="105">
        <f t="shared" si="95"/>
        <v>1.6200639783333333</v>
      </c>
      <c r="S89" s="138"/>
      <c r="T89" s="105"/>
      <c r="U89" s="139"/>
      <c r="W89" s="87">
        <f>D98</f>
        <v>240.25</v>
      </c>
      <c r="X89" s="82">
        <f>S100</f>
        <v>0.82917097952380947</v>
      </c>
      <c r="Y89" s="82">
        <f>U100</f>
        <v>4.7500546784271028E-3</v>
      </c>
    </row>
    <row r="90" spans="2:25" ht="15" customHeight="1" x14ac:dyDescent="0.15">
      <c r="B90" s="260"/>
      <c r="C90" s="258"/>
      <c r="D90" s="256"/>
      <c r="E90" s="244"/>
      <c r="F90" s="80" t="s">
        <v>108</v>
      </c>
      <c r="G90" s="269"/>
      <c r="H90" s="81">
        <f>1.0328-G89</f>
        <v>0.95679999999999998</v>
      </c>
      <c r="I90" s="82">
        <f>1.521-G89</f>
        <v>1.4449999999999998</v>
      </c>
      <c r="J90" s="82">
        <f>1.218-G89</f>
        <v>1.1419999999999999</v>
      </c>
      <c r="K90" s="82">
        <f t="shared" ref="K90:K91" si="99">3.0065*H90</f>
        <v>2.8766191999999999</v>
      </c>
      <c r="L90" s="82">
        <f t="shared" si="96"/>
        <v>4.3443924999999997</v>
      </c>
      <c r="M90" s="82">
        <f t="shared" si="97"/>
        <v>3.4334229999999994</v>
      </c>
      <c r="N90" s="82">
        <f t="shared" si="98"/>
        <v>3.551478233333333</v>
      </c>
      <c r="O90" s="82">
        <f t="shared" ref="O90:O91" si="100">N90/10</f>
        <v>0.35514782333333328</v>
      </c>
      <c r="P90" s="82">
        <f t="shared" si="93"/>
        <v>2.5367701666666662E-2</v>
      </c>
      <c r="Q90" s="82">
        <f t="shared" si="94"/>
        <v>2.5367701666666662E-2</v>
      </c>
      <c r="R90" s="82">
        <f t="shared" si="95"/>
        <v>1.572797503333333</v>
      </c>
      <c r="S90" s="136"/>
      <c r="T90" s="82"/>
      <c r="U90" s="137"/>
      <c r="W90" s="87">
        <f>D101</f>
        <v>289.31666666666666</v>
      </c>
      <c r="X90" s="82">
        <f>S103</f>
        <v>0.67149071214285716</v>
      </c>
      <c r="Y90" s="82">
        <f>U103</f>
        <v>4.0333978383419872E-2</v>
      </c>
    </row>
    <row r="91" spans="2:25" ht="15" customHeight="1" x14ac:dyDescent="0.15">
      <c r="B91" s="263"/>
      <c r="C91" s="267"/>
      <c r="D91" s="265"/>
      <c r="E91" s="245"/>
      <c r="F91" s="90" t="s">
        <v>109</v>
      </c>
      <c r="G91" s="272"/>
      <c r="H91" s="91">
        <f>1.054-G89</f>
        <v>0.97800000000000009</v>
      </c>
      <c r="I91" s="92">
        <f>1.421-G89</f>
        <v>1.345</v>
      </c>
      <c r="J91" s="92">
        <f>1.222-G89</f>
        <v>1.1459999999999999</v>
      </c>
      <c r="K91" s="92">
        <f t="shared" si="99"/>
        <v>2.9403570000000001</v>
      </c>
      <c r="L91" s="92">
        <f t="shared" si="96"/>
        <v>4.0437424999999996</v>
      </c>
      <c r="M91" s="92">
        <f t="shared" si="97"/>
        <v>3.4454489999999995</v>
      </c>
      <c r="N91" s="92">
        <f t="shared" si="98"/>
        <v>3.4765161666666664</v>
      </c>
      <c r="O91" s="92">
        <f t="shared" si="100"/>
        <v>0.34765161666666666</v>
      </c>
      <c r="P91" s="92">
        <f t="shared" si="93"/>
        <v>2.4832258333333333E-2</v>
      </c>
      <c r="Q91" s="92">
        <f t="shared" si="94"/>
        <v>2.4832258333333333E-2</v>
      </c>
      <c r="R91" s="92">
        <f t="shared" si="95"/>
        <v>1.5396000166666666</v>
      </c>
      <c r="S91" s="140">
        <f>AVERAGE(R89:R91)</f>
        <v>1.5774871661111109</v>
      </c>
      <c r="T91" s="92">
        <f>STDEV(R89:R91)</f>
        <v>4.0436456131820689E-2</v>
      </c>
      <c r="U91" s="141">
        <f>T91/SQRT(3)</f>
        <v>2.334599883278117E-2</v>
      </c>
      <c r="W91" s="87">
        <f>D104</f>
        <v>336.56666666666666</v>
      </c>
      <c r="X91" s="82">
        <f>S106</f>
        <v>0.57196700571428583</v>
      </c>
      <c r="Y91" s="82">
        <f>U106</f>
        <v>1.3043794226882019E-2</v>
      </c>
    </row>
    <row r="92" spans="2:25" x14ac:dyDescent="0.15">
      <c r="B92" s="260" t="s">
        <v>27</v>
      </c>
      <c r="C92" s="258">
        <v>0.42638888888888887</v>
      </c>
      <c r="D92" s="256">
        <f>11+37/60+12+24+D89</f>
        <v>95.383333333333326</v>
      </c>
      <c r="E92" s="244">
        <v>5</v>
      </c>
      <c r="F92" s="80" t="s">
        <v>107</v>
      </c>
      <c r="G92" s="269">
        <v>6.9500000000000006E-2</v>
      </c>
      <c r="H92" s="81">
        <f>1.374-G92</f>
        <v>1.3045</v>
      </c>
      <c r="I92" s="82">
        <f>1.412-G92</f>
        <v>1.3424999999999998</v>
      </c>
      <c r="J92" s="82">
        <f>1.354-G92</f>
        <v>1.2845</v>
      </c>
      <c r="K92" s="82">
        <f>3.1773*H92</f>
        <v>4.1447878499999993</v>
      </c>
      <c r="L92" s="82">
        <f t="shared" ref="L92:L94" si="101">3.1773*I92</f>
        <v>4.2655252499999987</v>
      </c>
      <c r="M92" s="82">
        <f t="shared" ref="M92:M94" si="102">3.1773*J92</f>
        <v>4.0812418499999996</v>
      </c>
      <c r="N92" s="82">
        <f t="shared" si="98"/>
        <v>4.1638516499999989</v>
      </c>
      <c r="O92" s="82">
        <f>N92/15</f>
        <v>0.27759010999999995</v>
      </c>
      <c r="P92" s="82">
        <f t="shared" si="93"/>
        <v>1.9827864999999997E-2</v>
      </c>
      <c r="Q92" s="82">
        <f t="shared" si="94"/>
        <v>1.9827864999999997E-2</v>
      </c>
      <c r="R92" s="82">
        <f t="shared" si="95"/>
        <v>1.2293276299999998</v>
      </c>
      <c r="S92" s="136"/>
      <c r="T92" s="82"/>
      <c r="U92" s="137"/>
      <c r="W92" s="87">
        <f>D107</f>
        <v>384.9</v>
      </c>
      <c r="X92" s="82">
        <f>S109</f>
        <v>0.42927730992063484</v>
      </c>
      <c r="Y92" s="82">
        <f>U109</f>
        <v>1.9822599738744371E-2</v>
      </c>
    </row>
    <row r="93" spans="2:25" x14ac:dyDescent="0.15">
      <c r="B93" s="260"/>
      <c r="C93" s="258"/>
      <c r="D93" s="256"/>
      <c r="E93" s="244"/>
      <c r="F93" s="80" t="s">
        <v>108</v>
      </c>
      <c r="G93" s="269"/>
      <c r="H93" s="81">
        <f>1.491-G92</f>
        <v>1.4215</v>
      </c>
      <c r="I93" s="82">
        <f>1.292-G92</f>
        <v>1.2225000000000001</v>
      </c>
      <c r="J93" s="82">
        <f>1.428-G92</f>
        <v>1.3584999999999998</v>
      </c>
      <c r="K93" s="82">
        <f t="shared" ref="K93:K94" si="103">3.1773*H93</f>
        <v>4.5165319500000001</v>
      </c>
      <c r="L93" s="82">
        <f t="shared" si="101"/>
        <v>3.8842492500000003</v>
      </c>
      <c r="M93" s="82">
        <f t="shared" si="102"/>
        <v>4.3163620499999995</v>
      </c>
      <c r="N93" s="82">
        <f t="shared" si="98"/>
        <v>4.2390477500000001</v>
      </c>
      <c r="O93" s="82">
        <f t="shared" ref="O93:O94" si="104">N93/15</f>
        <v>0.28260318333333334</v>
      </c>
      <c r="P93" s="82">
        <f t="shared" si="93"/>
        <v>2.0185941666666669E-2</v>
      </c>
      <c r="Q93" s="82">
        <f t="shared" si="94"/>
        <v>2.0185941666666669E-2</v>
      </c>
      <c r="R93" s="82">
        <f t="shared" si="95"/>
        <v>1.2515283833333335</v>
      </c>
      <c r="S93" s="136"/>
      <c r="T93" s="82"/>
      <c r="U93" s="137"/>
    </row>
    <row r="94" spans="2:25" x14ac:dyDescent="0.15">
      <c r="B94" s="260"/>
      <c r="C94" s="258"/>
      <c r="D94" s="256"/>
      <c r="E94" s="244"/>
      <c r="F94" s="80" t="s">
        <v>109</v>
      </c>
      <c r="G94" s="269"/>
      <c r="H94" s="81">
        <f>1.644-G92</f>
        <v>1.5745</v>
      </c>
      <c r="I94" s="82">
        <f>1.464-G92</f>
        <v>1.3944999999999999</v>
      </c>
      <c r="J94" s="82">
        <f>1.395-G92</f>
        <v>1.3254999999999999</v>
      </c>
      <c r="K94" s="82">
        <f t="shared" si="103"/>
        <v>5.0026588499999995</v>
      </c>
      <c r="L94" s="82">
        <f t="shared" si="101"/>
        <v>4.4307448499999991</v>
      </c>
      <c r="M94" s="82">
        <f t="shared" si="102"/>
        <v>4.2115111499999998</v>
      </c>
      <c r="N94" s="82">
        <f t="shared" si="98"/>
        <v>4.5483049499999995</v>
      </c>
      <c r="O94" s="82">
        <f t="shared" si="104"/>
        <v>0.30322032999999998</v>
      </c>
      <c r="P94" s="82">
        <f t="shared" si="93"/>
        <v>2.1658594999999999E-2</v>
      </c>
      <c r="Q94" s="82">
        <f t="shared" si="94"/>
        <v>2.1658594999999999E-2</v>
      </c>
      <c r="R94" s="82">
        <f t="shared" si="95"/>
        <v>1.3428328899999999</v>
      </c>
      <c r="S94" s="136">
        <f>AVERAGE(R92:R94)</f>
        <v>1.2745629677777777</v>
      </c>
      <c r="T94" s="82">
        <f>STDEV(R92:R94)</f>
        <v>6.0156504821283326E-2</v>
      </c>
      <c r="U94" s="137">
        <f>T94/SQRT(3)</f>
        <v>3.4731374252074954E-2</v>
      </c>
    </row>
    <row r="95" spans="2:25" x14ac:dyDescent="0.15">
      <c r="B95" s="262" t="s">
        <v>29</v>
      </c>
      <c r="C95" s="266">
        <v>0.49861111111111112</v>
      </c>
      <c r="D95" s="264">
        <f>1+44/60+48+D92</f>
        <v>145.11666666666667</v>
      </c>
      <c r="E95" s="243">
        <v>7</v>
      </c>
      <c r="F95" s="133" t="s">
        <v>107</v>
      </c>
      <c r="G95" s="271">
        <v>6.8000000000000005E-2</v>
      </c>
      <c r="H95" s="104">
        <f>1.374-G95</f>
        <v>1.306</v>
      </c>
      <c r="I95" s="105">
        <f>1.212-G95</f>
        <v>1.1439999999999999</v>
      </c>
      <c r="J95" s="105">
        <f>1.254-G95</f>
        <v>1.1859999999999999</v>
      </c>
      <c r="K95" s="105">
        <f>3.1582*H95</f>
        <v>4.1246092000000001</v>
      </c>
      <c r="L95" s="105">
        <f t="shared" ref="L95:L97" si="105">3.1582*I95</f>
        <v>3.6129807999999994</v>
      </c>
      <c r="M95" s="105">
        <f t="shared" ref="M95:M97" si="106">3.1582*J95</f>
        <v>3.7456251999999997</v>
      </c>
      <c r="N95" s="105">
        <f t="shared" si="98"/>
        <v>3.8277383999999994</v>
      </c>
      <c r="O95" s="105">
        <f>N95/15</f>
        <v>0.25518255999999995</v>
      </c>
      <c r="P95" s="105">
        <f t="shared" si="93"/>
        <v>1.822732571428571E-2</v>
      </c>
      <c r="Q95" s="105">
        <f t="shared" si="94"/>
        <v>1.822732571428571E-2</v>
      </c>
      <c r="R95" s="105">
        <f t="shared" si="95"/>
        <v>1.1300941942857139</v>
      </c>
      <c r="S95" s="142"/>
      <c r="T95" s="112"/>
      <c r="U95" s="101"/>
    </row>
    <row r="96" spans="2:25" x14ac:dyDescent="0.15">
      <c r="B96" s="260"/>
      <c r="C96" s="258"/>
      <c r="D96" s="256"/>
      <c r="E96" s="244"/>
      <c r="F96" s="80" t="s">
        <v>108</v>
      </c>
      <c r="G96" s="269"/>
      <c r="H96" s="81">
        <f>1.241-G95</f>
        <v>1.173</v>
      </c>
      <c r="I96" s="82">
        <f>1.332-G95</f>
        <v>1.264</v>
      </c>
      <c r="J96" s="82">
        <f>1.328-G95</f>
        <v>1.26</v>
      </c>
      <c r="K96" s="82">
        <f t="shared" ref="K96:K97" si="107">3.1582*H96</f>
        <v>3.7045686</v>
      </c>
      <c r="L96" s="82">
        <f t="shared" si="105"/>
        <v>3.9919647999999999</v>
      </c>
      <c r="M96" s="82">
        <f t="shared" si="106"/>
        <v>3.9793319999999999</v>
      </c>
      <c r="N96" s="82">
        <f t="shared" si="98"/>
        <v>3.8919551333333331</v>
      </c>
      <c r="O96" s="82">
        <f t="shared" ref="O96:O97" si="108">N96/15</f>
        <v>0.25946367555555555</v>
      </c>
      <c r="P96" s="82">
        <f t="shared" si="93"/>
        <v>1.8533119682539682E-2</v>
      </c>
      <c r="Q96" s="82">
        <f t="shared" si="94"/>
        <v>1.8533119682539682E-2</v>
      </c>
      <c r="R96" s="82">
        <f t="shared" si="95"/>
        <v>1.1490534203174603</v>
      </c>
      <c r="S96" s="134"/>
      <c r="T96" s="56"/>
      <c r="U96" s="79"/>
    </row>
    <row r="97" spans="1:21" x14ac:dyDescent="0.15">
      <c r="B97" s="263"/>
      <c r="C97" s="267"/>
      <c r="D97" s="265"/>
      <c r="E97" s="245"/>
      <c r="F97" s="90" t="s">
        <v>109</v>
      </c>
      <c r="G97" s="272"/>
      <c r="H97" s="91">
        <f>1.244-G95</f>
        <v>1.1759999999999999</v>
      </c>
      <c r="I97" s="92">
        <f>1.264-G95</f>
        <v>1.196</v>
      </c>
      <c r="J97" s="92">
        <f>1.295-G95</f>
        <v>1.2269999999999999</v>
      </c>
      <c r="K97" s="92">
        <f t="shared" si="107"/>
        <v>3.7140431999999999</v>
      </c>
      <c r="L97" s="92">
        <f t="shared" si="105"/>
        <v>3.7772071999999999</v>
      </c>
      <c r="M97" s="92">
        <f t="shared" si="106"/>
        <v>3.8751113999999993</v>
      </c>
      <c r="N97" s="92">
        <f t="shared" si="98"/>
        <v>3.7887872666666667</v>
      </c>
      <c r="O97" s="92">
        <f t="shared" si="108"/>
        <v>0.25258581777777778</v>
      </c>
      <c r="P97" s="92">
        <f t="shared" si="93"/>
        <v>1.8041844126984126E-2</v>
      </c>
      <c r="Q97" s="92">
        <f t="shared" si="94"/>
        <v>1.8041844126984126E-2</v>
      </c>
      <c r="R97" s="92">
        <f t="shared" si="95"/>
        <v>1.1185943358730157</v>
      </c>
      <c r="S97" s="140">
        <f>AVERAGE(R95:R97)</f>
        <v>1.1325806501587301</v>
      </c>
      <c r="T97" s="92">
        <f>STDEV(R95:R97)</f>
        <v>1.5381020883049124E-2</v>
      </c>
      <c r="U97" s="141">
        <f>T97/SQRT(3)</f>
        <v>8.8802365472396682E-3</v>
      </c>
    </row>
    <row r="98" spans="1:21" x14ac:dyDescent="0.15">
      <c r="B98" s="260" t="s">
        <v>33</v>
      </c>
      <c r="C98" s="258">
        <v>0.46249999999999997</v>
      </c>
      <c r="D98" s="256">
        <f>11+8/60+12+48+24+D95</f>
        <v>240.25</v>
      </c>
      <c r="E98" s="244">
        <v>11</v>
      </c>
      <c r="F98" s="80" t="s">
        <v>107</v>
      </c>
      <c r="G98" s="273">
        <v>7.0000000000000007E-2</v>
      </c>
      <c r="H98" s="81">
        <f>1.374-G98</f>
        <v>1.304</v>
      </c>
      <c r="I98" s="82">
        <f>1.212-G98</f>
        <v>1.1419999999999999</v>
      </c>
      <c r="J98" s="82">
        <f>1.254-G98</f>
        <v>1.1839999999999999</v>
      </c>
      <c r="K98" s="82">
        <f>3.0993*H98</f>
        <v>4.0414871999999997</v>
      </c>
      <c r="L98" s="82">
        <f t="shared" ref="L98:L100" si="109">3.0993*I98</f>
        <v>3.5394005999999996</v>
      </c>
      <c r="M98" s="82">
        <f t="shared" ref="M98:M100" si="110">3.0993*J98</f>
        <v>3.6695711999999996</v>
      </c>
      <c r="N98" s="82">
        <f t="shared" si="98"/>
        <v>3.7501529999999996</v>
      </c>
      <c r="O98" s="82">
        <f>N98/20</f>
        <v>0.18750764999999997</v>
      </c>
      <c r="P98" s="82">
        <f t="shared" si="93"/>
        <v>1.3393403571428569E-2</v>
      </c>
      <c r="Q98" s="82">
        <f t="shared" si="94"/>
        <v>1.3393403571428569E-2</v>
      </c>
      <c r="R98" s="82">
        <f t="shared" si="95"/>
        <v>0.83039102142857124</v>
      </c>
      <c r="S98" s="134"/>
      <c r="T98" s="56"/>
      <c r="U98" s="79"/>
    </row>
    <row r="99" spans="1:21" x14ac:dyDescent="0.15">
      <c r="B99" s="260"/>
      <c r="C99" s="258"/>
      <c r="D99" s="256"/>
      <c r="E99" s="244"/>
      <c r="F99" s="80" t="s">
        <v>108</v>
      </c>
      <c r="G99" s="273"/>
      <c r="H99" s="81">
        <f>1.201-G98</f>
        <v>1.131</v>
      </c>
      <c r="I99" s="82">
        <f>1.332-G98</f>
        <v>1.262</v>
      </c>
      <c r="J99" s="82">
        <f>1.328-G98</f>
        <v>1.258</v>
      </c>
      <c r="K99" s="82">
        <f t="shared" ref="K99:K100" si="111">3.0993*H99</f>
        <v>3.5053082999999998</v>
      </c>
      <c r="L99" s="82">
        <f t="shared" si="109"/>
        <v>3.9113166000000001</v>
      </c>
      <c r="M99" s="82">
        <f t="shared" si="110"/>
        <v>3.8989194</v>
      </c>
      <c r="N99" s="82">
        <f t="shared" si="98"/>
        <v>3.7718481000000001</v>
      </c>
      <c r="O99" s="82">
        <f t="shared" ref="O99:O100" si="112">N99/20</f>
        <v>0.18859240500000002</v>
      </c>
      <c r="P99" s="82">
        <f t="shared" si="93"/>
        <v>1.3470886071428573E-2</v>
      </c>
      <c r="Q99" s="82">
        <f t="shared" si="94"/>
        <v>1.3470886071428573E-2</v>
      </c>
      <c r="R99" s="82">
        <f t="shared" si="95"/>
        <v>0.83519493642857157</v>
      </c>
      <c r="S99" s="134"/>
      <c r="T99" s="56"/>
      <c r="U99" s="79"/>
    </row>
    <row r="100" spans="1:21" x14ac:dyDescent="0.15">
      <c r="B100" s="260"/>
      <c r="C100" s="258"/>
      <c r="D100" s="256"/>
      <c r="E100" s="244"/>
      <c r="F100" s="80" t="s">
        <v>109</v>
      </c>
      <c r="G100" s="273"/>
      <c r="H100" s="81">
        <f>1.244-G98</f>
        <v>1.1739999999999999</v>
      </c>
      <c r="I100" s="82">
        <f>1.264-G98</f>
        <v>1.194</v>
      </c>
      <c r="J100" s="82">
        <f>1.295-G98</f>
        <v>1.2249999999999999</v>
      </c>
      <c r="K100" s="82">
        <f t="shared" si="111"/>
        <v>3.6385781999999995</v>
      </c>
      <c r="L100" s="82">
        <f t="shared" si="109"/>
        <v>3.7005641999999996</v>
      </c>
      <c r="M100" s="82">
        <f t="shared" si="110"/>
        <v>3.7966424999999995</v>
      </c>
      <c r="N100" s="82">
        <f t="shared" si="98"/>
        <v>3.7119282999999998</v>
      </c>
      <c r="O100" s="82">
        <f t="shared" si="112"/>
        <v>0.18559641499999999</v>
      </c>
      <c r="P100" s="82">
        <f t="shared" si="93"/>
        <v>1.3256886785714284E-2</v>
      </c>
      <c r="Q100" s="82">
        <f t="shared" si="94"/>
        <v>1.3256886785714284E-2</v>
      </c>
      <c r="R100" s="82">
        <f t="shared" si="95"/>
        <v>0.8219269807142856</v>
      </c>
      <c r="S100" s="136">
        <f>AVERAGE(R98:R100)</f>
        <v>0.82917097952380947</v>
      </c>
      <c r="T100" s="82">
        <f>STDEV(R98:R100)</f>
        <v>6.7175917482453799E-3</v>
      </c>
      <c r="U100" s="137">
        <f>T100/SQRT(2)</f>
        <v>4.7500546784271028E-3</v>
      </c>
    </row>
    <row r="101" spans="1:21" x14ac:dyDescent="0.15">
      <c r="B101" s="262" t="s">
        <v>34</v>
      </c>
      <c r="C101" s="266">
        <v>0.50694444444444442</v>
      </c>
      <c r="D101" s="264">
        <f>1+4/60+48+D98</f>
        <v>289.31666666666666</v>
      </c>
      <c r="E101" s="243">
        <v>13</v>
      </c>
      <c r="F101" s="133" t="s">
        <v>107</v>
      </c>
      <c r="G101" s="271">
        <v>7.3999999999999996E-2</v>
      </c>
      <c r="H101" s="104">
        <f>0.844-G101</f>
        <v>0.77</v>
      </c>
      <c r="I101" s="105">
        <f>1.198-G101</f>
        <v>1.1239999999999999</v>
      </c>
      <c r="J101" s="105">
        <f>1.112-G101</f>
        <v>1.038</v>
      </c>
      <c r="K101" s="105">
        <f>3.3959*H101</f>
        <v>2.614843</v>
      </c>
      <c r="L101" s="105">
        <f t="shared" ref="L101:L103" si="113">3.3959*I101</f>
        <v>3.8169915999999997</v>
      </c>
      <c r="M101" s="105">
        <f t="shared" ref="M101:M103" si="114">3.3959*J101</f>
        <v>3.5249442000000002</v>
      </c>
      <c r="N101" s="105">
        <f t="shared" si="98"/>
        <v>3.3189262666666668</v>
      </c>
      <c r="O101" s="105">
        <f>N101/20</f>
        <v>0.16594631333333335</v>
      </c>
      <c r="P101" s="105">
        <f t="shared" si="93"/>
        <v>1.1853308095238097E-2</v>
      </c>
      <c r="Q101" s="105">
        <f t="shared" si="94"/>
        <v>1.1853308095238097E-2</v>
      </c>
      <c r="R101" s="105">
        <f t="shared" si="95"/>
        <v>0.73490510190476199</v>
      </c>
      <c r="S101" s="138"/>
      <c r="T101" s="105"/>
      <c r="U101" s="139"/>
    </row>
    <row r="102" spans="1:21" x14ac:dyDescent="0.15">
      <c r="B102" s="260"/>
      <c r="C102" s="258"/>
      <c r="D102" s="256"/>
      <c r="E102" s="244"/>
      <c r="F102" s="80" t="s">
        <v>108</v>
      </c>
      <c r="G102" s="269"/>
      <c r="H102" s="81">
        <f>0.759-G101</f>
        <v>0.68500000000000005</v>
      </c>
      <c r="I102" s="82">
        <f>1.095-G101</f>
        <v>1.0209999999999999</v>
      </c>
      <c r="J102" s="82">
        <f>0.982-G101</f>
        <v>0.90800000000000003</v>
      </c>
      <c r="K102" s="82">
        <f t="shared" ref="K102:K103" si="115">3.3959*H102</f>
        <v>2.3261915000000002</v>
      </c>
      <c r="L102" s="82">
        <f t="shared" si="113"/>
        <v>3.4672139</v>
      </c>
      <c r="M102" s="82">
        <f t="shared" si="114"/>
        <v>3.0834772000000004</v>
      </c>
      <c r="N102" s="82">
        <f t="shared" si="98"/>
        <v>2.9589608666666667</v>
      </c>
      <c r="O102" s="105">
        <f t="shared" ref="O102:O103" si="116">N102/20</f>
        <v>0.14794804333333333</v>
      </c>
      <c r="P102" s="82">
        <f t="shared" si="93"/>
        <v>1.0567717380952382E-2</v>
      </c>
      <c r="Q102" s="82">
        <f t="shared" si="94"/>
        <v>1.0567717380952382E-2</v>
      </c>
      <c r="R102" s="82">
        <f t="shared" si="95"/>
        <v>0.6551984776190477</v>
      </c>
      <c r="S102" s="136"/>
      <c r="T102" s="82"/>
      <c r="U102" s="137"/>
    </row>
    <row r="103" spans="1:21" x14ac:dyDescent="0.15">
      <c r="B103" s="263"/>
      <c r="C103" s="267"/>
      <c r="D103" s="265"/>
      <c r="E103" s="245"/>
      <c r="F103" s="90" t="s">
        <v>109</v>
      </c>
      <c r="G103" s="272"/>
      <c r="H103" s="91">
        <f>0.799-G101</f>
        <v>0.72500000000000009</v>
      </c>
      <c r="I103" s="92">
        <f>1.021-G101</f>
        <v>0.94699999999999995</v>
      </c>
      <c r="J103" s="92">
        <f>0.893-G101</f>
        <v>0.81900000000000006</v>
      </c>
      <c r="K103" s="92">
        <f t="shared" si="115"/>
        <v>2.4620275000000005</v>
      </c>
      <c r="L103" s="92">
        <f t="shared" si="113"/>
        <v>3.2159173000000001</v>
      </c>
      <c r="M103" s="92">
        <f t="shared" si="114"/>
        <v>2.7812421000000005</v>
      </c>
      <c r="N103" s="92">
        <f t="shared" si="98"/>
        <v>2.8197289666666667</v>
      </c>
      <c r="O103" s="185">
        <f t="shared" si="116"/>
        <v>0.14098644833333335</v>
      </c>
      <c r="P103" s="92">
        <f t="shared" si="93"/>
        <v>1.0070460595238096E-2</v>
      </c>
      <c r="Q103" s="92">
        <f t="shared" si="94"/>
        <v>1.0070460595238096E-2</v>
      </c>
      <c r="R103" s="92">
        <f t="shared" si="95"/>
        <v>0.62436855690476201</v>
      </c>
      <c r="S103" s="140">
        <f>AVERAGE(R101:R103)</f>
        <v>0.67149071214285716</v>
      </c>
      <c r="T103" s="92">
        <f>STDEV(R101:R103)</f>
        <v>5.7040859254295632E-2</v>
      </c>
      <c r="U103" s="141">
        <f>T103/SQRT(2)</f>
        <v>4.0333978383419872E-2</v>
      </c>
    </row>
    <row r="104" spans="1:21" x14ac:dyDescent="0.15">
      <c r="B104" s="262" t="s">
        <v>36</v>
      </c>
      <c r="C104" s="266">
        <v>0.47569444444444442</v>
      </c>
      <c r="D104" s="264">
        <f>11+15/60+12+24+D101</f>
        <v>336.56666666666666</v>
      </c>
      <c r="E104" s="243">
        <v>15</v>
      </c>
      <c r="F104" s="133" t="s">
        <v>107</v>
      </c>
      <c r="G104" s="271">
        <v>8.5666666666666669E-2</v>
      </c>
      <c r="H104" s="104">
        <f>0.844-G104</f>
        <v>0.7583333333333333</v>
      </c>
      <c r="I104" s="105">
        <f>0.798-G104</f>
        <v>0.71233333333333337</v>
      </c>
      <c r="J104" s="105">
        <f>0.812-G104</f>
        <v>0.72633333333333339</v>
      </c>
      <c r="K104" s="105">
        <f>3.5976*H104</f>
        <v>2.7281799999999996</v>
      </c>
      <c r="L104" s="105">
        <f t="shared" ref="L104:L106" si="117">3.5976*I104</f>
        <v>2.5626904000000001</v>
      </c>
      <c r="M104" s="105">
        <f t="shared" ref="M104:M106" si="118">3.5976*J104</f>
        <v>2.6130568000000003</v>
      </c>
      <c r="N104" s="105">
        <f t="shared" si="98"/>
        <v>2.6346424000000002</v>
      </c>
      <c r="O104" s="105">
        <f>N104/20</f>
        <v>0.13173212000000001</v>
      </c>
      <c r="P104" s="105">
        <f t="shared" si="93"/>
        <v>9.4094371428571442E-3</v>
      </c>
      <c r="Q104" s="105">
        <f t="shared" si="94"/>
        <v>9.4094371428571442E-3</v>
      </c>
      <c r="R104" s="105">
        <f t="shared" si="95"/>
        <v>0.58338510285714296</v>
      </c>
      <c r="S104" s="138"/>
      <c r="T104" s="105"/>
      <c r="U104" s="139"/>
    </row>
    <row r="105" spans="1:21" x14ac:dyDescent="0.15">
      <c r="B105" s="260"/>
      <c r="C105" s="258"/>
      <c r="D105" s="256"/>
      <c r="E105" s="244"/>
      <c r="F105" s="80" t="s">
        <v>108</v>
      </c>
      <c r="G105" s="269"/>
      <c r="H105" s="81">
        <f>0.789-G104</f>
        <v>0.70333333333333337</v>
      </c>
      <c r="I105" s="82">
        <f>0.895-G104</f>
        <v>0.80933333333333335</v>
      </c>
      <c r="J105" s="82">
        <f>0.782-G104</f>
        <v>0.69633333333333336</v>
      </c>
      <c r="K105" s="82">
        <f t="shared" ref="K105:K106" si="119">3.5976*H105</f>
        <v>2.5303119999999999</v>
      </c>
      <c r="L105" s="82">
        <f t="shared" si="117"/>
        <v>2.9116575999999998</v>
      </c>
      <c r="M105" s="82">
        <f t="shared" si="118"/>
        <v>2.5051288</v>
      </c>
      <c r="N105" s="82">
        <f t="shared" si="98"/>
        <v>2.6490328000000001</v>
      </c>
      <c r="O105" s="105">
        <f t="shared" ref="O105:O106" si="120">N105/20</f>
        <v>0.13245164000000001</v>
      </c>
      <c r="P105" s="82">
        <f t="shared" si="93"/>
        <v>9.4608314285714295E-3</v>
      </c>
      <c r="Q105" s="82">
        <f t="shared" si="94"/>
        <v>9.4608314285714295E-3</v>
      </c>
      <c r="R105" s="82">
        <f t="shared" si="95"/>
        <v>0.58657154857142868</v>
      </c>
      <c r="S105" s="136"/>
      <c r="T105" s="82"/>
      <c r="U105" s="137"/>
    </row>
    <row r="106" spans="1:21" x14ac:dyDescent="0.15">
      <c r="B106" s="263"/>
      <c r="C106" s="267"/>
      <c r="D106" s="265"/>
      <c r="E106" s="245"/>
      <c r="F106" s="90" t="s">
        <v>109</v>
      </c>
      <c r="G106" s="272"/>
      <c r="H106" s="91">
        <f>0.799-G104</f>
        <v>0.71333333333333337</v>
      </c>
      <c r="I106" s="92">
        <f>0.721-G104</f>
        <v>0.63533333333333331</v>
      </c>
      <c r="J106" s="92">
        <f>0.793-G104</f>
        <v>0.70733333333333337</v>
      </c>
      <c r="K106" s="92">
        <f t="shared" si="119"/>
        <v>2.5662880000000001</v>
      </c>
      <c r="L106" s="92">
        <f t="shared" si="117"/>
        <v>2.2856752</v>
      </c>
      <c r="M106" s="92">
        <f t="shared" si="118"/>
        <v>2.5447024000000003</v>
      </c>
      <c r="N106" s="92">
        <f t="shared" si="98"/>
        <v>2.4655552000000003</v>
      </c>
      <c r="O106" s="185">
        <f t="shared" si="120"/>
        <v>0.12327776000000001</v>
      </c>
      <c r="P106" s="92">
        <f t="shared" si="93"/>
        <v>8.8055542857142875E-3</v>
      </c>
      <c r="Q106" s="92">
        <f t="shared" si="94"/>
        <v>8.8055542857142875E-3</v>
      </c>
      <c r="R106" s="92">
        <f t="shared" si="95"/>
        <v>0.54594436571428584</v>
      </c>
      <c r="S106" s="140">
        <f>AVERAGE(R104:R106)</f>
        <v>0.57196700571428583</v>
      </c>
      <c r="T106" s="92">
        <f>STDEV(R104:R106)</f>
        <v>2.2592514324433259E-2</v>
      </c>
      <c r="U106" s="141">
        <f>T106/SQRT(3)</f>
        <v>1.3043794226882019E-2</v>
      </c>
    </row>
    <row r="107" spans="1:21" x14ac:dyDescent="0.15">
      <c r="B107" s="260" t="s">
        <v>38</v>
      </c>
      <c r="C107" s="258">
        <v>0.48958333333333331</v>
      </c>
      <c r="D107" s="256">
        <f>20/60+48+D104</f>
        <v>384.9</v>
      </c>
      <c r="E107" s="244">
        <v>17</v>
      </c>
      <c r="F107" s="80" t="s">
        <v>107</v>
      </c>
      <c r="G107" s="269">
        <v>8.2666666666666666E-2</v>
      </c>
      <c r="H107" s="81">
        <f>0.644-G107</f>
        <v>0.56133333333333335</v>
      </c>
      <c r="I107" s="82">
        <f>0.598-G107</f>
        <v>0.51533333333333331</v>
      </c>
      <c r="J107" s="82">
        <f>0.612-G107</f>
        <v>0.52933333333333332</v>
      </c>
      <c r="K107" s="82">
        <f>3.9395*H107</f>
        <v>2.2113726666666667</v>
      </c>
      <c r="L107" s="82">
        <f t="shared" ref="L107:L109" si="121">3.9395*I107</f>
        <v>2.0301556666666665</v>
      </c>
      <c r="M107" s="82">
        <f t="shared" ref="M107:M109" si="122">3.9395*J107</f>
        <v>2.0853086666666667</v>
      </c>
      <c r="N107" s="82">
        <f t="shared" si="98"/>
        <v>2.1089456666666666</v>
      </c>
      <c r="O107" s="82">
        <f>N107/20</f>
        <v>0.10544728333333334</v>
      </c>
      <c r="P107" s="82">
        <f t="shared" si="93"/>
        <v>7.5319488095238101E-3</v>
      </c>
      <c r="Q107" s="82">
        <f t="shared" si="94"/>
        <v>7.5319488095238101E-3</v>
      </c>
      <c r="R107" s="82">
        <f t="shared" si="95"/>
        <v>0.46698082619047621</v>
      </c>
      <c r="S107" s="134"/>
      <c r="T107" s="56"/>
      <c r="U107" s="79"/>
    </row>
    <row r="108" spans="1:21" ht="15" customHeight="1" x14ac:dyDescent="0.15">
      <c r="B108" s="260"/>
      <c r="C108" s="258"/>
      <c r="D108" s="256"/>
      <c r="E108" s="244"/>
      <c r="F108" s="80" t="s">
        <v>108</v>
      </c>
      <c r="G108" s="269"/>
      <c r="H108" s="81">
        <f>0.589-G107</f>
        <v>0.5063333333333333</v>
      </c>
      <c r="I108" s="82">
        <f>0.605-G107</f>
        <v>0.52233333333333332</v>
      </c>
      <c r="J108" s="82">
        <f>0.502-G107</f>
        <v>0.41933333333333334</v>
      </c>
      <c r="K108" s="82">
        <f t="shared" ref="K108:K109" si="123">3.9395*H108</f>
        <v>1.9947001666666664</v>
      </c>
      <c r="L108" s="82">
        <f t="shared" si="121"/>
        <v>2.0577321666666664</v>
      </c>
      <c r="M108" s="82">
        <f t="shared" si="122"/>
        <v>1.6519636666666666</v>
      </c>
      <c r="N108" s="82">
        <f t="shared" si="98"/>
        <v>1.9014653333333331</v>
      </c>
      <c r="O108" s="105">
        <f t="shared" ref="O108:O109" si="124">N108/20</f>
        <v>9.5073266666666656E-2</v>
      </c>
      <c r="P108" s="82">
        <f t="shared" si="93"/>
        <v>6.7909476190476182E-3</v>
      </c>
      <c r="Q108" s="82">
        <f t="shared" si="94"/>
        <v>6.7909476190476182E-3</v>
      </c>
      <c r="R108" s="82">
        <f t="shared" si="95"/>
        <v>0.42103875238095234</v>
      </c>
      <c r="S108" s="134"/>
      <c r="T108" s="56"/>
      <c r="U108" s="79"/>
    </row>
    <row r="109" spans="1:21" ht="16" customHeight="1" thickBot="1" x14ac:dyDescent="0.2">
      <c r="A109" s="53"/>
      <c r="B109" s="261"/>
      <c r="C109" s="259"/>
      <c r="D109" s="257"/>
      <c r="E109" s="268"/>
      <c r="F109" s="121" t="s">
        <v>109</v>
      </c>
      <c r="G109" s="270"/>
      <c r="H109" s="143">
        <f>0.509-G107</f>
        <v>0.42633333333333334</v>
      </c>
      <c r="I109" s="114">
        <f>0.521-G107</f>
        <v>0.43833333333333335</v>
      </c>
      <c r="J109" s="114">
        <f>0.593-G107</f>
        <v>0.51033333333333331</v>
      </c>
      <c r="K109" s="114">
        <f t="shared" si="123"/>
        <v>1.6795401666666665</v>
      </c>
      <c r="L109" s="114">
        <f t="shared" si="121"/>
        <v>1.7268141666666665</v>
      </c>
      <c r="M109" s="114">
        <f t="shared" si="122"/>
        <v>2.0104581666666665</v>
      </c>
      <c r="N109" s="114">
        <f t="shared" si="98"/>
        <v>1.8056041666666662</v>
      </c>
      <c r="O109" s="184">
        <f t="shared" si="124"/>
        <v>9.0280208333333306E-2</v>
      </c>
      <c r="P109" s="114">
        <f t="shared" si="93"/>
        <v>6.4485863095238077E-3</v>
      </c>
      <c r="Q109" s="114">
        <f t="shared" si="94"/>
        <v>6.4485863095238077E-3</v>
      </c>
      <c r="R109" s="114">
        <f t="shared" si="95"/>
        <v>0.39981235119047609</v>
      </c>
      <c r="S109" s="144">
        <f>AVERAGE(R107:R109)</f>
        <v>0.42927730992063484</v>
      </c>
      <c r="T109" s="114">
        <f>STDEV(R107:R109)</f>
        <v>3.43337498856068E-2</v>
      </c>
      <c r="U109" s="145">
        <f>T109/SQRT(3)</f>
        <v>1.9822599738744371E-2</v>
      </c>
    </row>
    <row r="110" spans="1:21" x14ac:dyDescent="0.15"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</row>
    <row r="111" spans="1:21" x14ac:dyDescent="0.15"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</row>
    <row r="112" spans="1:21" x14ac:dyDescent="0.15"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</row>
    <row r="113" spans="2:21" x14ac:dyDescent="0.15"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</row>
    <row r="114" spans="2:21" x14ac:dyDescent="0.15"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</row>
    <row r="115" spans="2:21" x14ac:dyDescent="0.15"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</row>
    <row r="116" spans="2:21" x14ac:dyDescent="0.15"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</row>
    <row r="117" spans="2:21" x14ac:dyDescent="0.15"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</row>
    <row r="118" spans="2:21" x14ac:dyDescent="0.15"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</row>
    <row r="119" spans="2:21" x14ac:dyDescent="0.15"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</row>
    <row r="120" spans="2:21" x14ac:dyDescent="0.15"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</row>
    <row r="121" spans="2:21" x14ac:dyDescent="0.15"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</row>
    <row r="122" spans="2:21" x14ac:dyDescent="0.15"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</row>
    <row r="123" spans="2:21" x14ac:dyDescent="0.15"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</row>
    <row r="124" spans="2:21" x14ac:dyDescent="0.15"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</row>
    <row r="125" spans="2:21" x14ac:dyDescent="0.15"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</row>
    <row r="126" spans="2:21" x14ac:dyDescent="0.15"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</row>
    <row r="127" spans="2:21" x14ac:dyDescent="0.15"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</row>
    <row r="128" spans="2:21" x14ac:dyDescent="0.15"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</row>
    <row r="129" spans="2:21" x14ac:dyDescent="0.15"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</row>
    <row r="130" spans="2:21" x14ac:dyDescent="0.15"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</row>
    <row r="131" spans="2:21" x14ac:dyDescent="0.15"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</row>
    <row r="132" spans="2:21" x14ac:dyDescent="0.15"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</row>
    <row r="133" spans="2:21" x14ac:dyDescent="0.15"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</row>
    <row r="134" spans="2:21" x14ac:dyDescent="0.15"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</row>
    <row r="135" spans="2:21" x14ac:dyDescent="0.15"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</row>
    <row r="136" spans="2:21" x14ac:dyDescent="0.15"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</row>
    <row r="137" spans="2:21" x14ac:dyDescent="0.15"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</row>
    <row r="138" spans="2:21" x14ac:dyDescent="0.15"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</row>
    <row r="139" spans="2:21" x14ac:dyDescent="0.15"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</row>
    <row r="140" spans="2:21" x14ac:dyDescent="0.15"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</row>
    <row r="141" spans="2:21" x14ac:dyDescent="0.15"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</row>
    <row r="142" spans="2:21" x14ac:dyDescent="0.15"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</row>
    <row r="143" spans="2:21" x14ac:dyDescent="0.15"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</row>
    <row r="144" spans="2:21" x14ac:dyDescent="0.15"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</row>
    <row r="145" spans="2:21" x14ac:dyDescent="0.15"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</row>
    <row r="146" spans="2:21" x14ac:dyDescent="0.15"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</row>
    <row r="147" spans="2:21" x14ac:dyDescent="0.15"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</row>
    <row r="148" spans="2:21" x14ac:dyDescent="0.15"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</row>
    <row r="149" spans="2:21" x14ac:dyDescent="0.15"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</row>
    <row r="150" spans="2:21" x14ac:dyDescent="0.15"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</row>
    <row r="151" spans="2:21" x14ac:dyDescent="0.15"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</row>
    <row r="152" spans="2:21" x14ac:dyDescent="0.15"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</row>
    <row r="153" spans="2:21" x14ac:dyDescent="0.15"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</row>
    <row r="154" spans="2:21" x14ac:dyDescent="0.15"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</row>
    <row r="155" spans="2:21" x14ac:dyDescent="0.15"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</row>
    <row r="156" spans="2:21" x14ac:dyDescent="0.15"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</row>
    <row r="157" spans="2:21" x14ac:dyDescent="0.15"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</row>
    <row r="158" spans="2:21" x14ac:dyDescent="0.15"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</row>
    <row r="159" spans="2:21" x14ac:dyDescent="0.15"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</row>
    <row r="160" spans="2:21" x14ac:dyDescent="0.15"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</row>
    <row r="161" spans="2:21" x14ac:dyDescent="0.15"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</row>
    <row r="162" spans="2:21" x14ac:dyDescent="0.15"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</row>
    <row r="163" spans="2:21" x14ac:dyDescent="0.15"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</row>
    <row r="164" spans="2:21" x14ac:dyDescent="0.15"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</row>
    <row r="165" spans="2:21" x14ac:dyDescent="0.15"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</row>
    <row r="166" spans="2:21" x14ac:dyDescent="0.15"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</row>
    <row r="167" spans="2:21" x14ac:dyDescent="0.15"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</row>
    <row r="168" spans="2:21" x14ac:dyDescent="0.15"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</row>
    <row r="169" spans="2:21" x14ac:dyDescent="0.15"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</row>
    <row r="170" spans="2:21" x14ac:dyDescent="0.15"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</row>
    <row r="171" spans="2:21" x14ac:dyDescent="0.15"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</row>
    <row r="172" spans="2:21" x14ac:dyDescent="0.15"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</row>
    <row r="173" spans="2:21" x14ac:dyDescent="0.15"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</row>
    <row r="174" spans="2:21" x14ac:dyDescent="0.15"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</row>
    <row r="175" spans="2:21" x14ac:dyDescent="0.15"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</row>
    <row r="176" spans="2:21" x14ac:dyDescent="0.15"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</row>
    <row r="177" spans="2:21" x14ac:dyDescent="0.15"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</row>
    <row r="178" spans="2:21" x14ac:dyDescent="0.15"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</row>
    <row r="179" spans="2:21" x14ac:dyDescent="0.15"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</row>
    <row r="180" spans="2:21" x14ac:dyDescent="0.15"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</row>
    <row r="181" spans="2:21" x14ac:dyDescent="0.15"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</row>
    <row r="182" spans="2:21" x14ac:dyDescent="0.15"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</row>
    <row r="183" spans="2:21" x14ac:dyDescent="0.15"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</row>
    <row r="184" spans="2:21" x14ac:dyDescent="0.15"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</row>
    <row r="185" spans="2:21" x14ac:dyDescent="0.15"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</row>
    <row r="186" spans="2:21" x14ac:dyDescent="0.15"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</row>
    <row r="187" spans="2:21" x14ac:dyDescent="0.15"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</row>
    <row r="188" spans="2:21" x14ac:dyDescent="0.15"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</row>
    <row r="189" spans="2:21" x14ac:dyDescent="0.15"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</row>
    <row r="190" spans="2:21" x14ac:dyDescent="0.15"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</row>
    <row r="191" spans="2:21" x14ac:dyDescent="0.15"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</row>
    <row r="192" spans="2:21" x14ac:dyDescent="0.15"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</row>
    <row r="193" spans="2:21" x14ac:dyDescent="0.15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</row>
    <row r="194" spans="2:21" x14ac:dyDescent="0.15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</row>
    <row r="195" spans="2:21" x14ac:dyDescent="0.15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</row>
    <row r="196" spans="2:21" x14ac:dyDescent="0.15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</row>
    <row r="197" spans="2:21" x14ac:dyDescent="0.15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</row>
    <row r="198" spans="2:21" x14ac:dyDescent="0.15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</row>
    <row r="199" spans="2:21" x14ac:dyDescent="0.15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</row>
    <row r="200" spans="2:21" x14ac:dyDescent="0.15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</row>
    <row r="201" spans="2:21" x14ac:dyDescent="0.15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</row>
    <row r="202" spans="2:21" x14ac:dyDescent="0.15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</row>
    <row r="203" spans="2:21" x14ac:dyDescent="0.15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</row>
    <row r="204" spans="2:21" x14ac:dyDescent="0.15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</row>
    <row r="205" spans="2:21" x14ac:dyDescent="0.15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</row>
    <row r="206" spans="2:21" x14ac:dyDescent="0.15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</row>
    <row r="207" spans="2:21" x14ac:dyDescent="0.15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</row>
    <row r="208" spans="2:21" x14ac:dyDescent="0.15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</row>
    <row r="209" spans="2:21" x14ac:dyDescent="0.15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</row>
    <row r="210" spans="2:21" x14ac:dyDescent="0.15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</row>
    <row r="211" spans="2:21" x14ac:dyDescent="0.15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</row>
    <row r="212" spans="2:21" x14ac:dyDescent="0.15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</row>
    <row r="213" spans="2:21" x14ac:dyDescent="0.15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</row>
    <row r="214" spans="2:21" x14ac:dyDescent="0.15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</row>
    <row r="215" spans="2:21" x14ac:dyDescent="0.15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</row>
    <row r="216" spans="2:21" x14ac:dyDescent="0.15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</row>
    <row r="217" spans="2:21" x14ac:dyDescent="0.15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</row>
    <row r="218" spans="2:21" x14ac:dyDescent="0.15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</row>
    <row r="219" spans="2:21" x14ac:dyDescent="0.15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</row>
    <row r="220" spans="2:21" x14ac:dyDescent="0.15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</row>
    <row r="221" spans="2:21" x14ac:dyDescent="0.15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</row>
    <row r="222" spans="2:21" x14ac:dyDescent="0.15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</row>
    <row r="223" spans="2:21" x14ac:dyDescent="0.15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</row>
    <row r="224" spans="2:21" x14ac:dyDescent="0.15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</row>
    <row r="225" spans="2:21" x14ac:dyDescent="0.15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</row>
    <row r="226" spans="2:21" x14ac:dyDescent="0.15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</row>
    <row r="227" spans="2:21" x14ac:dyDescent="0.15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</row>
    <row r="228" spans="2:21" x14ac:dyDescent="0.15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</row>
    <row r="229" spans="2:21" x14ac:dyDescent="0.15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</row>
    <row r="230" spans="2:21" x14ac:dyDescent="0.15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</row>
    <row r="231" spans="2:21" x14ac:dyDescent="0.15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</row>
    <row r="232" spans="2:21" x14ac:dyDescent="0.15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</row>
    <row r="233" spans="2:21" x14ac:dyDescent="0.15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</row>
    <row r="234" spans="2:21" x14ac:dyDescent="0.15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</row>
    <row r="235" spans="2:21" x14ac:dyDescent="0.15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</row>
    <row r="236" spans="2:21" x14ac:dyDescent="0.15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</row>
    <row r="237" spans="2:21" x14ac:dyDescent="0.15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</row>
    <row r="238" spans="2:21" x14ac:dyDescent="0.15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</row>
    <row r="239" spans="2:21" x14ac:dyDescent="0.15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</row>
    <row r="240" spans="2:21" x14ac:dyDescent="0.15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</row>
    <row r="241" spans="2:21" x14ac:dyDescent="0.15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</row>
    <row r="242" spans="2:21" x14ac:dyDescent="0.15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</row>
    <row r="243" spans="2:21" x14ac:dyDescent="0.15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</row>
    <row r="244" spans="2:21" x14ac:dyDescent="0.15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</row>
    <row r="245" spans="2:21" x14ac:dyDescent="0.15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</row>
    <row r="246" spans="2:21" x14ac:dyDescent="0.15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</row>
    <row r="247" spans="2:21" x14ac:dyDescent="0.15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</row>
    <row r="248" spans="2:21" x14ac:dyDescent="0.15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</row>
    <row r="249" spans="2:21" x14ac:dyDescent="0.15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</row>
    <row r="250" spans="2:21" x14ac:dyDescent="0.15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</row>
    <row r="251" spans="2:21" x14ac:dyDescent="0.15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</row>
    <row r="252" spans="2:21" x14ac:dyDescent="0.15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</row>
    <row r="253" spans="2:21" x14ac:dyDescent="0.15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</row>
    <row r="254" spans="2:21" x14ac:dyDescent="0.15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</row>
    <row r="255" spans="2:21" x14ac:dyDescent="0.15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</row>
    <row r="256" spans="2:21" x14ac:dyDescent="0.15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</row>
    <row r="257" spans="2:21" x14ac:dyDescent="0.15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</row>
    <row r="258" spans="2:21" x14ac:dyDescent="0.15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</row>
    <row r="259" spans="2:21" x14ac:dyDescent="0.15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</row>
    <row r="260" spans="2:21" x14ac:dyDescent="0.15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</row>
    <row r="261" spans="2:21" x14ac:dyDescent="0.15"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</row>
    <row r="262" spans="2:21" x14ac:dyDescent="0.15"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</row>
    <row r="263" spans="2:21" x14ac:dyDescent="0.15"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</row>
    <row r="264" spans="2:21" x14ac:dyDescent="0.15"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</row>
    <row r="265" spans="2:21" x14ac:dyDescent="0.15"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</row>
    <row r="266" spans="2:21" x14ac:dyDescent="0.15"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</row>
    <row r="267" spans="2:21" x14ac:dyDescent="0.15"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</row>
    <row r="268" spans="2:21" x14ac:dyDescent="0.15"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</row>
    <row r="269" spans="2:21" x14ac:dyDescent="0.15"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</row>
    <row r="270" spans="2:21" x14ac:dyDescent="0.15"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</row>
    <row r="271" spans="2:21" x14ac:dyDescent="0.15"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</row>
    <row r="272" spans="2:21" x14ac:dyDescent="0.15"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</row>
    <row r="273" spans="2:21" x14ac:dyDescent="0.15"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</row>
    <row r="274" spans="2:21" x14ac:dyDescent="0.15"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</row>
    <row r="275" spans="2:21" x14ac:dyDescent="0.15"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</row>
    <row r="276" spans="2:21" x14ac:dyDescent="0.15"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</row>
    <row r="277" spans="2:21" x14ac:dyDescent="0.15"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</row>
    <row r="278" spans="2:21" x14ac:dyDescent="0.15"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</row>
    <row r="279" spans="2:21" x14ac:dyDescent="0.15"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</row>
    <row r="280" spans="2:21" x14ac:dyDescent="0.15"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</row>
    <row r="281" spans="2:21" x14ac:dyDescent="0.15"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</row>
    <row r="282" spans="2:21" x14ac:dyDescent="0.15"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</row>
    <row r="283" spans="2:21" x14ac:dyDescent="0.15"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</row>
    <row r="284" spans="2:21" x14ac:dyDescent="0.15"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</row>
    <row r="285" spans="2:21" x14ac:dyDescent="0.15"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</row>
    <row r="286" spans="2:21" x14ac:dyDescent="0.15"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</row>
    <row r="287" spans="2:21" x14ac:dyDescent="0.15"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</row>
    <row r="288" spans="2:21" x14ac:dyDescent="0.15"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</row>
    <row r="289" spans="2:21" x14ac:dyDescent="0.15"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</row>
    <row r="290" spans="2:21" x14ac:dyDescent="0.15"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</row>
    <row r="291" spans="2:21" x14ac:dyDescent="0.15"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</row>
    <row r="292" spans="2:21" x14ac:dyDescent="0.15"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</row>
    <row r="293" spans="2:21" x14ac:dyDescent="0.15"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</row>
    <row r="294" spans="2:21" x14ac:dyDescent="0.15"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</row>
    <row r="295" spans="2:21" x14ac:dyDescent="0.15"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</row>
    <row r="296" spans="2:21" x14ac:dyDescent="0.15"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</row>
    <row r="297" spans="2:21" x14ac:dyDescent="0.15"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</row>
    <row r="298" spans="2:21" x14ac:dyDescent="0.15"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</row>
    <row r="299" spans="2:21" x14ac:dyDescent="0.15"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</row>
    <row r="300" spans="2:21" x14ac:dyDescent="0.15"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</row>
    <row r="301" spans="2:21" x14ac:dyDescent="0.15"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</row>
    <row r="302" spans="2:21" x14ac:dyDescent="0.15"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</row>
    <row r="303" spans="2:21" x14ac:dyDescent="0.15"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</row>
    <row r="304" spans="2:21" x14ac:dyDescent="0.15"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</row>
    <row r="305" spans="2:21" x14ac:dyDescent="0.15"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</row>
    <row r="306" spans="2:21" x14ac:dyDescent="0.15"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</row>
    <row r="307" spans="2:21" x14ac:dyDescent="0.15"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</row>
    <row r="308" spans="2:21" x14ac:dyDescent="0.15"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</row>
    <row r="309" spans="2:21" x14ac:dyDescent="0.15"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</row>
    <row r="310" spans="2:21" x14ac:dyDescent="0.15"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</row>
    <row r="311" spans="2:21" x14ac:dyDescent="0.15"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</row>
    <row r="312" spans="2:21" x14ac:dyDescent="0.15"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</row>
    <row r="313" spans="2:21" x14ac:dyDescent="0.15"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</row>
    <row r="314" spans="2:21" x14ac:dyDescent="0.15"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</row>
    <row r="315" spans="2:21" x14ac:dyDescent="0.15"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</row>
    <row r="316" spans="2:21" x14ac:dyDescent="0.15"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</row>
    <row r="317" spans="2:21" x14ac:dyDescent="0.15"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</row>
    <row r="318" spans="2:21" x14ac:dyDescent="0.15"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</row>
    <row r="319" spans="2:21" x14ac:dyDescent="0.15"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</row>
    <row r="320" spans="2:21" x14ac:dyDescent="0.15"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</row>
    <row r="321" spans="2:21" x14ac:dyDescent="0.15"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</row>
    <row r="322" spans="2:21" x14ac:dyDescent="0.15"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</row>
    <row r="323" spans="2:21" x14ac:dyDescent="0.15"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</row>
    <row r="324" spans="2:21" x14ac:dyDescent="0.15"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</row>
    <row r="325" spans="2:21" x14ac:dyDescent="0.15"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</row>
    <row r="326" spans="2:21" x14ac:dyDescent="0.15"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</row>
    <row r="327" spans="2:21" x14ac:dyDescent="0.15"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</row>
    <row r="328" spans="2:21" x14ac:dyDescent="0.15"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</row>
    <row r="329" spans="2:21" x14ac:dyDescent="0.15"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</row>
    <row r="330" spans="2:21" x14ac:dyDescent="0.15"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</row>
    <row r="331" spans="2:21" x14ac:dyDescent="0.15"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</row>
    <row r="332" spans="2:21" x14ac:dyDescent="0.15"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</row>
    <row r="333" spans="2:21" x14ac:dyDescent="0.15"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</row>
    <row r="334" spans="2:21" x14ac:dyDescent="0.15"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</row>
    <row r="335" spans="2:21" x14ac:dyDescent="0.15"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</row>
    <row r="336" spans="2:21" x14ac:dyDescent="0.15"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</row>
    <row r="337" spans="2:21" x14ac:dyDescent="0.15"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</row>
    <row r="338" spans="2:21" x14ac:dyDescent="0.15"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</row>
    <row r="339" spans="2:21" x14ac:dyDescent="0.15"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</row>
    <row r="340" spans="2:21" x14ac:dyDescent="0.15"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</row>
    <row r="341" spans="2:21" x14ac:dyDescent="0.15"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</row>
    <row r="342" spans="2:21" x14ac:dyDescent="0.15"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</row>
    <row r="343" spans="2:21" x14ac:dyDescent="0.15"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</row>
    <row r="344" spans="2:21" x14ac:dyDescent="0.15"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</row>
    <row r="345" spans="2:21" x14ac:dyDescent="0.15"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</row>
    <row r="346" spans="2:21" x14ac:dyDescent="0.15"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</row>
    <row r="347" spans="2:21" x14ac:dyDescent="0.15"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</row>
    <row r="348" spans="2:21" x14ac:dyDescent="0.15"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</row>
    <row r="349" spans="2:21" x14ac:dyDescent="0.15"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</row>
    <row r="350" spans="2:21" x14ac:dyDescent="0.15"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</row>
    <row r="351" spans="2:21" x14ac:dyDescent="0.15"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</row>
    <row r="352" spans="2:21" x14ac:dyDescent="0.15"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</row>
    <row r="353" spans="2:21" x14ac:dyDescent="0.15"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</row>
    <row r="354" spans="2:21" x14ac:dyDescent="0.15"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</row>
    <row r="355" spans="2:21" x14ac:dyDescent="0.15"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</row>
    <row r="356" spans="2:21" x14ac:dyDescent="0.15"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</row>
    <row r="357" spans="2:21" x14ac:dyDescent="0.15"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</row>
    <row r="358" spans="2:21" x14ac:dyDescent="0.15"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</row>
    <row r="359" spans="2:21" x14ac:dyDescent="0.15"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</row>
    <row r="360" spans="2:21" x14ac:dyDescent="0.15"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</row>
    <row r="361" spans="2:21" x14ac:dyDescent="0.15"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</row>
    <row r="362" spans="2:21" x14ac:dyDescent="0.15"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</row>
    <row r="363" spans="2:21" x14ac:dyDescent="0.15"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</row>
    <row r="364" spans="2:21" x14ac:dyDescent="0.15"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</row>
    <row r="365" spans="2:21" x14ac:dyDescent="0.15"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</row>
    <row r="366" spans="2:21" x14ac:dyDescent="0.15"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</row>
    <row r="367" spans="2:21" x14ac:dyDescent="0.15"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</row>
    <row r="368" spans="2:21" x14ac:dyDescent="0.15"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</row>
    <row r="369" spans="2:21" x14ac:dyDescent="0.15"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</row>
    <row r="370" spans="2:21" x14ac:dyDescent="0.15"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</row>
    <row r="371" spans="2:21" x14ac:dyDescent="0.15"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</row>
    <row r="372" spans="2:21" x14ac:dyDescent="0.15"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</row>
    <row r="373" spans="2:21" x14ac:dyDescent="0.15"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</row>
    <row r="374" spans="2:21" x14ac:dyDescent="0.15"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</row>
    <row r="375" spans="2:21" x14ac:dyDescent="0.15"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</row>
    <row r="376" spans="2:21" x14ac:dyDescent="0.15"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</row>
    <row r="377" spans="2:21" x14ac:dyDescent="0.15"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</row>
    <row r="378" spans="2:21" x14ac:dyDescent="0.15"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</row>
    <row r="379" spans="2:21" x14ac:dyDescent="0.15"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</row>
    <row r="380" spans="2:21" x14ac:dyDescent="0.15"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</row>
    <row r="381" spans="2:21" x14ac:dyDescent="0.15"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</row>
    <row r="382" spans="2:21" x14ac:dyDescent="0.15"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</row>
    <row r="383" spans="2:21" x14ac:dyDescent="0.15"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</row>
    <row r="384" spans="2:21" x14ac:dyDescent="0.15"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</row>
    <row r="385" spans="2:21" x14ac:dyDescent="0.15"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</row>
    <row r="386" spans="2:21" x14ac:dyDescent="0.15"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</row>
    <row r="387" spans="2:21" x14ac:dyDescent="0.15"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</row>
    <row r="388" spans="2:21" x14ac:dyDescent="0.15"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</row>
    <row r="389" spans="2:21" x14ac:dyDescent="0.15"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</row>
    <row r="390" spans="2:21" x14ac:dyDescent="0.15"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</row>
    <row r="391" spans="2:21" x14ac:dyDescent="0.15"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</row>
    <row r="392" spans="2:21" x14ac:dyDescent="0.15"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</row>
    <row r="393" spans="2:21" x14ac:dyDescent="0.15"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</row>
    <row r="394" spans="2:21" x14ac:dyDescent="0.15"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</row>
    <row r="395" spans="2:21" x14ac:dyDescent="0.15"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</row>
    <row r="396" spans="2:21" x14ac:dyDescent="0.15"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</row>
    <row r="397" spans="2:21" x14ac:dyDescent="0.15"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</row>
    <row r="398" spans="2:21" x14ac:dyDescent="0.15"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</row>
    <row r="399" spans="2:21" x14ac:dyDescent="0.15"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</row>
    <row r="400" spans="2:21" x14ac:dyDescent="0.15"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</row>
    <row r="401" spans="2:21" x14ac:dyDescent="0.15"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</row>
    <row r="402" spans="2:21" x14ac:dyDescent="0.15"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</row>
    <row r="403" spans="2:21" x14ac:dyDescent="0.15"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</row>
    <row r="404" spans="2:21" x14ac:dyDescent="0.15"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</row>
    <row r="405" spans="2:21" x14ac:dyDescent="0.15"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</row>
    <row r="406" spans="2:21" x14ac:dyDescent="0.15"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</row>
    <row r="407" spans="2:21" x14ac:dyDescent="0.15"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</row>
    <row r="408" spans="2:21" x14ac:dyDescent="0.15"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</row>
    <row r="409" spans="2:21" x14ac:dyDescent="0.15"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</row>
    <row r="410" spans="2:21" x14ac:dyDescent="0.15"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</row>
    <row r="411" spans="2:21" x14ac:dyDescent="0.15"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</row>
    <row r="412" spans="2:21" x14ac:dyDescent="0.15"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</row>
    <row r="413" spans="2:21" x14ac:dyDescent="0.15"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</row>
    <row r="414" spans="2:21" x14ac:dyDescent="0.15"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</row>
    <row r="415" spans="2:21" x14ac:dyDescent="0.15"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</row>
    <row r="416" spans="2:21" x14ac:dyDescent="0.15"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</row>
    <row r="417" spans="2:21" x14ac:dyDescent="0.15"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</row>
    <row r="418" spans="2:21" x14ac:dyDescent="0.15"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</row>
    <row r="419" spans="2:21" x14ac:dyDescent="0.15"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</row>
    <row r="420" spans="2:21" x14ac:dyDescent="0.15"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</row>
    <row r="421" spans="2:21" x14ac:dyDescent="0.15"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</row>
    <row r="422" spans="2:21" x14ac:dyDescent="0.15"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</row>
    <row r="423" spans="2:21" x14ac:dyDescent="0.15"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</row>
    <row r="424" spans="2:21" x14ac:dyDescent="0.15"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</row>
    <row r="425" spans="2:21" x14ac:dyDescent="0.15"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</row>
    <row r="426" spans="2:21" x14ac:dyDescent="0.15"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</row>
    <row r="427" spans="2:21" x14ac:dyDescent="0.15"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</row>
    <row r="428" spans="2:21" x14ac:dyDescent="0.15"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</row>
    <row r="429" spans="2:21" x14ac:dyDescent="0.15"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</row>
    <row r="430" spans="2:21" x14ac:dyDescent="0.15"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</row>
    <row r="431" spans="2:21" x14ac:dyDescent="0.15"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</row>
    <row r="432" spans="2:21" x14ac:dyDescent="0.15"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</row>
    <row r="433" spans="2:21" x14ac:dyDescent="0.15"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</row>
    <row r="434" spans="2:21" x14ac:dyDescent="0.15"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</row>
    <row r="435" spans="2:21" x14ac:dyDescent="0.15"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</row>
    <row r="436" spans="2:21" x14ac:dyDescent="0.15"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</row>
    <row r="437" spans="2:21" x14ac:dyDescent="0.15"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</row>
    <row r="438" spans="2:21" x14ac:dyDescent="0.15"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</row>
    <row r="439" spans="2:21" x14ac:dyDescent="0.15"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</row>
    <row r="440" spans="2:21" x14ac:dyDescent="0.15"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</row>
    <row r="441" spans="2:21" x14ac:dyDescent="0.15"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</row>
    <row r="442" spans="2:21" x14ac:dyDescent="0.15"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</row>
    <row r="443" spans="2:21" x14ac:dyDescent="0.15"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</row>
    <row r="444" spans="2:21" x14ac:dyDescent="0.15"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</row>
    <row r="445" spans="2:21" x14ac:dyDescent="0.15"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</row>
    <row r="446" spans="2:21" x14ac:dyDescent="0.15"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</row>
    <row r="447" spans="2:21" x14ac:dyDescent="0.15"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</row>
    <row r="448" spans="2:21" x14ac:dyDescent="0.15"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</row>
    <row r="449" spans="2:21" x14ac:dyDescent="0.15"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</row>
    <row r="450" spans="2:21" x14ac:dyDescent="0.15"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</row>
    <row r="451" spans="2:21" x14ac:dyDescent="0.15"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</row>
    <row r="452" spans="2:21" x14ac:dyDescent="0.15"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</row>
    <row r="453" spans="2:21" x14ac:dyDescent="0.15"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</row>
    <row r="454" spans="2:21" x14ac:dyDescent="0.15"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</row>
    <row r="455" spans="2:21" x14ac:dyDescent="0.15"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</row>
    <row r="456" spans="2:21" x14ac:dyDescent="0.15"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</row>
    <row r="457" spans="2:21" x14ac:dyDescent="0.15"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</row>
    <row r="458" spans="2:21" x14ac:dyDescent="0.15"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</row>
    <row r="459" spans="2:21" x14ac:dyDescent="0.15"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</row>
    <row r="460" spans="2:21" x14ac:dyDescent="0.15"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</row>
    <row r="461" spans="2:21" x14ac:dyDescent="0.15"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</row>
    <row r="462" spans="2:21" x14ac:dyDescent="0.15"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</row>
    <row r="463" spans="2:21" x14ac:dyDescent="0.15"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</row>
    <row r="464" spans="2:21" x14ac:dyDescent="0.15"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</row>
    <row r="465" spans="2:21" x14ac:dyDescent="0.15"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</row>
    <row r="466" spans="2:21" x14ac:dyDescent="0.15"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</row>
    <row r="467" spans="2:21" x14ac:dyDescent="0.15"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</row>
    <row r="468" spans="2:21" x14ac:dyDescent="0.15"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</row>
    <row r="469" spans="2:21" x14ac:dyDescent="0.15"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</row>
    <row r="470" spans="2:21" x14ac:dyDescent="0.15"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</row>
    <row r="471" spans="2:21" x14ac:dyDescent="0.15"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</row>
    <row r="472" spans="2:21" x14ac:dyDescent="0.15"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</row>
    <row r="473" spans="2:21" x14ac:dyDescent="0.15"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</row>
    <row r="474" spans="2:21" x14ac:dyDescent="0.15"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</row>
    <row r="475" spans="2:21" x14ac:dyDescent="0.15"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</row>
    <row r="476" spans="2:21" x14ac:dyDescent="0.15"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</row>
    <row r="477" spans="2:21" x14ac:dyDescent="0.15"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</row>
    <row r="478" spans="2:21" x14ac:dyDescent="0.15"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</row>
    <row r="479" spans="2:21" x14ac:dyDescent="0.15"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</row>
    <row r="480" spans="2:21" x14ac:dyDescent="0.15"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</row>
    <row r="481" spans="2:21" x14ac:dyDescent="0.15"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</row>
    <row r="482" spans="2:21" x14ac:dyDescent="0.15"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</row>
    <row r="483" spans="2:21" x14ac:dyDescent="0.15"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</row>
    <row r="484" spans="2:21" x14ac:dyDescent="0.15"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</row>
    <row r="485" spans="2:21" x14ac:dyDescent="0.15"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</row>
    <row r="486" spans="2:21" x14ac:dyDescent="0.15"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</row>
    <row r="487" spans="2:21" x14ac:dyDescent="0.15"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</row>
    <row r="488" spans="2:21" x14ac:dyDescent="0.15"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</row>
    <row r="489" spans="2:21" x14ac:dyDescent="0.15"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</row>
    <row r="490" spans="2:21" x14ac:dyDescent="0.15"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</row>
    <row r="491" spans="2:21" x14ac:dyDescent="0.15"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</row>
    <row r="492" spans="2:21" x14ac:dyDescent="0.15"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</row>
    <row r="493" spans="2:21" x14ac:dyDescent="0.15"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</row>
    <row r="494" spans="2:21" x14ac:dyDescent="0.15"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</row>
    <row r="495" spans="2:21" x14ac:dyDescent="0.15"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</row>
    <row r="496" spans="2:21" x14ac:dyDescent="0.15"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</row>
    <row r="497" spans="2:21" x14ac:dyDescent="0.15"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</row>
    <row r="498" spans="2:21" x14ac:dyDescent="0.15"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</row>
    <row r="499" spans="2:21" x14ac:dyDescent="0.15"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</row>
    <row r="500" spans="2:21" x14ac:dyDescent="0.15"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</row>
    <row r="501" spans="2:21" x14ac:dyDescent="0.15"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</row>
    <row r="502" spans="2:21" x14ac:dyDescent="0.15"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</row>
    <row r="503" spans="2:21" x14ac:dyDescent="0.15"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</row>
    <row r="504" spans="2:21" x14ac:dyDescent="0.15"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</row>
    <row r="505" spans="2:21" x14ac:dyDescent="0.15"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</row>
    <row r="506" spans="2:21" x14ac:dyDescent="0.15"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</row>
    <row r="507" spans="2:21" x14ac:dyDescent="0.15"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</row>
    <row r="508" spans="2:21" x14ac:dyDescent="0.15"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</row>
    <row r="509" spans="2:21" x14ac:dyDescent="0.15"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</row>
    <row r="510" spans="2:21" x14ac:dyDescent="0.15"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</row>
    <row r="511" spans="2:21" x14ac:dyDescent="0.15"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</row>
    <row r="512" spans="2:21" x14ac:dyDescent="0.15"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</row>
    <row r="513" spans="2:21" x14ac:dyDescent="0.15"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</row>
    <row r="514" spans="2:21" x14ac:dyDescent="0.15"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</row>
    <row r="515" spans="2:21" x14ac:dyDescent="0.15"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</row>
    <row r="516" spans="2:21" x14ac:dyDescent="0.15"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</row>
    <row r="517" spans="2:21" x14ac:dyDescent="0.15"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</row>
    <row r="518" spans="2:21" x14ac:dyDescent="0.15"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</row>
    <row r="519" spans="2:21" x14ac:dyDescent="0.15"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</row>
    <row r="520" spans="2:21" x14ac:dyDescent="0.15"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</row>
    <row r="521" spans="2:21" x14ac:dyDescent="0.15"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</row>
    <row r="522" spans="2:21" x14ac:dyDescent="0.15"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</row>
    <row r="523" spans="2:21" x14ac:dyDescent="0.15"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</row>
    <row r="524" spans="2:21" x14ac:dyDescent="0.15"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</row>
    <row r="525" spans="2:21" x14ac:dyDescent="0.15"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</row>
    <row r="526" spans="2:21" x14ac:dyDescent="0.15"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</row>
    <row r="527" spans="2:21" x14ac:dyDescent="0.15"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</row>
    <row r="528" spans="2:21" x14ac:dyDescent="0.15"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</row>
    <row r="529" spans="2:21" x14ac:dyDescent="0.15"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</row>
    <row r="530" spans="2:21" x14ac:dyDescent="0.15"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</row>
    <row r="531" spans="2:21" x14ac:dyDescent="0.15"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</row>
    <row r="532" spans="2:21" x14ac:dyDescent="0.15"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</row>
    <row r="533" spans="2:21" x14ac:dyDescent="0.15"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</row>
    <row r="534" spans="2:21" x14ac:dyDescent="0.15"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</row>
    <row r="535" spans="2:21" x14ac:dyDescent="0.15"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</row>
    <row r="536" spans="2:21" x14ac:dyDescent="0.15"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</row>
    <row r="537" spans="2:21" x14ac:dyDescent="0.15"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</row>
    <row r="538" spans="2:21" x14ac:dyDescent="0.15"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</row>
    <row r="539" spans="2:21" x14ac:dyDescent="0.15"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</row>
    <row r="540" spans="2:21" x14ac:dyDescent="0.15"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</row>
    <row r="541" spans="2:21" x14ac:dyDescent="0.15"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</row>
    <row r="542" spans="2:21" x14ac:dyDescent="0.15"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</row>
    <row r="543" spans="2:21" x14ac:dyDescent="0.15"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</row>
    <row r="544" spans="2:21" x14ac:dyDescent="0.15"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</row>
    <row r="545" spans="2:21" x14ac:dyDescent="0.15"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</row>
    <row r="546" spans="2:21" x14ac:dyDescent="0.15"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</row>
    <row r="547" spans="2:21" x14ac:dyDescent="0.15"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</row>
    <row r="548" spans="2:21" x14ac:dyDescent="0.15"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</row>
    <row r="549" spans="2:21" x14ac:dyDescent="0.15"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</row>
    <row r="550" spans="2:21" x14ac:dyDescent="0.15"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</row>
    <row r="551" spans="2:21" x14ac:dyDescent="0.15"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</row>
    <row r="552" spans="2:21" x14ac:dyDescent="0.15"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</row>
    <row r="553" spans="2:21" x14ac:dyDescent="0.15"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</row>
    <row r="554" spans="2:21" x14ac:dyDescent="0.15"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</row>
    <row r="555" spans="2:21" x14ac:dyDescent="0.15"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</row>
    <row r="556" spans="2:21" x14ac:dyDescent="0.15"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</row>
    <row r="557" spans="2:21" x14ac:dyDescent="0.15"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</row>
    <row r="558" spans="2:21" x14ac:dyDescent="0.15"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</row>
    <row r="559" spans="2:21" x14ac:dyDescent="0.15"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</row>
    <row r="560" spans="2:21" x14ac:dyDescent="0.15"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</row>
    <row r="561" spans="2:21" x14ac:dyDescent="0.15"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</row>
    <row r="562" spans="2:21" x14ac:dyDescent="0.15"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</row>
    <row r="563" spans="2:21" x14ac:dyDescent="0.15"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</row>
    <row r="564" spans="2:21" x14ac:dyDescent="0.15"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</row>
    <row r="565" spans="2:21" x14ac:dyDescent="0.15"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</row>
    <row r="566" spans="2:21" x14ac:dyDescent="0.15"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</row>
    <row r="567" spans="2:21" x14ac:dyDescent="0.15"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</row>
    <row r="568" spans="2:21" x14ac:dyDescent="0.15"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</row>
    <row r="569" spans="2:21" x14ac:dyDescent="0.15"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</row>
    <row r="570" spans="2:21" x14ac:dyDescent="0.15"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</row>
    <row r="571" spans="2:21" x14ac:dyDescent="0.15"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</row>
    <row r="572" spans="2:21" x14ac:dyDescent="0.15"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</row>
    <row r="573" spans="2:21" x14ac:dyDescent="0.15"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</row>
    <row r="574" spans="2:21" x14ac:dyDescent="0.15"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</row>
    <row r="575" spans="2:21" x14ac:dyDescent="0.15"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</row>
    <row r="576" spans="2:21" x14ac:dyDescent="0.15"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</row>
    <row r="577" spans="2:21" x14ac:dyDescent="0.15"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</row>
    <row r="578" spans="2:21" x14ac:dyDescent="0.15"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</row>
    <row r="579" spans="2:21" x14ac:dyDescent="0.15"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</row>
    <row r="580" spans="2:21" x14ac:dyDescent="0.15"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</row>
    <row r="581" spans="2:21" x14ac:dyDescent="0.15"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</row>
    <row r="582" spans="2:21" x14ac:dyDescent="0.15"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</row>
    <row r="583" spans="2:21" x14ac:dyDescent="0.15"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</row>
    <row r="584" spans="2:21" x14ac:dyDescent="0.15"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</row>
    <row r="585" spans="2:21" x14ac:dyDescent="0.15"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</row>
    <row r="586" spans="2:21" x14ac:dyDescent="0.15"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</row>
    <row r="587" spans="2:21" x14ac:dyDescent="0.15"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</row>
    <row r="588" spans="2:21" x14ac:dyDescent="0.15"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</row>
    <row r="589" spans="2:21" x14ac:dyDescent="0.15"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</row>
    <row r="590" spans="2:21" x14ac:dyDescent="0.15"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</row>
    <row r="591" spans="2:21" x14ac:dyDescent="0.15"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</row>
    <row r="592" spans="2:21" x14ac:dyDescent="0.15"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</row>
  </sheetData>
  <mergeCells count="175">
    <mergeCell ref="C86:C88"/>
    <mergeCell ref="B86:B88"/>
    <mergeCell ref="G95:G97"/>
    <mergeCell ref="G92:G94"/>
    <mergeCell ref="G89:G91"/>
    <mergeCell ref="G86:G88"/>
    <mergeCell ref="E86:E88"/>
    <mergeCell ref="D86:D88"/>
    <mergeCell ref="D107:D109"/>
    <mergeCell ref="E107:E109"/>
    <mergeCell ref="G107:G109"/>
    <mergeCell ref="G104:G106"/>
    <mergeCell ref="G101:G103"/>
    <mergeCell ref="G98:G100"/>
    <mergeCell ref="B95:B97"/>
    <mergeCell ref="B98:B100"/>
    <mergeCell ref="B101:B103"/>
    <mergeCell ref="B104:B106"/>
    <mergeCell ref="B107:B109"/>
    <mergeCell ref="C107:C109"/>
    <mergeCell ref="E92:E94"/>
    <mergeCell ref="E89:E91"/>
    <mergeCell ref="D89:D91"/>
    <mergeCell ref="C89:C91"/>
    <mergeCell ref="B89:B91"/>
    <mergeCell ref="B92:B94"/>
    <mergeCell ref="D101:D103"/>
    <mergeCell ref="E104:E106"/>
    <mergeCell ref="E101:E103"/>
    <mergeCell ref="D104:D106"/>
    <mergeCell ref="C104:C106"/>
    <mergeCell ref="C101:C103"/>
    <mergeCell ref="C59:C61"/>
    <mergeCell ref="B59:B61"/>
    <mergeCell ref="E98:E100"/>
    <mergeCell ref="E95:E97"/>
    <mergeCell ref="D95:D97"/>
    <mergeCell ref="D98:D100"/>
    <mergeCell ref="C98:C100"/>
    <mergeCell ref="C95:C97"/>
    <mergeCell ref="C92:C94"/>
    <mergeCell ref="D92:D94"/>
    <mergeCell ref="B68:B70"/>
    <mergeCell ref="B71:B73"/>
    <mergeCell ref="B74:B76"/>
    <mergeCell ref="B77:B79"/>
    <mergeCell ref="B80:B82"/>
    <mergeCell ref="C80:C82"/>
    <mergeCell ref="D80:D82"/>
    <mergeCell ref="E80:E82"/>
    <mergeCell ref="G80:G82"/>
    <mergeCell ref="G77:G79"/>
    <mergeCell ref="G74:G76"/>
    <mergeCell ref="G71:G73"/>
    <mergeCell ref="E65:E67"/>
    <mergeCell ref="E62:E64"/>
    <mergeCell ref="D62:D64"/>
    <mergeCell ref="B62:B64"/>
    <mergeCell ref="B65:B67"/>
    <mergeCell ref="C68:C70"/>
    <mergeCell ref="C71:C73"/>
    <mergeCell ref="C74:C76"/>
    <mergeCell ref="C77:C79"/>
    <mergeCell ref="D77:D79"/>
    <mergeCell ref="E77:E79"/>
    <mergeCell ref="E74:E76"/>
    <mergeCell ref="E71:E73"/>
    <mergeCell ref="E68:E70"/>
    <mergeCell ref="D74:D76"/>
    <mergeCell ref="D71:D73"/>
    <mergeCell ref="D68:D70"/>
    <mergeCell ref="D65:D67"/>
    <mergeCell ref="C65:C67"/>
    <mergeCell ref="G38:G40"/>
    <mergeCell ref="E38:E40"/>
    <mergeCell ref="D38:D40"/>
    <mergeCell ref="C38:C40"/>
    <mergeCell ref="E53:E55"/>
    <mergeCell ref="G53:G55"/>
    <mergeCell ref="G50:G52"/>
    <mergeCell ref="G47:G49"/>
    <mergeCell ref="C62:C64"/>
    <mergeCell ref="G68:G70"/>
    <mergeCell ref="G65:G67"/>
    <mergeCell ref="G62:G64"/>
    <mergeCell ref="G59:G61"/>
    <mergeCell ref="E59:E61"/>
    <mergeCell ref="D59:D61"/>
    <mergeCell ref="G8:G10"/>
    <mergeCell ref="G5:G7"/>
    <mergeCell ref="E5:E7"/>
    <mergeCell ref="D5:D7"/>
    <mergeCell ref="C5:C7"/>
    <mergeCell ref="G32:G34"/>
    <mergeCell ref="E32:E34"/>
    <mergeCell ref="D32:D34"/>
    <mergeCell ref="C32:C34"/>
    <mergeCell ref="B53:B55"/>
    <mergeCell ref="C53:C55"/>
    <mergeCell ref="D53:D55"/>
    <mergeCell ref="B5:B7"/>
    <mergeCell ref="D47:D49"/>
    <mergeCell ref="D44:D46"/>
    <mergeCell ref="C44:C46"/>
    <mergeCell ref="C47:C49"/>
    <mergeCell ref="C50:C52"/>
    <mergeCell ref="D50:D52"/>
    <mergeCell ref="D41:D43"/>
    <mergeCell ref="C41:C43"/>
    <mergeCell ref="B41:B43"/>
    <mergeCell ref="B32:B34"/>
    <mergeCell ref="B38:B40"/>
    <mergeCell ref="B35:B37"/>
    <mergeCell ref="C35:C37"/>
    <mergeCell ref="D35:D37"/>
    <mergeCell ref="E11:E13"/>
    <mergeCell ref="E17:E19"/>
    <mergeCell ref="E20:E22"/>
    <mergeCell ref="E23:E25"/>
    <mergeCell ref="G44:G46"/>
    <mergeCell ref="G41:G43"/>
    <mergeCell ref="B44:B46"/>
    <mergeCell ref="B47:B49"/>
    <mergeCell ref="B50:B52"/>
    <mergeCell ref="G11:G13"/>
    <mergeCell ref="E35:E37"/>
    <mergeCell ref="G35:G37"/>
    <mergeCell ref="B83:U83"/>
    <mergeCell ref="H84:J84"/>
    <mergeCell ref="K84:M84"/>
    <mergeCell ref="C11:C13"/>
    <mergeCell ref="D11:D13"/>
    <mergeCell ref="D14:D16"/>
    <mergeCell ref="C14:C16"/>
    <mergeCell ref="C17:C19"/>
    <mergeCell ref="D17:D19"/>
    <mergeCell ref="D20:D22"/>
    <mergeCell ref="B29:U29"/>
    <mergeCell ref="H30:J30"/>
    <mergeCell ref="K30:M30"/>
    <mergeCell ref="B56:U56"/>
    <mergeCell ref="H57:J57"/>
    <mergeCell ref="K57:M57"/>
    <mergeCell ref="E50:E52"/>
    <mergeCell ref="E47:E49"/>
    <mergeCell ref="E44:E46"/>
    <mergeCell ref="B17:B19"/>
    <mergeCell ref="B14:B16"/>
    <mergeCell ref="B11:B13"/>
    <mergeCell ref="C20:C22"/>
    <mergeCell ref="C23:C25"/>
    <mergeCell ref="E41:E43"/>
    <mergeCell ref="A1:U1"/>
    <mergeCell ref="B2:U2"/>
    <mergeCell ref="Z2:AA2"/>
    <mergeCell ref="H3:J3"/>
    <mergeCell ref="K3:M3"/>
    <mergeCell ref="K4:M4"/>
    <mergeCell ref="D26:D28"/>
    <mergeCell ref="C26:C28"/>
    <mergeCell ref="B26:B28"/>
    <mergeCell ref="B23:B25"/>
    <mergeCell ref="B20:B22"/>
    <mergeCell ref="B8:B10"/>
    <mergeCell ref="C8:C10"/>
    <mergeCell ref="D8:D10"/>
    <mergeCell ref="D23:D25"/>
    <mergeCell ref="E26:E28"/>
    <mergeCell ref="G26:G28"/>
    <mergeCell ref="G23:G25"/>
    <mergeCell ref="G20:G22"/>
    <mergeCell ref="G17:G19"/>
    <mergeCell ref="G14:G16"/>
    <mergeCell ref="E8:E10"/>
    <mergeCell ref="E14:E16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79BD1-552D-9049-B3DC-8EC1EC0BD764}">
  <dimension ref="A1:AC592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5" customWidth="1"/>
    <col min="2" max="2" width="10.33203125" style="5" bestFit="1" customWidth="1"/>
    <col min="3" max="10" width="9.1640625" style="5"/>
    <col min="11" max="14" width="9.6640625" style="5" bestFit="1" customWidth="1"/>
    <col min="15" max="15" width="12.1640625" style="5" customWidth="1"/>
    <col min="16" max="16" width="12.5" style="5" bestFit="1" customWidth="1"/>
    <col min="17" max="18" width="13.6640625" style="5" customWidth="1"/>
    <col min="19" max="19" width="14.5" style="5" customWidth="1"/>
    <col min="20" max="21" width="10.5" style="5" bestFit="1" customWidth="1"/>
    <col min="22" max="23" width="9.1640625" style="5"/>
    <col min="24" max="24" width="12.33203125" style="5" customWidth="1"/>
    <col min="25" max="16384" width="9.1640625" style="5"/>
  </cols>
  <sheetData>
    <row r="1" spans="1:29" ht="17" thickBot="1" x14ac:dyDescent="0.2">
      <c r="A1" s="246" t="s">
        <v>117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8"/>
    </row>
    <row r="2" spans="1:29" ht="16" customHeight="1" thickBot="1" x14ac:dyDescent="0.2">
      <c r="A2" s="122"/>
      <c r="B2" s="249" t="s">
        <v>70</v>
      </c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  <c r="T2" s="250"/>
      <c r="U2" s="251"/>
      <c r="W2" s="252" t="s">
        <v>119</v>
      </c>
      <c r="X2" s="252"/>
      <c r="Y2" s="252"/>
      <c r="Z2" s="252"/>
      <c r="AA2" s="252"/>
    </row>
    <row r="3" spans="1:29" ht="33.75" customHeight="1" x14ac:dyDescent="0.15">
      <c r="A3" s="46"/>
      <c r="B3" s="124" t="s">
        <v>0</v>
      </c>
      <c r="C3" s="66" t="s">
        <v>1</v>
      </c>
      <c r="D3" s="66" t="s">
        <v>2</v>
      </c>
      <c r="E3" s="125" t="s">
        <v>17</v>
      </c>
      <c r="F3" s="126"/>
      <c r="G3" s="126" t="s">
        <v>18</v>
      </c>
      <c r="H3" s="253" t="s">
        <v>130</v>
      </c>
      <c r="I3" s="254"/>
      <c r="J3" s="254"/>
      <c r="K3" s="255" t="s">
        <v>113</v>
      </c>
      <c r="L3" s="255"/>
      <c r="M3" s="255"/>
      <c r="N3" s="66" t="s">
        <v>19</v>
      </c>
      <c r="O3" s="66" t="s">
        <v>20</v>
      </c>
      <c r="P3" s="66" t="s">
        <v>20</v>
      </c>
      <c r="Q3" s="66" t="s">
        <v>114</v>
      </c>
      <c r="R3" s="125" t="s">
        <v>114</v>
      </c>
      <c r="S3" s="66" t="s">
        <v>115</v>
      </c>
      <c r="T3" s="66" t="s">
        <v>97</v>
      </c>
      <c r="U3" s="127" t="s">
        <v>62</v>
      </c>
      <c r="W3" s="56" t="s">
        <v>2</v>
      </c>
      <c r="X3" s="77" t="str">
        <f>S3</f>
        <v>Average NO3 concentration</v>
      </c>
      <c r="Y3" s="77" t="str">
        <f>U3</f>
        <v>Standard error</v>
      </c>
      <c r="Z3" s="56"/>
      <c r="AA3" s="128"/>
      <c r="AB3" s="128"/>
      <c r="AC3" s="128"/>
    </row>
    <row r="4" spans="1:29" ht="15" customHeight="1" x14ac:dyDescent="0.15">
      <c r="A4" s="46"/>
      <c r="B4" s="129"/>
      <c r="C4" s="130"/>
      <c r="D4" s="131"/>
      <c r="E4" s="131"/>
      <c r="F4" s="132"/>
      <c r="G4" s="132"/>
      <c r="H4" s="187" t="s">
        <v>102</v>
      </c>
      <c r="I4" s="187" t="s">
        <v>103</v>
      </c>
      <c r="J4" s="188" t="s">
        <v>131</v>
      </c>
      <c r="K4" s="242" t="s">
        <v>21</v>
      </c>
      <c r="L4" s="225"/>
      <c r="M4" s="226"/>
      <c r="N4" s="74" t="s">
        <v>21</v>
      </c>
      <c r="O4" s="74" t="s">
        <v>15</v>
      </c>
      <c r="P4" s="74" t="s">
        <v>22</v>
      </c>
      <c r="Q4" s="74" t="s">
        <v>22</v>
      </c>
      <c r="R4" s="70" t="s">
        <v>15</v>
      </c>
      <c r="S4" s="74" t="s">
        <v>15</v>
      </c>
      <c r="T4" s="74"/>
      <c r="U4" s="76"/>
      <c r="W4" s="87">
        <v>0</v>
      </c>
      <c r="X4" s="82">
        <f>S7</f>
        <v>1.5654751999999998</v>
      </c>
      <c r="Y4" s="82">
        <f>U7</f>
        <v>3.4176599574432753E-2</v>
      </c>
      <c r="Z4" s="82"/>
      <c r="AA4" s="128"/>
      <c r="AB4" s="128"/>
      <c r="AC4" s="128"/>
    </row>
    <row r="5" spans="1:29" x14ac:dyDescent="0.15">
      <c r="A5" s="46"/>
      <c r="B5" s="260" t="s">
        <v>23</v>
      </c>
      <c r="C5" s="258">
        <v>0.48333333333333334</v>
      </c>
      <c r="D5" s="256">
        <v>0</v>
      </c>
      <c r="E5" s="244">
        <v>1</v>
      </c>
      <c r="F5" s="80" t="s">
        <v>107</v>
      </c>
      <c r="G5" s="269">
        <v>7.3333333333333348E-2</v>
      </c>
      <c r="H5" s="81">
        <f>0.764-G5</f>
        <v>0.69066666666666665</v>
      </c>
      <c r="I5" s="82">
        <f>0.789-G5</f>
        <v>0.71566666666666667</v>
      </c>
      <c r="J5" s="82">
        <f>0.793-G5</f>
        <v>0.71966666666666668</v>
      </c>
      <c r="K5" s="82">
        <f>4.816*H5</f>
        <v>3.3262506666666667</v>
      </c>
      <c r="L5" s="82">
        <f t="shared" ref="L5:M7" si="0">4.816*I5</f>
        <v>3.4466506666666668</v>
      </c>
      <c r="M5" s="82">
        <f t="shared" si="0"/>
        <v>3.4659146666666665</v>
      </c>
      <c r="N5" s="82">
        <f>AVERAGE(K5:M5)</f>
        <v>3.4129386666666668</v>
      </c>
      <c r="O5" s="82">
        <f>N5/10</f>
        <v>0.34129386666666667</v>
      </c>
      <c r="P5" s="82">
        <f>O5/14</f>
        <v>2.4378133333333333E-2</v>
      </c>
      <c r="Q5" s="82">
        <f>P5</f>
        <v>2.4378133333333333E-2</v>
      </c>
      <c r="R5" s="82">
        <f>Q5*62</f>
        <v>1.5114442666666665</v>
      </c>
      <c r="S5" s="134"/>
      <c r="T5" s="56"/>
      <c r="U5" s="79"/>
      <c r="W5" s="87">
        <f>D8</f>
        <v>47.5</v>
      </c>
      <c r="X5" s="82">
        <f>S10</f>
        <v>1.582642261904762</v>
      </c>
      <c r="Y5" s="82">
        <f>U10</f>
        <v>1.4743072705046309E-2</v>
      </c>
      <c r="Z5" s="82"/>
      <c r="AA5" s="135"/>
      <c r="AB5" s="135"/>
      <c r="AC5" s="135"/>
    </row>
    <row r="6" spans="1:29" x14ac:dyDescent="0.15">
      <c r="A6" s="46"/>
      <c r="B6" s="260"/>
      <c r="C6" s="258"/>
      <c r="D6" s="256"/>
      <c r="E6" s="244"/>
      <c r="F6" s="80" t="s">
        <v>108</v>
      </c>
      <c r="G6" s="269"/>
      <c r="H6" s="81">
        <f>0.793-G5</f>
        <v>0.71966666666666668</v>
      </c>
      <c r="I6" s="82">
        <f>0.802-G5</f>
        <v>0.72866666666666668</v>
      </c>
      <c r="J6" s="82">
        <f>0.814-G5</f>
        <v>0.74066666666666658</v>
      </c>
      <c r="K6" s="82">
        <f t="shared" ref="K6:K7" si="1">4.816*H6</f>
        <v>3.4659146666666665</v>
      </c>
      <c r="L6" s="82">
        <f t="shared" si="0"/>
        <v>3.5092586666666667</v>
      </c>
      <c r="M6" s="82">
        <f t="shared" si="0"/>
        <v>3.5670506666666664</v>
      </c>
      <c r="N6" s="82">
        <f t="shared" ref="N6:N7" si="2">AVERAGE(K6:M6)</f>
        <v>3.5140746666666662</v>
      </c>
      <c r="O6" s="82">
        <f t="shared" ref="O6:O7" si="3">N6/10</f>
        <v>0.35140746666666661</v>
      </c>
      <c r="P6" s="82">
        <f t="shared" ref="P6:P28" si="4">O6/14</f>
        <v>2.5100533333333331E-2</v>
      </c>
      <c r="Q6" s="82">
        <f t="shared" ref="Q6:Q28" si="5">P6</f>
        <v>2.5100533333333331E-2</v>
      </c>
      <c r="R6" s="82">
        <f t="shared" ref="R6:R28" si="6">Q6*62</f>
        <v>1.5562330666666666</v>
      </c>
      <c r="S6" s="134"/>
      <c r="T6" s="56"/>
      <c r="U6" s="79"/>
      <c r="W6" s="87">
        <f>D11</f>
        <v>94.933333333333337</v>
      </c>
      <c r="X6" s="82">
        <f>S13</f>
        <v>1.2666384574603173</v>
      </c>
      <c r="Y6" s="82">
        <f>U13</f>
        <v>3.8284632644214278E-2</v>
      </c>
      <c r="Z6" s="82"/>
      <c r="AA6" s="135"/>
      <c r="AB6" s="135"/>
      <c r="AC6" s="135"/>
    </row>
    <row r="7" spans="1:29" x14ac:dyDescent="0.15">
      <c r="A7" s="46"/>
      <c r="B7" s="263"/>
      <c r="C7" s="267"/>
      <c r="D7" s="265"/>
      <c r="E7" s="245"/>
      <c r="F7" s="90" t="s">
        <v>109</v>
      </c>
      <c r="G7" s="272"/>
      <c r="H7" s="91">
        <f>0.846-G5</f>
        <v>0.77266666666666661</v>
      </c>
      <c r="I7" s="92">
        <f>0.805-G5</f>
        <v>0.73166666666666669</v>
      </c>
      <c r="J7" s="92">
        <f>0.86-G5</f>
        <v>0.78666666666666663</v>
      </c>
      <c r="K7" s="92">
        <f t="shared" si="1"/>
        <v>3.7211626666666664</v>
      </c>
      <c r="L7" s="92">
        <f t="shared" si="0"/>
        <v>3.5237066666666665</v>
      </c>
      <c r="M7" s="92">
        <f t="shared" si="0"/>
        <v>3.7885866666666663</v>
      </c>
      <c r="N7" s="92">
        <f t="shared" si="2"/>
        <v>3.6778186666666666</v>
      </c>
      <c r="O7" s="92">
        <f t="shared" si="3"/>
        <v>0.36778186666666668</v>
      </c>
      <c r="P7" s="92">
        <f t="shared" si="4"/>
        <v>2.6270133333333334E-2</v>
      </c>
      <c r="Q7" s="92">
        <f t="shared" si="5"/>
        <v>2.6270133333333334E-2</v>
      </c>
      <c r="R7" s="92">
        <f t="shared" si="6"/>
        <v>1.6287482666666668</v>
      </c>
      <c r="S7" s="140">
        <f>AVERAGE(R5:R7)</f>
        <v>1.5654751999999998</v>
      </c>
      <c r="T7" s="92">
        <f>STDEV(R5:R7)</f>
        <v>5.9195606892854399E-2</v>
      </c>
      <c r="U7" s="141">
        <f>T7/SQRT(3)</f>
        <v>3.4176599574432753E-2</v>
      </c>
      <c r="W7" s="87">
        <f>D14</f>
        <v>144.66666666666669</v>
      </c>
      <c r="X7" s="82">
        <f>S16</f>
        <v>1.1517405528042326</v>
      </c>
      <c r="Y7" s="82">
        <f>U16</f>
        <v>9.8078545324177067E-3</v>
      </c>
      <c r="Z7" s="82"/>
      <c r="AA7" s="135"/>
      <c r="AB7" s="135"/>
      <c r="AC7" s="135"/>
    </row>
    <row r="8" spans="1:29" x14ac:dyDescent="0.15">
      <c r="A8" s="46"/>
      <c r="B8" s="260" t="s">
        <v>25</v>
      </c>
      <c r="C8" s="258">
        <v>0.46249999999999997</v>
      </c>
      <c r="D8" s="256">
        <f>11+30/60+12+24</f>
        <v>47.5</v>
      </c>
      <c r="E8" s="244">
        <v>3</v>
      </c>
      <c r="F8" s="80" t="s">
        <v>107</v>
      </c>
      <c r="G8" s="269">
        <v>7.5999999999999998E-2</v>
      </c>
      <c r="H8" s="81">
        <f>0.807-G8</f>
        <v>0.73100000000000009</v>
      </c>
      <c r="I8" s="82">
        <f>0.769-G8</f>
        <v>0.69300000000000006</v>
      </c>
      <c r="J8" s="82">
        <f>0.77-G8</f>
        <v>0.69400000000000006</v>
      </c>
      <c r="K8" s="82">
        <f>4.975*H8</f>
        <v>3.6367250000000002</v>
      </c>
      <c r="L8" s="82">
        <f t="shared" ref="L8:M10" si="7">4.975*I8</f>
        <v>3.4476750000000003</v>
      </c>
      <c r="M8" s="82">
        <f t="shared" si="7"/>
        <v>3.4526500000000002</v>
      </c>
      <c r="N8" s="82">
        <f>AVERAGE(K8:M8)</f>
        <v>3.5123500000000001</v>
      </c>
      <c r="O8" s="82">
        <f>N8/10</f>
        <v>0.35123500000000002</v>
      </c>
      <c r="P8" s="82">
        <f t="shared" si="4"/>
        <v>2.5088214285714287E-2</v>
      </c>
      <c r="Q8" s="82">
        <f t="shared" si="5"/>
        <v>2.5088214285714287E-2</v>
      </c>
      <c r="R8" s="82">
        <f t="shared" si="6"/>
        <v>1.5554692857142858</v>
      </c>
      <c r="S8" s="136"/>
      <c r="T8" s="82"/>
      <c r="U8" s="137"/>
      <c r="W8" s="87">
        <f>D17</f>
        <v>240.01666666666668</v>
      </c>
      <c r="X8" s="82">
        <f>S19</f>
        <v>0.86645580634920638</v>
      </c>
      <c r="Y8" s="82">
        <f>U19</f>
        <v>2.6620343670360671E-2</v>
      </c>
      <c r="Z8" s="82"/>
      <c r="AA8" s="135"/>
      <c r="AB8" s="135"/>
      <c r="AC8" s="135"/>
    </row>
    <row r="9" spans="1:29" ht="15" customHeight="1" x14ac:dyDescent="0.15">
      <c r="A9" s="46"/>
      <c r="B9" s="260"/>
      <c r="C9" s="258"/>
      <c r="D9" s="256"/>
      <c r="E9" s="244"/>
      <c r="F9" s="80" t="s">
        <v>108</v>
      </c>
      <c r="G9" s="269"/>
      <c r="H9" s="81">
        <f>0.806-G8</f>
        <v>0.73000000000000009</v>
      </c>
      <c r="I9" s="82">
        <f>0.791-G8</f>
        <v>0.71500000000000008</v>
      </c>
      <c r="J9" s="82">
        <f>0.791-G8</f>
        <v>0.71500000000000008</v>
      </c>
      <c r="K9" s="105">
        <f t="shared" ref="K9:K10" si="8">4.975*H9</f>
        <v>3.6317500000000003</v>
      </c>
      <c r="L9" s="105">
        <f t="shared" si="7"/>
        <v>3.5571250000000001</v>
      </c>
      <c r="M9" s="105">
        <f t="shared" si="7"/>
        <v>3.5571250000000001</v>
      </c>
      <c r="N9" s="82">
        <f t="shared" ref="N9:N10" si="9">AVERAGE(K9:M9)</f>
        <v>3.5820000000000003</v>
      </c>
      <c r="O9" s="82">
        <f t="shared" ref="O9:O10" si="10">N9/10</f>
        <v>0.35820000000000002</v>
      </c>
      <c r="P9" s="82">
        <f t="shared" si="4"/>
        <v>2.5585714285714288E-2</v>
      </c>
      <c r="Q9" s="82">
        <f t="shared" si="5"/>
        <v>2.5585714285714288E-2</v>
      </c>
      <c r="R9" s="82">
        <f t="shared" si="6"/>
        <v>1.5863142857142858</v>
      </c>
      <c r="S9" s="136"/>
      <c r="T9" s="82"/>
      <c r="U9" s="137"/>
      <c r="W9" s="87">
        <f>D20</f>
        <v>288.88333333333333</v>
      </c>
      <c r="X9" s="82">
        <f>S22</f>
        <v>0.74293098714285721</v>
      </c>
      <c r="Y9" s="82">
        <f>U22</f>
        <v>8.3200841536790696E-3</v>
      </c>
      <c r="Z9" s="82"/>
      <c r="AA9" s="135"/>
      <c r="AB9" s="135"/>
      <c r="AC9" s="135"/>
    </row>
    <row r="10" spans="1:29" ht="15" customHeight="1" x14ac:dyDescent="0.15">
      <c r="A10" s="46"/>
      <c r="B10" s="263"/>
      <c r="C10" s="267"/>
      <c r="D10" s="265"/>
      <c r="E10" s="245"/>
      <c r="F10" s="90" t="s">
        <v>109</v>
      </c>
      <c r="G10" s="272"/>
      <c r="H10" s="91">
        <f>0.817-G8</f>
        <v>0.74099999999999999</v>
      </c>
      <c r="I10" s="92">
        <f>0.807-G8</f>
        <v>0.73100000000000009</v>
      </c>
      <c r="J10" s="92">
        <f>0.791-G8</f>
        <v>0.71500000000000008</v>
      </c>
      <c r="K10" s="185">
        <f t="shared" si="8"/>
        <v>3.6864749999999997</v>
      </c>
      <c r="L10" s="185">
        <f t="shared" si="7"/>
        <v>3.6367250000000002</v>
      </c>
      <c r="M10" s="185">
        <f t="shared" si="7"/>
        <v>3.5571250000000001</v>
      </c>
      <c r="N10" s="92">
        <f t="shared" si="9"/>
        <v>3.6267749999999999</v>
      </c>
      <c r="O10" s="92">
        <f t="shared" si="10"/>
        <v>0.36267749999999999</v>
      </c>
      <c r="P10" s="92">
        <f t="shared" si="4"/>
        <v>2.5905535714285714E-2</v>
      </c>
      <c r="Q10" s="92">
        <f t="shared" si="5"/>
        <v>2.5905535714285714E-2</v>
      </c>
      <c r="R10" s="92">
        <f t="shared" si="6"/>
        <v>1.6061432142857144</v>
      </c>
      <c r="S10" s="140">
        <f>AVERAGE(R8:R10)</f>
        <v>1.582642261904762</v>
      </c>
      <c r="T10" s="92">
        <f>STDEV(R8:R10)</f>
        <v>2.553575098482213E-2</v>
      </c>
      <c r="U10" s="141">
        <f>T10/SQRT(3)</f>
        <v>1.4743072705046309E-2</v>
      </c>
      <c r="W10" s="87">
        <f>D23</f>
        <v>336.16666666666663</v>
      </c>
      <c r="X10" s="82">
        <f>S25</f>
        <v>0.64243078071428572</v>
      </c>
      <c r="Y10" s="82">
        <f>U25</f>
        <v>1.2605274628042304E-2</v>
      </c>
      <c r="Z10" s="82"/>
      <c r="AA10" s="135"/>
      <c r="AB10" s="135"/>
      <c r="AC10" s="135"/>
    </row>
    <row r="11" spans="1:29" x14ac:dyDescent="0.15">
      <c r="A11" s="46"/>
      <c r="B11" s="260" t="s">
        <v>27</v>
      </c>
      <c r="C11" s="258">
        <v>0.93888888888888899</v>
      </c>
      <c r="D11" s="256">
        <f>11+26/60+12+24+D8</f>
        <v>94.933333333333337</v>
      </c>
      <c r="E11" s="244">
        <v>5</v>
      </c>
      <c r="F11" s="80" t="s">
        <v>107</v>
      </c>
      <c r="G11" s="269">
        <v>6.9500000000000006E-2</v>
      </c>
      <c r="H11" s="81">
        <f>0.852-G11</f>
        <v>0.78249999999999997</v>
      </c>
      <c r="I11" s="82">
        <f>0.868-G11</f>
        <v>0.79849999999999999</v>
      </c>
      <c r="J11" s="82">
        <f>0.877-G11</f>
        <v>0.8075</v>
      </c>
      <c r="K11" s="82">
        <f>5.0662*H11</f>
        <v>3.9643014999999999</v>
      </c>
      <c r="L11" s="82">
        <f t="shared" ref="L11:M13" si="11">5.0662*I11</f>
        <v>4.0453606999999998</v>
      </c>
      <c r="M11" s="82">
        <f t="shared" si="11"/>
        <v>4.0909564999999999</v>
      </c>
      <c r="N11" s="82">
        <f>AVERAGE(K11:M11)</f>
        <v>4.0335395666666658</v>
      </c>
      <c r="O11" s="82">
        <f>N11/15</f>
        <v>0.26890263777777773</v>
      </c>
      <c r="P11" s="82">
        <f t="shared" si="4"/>
        <v>1.9207331269841265E-2</v>
      </c>
      <c r="Q11" s="82">
        <f t="shared" si="5"/>
        <v>1.9207331269841265E-2</v>
      </c>
      <c r="R11" s="82">
        <f t="shared" si="6"/>
        <v>1.1908545387301583</v>
      </c>
      <c r="S11" s="136"/>
      <c r="T11" s="82"/>
      <c r="U11" s="137"/>
      <c r="W11" s="87">
        <f>D26</f>
        <v>384.48333333333329</v>
      </c>
      <c r="X11" s="82">
        <f>S28</f>
        <v>0.47723964880952402</v>
      </c>
      <c r="Y11" s="82">
        <f>U28</f>
        <v>2.7914183117739303E-2</v>
      </c>
      <c r="Z11" s="82"/>
      <c r="AA11" s="135"/>
      <c r="AB11" s="135"/>
      <c r="AC11" s="135"/>
    </row>
    <row r="12" spans="1:29" ht="15" customHeight="1" x14ac:dyDescent="0.15">
      <c r="A12" s="46"/>
      <c r="B12" s="260"/>
      <c r="C12" s="258"/>
      <c r="D12" s="256"/>
      <c r="E12" s="244"/>
      <c r="F12" s="80" t="s">
        <v>108</v>
      </c>
      <c r="G12" s="269"/>
      <c r="H12" s="81">
        <f>0.935-G11</f>
        <v>0.86550000000000005</v>
      </c>
      <c r="I12" s="82">
        <f>0.942-G11</f>
        <v>0.87249999999999994</v>
      </c>
      <c r="J12" s="82">
        <f>0.967-G11</f>
        <v>0.89749999999999996</v>
      </c>
      <c r="K12" s="82">
        <f t="shared" ref="K12:K13" si="12">5.0662*H12</f>
        <v>4.3847961000000009</v>
      </c>
      <c r="L12" s="82">
        <f t="shared" si="11"/>
        <v>4.4202595000000002</v>
      </c>
      <c r="M12" s="82">
        <f t="shared" si="11"/>
        <v>4.5469144999999997</v>
      </c>
      <c r="N12" s="82">
        <f t="shared" ref="N12:N28" si="13">AVERAGE(K12:M12)</f>
        <v>4.4506567000000006</v>
      </c>
      <c r="O12" s="82">
        <f>N12/15</f>
        <v>0.29671044666666668</v>
      </c>
      <c r="P12" s="82">
        <f t="shared" si="4"/>
        <v>2.1193603333333335E-2</v>
      </c>
      <c r="Q12" s="82">
        <f t="shared" si="5"/>
        <v>2.1193603333333335E-2</v>
      </c>
      <c r="R12" s="82">
        <f t="shared" si="6"/>
        <v>1.3140034066666668</v>
      </c>
      <c r="S12" s="136"/>
      <c r="T12" s="82"/>
      <c r="U12" s="137"/>
      <c r="W12" s="87"/>
      <c r="X12" s="82"/>
      <c r="Y12" s="82"/>
      <c r="Z12" s="82"/>
      <c r="AA12" s="135"/>
      <c r="AB12" s="135"/>
      <c r="AC12" s="135"/>
    </row>
    <row r="13" spans="1:29" ht="15" customHeight="1" x14ac:dyDescent="0.15">
      <c r="A13" s="46"/>
      <c r="B13" s="263"/>
      <c r="C13" s="267"/>
      <c r="D13" s="265"/>
      <c r="E13" s="245"/>
      <c r="F13" s="90" t="s">
        <v>109</v>
      </c>
      <c r="G13" s="272"/>
      <c r="H13" s="91">
        <f>0.927-G11</f>
        <v>0.85750000000000004</v>
      </c>
      <c r="I13" s="92">
        <f>0.906-G11</f>
        <v>0.83650000000000002</v>
      </c>
      <c r="J13" s="92">
        <f>0.973-G11</f>
        <v>0.90349999999999997</v>
      </c>
      <c r="K13" s="92">
        <f t="shared" si="12"/>
        <v>4.3442665000000007</v>
      </c>
      <c r="L13" s="92">
        <f t="shared" si="11"/>
        <v>4.2378762999999999</v>
      </c>
      <c r="M13" s="92">
        <f t="shared" si="11"/>
        <v>4.5773117000000001</v>
      </c>
      <c r="N13" s="92">
        <f t="shared" si="13"/>
        <v>4.3864848333333333</v>
      </c>
      <c r="O13" s="92">
        <f>N13/15</f>
        <v>0.29243232222222221</v>
      </c>
      <c r="P13" s="92">
        <f t="shared" si="4"/>
        <v>2.0888023015873013E-2</v>
      </c>
      <c r="Q13" s="92">
        <f t="shared" si="5"/>
        <v>2.0888023015873013E-2</v>
      </c>
      <c r="R13" s="92">
        <f t="shared" si="6"/>
        <v>1.2950574269841268</v>
      </c>
      <c r="S13" s="140">
        <f>AVERAGE(R11:R13)</f>
        <v>1.2666384574603173</v>
      </c>
      <c r="T13" s="92">
        <f>STDEV(R11:R13)</f>
        <v>6.6310928888889134E-2</v>
      </c>
      <c r="U13" s="141">
        <f>T13/SQRT(3)</f>
        <v>3.8284632644214278E-2</v>
      </c>
      <c r="W13" s="87"/>
      <c r="X13" s="82"/>
      <c r="Y13" s="82"/>
      <c r="Z13" s="82"/>
      <c r="AA13" s="135"/>
      <c r="AB13" s="135"/>
      <c r="AC13" s="135"/>
    </row>
    <row r="14" spans="1:29" x14ac:dyDescent="0.15">
      <c r="A14" s="46"/>
      <c r="B14" s="260" t="s">
        <v>29</v>
      </c>
      <c r="C14" s="258">
        <v>0.51111111111111118</v>
      </c>
      <c r="D14" s="256">
        <f>1+44/60+48+D11</f>
        <v>144.66666666666669</v>
      </c>
      <c r="E14" s="244">
        <v>7</v>
      </c>
      <c r="F14" s="80" t="s">
        <v>107</v>
      </c>
      <c r="G14" s="269">
        <v>6.8000000000000005E-2</v>
      </c>
      <c r="H14" s="81">
        <f>0.844-G14</f>
        <v>0.77600000000000002</v>
      </c>
      <c r="I14" s="82">
        <f>0.841-G14</f>
        <v>0.77299999999999991</v>
      </c>
      <c r="J14" s="82">
        <f>0.86-G14</f>
        <v>0.79200000000000004</v>
      </c>
      <c r="K14" s="82">
        <f>5.0329*H14</f>
        <v>3.9055304</v>
      </c>
      <c r="L14" s="82">
        <f t="shared" ref="L14:M16" si="14">5.0329*I14</f>
        <v>3.8904316999999993</v>
      </c>
      <c r="M14" s="82">
        <f t="shared" si="14"/>
        <v>3.9860568000000001</v>
      </c>
      <c r="N14" s="82">
        <f t="shared" si="13"/>
        <v>3.9273396333333328</v>
      </c>
      <c r="O14" s="82">
        <f>N14/15</f>
        <v>0.26182264222222218</v>
      </c>
      <c r="P14" s="82">
        <f t="shared" si="4"/>
        <v>1.8701617301587297E-2</v>
      </c>
      <c r="Q14" s="82">
        <f t="shared" si="5"/>
        <v>1.8701617301587297E-2</v>
      </c>
      <c r="R14" s="82">
        <f t="shared" si="6"/>
        <v>1.1595002726984125</v>
      </c>
      <c r="S14" s="134"/>
      <c r="T14" s="56"/>
      <c r="U14" s="79"/>
      <c r="W14" s="135"/>
      <c r="Z14" s="82"/>
      <c r="AA14" s="82"/>
    </row>
    <row r="15" spans="1:29" x14ac:dyDescent="0.15">
      <c r="B15" s="260"/>
      <c r="C15" s="258"/>
      <c r="D15" s="256"/>
      <c r="E15" s="244"/>
      <c r="F15" s="80" t="s">
        <v>108</v>
      </c>
      <c r="G15" s="269"/>
      <c r="H15" s="81">
        <f>0.82-G14</f>
        <v>0.752</v>
      </c>
      <c r="I15" s="82">
        <f>0.823-G14</f>
        <v>0.75499999999999989</v>
      </c>
      <c r="J15" s="82">
        <f>0.847-G14</f>
        <v>0.77899999999999991</v>
      </c>
      <c r="K15" s="105">
        <f t="shared" ref="K15:K16" si="15">5.0329*H15</f>
        <v>3.7847407999999998</v>
      </c>
      <c r="L15" s="105">
        <f t="shared" si="14"/>
        <v>3.7998394999999991</v>
      </c>
      <c r="M15" s="105">
        <f t="shared" si="14"/>
        <v>3.9206290999999993</v>
      </c>
      <c r="N15" s="82">
        <f t="shared" si="13"/>
        <v>3.8350697999999994</v>
      </c>
      <c r="O15" s="82">
        <f t="shared" ref="O15:O16" si="16">N15/15</f>
        <v>0.25567131999999998</v>
      </c>
      <c r="P15" s="82">
        <f t="shared" si="4"/>
        <v>1.826223714285714E-2</v>
      </c>
      <c r="Q15" s="82">
        <f t="shared" si="5"/>
        <v>1.826223714285714E-2</v>
      </c>
      <c r="R15" s="82">
        <f t="shared" si="6"/>
        <v>1.1322587028571427</v>
      </c>
      <c r="S15" s="134"/>
      <c r="T15" s="56"/>
      <c r="U15" s="79"/>
      <c r="Z15" s="82"/>
      <c r="AA15" s="82"/>
    </row>
    <row r="16" spans="1:29" x14ac:dyDescent="0.15">
      <c r="B16" s="263"/>
      <c r="C16" s="267"/>
      <c r="D16" s="265"/>
      <c r="E16" s="245"/>
      <c r="F16" s="90" t="s">
        <v>109</v>
      </c>
      <c r="G16" s="272"/>
      <c r="H16" s="91">
        <f>0.844-G14</f>
        <v>0.77600000000000002</v>
      </c>
      <c r="I16" s="92">
        <f>0.845-G14</f>
        <v>0.77699999999999991</v>
      </c>
      <c r="J16" s="92">
        <f>0.864-G14</f>
        <v>0.79600000000000004</v>
      </c>
      <c r="K16" s="185">
        <f t="shared" si="15"/>
        <v>3.9055304</v>
      </c>
      <c r="L16" s="185">
        <f t="shared" si="14"/>
        <v>3.9105632999999993</v>
      </c>
      <c r="M16" s="185">
        <f t="shared" si="14"/>
        <v>4.0061884000000001</v>
      </c>
      <c r="N16" s="92">
        <f t="shared" si="13"/>
        <v>3.9407606999999998</v>
      </c>
      <c r="O16" s="92">
        <f t="shared" si="16"/>
        <v>0.26271738</v>
      </c>
      <c r="P16" s="92">
        <f t="shared" si="4"/>
        <v>1.8765527142857143E-2</v>
      </c>
      <c r="Q16" s="92">
        <f t="shared" si="5"/>
        <v>1.8765527142857143E-2</v>
      </c>
      <c r="R16" s="92">
        <f t="shared" si="6"/>
        <v>1.1634626828571428</v>
      </c>
      <c r="S16" s="140">
        <f>AVERAGE(R14:R16)</f>
        <v>1.1517405528042326</v>
      </c>
      <c r="T16" s="92">
        <f>STDEV(R14:R16)</f>
        <v>1.698770236339216E-2</v>
      </c>
      <c r="U16" s="141">
        <f>T16/SQRT(3)</f>
        <v>9.8078545324177067E-3</v>
      </c>
      <c r="Z16" s="82"/>
      <c r="AA16" s="82"/>
    </row>
    <row r="17" spans="2:29" x14ac:dyDescent="0.15">
      <c r="B17" s="260" t="s">
        <v>33</v>
      </c>
      <c r="C17" s="258">
        <v>0.48402777777777778</v>
      </c>
      <c r="D17" s="256">
        <f>11+21/60+12+24+48+D14</f>
        <v>240.01666666666668</v>
      </c>
      <c r="E17" s="244">
        <v>11</v>
      </c>
      <c r="F17" s="80" t="s">
        <v>107</v>
      </c>
      <c r="G17" s="273">
        <v>7.0000000000000007E-2</v>
      </c>
      <c r="H17" s="81">
        <f>0.812-G17</f>
        <v>0.74199999999999999</v>
      </c>
      <c r="I17" s="82">
        <f>0.826-G17</f>
        <v>0.75600000000000001</v>
      </c>
      <c r="J17" s="82">
        <f>0.86-G17</f>
        <v>0.79</v>
      </c>
      <c r="K17" s="82">
        <f>5.1752*H17</f>
        <v>3.8399984000000003</v>
      </c>
      <c r="L17" s="82">
        <f t="shared" ref="L17:M19" si="17">5.1752*I17</f>
        <v>3.9124512</v>
      </c>
      <c r="M17" s="82">
        <f t="shared" si="17"/>
        <v>4.0884080000000003</v>
      </c>
      <c r="N17" s="82">
        <f t="shared" si="13"/>
        <v>3.9469525333333331</v>
      </c>
      <c r="O17" s="82">
        <f>N17/20</f>
        <v>0.19734762666666666</v>
      </c>
      <c r="P17" s="82">
        <f t="shared" si="4"/>
        <v>1.4096259047619047E-2</v>
      </c>
      <c r="Q17" s="82">
        <f t="shared" si="5"/>
        <v>1.4096259047619047E-2</v>
      </c>
      <c r="R17" s="82">
        <f t="shared" si="6"/>
        <v>0.873968060952381</v>
      </c>
      <c r="S17" s="134"/>
      <c r="T17" s="56"/>
      <c r="U17" s="79"/>
      <c r="Z17" s="82"/>
      <c r="AA17" s="82"/>
    </row>
    <row r="18" spans="2:29" x14ac:dyDescent="0.15">
      <c r="B18" s="260"/>
      <c r="C18" s="258"/>
      <c r="D18" s="256"/>
      <c r="E18" s="244"/>
      <c r="F18" s="80" t="s">
        <v>108</v>
      </c>
      <c r="G18" s="273"/>
      <c r="H18" s="81">
        <f>0.777-G17</f>
        <v>0.70700000000000007</v>
      </c>
      <c r="I18" s="82">
        <f>0.773-G17</f>
        <v>0.70300000000000007</v>
      </c>
      <c r="J18" s="82">
        <f>0.799-G17</f>
        <v>0.72900000000000009</v>
      </c>
      <c r="K18" s="105">
        <f t="shared" ref="K18:K19" si="18">5.1752*H18</f>
        <v>3.6588664000000004</v>
      </c>
      <c r="L18" s="105">
        <f t="shared" si="17"/>
        <v>3.6381656000000007</v>
      </c>
      <c r="M18" s="105">
        <f t="shared" si="17"/>
        <v>3.7727208000000005</v>
      </c>
      <c r="N18" s="82">
        <f t="shared" si="13"/>
        <v>3.6899176000000007</v>
      </c>
      <c r="O18" s="82">
        <f t="shared" ref="O18:O19" si="19">N18/20</f>
        <v>0.18449588000000003</v>
      </c>
      <c r="P18" s="82">
        <f t="shared" si="4"/>
        <v>1.3178277142857145E-2</v>
      </c>
      <c r="Q18" s="82">
        <f t="shared" si="5"/>
        <v>1.3178277142857145E-2</v>
      </c>
      <c r="R18" s="82">
        <f t="shared" si="6"/>
        <v>0.81705318285714301</v>
      </c>
      <c r="S18" s="134"/>
      <c r="T18" s="56"/>
      <c r="U18" s="79"/>
      <c r="Z18" s="82"/>
      <c r="AA18" s="82"/>
    </row>
    <row r="19" spans="2:29" x14ac:dyDescent="0.15">
      <c r="B19" s="263"/>
      <c r="C19" s="267"/>
      <c r="D19" s="265"/>
      <c r="E19" s="245"/>
      <c r="F19" s="90" t="s">
        <v>109</v>
      </c>
      <c r="G19" s="282"/>
      <c r="H19" s="91">
        <f>0.886-G17</f>
        <v>0.81600000000000006</v>
      </c>
      <c r="I19" s="92">
        <f>0.86-G17</f>
        <v>0.79</v>
      </c>
      <c r="J19" s="92">
        <f>0.842-G17</f>
        <v>0.77200000000000002</v>
      </c>
      <c r="K19" s="185">
        <f t="shared" si="18"/>
        <v>4.2229632000000006</v>
      </c>
      <c r="L19" s="185">
        <f t="shared" si="17"/>
        <v>4.0884080000000003</v>
      </c>
      <c r="M19" s="185">
        <f t="shared" si="17"/>
        <v>3.9952544000000003</v>
      </c>
      <c r="N19" s="92">
        <f t="shared" si="13"/>
        <v>4.1022085333333331</v>
      </c>
      <c r="O19" s="92">
        <f t="shared" si="19"/>
        <v>0.20511042666666665</v>
      </c>
      <c r="P19" s="92">
        <f t="shared" si="4"/>
        <v>1.465074476190476E-2</v>
      </c>
      <c r="Q19" s="92">
        <f t="shared" si="5"/>
        <v>1.465074476190476E-2</v>
      </c>
      <c r="R19" s="92">
        <f t="shared" si="6"/>
        <v>0.90834617523809513</v>
      </c>
      <c r="S19" s="140">
        <f>AVERAGE(R17:R19)</f>
        <v>0.86645580634920638</v>
      </c>
      <c r="T19" s="92">
        <f>STDEV(R17:R19)</f>
        <v>4.6107787752009251E-2</v>
      </c>
      <c r="U19" s="141">
        <f>T19/SQRT(3)</f>
        <v>2.6620343670360671E-2</v>
      </c>
      <c r="Z19" s="82"/>
      <c r="AA19" s="82"/>
    </row>
    <row r="20" spans="2:29" x14ac:dyDescent="0.15">
      <c r="B20" s="260" t="s">
        <v>34</v>
      </c>
      <c r="C20" s="258">
        <v>0.52013888888888882</v>
      </c>
      <c r="D20" s="256">
        <f>52/60+48+D17</f>
        <v>288.88333333333333</v>
      </c>
      <c r="E20" s="244">
        <v>13</v>
      </c>
      <c r="F20" s="80" t="s">
        <v>107</v>
      </c>
      <c r="G20" s="269">
        <v>7.3999999999999996E-2</v>
      </c>
      <c r="H20" s="81">
        <f>0.689-G20</f>
        <v>0.61499999999999999</v>
      </c>
      <c r="I20" s="82">
        <f>0.708-G20</f>
        <v>0.63400000000000001</v>
      </c>
      <c r="J20" s="82">
        <f>0.684-G20</f>
        <v>0.6100000000000001</v>
      </c>
      <c r="K20" s="82">
        <f>5.3597*H20</f>
        <v>3.2962155000000002</v>
      </c>
      <c r="L20" s="82">
        <f t="shared" ref="L20:M22" si="20">5.3597*I20</f>
        <v>3.3980498000000003</v>
      </c>
      <c r="M20" s="82">
        <f t="shared" si="20"/>
        <v>3.2694170000000007</v>
      </c>
      <c r="N20" s="82">
        <f t="shared" si="13"/>
        <v>3.321227433333334</v>
      </c>
      <c r="O20" s="82">
        <f>N20/20</f>
        <v>0.16606137166666671</v>
      </c>
      <c r="P20" s="82">
        <f t="shared" si="4"/>
        <v>1.186152654761905E-2</v>
      </c>
      <c r="Q20" s="82">
        <f t="shared" si="5"/>
        <v>1.186152654761905E-2</v>
      </c>
      <c r="R20" s="82">
        <f t="shared" si="6"/>
        <v>0.73541464595238104</v>
      </c>
      <c r="S20" s="136"/>
      <c r="T20" s="82"/>
      <c r="U20" s="137"/>
      <c r="Z20" s="82"/>
      <c r="AA20" s="82"/>
    </row>
    <row r="21" spans="2:29" x14ac:dyDescent="0.15">
      <c r="B21" s="260"/>
      <c r="C21" s="258"/>
      <c r="D21" s="256"/>
      <c r="E21" s="244"/>
      <c r="F21" s="80" t="s">
        <v>108</v>
      </c>
      <c r="G21" s="269"/>
      <c r="H21" s="81">
        <f>0.687-G20</f>
        <v>0.6130000000000001</v>
      </c>
      <c r="I21" s="82">
        <f>0.695-G20</f>
        <v>0.621</v>
      </c>
      <c r="J21" s="82">
        <f>0.695-G20</f>
        <v>0.621</v>
      </c>
      <c r="K21" s="105">
        <f t="shared" ref="K21:K22" si="21">5.3597*H21</f>
        <v>3.2854961000000005</v>
      </c>
      <c r="L21" s="105">
        <f t="shared" si="20"/>
        <v>3.3283737000000002</v>
      </c>
      <c r="M21" s="105">
        <f t="shared" si="20"/>
        <v>3.3283737000000002</v>
      </c>
      <c r="N21" s="82">
        <f t="shared" si="13"/>
        <v>3.3140811666666665</v>
      </c>
      <c r="O21" s="82">
        <f t="shared" ref="O21:O22" si="22">N21/20</f>
        <v>0.16570405833333332</v>
      </c>
      <c r="P21" s="82">
        <f t="shared" si="4"/>
        <v>1.1836004166666666E-2</v>
      </c>
      <c r="Q21" s="82">
        <f t="shared" si="5"/>
        <v>1.1836004166666666E-2</v>
      </c>
      <c r="R21" s="82">
        <f t="shared" si="6"/>
        <v>0.73383225833333321</v>
      </c>
      <c r="S21" s="136"/>
      <c r="T21" s="82"/>
      <c r="U21" s="137"/>
      <c r="Z21" s="82"/>
      <c r="AA21" s="82"/>
    </row>
    <row r="22" spans="2:29" x14ac:dyDescent="0.15">
      <c r="B22" s="263"/>
      <c r="C22" s="267"/>
      <c r="D22" s="265"/>
      <c r="E22" s="245"/>
      <c r="F22" s="90" t="s">
        <v>109</v>
      </c>
      <c r="G22" s="272"/>
      <c r="H22" s="91">
        <f>0.685-G20</f>
        <v>0.6110000000000001</v>
      </c>
      <c r="I22" s="92">
        <f>0.709-G20</f>
        <v>0.63500000000000001</v>
      </c>
      <c r="J22" s="92">
        <f>0.748-G20</f>
        <v>0.67400000000000004</v>
      </c>
      <c r="K22" s="185">
        <f t="shared" si="21"/>
        <v>3.2747767000000008</v>
      </c>
      <c r="L22" s="185">
        <f t="shared" si="20"/>
        <v>3.4034095</v>
      </c>
      <c r="M22" s="185">
        <f t="shared" si="20"/>
        <v>3.6124378000000004</v>
      </c>
      <c r="N22" s="92">
        <f t="shared" si="13"/>
        <v>3.4302080000000004</v>
      </c>
      <c r="O22" s="92">
        <f t="shared" si="22"/>
        <v>0.17151040000000001</v>
      </c>
      <c r="P22" s="92">
        <f t="shared" si="4"/>
        <v>1.2250742857142857E-2</v>
      </c>
      <c r="Q22" s="92">
        <f t="shared" si="5"/>
        <v>1.2250742857142857E-2</v>
      </c>
      <c r="R22" s="92">
        <f t="shared" si="6"/>
        <v>0.75954605714285717</v>
      </c>
      <c r="S22" s="140">
        <f>AVERAGE(R20:R22)</f>
        <v>0.74293098714285721</v>
      </c>
      <c r="T22" s="92">
        <f>STDEV(R20:R22)</f>
        <v>1.441080847742085E-2</v>
      </c>
      <c r="U22" s="141">
        <f>T22/SQRT(3)</f>
        <v>8.3200841536790696E-3</v>
      </c>
      <c r="Z22" s="82"/>
      <c r="AA22" s="82"/>
    </row>
    <row r="23" spans="2:29" x14ac:dyDescent="0.15">
      <c r="B23" s="260" t="s">
        <v>36</v>
      </c>
      <c r="C23" s="258">
        <v>0.49027777777777781</v>
      </c>
      <c r="D23" s="256">
        <f>11+17/60+12+24+D20</f>
        <v>336.16666666666663</v>
      </c>
      <c r="E23" s="244">
        <v>15</v>
      </c>
      <c r="F23" s="80" t="s">
        <v>107</v>
      </c>
      <c r="G23" s="269">
        <v>8.5666666666666669E-2</v>
      </c>
      <c r="H23" s="81">
        <f>0.64-G23</f>
        <v>0.55433333333333334</v>
      </c>
      <c r="I23" s="82">
        <f>0.617-G23</f>
        <v>0.53133333333333332</v>
      </c>
      <c r="J23" s="82">
        <f>0.666-G23</f>
        <v>0.58033333333333337</v>
      </c>
      <c r="K23" s="82">
        <f>5.2847*H23</f>
        <v>2.9294853666666665</v>
      </c>
      <c r="L23" s="82">
        <f t="shared" ref="L23:M25" si="23">5.2847*I23</f>
        <v>2.8079372666666664</v>
      </c>
      <c r="M23" s="82">
        <f t="shared" si="23"/>
        <v>3.0668875666666668</v>
      </c>
      <c r="N23" s="82">
        <f t="shared" si="13"/>
        <v>2.9347700666666667</v>
      </c>
      <c r="O23" s="82">
        <f>N23/20</f>
        <v>0.14673850333333333</v>
      </c>
      <c r="P23" s="82">
        <f t="shared" si="4"/>
        <v>1.0481321666666666E-2</v>
      </c>
      <c r="Q23" s="82">
        <f t="shared" si="5"/>
        <v>1.0481321666666666E-2</v>
      </c>
      <c r="R23" s="82">
        <f t="shared" si="6"/>
        <v>0.64984194333333334</v>
      </c>
      <c r="S23" s="136"/>
      <c r="T23" s="82"/>
      <c r="U23" s="137"/>
      <c r="Z23" s="82"/>
      <c r="AA23" s="82"/>
    </row>
    <row r="24" spans="2:29" x14ac:dyDescent="0.15">
      <c r="B24" s="260"/>
      <c r="C24" s="258"/>
      <c r="D24" s="256"/>
      <c r="E24" s="244"/>
      <c r="F24" s="80" t="s">
        <v>108</v>
      </c>
      <c r="G24" s="269"/>
      <c r="H24" s="81">
        <f>0.638-G23</f>
        <v>0.55233333333333334</v>
      </c>
      <c r="I24" s="82">
        <f>0.641-G23</f>
        <v>0.55533333333333335</v>
      </c>
      <c r="J24" s="82">
        <f>0.669-G23</f>
        <v>0.58333333333333337</v>
      </c>
      <c r="K24" s="105">
        <f t="shared" ref="K24:K25" si="24">5.2847*H24</f>
        <v>2.9189159666666669</v>
      </c>
      <c r="L24" s="105">
        <f t="shared" si="23"/>
        <v>2.9347700666666667</v>
      </c>
      <c r="M24" s="105">
        <f t="shared" si="23"/>
        <v>3.0827416666666667</v>
      </c>
      <c r="N24" s="82">
        <f t="shared" si="13"/>
        <v>2.9788092333333336</v>
      </c>
      <c r="O24" s="82">
        <f t="shared" ref="O24:O25" si="25">N24/20</f>
        <v>0.14894046166666669</v>
      </c>
      <c r="P24" s="82">
        <f t="shared" si="4"/>
        <v>1.0638604404761906E-2</v>
      </c>
      <c r="Q24" s="82">
        <f t="shared" si="5"/>
        <v>1.0638604404761906E-2</v>
      </c>
      <c r="R24" s="82">
        <f t="shared" si="6"/>
        <v>0.65959347309523819</v>
      </c>
      <c r="S24" s="136"/>
      <c r="T24" s="82"/>
      <c r="U24" s="137"/>
      <c r="W24" s="56"/>
      <c r="X24" s="82"/>
      <c r="Y24" s="82"/>
      <c r="Z24" s="82"/>
      <c r="AA24" s="82"/>
    </row>
    <row r="25" spans="2:29" x14ac:dyDescent="0.15">
      <c r="B25" s="263"/>
      <c r="C25" s="267"/>
      <c r="D25" s="265"/>
      <c r="E25" s="245"/>
      <c r="F25" s="90" t="s">
        <v>109</v>
      </c>
      <c r="G25" s="272"/>
      <c r="H25" s="91">
        <f>0.612-G23</f>
        <v>0.52633333333333332</v>
      </c>
      <c r="I25" s="92">
        <f>0.591-G23</f>
        <v>0.5053333333333333</v>
      </c>
      <c r="J25" s="92">
        <f>0.638-G23</f>
        <v>0.55233333333333334</v>
      </c>
      <c r="K25" s="185">
        <f t="shared" si="24"/>
        <v>2.7815137666666665</v>
      </c>
      <c r="L25" s="185">
        <f t="shared" si="23"/>
        <v>2.6705350666666665</v>
      </c>
      <c r="M25" s="185">
        <f t="shared" si="23"/>
        <v>2.9189159666666669</v>
      </c>
      <c r="N25" s="92">
        <f t="shared" si="13"/>
        <v>2.7903216</v>
      </c>
      <c r="O25" s="92">
        <f t="shared" si="25"/>
        <v>0.13951607999999999</v>
      </c>
      <c r="P25" s="92">
        <f t="shared" si="4"/>
        <v>9.9654342857142843E-3</v>
      </c>
      <c r="Q25" s="92">
        <f t="shared" si="5"/>
        <v>9.9654342857142843E-3</v>
      </c>
      <c r="R25" s="92">
        <f t="shared" si="6"/>
        <v>0.61785692571428563</v>
      </c>
      <c r="S25" s="140">
        <f>AVERAGE(R23:R25)</f>
        <v>0.64243078071428572</v>
      </c>
      <c r="T25" s="92">
        <f>STDEV(R23:R25)</f>
        <v>2.1832976099128151E-2</v>
      </c>
      <c r="U25" s="141">
        <f>T25/SQRT(3)</f>
        <v>1.2605274628042304E-2</v>
      </c>
    </row>
    <row r="26" spans="2:29" x14ac:dyDescent="0.15">
      <c r="B26" s="260" t="s">
        <v>38</v>
      </c>
      <c r="C26" s="258">
        <v>0.50347222222222221</v>
      </c>
      <c r="D26" s="256">
        <f>19/60+48+D23</f>
        <v>384.48333333333329</v>
      </c>
      <c r="E26" s="244">
        <v>17</v>
      </c>
      <c r="F26" s="80" t="s">
        <v>107</v>
      </c>
      <c r="G26" s="269">
        <v>8.2666666666666666E-2</v>
      </c>
      <c r="H26" s="81">
        <f>0.46-G26</f>
        <v>0.37733333333333335</v>
      </c>
      <c r="I26" s="82">
        <f>0.445-G26</f>
        <v>0.36233333333333334</v>
      </c>
      <c r="J26" s="82">
        <f>0.438-G26</f>
        <v>0.35533333333333333</v>
      </c>
      <c r="K26" s="82">
        <f>5.2525*H26</f>
        <v>1.9819433333333336</v>
      </c>
      <c r="L26" s="82">
        <f t="shared" ref="L26:M28" si="26">5.2525*I26</f>
        <v>1.9031558333333336</v>
      </c>
      <c r="M26" s="82">
        <f t="shared" si="26"/>
        <v>1.8663883333333335</v>
      </c>
      <c r="N26" s="82">
        <f t="shared" si="13"/>
        <v>1.9171625000000005</v>
      </c>
      <c r="O26" s="82">
        <f>N26/20</f>
        <v>9.585812500000003E-2</v>
      </c>
      <c r="P26" s="82">
        <f t="shared" si="4"/>
        <v>6.8470089285714306E-3</v>
      </c>
      <c r="Q26" s="82">
        <f t="shared" si="5"/>
        <v>6.8470089285714306E-3</v>
      </c>
      <c r="R26" s="82">
        <f t="shared" si="6"/>
        <v>0.4245145535714287</v>
      </c>
      <c r="S26" s="134"/>
      <c r="T26" s="56"/>
      <c r="U26" s="79"/>
    </row>
    <row r="27" spans="2:29" x14ac:dyDescent="0.15">
      <c r="B27" s="260"/>
      <c r="C27" s="258"/>
      <c r="D27" s="256"/>
      <c r="E27" s="244"/>
      <c r="F27" s="80" t="s">
        <v>108</v>
      </c>
      <c r="G27" s="269"/>
      <c r="H27" s="81">
        <f>0.5-G26</f>
        <v>0.41733333333333333</v>
      </c>
      <c r="I27" s="82">
        <f>0.508-G26</f>
        <v>0.42533333333333334</v>
      </c>
      <c r="J27" s="82">
        <f>0.498-G26</f>
        <v>0.41533333333333333</v>
      </c>
      <c r="K27" s="105">
        <f t="shared" ref="K27:K28" si="27">5.2525*H27</f>
        <v>2.1920433333333333</v>
      </c>
      <c r="L27" s="105">
        <f t="shared" si="26"/>
        <v>2.2340633333333337</v>
      </c>
      <c r="M27" s="105">
        <f t="shared" si="26"/>
        <v>2.1815383333333336</v>
      </c>
      <c r="N27" s="82">
        <f t="shared" si="13"/>
        <v>2.202548333333334</v>
      </c>
      <c r="O27" s="105">
        <f t="shared" ref="O27:O28" si="28">N27/20</f>
        <v>0.1101274166666667</v>
      </c>
      <c r="P27" s="82">
        <f t="shared" si="4"/>
        <v>7.8662440476190507E-3</v>
      </c>
      <c r="Q27" s="82">
        <f t="shared" si="5"/>
        <v>7.8662440476190507E-3</v>
      </c>
      <c r="R27" s="82">
        <f t="shared" si="6"/>
        <v>0.48770713095238116</v>
      </c>
      <c r="S27" s="134"/>
      <c r="T27" s="56"/>
      <c r="U27" s="79"/>
    </row>
    <row r="28" spans="2:29" ht="14" thickBot="1" x14ac:dyDescent="0.2">
      <c r="B28" s="261"/>
      <c r="C28" s="259"/>
      <c r="D28" s="257"/>
      <c r="E28" s="268"/>
      <c r="F28" s="80" t="s">
        <v>109</v>
      </c>
      <c r="G28" s="270"/>
      <c r="H28" s="81">
        <f>0.507-G26</f>
        <v>0.42433333333333334</v>
      </c>
      <c r="I28" s="82">
        <f>0.538-G26</f>
        <v>0.45533333333333337</v>
      </c>
      <c r="J28" s="82">
        <f>0.543-G26</f>
        <v>0.46033333333333337</v>
      </c>
      <c r="K28" s="105">
        <f t="shared" si="27"/>
        <v>2.2288108333333336</v>
      </c>
      <c r="L28" s="105">
        <f t="shared" si="26"/>
        <v>2.3916383333333338</v>
      </c>
      <c r="M28" s="105">
        <f t="shared" si="26"/>
        <v>2.4179008333333338</v>
      </c>
      <c r="N28" s="82">
        <f t="shared" si="13"/>
        <v>2.3461166666666671</v>
      </c>
      <c r="O28" s="105">
        <f t="shared" si="28"/>
        <v>0.11730583333333336</v>
      </c>
      <c r="P28" s="82">
        <f t="shared" si="4"/>
        <v>8.3789880952380973E-3</v>
      </c>
      <c r="Q28" s="82">
        <f t="shared" si="5"/>
        <v>8.3789880952380973E-3</v>
      </c>
      <c r="R28" s="82">
        <f t="shared" si="6"/>
        <v>0.51949726190476209</v>
      </c>
      <c r="S28" s="140">
        <f>AVERAGE(R26:R28)</f>
        <v>0.47723964880952402</v>
      </c>
      <c r="T28" s="82">
        <f>STDEV(R26:R28)</f>
        <v>4.8348783411705877E-2</v>
      </c>
      <c r="U28" s="141">
        <f>T28/SQRT(3)</f>
        <v>2.7914183117739303E-2</v>
      </c>
    </row>
    <row r="29" spans="2:29" ht="17" thickBot="1" x14ac:dyDescent="0.2">
      <c r="B29" s="249" t="s">
        <v>71</v>
      </c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0"/>
      <c r="T29" s="250"/>
      <c r="U29" s="281"/>
      <c r="W29" s="252" t="s">
        <v>119</v>
      </c>
      <c r="X29" s="252"/>
      <c r="Y29" s="252"/>
    </row>
    <row r="30" spans="2:29" ht="30" x14ac:dyDescent="0.15">
      <c r="B30" s="124" t="s">
        <v>0</v>
      </c>
      <c r="C30" s="66" t="s">
        <v>1</v>
      </c>
      <c r="D30" s="66" t="s">
        <v>2</v>
      </c>
      <c r="E30" s="125" t="s">
        <v>17</v>
      </c>
      <c r="F30" s="126"/>
      <c r="G30" s="126" t="s">
        <v>18</v>
      </c>
      <c r="H30" s="253" t="s">
        <v>130</v>
      </c>
      <c r="I30" s="254"/>
      <c r="J30" s="254"/>
      <c r="K30" s="255" t="s">
        <v>116</v>
      </c>
      <c r="L30" s="255"/>
      <c r="M30" s="255"/>
      <c r="N30" s="66" t="s">
        <v>19</v>
      </c>
      <c r="O30" s="66" t="s">
        <v>20</v>
      </c>
      <c r="P30" s="66" t="s">
        <v>20</v>
      </c>
      <c r="Q30" s="66" t="s">
        <v>114</v>
      </c>
      <c r="R30" s="125" t="s">
        <v>114</v>
      </c>
      <c r="S30" s="66" t="s">
        <v>115</v>
      </c>
      <c r="T30" s="66" t="s">
        <v>97</v>
      </c>
      <c r="U30" s="127" t="s">
        <v>62</v>
      </c>
      <c r="W30" s="56" t="s">
        <v>2</v>
      </c>
      <c r="X30" s="77" t="str">
        <f>S30</f>
        <v>Average NO3 concentration</v>
      </c>
      <c r="Y30" s="77" t="str">
        <f>U30</f>
        <v>Standard error</v>
      </c>
      <c r="Z30" s="56"/>
      <c r="AA30" s="128"/>
      <c r="AB30" s="128"/>
      <c r="AC30" s="128"/>
    </row>
    <row r="31" spans="2:29" ht="14" x14ac:dyDescent="0.15">
      <c r="B31" s="129"/>
      <c r="C31" s="130"/>
      <c r="D31" s="131"/>
      <c r="E31" s="131"/>
      <c r="F31" s="132"/>
      <c r="G31" s="132"/>
      <c r="H31" s="189" t="s">
        <v>102</v>
      </c>
      <c r="I31" s="189" t="s">
        <v>103</v>
      </c>
      <c r="J31" s="189" t="s">
        <v>131</v>
      </c>
      <c r="K31" s="74"/>
      <c r="L31" s="74"/>
      <c r="M31" s="74"/>
      <c r="N31" s="74" t="s">
        <v>21</v>
      </c>
      <c r="O31" s="74" t="s">
        <v>15</v>
      </c>
      <c r="P31" s="74" t="s">
        <v>22</v>
      </c>
      <c r="Q31" s="74" t="s">
        <v>22</v>
      </c>
      <c r="R31" s="70" t="s">
        <v>15</v>
      </c>
      <c r="S31" s="74" t="s">
        <v>15</v>
      </c>
      <c r="T31" s="74"/>
      <c r="U31" s="76"/>
      <c r="W31" s="56">
        <v>0</v>
      </c>
      <c r="X31" s="82">
        <f>S34</f>
        <v>1.6212834666666665</v>
      </c>
      <c r="Y31" s="82">
        <f>U34</f>
        <v>6.0073866666666691E-2</v>
      </c>
      <c r="Z31" s="82"/>
      <c r="AA31" s="128"/>
      <c r="AB31" s="128"/>
      <c r="AC31" s="128"/>
    </row>
    <row r="32" spans="2:29" x14ac:dyDescent="0.15">
      <c r="B32" s="260" t="s">
        <v>23</v>
      </c>
      <c r="C32" s="258">
        <v>0.42222222222222222</v>
      </c>
      <c r="D32" s="256">
        <v>0</v>
      </c>
      <c r="E32" s="244">
        <v>1</v>
      </c>
      <c r="F32" s="80" t="s">
        <v>107</v>
      </c>
      <c r="G32" s="269">
        <v>7.3333333333333348E-2</v>
      </c>
      <c r="H32" s="81">
        <f>0.829-G32</f>
        <v>0.7556666666666666</v>
      </c>
      <c r="I32" s="82">
        <f>0.786-G32</f>
        <v>0.71266666666666667</v>
      </c>
      <c r="J32" s="82">
        <f>0.801-G32</f>
        <v>0.72766666666666668</v>
      </c>
      <c r="K32" s="82">
        <f>4.816*H32</f>
        <v>3.6392906666666662</v>
      </c>
      <c r="L32" s="82">
        <f t="shared" ref="L32:M34" si="29">4.816*I32</f>
        <v>3.4322026666666665</v>
      </c>
      <c r="M32" s="82">
        <f t="shared" si="29"/>
        <v>3.5044426666666668</v>
      </c>
      <c r="N32" s="82">
        <f>AVERAGE(K32:M32)</f>
        <v>3.5253119999999996</v>
      </c>
      <c r="O32" s="82">
        <f>N32/10</f>
        <v>0.35253119999999993</v>
      </c>
      <c r="P32" s="82">
        <f>O32/14</f>
        <v>2.5180799999999996E-2</v>
      </c>
      <c r="Q32" s="82">
        <f>P32</f>
        <v>2.5180799999999996E-2</v>
      </c>
      <c r="R32" s="82">
        <f>Q32*62</f>
        <v>1.5612095999999998</v>
      </c>
      <c r="S32" s="134"/>
      <c r="T32" s="56"/>
      <c r="U32" s="79"/>
      <c r="W32" s="87">
        <f>D35</f>
        <v>48.216666666666669</v>
      </c>
      <c r="X32" s="82">
        <f>S37</f>
        <v>1.5890071031746034</v>
      </c>
      <c r="Y32" s="82">
        <f>U37</f>
        <v>1.3289367070234211E-2</v>
      </c>
      <c r="Z32" s="82"/>
      <c r="AA32" s="135"/>
      <c r="AB32" s="135"/>
      <c r="AC32" s="135"/>
    </row>
    <row r="33" spans="2:29" x14ac:dyDescent="0.15">
      <c r="B33" s="260"/>
      <c r="C33" s="258"/>
      <c r="D33" s="256"/>
      <c r="E33" s="244"/>
      <c r="F33" s="80" t="s">
        <v>108</v>
      </c>
      <c r="G33" s="269"/>
      <c r="H33" s="81">
        <f>0.845-G32</f>
        <v>0.77166666666666661</v>
      </c>
      <c r="I33" s="82">
        <f>0.86-G32</f>
        <v>0.78666666666666663</v>
      </c>
      <c r="J33" s="82">
        <f>0.88-G32</f>
        <v>0.80666666666666664</v>
      </c>
      <c r="K33" s="82">
        <f t="shared" ref="K33:K34" si="30">4.816*H33</f>
        <v>3.7163466666666665</v>
      </c>
      <c r="L33" s="82">
        <f t="shared" si="29"/>
        <v>3.7885866666666663</v>
      </c>
      <c r="M33" s="82">
        <f t="shared" si="29"/>
        <v>3.8849066666666663</v>
      </c>
      <c r="N33" s="82">
        <f t="shared" ref="N33:N34" si="31">AVERAGE(K33:M33)</f>
        <v>3.7966133333333332</v>
      </c>
      <c r="O33" s="82">
        <f t="shared" ref="O33:O34" si="32">N33/10</f>
        <v>0.3796613333333333</v>
      </c>
      <c r="P33" s="82">
        <f t="shared" ref="P33:P55" si="33">O33/14</f>
        <v>2.7118666666666662E-2</v>
      </c>
      <c r="Q33" s="82">
        <f t="shared" ref="Q33:Q55" si="34">P33</f>
        <v>2.7118666666666662E-2</v>
      </c>
      <c r="R33" s="82">
        <f t="shared" ref="R33:R55" si="35">Q33*62</f>
        <v>1.6813573333333331</v>
      </c>
      <c r="S33" s="134"/>
      <c r="T33" s="56"/>
      <c r="U33" s="79"/>
      <c r="W33" s="87">
        <f>D38</f>
        <v>95.733333333333334</v>
      </c>
      <c r="X33" s="82">
        <f>S40</f>
        <v>1.2968855478306878</v>
      </c>
      <c r="Y33" s="82">
        <f>U40</f>
        <v>0.10943445974667557</v>
      </c>
      <c r="Z33" s="82"/>
      <c r="AA33" s="135"/>
      <c r="AB33" s="135"/>
      <c r="AC33" s="135"/>
    </row>
    <row r="34" spans="2:29" x14ac:dyDescent="0.15">
      <c r="B34" s="263"/>
      <c r="C34" s="267"/>
      <c r="D34" s="265"/>
      <c r="E34" s="245"/>
      <c r="F34" s="90" t="s">
        <v>109</v>
      </c>
      <c r="G34" s="272"/>
      <c r="H34" s="91">
        <f>0.816-G32</f>
        <v>0.74266666666666659</v>
      </c>
      <c r="I34" s="92">
        <f>0.83-G32</f>
        <v>0.7566666666666666</v>
      </c>
      <c r="J34" s="92">
        <f>0.871-G32</f>
        <v>0.79766666666666663</v>
      </c>
      <c r="K34" s="92">
        <f t="shared" si="30"/>
        <v>3.5766826666666662</v>
      </c>
      <c r="L34" s="92">
        <f t="shared" si="29"/>
        <v>3.6441066666666662</v>
      </c>
      <c r="M34" s="92">
        <f t="shared" si="29"/>
        <v>3.8415626666666665</v>
      </c>
      <c r="N34" s="92">
        <f t="shared" si="31"/>
        <v>3.6874506666666664</v>
      </c>
      <c r="O34" s="92">
        <f t="shared" si="32"/>
        <v>0.36874506666666662</v>
      </c>
      <c r="P34" s="92">
        <f t="shared" si="33"/>
        <v>2.6338933333333332E-2</v>
      </c>
      <c r="Q34" s="92">
        <f t="shared" si="34"/>
        <v>2.6338933333333332E-2</v>
      </c>
      <c r="R34" s="92">
        <f t="shared" si="35"/>
        <v>1.6330138666666665</v>
      </c>
      <c r="S34" s="140">
        <f>AVERAGE(R32:R33)</f>
        <v>1.6212834666666665</v>
      </c>
      <c r="T34" s="92">
        <f>STDEV(R32:R33)</f>
        <v>8.4957276984193031E-2</v>
      </c>
      <c r="U34" s="141">
        <f>T34/SQRT(2)</f>
        <v>6.0073866666666691E-2</v>
      </c>
      <c r="W34" s="87">
        <f>D41</f>
        <v>145.55000000000001</v>
      </c>
      <c r="X34" s="82">
        <f>S43</f>
        <v>1.3423781954497354</v>
      </c>
      <c r="Y34" s="82">
        <f>U43</f>
        <v>2.7323408309992192E-2</v>
      </c>
      <c r="Z34" s="82"/>
      <c r="AA34" s="135"/>
      <c r="AB34" s="135"/>
      <c r="AC34" s="135"/>
    </row>
    <row r="35" spans="2:29" x14ac:dyDescent="0.15">
      <c r="B35" s="260" t="s">
        <v>25</v>
      </c>
      <c r="C35" s="258">
        <v>0.43124999999999997</v>
      </c>
      <c r="D35" s="256">
        <f>13/60+48</f>
        <v>48.216666666666669</v>
      </c>
      <c r="E35" s="244">
        <v>3</v>
      </c>
      <c r="F35" s="80" t="s">
        <v>107</v>
      </c>
      <c r="G35" s="269">
        <v>7.5999999999999998E-2</v>
      </c>
      <c r="H35" s="81">
        <f>0.79-G35</f>
        <v>0.71400000000000008</v>
      </c>
      <c r="I35" s="82">
        <f>0.79-G35</f>
        <v>0.71400000000000008</v>
      </c>
      <c r="J35" s="82">
        <f>0.778-G35</f>
        <v>0.70200000000000007</v>
      </c>
      <c r="K35" s="82">
        <f>4.975*H35</f>
        <v>3.5521500000000001</v>
      </c>
      <c r="L35" s="82">
        <f t="shared" ref="L35:M37" si="36">4.975*I35</f>
        <v>3.5521500000000001</v>
      </c>
      <c r="M35" s="82">
        <f t="shared" si="36"/>
        <v>3.4924500000000003</v>
      </c>
      <c r="N35" s="82">
        <f>AVERAGE(K35:M35)</f>
        <v>3.5322499999999999</v>
      </c>
      <c r="O35" s="82">
        <f>N35/10</f>
        <v>0.35322500000000001</v>
      </c>
      <c r="P35" s="82">
        <f t="shared" si="33"/>
        <v>2.5230357142857145E-2</v>
      </c>
      <c r="Q35" s="82">
        <f t="shared" si="34"/>
        <v>2.5230357142857145E-2</v>
      </c>
      <c r="R35" s="82">
        <f t="shared" si="35"/>
        <v>1.564282142857143</v>
      </c>
      <c r="S35" s="136"/>
      <c r="T35" s="82"/>
      <c r="U35" s="137"/>
      <c r="W35" s="87">
        <f>D44</f>
        <v>240.6</v>
      </c>
      <c r="X35" s="82">
        <f>S46</f>
        <v>1.1323132234920632</v>
      </c>
      <c r="Y35" s="82">
        <f>U46</f>
        <v>2.3592510858527233E-2</v>
      </c>
      <c r="Z35" s="82"/>
      <c r="AA35" s="135"/>
      <c r="AB35" s="135"/>
      <c r="AC35" s="135"/>
    </row>
    <row r="36" spans="2:29" ht="15" customHeight="1" x14ac:dyDescent="0.15">
      <c r="B36" s="260"/>
      <c r="C36" s="258"/>
      <c r="D36" s="256"/>
      <c r="E36" s="244"/>
      <c r="F36" s="80" t="s">
        <v>108</v>
      </c>
      <c r="G36" s="269"/>
      <c r="H36" s="81">
        <f>0.797-G35</f>
        <v>0.72100000000000009</v>
      </c>
      <c r="I36" s="82">
        <f>0.804-G35</f>
        <v>0.72800000000000009</v>
      </c>
      <c r="J36" s="82">
        <f>0.796-G35</f>
        <v>0.72000000000000008</v>
      </c>
      <c r="K36" s="105">
        <f t="shared" ref="K36:K37" si="37">4.975*H36</f>
        <v>3.5869750000000002</v>
      </c>
      <c r="L36" s="105">
        <f t="shared" si="36"/>
        <v>3.6218000000000004</v>
      </c>
      <c r="M36" s="105">
        <f t="shared" si="36"/>
        <v>3.5820000000000003</v>
      </c>
      <c r="N36" s="82">
        <f t="shared" ref="N36:N37" si="38">AVERAGE(K36:M36)</f>
        <v>3.5969250000000006</v>
      </c>
      <c r="O36" s="82">
        <f t="shared" ref="O36:O37" si="39">N36/10</f>
        <v>0.35969250000000008</v>
      </c>
      <c r="P36" s="82">
        <f t="shared" si="33"/>
        <v>2.5692321428571436E-2</v>
      </c>
      <c r="Q36" s="82">
        <f t="shared" si="34"/>
        <v>2.5692321428571436E-2</v>
      </c>
      <c r="R36" s="82">
        <f t="shared" si="35"/>
        <v>1.5929239285714289</v>
      </c>
      <c r="S36" s="136"/>
      <c r="T36" s="82"/>
      <c r="U36" s="137"/>
      <c r="W36" s="87">
        <f>D47</f>
        <v>289.68333333333334</v>
      </c>
      <c r="X36" s="82">
        <f>S49</f>
        <v>1.0666611208730161</v>
      </c>
      <c r="Y36" s="82">
        <f>U49</f>
        <v>1.8260891007055063E-2</v>
      </c>
      <c r="Z36" s="82"/>
      <c r="AA36" s="135"/>
      <c r="AB36" s="135"/>
      <c r="AC36" s="135"/>
    </row>
    <row r="37" spans="2:29" ht="15" customHeight="1" x14ac:dyDescent="0.15">
      <c r="B37" s="263"/>
      <c r="C37" s="267"/>
      <c r="D37" s="265"/>
      <c r="E37" s="245"/>
      <c r="F37" s="90" t="s">
        <v>109</v>
      </c>
      <c r="G37" s="272"/>
      <c r="H37" s="91">
        <f>0.827-G35</f>
        <v>0.751</v>
      </c>
      <c r="I37" s="92">
        <f>0.802-G35</f>
        <v>0.72600000000000009</v>
      </c>
      <c r="J37" s="92">
        <f>0.791-G35</f>
        <v>0.71500000000000008</v>
      </c>
      <c r="K37" s="185">
        <f t="shared" si="37"/>
        <v>3.7362249999999997</v>
      </c>
      <c r="L37" s="185">
        <f t="shared" si="36"/>
        <v>3.61185</v>
      </c>
      <c r="M37" s="185">
        <f t="shared" si="36"/>
        <v>3.5571250000000001</v>
      </c>
      <c r="N37" s="92">
        <f t="shared" si="38"/>
        <v>3.6350666666666669</v>
      </c>
      <c r="O37" s="92">
        <f t="shared" si="39"/>
        <v>0.3635066666666667</v>
      </c>
      <c r="P37" s="92">
        <f t="shared" si="33"/>
        <v>2.5964761904761907E-2</v>
      </c>
      <c r="Q37" s="92">
        <f t="shared" si="34"/>
        <v>2.5964761904761907E-2</v>
      </c>
      <c r="R37" s="92">
        <f t="shared" si="35"/>
        <v>1.6098152380952382</v>
      </c>
      <c r="S37" s="140">
        <f>AVERAGE(R35:R37)</f>
        <v>1.5890071031746034</v>
      </c>
      <c r="T37" s="92">
        <f>STDEV(R35:R37)</f>
        <v>2.3017858966078407E-2</v>
      </c>
      <c r="U37" s="141">
        <f>T37/SQRT(3)</f>
        <v>1.3289367070234211E-2</v>
      </c>
      <c r="W37" s="87">
        <f>D50</f>
        <v>336.95</v>
      </c>
      <c r="X37" s="82">
        <f>S52</f>
        <v>0.99777652523809512</v>
      </c>
      <c r="Y37" s="82">
        <f>U52</f>
        <v>5.1383067238871483E-2</v>
      </c>
      <c r="Z37" s="82"/>
      <c r="AA37" s="135"/>
      <c r="AB37" s="135"/>
      <c r="AC37" s="135"/>
    </row>
    <row r="38" spans="2:29" x14ac:dyDescent="0.15">
      <c r="B38" s="260" t="s">
        <v>27</v>
      </c>
      <c r="C38" s="258">
        <v>0.41111111111111115</v>
      </c>
      <c r="D38" s="256">
        <f>11+31/60+12+24+D35</f>
        <v>95.733333333333334</v>
      </c>
      <c r="E38" s="244">
        <v>5</v>
      </c>
      <c r="F38" s="80" t="s">
        <v>107</v>
      </c>
      <c r="G38" s="269">
        <v>6.9500000000000006E-2</v>
      </c>
      <c r="H38" s="81">
        <f>0.981-G38</f>
        <v>0.91149999999999998</v>
      </c>
      <c r="I38" s="82">
        <f>0.992-G38</f>
        <v>0.92249999999999999</v>
      </c>
      <c r="J38" s="82">
        <f>1.086-G38</f>
        <v>1.0165000000000002</v>
      </c>
      <c r="K38" s="82">
        <f>5.0662*H38</f>
        <v>4.6178413000000003</v>
      </c>
      <c r="L38" s="82">
        <f t="shared" ref="L38:M40" si="40">5.0662*I38</f>
        <v>4.6735695000000002</v>
      </c>
      <c r="M38" s="82">
        <f t="shared" si="40"/>
        <v>5.1497923000000014</v>
      </c>
      <c r="N38" s="82">
        <f>AVERAGE(K38:M38)</f>
        <v>4.8137343666666679</v>
      </c>
      <c r="O38" s="82">
        <f>N38/15</f>
        <v>0.32091562444444455</v>
      </c>
      <c r="P38" s="82">
        <f t="shared" si="33"/>
        <v>2.2922544603174611E-2</v>
      </c>
      <c r="Q38" s="82">
        <f t="shared" si="34"/>
        <v>2.2922544603174611E-2</v>
      </c>
      <c r="R38" s="82">
        <f t="shared" si="35"/>
        <v>1.4211977653968257</v>
      </c>
      <c r="S38" s="136"/>
      <c r="T38" s="82"/>
      <c r="U38" s="137"/>
      <c r="W38" s="87">
        <f>D53</f>
        <v>385.23333333333335</v>
      </c>
      <c r="X38" s="82">
        <f>S55</f>
        <v>0.88831447222222215</v>
      </c>
      <c r="Y38" s="82">
        <f>U55</f>
        <v>2.7319459626881648E-2</v>
      </c>
      <c r="Z38" s="82"/>
      <c r="AA38" s="135"/>
      <c r="AB38" s="135"/>
      <c r="AC38" s="135"/>
    </row>
    <row r="39" spans="2:29" ht="15" customHeight="1" x14ac:dyDescent="0.15">
      <c r="B39" s="260"/>
      <c r="C39" s="258"/>
      <c r="D39" s="256"/>
      <c r="E39" s="244"/>
      <c r="F39" s="80" t="s">
        <v>108</v>
      </c>
      <c r="G39" s="269"/>
      <c r="H39" s="81">
        <f>0.807-G38</f>
        <v>0.73750000000000004</v>
      </c>
      <c r="I39" s="82">
        <f>0.815-G38</f>
        <v>0.74549999999999994</v>
      </c>
      <c r="J39" s="82">
        <f>0.84-G38</f>
        <v>0.77049999999999996</v>
      </c>
      <c r="K39" s="82">
        <f t="shared" ref="K39:K40" si="41">5.0662*H39</f>
        <v>3.7363225000000004</v>
      </c>
      <c r="L39" s="82">
        <f t="shared" si="40"/>
        <v>3.7768520999999997</v>
      </c>
      <c r="M39" s="82">
        <f t="shared" si="40"/>
        <v>3.9035071000000001</v>
      </c>
      <c r="N39" s="82">
        <f t="shared" ref="N39:N55" si="42">AVERAGE(K39:M39)</f>
        <v>3.8055605666666668</v>
      </c>
      <c r="O39" s="82">
        <f t="shared" ref="O39:O40" si="43">N39/15</f>
        <v>0.25370403777777778</v>
      </c>
      <c r="P39" s="82">
        <f t="shared" si="33"/>
        <v>1.8121716984126984E-2</v>
      </c>
      <c r="Q39" s="82">
        <f t="shared" si="34"/>
        <v>1.8121716984126984E-2</v>
      </c>
      <c r="R39" s="82">
        <f t="shared" si="35"/>
        <v>1.123546453015873</v>
      </c>
      <c r="S39" s="136"/>
      <c r="T39" s="82"/>
      <c r="U39" s="137"/>
      <c r="W39" s="87"/>
      <c r="X39" s="82"/>
      <c r="Y39" s="82"/>
      <c r="Z39" s="82"/>
      <c r="AA39" s="135"/>
      <c r="AB39" s="135"/>
      <c r="AC39" s="135"/>
    </row>
    <row r="40" spans="2:29" ht="15" customHeight="1" x14ac:dyDescent="0.15">
      <c r="B40" s="263"/>
      <c r="C40" s="267"/>
      <c r="D40" s="265"/>
      <c r="E40" s="245"/>
      <c r="F40" s="90" t="s">
        <v>109</v>
      </c>
      <c r="G40" s="272"/>
      <c r="H40" s="91">
        <f>0.959-G38</f>
        <v>0.88949999999999996</v>
      </c>
      <c r="I40" s="92">
        <f>0.966-G38</f>
        <v>0.89649999999999996</v>
      </c>
      <c r="J40" s="92">
        <f>0.983-G38</f>
        <v>0.91349999999999998</v>
      </c>
      <c r="K40" s="92">
        <f t="shared" si="41"/>
        <v>4.5063848999999996</v>
      </c>
      <c r="L40" s="92">
        <f t="shared" si="40"/>
        <v>4.5418482999999998</v>
      </c>
      <c r="M40" s="92">
        <f t="shared" si="40"/>
        <v>4.6279737000000001</v>
      </c>
      <c r="N40" s="92">
        <f t="shared" si="42"/>
        <v>4.5587356333333329</v>
      </c>
      <c r="O40" s="92">
        <f t="shared" si="43"/>
        <v>0.30391570888888886</v>
      </c>
      <c r="P40" s="92">
        <f t="shared" si="33"/>
        <v>2.1708264920634917E-2</v>
      </c>
      <c r="Q40" s="92">
        <f t="shared" si="34"/>
        <v>2.1708264920634917E-2</v>
      </c>
      <c r="R40" s="92">
        <f t="shared" si="35"/>
        <v>1.3459124250793648</v>
      </c>
      <c r="S40" s="140">
        <f>AVERAGE(R38:R40)</f>
        <v>1.2968855478306878</v>
      </c>
      <c r="T40" s="92">
        <f>STDEV(R38:R40)</f>
        <v>0.15476369716472113</v>
      </c>
      <c r="U40" s="141">
        <f>T40/SQRT(2)</f>
        <v>0.10943445974667557</v>
      </c>
      <c r="W40" s="87"/>
      <c r="X40" s="82"/>
      <c r="Y40" s="82"/>
      <c r="Z40" s="82"/>
      <c r="AA40" s="135"/>
      <c r="AB40" s="135"/>
      <c r="AC40" s="135"/>
    </row>
    <row r="41" spans="2:29" x14ac:dyDescent="0.15">
      <c r="B41" s="260" t="s">
        <v>40</v>
      </c>
      <c r="C41" s="258">
        <v>0.48680555555555555</v>
      </c>
      <c r="D41" s="256">
        <f>1+49/60+48+D38</f>
        <v>145.55000000000001</v>
      </c>
      <c r="E41" s="244">
        <v>7</v>
      </c>
      <c r="F41" s="80" t="s">
        <v>107</v>
      </c>
      <c r="G41" s="269">
        <v>6.8000000000000005E-2</v>
      </c>
      <c r="H41" s="81">
        <f>0.988-G41</f>
        <v>0.91999999999999993</v>
      </c>
      <c r="I41" s="82">
        <f>1.015-G41</f>
        <v>0.94699999999999984</v>
      </c>
      <c r="J41" s="82">
        <f>1.017-G41</f>
        <v>0.94899999999999984</v>
      </c>
      <c r="K41" s="82">
        <f>5.0327*H41</f>
        <v>4.6300840000000001</v>
      </c>
      <c r="L41" s="82">
        <f t="shared" ref="L41:M43" si="44">5.0327*I41</f>
        <v>4.7659668999999996</v>
      </c>
      <c r="M41" s="82">
        <f t="shared" si="44"/>
        <v>4.7760322999999998</v>
      </c>
      <c r="N41" s="82">
        <f t="shared" si="42"/>
        <v>4.7240277333333331</v>
      </c>
      <c r="O41" s="82">
        <f>N41/15</f>
        <v>0.31493518222222222</v>
      </c>
      <c r="P41" s="82">
        <f t="shared" si="33"/>
        <v>2.2495370158730158E-2</v>
      </c>
      <c r="Q41" s="82">
        <f t="shared" si="34"/>
        <v>2.2495370158730158E-2</v>
      </c>
      <c r="R41" s="82">
        <f t="shared" si="35"/>
        <v>1.3947129498412698</v>
      </c>
      <c r="S41" s="134"/>
      <c r="T41" s="56"/>
      <c r="U41" s="79"/>
      <c r="W41" s="135"/>
    </row>
    <row r="42" spans="2:29" x14ac:dyDescent="0.15">
      <c r="B42" s="260"/>
      <c r="C42" s="258"/>
      <c r="D42" s="256"/>
      <c r="E42" s="244"/>
      <c r="F42" s="80" t="s">
        <v>108</v>
      </c>
      <c r="G42" s="269"/>
      <c r="H42" s="81">
        <f>0.988-G41</f>
        <v>0.91999999999999993</v>
      </c>
      <c r="I42" s="82">
        <f>0.958-G41</f>
        <v>0.8899999999999999</v>
      </c>
      <c r="J42" s="82">
        <f>0.943-G41</f>
        <v>0.875</v>
      </c>
      <c r="K42" s="105">
        <f t="shared" ref="K42:K43" si="45">5.0327*H42</f>
        <v>4.6300840000000001</v>
      </c>
      <c r="L42" s="105">
        <f t="shared" si="44"/>
        <v>4.4791029999999994</v>
      </c>
      <c r="M42" s="105">
        <f t="shared" si="44"/>
        <v>4.4036125000000004</v>
      </c>
      <c r="N42" s="82">
        <f t="shared" si="42"/>
        <v>4.5042665</v>
      </c>
      <c r="O42" s="82">
        <f t="shared" ref="O42:O43" si="46">N42/15</f>
        <v>0.30028443333333332</v>
      </c>
      <c r="P42" s="82">
        <f t="shared" si="33"/>
        <v>2.1448888095238094E-2</v>
      </c>
      <c r="Q42" s="82">
        <f t="shared" si="34"/>
        <v>2.1448888095238094E-2</v>
      </c>
      <c r="R42" s="82">
        <f t="shared" si="35"/>
        <v>1.3298310619047617</v>
      </c>
      <c r="S42" s="134"/>
      <c r="T42" s="56"/>
      <c r="U42" s="79"/>
    </row>
    <row r="43" spans="2:29" x14ac:dyDescent="0.15">
      <c r="B43" s="263"/>
      <c r="C43" s="267"/>
      <c r="D43" s="265"/>
      <c r="E43" s="245"/>
      <c r="F43" s="90" t="s">
        <v>109</v>
      </c>
      <c r="G43" s="272"/>
      <c r="H43" s="91">
        <f>0.925-G41</f>
        <v>0.85699999999999998</v>
      </c>
      <c r="I43" s="92">
        <f>0.956-G41</f>
        <v>0.8879999999999999</v>
      </c>
      <c r="J43" s="92">
        <f>0.953-G41</f>
        <v>0.88500000000000001</v>
      </c>
      <c r="K43" s="185">
        <f t="shared" si="45"/>
        <v>4.3130239000000001</v>
      </c>
      <c r="L43" s="185">
        <f t="shared" si="44"/>
        <v>4.4690376000000001</v>
      </c>
      <c r="M43" s="185">
        <f t="shared" si="44"/>
        <v>4.4539395000000006</v>
      </c>
      <c r="N43" s="92">
        <f t="shared" si="42"/>
        <v>4.4120003333333342</v>
      </c>
      <c r="O43" s="92">
        <f t="shared" si="46"/>
        <v>0.29413335555555559</v>
      </c>
      <c r="P43" s="92">
        <f t="shared" si="33"/>
        <v>2.10095253968254E-2</v>
      </c>
      <c r="Q43" s="92">
        <f t="shared" si="34"/>
        <v>2.10095253968254E-2</v>
      </c>
      <c r="R43" s="92">
        <f t="shared" si="35"/>
        <v>1.3025905746031747</v>
      </c>
      <c r="S43" s="140">
        <f>AVERAGE(R41:R43)</f>
        <v>1.3423781954497354</v>
      </c>
      <c r="T43" s="92">
        <f>STDEV(R41:R43)</f>
        <v>4.7325531428856149E-2</v>
      </c>
      <c r="U43" s="141">
        <f>T43/SQRT(3)</f>
        <v>2.7323408309992192E-2</v>
      </c>
    </row>
    <row r="44" spans="2:29" x14ac:dyDescent="0.15">
      <c r="B44" s="289" t="s">
        <v>33</v>
      </c>
      <c r="C44" s="287">
        <v>0.44722222222222219</v>
      </c>
      <c r="D44" s="285">
        <v>240.6</v>
      </c>
      <c r="E44" s="283">
        <v>11</v>
      </c>
      <c r="F44" s="80" t="s">
        <v>107</v>
      </c>
      <c r="G44" s="273">
        <v>7.0000000000000007E-2</v>
      </c>
      <c r="H44" s="81">
        <f>1.082-G44</f>
        <v>1.012</v>
      </c>
      <c r="I44" s="82">
        <f>1.107-G44</f>
        <v>1.0369999999999999</v>
      </c>
      <c r="J44" s="82">
        <f>1.086-G44</f>
        <v>1.016</v>
      </c>
      <c r="K44" s="82">
        <f>5.1752*H44</f>
        <v>5.2373023999999999</v>
      </c>
      <c r="L44" s="82">
        <f t="shared" ref="L44:M46" si="47">5.1752*I44</f>
        <v>5.3666824000000002</v>
      </c>
      <c r="M44" s="82">
        <f t="shared" si="47"/>
        <v>5.2580032000000001</v>
      </c>
      <c r="N44" s="82">
        <f t="shared" si="42"/>
        <v>5.2873293333333331</v>
      </c>
      <c r="O44" s="82">
        <f>N44/20</f>
        <v>0.26436646666666663</v>
      </c>
      <c r="P44" s="82">
        <f t="shared" si="33"/>
        <v>1.8883319047619047E-2</v>
      </c>
      <c r="Q44" s="82">
        <f t="shared" si="34"/>
        <v>1.8883319047619047E-2</v>
      </c>
      <c r="R44" s="82">
        <f t="shared" si="35"/>
        <v>1.1707657809523808</v>
      </c>
      <c r="S44" s="134"/>
      <c r="T44" s="56"/>
      <c r="U44" s="79"/>
    </row>
    <row r="45" spans="2:29" x14ac:dyDescent="0.15">
      <c r="B45" s="289"/>
      <c r="C45" s="287"/>
      <c r="D45" s="285"/>
      <c r="E45" s="283"/>
      <c r="F45" s="80" t="s">
        <v>108</v>
      </c>
      <c r="G45" s="273"/>
      <c r="H45" s="81">
        <f>1.06-G44</f>
        <v>0.99</v>
      </c>
      <c r="I45" s="82">
        <f>1.078-G44</f>
        <v>1.008</v>
      </c>
      <c r="J45" s="82">
        <f>1.048-G44</f>
        <v>0.97799999999999998</v>
      </c>
      <c r="K45" s="105">
        <f t="shared" ref="K45:K46" si="48">5.1752*H45</f>
        <v>5.1234479999999998</v>
      </c>
      <c r="L45" s="105">
        <f t="shared" si="47"/>
        <v>5.2166016000000006</v>
      </c>
      <c r="M45" s="105">
        <f t="shared" si="47"/>
        <v>5.0613456000000001</v>
      </c>
      <c r="N45" s="82">
        <f t="shared" si="42"/>
        <v>5.1337983999999999</v>
      </c>
      <c r="O45" s="82">
        <f t="shared" ref="O45:O46" si="49">N45/20</f>
        <v>0.25668992000000002</v>
      </c>
      <c r="P45" s="82">
        <f t="shared" si="33"/>
        <v>1.8334994285714286E-2</v>
      </c>
      <c r="Q45" s="82">
        <f t="shared" si="34"/>
        <v>1.8334994285714286E-2</v>
      </c>
      <c r="R45" s="82">
        <f t="shared" si="35"/>
        <v>1.1367696457142857</v>
      </c>
      <c r="S45" s="134"/>
      <c r="T45" s="56"/>
      <c r="U45" s="79"/>
    </row>
    <row r="46" spans="2:29" x14ac:dyDescent="0.15">
      <c r="B46" s="290"/>
      <c r="C46" s="288"/>
      <c r="D46" s="286"/>
      <c r="E46" s="284"/>
      <c r="F46" s="90" t="s">
        <v>109</v>
      </c>
      <c r="G46" s="282"/>
      <c r="H46" s="91">
        <f>1.007-G44</f>
        <v>0.93699999999999983</v>
      </c>
      <c r="I46" s="92">
        <f>1.024-G44</f>
        <v>0.95399999999999996</v>
      </c>
      <c r="J46" s="92">
        <f>1.031-G44</f>
        <v>0.96099999999999985</v>
      </c>
      <c r="K46" s="185">
        <f t="shared" si="48"/>
        <v>4.8491623999999991</v>
      </c>
      <c r="L46" s="185">
        <f t="shared" si="47"/>
        <v>4.9371407999999999</v>
      </c>
      <c r="M46" s="185">
        <f t="shared" si="47"/>
        <v>4.9733671999999993</v>
      </c>
      <c r="N46" s="92">
        <f t="shared" si="42"/>
        <v>4.9198901333333325</v>
      </c>
      <c r="O46" s="92">
        <f t="shared" si="49"/>
        <v>0.24599450666666661</v>
      </c>
      <c r="P46" s="92">
        <f t="shared" si="33"/>
        <v>1.7571036190476185E-2</v>
      </c>
      <c r="Q46" s="92">
        <f t="shared" si="34"/>
        <v>1.7571036190476185E-2</v>
      </c>
      <c r="R46" s="92">
        <f t="shared" si="35"/>
        <v>1.0894042438095235</v>
      </c>
      <c r="S46" s="140">
        <f>AVERAGE(R44:R46)</f>
        <v>1.1323132234920632</v>
      </c>
      <c r="T46" s="92">
        <f>STDEV(R44:R46)</f>
        <v>4.0863427485089594E-2</v>
      </c>
      <c r="U46" s="141">
        <f>T46/SQRT(3)</f>
        <v>2.3592510858527233E-2</v>
      </c>
    </row>
    <row r="47" spans="2:29" x14ac:dyDescent="0.15">
      <c r="B47" s="260" t="s">
        <v>34</v>
      </c>
      <c r="C47" s="258">
        <v>0.49236111111111108</v>
      </c>
      <c r="D47" s="256">
        <f>1+5/60+48+D44</f>
        <v>289.68333333333334</v>
      </c>
      <c r="E47" s="244">
        <v>13</v>
      </c>
      <c r="F47" s="80" t="s">
        <v>107</v>
      </c>
      <c r="G47" s="269">
        <v>7.3999999999999996E-2</v>
      </c>
      <c r="H47" s="81">
        <f>0.945-G47</f>
        <v>0.871</v>
      </c>
      <c r="I47" s="82">
        <f>0.937-G47</f>
        <v>0.8630000000000001</v>
      </c>
      <c r="J47" s="82">
        <f>0.946-G47</f>
        <v>0.872</v>
      </c>
      <c r="K47" s="82">
        <f>5.3597*H47</f>
        <v>4.6682987000000002</v>
      </c>
      <c r="L47" s="82">
        <f t="shared" ref="L47:M49" si="50">5.3597*I47</f>
        <v>4.6254211000000005</v>
      </c>
      <c r="M47" s="82">
        <f t="shared" si="50"/>
        <v>4.6736583999999999</v>
      </c>
      <c r="N47" s="82">
        <f t="shared" si="42"/>
        <v>4.6557927333333344</v>
      </c>
      <c r="O47" s="82">
        <f>N47/20</f>
        <v>0.23278963666666672</v>
      </c>
      <c r="P47" s="82">
        <f t="shared" si="33"/>
        <v>1.6627831190476193E-2</v>
      </c>
      <c r="Q47" s="82">
        <f t="shared" si="34"/>
        <v>1.6627831190476193E-2</v>
      </c>
      <c r="R47" s="82">
        <f t="shared" si="35"/>
        <v>1.030925533809524</v>
      </c>
      <c r="S47" s="136"/>
      <c r="T47" s="82"/>
      <c r="U47" s="137"/>
    </row>
    <row r="48" spans="2:29" x14ac:dyDescent="0.15">
      <c r="B48" s="260"/>
      <c r="C48" s="258"/>
      <c r="D48" s="256"/>
      <c r="E48" s="244"/>
      <c r="F48" s="80" t="s">
        <v>108</v>
      </c>
      <c r="G48" s="269"/>
      <c r="H48" s="81">
        <f>0.961-G47</f>
        <v>0.88700000000000001</v>
      </c>
      <c r="I48" s="82">
        <f>1.008-G47</f>
        <v>0.93400000000000005</v>
      </c>
      <c r="J48" s="82">
        <f>1.011-G47</f>
        <v>0.93699999999999994</v>
      </c>
      <c r="K48" s="105">
        <f t="shared" ref="K48:K49" si="51">5.3597*H48</f>
        <v>4.7540539000000006</v>
      </c>
      <c r="L48" s="105">
        <f t="shared" si="50"/>
        <v>5.0059598000000003</v>
      </c>
      <c r="M48" s="105">
        <f t="shared" si="50"/>
        <v>5.0220389000000001</v>
      </c>
      <c r="N48" s="82">
        <f t="shared" si="42"/>
        <v>4.927350866666667</v>
      </c>
      <c r="O48" s="105">
        <f t="shared" ref="O48:O49" si="52">N48/20</f>
        <v>0.24636754333333336</v>
      </c>
      <c r="P48" s="82">
        <f t="shared" si="33"/>
        <v>1.7597681666666667E-2</v>
      </c>
      <c r="Q48" s="82">
        <f t="shared" si="34"/>
        <v>1.7597681666666667E-2</v>
      </c>
      <c r="R48" s="82">
        <f t="shared" si="35"/>
        <v>1.0910562633333334</v>
      </c>
      <c r="S48" s="136"/>
      <c r="T48" s="82"/>
      <c r="U48" s="137"/>
    </row>
    <row r="49" spans="2:29" x14ac:dyDescent="0.15">
      <c r="B49" s="263"/>
      <c r="C49" s="267"/>
      <c r="D49" s="265"/>
      <c r="E49" s="245"/>
      <c r="F49" s="90" t="s">
        <v>109</v>
      </c>
      <c r="G49" s="272"/>
      <c r="H49" s="91">
        <f>0.973-G47</f>
        <v>0.89900000000000002</v>
      </c>
      <c r="I49" s="92">
        <f>0.986-G47</f>
        <v>0.91200000000000003</v>
      </c>
      <c r="J49" s="92">
        <f>0.988-G47</f>
        <v>0.91400000000000003</v>
      </c>
      <c r="K49" s="185">
        <f t="shared" si="51"/>
        <v>4.8183703000000007</v>
      </c>
      <c r="L49" s="185">
        <f t="shared" si="50"/>
        <v>4.8880464000000003</v>
      </c>
      <c r="M49" s="185">
        <f t="shared" si="50"/>
        <v>4.8987658000000005</v>
      </c>
      <c r="N49" s="92">
        <f t="shared" si="42"/>
        <v>4.8683941666666675</v>
      </c>
      <c r="O49" s="185">
        <f t="shared" si="52"/>
        <v>0.24341970833333337</v>
      </c>
      <c r="P49" s="92">
        <f t="shared" si="33"/>
        <v>1.7387122023809525E-2</v>
      </c>
      <c r="Q49" s="92">
        <f t="shared" si="34"/>
        <v>1.7387122023809525E-2</v>
      </c>
      <c r="R49" s="92">
        <f t="shared" si="35"/>
        <v>1.0780015654761905</v>
      </c>
      <c r="S49" s="140">
        <f>AVERAGE(R47:R49)</f>
        <v>1.0666611208730161</v>
      </c>
      <c r="T49" s="92">
        <f>STDEV(R47:R49)</f>
        <v>3.1628791015696968E-2</v>
      </c>
      <c r="U49" s="141">
        <f>T49/SQRT(3)</f>
        <v>1.8260891007055063E-2</v>
      </c>
    </row>
    <row r="50" spans="2:29" x14ac:dyDescent="0.15">
      <c r="B50" s="260" t="s">
        <v>36</v>
      </c>
      <c r="C50" s="258">
        <v>0.46180555555555558</v>
      </c>
      <c r="D50" s="256">
        <f>11+16/60+12+24+D47</f>
        <v>336.95</v>
      </c>
      <c r="E50" s="244">
        <v>15</v>
      </c>
      <c r="F50" s="80" t="s">
        <v>107</v>
      </c>
      <c r="G50" s="269">
        <v>8.5666666666666669E-2</v>
      </c>
      <c r="H50" s="81">
        <f>0.95-G50</f>
        <v>0.86433333333333329</v>
      </c>
      <c r="I50" s="82">
        <f>0.954-G50</f>
        <v>0.86833333333333329</v>
      </c>
      <c r="J50" s="82">
        <f>0.964-G50</f>
        <v>0.8783333333333333</v>
      </c>
      <c r="K50" s="82">
        <f>5.2847*H50</f>
        <v>4.5677423666666668</v>
      </c>
      <c r="L50" s="82">
        <f t="shared" ref="L50:M52" si="53">5.2847*I50</f>
        <v>4.588881166666666</v>
      </c>
      <c r="M50" s="82">
        <f t="shared" si="53"/>
        <v>4.6417281666666668</v>
      </c>
      <c r="N50" s="82">
        <f t="shared" si="42"/>
        <v>4.5994505666666665</v>
      </c>
      <c r="O50" s="82">
        <f>N50/20</f>
        <v>0.22997252833333331</v>
      </c>
      <c r="P50" s="82">
        <f t="shared" si="33"/>
        <v>1.6426609166666665E-2</v>
      </c>
      <c r="Q50" s="82">
        <f t="shared" si="34"/>
        <v>1.6426609166666665E-2</v>
      </c>
      <c r="R50" s="82">
        <f t="shared" si="35"/>
        <v>1.0184497683333331</v>
      </c>
      <c r="S50" s="136"/>
      <c r="T50" s="82"/>
      <c r="U50" s="137"/>
    </row>
    <row r="51" spans="2:29" x14ac:dyDescent="0.15">
      <c r="B51" s="260"/>
      <c r="C51" s="258"/>
      <c r="D51" s="256"/>
      <c r="E51" s="244"/>
      <c r="F51" s="80" t="s">
        <v>108</v>
      </c>
      <c r="G51" s="269"/>
      <c r="H51" s="81">
        <f>0.975-G50</f>
        <v>0.88933333333333331</v>
      </c>
      <c r="I51" s="82">
        <f>1.005-G50</f>
        <v>0.91933333333333322</v>
      </c>
      <c r="J51" s="82">
        <f>1.032-G50</f>
        <v>0.94633333333333336</v>
      </c>
      <c r="K51" s="105">
        <f t="shared" ref="K51:K52" si="54">5.2847*H51</f>
        <v>4.6998598666666664</v>
      </c>
      <c r="L51" s="105">
        <f t="shared" si="53"/>
        <v>4.858400866666666</v>
      </c>
      <c r="M51" s="105">
        <f t="shared" si="53"/>
        <v>5.0010877666666671</v>
      </c>
      <c r="N51" s="82">
        <f t="shared" si="42"/>
        <v>4.8531161666666662</v>
      </c>
      <c r="O51" s="105">
        <f t="shared" ref="O51:O52" si="55">N51/20</f>
        <v>0.24265580833333331</v>
      </c>
      <c r="P51" s="82">
        <f t="shared" si="33"/>
        <v>1.7332557738095236E-2</v>
      </c>
      <c r="Q51" s="82">
        <f t="shared" si="34"/>
        <v>1.7332557738095236E-2</v>
      </c>
      <c r="R51" s="82">
        <f t="shared" si="35"/>
        <v>1.0746185797619046</v>
      </c>
      <c r="S51" s="136"/>
      <c r="T51" s="82"/>
      <c r="U51" s="137"/>
    </row>
    <row r="52" spans="2:29" x14ac:dyDescent="0.15">
      <c r="B52" s="263"/>
      <c r="C52" s="267"/>
      <c r="D52" s="265"/>
      <c r="E52" s="245"/>
      <c r="F52" s="90" t="s">
        <v>109</v>
      </c>
      <c r="G52" s="272"/>
      <c r="H52" s="91">
        <f>0.846-G50</f>
        <v>0.76033333333333331</v>
      </c>
      <c r="I52" s="92">
        <f>0.858-G50</f>
        <v>0.77233333333333332</v>
      </c>
      <c r="J52" s="92">
        <f>0.861-G50</f>
        <v>0.77533333333333332</v>
      </c>
      <c r="K52" s="185">
        <f t="shared" si="54"/>
        <v>4.0181335666666662</v>
      </c>
      <c r="L52" s="185">
        <f t="shared" si="53"/>
        <v>4.0815499666666666</v>
      </c>
      <c r="M52" s="185">
        <f t="shared" si="53"/>
        <v>4.0974040666666669</v>
      </c>
      <c r="N52" s="92">
        <f t="shared" si="42"/>
        <v>4.0656958666666663</v>
      </c>
      <c r="O52" s="185">
        <f t="shared" si="55"/>
        <v>0.20328479333333332</v>
      </c>
      <c r="P52" s="92">
        <f t="shared" si="33"/>
        <v>1.4520342380952381E-2</v>
      </c>
      <c r="Q52" s="92">
        <f t="shared" si="34"/>
        <v>1.4520342380952381E-2</v>
      </c>
      <c r="R52" s="92">
        <f t="shared" si="35"/>
        <v>0.90026122761904759</v>
      </c>
      <c r="S52" s="140">
        <f>AVERAGE(R50:R52)</f>
        <v>0.99777652523809512</v>
      </c>
      <c r="T52" s="92">
        <f>STDEV(R50:R52)</f>
        <v>8.8998083106453268E-2</v>
      </c>
      <c r="U52" s="141">
        <f>T52/SQRT(3)</f>
        <v>5.1383067238871483E-2</v>
      </c>
    </row>
    <row r="53" spans="2:29" x14ac:dyDescent="0.15">
      <c r="B53" s="260" t="s">
        <v>38</v>
      </c>
      <c r="C53" s="258">
        <v>0.47361111111111115</v>
      </c>
      <c r="D53" s="256">
        <f>17/60+48+D50</f>
        <v>385.23333333333335</v>
      </c>
      <c r="E53" s="244">
        <v>17</v>
      </c>
      <c r="F53" s="80" t="s">
        <v>107</v>
      </c>
      <c r="G53" s="269">
        <v>8.2666666666666666E-2</v>
      </c>
      <c r="H53" s="81">
        <f>0.881-G53</f>
        <v>0.79833333333333334</v>
      </c>
      <c r="I53" s="82">
        <f>0.893-G53</f>
        <v>0.81033333333333335</v>
      </c>
      <c r="J53" s="82">
        <f>0.9-G53</f>
        <v>0.81733333333333336</v>
      </c>
      <c r="K53" s="82">
        <f>5.2525*H53</f>
        <v>4.193245833333334</v>
      </c>
      <c r="L53" s="82">
        <f t="shared" ref="L53:M55" si="56">5.2525*I53</f>
        <v>4.2562758333333335</v>
      </c>
      <c r="M53" s="82">
        <f t="shared" si="56"/>
        <v>4.2930433333333342</v>
      </c>
      <c r="N53" s="82">
        <f t="shared" si="42"/>
        <v>4.2475216666666675</v>
      </c>
      <c r="O53" s="82">
        <f>N53/20</f>
        <v>0.21237608333333338</v>
      </c>
      <c r="P53" s="82">
        <f t="shared" si="33"/>
        <v>1.5169720238095241E-2</v>
      </c>
      <c r="Q53" s="82">
        <f t="shared" si="34"/>
        <v>1.5169720238095241E-2</v>
      </c>
      <c r="R53" s="82">
        <f t="shared" si="35"/>
        <v>0.94052265476190489</v>
      </c>
      <c r="S53" s="134"/>
      <c r="T53" s="56"/>
      <c r="U53" s="79"/>
    </row>
    <row r="54" spans="2:29" x14ac:dyDescent="0.15">
      <c r="B54" s="260"/>
      <c r="C54" s="258"/>
      <c r="D54" s="256"/>
      <c r="E54" s="244"/>
      <c r="F54" s="80" t="s">
        <v>108</v>
      </c>
      <c r="G54" s="269"/>
      <c r="H54" s="81">
        <f>0.813-G53</f>
        <v>0.73033333333333328</v>
      </c>
      <c r="I54" s="82">
        <f>0.837-G53</f>
        <v>0.7543333333333333</v>
      </c>
      <c r="J54" s="82">
        <f>0.858-G53</f>
        <v>0.77533333333333332</v>
      </c>
      <c r="K54" s="105">
        <f t="shared" ref="K54:K55" si="57">5.2525*H54</f>
        <v>3.8360758333333331</v>
      </c>
      <c r="L54" s="105">
        <f t="shared" si="56"/>
        <v>3.9621358333333334</v>
      </c>
      <c r="M54" s="105">
        <f t="shared" si="56"/>
        <v>4.0724383333333334</v>
      </c>
      <c r="N54" s="82">
        <f t="shared" si="42"/>
        <v>3.9568833333333338</v>
      </c>
      <c r="O54" s="105">
        <f t="shared" ref="O54:O55" si="58">N54/20</f>
        <v>0.19784416666666668</v>
      </c>
      <c r="P54" s="82">
        <f t="shared" si="33"/>
        <v>1.4131726190476191E-2</v>
      </c>
      <c r="Q54" s="82">
        <f t="shared" si="34"/>
        <v>1.4131726190476191E-2</v>
      </c>
      <c r="R54" s="82">
        <f t="shared" si="35"/>
        <v>0.87616702380952383</v>
      </c>
      <c r="S54" s="134"/>
      <c r="T54" s="56"/>
      <c r="U54" s="79"/>
    </row>
    <row r="55" spans="2:29" ht="14" thickBot="1" x14ac:dyDescent="0.2">
      <c r="B55" s="261"/>
      <c r="C55" s="259"/>
      <c r="D55" s="257"/>
      <c r="E55" s="268"/>
      <c r="F55" s="80" t="s">
        <v>109</v>
      </c>
      <c r="G55" s="270"/>
      <c r="H55" s="81">
        <f>0.803-G53</f>
        <v>0.72033333333333338</v>
      </c>
      <c r="I55" s="82">
        <f>0.812-G53</f>
        <v>0.72933333333333339</v>
      </c>
      <c r="J55" s="82">
        <f>0.821-G53</f>
        <v>0.73833333333333329</v>
      </c>
      <c r="K55" s="105">
        <f t="shared" si="57"/>
        <v>3.7835508333333339</v>
      </c>
      <c r="L55" s="105">
        <f t="shared" si="56"/>
        <v>3.8308233333333339</v>
      </c>
      <c r="M55" s="105">
        <f t="shared" si="56"/>
        <v>3.8780958333333335</v>
      </c>
      <c r="N55" s="82">
        <f t="shared" si="42"/>
        <v>3.8308233333333335</v>
      </c>
      <c r="O55" s="105">
        <f t="shared" si="58"/>
        <v>0.19154116666666668</v>
      </c>
      <c r="P55" s="82">
        <f t="shared" si="33"/>
        <v>1.3681511904761906E-2</v>
      </c>
      <c r="Q55" s="82">
        <f t="shared" si="34"/>
        <v>1.3681511904761906E-2</v>
      </c>
      <c r="R55" s="82">
        <f t="shared" si="35"/>
        <v>0.84825373809523819</v>
      </c>
      <c r="S55" s="140">
        <f>AVERAGE(R53:R55)</f>
        <v>0.88831447222222215</v>
      </c>
      <c r="T55" s="82">
        <f>STDEV(R53:R55)</f>
        <v>4.7318692109085694E-2</v>
      </c>
      <c r="U55" s="137">
        <f>T55/SQRT(3)</f>
        <v>2.7319459626881648E-2</v>
      </c>
    </row>
    <row r="56" spans="2:29" ht="17" thickBot="1" x14ac:dyDescent="0.2">
      <c r="B56" s="249" t="s">
        <v>72</v>
      </c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1"/>
      <c r="W56" s="252" t="s">
        <v>119</v>
      </c>
      <c r="X56" s="252"/>
      <c r="Y56" s="252"/>
    </row>
    <row r="57" spans="2:29" ht="30" x14ac:dyDescent="0.15">
      <c r="B57" s="124" t="s">
        <v>0</v>
      </c>
      <c r="C57" s="66" t="s">
        <v>1</v>
      </c>
      <c r="D57" s="66" t="s">
        <v>2</v>
      </c>
      <c r="E57" s="125" t="s">
        <v>17</v>
      </c>
      <c r="F57" s="126"/>
      <c r="G57" s="126" t="s">
        <v>18</v>
      </c>
      <c r="H57" s="253" t="s">
        <v>130</v>
      </c>
      <c r="I57" s="254"/>
      <c r="J57" s="254"/>
      <c r="K57" s="255" t="s">
        <v>116</v>
      </c>
      <c r="L57" s="255"/>
      <c r="M57" s="255"/>
      <c r="N57" s="66" t="s">
        <v>19</v>
      </c>
      <c r="O57" s="66" t="s">
        <v>20</v>
      </c>
      <c r="P57" s="66" t="s">
        <v>20</v>
      </c>
      <c r="Q57" s="66" t="s">
        <v>114</v>
      </c>
      <c r="R57" s="125" t="s">
        <v>114</v>
      </c>
      <c r="S57" s="66" t="s">
        <v>115</v>
      </c>
      <c r="T57" s="66" t="s">
        <v>97</v>
      </c>
      <c r="U57" s="127" t="s">
        <v>62</v>
      </c>
      <c r="W57" s="56" t="s">
        <v>2</v>
      </c>
      <c r="X57" s="77" t="str">
        <f>S57</f>
        <v>Average NO3 concentration</v>
      </c>
      <c r="Y57" s="77" t="str">
        <f>U57</f>
        <v>Standard error</v>
      </c>
      <c r="Z57" s="56"/>
      <c r="AA57" s="128"/>
      <c r="AB57" s="128"/>
      <c r="AC57" s="128"/>
    </row>
    <row r="58" spans="2:29" ht="14" x14ac:dyDescent="0.15">
      <c r="B58" s="129"/>
      <c r="C58" s="130"/>
      <c r="D58" s="131"/>
      <c r="E58" s="131"/>
      <c r="F58" s="132"/>
      <c r="G58" s="132"/>
      <c r="H58" s="189" t="s">
        <v>102</v>
      </c>
      <c r="I58" s="189" t="s">
        <v>103</v>
      </c>
      <c r="J58" s="189" t="s">
        <v>131</v>
      </c>
      <c r="K58" s="74"/>
      <c r="L58" s="74"/>
      <c r="M58" s="74"/>
      <c r="N58" s="74" t="s">
        <v>21</v>
      </c>
      <c r="O58" s="74" t="s">
        <v>15</v>
      </c>
      <c r="P58" s="74" t="s">
        <v>22</v>
      </c>
      <c r="Q58" s="74" t="s">
        <v>22</v>
      </c>
      <c r="R58" s="70" t="s">
        <v>15</v>
      </c>
      <c r="S58" s="74" t="s">
        <v>15</v>
      </c>
      <c r="T58" s="74"/>
      <c r="U58" s="76"/>
      <c r="W58" s="87">
        <v>0</v>
      </c>
      <c r="X58" s="82">
        <f>S61</f>
        <v>1.5334832</v>
      </c>
      <c r="Y58" s="82">
        <f>U61</f>
        <v>8.3313783619740067E-3</v>
      </c>
      <c r="Z58" s="82"/>
      <c r="AA58" s="128"/>
      <c r="AB58" s="128"/>
      <c r="AC58" s="128"/>
    </row>
    <row r="59" spans="2:29" x14ac:dyDescent="0.15">
      <c r="B59" s="260" t="s">
        <v>23</v>
      </c>
      <c r="C59" s="258">
        <v>0.45208333333333334</v>
      </c>
      <c r="D59" s="256">
        <v>0</v>
      </c>
      <c r="E59" s="244">
        <v>1</v>
      </c>
      <c r="F59" s="80" t="s">
        <v>107</v>
      </c>
      <c r="G59" s="269">
        <v>7.3333333333333348E-2</v>
      </c>
      <c r="H59" s="81">
        <f>0.809-G59</f>
        <v>0.73566666666666669</v>
      </c>
      <c r="I59" s="82">
        <f>0.767-G59</f>
        <v>0.69366666666666665</v>
      </c>
      <c r="J59" s="82">
        <f>0.783-G59</f>
        <v>0.70966666666666667</v>
      </c>
      <c r="K59" s="82">
        <f>4.816*H59</f>
        <v>3.5429706666666667</v>
      </c>
      <c r="L59" s="82">
        <f t="shared" ref="L59:M61" si="59">4.816*I59</f>
        <v>3.3406986666666665</v>
      </c>
      <c r="M59" s="82">
        <f t="shared" si="59"/>
        <v>3.4177546666666667</v>
      </c>
      <c r="N59" s="82">
        <f>AVERAGE(K59:M59)</f>
        <v>3.4338080000000004</v>
      </c>
      <c r="O59" s="82">
        <f>N59/10</f>
        <v>0.34338080000000004</v>
      </c>
      <c r="P59" s="82">
        <f>O59/14</f>
        <v>2.4527200000000002E-2</v>
      </c>
      <c r="Q59" s="82">
        <f>P59</f>
        <v>2.4527200000000002E-2</v>
      </c>
      <c r="R59" s="82">
        <f>Q59*62</f>
        <v>1.5206864000000002</v>
      </c>
      <c r="S59" s="134"/>
      <c r="T59" s="56"/>
      <c r="U59" s="79"/>
      <c r="W59" s="87">
        <f>D62</f>
        <v>47.766666666666666</v>
      </c>
      <c r="X59" s="82">
        <f>S64</f>
        <v>1.6147112698412698</v>
      </c>
      <c r="Y59" s="82">
        <f>U64</f>
        <v>1.4824146028425859E-2</v>
      </c>
      <c r="Z59" s="82"/>
      <c r="AA59" s="135"/>
      <c r="AB59" s="135"/>
      <c r="AC59" s="135"/>
    </row>
    <row r="60" spans="2:29" x14ac:dyDescent="0.15">
      <c r="B60" s="260"/>
      <c r="C60" s="258"/>
      <c r="D60" s="256"/>
      <c r="E60" s="244"/>
      <c r="F60" s="80" t="s">
        <v>108</v>
      </c>
      <c r="G60" s="269"/>
      <c r="H60" s="81">
        <f>0.806-G59</f>
        <v>0.73266666666666669</v>
      </c>
      <c r="I60" s="82">
        <f>0.771-G59</f>
        <v>0.69766666666666666</v>
      </c>
      <c r="J60" s="82">
        <f>0.822-G59</f>
        <v>0.74866666666666659</v>
      </c>
      <c r="K60" s="82">
        <f t="shared" ref="K60:K61" si="60">4.816*H60</f>
        <v>3.5285226666666665</v>
      </c>
      <c r="L60" s="82">
        <f t="shared" si="59"/>
        <v>3.3599626666666667</v>
      </c>
      <c r="M60" s="82">
        <f t="shared" si="59"/>
        <v>3.6055786666666663</v>
      </c>
      <c r="N60" s="82">
        <f t="shared" ref="N60:N61" si="61">AVERAGE(K60:M60)</f>
        <v>3.4980213333333334</v>
      </c>
      <c r="O60" s="82">
        <f t="shared" ref="O60:O61" si="62">N60/10</f>
        <v>0.34980213333333332</v>
      </c>
      <c r="P60" s="82">
        <f t="shared" ref="P60:P82" si="63">O60/14</f>
        <v>2.4985866666666665E-2</v>
      </c>
      <c r="Q60" s="82">
        <f t="shared" ref="Q60:Q82" si="64">P60</f>
        <v>2.4985866666666665E-2</v>
      </c>
      <c r="R60" s="82">
        <f t="shared" ref="R60:R82" si="65">Q60*62</f>
        <v>1.5491237333333332</v>
      </c>
      <c r="S60" s="134"/>
      <c r="T60" s="56"/>
      <c r="U60" s="79"/>
      <c r="W60" s="87">
        <f>D65</f>
        <v>95.383333333333326</v>
      </c>
      <c r="X60" s="82">
        <f>S67</f>
        <v>1.2762776401058202</v>
      </c>
      <c r="Y60" s="82">
        <f>U67</f>
        <v>3.1575320728518583E-2</v>
      </c>
      <c r="Z60" s="82"/>
      <c r="AA60" s="135"/>
      <c r="AB60" s="135"/>
      <c r="AC60" s="135"/>
    </row>
    <row r="61" spans="2:29" x14ac:dyDescent="0.15">
      <c r="B61" s="263"/>
      <c r="C61" s="267"/>
      <c r="D61" s="265"/>
      <c r="E61" s="245"/>
      <c r="F61" s="90" t="s">
        <v>109</v>
      </c>
      <c r="G61" s="272"/>
      <c r="H61" s="91">
        <f>0.789-G59</f>
        <v>0.71566666666666667</v>
      </c>
      <c r="I61" s="92">
        <f>0.771-G59</f>
        <v>0.69766666666666666</v>
      </c>
      <c r="J61" s="92">
        <f>0.813-G59</f>
        <v>0.73966666666666658</v>
      </c>
      <c r="K61" s="92">
        <f t="shared" si="60"/>
        <v>3.4466506666666668</v>
      </c>
      <c r="L61" s="92">
        <f t="shared" si="59"/>
        <v>3.3599626666666667</v>
      </c>
      <c r="M61" s="92">
        <f t="shared" si="59"/>
        <v>3.562234666666666</v>
      </c>
      <c r="N61" s="92">
        <f t="shared" si="61"/>
        <v>3.4562826666666666</v>
      </c>
      <c r="O61" s="92">
        <f t="shared" si="62"/>
        <v>0.34562826666666668</v>
      </c>
      <c r="P61" s="92">
        <f t="shared" si="63"/>
        <v>2.4687733333333333E-2</v>
      </c>
      <c r="Q61" s="92">
        <f t="shared" si="64"/>
        <v>2.4687733333333333E-2</v>
      </c>
      <c r="R61" s="92">
        <f t="shared" si="65"/>
        <v>1.5306394666666667</v>
      </c>
      <c r="S61" s="140">
        <f>AVERAGE(R59:R61)</f>
        <v>1.5334832</v>
      </c>
      <c r="T61" s="92">
        <f>STDEV(R59:R61)</f>
        <v>1.4430370620018949E-2</v>
      </c>
      <c r="U61" s="141">
        <f>T61/SQRT(3)</f>
        <v>8.3313783619740067E-3</v>
      </c>
      <c r="W61" s="87">
        <f>D68</f>
        <v>145.11666666666667</v>
      </c>
      <c r="X61" s="82">
        <f>S70</f>
        <v>1.1962701271957672</v>
      </c>
      <c r="Y61" s="82">
        <f>U70</f>
        <v>3.8509359921140476E-2</v>
      </c>
      <c r="Z61" s="82"/>
      <c r="AA61" s="135"/>
      <c r="AB61" s="135"/>
      <c r="AC61" s="135"/>
    </row>
    <row r="62" spans="2:29" x14ac:dyDescent="0.15">
      <c r="B62" s="260" t="s">
        <v>25</v>
      </c>
      <c r="C62" s="258">
        <v>0.44236111111111115</v>
      </c>
      <c r="D62" s="256">
        <f>11+46/60+12+24</f>
        <v>47.766666666666666</v>
      </c>
      <c r="E62" s="244">
        <v>3</v>
      </c>
      <c r="F62" s="80" t="s">
        <v>107</v>
      </c>
      <c r="G62" s="269">
        <v>7.5999999999999998E-2</v>
      </c>
      <c r="H62" s="81">
        <f>0.814-G62</f>
        <v>0.73799999999999999</v>
      </c>
      <c r="I62" s="82">
        <f>0.81-G62</f>
        <v>0.7340000000000001</v>
      </c>
      <c r="J62" s="82">
        <f>0.784-G62</f>
        <v>0.70800000000000007</v>
      </c>
      <c r="K62" s="82">
        <f>4.975*H62</f>
        <v>3.6715499999999999</v>
      </c>
      <c r="L62" s="82">
        <f t="shared" ref="L62:M64" si="66">4.975*I62</f>
        <v>3.6516500000000001</v>
      </c>
      <c r="M62" s="82">
        <f t="shared" si="66"/>
        <v>3.5223</v>
      </c>
      <c r="N62" s="82">
        <f>AVERAGE(K62:M62)</f>
        <v>3.6151666666666666</v>
      </c>
      <c r="O62" s="82">
        <f>N62/10</f>
        <v>0.36151666666666665</v>
      </c>
      <c r="P62" s="82">
        <f t="shared" si="63"/>
        <v>2.5822619047619046E-2</v>
      </c>
      <c r="Q62" s="82">
        <f t="shared" si="64"/>
        <v>2.5822619047619046E-2</v>
      </c>
      <c r="R62" s="82">
        <f t="shared" si="65"/>
        <v>1.6010023809523808</v>
      </c>
      <c r="S62" s="136"/>
      <c r="T62" s="82"/>
      <c r="U62" s="137"/>
      <c r="W62" s="87">
        <f>D71</f>
        <v>240.25</v>
      </c>
      <c r="X62" s="82">
        <f>S73</f>
        <v>0.89574086666666675</v>
      </c>
      <c r="Y62" s="82">
        <f>U73</f>
        <v>1.971668148725754E-2</v>
      </c>
      <c r="Z62" s="82"/>
      <c r="AA62" s="135"/>
      <c r="AB62" s="135"/>
      <c r="AC62" s="135"/>
    </row>
    <row r="63" spans="2:29" ht="15" customHeight="1" x14ac:dyDescent="0.15">
      <c r="B63" s="260"/>
      <c r="C63" s="258"/>
      <c r="D63" s="256"/>
      <c r="E63" s="244"/>
      <c r="F63" s="80" t="s">
        <v>108</v>
      </c>
      <c r="G63" s="269"/>
      <c r="H63" s="81">
        <f>0.809-G62</f>
        <v>0.7330000000000001</v>
      </c>
      <c r="I63" s="82">
        <f>0.842-G62</f>
        <v>0.76600000000000001</v>
      </c>
      <c r="J63" s="82">
        <f>0.816-G62</f>
        <v>0.74</v>
      </c>
      <c r="K63" s="105">
        <f t="shared" ref="K63:K64" si="67">4.975*H63</f>
        <v>3.6466750000000001</v>
      </c>
      <c r="L63" s="105">
        <f t="shared" si="66"/>
        <v>3.8108499999999998</v>
      </c>
      <c r="M63" s="105">
        <f t="shared" si="66"/>
        <v>3.6814999999999998</v>
      </c>
      <c r="N63" s="82">
        <f t="shared" ref="N63:N64" si="68">AVERAGE(K63:M63)</f>
        <v>3.7130083333333332</v>
      </c>
      <c r="O63" s="82">
        <f t="shared" ref="O63:O64" si="69">N63/10</f>
        <v>0.3713008333333333</v>
      </c>
      <c r="P63" s="82">
        <f t="shared" si="63"/>
        <v>2.6521488095238095E-2</v>
      </c>
      <c r="Q63" s="82">
        <f t="shared" si="64"/>
        <v>2.6521488095238095E-2</v>
      </c>
      <c r="R63" s="82">
        <f t="shared" si="65"/>
        <v>1.6443322619047618</v>
      </c>
      <c r="S63" s="136"/>
      <c r="T63" s="82"/>
      <c r="U63" s="137"/>
      <c r="W63" s="87">
        <f>D74</f>
        <v>289.31666666666666</v>
      </c>
      <c r="X63" s="82">
        <f>S76</f>
        <v>0.77893030547619058</v>
      </c>
      <c r="Y63" s="82">
        <f>U76</f>
        <v>2.7604047890436398E-2</v>
      </c>
      <c r="Z63" s="82"/>
      <c r="AA63" s="135"/>
      <c r="AB63" s="135"/>
      <c r="AC63" s="135"/>
    </row>
    <row r="64" spans="2:29" ht="15" customHeight="1" x14ac:dyDescent="0.15">
      <c r="B64" s="263"/>
      <c r="C64" s="267"/>
      <c r="D64" s="265"/>
      <c r="E64" s="245"/>
      <c r="F64" s="90" t="s">
        <v>109</v>
      </c>
      <c r="G64" s="272"/>
      <c r="H64" s="91">
        <f>0.799-G62</f>
        <v>0.72300000000000009</v>
      </c>
      <c r="I64" s="92">
        <f>0.807-G62</f>
        <v>0.73100000000000009</v>
      </c>
      <c r="J64" s="92">
        <f>0.799-G62</f>
        <v>0.72300000000000009</v>
      </c>
      <c r="K64" s="185">
        <f t="shared" si="67"/>
        <v>3.5969250000000001</v>
      </c>
      <c r="L64" s="185">
        <f t="shared" si="66"/>
        <v>3.6367250000000002</v>
      </c>
      <c r="M64" s="185">
        <f t="shared" si="66"/>
        <v>3.5969250000000001</v>
      </c>
      <c r="N64" s="92">
        <f t="shared" si="68"/>
        <v>3.6101916666666671</v>
      </c>
      <c r="O64" s="92">
        <f t="shared" si="69"/>
        <v>0.36101916666666672</v>
      </c>
      <c r="P64" s="92">
        <f t="shared" si="63"/>
        <v>2.5787083333333339E-2</v>
      </c>
      <c r="Q64" s="92">
        <f t="shared" si="64"/>
        <v>2.5787083333333339E-2</v>
      </c>
      <c r="R64" s="92">
        <f t="shared" si="65"/>
        <v>1.598799166666667</v>
      </c>
      <c r="S64" s="140">
        <f>AVERAGE(R62:R64)</f>
        <v>1.6147112698412698</v>
      </c>
      <c r="T64" s="92">
        <f>STDEV(R62:R64)</f>
        <v>2.5676174100053972E-2</v>
      </c>
      <c r="U64" s="141">
        <f>T64/SQRT(3)</f>
        <v>1.4824146028425859E-2</v>
      </c>
      <c r="W64" s="87">
        <f>D77</f>
        <v>336.56666666666666</v>
      </c>
      <c r="X64" s="82">
        <f>S79</f>
        <v>0.71173165222222223</v>
      </c>
      <c r="Y64" s="82">
        <f>U79</f>
        <v>7.5780813071240792E-3</v>
      </c>
      <c r="Z64" s="82"/>
      <c r="AA64" s="135"/>
      <c r="AB64" s="135"/>
      <c r="AC64" s="135"/>
    </row>
    <row r="65" spans="2:29" x14ac:dyDescent="0.15">
      <c r="B65" s="260" t="s">
        <v>27</v>
      </c>
      <c r="C65" s="258">
        <v>0.42638888888888887</v>
      </c>
      <c r="D65" s="256">
        <f>11+37/60+12+24+D62</f>
        <v>95.383333333333326</v>
      </c>
      <c r="E65" s="244">
        <v>5</v>
      </c>
      <c r="F65" s="80" t="s">
        <v>107</v>
      </c>
      <c r="G65" s="269">
        <v>6.9500000000000006E-2</v>
      </c>
      <c r="H65" s="81">
        <f>0.9-G65</f>
        <v>0.83050000000000002</v>
      </c>
      <c r="I65" s="82">
        <f>0.897-G65</f>
        <v>0.82750000000000001</v>
      </c>
      <c r="J65" s="82">
        <f>0.88-G65</f>
        <v>0.8105</v>
      </c>
      <c r="K65" s="82">
        <f>5.0662*H65</f>
        <v>4.2074791000000005</v>
      </c>
      <c r="L65" s="82">
        <f t="shared" ref="L65:M67" si="70">5.0662*I65</f>
        <v>4.1922804999999999</v>
      </c>
      <c r="M65" s="82">
        <f t="shared" si="70"/>
        <v>4.1061551000000005</v>
      </c>
      <c r="N65" s="82">
        <f>AVERAGE(K65:M65)</f>
        <v>4.1686382333333336</v>
      </c>
      <c r="O65" s="82">
        <f>N65/15</f>
        <v>0.27790921555555559</v>
      </c>
      <c r="P65" s="82">
        <f t="shared" si="63"/>
        <v>1.9850658253968256E-2</v>
      </c>
      <c r="Q65" s="82">
        <f t="shared" si="64"/>
        <v>1.9850658253968256E-2</v>
      </c>
      <c r="R65" s="82">
        <f t="shared" si="65"/>
        <v>1.2307408117460319</v>
      </c>
      <c r="S65" s="136"/>
      <c r="T65" s="82"/>
      <c r="U65" s="137"/>
      <c r="W65" s="87">
        <f>D80</f>
        <v>384.9</v>
      </c>
      <c r="X65" s="82">
        <f>S82</f>
        <v>0.64562396031746039</v>
      </c>
      <c r="Y65" s="82">
        <f>U82</f>
        <v>2.3108006784074056E-2</v>
      </c>
      <c r="Z65" s="82"/>
      <c r="AA65" s="135"/>
      <c r="AB65" s="135"/>
      <c r="AC65" s="135"/>
    </row>
    <row r="66" spans="2:29" ht="15" customHeight="1" x14ac:dyDescent="0.15">
      <c r="B66" s="260"/>
      <c r="C66" s="258"/>
      <c r="D66" s="256"/>
      <c r="E66" s="244"/>
      <c r="F66" s="80" t="s">
        <v>108</v>
      </c>
      <c r="G66" s="269"/>
      <c r="H66" s="81">
        <f>0.87-G65</f>
        <v>0.80049999999999999</v>
      </c>
      <c r="I66" s="82">
        <f>0.916-G65</f>
        <v>0.84650000000000003</v>
      </c>
      <c r="J66" s="82">
        <f>0.952-G65</f>
        <v>0.88249999999999995</v>
      </c>
      <c r="K66" s="82">
        <f t="shared" ref="K66:K67" si="71">5.0662*H66</f>
        <v>4.0554931000000005</v>
      </c>
      <c r="L66" s="82">
        <f t="shared" si="70"/>
        <v>4.2885383000000008</v>
      </c>
      <c r="M66" s="82">
        <f t="shared" si="70"/>
        <v>4.4709215000000002</v>
      </c>
      <c r="N66" s="82">
        <f t="shared" ref="N66:N82" si="72">AVERAGE(K66:M66)</f>
        <v>4.2716509666666669</v>
      </c>
      <c r="O66" s="82">
        <f t="shared" ref="O66:O67" si="73">N66/15</f>
        <v>0.28477673111111113</v>
      </c>
      <c r="P66" s="82">
        <f t="shared" si="63"/>
        <v>2.034119507936508E-2</v>
      </c>
      <c r="Q66" s="82">
        <f t="shared" si="64"/>
        <v>2.034119507936508E-2</v>
      </c>
      <c r="R66" s="82">
        <f t="shared" si="65"/>
        <v>1.261154094920635</v>
      </c>
      <c r="S66" s="136"/>
      <c r="T66" s="82"/>
      <c r="U66" s="137"/>
      <c r="W66" s="146"/>
      <c r="X66" s="82"/>
      <c r="Y66" s="82"/>
      <c r="Z66" s="82"/>
      <c r="AA66" s="135"/>
      <c r="AB66" s="135"/>
      <c r="AC66" s="135"/>
    </row>
    <row r="67" spans="2:29" ht="15" customHeight="1" x14ac:dyDescent="0.15">
      <c r="B67" s="263"/>
      <c r="C67" s="267"/>
      <c r="D67" s="265"/>
      <c r="E67" s="245"/>
      <c r="F67" s="90" t="s">
        <v>109</v>
      </c>
      <c r="G67" s="272"/>
      <c r="H67" s="91">
        <f>0.965-G65</f>
        <v>0.89549999999999996</v>
      </c>
      <c r="I67" s="92">
        <f>0.963-G65</f>
        <v>0.89349999999999996</v>
      </c>
      <c r="J67" s="92">
        <f>0.962-G65</f>
        <v>0.89249999999999996</v>
      </c>
      <c r="K67" s="92">
        <f t="shared" si="71"/>
        <v>4.5367820999999999</v>
      </c>
      <c r="L67" s="92">
        <f t="shared" si="70"/>
        <v>4.5266497000000001</v>
      </c>
      <c r="M67" s="92">
        <f t="shared" si="70"/>
        <v>4.5215835000000002</v>
      </c>
      <c r="N67" s="92">
        <f t="shared" si="72"/>
        <v>4.5283384333333334</v>
      </c>
      <c r="O67" s="92">
        <f t="shared" si="73"/>
        <v>0.30188922888888892</v>
      </c>
      <c r="P67" s="92">
        <f t="shared" si="63"/>
        <v>2.1563516349206353E-2</v>
      </c>
      <c r="Q67" s="92">
        <f t="shared" si="64"/>
        <v>2.1563516349206353E-2</v>
      </c>
      <c r="R67" s="92">
        <f t="shared" si="65"/>
        <v>1.3369380136507938</v>
      </c>
      <c r="S67" s="140">
        <f>AVERAGE(R65:R67)</f>
        <v>1.2762776401058202</v>
      </c>
      <c r="T67" s="92">
        <f>STDEV(R65:R67)</f>
        <v>5.4690059767076915E-2</v>
      </c>
      <c r="U67" s="141">
        <f>T67/SQRT(3)</f>
        <v>3.1575320728518583E-2</v>
      </c>
      <c r="W67" s="87"/>
      <c r="X67" s="82"/>
      <c r="Y67" s="82"/>
      <c r="Z67" s="82"/>
      <c r="AA67" s="135"/>
      <c r="AB67" s="135"/>
      <c r="AC67" s="135"/>
    </row>
    <row r="68" spans="2:29" x14ac:dyDescent="0.15">
      <c r="B68" s="260" t="s">
        <v>29</v>
      </c>
      <c r="C68" s="258">
        <v>0.49861111111111112</v>
      </c>
      <c r="D68" s="256">
        <f>1+44/60+48+D65</f>
        <v>145.11666666666667</v>
      </c>
      <c r="E68" s="244">
        <v>7</v>
      </c>
      <c r="F68" s="80" t="s">
        <v>107</v>
      </c>
      <c r="G68" s="269">
        <v>6.8000000000000005E-2</v>
      </c>
      <c r="H68" s="81">
        <f>0.823-G68</f>
        <v>0.75499999999999989</v>
      </c>
      <c r="I68" s="82">
        <f>0.827-G68</f>
        <v>0.7589999999999999</v>
      </c>
      <c r="J68" s="82">
        <f>0.815-G68</f>
        <v>0.74699999999999989</v>
      </c>
      <c r="K68" s="82">
        <f>5.0327*H68</f>
        <v>3.7996884999999998</v>
      </c>
      <c r="L68" s="82">
        <f t="shared" ref="L68:M70" si="74">5.0327*I68</f>
        <v>3.8198192999999998</v>
      </c>
      <c r="M68" s="82">
        <f t="shared" si="74"/>
        <v>3.7594268999999993</v>
      </c>
      <c r="N68" s="82">
        <f t="shared" si="72"/>
        <v>3.7929782333333328</v>
      </c>
      <c r="O68" s="82">
        <f>N68/15</f>
        <v>0.25286521555555552</v>
      </c>
      <c r="P68" s="82">
        <f t="shared" si="63"/>
        <v>1.8061801111111109E-2</v>
      </c>
      <c r="Q68" s="82">
        <f t="shared" si="64"/>
        <v>1.8061801111111109E-2</v>
      </c>
      <c r="R68" s="82">
        <f t="shared" si="65"/>
        <v>1.1198316688888887</v>
      </c>
      <c r="S68" s="134"/>
      <c r="T68" s="56"/>
      <c r="U68" s="79"/>
      <c r="W68" s="56"/>
      <c r="X68" s="82"/>
      <c r="Y68" s="82"/>
      <c r="Z68" s="82"/>
      <c r="AA68" s="82"/>
    </row>
    <row r="69" spans="2:29" x14ac:dyDescent="0.15">
      <c r="B69" s="260"/>
      <c r="C69" s="258"/>
      <c r="D69" s="256"/>
      <c r="E69" s="244"/>
      <c r="F69" s="80" t="s">
        <v>108</v>
      </c>
      <c r="G69" s="269"/>
      <c r="H69" s="81">
        <f>0.884-G68</f>
        <v>0.81600000000000006</v>
      </c>
      <c r="I69" s="82">
        <f>0.894-G68</f>
        <v>0.82600000000000007</v>
      </c>
      <c r="J69" s="82">
        <f>0.902-G68</f>
        <v>0.83400000000000007</v>
      </c>
      <c r="K69" s="82">
        <f t="shared" ref="K69:K70" si="75">5.0327*H69</f>
        <v>4.1066832000000009</v>
      </c>
      <c r="L69" s="82">
        <f t="shared" si="74"/>
        <v>4.1570102000000002</v>
      </c>
      <c r="M69" s="82">
        <f t="shared" si="74"/>
        <v>4.1972718000000002</v>
      </c>
      <c r="N69" s="82">
        <f t="shared" si="72"/>
        <v>4.1536550666666665</v>
      </c>
      <c r="O69" s="82">
        <f t="shared" ref="O69:O70" si="76">N69/15</f>
        <v>0.27691033777777779</v>
      </c>
      <c r="P69" s="82">
        <f t="shared" si="63"/>
        <v>1.9779309841269844E-2</v>
      </c>
      <c r="Q69" s="82">
        <f t="shared" si="64"/>
        <v>1.9779309841269844E-2</v>
      </c>
      <c r="R69" s="82">
        <f t="shared" si="65"/>
        <v>1.2263172101587303</v>
      </c>
      <c r="S69" s="134"/>
      <c r="T69" s="56"/>
      <c r="U69" s="79"/>
      <c r="Z69" s="82"/>
      <c r="AA69" s="82"/>
    </row>
    <row r="70" spans="2:29" x14ac:dyDescent="0.15">
      <c r="B70" s="263"/>
      <c r="C70" s="267"/>
      <c r="D70" s="265"/>
      <c r="E70" s="245"/>
      <c r="F70" s="90" t="s">
        <v>109</v>
      </c>
      <c r="G70" s="272"/>
      <c r="H70" s="91">
        <f>0.899-G68</f>
        <v>0.83099999999999996</v>
      </c>
      <c r="I70" s="92">
        <f>0.908-G68</f>
        <v>0.84000000000000008</v>
      </c>
      <c r="J70" s="92">
        <f>0.906-G68</f>
        <v>0.83800000000000008</v>
      </c>
      <c r="K70" s="92">
        <f t="shared" si="75"/>
        <v>4.1821736999999999</v>
      </c>
      <c r="L70" s="92">
        <f t="shared" si="74"/>
        <v>4.2274680000000009</v>
      </c>
      <c r="M70" s="92">
        <f t="shared" si="74"/>
        <v>4.2174026000000007</v>
      </c>
      <c r="N70" s="92">
        <f t="shared" si="72"/>
        <v>4.2090147666666669</v>
      </c>
      <c r="O70" s="92">
        <f t="shared" si="76"/>
        <v>0.28060098444444448</v>
      </c>
      <c r="P70" s="92">
        <f t="shared" si="63"/>
        <v>2.0042927460317463E-2</v>
      </c>
      <c r="Q70" s="92">
        <f t="shared" si="64"/>
        <v>2.0042927460317463E-2</v>
      </c>
      <c r="R70" s="92">
        <f t="shared" si="65"/>
        <v>1.2426615025396828</v>
      </c>
      <c r="S70" s="140">
        <f>AVERAGE(R68:R70)</f>
        <v>1.1962701271957672</v>
      </c>
      <c r="T70" s="92">
        <f>STDEV(R68:R70)</f>
        <v>6.6700167950371911E-2</v>
      </c>
      <c r="U70" s="141">
        <f>T70/SQRT(3)</f>
        <v>3.8509359921140476E-2</v>
      </c>
      <c r="W70" s="135"/>
      <c r="Z70" s="82"/>
      <c r="AA70" s="82"/>
    </row>
    <row r="71" spans="2:29" x14ac:dyDescent="0.15">
      <c r="B71" s="260" t="s">
        <v>33</v>
      </c>
      <c r="C71" s="258">
        <v>0.46249999999999997</v>
      </c>
      <c r="D71" s="256">
        <f>11+8/60+12+48+24+D68</f>
        <v>240.25</v>
      </c>
      <c r="E71" s="244">
        <v>11</v>
      </c>
      <c r="F71" s="80" t="s">
        <v>107</v>
      </c>
      <c r="G71" s="273">
        <v>7.0000000000000007E-2</v>
      </c>
      <c r="H71" s="81">
        <f>0.796-G71</f>
        <v>0.72599999999999998</v>
      </c>
      <c r="I71" s="82">
        <f>0.82-G71</f>
        <v>0.75</v>
      </c>
      <c r="J71" s="82">
        <f>0.838-G71</f>
        <v>0.76800000000000002</v>
      </c>
      <c r="K71" s="82">
        <f>5.1752*H71</f>
        <v>3.7571952</v>
      </c>
      <c r="L71" s="82">
        <f t="shared" ref="L71:M73" si="77">5.1752*I71</f>
        <v>3.8814000000000002</v>
      </c>
      <c r="M71" s="82">
        <f t="shared" si="77"/>
        <v>3.9745536000000001</v>
      </c>
      <c r="N71" s="82">
        <f t="shared" si="72"/>
        <v>3.8710496000000005</v>
      </c>
      <c r="O71" s="82">
        <f>N71/20</f>
        <v>0.19355248000000003</v>
      </c>
      <c r="P71" s="82">
        <f t="shared" si="63"/>
        <v>1.3825177142857146E-2</v>
      </c>
      <c r="Q71" s="82">
        <f t="shared" si="64"/>
        <v>1.3825177142857146E-2</v>
      </c>
      <c r="R71" s="82">
        <f t="shared" si="65"/>
        <v>0.85716098285714304</v>
      </c>
      <c r="S71" s="134"/>
      <c r="T71" s="56"/>
      <c r="U71" s="79"/>
      <c r="Z71" s="82"/>
      <c r="AA71" s="82"/>
    </row>
    <row r="72" spans="2:29" x14ac:dyDescent="0.15">
      <c r="B72" s="260"/>
      <c r="C72" s="258"/>
      <c r="D72" s="256"/>
      <c r="E72" s="244"/>
      <c r="F72" s="80" t="s">
        <v>108</v>
      </c>
      <c r="G72" s="273"/>
      <c r="H72" s="81">
        <f>0.853-G71</f>
        <v>0.78299999999999992</v>
      </c>
      <c r="I72" s="82">
        <f>0.861-G71</f>
        <v>0.79099999999999993</v>
      </c>
      <c r="J72" s="82">
        <f>0.873-G71</f>
        <v>0.80299999999999994</v>
      </c>
      <c r="K72" s="105">
        <f t="shared" ref="K72:K73" si="78">5.1752*H72</f>
        <v>4.0521815999999999</v>
      </c>
      <c r="L72" s="105">
        <f t="shared" si="77"/>
        <v>4.0935831999999994</v>
      </c>
      <c r="M72" s="105">
        <f t="shared" si="77"/>
        <v>4.1556856</v>
      </c>
      <c r="N72" s="82">
        <f t="shared" si="72"/>
        <v>4.1004834666666659</v>
      </c>
      <c r="O72" s="82">
        <f t="shared" ref="O72:O73" si="79">N72/20</f>
        <v>0.20502417333333328</v>
      </c>
      <c r="P72" s="82">
        <f t="shared" si="63"/>
        <v>1.4644583809523807E-2</v>
      </c>
      <c r="Q72" s="82">
        <f t="shared" si="64"/>
        <v>1.4644583809523807E-2</v>
      </c>
      <c r="R72" s="82">
        <f t="shared" si="65"/>
        <v>0.90796419619047597</v>
      </c>
      <c r="S72" s="134"/>
      <c r="T72" s="56"/>
      <c r="U72" s="79"/>
      <c r="Z72" s="82"/>
      <c r="AA72" s="82"/>
    </row>
    <row r="73" spans="2:29" x14ac:dyDescent="0.15">
      <c r="B73" s="263"/>
      <c r="C73" s="267"/>
      <c r="D73" s="265"/>
      <c r="E73" s="245"/>
      <c r="F73" s="90" t="s">
        <v>109</v>
      </c>
      <c r="G73" s="282"/>
      <c r="H73" s="91">
        <f>0.852-G71</f>
        <v>0.78200000000000003</v>
      </c>
      <c r="I73" s="92">
        <f>0.882-G71</f>
        <v>0.81200000000000006</v>
      </c>
      <c r="J73" s="92">
        <f>0.89-G71</f>
        <v>0.82000000000000006</v>
      </c>
      <c r="K73" s="185">
        <f t="shared" si="78"/>
        <v>4.0470064000000008</v>
      </c>
      <c r="L73" s="185">
        <f t="shared" si="77"/>
        <v>4.2022624000000004</v>
      </c>
      <c r="M73" s="185">
        <f t="shared" si="77"/>
        <v>4.2436640000000008</v>
      </c>
      <c r="N73" s="92">
        <f t="shared" si="72"/>
        <v>4.1643109333333337</v>
      </c>
      <c r="O73" s="92">
        <f t="shared" si="79"/>
        <v>0.2082155466666667</v>
      </c>
      <c r="P73" s="92">
        <f t="shared" si="63"/>
        <v>1.487253904761905E-2</v>
      </c>
      <c r="Q73" s="92">
        <f t="shared" si="64"/>
        <v>1.487253904761905E-2</v>
      </c>
      <c r="R73" s="92">
        <f t="shared" si="65"/>
        <v>0.92209742095238112</v>
      </c>
      <c r="S73" s="140">
        <f>AVERAGE(R71:R73)</f>
        <v>0.89574086666666675</v>
      </c>
      <c r="T73" s="92">
        <f>STDEV(R71:R73)</f>
        <v>3.4150294092582752E-2</v>
      </c>
      <c r="U73" s="141">
        <f>T73/SQRT(3)</f>
        <v>1.971668148725754E-2</v>
      </c>
      <c r="Z73" s="82"/>
      <c r="AA73" s="82"/>
    </row>
    <row r="74" spans="2:29" x14ac:dyDescent="0.15">
      <c r="B74" s="260" t="s">
        <v>34</v>
      </c>
      <c r="C74" s="258">
        <v>0.50694444444444442</v>
      </c>
      <c r="D74" s="256">
        <f>1+4/60+48+D71</f>
        <v>289.31666666666666</v>
      </c>
      <c r="E74" s="244">
        <v>13</v>
      </c>
      <c r="F74" s="80" t="s">
        <v>107</v>
      </c>
      <c r="G74" s="269">
        <v>7.3999999999999996E-2</v>
      </c>
      <c r="H74" s="81">
        <f>0.755-G74</f>
        <v>0.68100000000000005</v>
      </c>
      <c r="I74" s="82">
        <f>0.654-G74</f>
        <v>0.58000000000000007</v>
      </c>
      <c r="J74" s="82">
        <f>0.644-G74</f>
        <v>0.57000000000000006</v>
      </c>
      <c r="K74" s="82">
        <f>5.3597*H74</f>
        <v>3.6499557000000005</v>
      </c>
      <c r="L74" s="82">
        <f t="shared" ref="L74:M76" si="80">5.3597*I74</f>
        <v>3.1086260000000006</v>
      </c>
      <c r="M74" s="82">
        <f t="shared" si="80"/>
        <v>3.0550290000000002</v>
      </c>
      <c r="N74" s="82">
        <f t="shared" si="72"/>
        <v>3.2712035666666672</v>
      </c>
      <c r="O74" s="82">
        <f>N74/20</f>
        <v>0.16356017833333336</v>
      </c>
      <c r="P74" s="82">
        <f t="shared" si="63"/>
        <v>1.1682869880952382E-2</v>
      </c>
      <c r="Q74" s="82">
        <f t="shared" si="64"/>
        <v>1.1682869880952382E-2</v>
      </c>
      <c r="R74" s="82">
        <f t="shared" si="65"/>
        <v>0.72433793261904766</v>
      </c>
      <c r="S74" s="136"/>
      <c r="T74" s="82"/>
      <c r="U74" s="137"/>
      <c r="Z74" s="82"/>
      <c r="AA74" s="82"/>
    </row>
    <row r="75" spans="2:29" x14ac:dyDescent="0.15">
      <c r="B75" s="260"/>
      <c r="C75" s="258"/>
      <c r="D75" s="256"/>
      <c r="E75" s="244"/>
      <c r="F75" s="80" t="s">
        <v>108</v>
      </c>
      <c r="G75" s="269"/>
      <c r="H75" s="81">
        <f>0.74-G74</f>
        <v>0.66600000000000004</v>
      </c>
      <c r="I75" s="82">
        <f>0.759-G74</f>
        <v>0.68500000000000005</v>
      </c>
      <c r="J75" s="82">
        <f>0.779-G74</f>
        <v>0.70500000000000007</v>
      </c>
      <c r="K75" s="105">
        <f t="shared" ref="K75:K76" si="81">5.3597*H75</f>
        <v>3.5695602000000002</v>
      </c>
      <c r="L75" s="105">
        <f t="shared" si="80"/>
        <v>3.6713945000000003</v>
      </c>
      <c r="M75" s="105">
        <f t="shared" si="80"/>
        <v>3.7785885000000006</v>
      </c>
      <c r="N75" s="82">
        <f t="shared" si="72"/>
        <v>3.6731810666666669</v>
      </c>
      <c r="O75" s="105">
        <f t="shared" ref="O75:O76" si="82">N75/20</f>
        <v>0.18365905333333335</v>
      </c>
      <c r="P75" s="82">
        <f t="shared" si="63"/>
        <v>1.3118503809523811E-2</v>
      </c>
      <c r="Q75" s="82">
        <f t="shared" si="64"/>
        <v>1.3118503809523811E-2</v>
      </c>
      <c r="R75" s="82">
        <f t="shared" si="65"/>
        <v>0.81334723619047633</v>
      </c>
      <c r="S75" s="136"/>
      <c r="T75" s="82"/>
      <c r="U75" s="137"/>
      <c r="Z75" s="82"/>
      <c r="AA75" s="82"/>
    </row>
    <row r="76" spans="2:29" x14ac:dyDescent="0.15">
      <c r="B76" s="263"/>
      <c r="C76" s="267"/>
      <c r="D76" s="265"/>
      <c r="E76" s="245"/>
      <c r="F76" s="90" t="s">
        <v>109</v>
      </c>
      <c r="G76" s="272"/>
      <c r="H76" s="91">
        <f>0.74-G74</f>
        <v>0.66600000000000004</v>
      </c>
      <c r="I76" s="92">
        <f>0.752-G74</f>
        <v>0.67800000000000005</v>
      </c>
      <c r="J76" s="92">
        <f>0.75-G74</f>
        <v>0.67600000000000005</v>
      </c>
      <c r="K76" s="185">
        <f t="shared" si="81"/>
        <v>3.5695602000000002</v>
      </c>
      <c r="L76" s="185">
        <f t="shared" si="80"/>
        <v>3.6338766000000002</v>
      </c>
      <c r="M76" s="185">
        <f t="shared" si="80"/>
        <v>3.6231572000000005</v>
      </c>
      <c r="N76" s="92">
        <f t="shared" si="72"/>
        <v>3.6088646666666668</v>
      </c>
      <c r="O76" s="185">
        <f t="shared" si="82"/>
        <v>0.18044323333333334</v>
      </c>
      <c r="P76" s="92">
        <f t="shared" si="63"/>
        <v>1.2888802380952382E-2</v>
      </c>
      <c r="Q76" s="92">
        <f t="shared" si="64"/>
        <v>1.2888802380952382E-2</v>
      </c>
      <c r="R76" s="92">
        <f t="shared" si="65"/>
        <v>0.79910574761904773</v>
      </c>
      <c r="S76" s="140">
        <f>AVERAGE(R74:R76)</f>
        <v>0.77893030547619058</v>
      </c>
      <c r="T76" s="92">
        <f>STDEV(R74:R76)</f>
        <v>4.7811613440800323E-2</v>
      </c>
      <c r="U76" s="141">
        <f>T76/SQRT(3)</f>
        <v>2.7604047890436398E-2</v>
      </c>
      <c r="Z76" s="82"/>
      <c r="AA76" s="82"/>
    </row>
    <row r="77" spans="2:29" x14ac:dyDescent="0.15">
      <c r="B77" s="260" t="s">
        <v>36</v>
      </c>
      <c r="C77" s="258">
        <v>0.47569444444444442</v>
      </c>
      <c r="D77" s="256">
        <f>11+15/60+12+24+D74</f>
        <v>336.56666666666666</v>
      </c>
      <c r="E77" s="244">
        <v>15</v>
      </c>
      <c r="F77" s="80" t="s">
        <v>107</v>
      </c>
      <c r="G77" s="269">
        <v>8.5666666666666669E-2</v>
      </c>
      <c r="H77" s="81">
        <f>0.775-G77</f>
        <v>0.68933333333333335</v>
      </c>
      <c r="I77" s="82">
        <f>0.672-G77</f>
        <v>0.58633333333333337</v>
      </c>
      <c r="J77" s="82">
        <f>0.67-G77</f>
        <v>0.58433333333333337</v>
      </c>
      <c r="K77" s="82">
        <f>5.2847*H77</f>
        <v>3.6429198666666669</v>
      </c>
      <c r="L77" s="82">
        <f t="shared" ref="L77:M79" si="83">5.2847*I77</f>
        <v>3.098595766666667</v>
      </c>
      <c r="M77" s="82">
        <f t="shared" si="83"/>
        <v>3.088026366666667</v>
      </c>
      <c r="N77" s="82">
        <f t="shared" si="72"/>
        <v>3.2765140000000001</v>
      </c>
      <c r="O77" s="82">
        <f>N77/20</f>
        <v>0.16382570000000002</v>
      </c>
      <c r="P77" s="82">
        <f t="shared" si="63"/>
        <v>1.1701835714285716E-2</v>
      </c>
      <c r="Q77" s="82">
        <f t="shared" si="64"/>
        <v>1.1701835714285716E-2</v>
      </c>
      <c r="R77" s="82">
        <f t="shared" si="65"/>
        <v>0.72551381428571438</v>
      </c>
      <c r="S77" s="136"/>
      <c r="T77" s="82"/>
      <c r="U77" s="137"/>
      <c r="Z77" s="82"/>
      <c r="AA77" s="82"/>
    </row>
    <row r="78" spans="2:29" x14ac:dyDescent="0.15">
      <c r="B78" s="260"/>
      <c r="C78" s="258"/>
      <c r="D78" s="256"/>
      <c r="E78" s="244"/>
      <c r="F78" s="80" t="s">
        <v>108</v>
      </c>
      <c r="G78" s="269"/>
      <c r="H78" s="81">
        <f>0.681-G77</f>
        <v>0.59533333333333338</v>
      </c>
      <c r="I78" s="82">
        <f>0.698-G77</f>
        <v>0.61233333333333329</v>
      </c>
      <c r="J78" s="82">
        <f>0.699-G77</f>
        <v>0.61333333333333329</v>
      </c>
      <c r="K78" s="105">
        <f t="shared" ref="K78:K79" si="84">5.2847*H78</f>
        <v>3.1461580666666671</v>
      </c>
      <c r="L78" s="105">
        <f t="shared" si="83"/>
        <v>3.2359979666666665</v>
      </c>
      <c r="M78" s="105">
        <f t="shared" si="83"/>
        <v>3.2412826666666663</v>
      </c>
      <c r="N78" s="82">
        <f t="shared" si="72"/>
        <v>3.2078129</v>
      </c>
      <c r="O78" s="105">
        <f t="shared" ref="O78:O79" si="85">N78/20</f>
        <v>0.160390645</v>
      </c>
      <c r="P78" s="82">
        <f t="shared" si="63"/>
        <v>1.1456474642857142E-2</v>
      </c>
      <c r="Q78" s="82">
        <f t="shared" si="64"/>
        <v>1.1456474642857142E-2</v>
      </c>
      <c r="R78" s="82">
        <f t="shared" si="65"/>
        <v>0.71030142785714279</v>
      </c>
      <c r="S78" s="136"/>
      <c r="T78" s="82"/>
      <c r="U78" s="137"/>
      <c r="Z78" s="82"/>
      <c r="AA78" s="82"/>
    </row>
    <row r="79" spans="2:29" x14ac:dyDescent="0.15">
      <c r="B79" s="263"/>
      <c r="C79" s="267"/>
      <c r="D79" s="265"/>
      <c r="E79" s="245"/>
      <c r="F79" s="90" t="s">
        <v>109</v>
      </c>
      <c r="G79" s="272"/>
      <c r="H79" s="91">
        <f>0.676-G77</f>
        <v>0.59033333333333338</v>
      </c>
      <c r="I79" s="92">
        <f>0.696-G77</f>
        <v>0.61033333333333328</v>
      </c>
      <c r="J79" s="92">
        <f>0.678-G77</f>
        <v>0.59233333333333338</v>
      </c>
      <c r="K79" s="185">
        <f t="shared" si="84"/>
        <v>3.1197345666666667</v>
      </c>
      <c r="L79" s="185">
        <f t="shared" si="83"/>
        <v>3.2254285666666664</v>
      </c>
      <c r="M79" s="185">
        <f t="shared" si="83"/>
        <v>3.1303039666666668</v>
      </c>
      <c r="N79" s="92">
        <f t="shared" si="72"/>
        <v>3.1584890333333333</v>
      </c>
      <c r="O79" s="185">
        <f t="shared" si="85"/>
        <v>0.15792445166666666</v>
      </c>
      <c r="P79" s="92">
        <f t="shared" si="63"/>
        <v>1.1280317976190475E-2</v>
      </c>
      <c r="Q79" s="92">
        <f t="shared" si="64"/>
        <v>1.1280317976190475E-2</v>
      </c>
      <c r="R79" s="92">
        <f t="shared" si="65"/>
        <v>0.69937971452380943</v>
      </c>
      <c r="S79" s="140">
        <f>AVERAGE(R77:R79)</f>
        <v>0.71173165222222223</v>
      </c>
      <c r="T79" s="92">
        <f>STDEV(R77:R79)</f>
        <v>1.3125621847826873E-2</v>
      </c>
      <c r="U79" s="141">
        <f>T79/SQRT(3)</f>
        <v>7.5780813071240792E-3</v>
      </c>
    </row>
    <row r="80" spans="2:29" x14ac:dyDescent="0.15">
      <c r="B80" s="260" t="s">
        <v>38</v>
      </c>
      <c r="C80" s="258">
        <v>0.48958333333333331</v>
      </c>
      <c r="D80" s="256">
        <f>20/60+48+D77</f>
        <v>384.9</v>
      </c>
      <c r="E80" s="244">
        <v>17</v>
      </c>
      <c r="F80" s="80" t="s">
        <v>107</v>
      </c>
      <c r="G80" s="269">
        <v>8.2666666666666666E-2</v>
      </c>
      <c r="H80" s="81">
        <f>0.633-G80</f>
        <v>0.55033333333333334</v>
      </c>
      <c r="I80" s="82">
        <f>0.587-G80</f>
        <v>0.5043333333333333</v>
      </c>
      <c r="J80" s="82">
        <f>0.575-G80</f>
        <v>0.49233333333333329</v>
      </c>
      <c r="K80" s="82">
        <f>5.2525*H80</f>
        <v>2.8906258333333334</v>
      </c>
      <c r="L80" s="82">
        <f t="shared" ref="L80:M82" si="86">5.2525*I80</f>
        <v>2.6490108333333335</v>
      </c>
      <c r="M80" s="82">
        <f t="shared" si="86"/>
        <v>2.5859808333333332</v>
      </c>
      <c r="N80" s="82">
        <f t="shared" si="72"/>
        <v>2.7085391666666667</v>
      </c>
      <c r="O80" s="82">
        <f>N80/20</f>
        <v>0.13542695833333335</v>
      </c>
      <c r="P80" s="82">
        <f t="shared" si="63"/>
        <v>9.6733541666666669E-3</v>
      </c>
      <c r="Q80" s="82">
        <f t="shared" si="64"/>
        <v>9.6733541666666669E-3</v>
      </c>
      <c r="R80" s="82">
        <f t="shared" si="65"/>
        <v>0.59974795833333339</v>
      </c>
      <c r="S80" s="134"/>
      <c r="T80" s="56"/>
      <c r="U80" s="79"/>
    </row>
    <row r="81" spans="2:25" x14ac:dyDescent="0.15">
      <c r="B81" s="260"/>
      <c r="C81" s="258"/>
      <c r="D81" s="256"/>
      <c r="E81" s="244"/>
      <c r="F81" s="80" t="s">
        <v>108</v>
      </c>
      <c r="G81" s="269"/>
      <c r="H81" s="81">
        <f>0.649-G80</f>
        <v>0.56633333333333336</v>
      </c>
      <c r="I81" s="82">
        <f>0.678-G80</f>
        <v>0.59533333333333338</v>
      </c>
      <c r="J81" s="82">
        <f>0.633-G80</f>
        <v>0.55033333333333334</v>
      </c>
      <c r="K81" s="105">
        <f t="shared" ref="K81:K82" si="87">5.2525*H81</f>
        <v>2.9746658333333338</v>
      </c>
      <c r="L81" s="105">
        <f t="shared" si="86"/>
        <v>3.1269883333333337</v>
      </c>
      <c r="M81" s="105">
        <f t="shared" si="86"/>
        <v>2.8906258333333334</v>
      </c>
      <c r="N81" s="82">
        <f t="shared" si="72"/>
        <v>2.9974266666666671</v>
      </c>
      <c r="O81" s="105">
        <f t="shared" ref="O81:O82" si="88">N81/20</f>
        <v>0.14987133333333336</v>
      </c>
      <c r="P81" s="82">
        <f t="shared" si="63"/>
        <v>1.0705095238095239E-2</v>
      </c>
      <c r="Q81" s="82">
        <f t="shared" si="64"/>
        <v>1.0705095238095239E-2</v>
      </c>
      <c r="R81" s="82">
        <f t="shared" si="65"/>
        <v>0.66371590476190478</v>
      </c>
      <c r="S81" s="134"/>
      <c r="T81" s="56"/>
      <c r="U81" s="79"/>
    </row>
    <row r="82" spans="2:25" ht="14" thickBot="1" x14ac:dyDescent="0.2">
      <c r="B82" s="261"/>
      <c r="C82" s="259"/>
      <c r="D82" s="257"/>
      <c r="E82" s="268"/>
      <c r="F82" s="80" t="s">
        <v>109</v>
      </c>
      <c r="G82" s="270"/>
      <c r="H82" s="81">
        <f>0.657-G80</f>
        <v>0.57433333333333336</v>
      </c>
      <c r="I82" s="82">
        <f>0.663-G80</f>
        <v>0.58033333333333337</v>
      </c>
      <c r="J82" s="82">
        <f>0.665-G80</f>
        <v>0.58233333333333337</v>
      </c>
      <c r="K82" s="105">
        <f t="shared" si="87"/>
        <v>3.0166858333333337</v>
      </c>
      <c r="L82" s="105">
        <f t="shared" si="86"/>
        <v>3.0482008333333339</v>
      </c>
      <c r="M82" s="105">
        <f t="shared" si="86"/>
        <v>3.0587058333333337</v>
      </c>
      <c r="N82" s="82">
        <f t="shared" si="72"/>
        <v>3.0411975000000004</v>
      </c>
      <c r="O82" s="105">
        <f t="shared" si="88"/>
        <v>0.15205987500000001</v>
      </c>
      <c r="P82" s="82">
        <f t="shared" si="63"/>
        <v>1.0861419642857143E-2</v>
      </c>
      <c r="Q82" s="82">
        <f t="shared" si="64"/>
        <v>1.0861419642857143E-2</v>
      </c>
      <c r="R82" s="82">
        <f t="shared" si="65"/>
        <v>0.67340801785714288</v>
      </c>
      <c r="S82" s="140">
        <f>AVERAGE(R80:R82)</f>
        <v>0.64562396031746039</v>
      </c>
      <c r="T82" s="82">
        <f>STDEV(R80:R82)</f>
        <v>4.0024241811662559E-2</v>
      </c>
      <c r="U82" s="137">
        <f>T82/SQRT(3)</f>
        <v>2.3108006784074056E-2</v>
      </c>
    </row>
    <row r="83" spans="2:25" ht="17" thickBot="1" x14ac:dyDescent="0.2">
      <c r="B83" s="249" t="s">
        <v>73</v>
      </c>
      <c r="C83" s="250"/>
      <c r="D83" s="250"/>
      <c r="E83" s="250"/>
      <c r="F83" s="250"/>
      <c r="G83" s="250"/>
      <c r="H83" s="250"/>
      <c r="I83" s="250"/>
      <c r="J83" s="250"/>
      <c r="K83" s="250"/>
      <c r="L83" s="250"/>
      <c r="M83" s="250"/>
      <c r="N83" s="250"/>
      <c r="O83" s="250"/>
      <c r="P83" s="250"/>
      <c r="Q83" s="250"/>
      <c r="R83" s="250"/>
      <c r="S83" s="250"/>
      <c r="T83" s="250"/>
      <c r="U83" s="251"/>
      <c r="W83" s="252" t="s">
        <v>119</v>
      </c>
      <c r="X83" s="252"/>
      <c r="Y83" s="252"/>
    </row>
    <row r="84" spans="2:25" ht="30" x14ac:dyDescent="0.15">
      <c r="B84" s="124" t="s">
        <v>0</v>
      </c>
      <c r="C84" s="66" t="s">
        <v>1</v>
      </c>
      <c r="D84" s="66" t="s">
        <v>2</v>
      </c>
      <c r="E84" s="125" t="s">
        <v>17</v>
      </c>
      <c r="F84" s="126"/>
      <c r="G84" s="126" t="s">
        <v>18</v>
      </c>
      <c r="H84" s="253" t="s">
        <v>130</v>
      </c>
      <c r="I84" s="254"/>
      <c r="J84" s="254"/>
      <c r="K84" s="255" t="s">
        <v>116</v>
      </c>
      <c r="L84" s="255"/>
      <c r="M84" s="255"/>
      <c r="N84" s="66" t="s">
        <v>19</v>
      </c>
      <c r="O84" s="66" t="s">
        <v>20</v>
      </c>
      <c r="P84" s="66" t="s">
        <v>20</v>
      </c>
      <c r="Q84" s="66" t="s">
        <v>114</v>
      </c>
      <c r="R84" s="125" t="s">
        <v>114</v>
      </c>
      <c r="S84" s="66" t="s">
        <v>115</v>
      </c>
      <c r="T84" s="66" t="s">
        <v>97</v>
      </c>
      <c r="U84" s="127" t="s">
        <v>62</v>
      </c>
      <c r="W84" s="56" t="s">
        <v>2</v>
      </c>
      <c r="X84" s="77" t="str">
        <f>S84</f>
        <v>Average NO3 concentration</v>
      </c>
      <c r="Y84" s="77" t="str">
        <f>U84</f>
        <v>Standard error</v>
      </c>
    </row>
    <row r="85" spans="2:25" x14ac:dyDescent="0.15">
      <c r="B85" s="129"/>
      <c r="C85" s="130"/>
      <c r="D85" s="131"/>
      <c r="E85" s="131"/>
      <c r="F85" s="132"/>
      <c r="G85" s="132"/>
      <c r="H85" s="189" t="s">
        <v>102</v>
      </c>
      <c r="I85" s="189" t="s">
        <v>103</v>
      </c>
      <c r="J85" s="189" t="s">
        <v>131</v>
      </c>
      <c r="K85" s="74"/>
      <c r="L85" s="74"/>
      <c r="M85" s="74"/>
      <c r="N85" s="74" t="s">
        <v>21</v>
      </c>
      <c r="O85" s="74" t="s">
        <v>15</v>
      </c>
      <c r="P85" s="74" t="s">
        <v>22</v>
      </c>
      <c r="Q85" s="74" t="s">
        <v>22</v>
      </c>
      <c r="R85" s="70" t="s">
        <v>15</v>
      </c>
      <c r="S85" s="74" t="s">
        <v>15</v>
      </c>
      <c r="T85" s="74"/>
      <c r="U85" s="76"/>
      <c r="W85" s="87">
        <v>0</v>
      </c>
      <c r="X85" s="82">
        <f>S88</f>
        <v>1.5354229969523809</v>
      </c>
      <c r="Y85" s="82">
        <f>U88</f>
        <v>1.6891260102764143E-2</v>
      </c>
    </row>
    <row r="86" spans="2:25" x14ac:dyDescent="0.15">
      <c r="B86" s="260" t="s">
        <v>23</v>
      </c>
      <c r="C86" s="258">
        <v>0.45208333333333334</v>
      </c>
      <c r="D86" s="256">
        <v>0</v>
      </c>
      <c r="E86" s="244">
        <v>1</v>
      </c>
      <c r="F86" s="80" t="s">
        <v>107</v>
      </c>
      <c r="G86" s="269">
        <v>7.3333333333333348E-2</v>
      </c>
      <c r="H86" s="182">
        <f>1.285-G86</f>
        <v>1.2116666666666667</v>
      </c>
      <c r="I86" s="183">
        <f>1.242-G86</f>
        <v>1.1686666666666667</v>
      </c>
      <c r="J86" s="183">
        <f>1.1932-G86</f>
        <v>1.1198666666666668</v>
      </c>
      <c r="K86" s="82">
        <f>3.0288*H86</f>
        <v>3.669896</v>
      </c>
      <c r="L86" s="82">
        <f t="shared" ref="L86:L88" si="89">3.0288*I86</f>
        <v>3.5396576</v>
      </c>
      <c r="M86" s="82">
        <f t="shared" ref="M86:M88" si="90">3.0288*J86</f>
        <v>3.3918521600000004</v>
      </c>
      <c r="N86" s="82">
        <f>AVERAGE(K86:M86)</f>
        <v>3.5338019200000002</v>
      </c>
      <c r="O86" s="82">
        <f>N86/10</f>
        <v>0.35338019200000004</v>
      </c>
      <c r="P86" s="82">
        <f>O86/14</f>
        <v>2.5241442285714288E-2</v>
      </c>
      <c r="Q86" s="82">
        <f>P86</f>
        <v>2.5241442285714288E-2</v>
      </c>
      <c r="R86" s="82">
        <f>Q86*62</f>
        <v>1.5649694217142858</v>
      </c>
      <c r="S86" s="134"/>
      <c r="T86" s="56"/>
      <c r="U86" s="79"/>
      <c r="W86" s="87">
        <f>D89</f>
        <v>47.766666666666666</v>
      </c>
      <c r="X86" s="82">
        <f>S91</f>
        <v>1.6174306661111109</v>
      </c>
      <c r="Y86" s="82">
        <f>U91</f>
        <v>2.707180209407347E-2</v>
      </c>
    </row>
    <row r="87" spans="2:25" x14ac:dyDescent="0.15">
      <c r="B87" s="260"/>
      <c r="C87" s="258"/>
      <c r="D87" s="256"/>
      <c r="E87" s="244"/>
      <c r="F87" s="80" t="s">
        <v>108</v>
      </c>
      <c r="G87" s="269"/>
      <c r="H87" s="81">
        <f>1.1275-G86</f>
        <v>1.0541666666666667</v>
      </c>
      <c r="I87" s="82">
        <f>1.09865-G86</f>
        <v>1.0253166666666667</v>
      </c>
      <c r="J87" s="82">
        <f>1.3632-G86</f>
        <v>1.2898666666666667</v>
      </c>
      <c r="K87" s="82">
        <f t="shared" ref="K87:K88" si="91">3.0288*H87</f>
        <v>3.19286</v>
      </c>
      <c r="L87" s="82">
        <f t="shared" si="89"/>
        <v>3.10547912</v>
      </c>
      <c r="M87" s="82">
        <f t="shared" si="90"/>
        <v>3.9067481600000002</v>
      </c>
      <c r="N87" s="82">
        <f>AVERAGE(K87:M87)</f>
        <v>3.4016957600000004</v>
      </c>
      <c r="O87" s="82">
        <f t="shared" ref="O87:O88" si="92">N87/10</f>
        <v>0.34016957600000003</v>
      </c>
      <c r="P87" s="82">
        <f t="shared" ref="P87:P109" si="93">O87/14</f>
        <v>2.4297826857142858E-2</v>
      </c>
      <c r="Q87" s="82">
        <f t="shared" ref="Q87:Q109" si="94">P87</f>
        <v>2.4297826857142858E-2</v>
      </c>
      <c r="R87" s="82">
        <f t="shared" ref="R87:R109" si="95">Q87*62</f>
        <v>1.5064652651428572</v>
      </c>
      <c r="S87" s="134"/>
      <c r="T87" s="56"/>
      <c r="U87" s="79"/>
      <c r="W87" s="87">
        <f>D92</f>
        <v>95.383333333333326</v>
      </c>
      <c r="X87" s="82">
        <f>S94</f>
        <v>1.2745629677777777</v>
      </c>
      <c r="Y87" s="82">
        <f>U94</f>
        <v>3.4731374252074954E-2</v>
      </c>
    </row>
    <row r="88" spans="2:25" x14ac:dyDescent="0.15">
      <c r="B88" s="260"/>
      <c r="C88" s="258"/>
      <c r="D88" s="256"/>
      <c r="E88" s="244"/>
      <c r="F88" s="80" t="s">
        <v>109</v>
      </c>
      <c r="G88" s="269"/>
      <c r="H88" s="81">
        <f>1.2443-G86</f>
        <v>1.1709666666666667</v>
      </c>
      <c r="I88" s="82">
        <f>1.1975-G86</f>
        <v>1.1241666666666668</v>
      </c>
      <c r="J88" s="82">
        <f>1.211-G86</f>
        <v>1.1376666666666668</v>
      </c>
      <c r="K88" s="82">
        <f t="shared" si="91"/>
        <v>3.5466238400000001</v>
      </c>
      <c r="L88" s="82">
        <f t="shared" si="89"/>
        <v>3.4048760000000002</v>
      </c>
      <c r="M88" s="82">
        <f t="shared" si="90"/>
        <v>3.4457648000000005</v>
      </c>
      <c r="N88" s="82">
        <f>AVERAGE(K88:M88)</f>
        <v>3.4657548800000004</v>
      </c>
      <c r="O88" s="82">
        <f t="shared" si="92"/>
        <v>0.34657548800000004</v>
      </c>
      <c r="P88" s="82">
        <f t="shared" si="93"/>
        <v>2.4755392000000005E-2</v>
      </c>
      <c r="Q88" s="82">
        <f t="shared" si="94"/>
        <v>2.4755392000000005E-2</v>
      </c>
      <c r="R88" s="82">
        <f t="shared" si="95"/>
        <v>1.5348343040000003</v>
      </c>
      <c r="S88" s="136">
        <f>AVERAGE(R86:R88)</f>
        <v>1.5354229969523809</v>
      </c>
      <c r="T88" s="82">
        <f>STDEV(R86:R88)</f>
        <v>2.9256520701848591E-2</v>
      </c>
      <c r="U88" s="137">
        <f>T88/SQRT(3)</f>
        <v>1.6891260102764143E-2</v>
      </c>
      <c r="W88" s="87">
        <f>D95</f>
        <v>145.11666666666667</v>
      </c>
      <c r="X88" s="82">
        <f>S97</f>
        <v>1.1947420469841268</v>
      </c>
      <c r="Y88" s="82">
        <f>U97</f>
        <v>8.8802365472395884E-3</v>
      </c>
    </row>
    <row r="89" spans="2:25" x14ac:dyDescent="0.15">
      <c r="B89" s="262" t="s">
        <v>25</v>
      </c>
      <c r="C89" s="266">
        <v>0.44236111111111115</v>
      </c>
      <c r="D89" s="264">
        <f>11+46/60+12+24</f>
        <v>47.766666666666666</v>
      </c>
      <c r="E89" s="243">
        <v>3</v>
      </c>
      <c r="F89" s="133" t="s">
        <v>107</v>
      </c>
      <c r="G89" s="271">
        <v>7.5999999999999998E-2</v>
      </c>
      <c r="H89" s="104">
        <f>1.1543-G89</f>
        <v>1.0783</v>
      </c>
      <c r="I89" s="105">
        <f>1.432-G89</f>
        <v>1.3559999999999999</v>
      </c>
      <c r="J89" s="105">
        <f>1.392-G89</f>
        <v>1.3159999999999998</v>
      </c>
      <c r="K89" s="105">
        <f>3.0065*H89</f>
        <v>3.24190895</v>
      </c>
      <c r="L89" s="105">
        <f t="shared" ref="L89:L91" si="96">3.0065*I89</f>
        <v>4.0768139999999997</v>
      </c>
      <c r="M89" s="105">
        <f t="shared" ref="M89:M91" si="97">3.0065*J89</f>
        <v>3.9565539999999992</v>
      </c>
      <c r="N89" s="105">
        <f t="shared" ref="N89:N109" si="98">AVERAGE(K89:M89)</f>
        <v>3.7584256499999995</v>
      </c>
      <c r="O89" s="105">
        <f>N89/10</f>
        <v>0.37584256499999996</v>
      </c>
      <c r="P89" s="105">
        <f t="shared" si="93"/>
        <v>2.6845897499999997E-2</v>
      </c>
      <c r="Q89" s="105">
        <f t="shared" si="94"/>
        <v>2.6845897499999997E-2</v>
      </c>
      <c r="R89" s="105">
        <f t="shared" si="95"/>
        <v>1.6644456449999998</v>
      </c>
      <c r="S89" s="138"/>
      <c r="T89" s="105"/>
      <c r="U89" s="139"/>
      <c r="W89" s="87">
        <f>D98</f>
        <v>240.25</v>
      </c>
      <c r="X89" s="82">
        <f>S100</f>
        <v>0.89779833666666653</v>
      </c>
      <c r="Y89" s="82">
        <f>U100</f>
        <v>3.8784034041554564E-3</v>
      </c>
    </row>
    <row r="90" spans="2:25" ht="15" customHeight="1" x14ac:dyDescent="0.15">
      <c r="B90" s="260"/>
      <c r="C90" s="258"/>
      <c r="D90" s="256"/>
      <c r="E90" s="244"/>
      <c r="F90" s="80" t="s">
        <v>108</v>
      </c>
      <c r="G90" s="269"/>
      <c r="H90" s="81">
        <f>1.1328-G89</f>
        <v>1.0568</v>
      </c>
      <c r="I90" s="82">
        <f>1.521-G89</f>
        <v>1.4449999999999998</v>
      </c>
      <c r="J90" s="82">
        <f>1.218-G89</f>
        <v>1.1419999999999999</v>
      </c>
      <c r="K90" s="82">
        <f t="shared" ref="K90:K91" si="99">3.0065*H90</f>
        <v>3.1772692</v>
      </c>
      <c r="L90" s="82">
        <f t="shared" si="96"/>
        <v>4.3443924999999997</v>
      </c>
      <c r="M90" s="82">
        <f t="shared" si="97"/>
        <v>3.4334229999999994</v>
      </c>
      <c r="N90" s="82">
        <f t="shared" si="98"/>
        <v>3.6516948999999994</v>
      </c>
      <c r="O90" s="82">
        <f t="shared" ref="O90:O91" si="100">N90/10</f>
        <v>0.36516948999999993</v>
      </c>
      <c r="P90" s="82">
        <f t="shared" si="93"/>
        <v>2.6083534999999995E-2</v>
      </c>
      <c r="Q90" s="82">
        <f t="shared" si="94"/>
        <v>2.6083534999999995E-2</v>
      </c>
      <c r="R90" s="82">
        <f t="shared" si="95"/>
        <v>1.6171791699999996</v>
      </c>
      <c r="S90" s="136"/>
      <c r="T90" s="82"/>
      <c r="U90" s="137"/>
      <c r="W90" s="87">
        <f>D101</f>
        <v>289.31666666666666</v>
      </c>
      <c r="X90" s="82">
        <f>S103</f>
        <v>0.7709151176984127</v>
      </c>
      <c r="Y90" s="82">
        <f>U103</f>
        <v>2.8421344881363289E-2</v>
      </c>
    </row>
    <row r="91" spans="2:25" ht="15" customHeight="1" x14ac:dyDescent="0.15">
      <c r="B91" s="263"/>
      <c r="C91" s="267"/>
      <c r="D91" s="265"/>
      <c r="E91" s="245"/>
      <c r="F91" s="90" t="s">
        <v>109</v>
      </c>
      <c r="G91" s="272"/>
      <c r="H91" s="91">
        <f>1.124-G89</f>
        <v>1.048</v>
      </c>
      <c r="I91" s="92">
        <f>1.421-G89</f>
        <v>1.345</v>
      </c>
      <c r="J91" s="92">
        <f>1.222-G89</f>
        <v>1.1459999999999999</v>
      </c>
      <c r="K91" s="92">
        <f t="shared" si="99"/>
        <v>3.1508120000000002</v>
      </c>
      <c r="L91" s="92">
        <f t="shared" si="96"/>
        <v>4.0437424999999996</v>
      </c>
      <c r="M91" s="92">
        <f t="shared" si="97"/>
        <v>3.4454489999999995</v>
      </c>
      <c r="N91" s="92">
        <f t="shared" si="98"/>
        <v>3.5466678333333328</v>
      </c>
      <c r="O91" s="92">
        <f t="shared" si="100"/>
        <v>0.35466678333333329</v>
      </c>
      <c r="P91" s="92">
        <f t="shared" si="93"/>
        <v>2.5333341666666665E-2</v>
      </c>
      <c r="Q91" s="92">
        <f t="shared" si="94"/>
        <v>2.5333341666666665E-2</v>
      </c>
      <c r="R91" s="92">
        <f t="shared" si="95"/>
        <v>1.5706671833333332</v>
      </c>
      <c r="S91" s="140">
        <f>AVERAGE(R89:R91)</f>
        <v>1.6174306661111109</v>
      </c>
      <c r="T91" s="92">
        <f>STDEV(R89:R91)</f>
        <v>4.6889736679384772E-2</v>
      </c>
      <c r="U91" s="141">
        <f>T91/SQRT(3)</f>
        <v>2.707180209407347E-2</v>
      </c>
      <c r="W91" s="87">
        <f>D104</f>
        <v>336.56666666666666</v>
      </c>
      <c r="X91" s="82">
        <f>S106</f>
        <v>0.66933062476190475</v>
      </c>
      <c r="Y91" s="82">
        <f>U106</f>
        <v>2.7240682871561419E-2</v>
      </c>
    </row>
    <row r="92" spans="2:25" x14ac:dyDescent="0.15">
      <c r="B92" s="260" t="s">
        <v>27</v>
      </c>
      <c r="C92" s="258">
        <v>0.42638888888888887</v>
      </c>
      <c r="D92" s="256">
        <f>11+37/60+12+24+D89</f>
        <v>95.383333333333326</v>
      </c>
      <c r="E92" s="244">
        <v>5</v>
      </c>
      <c r="F92" s="80" t="s">
        <v>107</v>
      </c>
      <c r="G92" s="269">
        <v>6.9500000000000006E-2</v>
      </c>
      <c r="H92" s="81">
        <f>1.374-G92</f>
        <v>1.3045</v>
      </c>
      <c r="I92" s="82">
        <f>1.412-G92</f>
        <v>1.3424999999999998</v>
      </c>
      <c r="J92" s="82">
        <f>1.354-G92</f>
        <v>1.2845</v>
      </c>
      <c r="K92" s="82">
        <f>3.1773*H92</f>
        <v>4.1447878499999993</v>
      </c>
      <c r="L92" s="82">
        <f t="shared" ref="L92:L94" si="101">3.1773*I92</f>
        <v>4.2655252499999987</v>
      </c>
      <c r="M92" s="82">
        <f t="shared" ref="M92:M94" si="102">3.1773*J92</f>
        <v>4.0812418499999996</v>
      </c>
      <c r="N92" s="82">
        <f t="shared" si="98"/>
        <v>4.1638516499999989</v>
      </c>
      <c r="O92" s="82">
        <f>N92/15</f>
        <v>0.27759010999999995</v>
      </c>
      <c r="P92" s="82">
        <f t="shared" si="93"/>
        <v>1.9827864999999997E-2</v>
      </c>
      <c r="Q92" s="82">
        <f t="shared" si="94"/>
        <v>1.9827864999999997E-2</v>
      </c>
      <c r="R92" s="82">
        <f t="shared" si="95"/>
        <v>1.2293276299999998</v>
      </c>
      <c r="S92" s="136"/>
      <c r="T92" s="82"/>
      <c r="U92" s="137"/>
      <c r="W92" s="87">
        <f>D107</f>
        <v>384.9</v>
      </c>
      <c r="X92" s="82">
        <f>S109</f>
        <v>0.59210997658730147</v>
      </c>
      <c r="Y92" s="82">
        <f>U109</f>
        <v>1.6078028547736982E-2</v>
      </c>
    </row>
    <row r="93" spans="2:25" x14ac:dyDescent="0.15">
      <c r="B93" s="260"/>
      <c r="C93" s="258"/>
      <c r="D93" s="256"/>
      <c r="E93" s="244"/>
      <c r="F93" s="80" t="s">
        <v>108</v>
      </c>
      <c r="G93" s="269"/>
      <c r="H93" s="81">
        <f>1.491-G92</f>
        <v>1.4215</v>
      </c>
      <c r="I93" s="82">
        <f>1.292-G92</f>
        <v>1.2225000000000001</v>
      </c>
      <c r="J93" s="82">
        <f>1.428-G92</f>
        <v>1.3584999999999998</v>
      </c>
      <c r="K93" s="82">
        <f t="shared" ref="K93:K94" si="103">3.1773*H93</f>
        <v>4.5165319500000001</v>
      </c>
      <c r="L93" s="82">
        <f t="shared" si="101"/>
        <v>3.8842492500000003</v>
      </c>
      <c r="M93" s="82">
        <f t="shared" si="102"/>
        <v>4.3163620499999995</v>
      </c>
      <c r="N93" s="82">
        <f t="shared" si="98"/>
        <v>4.2390477500000001</v>
      </c>
      <c r="O93" s="82">
        <f t="shared" ref="O93:O94" si="104">N93/15</f>
        <v>0.28260318333333334</v>
      </c>
      <c r="P93" s="82">
        <f t="shared" si="93"/>
        <v>2.0185941666666669E-2</v>
      </c>
      <c r="Q93" s="82">
        <f t="shared" si="94"/>
        <v>2.0185941666666669E-2</v>
      </c>
      <c r="R93" s="82">
        <f t="shared" si="95"/>
        <v>1.2515283833333335</v>
      </c>
      <c r="S93" s="136"/>
      <c r="T93" s="82"/>
      <c r="U93" s="137"/>
    </row>
    <row r="94" spans="2:25" x14ac:dyDescent="0.15">
      <c r="B94" s="260"/>
      <c r="C94" s="258"/>
      <c r="D94" s="256"/>
      <c r="E94" s="244"/>
      <c r="F94" s="80" t="s">
        <v>109</v>
      </c>
      <c r="G94" s="269"/>
      <c r="H94" s="81">
        <f>1.644-G92</f>
        <v>1.5745</v>
      </c>
      <c r="I94" s="82">
        <f>1.464-G92</f>
        <v>1.3944999999999999</v>
      </c>
      <c r="J94" s="82">
        <f>1.395-G92</f>
        <v>1.3254999999999999</v>
      </c>
      <c r="K94" s="82">
        <f t="shared" si="103"/>
        <v>5.0026588499999995</v>
      </c>
      <c r="L94" s="82">
        <f t="shared" si="101"/>
        <v>4.4307448499999991</v>
      </c>
      <c r="M94" s="82">
        <f t="shared" si="102"/>
        <v>4.2115111499999998</v>
      </c>
      <c r="N94" s="82">
        <f t="shared" si="98"/>
        <v>4.5483049499999995</v>
      </c>
      <c r="O94" s="82">
        <f t="shared" si="104"/>
        <v>0.30322032999999998</v>
      </c>
      <c r="P94" s="82">
        <f t="shared" si="93"/>
        <v>2.1658594999999999E-2</v>
      </c>
      <c r="Q94" s="82">
        <f t="shared" si="94"/>
        <v>2.1658594999999999E-2</v>
      </c>
      <c r="R94" s="82">
        <f t="shared" si="95"/>
        <v>1.3428328899999999</v>
      </c>
      <c r="S94" s="136">
        <f>AVERAGE(R92:R94)</f>
        <v>1.2745629677777777</v>
      </c>
      <c r="T94" s="82">
        <f>STDEV(R92:R94)</f>
        <v>6.0156504821283326E-2</v>
      </c>
      <c r="U94" s="137">
        <f>T94/SQRT(3)</f>
        <v>3.4731374252074954E-2</v>
      </c>
    </row>
    <row r="95" spans="2:25" x14ac:dyDescent="0.15">
      <c r="B95" s="262" t="s">
        <v>29</v>
      </c>
      <c r="C95" s="266">
        <v>0.49861111111111112</v>
      </c>
      <c r="D95" s="264">
        <f>1+44/60+48+D92</f>
        <v>145.11666666666667</v>
      </c>
      <c r="E95" s="243">
        <v>7</v>
      </c>
      <c r="F95" s="133" t="s">
        <v>107</v>
      </c>
      <c r="G95" s="271">
        <v>6.8000000000000005E-2</v>
      </c>
      <c r="H95" s="104">
        <f>1.474-G95</f>
        <v>1.4059999999999999</v>
      </c>
      <c r="I95" s="105">
        <f>1.312-G95</f>
        <v>1.244</v>
      </c>
      <c r="J95" s="105">
        <f>1.254-G95</f>
        <v>1.1859999999999999</v>
      </c>
      <c r="K95" s="105">
        <f>3.1582*H95</f>
        <v>4.4404291999999996</v>
      </c>
      <c r="L95" s="105">
        <f t="shared" ref="L95:L97" si="105">3.1582*I95</f>
        <v>3.9288007999999999</v>
      </c>
      <c r="M95" s="105">
        <f t="shared" ref="M95:M97" si="106">3.1582*J95</f>
        <v>3.7456251999999997</v>
      </c>
      <c r="N95" s="105">
        <f t="shared" si="98"/>
        <v>4.0382850666666661</v>
      </c>
      <c r="O95" s="105">
        <f>N95/15</f>
        <v>0.26921900444444441</v>
      </c>
      <c r="P95" s="105">
        <f t="shared" si="93"/>
        <v>1.9229928888888886E-2</v>
      </c>
      <c r="Q95" s="105">
        <f t="shared" si="94"/>
        <v>1.9229928888888886E-2</v>
      </c>
      <c r="R95" s="105">
        <f t="shared" si="95"/>
        <v>1.192255591111111</v>
      </c>
      <c r="S95" s="142"/>
      <c r="T95" s="112"/>
      <c r="U95" s="101"/>
    </row>
    <row r="96" spans="2:25" x14ac:dyDescent="0.15">
      <c r="B96" s="260"/>
      <c r="C96" s="258"/>
      <c r="D96" s="256"/>
      <c r="E96" s="244"/>
      <c r="F96" s="80" t="s">
        <v>108</v>
      </c>
      <c r="G96" s="269"/>
      <c r="H96" s="81">
        <f>1.341-G95</f>
        <v>1.2729999999999999</v>
      </c>
      <c r="I96" s="82">
        <f>1.432-G95</f>
        <v>1.3639999999999999</v>
      </c>
      <c r="J96" s="82">
        <f>1.328-G95</f>
        <v>1.26</v>
      </c>
      <c r="K96" s="82">
        <f t="shared" ref="K96:K97" si="107">3.1582*H96</f>
        <v>4.0203885999999995</v>
      </c>
      <c r="L96" s="82">
        <f t="shared" si="105"/>
        <v>4.3077847999999994</v>
      </c>
      <c r="M96" s="82">
        <f t="shared" si="106"/>
        <v>3.9793319999999999</v>
      </c>
      <c r="N96" s="82">
        <f t="shared" si="98"/>
        <v>4.1025017999999998</v>
      </c>
      <c r="O96" s="82">
        <f t="shared" ref="O96:O97" si="108">N96/15</f>
        <v>0.27350011999999996</v>
      </c>
      <c r="P96" s="82">
        <f t="shared" si="93"/>
        <v>1.9535722857142855E-2</v>
      </c>
      <c r="Q96" s="82">
        <f t="shared" si="94"/>
        <v>1.9535722857142855E-2</v>
      </c>
      <c r="R96" s="82">
        <f t="shared" si="95"/>
        <v>1.2112148171428569</v>
      </c>
      <c r="S96" s="134"/>
      <c r="T96" s="56"/>
      <c r="U96" s="79"/>
    </row>
    <row r="97" spans="1:21" x14ac:dyDescent="0.15">
      <c r="B97" s="263"/>
      <c r="C97" s="267"/>
      <c r="D97" s="265"/>
      <c r="E97" s="245"/>
      <c r="F97" s="90" t="s">
        <v>109</v>
      </c>
      <c r="G97" s="272"/>
      <c r="H97" s="91">
        <f>1.344-G95</f>
        <v>1.276</v>
      </c>
      <c r="I97" s="92">
        <f>1.364-G95</f>
        <v>1.296</v>
      </c>
      <c r="J97" s="92">
        <f>1.295-G95</f>
        <v>1.2269999999999999</v>
      </c>
      <c r="K97" s="92">
        <f t="shared" si="107"/>
        <v>4.0298632000000003</v>
      </c>
      <c r="L97" s="92">
        <f t="shared" si="105"/>
        <v>4.0930271999999999</v>
      </c>
      <c r="M97" s="92">
        <f t="shared" si="106"/>
        <v>3.8751113999999993</v>
      </c>
      <c r="N97" s="92">
        <f t="shared" si="98"/>
        <v>3.9993339333333329</v>
      </c>
      <c r="O97" s="92">
        <f t="shared" si="108"/>
        <v>0.26662226222222218</v>
      </c>
      <c r="P97" s="92">
        <f t="shared" si="93"/>
        <v>1.9044447301587299E-2</v>
      </c>
      <c r="Q97" s="92">
        <f t="shared" si="94"/>
        <v>1.9044447301587299E-2</v>
      </c>
      <c r="R97" s="92">
        <f t="shared" si="95"/>
        <v>1.1807557326984126</v>
      </c>
      <c r="S97" s="140">
        <f>AVERAGE(R95:R97)</f>
        <v>1.1947420469841268</v>
      </c>
      <c r="T97" s="92">
        <f>STDEV(R95:R97)</f>
        <v>1.5381020883048987E-2</v>
      </c>
      <c r="U97" s="141">
        <f>T97/SQRT(3)</f>
        <v>8.8802365472395884E-3</v>
      </c>
    </row>
    <row r="98" spans="1:21" x14ac:dyDescent="0.15">
      <c r="B98" s="260" t="s">
        <v>33</v>
      </c>
      <c r="C98" s="258">
        <v>0.46249999999999997</v>
      </c>
      <c r="D98" s="256">
        <f>11+8/60+12+48+24+D95</f>
        <v>240.25</v>
      </c>
      <c r="E98" s="244">
        <v>11</v>
      </c>
      <c r="F98" s="80" t="s">
        <v>107</v>
      </c>
      <c r="G98" s="273">
        <v>7.0000000000000007E-2</v>
      </c>
      <c r="H98" s="81">
        <f>1.474-G98</f>
        <v>1.4039999999999999</v>
      </c>
      <c r="I98" s="82">
        <f>1.312-G98</f>
        <v>1.242</v>
      </c>
      <c r="J98" s="82">
        <f>1.354-G98</f>
        <v>1.284</v>
      </c>
      <c r="K98" s="82">
        <f>3.0993*H98</f>
        <v>4.3514171999999993</v>
      </c>
      <c r="L98" s="82">
        <f t="shared" ref="L98:L100" si="109">3.0993*I98</f>
        <v>3.8493306</v>
      </c>
      <c r="M98" s="82">
        <f t="shared" ref="M98:M100" si="110">3.0993*J98</f>
        <v>3.9795012000000001</v>
      </c>
      <c r="N98" s="82">
        <f t="shared" si="98"/>
        <v>4.0600829999999997</v>
      </c>
      <c r="O98" s="82">
        <f>N98/20</f>
        <v>0.20300414999999999</v>
      </c>
      <c r="P98" s="82">
        <f t="shared" si="93"/>
        <v>1.4500296428571428E-2</v>
      </c>
      <c r="Q98" s="82">
        <f t="shared" si="94"/>
        <v>1.4500296428571428E-2</v>
      </c>
      <c r="R98" s="82">
        <f t="shared" si="95"/>
        <v>0.89901837857142852</v>
      </c>
      <c r="S98" s="134"/>
      <c r="T98" s="56"/>
      <c r="U98" s="79"/>
    </row>
    <row r="99" spans="1:21" x14ac:dyDescent="0.15">
      <c r="B99" s="260"/>
      <c r="C99" s="258"/>
      <c r="D99" s="256"/>
      <c r="E99" s="244"/>
      <c r="F99" s="80" t="s">
        <v>108</v>
      </c>
      <c r="G99" s="273"/>
      <c r="H99" s="81">
        <f>1.301-G98</f>
        <v>1.2309999999999999</v>
      </c>
      <c r="I99" s="82">
        <f>1.432-G98</f>
        <v>1.3619999999999999</v>
      </c>
      <c r="J99" s="82">
        <f>1.428-G98</f>
        <v>1.3579999999999999</v>
      </c>
      <c r="K99" s="82">
        <f t="shared" ref="K99:K100" si="111">3.0993*H99</f>
        <v>3.8152382999999994</v>
      </c>
      <c r="L99" s="82">
        <f t="shared" si="109"/>
        <v>4.2212465999999997</v>
      </c>
      <c r="M99" s="82">
        <f t="shared" si="110"/>
        <v>4.2088493999999992</v>
      </c>
      <c r="N99" s="82">
        <f t="shared" si="98"/>
        <v>4.0817781000000002</v>
      </c>
      <c r="O99" s="82">
        <f t="shared" ref="O99:O100" si="112">N99/20</f>
        <v>0.20408890500000001</v>
      </c>
      <c r="P99" s="82">
        <f t="shared" si="93"/>
        <v>1.4577778928571429E-2</v>
      </c>
      <c r="Q99" s="82">
        <f t="shared" si="94"/>
        <v>1.4577778928571429E-2</v>
      </c>
      <c r="R99" s="82">
        <f t="shared" si="95"/>
        <v>0.90382229357142863</v>
      </c>
      <c r="S99" s="134"/>
      <c r="T99" s="56"/>
      <c r="U99" s="79"/>
    </row>
    <row r="100" spans="1:21" x14ac:dyDescent="0.15">
      <c r="B100" s="260"/>
      <c r="C100" s="258"/>
      <c r="D100" s="256"/>
      <c r="E100" s="244"/>
      <c r="F100" s="80" t="s">
        <v>109</v>
      </c>
      <c r="G100" s="273"/>
      <c r="H100" s="81">
        <f>1.344-G98</f>
        <v>1.274</v>
      </c>
      <c r="I100" s="82">
        <f>1.364-G98</f>
        <v>1.294</v>
      </c>
      <c r="J100" s="82">
        <f>1.395-G98</f>
        <v>1.325</v>
      </c>
      <c r="K100" s="82">
        <f t="shared" si="111"/>
        <v>3.9485082</v>
      </c>
      <c r="L100" s="82">
        <f t="shared" si="109"/>
        <v>4.0104942000000001</v>
      </c>
      <c r="M100" s="82">
        <f t="shared" si="110"/>
        <v>4.1065724999999995</v>
      </c>
      <c r="N100" s="82">
        <f t="shared" si="98"/>
        <v>4.0218582999999999</v>
      </c>
      <c r="O100" s="82">
        <f t="shared" si="112"/>
        <v>0.20109291499999998</v>
      </c>
      <c r="P100" s="82">
        <f t="shared" si="93"/>
        <v>1.4363779642857141E-2</v>
      </c>
      <c r="Q100" s="82">
        <f t="shared" si="94"/>
        <v>1.4363779642857141E-2</v>
      </c>
      <c r="R100" s="82">
        <f t="shared" si="95"/>
        <v>0.89055433785714277</v>
      </c>
      <c r="S100" s="136">
        <f>AVERAGE(R98:R100)</f>
        <v>0.89779833666666653</v>
      </c>
      <c r="T100" s="82">
        <f>STDEV(R98:R100)</f>
        <v>6.7175917482453409E-3</v>
      </c>
      <c r="U100" s="137">
        <f>T100/SQRT(3)</f>
        <v>3.8784034041554564E-3</v>
      </c>
    </row>
    <row r="101" spans="1:21" x14ac:dyDescent="0.15">
      <c r="B101" s="262" t="s">
        <v>34</v>
      </c>
      <c r="C101" s="266">
        <v>0.50694444444444442</v>
      </c>
      <c r="D101" s="264">
        <f>1+4/60+48+D98</f>
        <v>289.31666666666666</v>
      </c>
      <c r="E101" s="243">
        <v>13</v>
      </c>
      <c r="F101" s="133" t="s">
        <v>107</v>
      </c>
      <c r="G101" s="271">
        <v>7.3999999999999996E-2</v>
      </c>
      <c r="H101" s="104">
        <f>0.994-G101</f>
        <v>0.92</v>
      </c>
      <c r="I101" s="105">
        <f>1.298-G101</f>
        <v>1.224</v>
      </c>
      <c r="J101" s="105">
        <f>1.212-G101</f>
        <v>1.1379999999999999</v>
      </c>
      <c r="K101" s="105">
        <f>3.3959*H101</f>
        <v>3.1242280000000004</v>
      </c>
      <c r="L101" s="105">
        <f t="shared" ref="L101:L103" si="113">3.3959*I101</f>
        <v>4.1565816</v>
      </c>
      <c r="M101" s="105">
        <f t="shared" ref="M101:M103" si="114">3.3959*J101</f>
        <v>3.8645342</v>
      </c>
      <c r="N101" s="105">
        <f t="shared" si="98"/>
        <v>3.7151146000000002</v>
      </c>
      <c r="O101" s="105">
        <f>N101/20</f>
        <v>0.18575573000000001</v>
      </c>
      <c r="P101" s="105">
        <f t="shared" si="93"/>
        <v>1.3268266428571429E-2</v>
      </c>
      <c r="Q101" s="105">
        <f t="shared" si="94"/>
        <v>1.3268266428571429E-2</v>
      </c>
      <c r="R101" s="105">
        <f t="shared" si="95"/>
        <v>0.82263251857142861</v>
      </c>
      <c r="S101" s="138"/>
      <c r="T101" s="105"/>
      <c r="U101" s="139"/>
    </row>
    <row r="102" spans="1:21" x14ac:dyDescent="0.15">
      <c r="B102" s="260"/>
      <c r="C102" s="258"/>
      <c r="D102" s="256"/>
      <c r="E102" s="244"/>
      <c r="F102" s="80" t="s">
        <v>108</v>
      </c>
      <c r="G102" s="269"/>
      <c r="H102" s="81">
        <f>0.899-G101</f>
        <v>0.82500000000000007</v>
      </c>
      <c r="I102" s="82">
        <f>1.295-G101</f>
        <v>1.2209999999999999</v>
      </c>
      <c r="J102" s="82">
        <f>1.082-G101</f>
        <v>1.008</v>
      </c>
      <c r="K102" s="82">
        <f t="shared" ref="K102:K103" si="115">3.3959*H102</f>
        <v>2.8016175000000003</v>
      </c>
      <c r="L102" s="82">
        <f t="shared" si="113"/>
        <v>4.1463938999999996</v>
      </c>
      <c r="M102" s="82">
        <f t="shared" si="114"/>
        <v>3.4230672000000002</v>
      </c>
      <c r="N102" s="82">
        <f t="shared" si="98"/>
        <v>3.4570262</v>
      </c>
      <c r="O102" s="105">
        <f t="shared" ref="O102:O103" si="116">N102/20</f>
        <v>0.17285131000000001</v>
      </c>
      <c r="P102" s="82">
        <f t="shared" si="93"/>
        <v>1.2346522142857143E-2</v>
      </c>
      <c r="Q102" s="82">
        <f t="shared" si="94"/>
        <v>1.2346522142857143E-2</v>
      </c>
      <c r="R102" s="82">
        <f t="shared" si="95"/>
        <v>0.76548437285714288</v>
      </c>
      <c r="S102" s="136"/>
      <c r="T102" s="82"/>
      <c r="U102" s="137"/>
    </row>
    <row r="103" spans="1:21" x14ac:dyDescent="0.15">
      <c r="B103" s="263"/>
      <c r="C103" s="267"/>
      <c r="D103" s="265"/>
      <c r="E103" s="245"/>
      <c r="F103" s="90" t="s">
        <v>109</v>
      </c>
      <c r="G103" s="272"/>
      <c r="H103" s="91">
        <f>0.999-G101</f>
        <v>0.92500000000000004</v>
      </c>
      <c r="I103" s="92">
        <f>1.121-G101</f>
        <v>1.0469999999999999</v>
      </c>
      <c r="J103" s="92">
        <f>0.993-G101</f>
        <v>0.91900000000000004</v>
      </c>
      <c r="K103" s="92">
        <f t="shared" si="115"/>
        <v>3.1412075000000002</v>
      </c>
      <c r="L103" s="92">
        <f t="shared" si="113"/>
        <v>3.5555072999999999</v>
      </c>
      <c r="M103" s="92">
        <f t="shared" si="114"/>
        <v>3.1208321000000003</v>
      </c>
      <c r="N103" s="92">
        <f t="shared" si="98"/>
        <v>3.2725156333333332</v>
      </c>
      <c r="O103" s="185">
        <f t="shared" si="116"/>
        <v>0.16362578166666666</v>
      </c>
      <c r="P103" s="92">
        <f t="shared" si="93"/>
        <v>1.1687555833333333E-2</v>
      </c>
      <c r="Q103" s="92">
        <f t="shared" si="94"/>
        <v>1.1687555833333333E-2</v>
      </c>
      <c r="R103" s="92">
        <f t="shared" si="95"/>
        <v>0.72462846166666672</v>
      </c>
      <c r="S103" s="140">
        <f>AVERAGE(R101:R103)</f>
        <v>0.7709151176984127</v>
      </c>
      <c r="T103" s="92">
        <f>STDEV(R101:R103)</f>
        <v>4.9227213353958861E-2</v>
      </c>
      <c r="U103" s="141">
        <f>T103/SQRT(3)</f>
        <v>2.8421344881363289E-2</v>
      </c>
    </row>
    <row r="104" spans="1:21" x14ac:dyDescent="0.15">
      <c r="B104" s="262" t="s">
        <v>36</v>
      </c>
      <c r="C104" s="266">
        <v>0.47569444444444442</v>
      </c>
      <c r="D104" s="264">
        <f>11+15/60+12+24+D101</f>
        <v>336.56666666666666</v>
      </c>
      <c r="E104" s="243">
        <v>15</v>
      </c>
      <c r="F104" s="133" t="s">
        <v>107</v>
      </c>
      <c r="G104" s="271">
        <v>8.5666666666666669E-2</v>
      </c>
      <c r="H104" s="104">
        <f>0.944-G104</f>
        <v>0.85833333333333328</v>
      </c>
      <c r="I104" s="105">
        <f>0.898-G104</f>
        <v>0.81233333333333335</v>
      </c>
      <c r="J104" s="105">
        <f>0.912-G104</f>
        <v>0.82633333333333336</v>
      </c>
      <c r="K104" s="105">
        <f>3.5976*H104</f>
        <v>3.0879399999999997</v>
      </c>
      <c r="L104" s="105">
        <f t="shared" ref="L104:L106" si="117">3.5976*I104</f>
        <v>2.9224503999999998</v>
      </c>
      <c r="M104" s="105">
        <f t="shared" ref="M104:M106" si="118">3.5976*J104</f>
        <v>2.9728167999999999</v>
      </c>
      <c r="N104" s="105">
        <f t="shared" si="98"/>
        <v>2.9944023999999998</v>
      </c>
      <c r="O104" s="105">
        <f>N104/20</f>
        <v>0.14972011999999998</v>
      </c>
      <c r="P104" s="105">
        <f t="shared" si="93"/>
        <v>1.0694294285714284E-2</v>
      </c>
      <c r="Q104" s="105">
        <f t="shared" si="94"/>
        <v>1.0694294285714284E-2</v>
      </c>
      <c r="R104" s="105">
        <f t="shared" si="95"/>
        <v>0.66304624571428561</v>
      </c>
      <c r="S104" s="138"/>
      <c r="T104" s="105"/>
      <c r="U104" s="139"/>
    </row>
    <row r="105" spans="1:21" x14ac:dyDescent="0.15">
      <c r="B105" s="260"/>
      <c r="C105" s="258"/>
      <c r="D105" s="256"/>
      <c r="E105" s="244"/>
      <c r="F105" s="80" t="s">
        <v>108</v>
      </c>
      <c r="G105" s="269"/>
      <c r="H105" s="81">
        <f>0.989-G104</f>
        <v>0.90333333333333332</v>
      </c>
      <c r="I105" s="82">
        <f>0.995-G104</f>
        <v>0.90933333333333333</v>
      </c>
      <c r="J105" s="82">
        <f>0.982-G104</f>
        <v>0.89633333333333332</v>
      </c>
      <c r="K105" s="82">
        <f t="shared" ref="K105:K106" si="119">3.5976*H105</f>
        <v>3.2498320000000001</v>
      </c>
      <c r="L105" s="82">
        <f t="shared" si="117"/>
        <v>3.2714175999999999</v>
      </c>
      <c r="M105" s="82">
        <f t="shared" si="118"/>
        <v>3.2246487999999998</v>
      </c>
      <c r="N105" s="82">
        <f t="shared" si="98"/>
        <v>3.2486327999999998</v>
      </c>
      <c r="O105" s="105">
        <f t="shared" ref="O105:O106" si="120">N105/20</f>
        <v>0.16243163999999999</v>
      </c>
      <c r="P105" s="82">
        <f t="shared" si="93"/>
        <v>1.160226E-2</v>
      </c>
      <c r="Q105" s="82">
        <f t="shared" si="94"/>
        <v>1.160226E-2</v>
      </c>
      <c r="R105" s="82">
        <f t="shared" si="95"/>
        <v>0.71934012000000003</v>
      </c>
      <c r="S105" s="136"/>
      <c r="T105" s="82"/>
      <c r="U105" s="137"/>
    </row>
    <row r="106" spans="1:21" x14ac:dyDescent="0.15">
      <c r="B106" s="263"/>
      <c r="C106" s="267"/>
      <c r="D106" s="265"/>
      <c r="E106" s="245"/>
      <c r="F106" s="90" t="s">
        <v>109</v>
      </c>
      <c r="G106" s="272"/>
      <c r="H106" s="91">
        <f>0.899-G104</f>
        <v>0.81333333333333335</v>
      </c>
      <c r="I106" s="92">
        <f>0.821-G104</f>
        <v>0.73533333333333328</v>
      </c>
      <c r="J106" s="92">
        <f>0.893-G104</f>
        <v>0.80733333333333335</v>
      </c>
      <c r="K106" s="92">
        <f t="shared" si="119"/>
        <v>2.9260480000000002</v>
      </c>
      <c r="L106" s="92">
        <f t="shared" si="117"/>
        <v>2.6454351999999997</v>
      </c>
      <c r="M106" s="92">
        <f t="shared" si="118"/>
        <v>2.9044623999999999</v>
      </c>
      <c r="N106" s="92">
        <f t="shared" si="98"/>
        <v>2.8253151999999999</v>
      </c>
      <c r="O106" s="185">
        <f t="shared" si="120"/>
        <v>0.14126575999999999</v>
      </c>
      <c r="P106" s="92">
        <f t="shared" si="93"/>
        <v>1.0090411428571427E-2</v>
      </c>
      <c r="Q106" s="92">
        <f t="shared" si="94"/>
        <v>1.0090411428571427E-2</v>
      </c>
      <c r="R106" s="92">
        <f t="shared" si="95"/>
        <v>0.62560550857142849</v>
      </c>
      <c r="S106" s="140">
        <f>AVERAGE(R104:R106)</f>
        <v>0.66933062476190475</v>
      </c>
      <c r="T106" s="92">
        <f>STDEV(R104:R106)</f>
        <v>4.7182246766415636E-2</v>
      </c>
      <c r="U106" s="141">
        <f>T106/SQRT(3)</f>
        <v>2.7240682871561419E-2</v>
      </c>
    </row>
    <row r="107" spans="1:21" x14ac:dyDescent="0.15">
      <c r="B107" s="260" t="s">
        <v>38</v>
      </c>
      <c r="C107" s="258">
        <v>0.48958333333333331</v>
      </c>
      <c r="D107" s="256">
        <f>20/60+48+D104</f>
        <v>384.9</v>
      </c>
      <c r="E107" s="244">
        <v>17</v>
      </c>
      <c r="F107" s="80" t="s">
        <v>107</v>
      </c>
      <c r="G107" s="269">
        <v>8.2666666666666666E-2</v>
      </c>
      <c r="H107" s="81">
        <f>0.794-G107</f>
        <v>0.71133333333333337</v>
      </c>
      <c r="I107" s="82">
        <f>0.798-G107</f>
        <v>0.71533333333333338</v>
      </c>
      <c r="J107" s="82">
        <f>0.792-G107</f>
        <v>0.70933333333333337</v>
      </c>
      <c r="K107" s="82">
        <f>3.9395*H107</f>
        <v>2.8022976666666666</v>
      </c>
      <c r="L107" s="82">
        <f t="shared" ref="L107:L109" si="121">3.9395*I107</f>
        <v>2.8180556666666665</v>
      </c>
      <c r="M107" s="82">
        <f t="shared" ref="M107:M109" si="122">3.9395*J107</f>
        <v>2.7944186666666666</v>
      </c>
      <c r="N107" s="82">
        <f t="shared" si="98"/>
        <v>2.8049239999999998</v>
      </c>
      <c r="O107" s="82">
        <f>N107/20</f>
        <v>0.14024619999999999</v>
      </c>
      <c r="P107" s="82">
        <f t="shared" si="93"/>
        <v>1.0017585714285713E-2</v>
      </c>
      <c r="Q107" s="82">
        <f t="shared" si="94"/>
        <v>1.0017585714285713E-2</v>
      </c>
      <c r="R107" s="82">
        <f t="shared" si="95"/>
        <v>0.62109031428571415</v>
      </c>
      <c r="S107" s="134"/>
      <c r="T107" s="56"/>
      <c r="U107" s="79"/>
    </row>
    <row r="108" spans="1:21" ht="15" customHeight="1" x14ac:dyDescent="0.15">
      <c r="B108" s="260"/>
      <c r="C108" s="258"/>
      <c r="D108" s="256"/>
      <c r="E108" s="244"/>
      <c r="F108" s="80" t="s">
        <v>108</v>
      </c>
      <c r="G108" s="269"/>
      <c r="H108" s="81">
        <f>0.789-G107</f>
        <v>0.70633333333333337</v>
      </c>
      <c r="I108" s="82">
        <f>0.795-G107</f>
        <v>0.71233333333333337</v>
      </c>
      <c r="J108" s="82">
        <f>0.692-G107</f>
        <v>0.60933333333333328</v>
      </c>
      <c r="K108" s="82">
        <f t="shared" ref="K108:K109" si="123">3.9395*H108</f>
        <v>2.7826001666666667</v>
      </c>
      <c r="L108" s="82">
        <f t="shared" si="121"/>
        <v>2.8062371666666666</v>
      </c>
      <c r="M108" s="82">
        <f t="shared" si="122"/>
        <v>2.4004686666666664</v>
      </c>
      <c r="N108" s="82">
        <f t="shared" si="98"/>
        <v>2.6631019999999999</v>
      </c>
      <c r="O108" s="105">
        <f t="shared" ref="O108:O109" si="124">N108/20</f>
        <v>0.1331551</v>
      </c>
      <c r="P108" s="82">
        <f t="shared" si="93"/>
        <v>9.5110785714285721E-3</v>
      </c>
      <c r="Q108" s="82">
        <f t="shared" si="94"/>
        <v>9.5110785714285721E-3</v>
      </c>
      <c r="R108" s="82">
        <f t="shared" si="95"/>
        <v>0.58968687142857146</v>
      </c>
      <c r="S108" s="134"/>
      <c r="T108" s="56"/>
      <c r="U108" s="79"/>
    </row>
    <row r="109" spans="1:21" ht="16" customHeight="1" thickBot="1" x14ac:dyDescent="0.2">
      <c r="A109" s="53"/>
      <c r="B109" s="261"/>
      <c r="C109" s="259"/>
      <c r="D109" s="257"/>
      <c r="E109" s="268"/>
      <c r="F109" s="121" t="s">
        <v>109</v>
      </c>
      <c r="G109" s="270"/>
      <c r="H109" s="143">
        <f>0.709-G107</f>
        <v>0.6263333333333333</v>
      </c>
      <c r="I109" s="114">
        <f>0.691-G107</f>
        <v>0.60833333333333328</v>
      </c>
      <c r="J109" s="114">
        <f>0.793-G107</f>
        <v>0.71033333333333337</v>
      </c>
      <c r="K109" s="114">
        <f t="shared" si="123"/>
        <v>2.4674401666666665</v>
      </c>
      <c r="L109" s="114">
        <f t="shared" si="121"/>
        <v>2.3965291666666664</v>
      </c>
      <c r="M109" s="114">
        <f t="shared" si="122"/>
        <v>2.7983581666666666</v>
      </c>
      <c r="N109" s="114">
        <f t="shared" si="98"/>
        <v>2.5541091666666667</v>
      </c>
      <c r="O109" s="184">
        <f t="shared" si="124"/>
        <v>0.12770545833333333</v>
      </c>
      <c r="P109" s="114">
        <f t="shared" si="93"/>
        <v>9.1218184523809524E-3</v>
      </c>
      <c r="Q109" s="114">
        <f t="shared" si="94"/>
        <v>9.1218184523809524E-3</v>
      </c>
      <c r="R109" s="114">
        <f t="shared" si="95"/>
        <v>0.56555274404761902</v>
      </c>
      <c r="S109" s="144">
        <f>AVERAGE(R107:R109)</f>
        <v>0.59210997658730147</v>
      </c>
      <c r="T109" s="114">
        <f>STDEV(R107:R109)</f>
        <v>2.7847962330223301E-2</v>
      </c>
      <c r="U109" s="145">
        <f>T109/SQRT(3)</f>
        <v>1.6078028547736982E-2</v>
      </c>
    </row>
    <row r="110" spans="1:21" x14ac:dyDescent="0.15"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</row>
    <row r="111" spans="1:21" x14ac:dyDescent="0.15"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</row>
    <row r="112" spans="1:21" x14ac:dyDescent="0.15"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</row>
    <row r="113" spans="2:21" x14ac:dyDescent="0.15"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</row>
    <row r="114" spans="2:21" x14ac:dyDescent="0.15"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</row>
    <row r="115" spans="2:21" x14ac:dyDescent="0.15"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</row>
    <row r="116" spans="2:21" x14ac:dyDescent="0.15"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</row>
    <row r="117" spans="2:21" x14ac:dyDescent="0.15"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</row>
    <row r="118" spans="2:21" x14ac:dyDescent="0.15"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</row>
    <row r="119" spans="2:21" x14ac:dyDescent="0.15"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</row>
    <row r="120" spans="2:21" x14ac:dyDescent="0.15"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</row>
    <row r="121" spans="2:21" x14ac:dyDescent="0.15"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</row>
    <row r="122" spans="2:21" x14ac:dyDescent="0.15"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</row>
    <row r="123" spans="2:21" x14ac:dyDescent="0.15"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</row>
    <row r="124" spans="2:21" x14ac:dyDescent="0.15"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</row>
    <row r="125" spans="2:21" x14ac:dyDescent="0.15"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</row>
    <row r="126" spans="2:21" x14ac:dyDescent="0.15"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</row>
    <row r="127" spans="2:21" x14ac:dyDescent="0.15"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</row>
    <row r="128" spans="2:21" x14ac:dyDescent="0.15"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</row>
    <row r="129" spans="2:21" x14ac:dyDescent="0.15"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</row>
    <row r="130" spans="2:21" x14ac:dyDescent="0.15"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</row>
    <row r="131" spans="2:21" x14ac:dyDescent="0.15"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</row>
    <row r="132" spans="2:21" x14ac:dyDescent="0.15"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</row>
    <row r="133" spans="2:21" x14ac:dyDescent="0.15"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</row>
    <row r="134" spans="2:21" x14ac:dyDescent="0.15"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</row>
    <row r="135" spans="2:21" x14ac:dyDescent="0.15"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</row>
    <row r="136" spans="2:21" x14ac:dyDescent="0.15"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</row>
    <row r="137" spans="2:21" x14ac:dyDescent="0.15"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</row>
    <row r="138" spans="2:21" x14ac:dyDescent="0.15"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</row>
    <row r="139" spans="2:21" x14ac:dyDescent="0.15"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</row>
    <row r="140" spans="2:21" x14ac:dyDescent="0.15"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</row>
    <row r="141" spans="2:21" x14ac:dyDescent="0.15"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</row>
    <row r="142" spans="2:21" x14ac:dyDescent="0.15"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</row>
    <row r="143" spans="2:21" x14ac:dyDescent="0.15"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</row>
    <row r="144" spans="2:21" x14ac:dyDescent="0.15"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</row>
    <row r="145" spans="2:21" x14ac:dyDescent="0.15"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</row>
    <row r="146" spans="2:21" x14ac:dyDescent="0.15"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</row>
    <row r="147" spans="2:21" x14ac:dyDescent="0.15"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</row>
    <row r="148" spans="2:21" x14ac:dyDescent="0.15"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</row>
    <row r="149" spans="2:21" x14ac:dyDescent="0.15"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</row>
    <row r="150" spans="2:21" x14ac:dyDescent="0.15"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</row>
    <row r="151" spans="2:21" x14ac:dyDescent="0.15"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</row>
    <row r="152" spans="2:21" x14ac:dyDescent="0.15"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</row>
    <row r="153" spans="2:21" x14ac:dyDescent="0.15"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</row>
    <row r="154" spans="2:21" x14ac:dyDescent="0.15"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</row>
    <row r="155" spans="2:21" x14ac:dyDescent="0.15"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</row>
    <row r="156" spans="2:21" x14ac:dyDescent="0.15"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</row>
    <row r="157" spans="2:21" x14ac:dyDescent="0.15"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</row>
    <row r="158" spans="2:21" x14ac:dyDescent="0.15"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</row>
    <row r="159" spans="2:21" x14ac:dyDescent="0.15"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</row>
    <row r="160" spans="2:21" x14ac:dyDescent="0.15"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</row>
    <row r="161" spans="2:21" x14ac:dyDescent="0.15"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</row>
    <row r="162" spans="2:21" x14ac:dyDescent="0.15"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</row>
    <row r="163" spans="2:21" x14ac:dyDescent="0.15"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</row>
    <row r="164" spans="2:21" x14ac:dyDescent="0.15"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</row>
    <row r="165" spans="2:21" x14ac:dyDescent="0.15"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</row>
    <row r="166" spans="2:21" x14ac:dyDescent="0.15"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</row>
    <row r="167" spans="2:21" x14ac:dyDescent="0.15"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</row>
    <row r="168" spans="2:21" x14ac:dyDescent="0.15"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</row>
    <row r="169" spans="2:21" x14ac:dyDescent="0.15"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</row>
    <row r="170" spans="2:21" x14ac:dyDescent="0.15"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</row>
    <row r="171" spans="2:21" x14ac:dyDescent="0.15"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</row>
    <row r="172" spans="2:21" x14ac:dyDescent="0.15"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</row>
    <row r="173" spans="2:21" x14ac:dyDescent="0.15"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</row>
    <row r="174" spans="2:21" x14ac:dyDescent="0.15"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</row>
    <row r="175" spans="2:21" x14ac:dyDescent="0.15"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</row>
    <row r="176" spans="2:21" x14ac:dyDescent="0.15"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</row>
    <row r="177" spans="2:21" x14ac:dyDescent="0.15"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</row>
    <row r="178" spans="2:21" x14ac:dyDescent="0.15"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</row>
    <row r="179" spans="2:21" x14ac:dyDescent="0.15"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</row>
    <row r="180" spans="2:21" x14ac:dyDescent="0.15"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</row>
    <row r="181" spans="2:21" x14ac:dyDescent="0.15"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</row>
    <row r="182" spans="2:21" x14ac:dyDescent="0.15"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</row>
    <row r="183" spans="2:21" x14ac:dyDescent="0.15"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</row>
    <row r="184" spans="2:21" x14ac:dyDescent="0.15"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</row>
    <row r="185" spans="2:21" x14ac:dyDescent="0.15"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</row>
    <row r="186" spans="2:21" x14ac:dyDescent="0.15"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</row>
    <row r="187" spans="2:21" x14ac:dyDescent="0.15"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</row>
    <row r="188" spans="2:21" x14ac:dyDescent="0.15"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</row>
    <row r="189" spans="2:21" x14ac:dyDescent="0.15"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</row>
    <row r="190" spans="2:21" x14ac:dyDescent="0.15"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</row>
    <row r="191" spans="2:21" x14ac:dyDescent="0.15"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</row>
    <row r="192" spans="2:21" x14ac:dyDescent="0.15"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</row>
    <row r="193" spans="2:21" x14ac:dyDescent="0.15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</row>
    <row r="194" spans="2:21" x14ac:dyDescent="0.15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</row>
    <row r="195" spans="2:21" x14ac:dyDescent="0.15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</row>
    <row r="196" spans="2:21" x14ac:dyDescent="0.15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</row>
    <row r="197" spans="2:21" x14ac:dyDescent="0.15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</row>
    <row r="198" spans="2:21" x14ac:dyDescent="0.15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</row>
    <row r="199" spans="2:21" x14ac:dyDescent="0.15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</row>
    <row r="200" spans="2:21" x14ac:dyDescent="0.15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</row>
    <row r="201" spans="2:21" x14ac:dyDescent="0.15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</row>
    <row r="202" spans="2:21" x14ac:dyDescent="0.15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</row>
    <row r="203" spans="2:21" x14ac:dyDescent="0.15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</row>
    <row r="204" spans="2:21" x14ac:dyDescent="0.15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</row>
    <row r="205" spans="2:21" x14ac:dyDescent="0.15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</row>
    <row r="206" spans="2:21" x14ac:dyDescent="0.15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</row>
    <row r="207" spans="2:21" x14ac:dyDescent="0.15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</row>
    <row r="208" spans="2:21" x14ac:dyDescent="0.15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</row>
    <row r="209" spans="2:21" x14ac:dyDescent="0.15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</row>
    <row r="210" spans="2:21" x14ac:dyDescent="0.15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</row>
    <row r="211" spans="2:21" x14ac:dyDescent="0.15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</row>
    <row r="212" spans="2:21" x14ac:dyDescent="0.15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</row>
    <row r="213" spans="2:21" x14ac:dyDescent="0.15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</row>
    <row r="214" spans="2:21" x14ac:dyDescent="0.15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</row>
    <row r="215" spans="2:21" x14ac:dyDescent="0.15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</row>
    <row r="216" spans="2:21" x14ac:dyDescent="0.15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</row>
    <row r="217" spans="2:21" x14ac:dyDescent="0.15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</row>
    <row r="218" spans="2:21" x14ac:dyDescent="0.15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</row>
    <row r="219" spans="2:21" x14ac:dyDescent="0.15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</row>
    <row r="220" spans="2:21" x14ac:dyDescent="0.15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</row>
    <row r="221" spans="2:21" x14ac:dyDescent="0.15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</row>
    <row r="222" spans="2:21" x14ac:dyDescent="0.15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</row>
    <row r="223" spans="2:21" x14ac:dyDescent="0.15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</row>
    <row r="224" spans="2:21" x14ac:dyDescent="0.15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</row>
    <row r="225" spans="2:21" x14ac:dyDescent="0.15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</row>
    <row r="226" spans="2:21" x14ac:dyDescent="0.15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</row>
    <row r="227" spans="2:21" x14ac:dyDescent="0.15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</row>
    <row r="228" spans="2:21" x14ac:dyDescent="0.15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</row>
    <row r="229" spans="2:21" x14ac:dyDescent="0.15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</row>
    <row r="230" spans="2:21" x14ac:dyDescent="0.15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</row>
    <row r="231" spans="2:21" x14ac:dyDescent="0.15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</row>
    <row r="232" spans="2:21" x14ac:dyDescent="0.15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</row>
    <row r="233" spans="2:21" x14ac:dyDescent="0.15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</row>
    <row r="234" spans="2:21" x14ac:dyDescent="0.15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</row>
    <row r="235" spans="2:21" x14ac:dyDescent="0.15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</row>
    <row r="236" spans="2:21" x14ac:dyDescent="0.15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</row>
    <row r="237" spans="2:21" x14ac:dyDescent="0.15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</row>
    <row r="238" spans="2:21" x14ac:dyDescent="0.15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</row>
    <row r="239" spans="2:21" x14ac:dyDescent="0.15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</row>
    <row r="240" spans="2:21" x14ac:dyDescent="0.15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</row>
    <row r="241" spans="2:21" x14ac:dyDescent="0.15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</row>
    <row r="242" spans="2:21" x14ac:dyDescent="0.15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</row>
    <row r="243" spans="2:21" x14ac:dyDescent="0.15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</row>
    <row r="244" spans="2:21" x14ac:dyDescent="0.15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</row>
    <row r="245" spans="2:21" x14ac:dyDescent="0.15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</row>
    <row r="246" spans="2:21" x14ac:dyDescent="0.15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</row>
    <row r="247" spans="2:21" x14ac:dyDescent="0.15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</row>
    <row r="248" spans="2:21" x14ac:dyDescent="0.15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</row>
    <row r="249" spans="2:21" x14ac:dyDescent="0.15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</row>
    <row r="250" spans="2:21" x14ac:dyDescent="0.15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</row>
    <row r="251" spans="2:21" x14ac:dyDescent="0.15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</row>
    <row r="252" spans="2:21" x14ac:dyDescent="0.15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</row>
    <row r="253" spans="2:21" x14ac:dyDescent="0.15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</row>
    <row r="254" spans="2:21" x14ac:dyDescent="0.15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</row>
    <row r="255" spans="2:21" x14ac:dyDescent="0.15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</row>
    <row r="256" spans="2:21" x14ac:dyDescent="0.15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</row>
    <row r="257" spans="2:21" x14ac:dyDescent="0.15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</row>
    <row r="258" spans="2:21" x14ac:dyDescent="0.15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</row>
    <row r="259" spans="2:21" x14ac:dyDescent="0.15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</row>
    <row r="260" spans="2:21" x14ac:dyDescent="0.15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</row>
    <row r="261" spans="2:21" x14ac:dyDescent="0.15"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</row>
    <row r="262" spans="2:21" x14ac:dyDescent="0.15"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</row>
    <row r="263" spans="2:21" x14ac:dyDescent="0.15"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</row>
    <row r="264" spans="2:21" x14ac:dyDescent="0.15"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</row>
    <row r="265" spans="2:21" x14ac:dyDescent="0.15"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</row>
    <row r="266" spans="2:21" x14ac:dyDescent="0.15"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</row>
    <row r="267" spans="2:21" x14ac:dyDescent="0.15"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</row>
    <row r="268" spans="2:21" x14ac:dyDescent="0.15"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</row>
    <row r="269" spans="2:21" x14ac:dyDescent="0.15"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</row>
    <row r="270" spans="2:21" x14ac:dyDescent="0.15"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</row>
    <row r="271" spans="2:21" x14ac:dyDescent="0.15"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</row>
    <row r="272" spans="2:21" x14ac:dyDescent="0.15"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</row>
    <row r="273" spans="2:21" x14ac:dyDescent="0.15"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</row>
    <row r="274" spans="2:21" x14ac:dyDescent="0.15"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</row>
    <row r="275" spans="2:21" x14ac:dyDescent="0.15"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</row>
    <row r="276" spans="2:21" x14ac:dyDescent="0.15"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</row>
    <row r="277" spans="2:21" x14ac:dyDescent="0.15"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</row>
    <row r="278" spans="2:21" x14ac:dyDescent="0.15"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</row>
    <row r="279" spans="2:21" x14ac:dyDescent="0.15"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</row>
    <row r="280" spans="2:21" x14ac:dyDescent="0.15"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</row>
    <row r="281" spans="2:21" x14ac:dyDescent="0.15"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</row>
    <row r="282" spans="2:21" x14ac:dyDescent="0.15"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</row>
    <row r="283" spans="2:21" x14ac:dyDescent="0.15"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</row>
    <row r="284" spans="2:21" x14ac:dyDescent="0.15"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</row>
    <row r="285" spans="2:21" x14ac:dyDescent="0.15"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</row>
    <row r="286" spans="2:21" x14ac:dyDescent="0.15"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</row>
    <row r="287" spans="2:21" x14ac:dyDescent="0.15"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</row>
    <row r="288" spans="2:21" x14ac:dyDescent="0.15"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</row>
    <row r="289" spans="2:21" x14ac:dyDescent="0.15"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</row>
    <row r="290" spans="2:21" x14ac:dyDescent="0.15"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</row>
    <row r="291" spans="2:21" x14ac:dyDescent="0.15"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</row>
    <row r="292" spans="2:21" x14ac:dyDescent="0.15"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</row>
    <row r="293" spans="2:21" x14ac:dyDescent="0.15"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</row>
    <row r="294" spans="2:21" x14ac:dyDescent="0.15"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</row>
    <row r="295" spans="2:21" x14ac:dyDescent="0.15"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</row>
    <row r="296" spans="2:21" x14ac:dyDescent="0.15"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</row>
    <row r="297" spans="2:21" x14ac:dyDescent="0.15"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</row>
    <row r="298" spans="2:21" x14ac:dyDescent="0.15"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</row>
    <row r="299" spans="2:21" x14ac:dyDescent="0.15"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</row>
    <row r="300" spans="2:21" x14ac:dyDescent="0.15"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</row>
    <row r="301" spans="2:21" x14ac:dyDescent="0.15"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</row>
    <row r="302" spans="2:21" x14ac:dyDescent="0.15"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</row>
    <row r="303" spans="2:21" x14ac:dyDescent="0.15"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</row>
    <row r="304" spans="2:21" x14ac:dyDescent="0.15"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</row>
    <row r="305" spans="2:21" x14ac:dyDescent="0.15"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</row>
    <row r="306" spans="2:21" x14ac:dyDescent="0.15"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</row>
    <row r="307" spans="2:21" x14ac:dyDescent="0.15"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</row>
    <row r="308" spans="2:21" x14ac:dyDescent="0.15"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</row>
    <row r="309" spans="2:21" x14ac:dyDescent="0.15"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</row>
    <row r="310" spans="2:21" x14ac:dyDescent="0.15"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</row>
    <row r="311" spans="2:21" x14ac:dyDescent="0.15"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</row>
    <row r="312" spans="2:21" x14ac:dyDescent="0.15"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</row>
    <row r="313" spans="2:21" x14ac:dyDescent="0.15"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</row>
    <row r="314" spans="2:21" x14ac:dyDescent="0.15"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</row>
    <row r="315" spans="2:21" x14ac:dyDescent="0.15"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</row>
    <row r="316" spans="2:21" x14ac:dyDescent="0.15"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</row>
    <row r="317" spans="2:21" x14ac:dyDescent="0.15"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</row>
    <row r="318" spans="2:21" x14ac:dyDescent="0.15"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</row>
    <row r="319" spans="2:21" x14ac:dyDescent="0.15"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</row>
    <row r="320" spans="2:21" x14ac:dyDescent="0.15"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</row>
    <row r="321" spans="2:21" x14ac:dyDescent="0.15"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</row>
    <row r="322" spans="2:21" x14ac:dyDescent="0.15"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</row>
    <row r="323" spans="2:21" x14ac:dyDescent="0.15"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</row>
    <row r="324" spans="2:21" x14ac:dyDescent="0.15"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</row>
    <row r="325" spans="2:21" x14ac:dyDescent="0.15"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</row>
    <row r="326" spans="2:21" x14ac:dyDescent="0.15"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</row>
    <row r="327" spans="2:21" x14ac:dyDescent="0.15"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</row>
    <row r="328" spans="2:21" x14ac:dyDescent="0.15"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</row>
    <row r="329" spans="2:21" x14ac:dyDescent="0.15"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</row>
    <row r="330" spans="2:21" x14ac:dyDescent="0.15"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</row>
    <row r="331" spans="2:21" x14ac:dyDescent="0.15"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</row>
    <row r="332" spans="2:21" x14ac:dyDescent="0.15"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</row>
    <row r="333" spans="2:21" x14ac:dyDescent="0.15"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</row>
    <row r="334" spans="2:21" x14ac:dyDescent="0.15"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</row>
    <row r="335" spans="2:21" x14ac:dyDescent="0.15"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</row>
    <row r="336" spans="2:21" x14ac:dyDescent="0.15"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</row>
    <row r="337" spans="2:21" x14ac:dyDescent="0.15"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</row>
    <row r="338" spans="2:21" x14ac:dyDescent="0.15"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</row>
    <row r="339" spans="2:21" x14ac:dyDescent="0.15"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</row>
    <row r="340" spans="2:21" x14ac:dyDescent="0.15"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</row>
    <row r="341" spans="2:21" x14ac:dyDescent="0.15"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</row>
    <row r="342" spans="2:21" x14ac:dyDescent="0.15"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</row>
    <row r="343" spans="2:21" x14ac:dyDescent="0.15"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</row>
    <row r="344" spans="2:21" x14ac:dyDescent="0.15"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</row>
    <row r="345" spans="2:21" x14ac:dyDescent="0.15"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</row>
    <row r="346" spans="2:21" x14ac:dyDescent="0.15"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</row>
    <row r="347" spans="2:21" x14ac:dyDescent="0.15"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</row>
    <row r="348" spans="2:21" x14ac:dyDescent="0.15"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</row>
    <row r="349" spans="2:21" x14ac:dyDescent="0.15"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</row>
    <row r="350" spans="2:21" x14ac:dyDescent="0.15"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</row>
    <row r="351" spans="2:21" x14ac:dyDescent="0.15"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</row>
    <row r="352" spans="2:21" x14ac:dyDescent="0.15"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</row>
    <row r="353" spans="2:21" x14ac:dyDescent="0.15"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</row>
    <row r="354" spans="2:21" x14ac:dyDescent="0.15"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</row>
    <row r="355" spans="2:21" x14ac:dyDescent="0.15"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</row>
    <row r="356" spans="2:21" x14ac:dyDescent="0.15"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</row>
    <row r="357" spans="2:21" x14ac:dyDescent="0.15"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</row>
    <row r="358" spans="2:21" x14ac:dyDescent="0.15"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</row>
    <row r="359" spans="2:21" x14ac:dyDescent="0.15"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</row>
    <row r="360" spans="2:21" x14ac:dyDescent="0.15"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</row>
    <row r="361" spans="2:21" x14ac:dyDescent="0.15"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</row>
    <row r="362" spans="2:21" x14ac:dyDescent="0.15"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</row>
    <row r="363" spans="2:21" x14ac:dyDescent="0.15"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</row>
    <row r="364" spans="2:21" x14ac:dyDescent="0.15"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</row>
    <row r="365" spans="2:21" x14ac:dyDescent="0.15"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</row>
    <row r="366" spans="2:21" x14ac:dyDescent="0.15"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</row>
    <row r="367" spans="2:21" x14ac:dyDescent="0.15"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</row>
    <row r="368" spans="2:21" x14ac:dyDescent="0.15"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</row>
    <row r="369" spans="2:21" x14ac:dyDescent="0.15"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</row>
    <row r="370" spans="2:21" x14ac:dyDescent="0.15"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</row>
    <row r="371" spans="2:21" x14ac:dyDescent="0.15"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</row>
    <row r="372" spans="2:21" x14ac:dyDescent="0.15"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</row>
    <row r="373" spans="2:21" x14ac:dyDescent="0.15"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</row>
    <row r="374" spans="2:21" x14ac:dyDescent="0.15"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</row>
    <row r="375" spans="2:21" x14ac:dyDescent="0.15"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</row>
    <row r="376" spans="2:21" x14ac:dyDescent="0.15"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</row>
    <row r="377" spans="2:21" x14ac:dyDescent="0.15"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</row>
    <row r="378" spans="2:21" x14ac:dyDescent="0.15"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</row>
    <row r="379" spans="2:21" x14ac:dyDescent="0.15"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</row>
    <row r="380" spans="2:21" x14ac:dyDescent="0.15"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</row>
    <row r="381" spans="2:21" x14ac:dyDescent="0.15"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</row>
    <row r="382" spans="2:21" x14ac:dyDescent="0.15"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</row>
    <row r="383" spans="2:21" x14ac:dyDescent="0.15"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</row>
    <row r="384" spans="2:21" x14ac:dyDescent="0.15"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</row>
    <row r="385" spans="2:21" x14ac:dyDescent="0.15"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</row>
    <row r="386" spans="2:21" x14ac:dyDescent="0.15"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</row>
    <row r="387" spans="2:21" x14ac:dyDescent="0.15"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</row>
    <row r="388" spans="2:21" x14ac:dyDescent="0.15"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</row>
    <row r="389" spans="2:21" x14ac:dyDescent="0.15"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</row>
    <row r="390" spans="2:21" x14ac:dyDescent="0.15"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</row>
    <row r="391" spans="2:21" x14ac:dyDescent="0.15"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</row>
    <row r="392" spans="2:21" x14ac:dyDescent="0.15"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</row>
    <row r="393" spans="2:21" x14ac:dyDescent="0.15"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</row>
    <row r="394" spans="2:21" x14ac:dyDescent="0.15"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</row>
    <row r="395" spans="2:21" x14ac:dyDescent="0.15"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</row>
    <row r="396" spans="2:21" x14ac:dyDescent="0.15"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</row>
    <row r="397" spans="2:21" x14ac:dyDescent="0.15"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</row>
    <row r="398" spans="2:21" x14ac:dyDescent="0.15"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</row>
    <row r="399" spans="2:21" x14ac:dyDescent="0.15"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</row>
    <row r="400" spans="2:21" x14ac:dyDescent="0.15"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</row>
    <row r="401" spans="2:21" x14ac:dyDescent="0.15"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</row>
    <row r="402" spans="2:21" x14ac:dyDescent="0.15"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</row>
    <row r="403" spans="2:21" x14ac:dyDescent="0.15"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</row>
    <row r="404" spans="2:21" x14ac:dyDescent="0.15"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</row>
    <row r="405" spans="2:21" x14ac:dyDescent="0.15"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</row>
    <row r="406" spans="2:21" x14ac:dyDescent="0.15"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</row>
    <row r="407" spans="2:21" x14ac:dyDescent="0.15"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</row>
    <row r="408" spans="2:21" x14ac:dyDescent="0.15"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</row>
    <row r="409" spans="2:21" x14ac:dyDescent="0.15"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</row>
    <row r="410" spans="2:21" x14ac:dyDescent="0.15"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</row>
    <row r="411" spans="2:21" x14ac:dyDescent="0.15"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</row>
    <row r="412" spans="2:21" x14ac:dyDescent="0.15"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</row>
    <row r="413" spans="2:21" x14ac:dyDescent="0.15"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</row>
    <row r="414" spans="2:21" x14ac:dyDescent="0.15"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</row>
    <row r="415" spans="2:21" x14ac:dyDescent="0.15"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</row>
    <row r="416" spans="2:21" x14ac:dyDescent="0.15"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</row>
    <row r="417" spans="2:21" x14ac:dyDescent="0.15"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</row>
    <row r="418" spans="2:21" x14ac:dyDescent="0.15"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</row>
    <row r="419" spans="2:21" x14ac:dyDescent="0.15"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</row>
    <row r="420" spans="2:21" x14ac:dyDescent="0.15"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</row>
    <row r="421" spans="2:21" x14ac:dyDescent="0.15"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</row>
    <row r="422" spans="2:21" x14ac:dyDescent="0.15"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</row>
    <row r="423" spans="2:21" x14ac:dyDescent="0.15"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</row>
    <row r="424" spans="2:21" x14ac:dyDescent="0.15"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</row>
    <row r="425" spans="2:21" x14ac:dyDescent="0.15"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</row>
    <row r="426" spans="2:21" x14ac:dyDescent="0.15"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</row>
    <row r="427" spans="2:21" x14ac:dyDescent="0.15"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</row>
    <row r="428" spans="2:21" x14ac:dyDescent="0.15"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</row>
    <row r="429" spans="2:21" x14ac:dyDescent="0.15"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</row>
    <row r="430" spans="2:21" x14ac:dyDescent="0.15"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</row>
    <row r="431" spans="2:21" x14ac:dyDescent="0.15"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</row>
    <row r="432" spans="2:21" x14ac:dyDescent="0.15"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</row>
    <row r="433" spans="2:21" x14ac:dyDescent="0.15"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</row>
    <row r="434" spans="2:21" x14ac:dyDescent="0.15"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</row>
    <row r="435" spans="2:21" x14ac:dyDescent="0.15"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</row>
    <row r="436" spans="2:21" x14ac:dyDescent="0.15"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</row>
    <row r="437" spans="2:21" x14ac:dyDescent="0.15"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</row>
    <row r="438" spans="2:21" x14ac:dyDescent="0.15"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</row>
    <row r="439" spans="2:21" x14ac:dyDescent="0.15"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</row>
    <row r="440" spans="2:21" x14ac:dyDescent="0.15"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</row>
    <row r="441" spans="2:21" x14ac:dyDescent="0.15"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</row>
    <row r="442" spans="2:21" x14ac:dyDescent="0.15"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</row>
    <row r="443" spans="2:21" x14ac:dyDescent="0.15"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</row>
    <row r="444" spans="2:21" x14ac:dyDescent="0.15"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</row>
    <row r="445" spans="2:21" x14ac:dyDescent="0.15"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</row>
    <row r="446" spans="2:21" x14ac:dyDescent="0.15"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</row>
    <row r="447" spans="2:21" x14ac:dyDescent="0.15"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</row>
    <row r="448" spans="2:21" x14ac:dyDescent="0.15"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</row>
    <row r="449" spans="2:21" x14ac:dyDescent="0.15"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</row>
    <row r="450" spans="2:21" x14ac:dyDescent="0.15"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</row>
    <row r="451" spans="2:21" x14ac:dyDescent="0.15"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</row>
    <row r="452" spans="2:21" x14ac:dyDescent="0.15"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</row>
    <row r="453" spans="2:21" x14ac:dyDescent="0.15"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</row>
    <row r="454" spans="2:21" x14ac:dyDescent="0.15"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</row>
    <row r="455" spans="2:21" x14ac:dyDescent="0.15"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</row>
    <row r="456" spans="2:21" x14ac:dyDescent="0.15"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</row>
    <row r="457" spans="2:21" x14ac:dyDescent="0.15"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</row>
    <row r="458" spans="2:21" x14ac:dyDescent="0.15"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</row>
    <row r="459" spans="2:21" x14ac:dyDescent="0.15"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</row>
    <row r="460" spans="2:21" x14ac:dyDescent="0.15"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</row>
    <row r="461" spans="2:21" x14ac:dyDescent="0.15"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</row>
    <row r="462" spans="2:21" x14ac:dyDescent="0.15"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</row>
    <row r="463" spans="2:21" x14ac:dyDescent="0.15"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</row>
    <row r="464" spans="2:21" x14ac:dyDescent="0.15"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</row>
    <row r="465" spans="2:21" x14ac:dyDescent="0.15"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</row>
    <row r="466" spans="2:21" x14ac:dyDescent="0.15"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</row>
    <row r="467" spans="2:21" x14ac:dyDescent="0.15"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</row>
    <row r="468" spans="2:21" x14ac:dyDescent="0.15"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</row>
    <row r="469" spans="2:21" x14ac:dyDescent="0.15"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</row>
    <row r="470" spans="2:21" x14ac:dyDescent="0.15"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</row>
    <row r="471" spans="2:21" x14ac:dyDescent="0.15"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</row>
    <row r="472" spans="2:21" x14ac:dyDescent="0.15"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</row>
    <row r="473" spans="2:21" x14ac:dyDescent="0.15"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</row>
    <row r="474" spans="2:21" x14ac:dyDescent="0.15"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</row>
    <row r="475" spans="2:21" x14ac:dyDescent="0.15"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</row>
    <row r="476" spans="2:21" x14ac:dyDescent="0.15"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</row>
    <row r="477" spans="2:21" x14ac:dyDescent="0.15"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</row>
    <row r="478" spans="2:21" x14ac:dyDescent="0.15"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</row>
    <row r="479" spans="2:21" x14ac:dyDescent="0.15"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</row>
    <row r="480" spans="2:21" x14ac:dyDescent="0.15"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</row>
    <row r="481" spans="2:21" x14ac:dyDescent="0.15"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</row>
    <row r="482" spans="2:21" x14ac:dyDescent="0.15"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</row>
    <row r="483" spans="2:21" x14ac:dyDescent="0.15"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</row>
    <row r="484" spans="2:21" x14ac:dyDescent="0.15"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</row>
    <row r="485" spans="2:21" x14ac:dyDescent="0.15"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</row>
    <row r="486" spans="2:21" x14ac:dyDescent="0.15"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</row>
    <row r="487" spans="2:21" x14ac:dyDescent="0.15"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</row>
    <row r="488" spans="2:21" x14ac:dyDescent="0.15"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</row>
    <row r="489" spans="2:21" x14ac:dyDescent="0.15"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</row>
    <row r="490" spans="2:21" x14ac:dyDescent="0.15"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</row>
    <row r="491" spans="2:21" x14ac:dyDescent="0.15"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</row>
    <row r="492" spans="2:21" x14ac:dyDescent="0.15"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</row>
    <row r="493" spans="2:21" x14ac:dyDescent="0.15"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</row>
    <row r="494" spans="2:21" x14ac:dyDescent="0.15"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</row>
    <row r="495" spans="2:21" x14ac:dyDescent="0.15"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</row>
    <row r="496" spans="2:21" x14ac:dyDescent="0.15"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</row>
    <row r="497" spans="2:21" x14ac:dyDescent="0.15"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</row>
    <row r="498" spans="2:21" x14ac:dyDescent="0.15"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</row>
    <row r="499" spans="2:21" x14ac:dyDescent="0.15"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</row>
    <row r="500" spans="2:21" x14ac:dyDescent="0.15"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</row>
    <row r="501" spans="2:21" x14ac:dyDescent="0.15"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</row>
    <row r="502" spans="2:21" x14ac:dyDescent="0.15"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</row>
    <row r="503" spans="2:21" x14ac:dyDescent="0.15"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</row>
    <row r="504" spans="2:21" x14ac:dyDescent="0.15"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</row>
    <row r="505" spans="2:21" x14ac:dyDescent="0.15"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</row>
    <row r="506" spans="2:21" x14ac:dyDescent="0.15"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</row>
    <row r="507" spans="2:21" x14ac:dyDescent="0.15"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</row>
    <row r="508" spans="2:21" x14ac:dyDescent="0.15"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</row>
    <row r="509" spans="2:21" x14ac:dyDescent="0.15"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</row>
    <row r="510" spans="2:21" x14ac:dyDescent="0.15"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</row>
    <row r="511" spans="2:21" x14ac:dyDescent="0.15"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</row>
    <row r="512" spans="2:21" x14ac:dyDescent="0.15"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</row>
    <row r="513" spans="2:21" x14ac:dyDescent="0.15"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</row>
    <row r="514" spans="2:21" x14ac:dyDescent="0.15"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</row>
    <row r="515" spans="2:21" x14ac:dyDescent="0.15"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</row>
    <row r="516" spans="2:21" x14ac:dyDescent="0.15"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</row>
    <row r="517" spans="2:21" x14ac:dyDescent="0.15"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</row>
    <row r="518" spans="2:21" x14ac:dyDescent="0.15"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</row>
    <row r="519" spans="2:21" x14ac:dyDescent="0.15"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</row>
    <row r="520" spans="2:21" x14ac:dyDescent="0.15"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</row>
    <row r="521" spans="2:21" x14ac:dyDescent="0.15"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</row>
    <row r="522" spans="2:21" x14ac:dyDescent="0.15"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</row>
    <row r="523" spans="2:21" x14ac:dyDescent="0.15"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</row>
    <row r="524" spans="2:21" x14ac:dyDescent="0.15"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</row>
    <row r="525" spans="2:21" x14ac:dyDescent="0.15"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</row>
    <row r="526" spans="2:21" x14ac:dyDescent="0.15"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</row>
    <row r="527" spans="2:21" x14ac:dyDescent="0.15"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</row>
    <row r="528" spans="2:21" x14ac:dyDescent="0.15"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</row>
    <row r="529" spans="2:21" x14ac:dyDescent="0.15"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</row>
    <row r="530" spans="2:21" x14ac:dyDescent="0.15"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</row>
    <row r="531" spans="2:21" x14ac:dyDescent="0.15"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</row>
    <row r="532" spans="2:21" x14ac:dyDescent="0.15"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</row>
    <row r="533" spans="2:21" x14ac:dyDescent="0.15"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</row>
    <row r="534" spans="2:21" x14ac:dyDescent="0.15"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</row>
    <row r="535" spans="2:21" x14ac:dyDescent="0.15"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</row>
    <row r="536" spans="2:21" x14ac:dyDescent="0.15"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</row>
    <row r="537" spans="2:21" x14ac:dyDescent="0.15"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</row>
    <row r="538" spans="2:21" x14ac:dyDescent="0.15"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</row>
    <row r="539" spans="2:21" x14ac:dyDescent="0.15"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</row>
    <row r="540" spans="2:21" x14ac:dyDescent="0.15"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</row>
    <row r="541" spans="2:21" x14ac:dyDescent="0.15"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</row>
    <row r="542" spans="2:21" x14ac:dyDescent="0.15"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</row>
    <row r="543" spans="2:21" x14ac:dyDescent="0.15"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</row>
    <row r="544" spans="2:21" x14ac:dyDescent="0.15"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</row>
    <row r="545" spans="2:21" x14ac:dyDescent="0.15"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</row>
    <row r="546" spans="2:21" x14ac:dyDescent="0.15"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</row>
    <row r="547" spans="2:21" x14ac:dyDescent="0.15"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</row>
    <row r="548" spans="2:21" x14ac:dyDescent="0.15"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</row>
    <row r="549" spans="2:21" x14ac:dyDescent="0.15"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</row>
    <row r="550" spans="2:21" x14ac:dyDescent="0.15"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</row>
    <row r="551" spans="2:21" x14ac:dyDescent="0.15"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</row>
    <row r="552" spans="2:21" x14ac:dyDescent="0.15"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</row>
    <row r="553" spans="2:21" x14ac:dyDescent="0.15"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</row>
    <row r="554" spans="2:21" x14ac:dyDescent="0.15"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</row>
    <row r="555" spans="2:21" x14ac:dyDescent="0.15"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</row>
    <row r="556" spans="2:21" x14ac:dyDescent="0.15"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</row>
    <row r="557" spans="2:21" x14ac:dyDescent="0.15"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</row>
    <row r="558" spans="2:21" x14ac:dyDescent="0.15"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</row>
    <row r="559" spans="2:21" x14ac:dyDescent="0.15"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</row>
    <row r="560" spans="2:21" x14ac:dyDescent="0.15"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</row>
    <row r="561" spans="2:21" x14ac:dyDescent="0.15"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</row>
    <row r="562" spans="2:21" x14ac:dyDescent="0.15"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</row>
    <row r="563" spans="2:21" x14ac:dyDescent="0.15"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</row>
    <row r="564" spans="2:21" x14ac:dyDescent="0.15"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</row>
    <row r="565" spans="2:21" x14ac:dyDescent="0.15"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</row>
    <row r="566" spans="2:21" x14ac:dyDescent="0.15"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</row>
    <row r="567" spans="2:21" x14ac:dyDescent="0.15"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</row>
    <row r="568" spans="2:21" x14ac:dyDescent="0.15"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</row>
    <row r="569" spans="2:21" x14ac:dyDescent="0.15"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</row>
    <row r="570" spans="2:21" x14ac:dyDescent="0.15"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</row>
    <row r="571" spans="2:21" x14ac:dyDescent="0.15"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</row>
    <row r="572" spans="2:21" x14ac:dyDescent="0.15"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</row>
    <row r="573" spans="2:21" x14ac:dyDescent="0.15"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</row>
    <row r="574" spans="2:21" x14ac:dyDescent="0.15"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</row>
    <row r="575" spans="2:21" x14ac:dyDescent="0.15"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</row>
    <row r="576" spans="2:21" x14ac:dyDescent="0.15"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</row>
    <row r="577" spans="2:21" x14ac:dyDescent="0.15"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</row>
    <row r="578" spans="2:21" x14ac:dyDescent="0.15"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</row>
    <row r="579" spans="2:21" x14ac:dyDescent="0.15"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</row>
    <row r="580" spans="2:21" x14ac:dyDescent="0.15"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</row>
    <row r="581" spans="2:21" x14ac:dyDescent="0.15"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</row>
    <row r="582" spans="2:21" x14ac:dyDescent="0.15"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</row>
    <row r="583" spans="2:21" x14ac:dyDescent="0.15"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</row>
    <row r="584" spans="2:21" x14ac:dyDescent="0.15"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</row>
    <row r="585" spans="2:21" x14ac:dyDescent="0.15"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</row>
    <row r="586" spans="2:21" x14ac:dyDescent="0.15"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</row>
    <row r="587" spans="2:21" x14ac:dyDescent="0.15"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</row>
    <row r="588" spans="2:21" x14ac:dyDescent="0.15"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</row>
    <row r="589" spans="2:21" x14ac:dyDescent="0.15"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</row>
    <row r="590" spans="2:21" x14ac:dyDescent="0.15"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</row>
    <row r="591" spans="2:21" x14ac:dyDescent="0.15"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</row>
    <row r="592" spans="2:21" x14ac:dyDescent="0.15"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</row>
  </sheetData>
  <mergeCells count="179">
    <mergeCell ref="C86:C88"/>
    <mergeCell ref="B86:B88"/>
    <mergeCell ref="W2:Y2"/>
    <mergeCell ref="W29:Y29"/>
    <mergeCell ref="W56:Y56"/>
    <mergeCell ref="W83:Y83"/>
    <mergeCell ref="G95:G97"/>
    <mergeCell ref="G92:G94"/>
    <mergeCell ref="G89:G91"/>
    <mergeCell ref="G86:G88"/>
    <mergeCell ref="E86:E88"/>
    <mergeCell ref="D86:D88"/>
    <mergeCell ref="E92:E94"/>
    <mergeCell ref="E89:E91"/>
    <mergeCell ref="D89:D91"/>
    <mergeCell ref="C89:C91"/>
    <mergeCell ref="B89:B91"/>
    <mergeCell ref="B92:B94"/>
    <mergeCell ref="C59:C61"/>
    <mergeCell ref="B59:B61"/>
    <mergeCell ref="D92:D94"/>
    <mergeCell ref="C92:C94"/>
    <mergeCell ref="G68:G70"/>
    <mergeCell ref="G65:G67"/>
    <mergeCell ref="D107:D109"/>
    <mergeCell ref="E107:E109"/>
    <mergeCell ref="G107:G109"/>
    <mergeCell ref="G104:G106"/>
    <mergeCell ref="G101:G103"/>
    <mergeCell ref="G98:G100"/>
    <mergeCell ref="B95:B97"/>
    <mergeCell ref="B98:B100"/>
    <mergeCell ref="B101:B103"/>
    <mergeCell ref="B104:B106"/>
    <mergeCell ref="B107:B109"/>
    <mergeCell ref="C107:C109"/>
    <mergeCell ref="C104:C106"/>
    <mergeCell ref="D104:D106"/>
    <mergeCell ref="E104:E106"/>
    <mergeCell ref="E101:E103"/>
    <mergeCell ref="E98:E100"/>
    <mergeCell ref="E95:E97"/>
    <mergeCell ref="D101:D103"/>
    <mergeCell ref="D98:D100"/>
    <mergeCell ref="D95:D97"/>
    <mergeCell ref="C95:C97"/>
    <mergeCell ref="C98:C100"/>
    <mergeCell ref="C101:C103"/>
    <mergeCell ref="G62:G64"/>
    <mergeCell ref="G59:G61"/>
    <mergeCell ref="E59:E61"/>
    <mergeCell ref="D59:D61"/>
    <mergeCell ref="D80:D82"/>
    <mergeCell ref="E80:E82"/>
    <mergeCell ref="G80:G82"/>
    <mergeCell ref="G77:G79"/>
    <mergeCell ref="G74:G76"/>
    <mergeCell ref="G71:G73"/>
    <mergeCell ref="B68:B70"/>
    <mergeCell ref="B71:B73"/>
    <mergeCell ref="B74:B76"/>
    <mergeCell ref="B77:B79"/>
    <mergeCell ref="B80:B82"/>
    <mergeCell ref="C80:C82"/>
    <mergeCell ref="E65:E67"/>
    <mergeCell ref="E62:E64"/>
    <mergeCell ref="D62:D64"/>
    <mergeCell ref="C62:C64"/>
    <mergeCell ref="B62:B64"/>
    <mergeCell ref="B65:B67"/>
    <mergeCell ref="C77:C79"/>
    <mergeCell ref="D77:D79"/>
    <mergeCell ref="E77:E79"/>
    <mergeCell ref="E74:E76"/>
    <mergeCell ref="E71:E73"/>
    <mergeCell ref="E68:E70"/>
    <mergeCell ref="D74:D76"/>
    <mergeCell ref="D71:D73"/>
    <mergeCell ref="D68:D70"/>
    <mergeCell ref="D65:D67"/>
    <mergeCell ref="C65:C67"/>
    <mergeCell ref="C68:C70"/>
    <mergeCell ref="E53:E55"/>
    <mergeCell ref="G53:G55"/>
    <mergeCell ref="G50:G52"/>
    <mergeCell ref="G47:G49"/>
    <mergeCell ref="G44:G46"/>
    <mergeCell ref="D47:D49"/>
    <mergeCell ref="C71:C73"/>
    <mergeCell ref="C74:C76"/>
    <mergeCell ref="B35:B37"/>
    <mergeCell ref="C35:C37"/>
    <mergeCell ref="D35:D37"/>
    <mergeCell ref="E35:E37"/>
    <mergeCell ref="G35:G37"/>
    <mergeCell ref="G41:G43"/>
    <mergeCell ref="G38:G40"/>
    <mergeCell ref="E38:E40"/>
    <mergeCell ref="D38:D40"/>
    <mergeCell ref="C38:C40"/>
    <mergeCell ref="B38:B40"/>
    <mergeCell ref="E41:E43"/>
    <mergeCell ref="D44:D46"/>
    <mergeCell ref="C44:C46"/>
    <mergeCell ref="B44:B46"/>
    <mergeCell ref="B41:B43"/>
    <mergeCell ref="G20:G22"/>
    <mergeCell ref="G17:G19"/>
    <mergeCell ref="B26:B28"/>
    <mergeCell ref="C26:C28"/>
    <mergeCell ref="D26:D28"/>
    <mergeCell ref="E26:E28"/>
    <mergeCell ref="D41:D43"/>
    <mergeCell ref="E47:E49"/>
    <mergeCell ref="E44:E46"/>
    <mergeCell ref="G32:G34"/>
    <mergeCell ref="E32:E34"/>
    <mergeCell ref="D32:D34"/>
    <mergeCell ref="C32:C34"/>
    <mergeCell ref="B32:B34"/>
    <mergeCell ref="C41:C43"/>
    <mergeCell ref="C47:C49"/>
    <mergeCell ref="B47:B49"/>
    <mergeCell ref="B50:B52"/>
    <mergeCell ref="D50:D52"/>
    <mergeCell ref="B20:B22"/>
    <mergeCell ref="C20:C22"/>
    <mergeCell ref="D20:D22"/>
    <mergeCell ref="E20:E22"/>
    <mergeCell ref="E17:E19"/>
    <mergeCell ref="D17:D19"/>
    <mergeCell ref="C17:C19"/>
    <mergeCell ref="B17:B19"/>
    <mergeCell ref="E50:E52"/>
    <mergeCell ref="B8:B10"/>
    <mergeCell ref="C8:C10"/>
    <mergeCell ref="D8:D10"/>
    <mergeCell ref="E8:E10"/>
    <mergeCell ref="G8:G10"/>
    <mergeCell ref="B14:B16"/>
    <mergeCell ref="C14:C16"/>
    <mergeCell ref="D14:D16"/>
    <mergeCell ref="E14:E16"/>
    <mergeCell ref="G14:G16"/>
    <mergeCell ref="B83:U83"/>
    <mergeCell ref="H84:J84"/>
    <mergeCell ref="K84:M84"/>
    <mergeCell ref="G11:G13"/>
    <mergeCell ref="E11:E13"/>
    <mergeCell ref="D11:D13"/>
    <mergeCell ref="C11:C13"/>
    <mergeCell ref="B11:B13"/>
    <mergeCell ref="G26:G28"/>
    <mergeCell ref="G23:G25"/>
    <mergeCell ref="B29:U29"/>
    <mergeCell ref="H30:J30"/>
    <mergeCell ref="K30:M30"/>
    <mergeCell ref="B56:U56"/>
    <mergeCell ref="H57:J57"/>
    <mergeCell ref="K57:M57"/>
    <mergeCell ref="B53:B55"/>
    <mergeCell ref="C53:C55"/>
    <mergeCell ref="D53:D55"/>
    <mergeCell ref="E23:E25"/>
    <mergeCell ref="D23:D25"/>
    <mergeCell ref="C23:C25"/>
    <mergeCell ref="B23:B25"/>
    <mergeCell ref="C50:C52"/>
    <mergeCell ref="A1:U1"/>
    <mergeCell ref="B2:U2"/>
    <mergeCell ref="Z2:AA2"/>
    <mergeCell ref="H3:J3"/>
    <mergeCell ref="K3:M3"/>
    <mergeCell ref="K4:M4"/>
    <mergeCell ref="G5:G7"/>
    <mergeCell ref="E5:E7"/>
    <mergeCell ref="D5:D7"/>
    <mergeCell ref="C5:C7"/>
    <mergeCell ref="B5:B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FD42E3-CB7D-4737-B28A-DC4ED905E7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EB35C1-949B-451B-93A2-B945B27E09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8379C30-5980-4D02-A0A3-9E580E778B2A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openxmlformats.org/package/2006/metadata/core-properties"/>
    <ds:schemaRef ds:uri="bb877b61-73df-4c71-aa42-e1c67dd7a708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Information Sheet</vt:lpstr>
      <vt:lpstr>Growth curves CeBER</vt:lpstr>
      <vt:lpstr>Growth curves UTEX #1926</vt:lpstr>
      <vt:lpstr>C-phycocyanin CeBER</vt:lpstr>
      <vt:lpstr>C-phycocyanin UTEX #1926</vt:lpstr>
      <vt:lpstr>Nitrate content CeBER</vt:lpstr>
      <vt:lpstr>Nitrate content UTEX #1926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Karen Ssekimpi</cp:lastModifiedBy>
  <cp:revision/>
  <dcterms:created xsi:type="dcterms:W3CDTF">2021-11-15T17:34:17Z</dcterms:created>
  <dcterms:modified xsi:type="dcterms:W3CDTF">2023-04-02T19:27:53Z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